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1.xml.rels" ContentType="application/vnd.openxmlformats-package.relationships+xml"/>
  <Override PartName="/xl/worksheets/_rels/sheet47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6.xml.rels" ContentType="application/vnd.openxmlformats-package.relationships+xml"/>
  <Override PartName="/xl/worksheets/_rels/sheet35.xml.rels" ContentType="application/vnd.openxmlformats-package.relationships+xml"/>
  <Override PartName="/xl/worksheets/_rels/sheet7.xml.rels" ContentType="application/vnd.openxmlformats-package.relationships+xml"/>
  <Override PartName="/xl/worksheets/_rels/sheet36.xml.rels" ContentType="application/vnd.openxmlformats-package.relationships+xml"/>
  <Override PartName="/xl/worksheets/_rels/sheet8.xml.rels" ContentType="application/vnd.openxmlformats-package.relationships+xml"/>
  <Override PartName="/xl/worksheets/_rels/sheet37.xml.rels" ContentType="application/vnd.openxmlformats-package.relationships+xml"/>
  <Override PartName="/xl/worksheets/_rels/sheet53.xml.rels" ContentType="application/vnd.openxmlformats-package.relationships+xml"/>
  <Override PartName="/xl/worksheets/_rels/sheet52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_rels/sheet28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24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2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51.xml.rels" ContentType="application/vnd.openxmlformats-package.relationships+xml"/>
  <Override PartName="/xl/worksheets/_rels/sheet14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44.xml.rels" ContentType="application/vnd.openxmlformats-package.relationships+xml"/>
  <Override PartName="/xl/worksheets/_rels/sheet45.xml.rels" ContentType="application/vnd.openxmlformats-package.relationships+xml"/>
  <Override PartName="/xl/worksheets/_rels/sheet46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50.xml.rels" ContentType="application/vnd.openxmlformats-package.relationships+xml"/>
  <Override PartName="/xl/worksheets/_rels/sheet48.xml.rels" ContentType="application/vnd.openxmlformats-package.relationships+xml"/>
  <Override PartName="/xl/worksheets/_rels/sheet1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_rels/drawing9.xml.rels" ContentType="application/vnd.openxmlformats-package.relationships+xml"/>
  <Override PartName="/xl/drawings/_rels/drawing17.xml.rels" ContentType="application/vnd.openxmlformats-package.relationships+xml"/>
  <Override PartName="/xl/drawings/_rels/drawing16.xml.rels" ContentType="application/vnd.openxmlformats-package.relationship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30.xml" ContentType="application/vnd.openxmlformats-officedocument.drawing+xml"/>
  <Override PartName="/xl/drawings/drawing42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ริ่มที่นี่" sheetId="1" state="visible" r:id="rId3"/>
    <sheet name="อัปเดตรายสัปดาห์" sheetId="2" state="visible" r:id="rId4"/>
    <sheet name="อัปเดตงาน WBS" sheetId="3" state="visible" r:id="rId5"/>
    <sheet name="Master Plan" sheetId="4" state="visible" r:id="rId6"/>
    <sheet name="งาน 3 สัปดาห์ข้างหน้า" sheetId="5" state="visible" r:id="rId7"/>
    <sheet name="จุดติดตั้ง" sheetId="6" state="visible" r:id="rId8"/>
    <sheet name="Inverter station" sheetId="7" state="visible" r:id="rId9"/>
    <sheet name="แบบมาตรฐาน" sheetId="8" state="visible" r:id="rId10"/>
    <sheet name="ICL ตรวจหน้างาน" sheetId="9" state="visible" r:id="rId11"/>
    <sheet name="ใบ ICL (พิมพ์)" sheetId="10" state="visible" r:id="rId12"/>
    <sheet name="Milestone" sheetId="11" state="visible" r:id="rId13"/>
    <sheet name="S-Curve" sheetId="12" state="visible" r:id="rId14"/>
    <sheet name="ทะเบียนความเสี่ยง" sheetId="13" state="visible" r:id="rId15"/>
    <sheet name="บันทึกการเปลี่ยนแปลง" sheetId="14" state="visible" r:id="rId16"/>
    <sheet name="Cost of Quality" sheetId="15" state="visible" r:id="rId17"/>
    <sheet name="ICMS สรุปต้นทุน" sheetId="16" state="visible" r:id="rId18"/>
    <sheet name="ICMS WBS" sheetId="17" state="visible" r:id="rId19"/>
    <sheet name="ICMS ข้อมูลสถานี" sheetId="18" state="visible" r:id="rId20"/>
    <sheet name="ICMS หมวดต้นทุน" sheetId="19" state="visible" r:id="rId21"/>
    <sheet name="ICMS อ่านก่อน" sheetId="20" state="visible" r:id="rId22"/>
    <sheet name="บทเรียน" sheetId="21" state="visible" r:id="rId23"/>
    <sheet name="แผนทีมรายสัปดาห์" sheetId="22" state="visible" r:id="rId24"/>
    <sheet name="ภาระงานรายสัปดาห์" sheetId="23" state="visible" r:id="rId25"/>
    <sheet name="แผนกำลังคน" sheetId="24" state="visible" r:id="rId26"/>
    <sheet name="สรุปรายรอบ" sheetId="25" state="visible" r:id="rId27"/>
    <sheet name="ประวัติสรุป" sheetId="26" state="visible" r:id="rId28"/>
    <sheet name="WBS Dictionary" sheetId="27" state="visible" r:id="rId29"/>
    <sheet name="RAM" sheetId="28" state="visible" r:id="rId30"/>
    <sheet name="สมมติฐาน" sheetId="29" state="visible" r:id="rId31"/>
    <sheet name="ตั้งค่าแจ้งเตือน" sheetId="30" state="visible" r:id="rId32"/>
    <sheet name="TCRoof" sheetId="31" state="visible" r:id="rId33"/>
    <sheet name="นำเข้าไฟล์ติดตาม" sheetId="32" state="visible" r:id="rId34"/>
    <sheet name="ประวัติรายสัปดาห์" sheetId="33" state="hidden" r:id="rId35"/>
    <sheet name="P9-001" sheetId="34" state="visible" r:id="rId36"/>
    <sheet name="P9-002" sheetId="35" state="visible" r:id="rId37"/>
    <sheet name="P9-003" sheetId="36" state="visible" r:id="rId38"/>
    <sheet name="P9-004" sheetId="37" state="visible" r:id="rId39"/>
    <sheet name="P9-005" sheetId="38" state="visible" r:id="rId40"/>
    <sheet name="P9-006" sheetId="39" state="visible" r:id="rId41"/>
    <sheet name="P9-007" sheetId="40" state="visible" r:id="rId42"/>
    <sheet name="P9-008" sheetId="41" state="visible" r:id="rId43"/>
    <sheet name="P9-009" sheetId="42" state="visible" r:id="rId44"/>
    <sheet name="P9-010" sheetId="43" state="visible" r:id="rId45"/>
    <sheet name="P9-011" sheetId="44" state="visible" r:id="rId46"/>
    <sheet name="P9-012" sheetId="45" state="visible" r:id="rId47"/>
    <sheet name="P9-013" sheetId="46" state="visible" r:id="rId48"/>
    <sheet name="P9-014" sheetId="47" state="visible" r:id="rId49"/>
    <sheet name="P9-015" sheetId="48" state="visible" r:id="rId50"/>
    <sheet name="P9-016" sheetId="49" state="visible" r:id="rId51"/>
    <sheet name="P9-017" sheetId="50" state="visible" r:id="rId52"/>
    <sheet name="P9-018" sheetId="51" state="visible" r:id="rId53"/>
    <sheet name="P9-019" sheetId="52" state="visible" r:id="rId54"/>
    <sheet name="P9-020" sheetId="53" state="visible" r:id="rId55"/>
    <sheet name="_events" sheetId="54" state="hidden" r:id="rId56"/>
    <sheet name="_keys" sheetId="55" state="hidden" r:id="rId57"/>
    <sheet name="_icms" sheetId="56" state="hidden" r:id="rId58"/>
  </sheets>
  <definedNames>
    <definedName function="false" hidden="true" localSheetId="14" name="_xlnm._FilterDatabase" vbProcedure="false">'Cost of Quality'!$A$6:$N$406</definedName>
    <definedName function="false" hidden="true" localSheetId="8" name="_xlnm._FilterDatabase" vbProcedure="false">'ICL ตรวจหน้างาน'!$A$4:$K$83</definedName>
    <definedName function="false" hidden="true" localSheetId="16" name="_xlnm._FilterDatabase" vbProcedure="false">'ICMS WBS'!$A$4:$K$128</definedName>
    <definedName function="false" hidden="true" localSheetId="17" name="_xlnm._FilterDatabase" vbProcedure="false">'ICMS ข้อมูลสถานี'!$A$4:$V$24</definedName>
    <definedName function="false" hidden="true" localSheetId="6" name="_xlnm._FilterDatabase" vbProcedure="false">'Inverter station'!$A$5:$L$25</definedName>
    <definedName function="false" hidden="true" localSheetId="3" name="_xlnm._FilterDatabase" vbProcedure="false">'Master Plan'!$A$7:$BF$27</definedName>
    <definedName function="false" hidden="true" localSheetId="33" name="_xlnm._FilterDatabase" vbProcedure="false">'P9-001'!$A$7:$Y$131</definedName>
    <definedName function="false" hidden="true" localSheetId="34" name="_xlnm._FilterDatabase" vbProcedure="false">'P9-002'!$A$7:$Y$131</definedName>
    <definedName function="false" hidden="true" localSheetId="35" name="_xlnm._FilterDatabase" vbProcedure="false">'P9-003'!$A$7:$Y$131</definedName>
    <definedName function="false" hidden="true" localSheetId="36" name="_xlnm._FilterDatabase" vbProcedure="false">'P9-004'!$A$7:$Y$131</definedName>
    <definedName function="false" hidden="true" localSheetId="37" name="_xlnm._FilterDatabase" vbProcedure="false">'P9-005'!$A$7:$Y$131</definedName>
    <definedName function="false" hidden="true" localSheetId="38" name="_xlnm._FilterDatabase" vbProcedure="false">'P9-006'!$A$7:$Y$131</definedName>
    <definedName function="false" hidden="true" localSheetId="39" name="_xlnm._FilterDatabase" vbProcedure="false">'P9-007'!$A$7:$Y$131</definedName>
    <definedName function="false" hidden="true" localSheetId="40" name="_xlnm._FilterDatabase" vbProcedure="false">'P9-008'!$A$7:$Y$131</definedName>
    <definedName function="false" hidden="true" localSheetId="41" name="_xlnm._FilterDatabase" vbProcedure="false">'P9-009'!$A$7:$Y$131</definedName>
    <definedName function="false" hidden="true" localSheetId="42" name="_xlnm._FilterDatabase" vbProcedure="false">'P9-010'!$A$7:$Y$131</definedName>
    <definedName function="false" hidden="true" localSheetId="43" name="_xlnm._FilterDatabase" vbProcedure="false">'P9-011'!$A$7:$Y$131</definedName>
    <definedName function="false" hidden="true" localSheetId="44" name="_xlnm._FilterDatabase" vbProcedure="false">'P9-012'!$A$7:$Y$131</definedName>
    <definedName function="false" hidden="true" localSheetId="45" name="_xlnm._FilterDatabase" vbProcedure="false">'P9-013'!$A$7:$Y$131</definedName>
    <definedName function="false" hidden="true" localSheetId="46" name="_xlnm._FilterDatabase" vbProcedure="false">'P9-014'!$A$7:$Y$131</definedName>
    <definedName function="false" hidden="true" localSheetId="47" name="_xlnm._FilterDatabase" vbProcedure="false">'P9-015'!$A$7:$Y$131</definedName>
    <definedName function="false" hidden="true" localSheetId="48" name="_xlnm._FilterDatabase" vbProcedure="false">'P9-016'!$A$7:$Y$131</definedName>
    <definedName function="false" hidden="true" localSheetId="49" name="_xlnm._FilterDatabase" vbProcedure="false">'P9-017'!$A$7:$Y$131</definedName>
    <definedName function="false" hidden="true" localSheetId="50" name="_xlnm._FilterDatabase" vbProcedure="false">'P9-018'!$A$7:$Y$131</definedName>
    <definedName function="false" hidden="true" localSheetId="51" name="_xlnm._FilterDatabase" vbProcedure="false">'P9-019'!$A$7:$Y$131</definedName>
    <definedName function="false" hidden="true" localSheetId="52" name="_xlnm._FilterDatabase" vbProcedure="false">'P9-020'!$A$7:$Y$131</definedName>
    <definedName function="false" hidden="true" localSheetId="27" name="_xlnm._FilterDatabase" vbProcedure="false">RAM!$A$4:$J$128</definedName>
    <definedName function="false" hidden="true" localSheetId="30" name="_xlnm._FilterDatabase" vbProcedure="false">TCRoof!$A$7:$AH$27</definedName>
    <definedName function="false" hidden="true" localSheetId="26" name="_xlnm._FilterDatabase" vbProcedure="false">'WBS Dictionary'!$A$4:$X$128</definedName>
    <definedName function="false" hidden="true" localSheetId="4" name="_xlnm._FilterDatabase" vbProcedure="false">'งาน 3 สัปดาห์ข้างหน้า'!$A$5:$K$255</definedName>
    <definedName function="false" hidden="true" localSheetId="12" name="_xlnm._FilterDatabase" vbProcedure="false">ทะเบียนความเสี่ยง!$A$6:$W$31</definedName>
    <definedName function="false" hidden="true" localSheetId="31" name="_xlnm._FilterDatabase" vbProcedure="false">นำเข้าไฟล์ติดตาม!$A$6:$G$6</definedName>
    <definedName function="false" hidden="true" localSheetId="20" name="_xlnm._FilterDatabase" vbProcedure="false">บทเรียน!$A$6:$N$206</definedName>
    <definedName function="false" hidden="true" localSheetId="13" name="_xlnm._FilterDatabase" vbProcedure="false">บันทึกการเปลี่ยนแปลง!$A$6:$S$306</definedName>
    <definedName function="false" hidden="true" localSheetId="7" name="_xlnm._FilterDatabase" vbProcedure="false">แบบมาตรฐาน!$A$5:$H$18</definedName>
    <definedName function="false" hidden="false" localSheetId="9" name="_xlnm.Print_Area" vbProcedure="false">'ใบ ICL (พิมพ์)'!$A$1:$H$198</definedName>
    <definedName function="false" hidden="true" localSheetId="32" name="_xlnm._FilterDatabase" vbProcedure="false">ประวัติรายสัปดาห์!$A$6:$L$6</definedName>
    <definedName function="false" hidden="true" localSheetId="23" name="_xlnm._FilterDatabase" vbProcedure="false">แผนกำลังคน!$A$72:$AR$312</definedName>
    <definedName function="false" hidden="true" localSheetId="0" name="_xlnm._FilterDatabase" vbProcedure="false">เริ่มที่นี่!$A$25:$I$45</definedName>
    <definedName function="false" hidden="true" localSheetId="2" name="_xlnm._FilterDatabase" vbProcedure="false">'อัปเดตงาน WBS'!$A$6:$M$1646</definedName>
    <definedName function="false" hidden="true" localSheetId="1" name="_xlnm._FilterDatabase" vbProcedure="false">อัปเดตรายสัปดาห์!$A$7:$AP$27</definedName>
    <definedName function="false" hidden="false" name="ASOF" vbProcedure="false">สมมติฐาน!$C$7</definedName>
    <definedName function="false" hidden="false" name="CAP_PEA" vbProcedure="false">สมมติฐาน!$C$11</definedName>
    <definedName function="false" hidden="false" name="CR_CAUSE" vbProcedure="false">บันทึกการเปลี่ยนแปลง!$K$7:$K$306</definedName>
    <definedName function="false" hidden="false" name="CR_COD" vbProcedure="false">บันทึกการเปลี่ยนแปลง!$J$7:$J$306</definedName>
    <definedName function="false" hidden="false" name="CR_CON" vbProcedure="false">บันทึกการเปลี่ยนแปลง!$E$7:$E$306</definedName>
    <definedName function="false" hidden="false" name="CR_RISK" vbProcedure="false">บันทึกการเปลี่ยนแปลง!$M$7:$M$306</definedName>
    <definedName function="false" hidden="false" name="CR_SHIFT" vbProcedure="false">บันทึกการเปลี่ยนแปลง!$I$7:$I$306</definedName>
    <definedName function="false" hidden="false" name="CR_ST" vbProcedure="false">บันทึกการเปลี่ยนแปลง!$C$7:$C$306</definedName>
    <definedName function="false" hidden="false" name="CR_STAT" vbProcedure="false">บันทึกการเปลี่ยนแปลง!$Q$7:$Q$306</definedName>
    <definedName function="false" hidden="false" name="CR_T1" vbProcedure="false">บันทึกการเปลี่ยนแปลง!$V$27</definedName>
    <definedName function="false" hidden="false" name="CR_T2" vbProcedure="false">บันทึกการเปลี่ยนแปลง!$V$28</definedName>
    <definedName function="false" hidden="false" name="ENG_CAP" vbProcedure="false">สมมติฐาน!$C$13</definedName>
    <definedName function="false" hidden="false" name="ENG_TBL" vbProcedure="false">สมมติฐาน!$Q$11:$R$30</definedName>
    <definedName function="false" hidden="false" name="FEE_DAYS" vbProcedure="false">สมมติฐาน!$C$19</definedName>
    <definedName function="false" hidden="false" name="GANTT_START" vbProcedure="false">สมมติฐาน!$C$8</definedName>
    <definedName function="false" hidden="false" name="HOLIDAYS" vbProcedure="false">สมมติฐาน!$K$5:$K$34</definedName>
    <definedName function="false" hidden="false" name="ICMS_CODES" vbProcedure="false">'ICMS หมวดต้นทุน'!$A$5:$A$23</definedName>
    <definedName function="false" hidden="false" name="ICMS_GROUPS" vbProcedure="false">_icms!$A$1:$A$16</definedName>
    <definedName function="false" hidden="false" name="ICMS_M_APP" vbProcedure="false">'ICMS WBS'!$K$5:$K$128</definedName>
    <definedName function="false" hidden="false" name="ICMS_M_BUD" vbProcedure="false">'ICMS WBS'!$I$5:$I$128</definedName>
    <definedName function="false" hidden="false" name="ICMS_M_CHK" vbProcedure="false">'ICMS WBS'!$J$5:$J$128</definedName>
    <definedName function="false" hidden="false" name="ICMS_M_ICMS" vbProcedure="false">'ICMS WBS'!$E$5:$E$128</definedName>
    <definedName function="false" hidden="false" name="ICMS_M_LVL" vbProcedure="false">'ICMS WBS'!$C$5:$C$128</definedName>
    <definedName function="false" hidden="false" name="ICMS_M_WT" vbProcedure="false">'ICMS WBS'!$D$5:$D$128</definedName>
    <definedName function="false" hidden="false" name="ICMS_N_BUDGET_ST" vbProcedure="false">IF(SUM('ICMS WBS'!$H$5:$H$128)=0,"",SUM('ICMS WBS'!$H$5:$H$128))</definedName>
    <definedName function="false" hidden="false" name="ICMS_N_ST" vbProcedure="false">COUNTA('ICMS ข้อมูลสถานี'!$A$5:$A$24)</definedName>
    <definedName function="false" hidden="false" name="ICMS_TH" vbProcedure="false">'ICMS หมวดต้นทุน'!$C$5:$C$23</definedName>
    <definedName function="false" hidden="false" name="ICMS_T_KWP" vbProcedure="false">SUM('ICMS ข้อมูลสถานี'!$J$5:$J$24)</definedName>
    <definedName function="false" hidden="false" name="ICMS_T_M2" vbProcedure="false">SUM('ICMS ข้อมูลสถานี'!$L$5:$L$24)</definedName>
    <definedName function="false" hidden="false" name="INSPECT_WD" vbProcedure="false">สมมติฐาน!$C$21</definedName>
    <definedName function="false" hidden="false" name="INVS_ID" vbProcedure="false">'Inverter station'!$A$6:$A$25</definedName>
    <definedName function="false" hidden="false" name="INVS_N" vbProcedure="false">'Inverter station'!$G$6:$G$25</definedName>
    <definedName function="false" hidden="false" name="INVS_SET" vbProcedure="false">'Inverter station'!$F$6:$F$25</definedName>
    <definedName function="false" hidden="false" name="INVS_SIZE" vbProcedure="false">'Inverter station'!$I$6:$I$25</definedName>
    <definedName function="false" hidden="false" name="INVS_TYPE" vbProcedure="false">'Inverter station'!$H$6:$H$25</definedName>
    <definedName function="false" hidden="false" name="INV_NAMES" vbProcedure="false">แบบมาตรฐาน!$B$50:$B$52</definedName>
    <definedName function="false" hidden="false" name="INV_NOTE" vbProcedure="false">แบบมาตรฐาน!$D$50:$D$52</definedName>
    <definedName function="false" hidden="false" name="INV_P" vbProcedure="false">แบบมาตรฐาน!$E$31:$E$48</definedName>
    <definedName function="false" hidden="false" name="INV_T" vbProcedure="false">แบบมาตรฐาน!$B$31:$B$48</definedName>
    <definedName function="false" hidden="false" name="INV_TBL" vbProcedure="false">แบบมาตรฐาน!$A$31:$E$48</definedName>
    <definedName function="false" hidden="false" name="LADDER_MIN" vbProcedure="false">จุดติดตั้ง!$AB$59</definedName>
    <definedName function="false" hidden="false" name="LAG_GRID" vbProcedure="false">สมมติฐาน!$C$16</definedName>
    <definedName function="false" hidden="false" name="LAG_HO" vbProcedure="false">สมมติฐาน!$C$15</definedName>
    <definedName function="false" hidden="false" name="LAG_IEC" vbProcedure="false">สมมติฐาน!$C$12</definedName>
    <definedName function="false" hidden="false" name="LAG_INSREQ" vbProcedure="false">สมมติฐาน!$C$20</definedName>
    <definedName function="false" hidden="false" name="LAG_PEA" vbProcedure="false">สมมติฐาน!$C$10</definedName>
    <definedName function="false" hidden="false" name="LEAD_INST" vbProcedure="false">สมมติฐาน!$C$9</definedName>
    <definedName function="false" hidden="false" name="LL_ST" vbProcedure="false">บทเรียน!$C$7:$C$206</definedName>
    <definedName function="false" hidden="false" name="LL_STAT" vbProcedure="false">บทเรียน!$L$7:$L$206</definedName>
    <definedName function="false" hidden="false" name="LOOKAHEAD" vbProcedure="false">สมมติฐาน!$C$14</definedName>
    <definedName function="false" hidden="false" name="MGMT_PCT" vbProcedure="false">ทะเบียนความเสี่ยง!$AC$14</definedName>
    <definedName function="false" hidden="false" name="MGMT_RES" vbProcedure="false">ทะเบียนความเสี่ยง!$AC$15</definedName>
    <definedName function="false" hidden="false" name="MON_DAYS" vbProcedure="false">สมมติฐาน!$C$22</definedName>
    <definedName function="false" hidden="false" name="MOUNT_EFFORT" vbProcedure="false">จุดติดตั้ง!$AA$51:$AB$56</definedName>
    <definedName function="false" hidden="false" name="MOUNT_P" vbProcedure="false">จุดติดตั้ง!$AD$7:$AD$48</definedName>
    <definedName function="false" hidden="false" name="MOUNT_T" vbProcedure="false">จุดติดตั้ง!$AA$7:$AA$48</definedName>
    <definedName function="false" hidden="false" name="MOUNT_TBL" vbProcedure="false">จุดติดตั้ง!$Z$7:$AD$48</definedName>
    <definedName function="false" hidden="false" name="PAC_DAYS" vbProcedure="false">สมมติฐาน!$C$23</definedName>
    <definedName function="false" hidden="false" name="PROJ_START" vbProcedure="false">สมมติฐาน!$C$5</definedName>
    <definedName function="false" hidden="false" name="RD_SPAN" vbProcedure="false">สมมติฐาน!$C$6</definedName>
    <definedName function="false" hidden="false" name="REVIEW_PK2" vbProcedure="false">สมมติฐาน!$C$18</definedName>
    <definedName function="false" hidden="false" name="REVIEW_WD" vbProcedure="false">สมมติฐาน!$C$17</definedName>
    <definedName function="false" hidden="false" name="RISK_IDS" vbProcedure="false">ทะเบียนความเสี่ยง!$A$7:$A$31</definedName>
    <definedName function="false" hidden="false" name="RISK_LEVEL" vbProcedure="false">ทะเบียนความเสี่ยง!$N$7:$N$31</definedName>
    <definedName function="false" hidden="false" name="RISK_STATUS" vbProcedure="false">ทะเบียนความเสี่ยง!$T$7:$T$31</definedName>
    <definedName function="false" hidden="false" name="RW_BY" vbProcedure="false">'Cost of Quality'!$H$7:$H$406</definedName>
    <definedName function="false" hidden="false" name="RW_CON" vbProcedure="false">'Cost of Quality'!$E$7:$E$406</definedName>
    <definedName function="false" hidden="false" name="RW_COST" vbProcedure="false">'Cost of Quality'!$L$7:$L$406</definedName>
    <definedName function="false" hidden="false" name="RW_DAYS" vbProcedure="false">'Cost of Quality'!$K$7:$K$406</definedName>
    <definedName function="false" hidden="false" name="RW_DONE" vbProcedure="false">'Cost of Quality'!$M$7:$M$406</definedName>
    <definedName function="false" hidden="false" name="RW_ST" vbProcedure="false">'Cost of Quality'!$C$7:$C$406</definedName>
    <definedName function="false" hidden="false" name="RW_TBL" vbProcedure="false">'Cost of Quality'!$P$7:$R$15</definedName>
    <definedName function="false" hidden="false" name="RW_TYPE" vbProcedure="false">'Cost of Quality'!$F$7:$F$406</definedName>
    <definedName function="false" hidden="false" name="SITE_D21" vbProcedure="false">จุดติดตั้ง!$W$7:$W$137</definedName>
    <definedName function="false" hidden="false" name="SITE_KWP" vbProcedure="false">จุดติดตั้ง!$J$7:$J$137</definedName>
    <definedName function="false" hidden="false" name="SITE_LAD" vbProcedure="false">จุดติดตั้ง!$I$7:$I$137</definedName>
    <definedName function="false" hidden="false" name="SITE_MOD" vbProcedure="false">จุดติดตั้ง!$F$7:$F$137</definedName>
    <definedName function="false" hidden="false" name="SITE_S21" vbProcedure="false">จุดติดตั้ง!$L$7:$L$137</definedName>
    <definedName function="false" hidden="false" name="SITE_S23" vbProcedure="false">จุดติดตั้ง!$M$7:$M$137</definedName>
    <definedName function="false" hidden="false" name="SITE_ST" vbProcedure="false">จุดติดตั้ง!$A$7:$A$137</definedName>
    <definedName function="false" hidden="false" name="SITE_T22" vbProcedure="false">จุดติดตั้ง!$U$7:$U$137</definedName>
    <definedName function="false" hidden="false" name="SITE_T23" vbProcedure="false">จุดติดตั้ง!$V$7:$V$137</definedName>
    <definedName function="false" hidden="false" name="SITE_TYPE" vbProcedure="false">จุดติดตั้ง!$E$7:$E$137</definedName>
    <definedName function="false" hidden="false" name="ST_CODE" vbProcedure="false">สมมติฐาน!$N$5:$N$11</definedName>
    <definedName function="false" hidden="false" name="ST_LABEL" vbProcedure="false">สมมติฐาน!$O$5:$O$11</definedName>
    <definedName function="false" hidden="false" name="TEAM_TBL" vbProcedure="false">สมมติฐาน!$Q$5:$V$7</definedName>
    <definedName function="false" hidden="false" name="W_GRID" vbProcedure="false">สมมติฐาน!$C$29</definedName>
    <definedName function="false" hidden="false" name="W_HO" vbProcedure="false">สมมติฐาน!$C$28</definedName>
    <definedName function="false" hidden="false" name="W_IEC" vbProcedure="false">สมมติฐาน!$C$27</definedName>
    <definedName function="false" hidden="false" name="W_INST" vbProcedure="false">สมมติฐาน!$C$26</definedName>
    <definedName function="false" hidden="false" name="W_SYNC" vbProcedure="false">สมมติฐาน!$C$30</definedName>
    <definedName function="false" hidden="false" name="ZONE_TBL" vbProcedure="false">สมมติฐาน!$F$5:$G$24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<sst xmlns="http://schemas.openxmlformats.org/spreadsheetml/2006/main" count="39367" uniqueCount="4074">
  <si>
    <r>
      <rPr>
        <b val="true"/>
        <sz val="18"/>
        <color rgb="FF1F4E78"/>
        <rFont val="FreeSans"/>
        <family val="2"/>
      </rPr>
      <t xml:space="preserve">แม่แบบโครงการ </t>
    </r>
    <r>
      <rPr>
        <b val="true"/>
        <sz val="18"/>
        <color rgb="FF1F4E78"/>
        <rFont val="Tahoma"/>
        <family val="0"/>
        <charset val="1"/>
      </rPr>
      <t xml:space="preserve">TCRoof (</t>
    </r>
    <r>
      <rPr>
        <b val="true"/>
        <sz val="18"/>
        <color rgb="FF1F4E78"/>
        <rFont val="FreeSans"/>
        <family val="2"/>
      </rPr>
      <t xml:space="preserve">ทุกกรณี</t>
    </r>
    <r>
      <rPr>
        <b val="true"/>
        <sz val="18"/>
        <color rgb="FF1F4E78"/>
        <rFont val="Tahoma"/>
        <family val="0"/>
        <charset val="1"/>
      </rPr>
      <t xml:space="preserve">), </t>
    </r>
    <r>
      <rPr>
        <b val="true"/>
        <sz val="18"/>
        <color rgb="FF1F4E78"/>
        <rFont val="FreeSans"/>
        <family val="2"/>
      </rPr>
      <t xml:space="preserve">เริ่มที่นี่</t>
    </r>
  </si>
  <si>
    <r>
      <rPr>
        <sz val="10"/>
        <color rgb="FF595959"/>
        <rFont val="FreeSans"/>
        <family val="2"/>
      </rPr>
      <t xml:space="preserve">เลือกบทบาทของคุณด้านล่าง ทำแค่ </t>
    </r>
    <r>
      <rPr>
        <sz val="10"/>
        <color rgb="FF595959"/>
        <rFont val="Tahoma"/>
        <family val="0"/>
        <charset val="1"/>
      </rPr>
      <t xml:space="preserve">3 </t>
    </r>
    <r>
      <rPr>
        <sz val="10"/>
        <color rgb="FF595959"/>
        <rFont val="FreeSans"/>
        <family val="2"/>
      </rPr>
      <t xml:space="preserve">อย่างต่อสัปดาห์</t>
    </r>
    <r>
      <rPr>
        <sz val="10"/>
        <color rgb="FF595959"/>
        <rFont val="Tahoma"/>
        <family val="0"/>
        <charset val="1"/>
      </rPr>
      <t xml:space="preserve">, </t>
    </r>
    <r>
      <rPr>
        <sz val="10"/>
        <color rgb="FF595959"/>
        <rFont val="FreeSans"/>
        <family val="2"/>
      </rPr>
      <t xml:space="preserve">ที่เหลือคำนวณเอง</t>
    </r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</si>
  <si>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</si>
  <si>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ทั้งเฟส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คาดการณ์</t>
    </r>
    <r>
      <rPr>
        <sz val="9"/>
        <color rgb="FF595959"/>
        <rFont val="Tahoma"/>
        <family val="0"/>
        <charset val="1"/>
      </rPr>
      <t xml:space="preserve">)</t>
    </r>
  </si>
  <si>
    <t xml:space="preserve">ติดตั้งแล้ว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</si>
  <si>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แล้ว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</si>
  <si>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ทำได้ตามที่ควร</t>
    </r>
  </si>
  <si>
    <t xml:space="preserve">ดึงจากแอปล่าสุด</t>
  </si>
  <si>
    <r>
      <rPr>
        <b val="true"/>
        <sz val="11"/>
        <color rgb="FF1F4E78"/>
        <rFont val="Tahoma"/>
        <family val="0"/>
        <charset val="1"/>
      </rPr>
      <t xml:space="preserve">Admin </t>
    </r>
    <r>
      <rPr>
        <b val="true"/>
        <sz val="11"/>
        <color rgb="FF1F4E78"/>
        <rFont val="FreeSans"/>
        <family val="2"/>
      </rPr>
      <t xml:space="preserve">โครงการ</t>
    </r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</si>
  <si>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</rPr>
      <t xml:space="preserve">กรอกวันจริง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นัด </t>
    </r>
    <r>
      <rPr>
        <sz val="10"/>
        <rFont val="Tahoma"/>
        <family val="0"/>
        <charset val="1"/>
      </rPr>
      <t xml:space="preserve">/ Y </t>
    </r>
    <r>
      <rPr>
        <sz val="10"/>
        <rFont val="FreeSans"/>
        <family val="2"/>
      </rPr>
      <t xml:space="preserve">ที่ชีตอัปเดต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ช่องเหลือง</t>
    </r>
    <r>
      <rPr>
        <sz val="10"/>
        <rFont val="Tahoma"/>
        <family val="0"/>
        <charset val="1"/>
      </rPr>
      <t xml:space="preserve">)</t>
    </r>
  </si>
  <si>
    <t xml:space="preserve">→ อัปเดตรายสัปดาห์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</si>
  <si>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</rPr>
      <t xml:space="preserve">แก้แถวที่มี ⚠ ใน </t>
    </r>
    <r>
      <rPr>
        <sz val="10"/>
        <rFont val="Tahoma"/>
        <family val="0"/>
        <charset val="1"/>
      </rPr>
      <t xml:space="preserve">Master Plan (</t>
    </r>
    <r>
      <rPr>
        <sz val="10"/>
        <rFont val="FreeSans"/>
        <family val="2"/>
      </rPr>
      <t xml:space="preserve">คอลัมน์ขวาสุด</t>
    </r>
    <r>
      <rPr>
        <sz val="10"/>
        <rFont val="Tahoma"/>
        <family val="0"/>
        <charset val="1"/>
      </rPr>
      <t xml:space="preserve">)</t>
    </r>
  </si>
  <si>
    <t xml:space="preserve">→ Master Plan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</si>
  <si>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</rPr>
      <t xml:space="preserve">นัดเลื่อน → บันทึก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แถว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เหตุผล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</rPr>
      <t xml:space="preserve">ผู้อนุมัติ</t>
    </r>
    <r>
      <rPr>
        <sz val="10"/>
        <rFont val="Tahoma"/>
        <family val="0"/>
        <charset val="1"/>
      </rPr>
      <t xml:space="preserve">)</t>
    </r>
  </si>
  <si>
    <t xml:space="preserve">→ บันทึกการเปลี่ยนแปลง</t>
  </si>
  <si>
    <t xml:space="preserve">วิศวกร</t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</si>
  <si>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</rPr>
      <t xml:space="preserve">ดูงานของสัปดาห์นี้และ </t>
    </r>
    <r>
      <rPr>
        <sz val="10"/>
        <rFont val="Tahoma"/>
        <family val="0"/>
        <charset val="1"/>
      </rPr>
      <t xml:space="preserve">3 </t>
    </r>
    <r>
      <rPr>
        <sz val="10"/>
        <rFont val="FreeSans"/>
        <family val="2"/>
      </rPr>
      <t xml:space="preserve">สัปดาห์ข้างหน้า</t>
    </r>
  </si>
  <si>
    <t xml:space="preserve">→ งาน 3 สัปดาห์ข้างหน้า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</si>
  <si>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</rPr>
      <t xml:space="preserve">กรอก </t>
    </r>
    <r>
      <rPr>
        <sz val="10"/>
        <rFont val="Tahoma"/>
        <family val="0"/>
        <charset val="1"/>
      </rPr>
      <t xml:space="preserve">S / Y </t>
    </r>
    <r>
      <rPr>
        <sz val="10"/>
        <rFont val="FreeSans"/>
        <family val="2"/>
      </rPr>
      <t xml:space="preserve">ชิ้นงานของสัปดาห์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กรองชื่อตัวเอง </t>
    </r>
    <r>
      <rPr>
        <sz val="10"/>
        <rFont val="Tahoma"/>
        <family val="0"/>
        <charset val="1"/>
      </rPr>
      <t xml:space="preserve">+ ‘</t>
    </r>
    <r>
      <rPr>
        <sz val="10"/>
        <rFont val="FreeSans"/>
        <family val="2"/>
      </rPr>
      <t xml:space="preserve">ช่วงนี้’</t>
    </r>
    <r>
      <rPr>
        <sz val="10"/>
        <rFont val="Tahoma"/>
        <family val="0"/>
        <charset val="1"/>
      </rPr>
      <t xml:space="preserve">), </t>
    </r>
    <r>
      <rPr>
        <sz val="10"/>
        <rFont val="FreeSans"/>
        <family val="2"/>
      </rPr>
      <t xml:space="preserve">งานติดตั้งรายจุดที่ชีตจุดติดตั้ง</t>
    </r>
  </si>
  <si>
    <t xml:space="preserve">→ อัปเดตงาน WBS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</si>
  <si>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</rPr>
      <t xml:space="preserve">ก่อนติ๊กเสร็จ ดูจุดตรวจ </t>
    </r>
    <r>
      <rPr>
        <sz val="10"/>
        <rFont val="Tahoma"/>
        <family val="0"/>
        <charset val="1"/>
      </rPr>
      <t xml:space="preserve">ICL </t>
    </r>
    <r>
      <rPr>
        <sz val="10"/>
        <rFont val="FreeSans"/>
        <family val="2"/>
      </rPr>
      <t xml:space="preserve">ตามแบบมาตรฐาน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เจองานแก้ซ้ำ → บันทึกที่ </t>
    </r>
    <r>
      <rPr>
        <sz val="10"/>
        <rFont val="Tahoma"/>
        <family val="0"/>
        <charset val="1"/>
      </rPr>
      <t xml:space="preserve">Cost of Quality</t>
    </r>
  </si>
  <si>
    <t xml:space="preserve">→ ICL ตรวจหน้างาน</t>
  </si>
  <si>
    <t xml:space="preserve">ผู้รับเหมา</t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</si>
  <si>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</rPr>
      <t xml:space="preserve">บันทึกงานในแอป </t>
    </r>
    <r>
      <rPr>
        <sz val="10"/>
        <rFont val="Tahoma"/>
        <family val="0"/>
        <charset val="1"/>
      </rPr>
      <t xml:space="preserve">TCRoof (</t>
    </r>
    <r>
      <rPr>
        <sz val="10"/>
        <rFont val="FreeSans"/>
        <family val="2"/>
      </rPr>
      <t xml:space="preserve">รายงานประจำวัน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แผนงาน </t>
    </r>
    <r>
      <rPr>
        <sz val="10"/>
        <rFont val="Tahoma"/>
        <family val="0"/>
        <charset val="1"/>
      </rPr>
      <t xml:space="preserve">MP, IEC)</t>
    </r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</si>
  <si>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</rPr>
      <t xml:space="preserve">ดูแผนสถานีของตัวเองจากตารางด้านล่าง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กรอง ผรม</t>
    </r>
    <r>
      <rPr>
        <sz val="10"/>
        <rFont val="Tahoma"/>
        <family val="0"/>
        <charset val="1"/>
      </rPr>
      <t xml:space="preserve">.)</t>
    </r>
  </si>
  <si>
    <r>
      <rPr>
        <sz val="10"/>
        <rFont val="FreeSans"/>
        <family val="2"/>
      </rPr>
      <t xml:space="preserve">ไม่ต้องกรอก </t>
    </r>
    <r>
      <rPr>
        <sz val="10"/>
        <rFont val="Tahoma"/>
        <family val="0"/>
        <charset val="1"/>
      </rPr>
      <t xml:space="preserve">Excel — </t>
    </r>
    <r>
      <rPr>
        <sz val="10"/>
        <rFont val="FreeSans"/>
        <family val="2"/>
      </rPr>
      <t xml:space="preserve">ตัวเลขจากแอปเข้ามาเองทุก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</rPr>
      <t xml:space="preserve">นาที</t>
    </r>
  </si>
  <si>
    <r>
      <rPr>
        <b val="true"/>
        <sz val="11"/>
        <color rgb="FF1F4E78"/>
        <rFont val="FreeSans"/>
        <family val="2"/>
      </rPr>
      <t xml:space="preserve">ผู้บริหาร </t>
    </r>
    <r>
      <rPr>
        <b val="true"/>
        <sz val="11"/>
        <color rgb="FF1F4E78"/>
        <rFont val="Tahoma"/>
        <family val="0"/>
        <charset val="1"/>
      </rPr>
      <t xml:space="preserve">/ PM</t>
    </r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</si>
  <si>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</rPr>
      <t xml:space="preserve">ดูหมุดสำคัญ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ควรเสร็จ </t>
    </r>
    <r>
      <rPr>
        <sz val="10"/>
        <rFont val="Tahoma"/>
        <family val="0"/>
        <charset val="1"/>
      </rPr>
      <t xml:space="preserve">vs </t>
    </r>
    <r>
      <rPr>
        <sz val="10"/>
        <rFont val="FreeSans"/>
        <family val="2"/>
      </rPr>
      <t xml:space="preserve">เสร็จจริง และ </t>
    </r>
    <r>
      <rPr>
        <sz val="10"/>
        <rFont val="Tahoma"/>
        <family val="0"/>
        <charset val="1"/>
      </rPr>
      <t xml:space="preserve">COD</t>
    </r>
  </si>
  <si>
    <t xml:space="preserve">→ Milestone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</si>
  <si>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</rPr>
      <t xml:space="preserve">ดูความเสี่ยงระดับสูง และอนุมัติ </t>
    </r>
    <r>
      <rPr>
        <sz val="10"/>
        <rFont val="Tahoma"/>
        <family val="0"/>
        <charset val="1"/>
      </rPr>
      <t xml:space="preserve">CR </t>
    </r>
    <r>
      <rPr>
        <sz val="10"/>
        <rFont val="FreeSans"/>
        <family val="2"/>
      </rPr>
      <t xml:space="preserve">ที่รออยู่</t>
    </r>
  </si>
  <si>
    <t xml:space="preserve">→ ทะเบียนความเสี่ยง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</si>
  <si>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</rPr>
      <t xml:space="preserve">ดูแนวโน้มรายสัปดาห์</t>
    </r>
  </si>
  <si>
    <t xml:space="preserve">→ ประวัติสรุป</t>
  </si>
  <si>
    <r>
      <rPr>
        <b val="true"/>
        <sz val="11"/>
        <color rgb="FF1F4E78"/>
        <rFont val="FreeSans"/>
        <family val="2"/>
      </rPr>
      <t xml:space="preserve">หาสถานี</t>
    </r>
    <r>
      <rPr>
        <b val="true"/>
        <sz val="11"/>
        <color rgb="FF1F4E78"/>
        <rFont val="Tahoma"/>
        <family val="0"/>
        <charset val="1"/>
      </rPr>
      <t xml:space="preserve">: </t>
    </r>
    <r>
      <rPr>
        <b val="true"/>
        <sz val="11"/>
        <color rgb="FF1F4E78"/>
        <rFont val="FreeSans"/>
        <family val="2"/>
      </rPr>
      <t xml:space="preserve">กรองคอลัมน์ ผรม</t>
    </r>
    <r>
      <rPr>
        <b val="true"/>
        <sz val="11"/>
        <color rgb="FF1F4E78"/>
        <rFont val="Tahoma"/>
        <family val="0"/>
        <charset val="1"/>
      </rPr>
      <t xml:space="preserve">. / </t>
    </r>
    <r>
      <rPr>
        <b val="true"/>
        <sz val="11"/>
        <color rgb="FF1F4E78"/>
        <rFont val="FreeSans"/>
        <family val="2"/>
      </rPr>
      <t xml:space="preserve">วิศวกร แล้วคลิกรหัสเพื่อเปิดแผนของสถานีนั้น</t>
    </r>
  </si>
  <si>
    <t xml:space="preserve">รหัส</t>
  </si>
  <si>
    <t xml:space="preserve">สถานี</t>
  </si>
  <si>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</si>
  <si>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คาดการณ์</t>
    </r>
  </si>
  <si>
    <r>
      <rPr>
        <b val="true"/>
        <sz val="9"/>
        <color rgb="FFFFFFFF"/>
        <rFont val="FreeSans"/>
        <family val="2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</si>
  <si>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</si>
  <si>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งานถัดไป</t>
  </si>
  <si>
    <t xml:space="preserve">⚠ ตรวจข้อมูล</t>
  </si>
  <si>
    <t xml:space="preserve">P9-001</t>
  </si>
  <si>
    <r>
      <rPr>
        <sz val="9"/>
        <rFont val="FreeSans"/>
        <family val="2"/>
      </rPr>
      <t xml:space="preserve">แม่แบบ หลังคาลอนคู่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&lt; 200 kVA</t>
    </r>
  </si>
  <si>
    <t xml:space="preserve">01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</si>
  <si>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.01</t>
    </r>
  </si>
  <si>
    <t xml:space="preserve">P9-002</t>
  </si>
  <si>
    <r>
      <rPr>
        <sz val="9"/>
        <rFont val="FreeSans"/>
        <family val="2"/>
      </rPr>
      <t xml:space="preserve">แม่แบบ หลังคาลอนคู่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≥ 200 kVA</t>
    </r>
  </si>
  <si>
    <t xml:space="preserve">02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</si>
  <si>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.02</t>
    </r>
  </si>
  <si>
    <t xml:space="preserve">P9-003</t>
  </si>
  <si>
    <r>
      <rPr>
        <sz val="9"/>
        <rFont val="FreeSans"/>
        <family val="2"/>
      </rPr>
      <t xml:space="preserve">แม่แบบ หลังคาลอนคู่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&lt; 200 kVA</t>
    </r>
  </si>
  <si>
    <t xml:space="preserve">03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</si>
  <si>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.03</t>
    </r>
  </si>
  <si>
    <t xml:space="preserve">P9-004</t>
  </si>
  <si>
    <r>
      <rPr>
        <sz val="9"/>
        <rFont val="FreeSans"/>
        <family val="2"/>
      </rPr>
      <t xml:space="preserve">แม่แบบ หลังคาลอนคู่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≥ 200 kVA</t>
    </r>
  </si>
  <si>
    <t xml:space="preserve">04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</si>
  <si>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.04</t>
    </r>
  </si>
  <si>
    <t xml:space="preserve">P9-005</t>
  </si>
  <si>
    <r>
      <rPr>
        <sz val="9"/>
        <rFont val="FreeSans"/>
        <family val="2"/>
      </rPr>
      <t xml:space="preserve">แม่แบบ หลังคาเมทัลชีท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&lt; 200 kVA</t>
    </r>
  </si>
  <si>
    <t xml:space="preserve">05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</si>
  <si>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.05</t>
    </r>
  </si>
  <si>
    <t xml:space="preserve">P9-006</t>
  </si>
  <si>
    <r>
      <rPr>
        <sz val="9"/>
        <rFont val="FreeSans"/>
        <family val="2"/>
      </rPr>
      <t xml:space="preserve">แม่แบบ หลังคาเมทัลชีท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≥ 200 kVA</t>
    </r>
  </si>
  <si>
    <t xml:space="preserve">06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</si>
  <si>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.06</t>
    </r>
  </si>
  <si>
    <t xml:space="preserve">P9-007</t>
  </si>
  <si>
    <r>
      <rPr>
        <sz val="9"/>
        <rFont val="FreeSans"/>
        <family val="2"/>
      </rPr>
      <t xml:space="preserve">แม่แบบ หลังคาเมทัลชีท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&lt; 200 kVA</t>
    </r>
  </si>
  <si>
    <t xml:space="preserve">07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</si>
  <si>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.07</t>
    </r>
  </si>
  <si>
    <t xml:space="preserve">P9-008</t>
  </si>
  <si>
    <r>
      <rPr>
        <sz val="9"/>
        <rFont val="FreeSans"/>
        <family val="2"/>
      </rPr>
      <t xml:space="preserve">แม่แบบ หลังคาเมทัลชีท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≥ 200 kVA</t>
    </r>
  </si>
  <si>
    <t xml:space="preserve">08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</si>
  <si>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.08</t>
    </r>
  </si>
  <si>
    <t xml:space="preserve">P9-009</t>
  </si>
  <si>
    <r>
      <rPr>
        <sz val="9"/>
        <rFont val="FreeSans"/>
        <family val="2"/>
      </rPr>
      <t xml:space="preserve">แม่แบบ ถังน้ำใส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&lt; 200 kVA</t>
    </r>
  </si>
  <si>
    <t xml:space="preserve">09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</si>
  <si>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.09</t>
    </r>
  </si>
  <si>
    <t xml:space="preserve">P9-010</t>
  </si>
  <si>
    <r>
      <rPr>
        <sz val="9"/>
        <rFont val="FreeSans"/>
        <family val="2"/>
      </rPr>
      <t xml:space="preserve">แม่แบบ ถังน้ำใส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≥ 200 kVA</t>
    </r>
  </si>
  <si>
    <t xml:space="preserve">10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</si>
  <si>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.10</t>
    </r>
  </si>
  <si>
    <t xml:space="preserve">P9-011</t>
  </si>
  <si>
    <r>
      <rPr>
        <sz val="9"/>
        <rFont val="FreeSans"/>
        <family val="2"/>
      </rPr>
      <t xml:space="preserve">แม่แบบ ถังน้ำใส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&lt; 200 kVA</t>
    </r>
  </si>
  <si>
    <t xml:space="preserve">11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</si>
  <si>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.11</t>
    </r>
  </si>
  <si>
    <t xml:space="preserve">P9-012</t>
  </si>
  <si>
    <r>
      <rPr>
        <sz val="9"/>
        <rFont val="FreeSans"/>
        <family val="2"/>
      </rPr>
      <t xml:space="preserve">แม่แบบ ถังน้ำใส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≥ 200 kVA</t>
    </r>
  </si>
  <si>
    <t xml:space="preserve">12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</si>
  <si>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.12</t>
    </r>
  </si>
  <si>
    <t xml:space="preserve">P9-013</t>
  </si>
  <si>
    <r>
      <rPr>
        <sz val="9"/>
        <rFont val="FreeSans"/>
        <family val="2"/>
      </rPr>
      <t xml:space="preserve">แม่แบบ ถังดินกลบ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&lt; 200 kVA</t>
    </r>
  </si>
  <si>
    <t xml:space="preserve">13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</si>
  <si>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.13</t>
    </r>
  </si>
  <si>
    <t xml:space="preserve">P9-014</t>
  </si>
  <si>
    <r>
      <rPr>
        <sz val="9"/>
        <rFont val="FreeSans"/>
        <family val="2"/>
      </rPr>
      <t xml:space="preserve">แม่แบบ ถังดินกลบ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≥ 200 kVA</t>
    </r>
  </si>
  <si>
    <t xml:space="preserve">14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</si>
  <si>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.14</t>
    </r>
  </si>
  <si>
    <t xml:space="preserve">P9-015</t>
  </si>
  <si>
    <r>
      <rPr>
        <sz val="9"/>
        <rFont val="FreeSans"/>
        <family val="2"/>
      </rPr>
      <t xml:space="preserve">แม่แบบ ถังดินกลบ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&lt; 200 kVA</t>
    </r>
  </si>
  <si>
    <t xml:space="preserve">15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</si>
  <si>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.15</t>
    </r>
  </si>
  <si>
    <t xml:space="preserve">P9-016</t>
  </si>
  <si>
    <r>
      <rPr>
        <sz val="9"/>
        <rFont val="FreeSans"/>
        <family val="2"/>
      </rPr>
      <t xml:space="preserve">แม่แบบ ถังดินกลบ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≥ 200 kVA</t>
    </r>
  </si>
  <si>
    <t xml:space="preserve">16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</si>
  <si>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.16</t>
    </r>
  </si>
  <si>
    <t xml:space="preserve">P9-017</t>
  </si>
  <si>
    <r>
      <rPr>
        <sz val="9"/>
        <rFont val="FreeSans"/>
        <family val="2"/>
      </rPr>
      <t xml:space="preserve">แม่แบบ </t>
    </r>
    <r>
      <rPr>
        <sz val="9"/>
        <rFont val="Tahoma"/>
        <family val="0"/>
        <charset val="1"/>
      </rPr>
      <t xml:space="preserve">Carport,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&lt; 200 kVA</t>
    </r>
  </si>
  <si>
    <t xml:space="preserve">17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</si>
  <si>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.17</t>
    </r>
  </si>
  <si>
    <t xml:space="preserve">P9-018</t>
  </si>
  <si>
    <r>
      <rPr>
        <sz val="9"/>
        <rFont val="FreeSans"/>
        <family val="2"/>
      </rPr>
      <t xml:space="preserve">แม่แบบ </t>
    </r>
    <r>
      <rPr>
        <sz val="9"/>
        <rFont val="Tahoma"/>
        <family val="0"/>
        <charset val="1"/>
      </rPr>
      <t xml:space="preserve">Carport,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HV, Inverter ≥ 200 kVA</t>
    </r>
  </si>
  <si>
    <t xml:space="preserve">18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</si>
  <si>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.18</t>
    </r>
  </si>
  <si>
    <t xml:space="preserve">P9-019</t>
  </si>
  <si>
    <r>
      <rPr>
        <sz val="9"/>
        <rFont val="FreeSans"/>
        <family val="2"/>
      </rPr>
      <t xml:space="preserve">แม่แบบ </t>
    </r>
    <r>
      <rPr>
        <sz val="9"/>
        <rFont val="Tahoma"/>
        <family val="0"/>
        <charset val="1"/>
      </rPr>
      <t xml:space="preserve">Carport,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&lt; 200 kVA</t>
    </r>
  </si>
  <si>
    <t xml:space="preserve">19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</si>
  <si>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.19</t>
    </r>
  </si>
  <si>
    <t xml:space="preserve">P9-020</t>
  </si>
  <si>
    <r>
      <rPr>
        <sz val="9"/>
        <rFont val="FreeSans"/>
        <family val="2"/>
      </rPr>
      <t xml:space="preserve">แม่แบบ </t>
    </r>
    <r>
      <rPr>
        <sz val="9"/>
        <rFont val="Tahoma"/>
        <family val="0"/>
        <charset val="1"/>
      </rPr>
      <t xml:space="preserve">Carport,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LV, Inverter ≥ 200 kVA</t>
    </r>
  </si>
  <si>
    <t xml:space="preserve">20</t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</si>
  <si>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.20</t>
    </r>
  </si>
  <si>
    <t xml:space="preserve">อัปเดตความคืบหน้ารายสัปดาห์ – กรอกที่นี่ที่เดียว</t>
  </si>
  <si>
    <r>
      <rPr>
        <i val="true"/>
        <sz val="9"/>
        <color rgb="FF595959"/>
        <rFont val="FreeSans"/>
        <family val="2"/>
      </rPr>
      <t xml:space="preserve">ช่องเหลือง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ใส่ ‘วันที่’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วันเสร็จจริง หรือวันนัดถ้ายังไม่ถึง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</rPr>
      <t xml:space="preserve">หรือ ‘</t>
    </r>
    <r>
      <rPr>
        <i val="true"/>
        <sz val="9"/>
        <color rgb="FF595959"/>
        <rFont val="Tahoma"/>
        <family val="0"/>
        <charset val="1"/>
      </rPr>
      <t xml:space="preserve">Y’ = </t>
    </r>
    <r>
      <rPr>
        <i val="true"/>
        <sz val="9"/>
        <color rgb="FF595959"/>
        <rFont val="FreeSans"/>
        <family val="2"/>
      </rPr>
      <t xml:space="preserve">เสร็จแล้วแต่ไม่รู้วันที่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ปีเป็น ค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</rPr>
      <t xml:space="preserve">ศ</t>
    </r>
    <r>
      <rPr>
        <i val="true"/>
        <sz val="9"/>
        <color rgb="FF595959"/>
        <rFont val="Tahoma"/>
        <family val="0"/>
        <charset val="1"/>
      </rPr>
      <t xml:space="preserve">. 2026–2027 </t>
    </r>
    <r>
      <rPr>
        <i val="true"/>
        <sz val="9"/>
        <color rgb="FF595959"/>
        <rFont val="FreeSans"/>
        <family val="2"/>
      </rPr>
      <t xml:space="preserve">เท่านั้น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ระบบไม่รับปี พ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</rPr>
      <t xml:space="preserve">ศ</t>
    </r>
    <r>
      <rPr>
        <i val="true"/>
        <sz val="9"/>
        <color rgb="FF595959"/>
        <rFont val="Tahoma"/>
        <family val="0"/>
        <charset val="1"/>
      </rPr>
      <t xml:space="preserve">.), </t>
    </r>
    <r>
      <rPr>
        <i val="true"/>
        <sz val="9"/>
        <color rgb="FF595959"/>
        <rFont val="FreeSans"/>
        <family val="2"/>
      </rPr>
      <t xml:space="preserve">ส้ม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วันนัด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หลังวันที่ข้อมูล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เทา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ไม่ต้องทำ</t>
    </r>
    <r>
      <rPr>
        <i val="true"/>
        <sz val="9"/>
        <color rgb="FF595959"/>
        <rFont val="Tahoma"/>
        <family val="0"/>
        <charset val="1"/>
      </rPr>
      <t xml:space="preserve">, Master Plan </t>
    </r>
    <r>
      <rPr>
        <i val="true"/>
        <sz val="9"/>
        <color rgb="FF595959"/>
        <rFont val="FreeSans"/>
        <family val="2"/>
      </rPr>
      <t xml:space="preserve">และแผนรายโครงการอัปเดตทันที</t>
    </r>
  </si>
  <si>
    <r>
      <rPr>
        <b val="true"/>
        <sz val="10"/>
        <rFont val="FreeSans"/>
        <family val="2"/>
      </rPr>
      <t xml:space="preserve">วันที่ข้อมูล</t>
    </r>
    <r>
      <rPr>
        <b val="true"/>
        <sz val="10"/>
        <rFont val="Tahoma"/>
        <family val="0"/>
        <charset val="1"/>
      </rPr>
      <t xml:space="preserve">:</t>
    </r>
  </si>
  <si>
    <t xml:space="preserve">⚙ เปลี่ยนวันที่ข้อมูลที่ชีตสมมติฐาน</t>
  </si>
  <si>
    <r>
      <rPr>
        <b val="true"/>
        <sz val="9"/>
        <color rgb="FFFFFFFF"/>
        <rFont val="Tahoma"/>
        <family val="0"/>
        <charset val="1"/>
      </rPr>
      <t xml:space="preserve">Part 0 </t>
    </r>
    <r>
      <rPr>
        <b val="true"/>
        <sz val="9"/>
        <color rgb="FFFFFFFF"/>
        <rFont val="FreeSans"/>
        <family val="2"/>
      </rPr>
      <t xml:space="preserve">จัดหาและเตรียมงาน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0)</t>
    </r>
  </si>
  <si>
    <t xml:space="preserve">Part PERMIT</t>
  </si>
  <si>
    <r>
      <rPr>
        <b val="true"/>
        <sz val="9"/>
        <color rgb="FFFFFFFF"/>
        <rFont val="Tahoma"/>
        <family val="0"/>
        <charset val="1"/>
      </rPr>
      <t xml:space="preserve">Part </t>
    </r>
    <r>
      <rPr>
        <b val="true"/>
        <sz val="9"/>
        <color rgb="FFFFFFFF"/>
        <rFont val="FreeSans"/>
        <family val="2"/>
      </rPr>
      <t xml:space="preserve">ติดตั้งอุปกรณ์</t>
    </r>
  </si>
  <si>
    <r>
      <rPr>
        <b val="true"/>
        <sz val="9"/>
        <color rgb="FFFFFFFF"/>
        <rFont val="Tahoma"/>
        <family val="0"/>
        <charset val="1"/>
      </rPr>
      <t xml:space="preserve">Part </t>
    </r>
    <r>
      <rPr>
        <b val="true"/>
        <sz val="9"/>
        <color rgb="FFFFFFFF"/>
        <rFont val="FreeSans"/>
        <family val="2"/>
      </rPr>
      <t xml:space="preserve">การทดสอบ ส่งมอบ และ </t>
    </r>
    <r>
      <rPr>
        <b val="true"/>
        <sz val="9"/>
        <color rgb="FFFFFFFF"/>
        <rFont val="Tahoma"/>
        <family val="0"/>
        <charset val="1"/>
      </rPr>
      <t xml:space="preserve">PAC</t>
    </r>
  </si>
  <si>
    <r>
      <rPr>
        <b val="true"/>
        <sz val="9"/>
        <color rgb="FFFFFFFF"/>
        <rFont val="FreeSans"/>
        <family val="2"/>
      </rPr>
      <t xml:space="preserve">เขต 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</si>
  <si>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Admin</t>
  </si>
  <si>
    <t xml:space="preserve">รอบ</t>
  </si>
  <si>
    <r>
      <rPr>
        <b val="true"/>
        <sz val="8"/>
        <color rgb="FFFFFFFF"/>
        <rFont val="Tahoma"/>
        <family val="0"/>
        <charset val="1"/>
      </rPr>
      <t xml:space="preserve">0.1 </t>
    </r>
    <r>
      <rPr>
        <b val="true"/>
        <sz val="8"/>
        <color rgb="FFFFFFFF"/>
        <rFont val="FreeSans"/>
        <family val="2"/>
      </rPr>
      <t xml:space="preserve">บริหาร</t>
    </r>
    <r>
      <rPr>
        <b val="true"/>
        <sz val="8"/>
        <color rgb="FFFFFFFF"/>
        <rFont val="Tahoma"/>
        <family val="0"/>
        <charset val="1"/>
      </rPr>
      <t xml:space="preserve">/HSE/QA</t>
    </r>
  </si>
  <si>
    <r>
      <rPr>
        <b val="true"/>
        <sz val="8"/>
        <color rgb="FFFFFFFF"/>
        <rFont val="Tahoma"/>
        <family val="0"/>
        <charset val="1"/>
      </rPr>
      <t xml:space="preserve">0.2 </t>
    </r>
    <r>
      <rPr>
        <b val="true"/>
        <sz val="8"/>
        <color rgb="FFFFFFFF"/>
        <rFont val="FreeSans"/>
        <family val="2"/>
      </rPr>
      <t xml:space="preserve">รับแผง</t>
    </r>
    <r>
      <rPr>
        <b val="true"/>
        <sz val="8"/>
        <color rgb="FFFFFFFF"/>
        <rFont val="Tahoma"/>
        <family val="0"/>
        <charset val="1"/>
      </rPr>
      <t xml:space="preserve">/</t>
    </r>
    <r>
      <rPr>
        <b val="true"/>
        <sz val="8"/>
        <color rgb="FFFFFFFF"/>
        <rFont val="FreeSans"/>
        <family val="2"/>
      </rPr>
      <t xml:space="preserve">อุปกรณ์</t>
    </r>
  </si>
  <si>
    <r>
      <rPr>
        <b val="true"/>
        <sz val="8"/>
        <color rgb="FFFFFFFF"/>
        <rFont val="Tahoma"/>
        <family val="0"/>
        <charset val="1"/>
      </rPr>
      <t xml:space="preserve">0.3 </t>
    </r>
    <r>
      <rPr>
        <b val="true"/>
        <sz val="8"/>
        <color rgb="FFFFFFFF"/>
        <rFont val="FreeSans"/>
        <family val="2"/>
      </rPr>
      <t xml:space="preserve">หนังสือขอดับไฟ</t>
    </r>
  </si>
  <si>
    <t xml:space="preserve">1.1 Kick Off</t>
  </si>
  <si>
    <t xml:space="preserve">1.2 Eng. Approve</t>
  </si>
  <si>
    <r>
      <rPr>
        <b val="true"/>
        <sz val="8"/>
        <color rgb="FFFFFFFF"/>
        <rFont val="Tahoma"/>
        <family val="0"/>
        <charset val="1"/>
      </rPr>
      <t xml:space="preserve">1.3 </t>
    </r>
    <r>
      <rPr>
        <b val="true"/>
        <sz val="8"/>
        <color rgb="FFFFFFFF"/>
        <rFont val="FreeSans"/>
        <family val="2"/>
      </rPr>
      <t xml:space="preserve">ส่งมอบพื้นที่</t>
    </r>
  </si>
  <si>
    <r>
      <rPr>
        <b val="true"/>
        <sz val="8"/>
        <color rgb="FFFFFFFF"/>
        <rFont val="Tahoma"/>
        <family val="0"/>
        <charset val="1"/>
      </rPr>
      <t xml:space="preserve">1.4 </t>
    </r>
    <r>
      <rPr>
        <b val="true"/>
        <sz val="8"/>
        <color rgb="FFFFFFFF"/>
        <rFont val="FreeSans"/>
        <family val="2"/>
      </rPr>
      <t xml:space="preserve">อ</t>
    </r>
    <r>
      <rPr>
        <b val="true"/>
        <sz val="8"/>
        <color rgb="FFFFFFFF"/>
        <rFont val="Tahoma"/>
        <family val="0"/>
        <charset val="1"/>
      </rPr>
      <t xml:space="preserve">.1 / </t>
    </r>
    <r>
      <rPr>
        <b val="true"/>
        <sz val="8"/>
        <color rgb="FFFFFFFF"/>
        <rFont val="FreeSans"/>
        <family val="2"/>
      </rPr>
      <t xml:space="preserve">เทศบาล</t>
    </r>
  </si>
  <si>
    <r>
      <rPr>
        <b val="true"/>
        <sz val="8"/>
        <color rgb="FFFFFFFF"/>
        <rFont val="Tahoma"/>
        <family val="0"/>
        <charset val="1"/>
      </rPr>
      <t xml:space="preserve">1.5 </t>
    </r>
    <r>
      <rPr>
        <b val="true"/>
        <sz val="8"/>
        <color rgb="FFFFFFFF"/>
        <rFont val="FreeSans"/>
        <family val="2"/>
      </rPr>
      <t xml:space="preserve">ยื่น พค</t>
    </r>
    <r>
      <rPr>
        <b val="true"/>
        <sz val="8"/>
        <color rgb="FFFFFFFF"/>
        <rFont val="Tahoma"/>
        <family val="0"/>
        <charset val="1"/>
      </rPr>
      <t xml:space="preserve">.2</t>
    </r>
  </si>
  <si>
    <r>
      <rPr>
        <b val="true"/>
        <sz val="8"/>
        <color rgb="FFFFFFFF"/>
        <rFont val="Tahoma"/>
        <family val="0"/>
        <charset val="1"/>
      </rPr>
      <t xml:space="preserve">1.5.3 </t>
    </r>
    <r>
      <rPr>
        <b val="true"/>
        <sz val="8"/>
        <color rgb="FFFFFFFF"/>
        <rFont val="FreeSans"/>
        <family val="2"/>
      </rPr>
      <t xml:space="preserve">พพ</t>
    </r>
    <r>
      <rPr>
        <b val="true"/>
        <sz val="8"/>
        <color rgb="FFFFFFFF"/>
        <rFont val="Tahoma"/>
        <family val="0"/>
        <charset val="1"/>
      </rPr>
      <t xml:space="preserve">. </t>
    </r>
    <r>
      <rPr>
        <b val="true"/>
        <sz val="8"/>
        <color rgb="FFFFFFFF"/>
        <rFont val="FreeSans"/>
        <family val="2"/>
      </rPr>
      <t xml:space="preserve">ความเห็น</t>
    </r>
  </si>
  <si>
    <r>
      <rPr>
        <b val="true"/>
        <sz val="8"/>
        <color rgb="FFFFFFFF"/>
        <rFont val="Tahoma"/>
        <family val="0"/>
        <charset val="1"/>
      </rPr>
      <t xml:space="preserve">1.6 COP / </t>
    </r>
    <r>
      <rPr>
        <b val="true"/>
        <sz val="8"/>
        <color rgb="FFFFFFFF"/>
        <rFont val="FreeSans"/>
        <family val="2"/>
      </rPr>
      <t xml:space="preserve">แจ้ง กกพ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</si>
  <si>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1.7.1 </t>
    </r>
    <r>
      <rPr>
        <b val="true"/>
        <sz val="8"/>
        <color rgb="FFFFFFFF"/>
        <rFont val="FreeSans"/>
        <family val="2"/>
      </rPr>
      <t xml:space="preserve">ยื่น </t>
    </r>
    <r>
      <rPr>
        <b val="true"/>
        <sz val="8"/>
        <color rgb="FFFFFFFF"/>
        <rFont val="Tahoma"/>
        <family val="0"/>
        <charset val="1"/>
      </rPr>
      <t xml:space="preserve">PPIM</t>
    </r>
  </si>
  <si>
    <r>
      <rPr>
        <b val="true"/>
        <sz val="8"/>
        <color rgb="FFFFFFFF"/>
        <rFont val="Tahoma"/>
        <family val="0"/>
        <charset val="1"/>
      </rPr>
      <t xml:space="preserve">1.7.2 </t>
    </r>
    <r>
      <rPr>
        <b val="true"/>
        <sz val="8"/>
        <color rgb="FFFFFFFF"/>
        <rFont val="FreeSans"/>
        <family val="2"/>
      </rPr>
      <t xml:space="preserve">ยื่นแก้ไขล่าสุด</t>
    </r>
  </si>
  <si>
    <r>
      <rPr>
        <b val="true"/>
        <sz val="8"/>
        <color rgb="FFFFFFFF"/>
        <rFont val="Tahoma"/>
        <family val="0"/>
        <charset val="1"/>
      </rPr>
      <t xml:space="preserve">1.7.3 </t>
    </r>
    <r>
      <rPr>
        <b val="true"/>
        <sz val="8"/>
        <color rgb="FFFFFFFF"/>
        <rFont val="FreeSans"/>
        <family val="2"/>
      </rPr>
      <t xml:space="preserve">ผลพิจารณาแบบ</t>
    </r>
  </si>
  <si>
    <r>
      <rPr>
        <b val="true"/>
        <sz val="8"/>
        <color rgb="FFFFFFFF"/>
        <rFont val="Tahoma"/>
        <family val="0"/>
        <charset val="1"/>
      </rPr>
      <t xml:space="preserve">1.7.4 </t>
    </r>
    <r>
      <rPr>
        <b val="true"/>
        <sz val="8"/>
        <color rgb="FFFFFFFF"/>
        <rFont val="FreeSans"/>
        <family val="2"/>
      </rPr>
      <t xml:space="preserve">ชำระค่าธรรมเนียม</t>
    </r>
  </si>
  <si>
    <r>
      <rPr>
        <b val="true"/>
        <sz val="8"/>
        <color rgb="FFFFFFFF"/>
        <rFont val="Tahoma"/>
        <family val="0"/>
        <charset val="1"/>
      </rPr>
      <t xml:space="preserve">1.7.5 </t>
    </r>
    <r>
      <rPr>
        <b val="true"/>
        <sz val="8"/>
        <color rgb="FFFFFFFF"/>
        <rFont val="FreeSans"/>
        <family val="2"/>
      </rPr>
      <t xml:space="preserve">ขอตรวจระบบ</t>
    </r>
  </si>
  <si>
    <r>
      <rPr>
        <b val="true"/>
        <sz val="8"/>
        <color rgb="FFFFFFFF"/>
        <rFont val="Tahoma"/>
        <family val="0"/>
        <charset val="1"/>
      </rPr>
      <t xml:space="preserve">1.7.6 </t>
    </r>
    <r>
      <rPr>
        <b val="true"/>
        <sz val="8"/>
        <color rgb="FFFFFFFF"/>
        <rFont val="FreeSans"/>
        <family val="2"/>
      </rPr>
      <t xml:space="preserve">ขนานไฟ </t>
    </r>
    <r>
      <rPr>
        <b val="true"/>
        <sz val="8"/>
        <color rgb="FFFFFFFF"/>
        <rFont val="Tahoma"/>
        <family val="0"/>
        <charset val="1"/>
      </rPr>
      <t xml:space="preserve">COD</t>
    </r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</si>
  <si>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  <r>
      <rPr>
        <b val="true"/>
        <sz val="8"/>
        <color rgb="FFFFFFFF"/>
        <rFont val="Tahoma"/>
        <family val="0"/>
        <charset val="1"/>
      </rPr>
      <t xml:space="preserve">+Walkway</t>
    </r>
  </si>
  <si>
    <t xml:space="preserve">2.2 DC</t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</si>
  <si>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</t>
    </r>
  </si>
  <si>
    <t xml:space="preserve">2.4 FTS</t>
  </si>
  <si>
    <t xml:space="preserve">2.5 Inverter</t>
  </si>
  <si>
    <t xml:space="preserve">2.6 AC / MV</t>
  </si>
  <si>
    <r>
      <rPr>
        <b val="true"/>
        <sz val="8"/>
        <color rgb="FFFFFFFF"/>
        <rFont val="Tahoma"/>
        <family val="0"/>
        <charset val="1"/>
      </rPr>
      <t xml:space="preserve">2.7 </t>
    </r>
    <r>
      <rPr>
        <b val="true"/>
        <sz val="8"/>
        <color rgb="FFFFFFFF"/>
        <rFont val="FreeSans"/>
        <family val="2"/>
      </rPr>
      <t xml:space="preserve">ตู้ควบคุม</t>
    </r>
  </si>
  <si>
    <r>
      <rPr>
        <b val="true"/>
        <sz val="8"/>
        <color rgb="FFFFFFFF"/>
        <rFont val="Tahoma"/>
        <family val="0"/>
        <charset val="1"/>
      </rPr>
      <t xml:space="preserve">2.8 </t>
    </r>
    <r>
      <rPr>
        <b val="true"/>
        <sz val="8"/>
        <color rgb="FFFFFFFF"/>
        <rFont val="FreeSans"/>
        <family val="2"/>
      </rPr>
      <t xml:space="preserve">สื่อสาร</t>
    </r>
    <r>
      <rPr>
        <b val="true"/>
        <sz val="8"/>
        <color rgb="FFFFFFFF"/>
        <rFont val="Tahoma"/>
        <family val="0"/>
        <charset val="1"/>
      </rPr>
      <t xml:space="preserve">+ZE</t>
    </r>
  </si>
  <si>
    <r>
      <rPr>
        <b val="true"/>
        <sz val="8"/>
        <color rgb="FFFFFFFF"/>
        <rFont val="Tahoma"/>
        <family val="0"/>
        <charset val="1"/>
      </rPr>
      <t xml:space="preserve">2.9 Monitoring (</t>
    </r>
    <r>
      <rPr>
        <b val="true"/>
        <sz val="8"/>
        <color rgb="FFFFFFFF"/>
        <rFont val="FreeSans"/>
        <family val="2"/>
      </rPr>
      <t xml:space="preserve">ติดตั้ง</t>
    </r>
    <r>
      <rPr>
        <b val="true"/>
        <sz val="8"/>
        <color rgb="FFFFFFFF"/>
        <rFont val="Tahoma"/>
        <family val="0"/>
        <charset val="1"/>
      </rPr>
      <t xml:space="preserve">)</t>
    </r>
  </si>
  <si>
    <r>
      <rPr>
        <b val="true"/>
        <sz val="8"/>
        <color rgb="FFFFFFFF"/>
        <rFont val="Tahoma"/>
        <family val="0"/>
        <charset val="1"/>
      </rPr>
      <t xml:space="preserve">2.10 </t>
    </r>
    <r>
      <rPr>
        <b val="true"/>
        <sz val="8"/>
        <color rgb="FFFFFFFF"/>
        <rFont val="FreeSans"/>
        <family val="2"/>
      </rPr>
      <t xml:space="preserve">ดับไฟเชื่อมระบบ</t>
    </r>
  </si>
  <si>
    <t xml:space="preserve">3.1 IEC 62446</t>
  </si>
  <si>
    <r>
      <rPr>
        <b val="true"/>
        <sz val="8"/>
        <color rgb="FFFFFFFF"/>
        <rFont val="Tahoma"/>
        <family val="0"/>
        <charset val="1"/>
      </rPr>
      <t xml:space="preserve">3.1.7 </t>
    </r>
    <r>
      <rPr>
        <b val="true"/>
        <sz val="8"/>
        <color rgb="FFFFFFFF"/>
        <rFont val="FreeSans"/>
        <family val="2"/>
      </rPr>
      <t xml:space="preserve">ตรวจรับ กฟภ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</si>
  <si>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3.1.2 As-built </t>
    </r>
    <r>
      <rPr>
        <b val="true"/>
        <sz val="8"/>
        <color rgb="FFFFFFFF"/>
        <rFont val="FreeSans"/>
        <family val="2"/>
      </rPr>
      <t xml:space="preserve">ส่ง ผรม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</si>
  <si>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3.1.8 As-built </t>
    </r>
    <r>
      <rPr>
        <b val="true"/>
        <sz val="8"/>
        <color rgb="FFFFFFFF"/>
        <rFont val="FreeSans"/>
        <family val="2"/>
      </rPr>
      <t xml:space="preserve">ลงนาม</t>
    </r>
  </si>
  <si>
    <r>
      <rPr>
        <b val="true"/>
        <sz val="8"/>
        <color rgb="FFFFFFFF"/>
        <rFont val="Tahoma"/>
        <family val="0"/>
        <charset val="1"/>
      </rPr>
      <t xml:space="preserve">3.2 </t>
    </r>
    <r>
      <rPr>
        <b val="true"/>
        <sz val="8"/>
        <color rgb="FFFFFFFF"/>
        <rFont val="FreeSans"/>
        <family val="2"/>
      </rPr>
      <t xml:space="preserve">อบรม</t>
    </r>
    <r>
      <rPr>
        <b val="true"/>
        <sz val="8"/>
        <color rgb="FFFFFFFF"/>
        <rFont val="Tahoma"/>
        <family val="0"/>
        <charset val="1"/>
      </rPr>
      <t xml:space="preserve">/PAC</t>
    </r>
  </si>
  <si>
    <r>
      <rPr>
        <b val="true"/>
        <sz val="8"/>
        <color rgb="FFFFFFFF"/>
        <rFont val="Tahoma"/>
        <family val="0"/>
        <charset val="1"/>
      </rPr>
      <t xml:space="preserve">3.2.4 </t>
    </r>
    <r>
      <rPr>
        <b val="true"/>
        <sz val="8"/>
        <color rgb="FFFFFFFF"/>
        <rFont val="FreeSans"/>
        <family val="2"/>
      </rPr>
      <t xml:space="preserve">ส่งมอบงวด</t>
    </r>
  </si>
  <si>
    <r>
      <rPr>
        <b val="true"/>
        <sz val="8"/>
        <color rgb="FFFFFFFF"/>
        <rFont val="Tahoma"/>
        <family val="0"/>
        <charset val="1"/>
      </rPr>
      <t xml:space="preserve">3.2.5 C-Form </t>
    </r>
    <r>
      <rPr>
        <b val="true"/>
        <sz val="8"/>
        <color rgb="FFFFFFFF"/>
        <rFont val="FreeSans"/>
        <family val="2"/>
      </rPr>
      <t xml:space="preserve">ข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</si>
  <si>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3.2.6 C-Form </t>
    </r>
    <r>
      <rPr>
        <b val="true"/>
        <sz val="8"/>
        <color rgb="FFFFFFFF"/>
        <rFont val="FreeSans"/>
        <family val="2"/>
      </rPr>
      <t xml:space="preserve">ก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</si>
  <si>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3.2.7 Monitoring </t>
    </r>
    <r>
      <rPr>
        <b val="true"/>
        <sz val="8"/>
        <color rgb="FFFFFFFF"/>
        <rFont val="FreeSans"/>
        <family val="2"/>
      </rPr>
      <t xml:space="preserve">ออนระบบ</t>
    </r>
  </si>
  <si>
    <t xml:space="preserve">หมายเหตุสัปดาห์นี้</t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</si>
  <si>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.01</t>
    </r>
  </si>
  <si>
    <r>
      <rPr>
        <sz val="9"/>
        <rFont val="FreeSans"/>
        <family val="2"/>
      </rPr>
      <t xml:space="preserve">รอบ </t>
    </r>
    <r>
      <rPr>
        <sz val="9"/>
        <rFont val="Tahoma"/>
        <family val="0"/>
        <charset val="1"/>
      </rPr>
      <t xml:space="preserve">9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</si>
  <si>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.02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</si>
  <si>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.03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</si>
  <si>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.04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</si>
  <si>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.05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</si>
  <si>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.06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</si>
  <si>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.07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</si>
  <si>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.08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</si>
  <si>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.09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</si>
  <si>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.10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</si>
  <si>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.11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</si>
  <si>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.12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</si>
  <si>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.13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</si>
  <si>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.14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</si>
  <si>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.15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</si>
  <si>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.16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</si>
  <si>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.17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</si>
  <si>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.18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</si>
  <si>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.19</t>
    </r>
  </si>
  <si>
    <r>
      <rPr>
        <sz val="9"/>
        <rFont val="FreeSans"/>
        <family val="2"/>
      </rPr>
      <t xml:space="preserve">ตย</t>
    </r>
    <r>
      <rPr>
        <sz val="9"/>
        <rFont val="Tahoma"/>
        <family val="0"/>
        <charset val="1"/>
      </rPr>
      <t xml:space="preserve">.20</t>
    </r>
  </si>
  <si>
    <r>
      <rPr>
        <b val="true"/>
        <sz val="14"/>
        <color rgb="FF1F4E78"/>
        <rFont val="FreeSans"/>
        <family val="2"/>
      </rPr>
      <t xml:space="preserve">อัปเดตงาน </t>
    </r>
    <r>
      <rPr>
        <b val="true"/>
        <sz val="14"/>
        <color rgb="FF1F4E78"/>
        <rFont val="Tahoma"/>
        <family val="0"/>
        <charset val="1"/>
      </rPr>
      <t xml:space="preserve">WBS </t>
    </r>
    <r>
      <rPr>
        <b val="true"/>
        <sz val="14"/>
        <color rgb="FF1F4E78"/>
        <rFont val="FreeSans"/>
        <family val="2"/>
      </rPr>
      <t xml:space="preserve">รายสัปดาห์ – ทุกสถานีในหน้าเดียว</t>
    </r>
  </si>
  <si>
    <r>
      <rPr>
        <i val="true"/>
        <sz val="9"/>
        <color rgb="FF595959"/>
        <rFont val="FreeSans"/>
        <family val="2"/>
      </rPr>
      <t xml:space="preserve">สัปดาห์ละครั้ง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กรองคอลัมน์ ‘วิศวกร’ เป็นชื่อตัวเอง และ ‘ช่วงนี้’ → กรอกสถานะ </t>
    </r>
    <r>
      <rPr>
        <i val="true"/>
        <sz val="9"/>
        <color rgb="FF595959"/>
        <rFont val="Tahoma"/>
        <family val="0"/>
        <charset val="1"/>
      </rPr>
      <t xml:space="preserve">S = </t>
    </r>
    <r>
      <rPr>
        <i val="true"/>
        <sz val="9"/>
        <color rgb="FF595959"/>
        <rFont val="FreeSans"/>
        <family val="2"/>
      </rPr>
      <t xml:space="preserve">เริ่มแล้ว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นับ </t>
    </r>
    <r>
      <rPr>
        <i val="true"/>
        <sz val="9"/>
        <color rgb="FF595959"/>
        <rFont val="Tahoma"/>
        <family val="0"/>
        <charset val="1"/>
      </rPr>
      <t xml:space="preserve">50% </t>
    </r>
    <r>
      <rPr>
        <i val="true"/>
        <sz val="9"/>
        <color rgb="FF595959"/>
        <rFont val="FreeSans"/>
        <family val="2"/>
      </rPr>
      <t xml:space="preserve">เฉพาะงาน </t>
    </r>
    <r>
      <rPr>
        <i val="true"/>
        <sz val="9"/>
        <color rgb="FF595959"/>
        <rFont val="Tahoma"/>
        <family val="0"/>
        <charset val="1"/>
      </rPr>
      <t xml:space="preserve">50/50), Y = </t>
    </r>
    <r>
      <rPr>
        <i val="true"/>
        <sz val="9"/>
        <color rgb="FF595959"/>
        <rFont val="FreeSans"/>
        <family val="2"/>
      </rPr>
      <t xml:space="preserve">ครบตามเกณฑ์เสร็จ ทำหลายงานพร้อมกันได้ กรอก </t>
    </r>
    <r>
      <rPr>
        <i val="true"/>
        <sz val="9"/>
        <color rgb="FF595959"/>
        <rFont val="Tahoma"/>
        <family val="0"/>
        <charset val="1"/>
      </rPr>
      <t xml:space="preserve">S </t>
    </r>
    <r>
      <rPr>
        <i val="true"/>
        <sz val="9"/>
        <color rgb="FF595959"/>
        <rFont val="FreeSans"/>
        <family val="2"/>
      </rPr>
      <t xml:space="preserve">หลายแถวได้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ดูจากรายงานประจำวัน </t>
    </r>
    <r>
      <rPr>
        <i val="true"/>
        <sz val="9"/>
        <color rgb="FF595959"/>
        <rFont val="Tahoma"/>
        <family val="0"/>
        <charset val="1"/>
      </rPr>
      <t xml:space="preserve">(R2) </t>
    </r>
    <r>
      <rPr>
        <i val="true"/>
        <sz val="9"/>
        <color rgb="FF595959"/>
        <rFont val="FreeSans"/>
        <family val="2"/>
      </rPr>
      <t xml:space="preserve">และรูปในแอป </t>
    </r>
    <r>
      <rPr>
        <i val="true"/>
        <sz val="9"/>
        <color rgb="FF595959"/>
        <rFont val="Tahoma"/>
        <family val="0"/>
        <charset val="1"/>
      </rPr>
      <t xml:space="preserve">TCRoof, ICL </t>
    </r>
    <r>
      <rPr>
        <i val="true"/>
        <sz val="9"/>
        <color rgb="FF595959"/>
        <rFont val="FreeSans"/>
        <family val="2"/>
      </rPr>
      <t xml:space="preserve">ไม่ผ่าน → ลด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</rPr>
      <t xml:space="preserve">เป็น </t>
    </r>
    <r>
      <rPr>
        <i val="true"/>
        <sz val="9"/>
        <color rgb="FF595959"/>
        <rFont val="Tahoma"/>
        <family val="0"/>
        <charset val="1"/>
      </rPr>
      <t xml:space="preserve">S </t>
    </r>
    <r>
      <rPr>
        <i val="true"/>
        <sz val="9"/>
        <color rgb="FF595959"/>
        <rFont val="FreeSans"/>
        <family val="2"/>
      </rPr>
      <t xml:space="preserve">แล้วบันทึก </t>
    </r>
    <r>
      <rPr>
        <i val="true"/>
        <sz val="9"/>
        <color rgb="FF595959"/>
        <rFont val="Tahoma"/>
        <family val="0"/>
        <charset val="1"/>
      </rPr>
      <t xml:space="preserve">Cost of Quality</t>
    </r>
  </si>
  <si>
    <r>
      <rPr>
        <i val="true"/>
        <sz val="9"/>
        <color rgb="FF595959"/>
        <rFont val="FreeSans"/>
        <family val="2"/>
      </rPr>
      <t xml:space="preserve">ไม่ต้องกรอกที่นี่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หมุด ◆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ใส่วันที่ในชีตอัปเดตรายสัปดาห์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โครงสร้าง </t>
    </r>
    <r>
      <rPr>
        <i val="true"/>
        <sz val="9"/>
        <color rgb="FF595959"/>
        <rFont val="Tahoma"/>
        <family val="0"/>
        <charset val="1"/>
      </rPr>
      <t xml:space="preserve">/ DC / </t>
    </r>
    <r>
      <rPr>
        <i val="true"/>
        <sz val="9"/>
        <color rgb="FF595959"/>
        <rFont val="FreeSans"/>
        <family val="2"/>
      </rPr>
      <t xml:space="preserve">แผงของสถานีที่ระบุจุดติดตั้งแล้ว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ติ๊กรายจุดในชีตจุดติดตั้ง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ขั้นงาน </t>
    </r>
    <r>
      <rPr>
        <i val="true"/>
        <sz val="9"/>
        <color rgb="FF595959"/>
        <rFont val="Tahoma"/>
        <family val="0"/>
        <charset val="1"/>
      </rPr>
      <t xml:space="preserve">Inverter station (</t>
    </r>
    <r>
      <rPr>
        <i val="true"/>
        <sz val="9"/>
        <color rgb="FF595959"/>
        <rFont val="FreeSans"/>
        <family val="2"/>
      </rPr>
      <t xml:space="preserve">ชีตสถานี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งานที่ไม่เป็นชิ้นงาน เช่น ขนของ รอวัสดุ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ลงใน </t>
    </r>
    <r>
      <rPr>
        <i val="true"/>
        <sz val="9"/>
        <color rgb="FF595959"/>
        <rFont val="Tahoma"/>
        <family val="0"/>
        <charset val="1"/>
      </rPr>
      <t xml:space="preserve">R2 </t>
    </r>
    <r>
      <rPr>
        <i val="true"/>
        <sz val="9"/>
        <color rgb="FF595959"/>
        <rFont val="FreeSans"/>
        <family val="2"/>
      </rPr>
      <t xml:space="preserve">อย่างเดียว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</si>
  <si>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8"/>
        <color rgb="FF595959"/>
        <rFont val="FreeSans"/>
        <family val="2"/>
      </rPr>
      <t xml:space="preserve">ช่วงนี้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ยังไม่เสร็จ</t>
    </r>
    <r>
      <rPr>
        <sz val="8"/>
        <color rgb="FF595959"/>
        <rFont val="Tahoma"/>
        <family val="0"/>
        <charset val="1"/>
      </rPr>
      <t xml:space="preserve">)</t>
    </r>
  </si>
  <si>
    <t xml:space="preserve">เลยกำหนด</t>
  </si>
  <si>
    <r>
      <rPr>
        <sz val="8"/>
        <color rgb="FF595959"/>
        <rFont val="FreeSans"/>
        <family val="2"/>
      </rPr>
      <t xml:space="preserve">เริ่มแล้ว </t>
    </r>
    <r>
      <rPr>
        <sz val="8"/>
        <color rgb="FF595959"/>
        <rFont val="Tahoma"/>
        <family val="0"/>
        <charset val="1"/>
      </rPr>
      <t xml:space="preserve">(S)</t>
    </r>
  </si>
  <si>
    <r>
      <rPr>
        <sz val="8"/>
        <color rgb="FF595959"/>
        <rFont val="FreeSans"/>
        <family val="2"/>
      </rPr>
      <t xml:space="preserve">เสร็จ </t>
    </r>
    <r>
      <rPr>
        <sz val="8"/>
        <color rgb="FF595959"/>
        <rFont val="Tahoma"/>
        <family val="0"/>
        <charset val="1"/>
      </rPr>
      <t xml:space="preserve">(Y)</t>
    </r>
  </si>
  <si>
    <t xml:space="preserve">WBS</t>
  </si>
  <si>
    <t xml:space="preserve">ชิ้นงาน</t>
  </si>
  <si>
    <r>
      <rPr>
        <b val="true"/>
        <sz val="9"/>
        <color rgb="FFFFFFFF"/>
        <rFont val="FreeSans"/>
        <family val="2"/>
      </rPr>
      <t xml:space="preserve">เกณฑ์เสร็จ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ต้องมีหลักฐาน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</si>
  <si>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วิธีนับ</t>
  </si>
  <si>
    <r>
      <rPr>
        <b val="true"/>
        <sz val="9"/>
        <color rgb="FFFFFFFF"/>
        <rFont val="FreeSans"/>
        <family val="2"/>
      </rPr>
      <t xml:space="preserve">เริ่ม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</si>
  <si>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</si>
  <si>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ช่วงนี้</t>
  </si>
  <si>
    <r>
      <rPr>
        <b val="true"/>
        <sz val="9"/>
        <color rgb="FFFFFFFF"/>
        <rFont val="FreeSans"/>
        <family val="2"/>
      </rPr>
      <t xml:space="preserve">สถานะ
</t>
    </r>
    <r>
      <rPr>
        <b val="true"/>
        <sz val="9"/>
        <color rgb="FFFFFFFF"/>
        <rFont val="Tahoma"/>
        <family val="0"/>
        <charset val="1"/>
      </rPr>
      <t xml:space="preserve">(S / Y)</t>
    </r>
  </si>
  <si>
    <r>
      <rPr>
        <b val="true"/>
        <sz val="9"/>
        <color rgb="FFFFFFFF"/>
        <rFont val="FreeSans"/>
        <family val="2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หมายเหตุ</t>
    </r>
  </si>
  <si>
    <r>
      <rPr>
        <sz val="8"/>
        <rFont val="FreeSans"/>
        <family val="2"/>
      </rPr>
      <t xml:space="preserve">แม่แบบ หลังคาลอนคู่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</si>
  <si>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.01</t>
    </r>
  </si>
  <si>
    <t xml:space="preserve">0.1.1</t>
  </si>
  <si>
    <r>
      <rPr>
        <sz val="8"/>
        <rFont val="FreeSans"/>
        <family val="2"/>
      </rPr>
      <t xml:space="preserve">แผนบริหารโครงการ </t>
    </r>
    <r>
      <rPr>
        <sz val="8"/>
        <rFont val="Tahoma"/>
        <family val="0"/>
        <charset val="1"/>
      </rPr>
      <t xml:space="preserve">(PEP) + Baseline</t>
    </r>
  </si>
  <si>
    <r>
      <rPr>
        <sz val="8"/>
        <rFont val="FreeSans"/>
        <family val="2"/>
      </rPr>
      <t xml:space="preserve">ผู้ว่าจ้างอนุมัติ </t>
    </r>
    <r>
      <rPr>
        <sz val="8"/>
        <rFont val="Tahoma"/>
        <family val="0"/>
        <charset val="1"/>
      </rPr>
      <t xml:space="preserve">Baseline </t>
    </r>
    <r>
      <rPr>
        <sz val="8"/>
        <rFont val="FreeSans"/>
        <family val="2"/>
      </rPr>
      <t xml:space="preserve">ก่อนเริ่มรายงาน </t>
    </r>
    <r>
      <rPr>
        <sz val="8"/>
        <rFont val="Tahoma"/>
        <family val="0"/>
        <charset val="1"/>
      </rPr>
      <t xml:space="preserve">S-Curve</t>
    </r>
  </si>
  <si>
    <t xml:space="preserve">0/100</t>
  </si>
  <si>
    <t xml:space="preserve">0.1.2</t>
  </si>
  <si>
    <r>
      <rPr>
        <sz val="8"/>
        <rFont val="FreeSans"/>
        <family val="2"/>
      </rPr>
      <t xml:space="preserve">แผนความปลอดภัย </t>
    </r>
    <r>
      <rPr>
        <sz val="8"/>
        <rFont val="Tahoma"/>
        <family val="0"/>
        <charset val="1"/>
      </rPr>
      <t xml:space="preserve">(HSE Plan, JSA, Permit-to-Work)</t>
    </r>
  </si>
  <si>
    <r>
      <rPr>
        <sz val="8"/>
        <rFont val="FreeSans"/>
        <family val="2"/>
      </rPr>
      <t xml:space="preserve">แผน </t>
    </r>
    <r>
      <rPr>
        <sz val="8"/>
        <rFont val="Tahoma"/>
        <family val="0"/>
        <charset val="1"/>
      </rPr>
      <t xml:space="preserve">HSE </t>
    </r>
    <r>
      <rPr>
        <sz val="8"/>
        <rFont val="FreeSans"/>
        <family val="2"/>
      </rPr>
      <t xml:space="preserve">อนุมัติก่อนเข้าพื้นที่</t>
    </r>
  </si>
  <si>
    <t xml:space="preserve">0.1.3</t>
  </si>
  <si>
    <r>
      <rPr>
        <sz val="8"/>
        <rFont val="FreeSans"/>
        <family val="2"/>
      </rPr>
      <t xml:space="preserve">แผนคุณภาพ </t>
    </r>
    <r>
      <rPr>
        <sz val="8"/>
        <rFont val="Tahoma"/>
        <family val="0"/>
        <charset val="1"/>
      </rPr>
      <t xml:space="preserve">(PQP) + </t>
    </r>
    <r>
      <rPr>
        <sz val="8"/>
        <rFont val="FreeSans"/>
        <family val="2"/>
      </rPr>
      <t xml:space="preserve">แผนตรวจทดสอบ </t>
    </r>
    <r>
      <rPr>
        <sz val="8"/>
        <rFont val="Tahoma"/>
        <family val="0"/>
        <charset val="1"/>
      </rPr>
      <t xml:space="preserve">(ITP)</t>
    </r>
  </si>
  <si>
    <r>
      <rPr>
        <sz val="8"/>
        <rFont val="Tahoma"/>
        <family val="0"/>
        <charset val="1"/>
      </rPr>
      <t xml:space="preserve">ITP </t>
    </r>
    <r>
      <rPr>
        <sz val="8"/>
        <rFont val="FreeSans"/>
        <family val="2"/>
      </rPr>
      <t xml:space="preserve">อนุมัติ ใช้เป็นเกณฑ์ตรวจรับทุกงาน</t>
    </r>
  </si>
  <si>
    <t xml:space="preserve">0.1.4</t>
  </si>
  <si>
    <r>
      <rPr>
        <sz val="8"/>
        <rFont val="FreeSans"/>
        <family val="2"/>
      </rPr>
      <t xml:space="preserve">เอกสารขออนุมัติวัสดุ </t>
    </r>
    <r>
      <rPr>
        <sz val="8"/>
        <rFont val="Tahoma"/>
        <family val="0"/>
        <charset val="1"/>
      </rPr>
      <t xml:space="preserve">(Material submittal)</t>
    </r>
  </si>
  <si>
    <t xml:space="preserve">เอกสารอนุมัติวัสดุครบก่อนส่งของ</t>
  </si>
  <si>
    <t xml:space="preserve">0.1.5</t>
  </si>
  <si>
    <r>
      <rPr>
        <sz val="8"/>
        <rFont val="FreeSans"/>
        <family val="2"/>
      </rPr>
      <t xml:space="preserve">รายงานประจำ </t>
    </r>
    <r>
      <rPr>
        <sz val="8"/>
        <rFont val="Tahoma"/>
        <family val="0"/>
        <charset val="1"/>
      </rPr>
      <t xml:space="preserve">R1–R4</t>
    </r>
  </si>
  <si>
    <r>
      <rPr>
        <sz val="8"/>
        <rFont val="FreeSans"/>
        <family val="2"/>
      </rPr>
      <t xml:space="preserve">ส่งตรงเวลาทุกงวด</t>
    </r>
    <r>
      <rPr>
        <sz val="8"/>
        <rFont val="Tahoma"/>
        <family val="0"/>
        <charset val="1"/>
      </rPr>
      <t xml:space="preserve">, R2 </t>
    </r>
    <r>
      <rPr>
        <sz val="8"/>
        <rFont val="FreeSans"/>
        <family val="2"/>
      </rPr>
      <t xml:space="preserve">ลงนามรับทราบโดยวิศวกร</t>
    </r>
  </si>
  <si>
    <t xml:space="preserve">0.1.6</t>
  </si>
  <si>
    <r>
      <rPr>
        <sz val="8"/>
        <rFont val="FreeSans"/>
        <family val="2"/>
      </rPr>
      <t xml:space="preserve">การตรวจ </t>
    </r>
    <r>
      <rPr>
        <sz val="8"/>
        <rFont val="Tahoma"/>
        <family val="0"/>
        <charset val="1"/>
      </rPr>
      <t xml:space="preserve">HSE / NCR / Punch list </t>
    </r>
    <r>
      <rPr>
        <sz val="8"/>
        <rFont val="FreeSans"/>
        <family val="2"/>
      </rPr>
      <t xml:space="preserve">หน้างาน</t>
    </r>
  </si>
  <si>
    <r>
      <rPr>
        <sz val="8"/>
        <rFont val="Tahoma"/>
        <family val="0"/>
        <charset val="1"/>
      </rPr>
      <t xml:space="preserve">NCR </t>
    </r>
    <r>
      <rPr>
        <sz val="8"/>
        <rFont val="FreeSans"/>
        <family val="2"/>
      </rPr>
      <t xml:space="preserve">และ </t>
    </r>
    <r>
      <rPr>
        <sz val="8"/>
        <rFont val="Tahoma"/>
        <family val="0"/>
        <charset val="1"/>
      </rPr>
      <t xml:space="preserve">Punch list </t>
    </r>
    <r>
      <rPr>
        <sz val="8"/>
        <rFont val="FreeSans"/>
        <family val="2"/>
      </rPr>
      <t xml:space="preserve">ปิดครบก่อน </t>
    </r>
    <r>
      <rPr>
        <sz val="8"/>
        <rFont val="Tahoma"/>
        <family val="0"/>
        <charset val="1"/>
      </rPr>
      <t xml:space="preserve">PAC</t>
    </r>
  </si>
  <si>
    <t xml:space="preserve">0.2.1</t>
  </si>
  <si>
    <r>
      <rPr>
        <sz val="8"/>
        <rFont val="FreeSans"/>
        <family val="2"/>
      </rPr>
      <t xml:space="preserve">หนังสือส่งแผง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ใบเบิกจากคลัง</t>
    </r>
  </si>
  <si>
    <r>
      <rPr>
        <sz val="8"/>
        <rFont val="FreeSans"/>
        <family val="2"/>
      </rPr>
      <t xml:space="preserve">มีเลขที่หนังสือ </t>
    </r>
    <r>
      <rPr>
        <sz val="8"/>
        <rFont val="Tahoma"/>
        <family val="0"/>
        <charset val="1"/>
      </rPr>
      <t xml:space="preserve">(TC-PML-…)</t>
    </r>
  </si>
  <si>
    <t xml:space="preserve">0.2.2</t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</si>
  <si>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FAT Inverter / </t>
    </r>
    <r>
      <rPr>
        <sz val="8"/>
        <rFont val="FreeSans"/>
        <family val="2"/>
      </rPr>
      <t xml:space="preserve">ตู้ไฟ </t>
    </r>
    <r>
      <rPr>
        <sz val="8"/>
        <rFont val="Tahoma"/>
        <family val="0"/>
        <charset val="1"/>
      </rPr>
      <t xml:space="preserve">(+ CT/VT 22 kV)</t>
    </r>
  </si>
  <si>
    <r>
      <rPr>
        <sz val="8"/>
        <rFont val="FreeSans"/>
        <family val="2"/>
      </rPr>
      <t xml:space="preserve">ใบรับรอง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FAT </t>
    </r>
    <r>
      <rPr>
        <sz val="8"/>
        <rFont val="FreeSans"/>
        <family val="2"/>
      </rPr>
      <t xml:space="preserve">แนบในเอกสารสถานี</t>
    </r>
  </si>
  <si>
    <t xml:space="preserve">0.2.3</t>
  </si>
  <si>
    <r>
      <rPr>
        <sz val="8"/>
        <rFont val="FreeSans"/>
        <family val="2"/>
      </rPr>
      <t xml:space="preserve">แผง </t>
    </r>
    <r>
      <rPr>
        <sz val="8"/>
        <rFont val="Tahoma"/>
        <family val="0"/>
        <charset val="1"/>
      </rPr>
      <t xml:space="preserve">+ Inverter </t>
    </r>
    <r>
      <rPr>
        <sz val="8"/>
        <rFont val="FreeSans"/>
        <family val="2"/>
      </rPr>
      <t xml:space="preserve">ถึงหน้างาน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ตรวจรับ </t>
    </r>
    <r>
      <rPr>
        <sz val="8"/>
        <rFont val="Tahoma"/>
        <family val="0"/>
        <charset val="1"/>
      </rPr>
      <t xml:space="preserve">+ S/N)</t>
    </r>
  </si>
  <si>
    <r>
      <rPr>
        <sz val="8"/>
        <rFont val="FreeSans"/>
        <family val="2"/>
      </rPr>
      <t xml:space="preserve">จำนวนตรง </t>
    </r>
    <r>
      <rPr>
        <sz val="8"/>
        <rFont val="Tahoma"/>
        <family val="0"/>
        <charset val="1"/>
      </rPr>
      <t xml:space="preserve">BOM, </t>
    </r>
    <r>
      <rPr>
        <sz val="8"/>
        <rFont val="FreeSans"/>
        <family val="2"/>
      </rPr>
      <t xml:space="preserve">ไม่มีชำรุด</t>
    </r>
    <r>
      <rPr>
        <sz val="8"/>
        <rFont val="Tahoma"/>
        <family val="0"/>
        <charset val="1"/>
      </rPr>
      <t xml:space="preserve">, S/N </t>
    </r>
    <r>
      <rPr>
        <sz val="8"/>
        <rFont val="FreeSans"/>
        <family val="2"/>
      </rPr>
      <t xml:space="preserve">เข้าแอป</t>
    </r>
  </si>
  <si>
    <t xml:space="preserve">0.2.4</t>
  </si>
  <si>
    <r>
      <rPr>
        <sz val="8"/>
        <rFont val="FreeSans"/>
        <family val="2"/>
      </rPr>
      <t xml:space="preserve">โครงยึด </t>
    </r>
    <r>
      <rPr>
        <sz val="8"/>
        <rFont val="Tahoma"/>
        <family val="0"/>
        <charset val="1"/>
      </rPr>
      <t xml:space="preserve">+ Walkway </t>
    </r>
    <r>
      <rPr>
        <sz val="8"/>
        <rFont val="FreeSans"/>
        <family val="2"/>
      </rPr>
      <t xml:space="preserve">ถึงหน้างาน</t>
    </r>
  </si>
  <si>
    <r>
      <rPr>
        <sz val="8"/>
        <rFont val="FreeSans"/>
        <family val="2"/>
      </rPr>
      <t xml:space="preserve">ตรวจรับตาม </t>
    </r>
    <r>
      <rPr>
        <sz val="8"/>
        <rFont val="Tahoma"/>
        <family val="0"/>
        <charset val="1"/>
      </rPr>
      <t xml:space="preserve">shop drawing</t>
    </r>
  </si>
  <si>
    <t xml:space="preserve">0.2.5</t>
  </si>
  <si>
    <r>
      <rPr>
        <sz val="8"/>
        <rFont val="FreeSans"/>
        <family val="2"/>
      </rPr>
      <t xml:space="preserve">สายไฟ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รางสาย ถึงหน้างาน</t>
    </r>
  </si>
  <si>
    <r>
      <rPr>
        <sz val="8"/>
        <rFont val="FreeSans"/>
        <family val="2"/>
      </rPr>
      <t xml:space="preserve">ตรวจรับขนาด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ยี่ห้อตาม </t>
    </r>
    <r>
      <rPr>
        <sz val="8"/>
        <rFont val="Tahoma"/>
        <family val="0"/>
        <charset val="1"/>
      </rPr>
      <t xml:space="preserve">submittal</t>
    </r>
  </si>
  <si>
    <t xml:space="preserve">0.2.6</t>
  </si>
  <si>
    <r>
      <rPr>
        <sz val="8"/>
        <rFont val="FreeSans"/>
        <family val="2"/>
      </rPr>
      <t xml:space="preserve">ตู้ไฟ </t>
    </r>
    <r>
      <rPr>
        <sz val="8"/>
        <rFont val="Tahoma"/>
        <family val="0"/>
        <charset val="1"/>
      </rPr>
      <t xml:space="preserve">FTS / DC / AC / METER / PQM / SEM </t>
    </r>
    <r>
      <rPr>
        <sz val="8"/>
        <rFont val="FreeSans"/>
        <family val="2"/>
      </rPr>
      <t xml:space="preserve">ถึงหน้างาน</t>
    </r>
  </si>
  <si>
    <r>
      <rPr>
        <sz val="8"/>
        <rFont val="FreeSans"/>
        <family val="2"/>
      </rPr>
      <t xml:space="preserve">ตรวจรับภายในตู้ตามแบบ </t>
    </r>
    <r>
      <rPr>
        <sz val="8"/>
        <rFont val="Tahoma"/>
        <family val="0"/>
        <charset val="1"/>
      </rPr>
      <t xml:space="preserve">SLD</t>
    </r>
  </si>
  <si>
    <t xml:space="preserve">0.2.7</t>
  </si>
  <si>
    <r>
      <rPr>
        <sz val="8"/>
        <rFont val="FreeSans"/>
        <family val="2"/>
      </rPr>
      <t xml:space="preserve">อุปกรณ์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</rPr>
      <t xml:space="preserve">ถึงหน้างาน </t>
    </r>
    <r>
      <rPr>
        <sz val="8"/>
        <rFont val="Tahoma"/>
        <family val="0"/>
        <charset val="1"/>
      </rPr>
      <t xml:space="preserve">(VT / CT </t>
    </r>
    <r>
      <rPr>
        <sz val="8"/>
        <rFont val="FreeSans"/>
        <family val="2"/>
      </rPr>
      <t xml:space="preserve">ผ่านทดสอบ กฟภ</t>
    </r>
    <r>
      <rPr>
        <sz val="8"/>
        <rFont val="Tahoma"/>
        <family val="0"/>
        <charset val="1"/>
      </rPr>
      <t xml:space="preserve">.)</t>
    </r>
  </si>
  <si>
    <r>
      <rPr>
        <sz val="8"/>
        <rFont val="FreeSans"/>
        <family val="2"/>
      </rPr>
      <t xml:space="preserve">มีผลทดสอบ </t>
    </r>
    <r>
      <rPr>
        <sz val="8"/>
        <rFont val="Tahoma"/>
        <family val="0"/>
        <charset val="1"/>
      </rPr>
      <t xml:space="preserve">CT/VT</t>
    </r>
  </si>
  <si>
    <t xml:space="preserve">0.2.8</t>
  </si>
  <si>
    <r>
      <rPr>
        <sz val="8"/>
        <rFont val="FreeSans"/>
        <family val="2"/>
      </rPr>
      <t xml:space="preserve">มิเตอร์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อุปกรณ์สื่อสาร ถึงหน้างาน</t>
    </r>
  </si>
  <si>
    <t xml:space="preserve">ตรวจรับรุ่นตามแบบ</t>
  </si>
  <si>
    <t xml:space="preserve">0.3.1</t>
  </si>
  <si>
    <t xml:space="preserve">ร่างหนังสือแจ้งดับไฟ</t>
  </si>
  <si>
    <r>
      <rPr>
        <sz val="8"/>
        <rFont val="FreeSans"/>
        <family val="2"/>
      </rPr>
      <t xml:space="preserve">ร่างหนังสือ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ช่วงดับไฟที่ไม่กระทบการสูบจ่ายน้ำ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สาขายืนยัน</t>
    </r>
    <r>
      <rPr>
        <sz val="8"/>
        <rFont val="Tahoma"/>
        <family val="0"/>
        <charset val="1"/>
      </rPr>
      <t xml:space="preserve">)</t>
    </r>
  </si>
  <si>
    <t xml:space="preserve">0.3.2</t>
  </si>
  <si>
    <r>
      <rPr>
        <sz val="8"/>
        <rFont val="FreeSans"/>
        <family val="2"/>
      </rPr>
      <t xml:space="preserve">หนังสือแจ้งดับไฟ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ส่งล่วงหน้า ≥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</rPr>
      <t xml:space="preserve">วัน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</si>
  <si>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เลขที่ </t>
    </r>
    <r>
      <rPr>
        <sz val="8"/>
        <rFont val="Tahoma"/>
        <family val="0"/>
        <charset val="1"/>
      </rPr>
      <t xml:space="preserve">TC-PML-… </t>
    </r>
    <r>
      <rPr>
        <sz val="8"/>
        <rFont val="FreeSans"/>
        <family val="2"/>
      </rPr>
      <t xml:space="preserve">และวันส่ง</t>
    </r>
  </si>
  <si>
    <t xml:space="preserve">0.3.3</t>
  </si>
  <si>
    <r>
      <rPr>
        <sz val="8"/>
        <rFont val="FreeSans"/>
        <family val="2"/>
      </rPr>
      <t xml:space="preserve">วันดับไฟที่ยืนยันแล้ว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สาขา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กฟภ</t>
    </r>
    <r>
      <rPr>
        <sz val="8"/>
        <rFont val="Tahoma"/>
        <family val="0"/>
        <charset val="1"/>
      </rPr>
      <t xml:space="preserve">.)</t>
    </r>
  </si>
  <si>
    <r>
      <rPr>
        <sz val="8"/>
        <rFont val="FreeSans"/>
        <family val="2"/>
      </rPr>
      <t xml:space="preserve">วันดับไฟยืนยันเป็นลายลักษณ์อักษร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สาขา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กฟภ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ถ้า </t>
    </r>
    <r>
      <rPr>
        <sz val="8"/>
        <rFont val="Tahoma"/>
        <family val="0"/>
        <charset val="1"/>
      </rPr>
      <t xml:space="preserve">HV)</t>
    </r>
  </si>
  <si>
    <t xml:space="preserve">1.1.1</t>
  </si>
  <si>
    <r>
      <rPr>
        <sz val="8"/>
        <rFont val="FreeSans"/>
        <family val="2"/>
      </rPr>
      <t xml:space="preserve">บันทึกประชุม </t>
    </r>
    <r>
      <rPr>
        <sz val="8"/>
        <rFont val="Tahoma"/>
        <family val="0"/>
        <charset val="1"/>
      </rPr>
      <t xml:space="preserve">Kick off</t>
    </r>
  </si>
  <si>
    <r>
      <rPr>
        <sz val="8"/>
        <rFont val="FreeSans"/>
        <family val="2"/>
      </rPr>
      <t xml:space="preserve">บันทึกการประชุม </t>
    </r>
    <r>
      <rPr>
        <sz val="8"/>
        <rFont val="Tahoma"/>
        <family val="0"/>
        <charset val="1"/>
      </rPr>
      <t xml:space="preserve">(MOM) </t>
    </r>
    <r>
      <rPr>
        <sz val="8"/>
        <rFont val="FreeSans"/>
        <family val="2"/>
      </rPr>
      <t xml:space="preserve">ลงนามผู้เข้าร่วม</t>
    </r>
  </si>
  <si>
    <t xml:space="preserve">1.1.2</t>
  </si>
  <si>
    <r>
      <rPr>
        <sz val="8"/>
        <rFont val="FreeSans"/>
        <family val="2"/>
      </rPr>
      <t xml:space="preserve">งาน </t>
    </r>
    <r>
      <rPr>
        <sz val="8"/>
        <rFont val="Tahoma"/>
        <family val="0"/>
        <charset val="1"/>
      </rPr>
      <t xml:space="preserve">PWA </t>
    </r>
    <r>
      <rPr>
        <sz val="8"/>
        <rFont val="FreeSans"/>
        <family val="2"/>
      </rPr>
      <t xml:space="preserve">ในแอป </t>
    </r>
    <r>
      <rPr>
        <sz val="8"/>
        <rFont val="Tahoma"/>
        <family val="0"/>
        <charset val="1"/>
      </rPr>
      <t xml:space="preserve">TCRoof</t>
    </r>
  </si>
  <si>
    <r>
      <rPr>
        <sz val="8"/>
        <rFont val="FreeSans"/>
        <family val="2"/>
      </rPr>
      <t xml:space="preserve">งานในแอปครบ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งาน </t>
    </r>
    <r>
      <rPr>
        <sz val="8"/>
        <rFont val="Tahoma"/>
        <family val="0"/>
        <charset val="1"/>
      </rPr>
      <t xml:space="preserve">PWA, </t>
    </r>
    <r>
      <rPr>
        <sz val="8"/>
        <rFont val="FreeSans"/>
        <family val="2"/>
      </rPr>
      <t xml:space="preserve">เลข </t>
    </r>
    <r>
      <rPr>
        <sz val="8"/>
        <rFont val="Tahoma"/>
        <family val="0"/>
        <charset val="1"/>
      </rPr>
      <t xml:space="preserve">MP, </t>
    </r>
    <r>
      <rPr>
        <sz val="8"/>
        <rFont val="FreeSans"/>
        <family val="2"/>
      </rPr>
      <t xml:space="preserve">ขนาด </t>
    </r>
    <r>
      <rPr>
        <sz val="8"/>
        <rFont val="Tahoma"/>
        <family val="0"/>
        <charset val="1"/>
      </rPr>
      <t xml:space="preserve">Inverter, </t>
    </r>
    <r>
      <rPr>
        <sz val="8"/>
        <rFont val="FreeSans"/>
        <family val="2"/>
      </rPr>
      <t xml:space="preserve">ผู้รับเหมา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ทีม</t>
    </r>
  </si>
  <si>
    <t xml:space="preserve">1.1.3</t>
  </si>
  <si>
    <r>
      <rPr>
        <sz val="8"/>
        <rFont val="FreeSans"/>
        <family val="2"/>
      </rPr>
      <t xml:space="preserve">แบบสำรวจหน้างาน </t>
    </r>
    <r>
      <rPr>
        <sz val="8"/>
        <rFont val="Tahoma"/>
        <family val="0"/>
        <charset val="1"/>
      </rPr>
      <t xml:space="preserve">A1–E1 (REV 00)</t>
    </r>
  </si>
  <si>
    <r>
      <rPr>
        <sz val="8"/>
        <rFont val="FreeSans"/>
        <family val="2"/>
      </rPr>
      <t xml:space="preserve">แบบสำรวจ </t>
    </r>
    <r>
      <rPr>
        <sz val="8"/>
        <rFont val="Tahoma"/>
        <family val="0"/>
        <charset val="1"/>
      </rPr>
      <t xml:space="preserve">A1–E1 </t>
    </r>
    <r>
      <rPr>
        <sz val="8"/>
        <rFont val="FreeSans"/>
        <family val="2"/>
      </rPr>
      <t xml:space="preserve">ลงนาม </t>
    </r>
    <r>
      <rPr>
        <sz val="8"/>
        <rFont val="Tahoma"/>
        <family val="0"/>
        <charset val="1"/>
      </rPr>
      <t xml:space="preserve">2 </t>
    </r>
    <r>
      <rPr>
        <sz val="8"/>
        <rFont val="FreeSans"/>
        <family val="2"/>
      </rPr>
      <t xml:space="preserve">ฝ่าย ออก </t>
    </r>
    <r>
      <rPr>
        <sz val="8"/>
        <rFont val="Tahoma"/>
        <family val="0"/>
        <charset val="1"/>
      </rPr>
      <t xml:space="preserve">REV 00</t>
    </r>
  </si>
  <si>
    <t xml:space="preserve">1.2.1</t>
  </si>
  <si>
    <t xml:space="preserve">SLD + Layout + String sizing</t>
  </si>
  <si>
    <r>
      <rPr>
        <sz val="8"/>
        <rFont val="Tahoma"/>
        <family val="0"/>
        <charset val="1"/>
      </rPr>
      <t xml:space="preserve">SLD + Layout + String sizing </t>
    </r>
    <r>
      <rPr>
        <sz val="8"/>
        <rFont val="FreeSans"/>
        <family val="2"/>
      </rPr>
      <t xml:space="preserve">ลงนามวิศวกร</t>
    </r>
  </si>
  <si>
    <t xml:space="preserve">1.2.2</t>
  </si>
  <si>
    <r>
      <rPr>
        <sz val="8"/>
        <rFont val="FreeSans"/>
        <family val="2"/>
      </rPr>
      <t xml:space="preserve">รายการคำนวณไฟฟ้า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โครงสร้าง</t>
    </r>
  </si>
  <si>
    <r>
      <rPr>
        <sz val="8"/>
        <rFont val="FreeSans"/>
        <family val="2"/>
      </rPr>
      <t xml:space="preserve">รายการคำนวณไฟฟ้า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โยธาลงนาม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มีผลน้ำหนักบนหลังคา</t>
    </r>
    <r>
      <rPr>
        <sz val="8"/>
        <rFont val="Tahoma"/>
        <family val="0"/>
        <charset val="1"/>
      </rPr>
      <t xml:space="preserve">)</t>
    </r>
  </si>
  <si>
    <t xml:space="preserve">1.2.3</t>
  </si>
  <si>
    <r>
      <rPr>
        <sz val="8"/>
        <rFont val="FreeSans"/>
        <family val="2"/>
      </rPr>
      <t xml:space="preserve">ค่าตั้ง </t>
    </r>
    <r>
      <rPr>
        <sz val="8"/>
        <rFont val="Tahoma"/>
        <family val="0"/>
        <charset val="1"/>
      </rPr>
      <t xml:space="preserve">Protection / Zero export</t>
    </r>
  </si>
  <si>
    <r>
      <rPr>
        <sz val="8"/>
        <rFont val="FreeSans"/>
        <family val="2"/>
      </rPr>
      <t xml:space="preserve">ตารางค่าตั้ง </t>
    </r>
    <r>
      <rPr>
        <sz val="8"/>
        <rFont val="Tahoma"/>
        <family val="0"/>
        <charset val="1"/>
      </rPr>
      <t xml:space="preserve">Protection / Zero export </t>
    </r>
    <r>
      <rPr>
        <sz val="8"/>
        <rFont val="FreeSans"/>
        <family val="2"/>
      </rPr>
      <t xml:space="preserve">ลงนาม</t>
    </r>
  </si>
  <si>
    <t xml:space="preserve">1.2.4</t>
  </si>
  <si>
    <r>
      <rPr>
        <sz val="8"/>
        <rFont val="FreeSans"/>
        <family val="2"/>
      </rPr>
      <t xml:space="preserve">แบบที่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อนุมัติ </t>
    </r>
    <r>
      <rPr>
        <sz val="8"/>
        <rFont val="Tahoma"/>
        <family val="0"/>
        <charset val="1"/>
      </rPr>
      <t xml:space="preserve">(REV </t>
    </r>
    <r>
      <rPr>
        <sz val="8"/>
        <rFont val="FreeSans"/>
        <family val="2"/>
      </rPr>
      <t xml:space="preserve">ล่าสุด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</si>
  <si>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หนังสืออนุมัติแบบจาก กปภ</t>
    </r>
    <r>
      <rPr>
        <sz val="8"/>
        <rFont val="Tahoma"/>
        <family val="0"/>
        <charset val="1"/>
      </rPr>
      <t xml:space="preserve">. (REV </t>
    </r>
    <r>
      <rPr>
        <sz val="8"/>
        <rFont val="FreeSans"/>
        <family val="2"/>
      </rPr>
      <t xml:space="preserve">ล่าสุด</t>
    </r>
    <r>
      <rPr>
        <sz val="8"/>
        <rFont val="Tahoma"/>
        <family val="0"/>
        <charset val="1"/>
      </rPr>
      <t xml:space="preserve">)</t>
    </r>
  </si>
  <si>
    <t xml:space="preserve">1.3.1</t>
  </si>
  <si>
    <t xml:space="preserve">บันทึกส่งมอบพื้นที่</t>
  </si>
  <si>
    <r>
      <rPr>
        <sz val="8"/>
        <rFont val="FreeSans"/>
        <family val="2"/>
      </rPr>
      <t xml:space="preserve">บันทึกส่งมอบพื้นที่ลงนาม กปภ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</rPr>
      <t xml:space="preserve">สาขา</t>
    </r>
  </si>
  <si>
    <t xml:space="preserve">1.3.2</t>
  </si>
  <si>
    <r>
      <rPr>
        <sz val="8"/>
        <rFont val="FreeSans"/>
        <family val="2"/>
      </rPr>
      <t xml:space="preserve">สิ่งอำนวยความสะดวกหน้างาน </t>
    </r>
    <r>
      <rPr>
        <sz val="8"/>
        <rFont val="Tahoma"/>
        <family val="0"/>
        <charset val="1"/>
      </rPr>
      <t xml:space="preserve">(Mobilization)</t>
    </r>
  </si>
  <si>
    <r>
      <rPr>
        <sz val="8"/>
        <rFont val="Tahoma"/>
        <family val="0"/>
        <charset val="1"/>
      </rPr>
      <t xml:space="preserve">Site office / </t>
    </r>
    <r>
      <rPr>
        <sz val="8"/>
        <rFont val="FreeSans"/>
        <family val="2"/>
      </rPr>
      <t xml:space="preserve">ไฟ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</rPr>
      <t xml:space="preserve">น้ำชั่วคราว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กองวัสดุ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ป้ายพร้อม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รูปถ่าย</t>
    </r>
  </si>
  <si>
    <t xml:space="preserve">1.3.3</t>
  </si>
  <si>
    <r>
      <rPr>
        <sz val="8"/>
        <rFont val="FreeSans"/>
        <family val="2"/>
      </rPr>
      <t xml:space="preserve">คำขอปฏิบัติงาน </t>
    </r>
    <r>
      <rPr>
        <sz val="8"/>
        <rFont val="Tahoma"/>
        <family val="0"/>
        <charset val="1"/>
      </rPr>
      <t xml:space="preserve">R1 </t>
    </r>
    <r>
      <rPr>
        <sz val="8"/>
        <rFont val="FreeSans"/>
        <family val="2"/>
      </rPr>
      <t xml:space="preserve">ฉบับแรก</t>
    </r>
  </si>
  <si>
    <r>
      <rPr>
        <sz val="8"/>
        <rFont val="Tahoma"/>
        <family val="0"/>
        <charset val="1"/>
      </rPr>
      <t xml:space="preserve">R1 </t>
    </r>
    <r>
      <rPr>
        <sz val="8"/>
        <rFont val="FreeSans"/>
        <family val="2"/>
      </rPr>
      <t xml:space="preserve">ฉบับแรกอนุมัติโดย </t>
    </r>
    <r>
      <rPr>
        <sz val="8"/>
        <rFont val="Tahoma"/>
        <family val="0"/>
        <charset val="1"/>
      </rPr>
      <t xml:space="preserve">Inspector</t>
    </r>
  </si>
  <si>
    <t xml:space="preserve">1.4.1</t>
  </si>
  <si>
    <r>
      <rPr>
        <sz val="8"/>
        <rFont val="FreeSans"/>
        <family val="2"/>
      </rPr>
      <t xml:space="preserve">ผลตรวจน้ำหนักบนหลังคา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เลือก 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</rPr>
      <t xml:space="preserve">แจ้ง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</si>
  <si>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ผลคำนวณน้ำหนักบนหลังคา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เลือกขอ อ</t>
    </r>
    <r>
      <rPr>
        <sz val="8"/>
        <rFont val="Tahoma"/>
        <family val="0"/>
        <charset val="1"/>
      </rPr>
      <t xml:space="preserve">.1 </t>
    </r>
    <r>
      <rPr>
        <sz val="8"/>
        <rFont val="FreeSans"/>
        <family val="2"/>
      </rPr>
      <t xml:space="preserve">หรือแจ้ง</t>
    </r>
  </si>
  <si>
    <t xml:space="preserve">1.4.2</t>
  </si>
  <si>
    <r>
      <rPr>
        <sz val="8"/>
        <rFont val="FreeSans"/>
        <family val="2"/>
      </rPr>
      <t xml:space="preserve">ชุดเอกสารขออนุญาต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แจ้งเทศบาล</t>
    </r>
  </si>
  <si>
    <r>
      <rPr>
        <sz val="8"/>
        <rFont val="FreeSans"/>
        <family val="2"/>
      </rPr>
      <t xml:space="preserve">ชุดเอกสารครบตามรายการของเทศบาล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อบต</t>
    </r>
    <r>
      <rPr>
        <sz val="8"/>
        <rFont val="Tahoma"/>
        <family val="0"/>
        <charset val="1"/>
      </rPr>
      <t xml:space="preserve">.</t>
    </r>
  </si>
  <si>
    <t xml:space="preserve">1.4.3</t>
  </si>
  <si>
    <r>
      <rPr>
        <sz val="8"/>
        <rFont val="FreeSans"/>
        <family val="2"/>
      </rPr>
      <t xml:space="preserve">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</rPr>
      <t xml:space="preserve">หนังสือรับแจ้งเทศบาล</t>
    </r>
  </si>
  <si>
    <r>
      <rPr>
        <sz val="8"/>
        <rFont val="FreeSans"/>
        <family val="2"/>
      </rPr>
      <t xml:space="preserve">ใบรับคำขอ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ยื่น</t>
    </r>
    <r>
      <rPr>
        <sz val="8"/>
        <rFont val="Tahoma"/>
        <family val="0"/>
        <charset val="1"/>
      </rPr>
      <t xml:space="preserve">) → </t>
    </r>
    <r>
      <rPr>
        <sz val="8"/>
        <rFont val="FreeSans"/>
        <family val="2"/>
      </rPr>
      <t xml:space="preserve">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</rPr>
      <t xml:space="preserve">หนังสือรับแจ้ง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ได้รับ</t>
    </r>
    <r>
      <rPr>
        <sz val="8"/>
        <rFont val="Tahoma"/>
        <family val="0"/>
        <charset val="1"/>
      </rPr>
      <t xml:space="preserve">)</t>
    </r>
  </si>
  <si>
    <t xml:space="preserve">1.6.1</t>
  </si>
  <si>
    <r>
      <rPr>
        <sz val="8"/>
        <rFont val="FreeSans"/>
        <family val="2"/>
      </rPr>
      <t xml:space="preserve">ผลตรวจเกณฑ์ยกเว้น กกพ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</si>
  <si>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</rPr>
      <t xml:space="preserve">ผลตรวจเกณฑ์ยกเว้น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ช่องทางแจ้งที่เลือก</t>
    </r>
  </si>
  <si>
    <t xml:space="preserve">1.6.2</t>
  </si>
  <si>
    <r>
      <rPr>
        <sz val="8"/>
        <rFont val="FreeSans"/>
        <family val="2"/>
      </rPr>
      <t xml:space="preserve">หลักฐานแจ้งยกเว้น กกพ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</si>
  <si>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</rPr>
      <t xml:space="preserve">หลักฐานการแจ้ง กกพ</t>
    </r>
    <r>
      <rPr>
        <sz val="8"/>
        <rFont val="Tahoma"/>
        <family val="0"/>
        <charset val="1"/>
      </rPr>
      <t xml:space="preserve">. / </t>
    </r>
    <r>
      <rPr>
        <sz val="8"/>
        <rFont val="FreeSans"/>
        <family val="2"/>
      </rPr>
      <t xml:space="preserve">ชื่อบนเว็บ กกพ</t>
    </r>
    <r>
      <rPr>
        <sz val="8"/>
        <rFont val="Tahoma"/>
        <family val="0"/>
        <charset val="1"/>
      </rPr>
      <t xml:space="preserve">.</t>
    </r>
  </si>
  <si>
    <t xml:space="preserve">2.1.1</t>
  </si>
  <si>
    <r>
      <rPr>
        <sz val="8"/>
        <rFont val="FreeSans"/>
        <family val="2"/>
      </rPr>
      <t xml:space="preserve">ผังจุดยึด </t>
    </r>
    <r>
      <rPr>
        <sz val="8"/>
        <rFont val="Tahoma"/>
        <family val="0"/>
        <charset val="1"/>
      </rPr>
      <t xml:space="preserve">(Mark </t>
    </r>
    <r>
      <rPr>
        <sz val="8"/>
        <rFont val="FreeSans"/>
        <family val="2"/>
      </rPr>
      <t xml:space="preserve">ตาม </t>
    </r>
    <r>
      <rPr>
        <sz val="8"/>
        <rFont val="Tahoma"/>
        <family val="0"/>
        <charset val="1"/>
      </rPr>
      <t xml:space="preserve">shop drawing)</t>
    </r>
  </si>
  <si>
    <r>
      <rPr>
        <sz val="8"/>
        <rFont val="FreeSans"/>
        <family val="2"/>
      </rPr>
      <t xml:space="preserve">ผังจุดยึด </t>
    </r>
    <r>
      <rPr>
        <sz val="8"/>
        <rFont val="Tahoma"/>
        <family val="0"/>
        <charset val="1"/>
      </rPr>
      <t xml:space="preserve">/ Mark </t>
    </r>
    <r>
      <rPr>
        <sz val="8"/>
        <rFont val="FreeSans"/>
        <family val="2"/>
      </rPr>
      <t xml:space="preserve">ครบตาม </t>
    </r>
    <r>
      <rPr>
        <sz val="8"/>
        <rFont val="Tahoma"/>
        <family val="0"/>
        <charset val="1"/>
      </rPr>
      <t xml:space="preserve">shop drawing + </t>
    </r>
    <r>
      <rPr>
        <sz val="8"/>
        <rFont val="FreeSans"/>
        <family val="2"/>
      </rPr>
      <t xml:space="preserve">รูปถ่าย</t>
    </r>
  </si>
  <si>
    <t xml:space="preserve">2.1.2</t>
  </si>
  <si>
    <r>
      <rPr>
        <sz val="8"/>
        <rFont val="FreeSans"/>
        <family val="2"/>
      </rPr>
      <t xml:space="preserve">บันไดเซอร์วิส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ทางขึ้นลง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</rPr>
      <t xml:space="preserve">ชั่วคราว</t>
    </r>
  </si>
  <si>
    <r>
      <rPr>
        <sz val="8"/>
        <rFont val="FreeSans"/>
        <family val="2"/>
      </rPr>
      <t xml:space="preserve">บันไดตรวจรับแล้ว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ยึดผนังครบ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กรงต่อเนื่อง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ทาสีกันสนิม</t>
    </r>
    <r>
      <rPr>
        <sz val="8"/>
        <rFont val="Tahoma"/>
        <family val="0"/>
        <charset val="1"/>
      </rPr>
      <t xml:space="preserve">) </t>
    </r>
    <r>
      <rPr>
        <sz val="8"/>
        <rFont val="FreeSans"/>
        <family val="2"/>
      </rPr>
      <t xml:space="preserve">ก่อนใช้ขึ้นลง</t>
    </r>
  </si>
  <si>
    <t xml:space="preserve">2.1.3</t>
  </si>
  <si>
    <r>
      <rPr>
        <sz val="8"/>
        <rFont val="FreeSans"/>
        <family val="2"/>
      </rPr>
      <t xml:space="preserve">ฐานยึดโครงสร้าง </t>
    </r>
    <r>
      <rPr>
        <sz val="8"/>
        <rFont val="Tahoma"/>
        <family val="0"/>
        <charset val="1"/>
      </rPr>
      <t xml:space="preserve">(Hanger bolt / Kliplok / </t>
    </r>
    <r>
      <rPr>
        <sz val="8"/>
        <rFont val="FreeSans"/>
        <family val="2"/>
      </rPr>
      <t xml:space="preserve">พุก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</si>
  <si>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ฐานยึดครบทุกจุด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กันซึม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ฐานคอนกรีตบ่มครบ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</rPr>
      <t xml:space="preserve">วัน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ถ้ามี</t>
    </r>
    <r>
      <rPr>
        <sz val="8"/>
        <rFont val="Tahoma"/>
        <family val="0"/>
        <charset val="1"/>
      </rPr>
      <t xml:space="preserve">), </t>
    </r>
    <r>
      <rPr>
        <sz val="8"/>
        <rFont val="FreeSans"/>
        <family val="2"/>
      </rPr>
      <t xml:space="preserve">รูปถ่าย</t>
    </r>
  </si>
  <si>
    <t xml:space="preserve">2.1.4</t>
  </si>
  <si>
    <r>
      <rPr>
        <sz val="8"/>
        <rFont val="FreeSans"/>
        <family val="2"/>
      </rPr>
      <t xml:space="preserve">โครง </t>
    </r>
    <r>
      <rPr>
        <sz val="8"/>
        <rFont val="Tahoma"/>
        <family val="0"/>
        <charset val="1"/>
      </rPr>
      <t xml:space="preserve">Rail </t>
    </r>
    <r>
      <rPr>
        <sz val="8"/>
        <rFont val="FreeSans"/>
        <family val="2"/>
      </rPr>
      <t xml:space="preserve">อลูมิเนียม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ขันตามแรงบิด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</si>
  <si>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Rail / </t>
    </r>
    <r>
      <rPr>
        <sz val="8"/>
        <rFont val="FreeSans"/>
        <family val="2"/>
      </rPr>
      <t xml:space="preserve">โครงครบ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บันทึกแรงขัน </t>
    </r>
    <r>
      <rPr>
        <sz val="8"/>
        <rFont val="Tahoma"/>
        <family val="0"/>
        <charset val="1"/>
      </rPr>
      <t xml:space="preserve">(M8 12, M10 21 N·m)</t>
    </r>
  </si>
  <si>
    <t xml:space="preserve">2.1.5</t>
  </si>
  <si>
    <r>
      <rPr>
        <sz val="8"/>
        <rFont val="Tahoma"/>
        <family val="0"/>
        <charset val="1"/>
      </rPr>
      <t xml:space="preserve">Walkway HDG + Lifeline </t>
    </r>
    <r>
      <rPr>
        <sz val="8"/>
        <rFont val="FreeSans"/>
        <family val="2"/>
      </rPr>
      <t xml:space="preserve">ถาวร</t>
    </r>
  </si>
  <si>
    <r>
      <rPr>
        <sz val="8"/>
        <rFont val="Tahoma"/>
        <family val="0"/>
        <charset val="1"/>
      </rPr>
      <t xml:space="preserve">Walkway </t>
    </r>
    <r>
      <rPr>
        <sz val="8"/>
        <rFont val="FreeSans"/>
        <family val="2"/>
      </rPr>
      <t xml:space="preserve">ยึดครบ ไม่โยก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</rPr>
      <t xml:space="preserve">ตึง </t>
    </r>
    <r>
      <rPr>
        <sz val="8"/>
        <rFont val="Tahoma"/>
        <family val="0"/>
        <charset val="1"/>
      </rPr>
      <t xml:space="preserve">clips </t>
    </r>
    <r>
      <rPr>
        <sz val="8"/>
        <rFont val="FreeSans"/>
        <family val="2"/>
      </rPr>
      <t xml:space="preserve">ครบสองปลาย</t>
    </r>
  </si>
  <si>
    <t xml:space="preserve">2.1.6</t>
  </si>
  <si>
    <r>
      <rPr>
        <sz val="8"/>
        <rFont val="FreeSans"/>
        <family val="2"/>
      </rPr>
      <t xml:space="preserve">ท่อน้ำล้างแผง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ก๊อก</t>
    </r>
  </si>
  <si>
    <r>
      <rPr>
        <sz val="8"/>
        <rFont val="FreeSans"/>
        <family val="2"/>
      </rPr>
      <t xml:space="preserve">ท่อน้ำ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ก๊อกครบ ทดสอบไม่รั่ว</t>
    </r>
  </si>
  <si>
    <t xml:space="preserve">2.1.7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</si>
  <si>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</si>
  <si>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โครงสร้างลงนาม วศ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</rPr>
      <t xml:space="preserve">ทุกจุดติดตั้ง</t>
    </r>
    <r>
      <rPr>
        <sz val="8"/>
        <rFont val="Tahoma"/>
        <family val="0"/>
        <charset val="1"/>
      </rPr>
      <t xml:space="preserve">)</t>
    </r>
  </si>
  <si>
    <t xml:space="preserve">2.2.1</t>
  </si>
  <si>
    <r>
      <rPr>
        <sz val="8"/>
        <rFont val="FreeSans"/>
        <family val="2"/>
      </rPr>
      <t xml:space="preserve">รางเดินสาย </t>
    </r>
    <r>
      <rPr>
        <sz val="8"/>
        <rFont val="Tahoma"/>
        <family val="0"/>
        <charset val="1"/>
      </rPr>
      <t xml:space="preserve">DC (Tray / Steel support)</t>
    </r>
  </si>
  <si>
    <r>
      <rPr>
        <sz val="8"/>
        <rFont val="Tahoma"/>
        <family val="0"/>
        <charset val="1"/>
      </rPr>
      <t xml:space="preserve">Tray / </t>
    </r>
    <r>
      <rPr>
        <sz val="8"/>
        <rFont val="FreeSans"/>
        <family val="2"/>
      </rPr>
      <t xml:space="preserve">รางครบตามแนว มีฝาครบ </t>
    </r>
    <r>
      <rPr>
        <sz val="8"/>
        <rFont val="Tahoma"/>
        <family val="0"/>
        <charset val="1"/>
      </rPr>
      <t xml:space="preserve">+ Hold-down clamp </t>
    </r>
    <r>
      <rPr>
        <sz val="8"/>
        <rFont val="FreeSans"/>
        <family val="2"/>
      </rPr>
      <t xml:space="preserve">ทุกจุด</t>
    </r>
  </si>
  <si>
    <t xml:space="preserve">2.2.2</t>
  </si>
  <si>
    <r>
      <rPr>
        <sz val="8"/>
        <rFont val="FreeSans"/>
        <family val="2"/>
      </rPr>
      <t xml:space="preserve">สาย </t>
    </r>
    <r>
      <rPr>
        <sz val="8"/>
        <rFont val="Tahoma"/>
        <family val="0"/>
        <charset val="1"/>
      </rPr>
      <t xml:space="preserve">PV + MC4 + </t>
    </r>
    <r>
      <rPr>
        <sz val="8"/>
        <rFont val="FreeSans"/>
        <family val="2"/>
      </rPr>
      <t xml:space="preserve">ป้ายสาย</t>
    </r>
  </si>
  <si>
    <r>
      <rPr>
        <sz val="8"/>
        <rFont val="FreeSans"/>
        <family val="2"/>
      </rPr>
      <t xml:space="preserve">สาย </t>
    </r>
    <r>
      <rPr>
        <sz val="8"/>
        <rFont val="Tahoma"/>
        <family val="0"/>
        <charset val="1"/>
      </rPr>
      <t xml:space="preserve">PV </t>
    </r>
    <r>
      <rPr>
        <sz val="8"/>
        <rFont val="FreeSans"/>
        <family val="2"/>
      </rPr>
      <t xml:space="preserve">ครบทุกสตริง </t>
    </r>
    <r>
      <rPr>
        <sz val="8"/>
        <rFont val="Tahoma"/>
        <family val="0"/>
        <charset val="1"/>
      </rPr>
      <t xml:space="preserve">+ MC4 + Label </t>
    </r>
    <r>
      <rPr>
        <sz val="8"/>
        <rFont val="FreeSans"/>
        <family val="2"/>
      </rPr>
      <t xml:space="preserve">ตาม </t>
    </r>
    <r>
      <rPr>
        <sz val="8"/>
        <rFont val="Tahoma"/>
        <family val="0"/>
        <charset val="1"/>
      </rPr>
      <t xml:space="preserve">String map</t>
    </r>
  </si>
  <si>
    <t xml:space="preserve">2.2.3</t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</si>
  <si>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(Fuse + SPD)</t>
    </r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</si>
  <si>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</t>
    </r>
    <r>
      <rPr>
        <sz val="8"/>
        <rFont val="FreeSans"/>
        <family val="2"/>
      </rPr>
      <t xml:space="preserve">ครบ</t>
    </r>
    <r>
      <rPr>
        <sz val="8"/>
        <rFont val="Tahoma"/>
        <family val="0"/>
        <charset val="1"/>
      </rPr>
      <t xml:space="preserve">: Fuse </t>
    </r>
    <r>
      <rPr>
        <sz val="8"/>
        <rFont val="FreeSans"/>
        <family val="2"/>
      </rPr>
      <t xml:space="preserve">ทุกสตริง</t>
    </r>
    <r>
      <rPr>
        <sz val="8"/>
        <rFont val="Tahoma"/>
        <family val="0"/>
        <charset val="1"/>
      </rPr>
      <t xml:space="preserve">, SPD </t>
    </r>
    <r>
      <rPr>
        <sz val="8"/>
        <rFont val="FreeSans"/>
        <family val="2"/>
      </rPr>
      <t xml:space="preserve">ถูกชนิด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ป้ายชื่อ</t>
    </r>
    <r>
      <rPr>
        <sz val="8"/>
        <rFont val="Tahoma"/>
        <family val="0"/>
        <charset val="1"/>
      </rPr>
      <t xml:space="preserve">, IP65 </t>
    </r>
    <r>
      <rPr>
        <sz val="8"/>
        <rFont val="FreeSans"/>
        <family val="2"/>
      </rPr>
      <t xml:space="preserve">ถ้าอยู่นอกอาคาร</t>
    </r>
  </si>
  <si>
    <t xml:space="preserve">2.2.4</t>
  </si>
  <si>
    <r>
      <rPr>
        <sz val="8"/>
        <rFont val="FreeSans"/>
        <family val="2"/>
      </rPr>
      <t xml:space="preserve">ระบบต่อลงดินโครงแผง </t>
    </r>
    <r>
      <rPr>
        <sz val="8"/>
        <rFont val="Tahoma"/>
        <family val="0"/>
        <charset val="1"/>
      </rPr>
      <t xml:space="preserve">(Bonding)</t>
    </r>
  </si>
  <si>
    <r>
      <rPr>
        <sz val="8"/>
        <rFont val="Tahoma"/>
        <family val="0"/>
        <charset val="1"/>
      </rPr>
      <t xml:space="preserve">Bonding </t>
    </r>
    <r>
      <rPr>
        <sz val="8"/>
        <rFont val="FreeSans"/>
        <family val="2"/>
      </rPr>
      <t xml:space="preserve">ครบ </t>
    </r>
    <r>
      <rPr>
        <sz val="8"/>
        <rFont val="Tahoma"/>
        <family val="0"/>
        <charset val="1"/>
      </rPr>
      <t xml:space="preserve">Rail / Walkway / Ground lug + </t>
    </r>
    <r>
      <rPr>
        <sz val="8"/>
        <rFont val="FreeSans"/>
        <family val="2"/>
      </rPr>
      <t xml:space="preserve">สายดินขนาดตามแบบ </t>
    </r>
    <r>
      <rPr>
        <sz val="8"/>
        <rFont val="Tahoma"/>
        <family val="0"/>
        <charset val="1"/>
      </rPr>
      <t xml:space="preserve">E10</t>
    </r>
  </si>
  <si>
    <t xml:space="preserve">2.2.5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</si>
  <si>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ระบบ </t>
    </r>
    <r>
      <rPr>
        <sz val="8"/>
        <rFont val="Tahoma"/>
        <family val="0"/>
        <charset val="1"/>
      </rPr>
      <t xml:space="preserve">DC (Polarity / Continuity)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</si>
  <si>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ระบบ </t>
    </r>
    <r>
      <rPr>
        <sz val="8"/>
        <rFont val="Tahoma"/>
        <family val="0"/>
        <charset val="1"/>
      </rPr>
      <t xml:space="preserve">DC </t>
    </r>
    <r>
      <rPr>
        <sz val="8"/>
        <rFont val="FreeSans"/>
        <family val="2"/>
      </rPr>
      <t xml:space="preserve">ลงนาม วศ</t>
    </r>
    <r>
      <rPr>
        <sz val="8"/>
        <rFont val="Tahoma"/>
        <family val="0"/>
        <charset val="1"/>
      </rPr>
      <t xml:space="preserve">.</t>
    </r>
  </si>
  <si>
    <t xml:space="preserve">2.3.1</t>
  </si>
  <si>
    <r>
      <rPr>
        <sz val="8"/>
        <rFont val="FreeSans"/>
        <family val="2"/>
      </rPr>
      <t xml:space="preserve">แผงถึงจุดติดตั้ง </t>
    </r>
    <r>
      <rPr>
        <sz val="8"/>
        <rFont val="Tahoma"/>
        <family val="0"/>
        <charset val="1"/>
      </rPr>
      <t xml:space="preserve">(Lifting plan)</t>
    </r>
  </si>
  <si>
    <r>
      <rPr>
        <sz val="8"/>
        <rFont val="FreeSans"/>
        <family val="2"/>
      </rPr>
      <t xml:space="preserve">แผงถึงจุดติดตั้งครบตาม </t>
    </r>
    <r>
      <rPr>
        <sz val="8"/>
        <rFont val="Tahoma"/>
        <family val="0"/>
        <charset val="1"/>
      </rPr>
      <t xml:space="preserve">Lifting plan </t>
    </r>
    <r>
      <rPr>
        <sz val="8"/>
        <rFont val="FreeSans"/>
        <family val="2"/>
      </rPr>
      <t xml:space="preserve">ไม่มีแผงเสียหาย</t>
    </r>
  </si>
  <si>
    <t xml:space="preserve">2.3.2</t>
  </si>
  <si>
    <r>
      <rPr>
        <sz val="8"/>
        <rFont val="FreeSans"/>
        <family val="2"/>
      </rPr>
      <t xml:space="preserve">แผงบนโครง </t>
    </r>
    <r>
      <rPr>
        <sz val="8"/>
        <rFont val="Tahoma"/>
        <family val="0"/>
        <charset val="1"/>
      </rPr>
      <t xml:space="preserve">(Clamp </t>
    </r>
    <r>
      <rPr>
        <sz val="8"/>
        <rFont val="FreeSans"/>
        <family val="2"/>
      </rPr>
      <t xml:space="preserve">ตามแรงบิด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</si>
  <si>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แผงครบตาม </t>
    </r>
    <r>
      <rPr>
        <sz val="8"/>
        <rFont val="Tahoma"/>
        <family val="0"/>
        <charset val="1"/>
      </rPr>
      <t xml:space="preserve">Layout + </t>
    </r>
    <r>
      <rPr>
        <sz val="8"/>
        <rFont val="FreeSans"/>
        <family val="2"/>
      </rPr>
      <t xml:space="preserve">บันทึกแรงขัน </t>
    </r>
    <r>
      <rPr>
        <sz val="8"/>
        <rFont val="Tahoma"/>
        <family val="0"/>
        <charset val="1"/>
      </rPr>
      <t xml:space="preserve">Clamp</t>
    </r>
  </si>
  <si>
    <t xml:space="preserve">2.3.3</t>
  </si>
  <si>
    <r>
      <rPr>
        <sz val="8"/>
        <rFont val="Tahoma"/>
        <family val="0"/>
        <charset val="1"/>
      </rPr>
      <t xml:space="preserve">String </t>
    </r>
    <r>
      <rPr>
        <sz val="8"/>
        <rFont val="FreeSans"/>
        <family val="2"/>
      </rPr>
      <t xml:space="preserve">ต่อครบตาม </t>
    </r>
    <r>
      <rPr>
        <sz val="8"/>
        <rFont val="Tahoma"/>
        <family val="0"/>
        <charset val="1"/>
      </rPr>
      <t xml:space="preserve">String map</t>
    </r>
  </si>
  <si>
    <r>
      <rPr>
        <sz val="8"/>
        <rFont val="FreeSans"/>
        <family val="2"/>
      </rPr>
      <t xml:space="preserve">ต่อสายครบทุกสตริงตาม </t>
    </r>
    <r>
      <rPr>
        <sz val="8"/>
        <rFont val="Tahoma"/>
        <family val="0"/>
        <charset val="1"/>
      </rPr>
      <t xml:space="preserve">String map, Voc </t>
    </r>
    <r>
      <rPr>
        <sz val="8"/>
        <rFont val="FreeSans"/>
        <family val="2"/>
      </rPr>
      <t xml:space="preserve">ตรงตามคำนวณ</t>
    </r>
  </si>
  <si>
    <t xml:space="preserve">2.3.4</t>
  </si>
  <si>
    <r>
      <rPr>
        <sz val="8"/>
        <rFont val="Tahoma"/>
        <family val="0"/>
        <charset val="1"/>
      </rPr>
      <t xml:space="preserve">S/N </t>
    </r>
    <r>
      <rPr>
        <sz val="8"/>
        <rFont val="FreeSans"/>
        <family val="2"/>
      </rPr>
      <t xml:space="preserve">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ภาพมุมสูง</t>
    </r>
  </si>
  <si>
    <r>
      <rPr>
        <sz val="8"/>
        <rFont val="FreeSans"/>
        <family val="2"/>
      </rPr>
      <t xml:space="preserve">สแกน </t>
    </r>
    <r>
      <rPr>
        <sz val="8"/>
        <rFont val="Tahoma"/>
        <family val="0"/>
        <charset val="1"/>
      </rPr>
      <t xml:space="preserve">S/N </t>
    </r>
    <r>
      <rPr>
        <sz val="8"/>
        <rFont val="FreeSans"/>
        <family val="2"/>
      </rPr>
      <t xml:space="preserve">ครบทุกแผง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รูปมุมสูง</t>
    </r>
  </si>
  <si>
    <t xml:space="preserve">2.3.5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</si>
  <si>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แผง </t>
    </r>
    <r>
      <rPr>
        <sz val="8"/>
        <rFont val="Tahoma"/>
        <family val="0"/>
        <charset val="1"/>
      </rPr>
      <t xml:space="preserve">+ String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</si>
  <si>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แผงลงนาม วศ</t>
    </r>
    <r>
      <rPr>
        <sz val="8"/>
        <rFont val="Tahoma"/>
        <family val="0"/>
        <charset val="1"/>
      </rPr>
      <t xml:space="preserve">.</t>
    </r>
  </si>
  <si>
    <t xml:space="preserve">2.4.1</t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</si>
  <si>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FTS-DB (Rapid shutdown)</t>
    </r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</si>
  <si>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FTS-DB </t>
    </r>
    <r>
      <rPr>
        <sz val="8"/>
        <rFont val="FreeSans"/>
        <family val="2"/>
      </rPr>
      <t xml:space="preserve">ครบตาม </t>
    </r>
    <r>
      <rPr>
        <sz val="8"/>
        <rFont val="Tahoma"/>
        <family val="0"/>
        <charset val="1"/>
      </rPr>
      <t xml:space="preserve">E11 (4 </t>
    </r>
    <r>
      <rPr>
        <sz val="8"/>
        <rFont val="FreeSans"/>
        <family val="2"/>
      </rPr>
      <t xml:space="preserve">สตริงต่อ </t>
    </r>
    <r>
      <rPr>
        <sz val="8"/>
        <rFont val="Tahoma"/>
        <family val="0"/>
        <charset val="1"/>
      </rPr>
      <t xml:space="preserve">FTS)</t>
    </r>
  </si>
  <si>
    <t xml:space="preserve">2.4.2</t>
  </si>
  <si>
    <r>
      <rPr>
        <sz val="8"/>
        <rFont val="FreeSans"/>
        <family val="2"/>
      </rPr>
      <t xml:space="preserve">วงจรควบคุม </t>
    </r>
    <r>
      <rPr>
        <sz val="8"/>
        <rFont val="Tahoma"/>
        <family val="0"/>
        <charset val="1"/>
      </rPr>
      <t xml:space="preserve">E-Stop + </t>
    </r>
    <r>
      <rPr>
        <sz val="8"/>
        <rFont val="FreeSans"/>
        <family val="2"/>
      </rPr>
      <t xml:space="preserve">ป้ายเตือน</t>
    </r>
  </si>
  <si>
    <r>
      <rPr>
        <sz val="8"/>
        <rFont val="FreeSans"/>
        <family val="2"/>
      </rPr>
      <t xml:space="preserve">สายควบคุม </t>
    </r>
    <r>
      <rPr>
        <sz val="8"/>
        <rFont val="Tahoma"/>
        <family val="0"/>
        <charset val="1"/>
      </rPr>
      <t xml:space="preserve">+ E-Stop + </t>
    </r>
    <r>
      <rPr>
        <sz val="8"/>
        <rFont val="FreeSans"/>
        <family val="2"/>
      </rPr>
      <t xml:space="preserve">ป้ายเตือนครบ</t>
    </r>
  </si>
  <si>
    <t xml:space="preserve">2.5.1</t>
  </si>
  <si>
    <r>
      <rPr>
        <sz val="8"/>
        <rFont val="Tahoma"/>
        <family val="0"/>
        <charset val="1"/>
      </rPr>
      <t xml:space="preserve">Inverter station (</t>
    </r>
    <r>
      <rPr>
        <sz val="8"/>
        <rFont val="FreeSans"/>
        <family val="2"/>
      </rPr>
      <t xml:space="preserve">ฐาน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โรงเรือน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</si>
  <si>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Inverter station </t>
    </r>
    <r>
      <rPr>
        <sz val="8"/>
        <rFont val="FreeSans"/>
        <family val="2"/>
      </rPr>
      <t xml:space="preserve">ครบทุกขั้นตามรูปแบบ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ชีต </t>
    </r>
    <r>
      <rPr>
        <sz val="8"/>
        <rFont val="Tahoma"/>
        <family val="0"/>
        <charset val="1"/>
      </rPr>
      <t xml:space="preserve">Inverter station)</t>
    </r>
  </si>
  <si>
    <r>
      <rPr>
        <sz val="8"/>
        <rFont val="FreeSans"/>
        <family val="2"/>
      </rPr>
      <t xml:space="preserve">ตามขั้น </t>
    </r>
    <r>
      <rPr>
        <sz val="8"/>
        <rFont val="Tahoma"/>
        <family val="0"/>
        <charset val="1"/>
      </rPr>
      <t xml:space="preserve">Inverter station</t>
    </r>
  </si>
  <si>
    <t xml:space="preserve">2.5.2</t>
  </si>
  <si>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</rPr>
      <t xml:space="preserve">บน </t>
    </r>
    <r>
      <rPr>
        <sz val="8"/>
        <rFont val="Tahoma"/>
        <family val="0"/>
        <charset val="1"/>
      </rPr>
      <t xml:space="preserve">Rack + S/N</t>
    </r>
  </si>
  <si>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</rPr>
      <t xml:space="preserve">ครบทุกตัว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สแกน </t>
    </r>
    <r>
      <rPr>
        <sz val="8"/>
        <rFont val="Tahoma"/>
        <family val="0"/>
        <charset val="1"/>
      </rPr>
      <t xml:space="preserve">S/N</t>
    </r>
  </si>
  <si>
    <t xml:space="preserve">50/50</t>
  </si>
  <si>
    <t xml:space="preserve">2.5.3</t>
  </si>
  <si>
    <r>
      <rPr>
        <sz val="8"/>
        <rFont val="FreeSans"/>
        <family val="2"/>
      </rPr>
      <t xml:space="preserve">สาย </t>
    </r>
    <r>
      <rPr>
        <sz val="8"/>
        <rFont val="Tahoma"/>
        <family val="0"/>
        <charset val="1"/>
      </rPr>
      <t xml:space="preserve">AC Inverter → AC-DB</t>
    </r>
  </si>
  <si>
    <r>
      <rPr>
        <sz val="8"/>
        <rFont val="FreeSans"/>
        <family val="2"/>
      </rPr>
      <t xml:space="preserve">สาย </t>
    </r>
    <r>
      <rPr>
        <sz val="8"/>
        <rFont val="Tahoma"/>
        <family val="0"/>
        <charset val="1"/>
      </rPr>
      <t xml:space="preserve">Inverter → AC-DB </t>
    </r>
    <r>
      <rPr>
        <sz val="8"/>
        <rFont val="FreeSans"/>
        <family val="2"/>
      </rPr>
      <t xml:space="preserve">ครบ ขันขั้วตามค่า</t>
    </r>
  </si>
  <si>
    <t xml:space="preserve">2.5.4</t>
  </si>
  <si>
    <t xml:space="preserve">ICL Inverter</t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</si>
  <si>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Inverter </t>
    </r>
    <r>
      <rPr>
        <sz val="8"/>
        <rFont val="FreeSans"/>
        <family val="2"/>
      </rPr>
      <t xml:space="preserve">ลงนาม วศ</t>
    </r>
    <r>
      <rPr>
        <sz val="8"/>
        <rFont val="Tahoma"/>
        <family val="0"/>
        <charset val="1"/>
      </rPr>
      <t xml:space="preserve">.</t>
    </r>
  </si>
  <si>
    <t xml:space="preserve">2.6.1</t>
  </si>
  <si>
    <r>
      <rPr>
        <sz val="8"/>
        <rFont val="FreeSans"/>
        <family val="2"/>
      </rPr>
      <t xml:space="preserve">แนวสาย </t>
    </r>
    <r>
      <rPr>
        <sz val="8"/>
        <rFont val="Tahoma"/>
        <family val="0"/>
        <charset val="1"/>
      </rPr>
      <t xml:space="preserve">AC </t>
    </r>
    <r>
      <rPr>
        <sz val="8"/>
        <rFont val="FreeSans"/>
        <family val="2"/>
      </rPr>
      <t xml:space="preserve">ถึงจุดเชื่อม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ท่อ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ราง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สาย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</si>
  <si>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แนวท่อ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รางสาย </t>
    </r>
    <r>
      <rPr>
        <sz val="8"/>
        <rFont val="Tahoma"/>
        <family val="0"/>
        <charset val="1"/>
      </rPr>
      <t xml:space="preserve">AC </t>
    </r>
    <r>
      <rPr>
        <sz val="8"/>
        <rFont val="FreeSans"/>
        <family val="2"/>
      </rPr>
      <t xml:space="preserve">ครบ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สายถึงจุดเชื่อม</t>
    </r>
  </si>
  <si>
    <t xml:space="preserve">2.6.2</t>
  </si>
  <si>
    <r>
      <rPr>
        <sz val="8"/>
        <rFont val="Tahoma"/>
        <family val="0"/>
        <charset val="1"/>
      </rPr>
      <t xml:space="preserve">Breaker / Busbar </t>
    </r>
    <r>
      <rPr>
        <sz val="8"/>
        <rFont val="FreeSans"/>
        <family val="2"/>
      </rPr>
      <t xml:space="preserve">จุดเชื่อม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พร้อมวันดับไฟ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</si>
  <si>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Breaker / Busbar </t>
    </r>
    <r>
      <rPr>
        <sz val="8"/>
        <rFont val="FreeSans"/>
        <family val="2"/>
      </rPr>
      <t xml:space="preserve">พร้อมติดตั้งในวันดับไฟ</t>
    </r>
  </si>
  <si>
    <t xml:space="preserve">2.6.3</t>
  </si>
  <si>
    <r>
      <rPr>
        <sz val="8"/>
        <rFont val="FreeSans"/>
        <family val="2"/>
      </rPr>
      <t xml:space="preserve">ระบบดินฝั่ง </t>
    </r>
    <r>
      <rPr>
        <sz val="8"/>
        <rFont val="Tahoma"/>
        <family val="0"/>
        <charset val="1"/>
      </rPr>
      <t xml:space="preserve">AC (&lt; 5 Ω)</t>
    </r>
  </si>
  <si>
    <r>
      <rPr>
        <sz val="8"/>
        <rFont val="FreeSans"/>
        <family val="2"/>
      </rPr>
      <t xml:space="preserve">ผลวัดค่าดิน </t>
    </r>
    <r>
      <rPr>
        <sz val="8"/>
        <rFont val="Tahoma"/>
        <family val="0"/>
        <charset val="1"/>
      </rPr>
      <t xml:space="preserve">&lt; 5 Ω (</t>
    </r>
    <r>
      <rPr>
        <sz val="8"/>
        <rFont val="FreeSans"/>
        <family val="2"/>
      </rPr>
      <t xml:space="preserve">บันทึกค่า</t>
    </r>
    <r>
      <rPr>
        <sz val="8"/>
        <rFont val="Tahoma"/>
        <family val="0"/>
        <charset val="1"/>
      </rPr>
      <t xml:space="preserve">)</t>
    </r>
  </si>
  <si>
    <t xml:space="preserve">2.6.4</t>
  </si>
  <si>
    <r>
      <rPr>
        <sz val="8"/>
        <rFont val="FreeSans"/>
        <family val="2"/>
      </rPr>
      <t xml:space="preserve">ไฟแสงสว่าง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เต้ารับ </t>
    </r>
    <r>
      <rPr>
        <sz val="8"/>
        <rFont val="Tahoma"/>
        <family val="0"/>
        <charset val="1"/>
      </rPr>
      <t xml:space="preserve">Inverter station</t>
    </r>
  </si>
  <si>
    <r>
      <rPr>
        <sz val="8"/>
        <rFont val="FreeSans"/>
        <family val="2"/>
      </rPr>
      <t xml:space="preserve">ไฟแสงสว่าง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เต้ารับ </t>
    </r>
    <r>
      <rPr>
        <sz val="8"/>
        <rFont val="Tahoma"/>
        <family val="0"/>
        <charset val="1"/>
      </rPr>
      <t xml:space="preserve">Inverter station </t>
    </r>
    <r>
      <rPr>
        <sz val="8"/>
        <rFont val="FreeSans"/>
        <family val="2"/>
      </rPr>
      <t xml:space="preserve">ใช้งานได้</t>
    </r>
  </si>
  <si>
    <t xml:space="preserve">2.6.5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</si>
  <si>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ระบบ </t>
    </r>
    <r>
      <rPr>
        <sz val="8"/>
        <rFont val="Tahoma"/>
        <family val="0"/>
        <charset val="1"/>
      </rPr>
      <t xml:space="preserve">AC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</si>
  <si>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ระบบ </t>
    </r>
    <r>
      <rPr>
        <sz val="8"/>
        <rFont val="Tahoma"/>
        <family val="0"/>
        <charset val="1"/>
      </rPr>
      <t xml:space="preserve">AC + </t>
    </r>
    <r>
      <rPr>
        <sz val="8"/>
        <rFont val="FreeSans"/>
        <family val="2"/>
      </rPr>
      <t xml:space="preserve">ผลวัดค่าดิน</t>
    </r>
  </si>
  <si>
    <t xml:space="preserve">2.7.1</t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</si>
  <si>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AC-DB (MCCB, ELR, SPD, DPM)</t>
    </r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</si>
  <si>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AC-DB </t>
    </r>
    <r>
      <rPr>
        <sz val="8"/>
        <rFont val="FreeSans"/>
        <family val="2"/>
      </rPr>
      <t xml:space="preserve">ครบ</t>
    </r>
    <r>
      <rPr>
        <sz val="8"/>
        <rFont val="Tahoma"/>
        <family val="0"/>
        <charset val="1"/>
      </rPr>
      <t xml:space="preserve">: MCCB, ELR, SPD, DPM + </t>
    </r>
    <r>
      <rPr>
        <sz val="8"/>
        <rFont val="FreeSans"/>
        <family val="2"/>
      </rPr>
      <t xml:space="preserve">ป้ายชื่อ</t>
    </r>
  </si>
  <si>
    <t xml:space="preserve">2.7.2</t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</si>
  <si>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METER-DB (Revenue meter + CT 0.5S)</t>
    </r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</si>
  <si>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METER-DB + Revenue meter + VPN </t>
    </r>
    <r>
      <rPr>
        <sz val="8"/>
        <rFont val="FreeSans"/>
        <family val="2"/>
      </rPr>
      <t xml:space="preserve">ครบตาม </t>
    </r>
    <r>
      <rPr>
        <sz val="8"/>
        <rFont val="Tahoma"/>
        <family val="0"/>
        <charset val="1"/>
      </rPr>
      <t xml:space="preserve">E16</t>
    </r>
  </si>
  <si>
    <t xml:space="preserve">2.7.3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</si>
  <si>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AC-DB / METER-DB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</si>
  <si>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ตู้ควบคุมลงนาม วศ</t>
    </r>
    <r>
      <rPr>
        <sz val="8"/>
        <rFont val="Tahoma"/>
        <family val="0"/>
        <charset val="1"/>
      </rPr>
      <t xml:space="preserve">.</t>
    </r>
  </si>
  <si>
    <t xml:space="preserve">2.8.2</t>
  </si>
  <si>
    <r>
      <rPr>
        <sz val="8"/>
        <rFont val="FreeSans"/>
        <family val="2"/>
      </rPr>
      <t xml:space="preserve">ชุดอุปกรณ์กันย้อน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</rPr>
      <t xml:space="preserve">บนเสา </t>
    </r>
    <r>
      <rPr>
        <sz val="8"/>
        <rFont val="Tahoma"/>
        <family val="0"/>
        <charset val="1"/>
      </rPr>
      <t xml:space="preserve">(E18)</t>
    </r>
  </si>
  <si>
    <r>
      <rPr>
        <sz val="8"/>
        <rFont val="FreeSans"/>
        <family val="2"/>
      </rPr>
      <t xml:space="preserve">อุปกรณ์บนเสา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</rPr>
      <t xml:space="preserve">ครบตาม </t>
    </r>
    <r>
      <rPr>
        <sz val="8"/>
        <rFont val="Tahoma"/>
        <family val="0"/>
        <charset val="1"/>
      </rPr>
      <t xml:space="preserve">E18, </t>
    </r>
    <r>
      <rPr>
        <sz val="8"/>
        <rFont val="FreeSans"/>
        <family val="2"/>
      </rPr>
      <t xml:space="preserve">หลักดิน </t>
    </r>
    <r>
      <rPr>
        <sz val="8"/>
        <rFont val="Tahoma"/>
        <family val="0"/>
        <charset val="1"/>
      </rPr>
      <t xml:space="preserve">HV / LV </t>
    </r>
    <r>
      <rPr>
        <sz val="8"/>
        <rFont val="FreeSans"/>
        <family val="2"/>
      </rPr>
      <t xml:space="preserve">ตามระยะ</t>
    </r>
  </si>
  <si>
    <t xml:space="preserve">2.8.3</t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</si>
  <si>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PQM / Smart Energy Manager</t>
    </r>
  </si>
  <si>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PQM / SEM </t>
    </r>
    <r>
      <rPr>
        <sz val="8"/>
        <rFont val="FreeSans"/>
        <family val="2"/>
      </rPr>
      <t xml:space="preserve">ครบ อ่านค่าได้</t>
    </r>
  </si>
  <si>
    <t xml:space="preserve">2.8.4</t>
  </si>
  <si>
    <r>
      <rPr>
        <sz val="8"/>
        <rFont val="FreeSans"/>
        <family val="2"/>
      </rPr>
      <t xml:space="preserve">เครือข่ายสื่อสาร </t>
    </r>
    <r>
      <rPr>
        <sz val="8"/>
        <rFont val="Tahoma"/>
        <family val="0"/>
        <charset val="1"/>
      </rPr>
      <t xml:space="preserve">(Fiber / CAT6 / RS485 / VPN)</t>
    </r>
  </si>
  <si>
    <r>
      <rPr>
        <sz val="8"/>
        <rFont val="FreeSans"/>
        <family val="2"/>
      </rPr>
      <t xml:space="preserve">สื่อสารถึง </t>
    </r>
    <r>
      <rPr>
        <sz val="8"/>
        <rFont val="Tahoma"/>
        <family val="0"/>
        <charset val="1"/>
      </rPr>
      <t xml:space="preserve">Inverter / </t>
    </r>
    <r>
      <rPr>
        <sz val="8"/>
        <rFont val="FreeSans"/>
        <family val="2"/>
      </rPr>
      <t xml:space="preserve">มิเตอร์ครบ ทดสอบ </t>
    </r>
    <r>
      <rPr>
        <sz val="8"/>
        <rFont val="Tahoma"/>
        <family val="0"/>
        <charset val="1"/>
      </rPr>
      <t xml:space="preserve">ping </t>
    </r>
    <r>
      <rPr>
        <sz val="8"/>
        <rFont val="FreeSans"/>
        <family val="2"/>
      </rPr>
      <t xml:space="preserve">ได้</t>
    </r>
  </si>
  <si>
    <t xml:space="preserve">2.8.5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</si>
  <si>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สื่อสาร</t>
    </r>
  </si>
  <si>
    <r>
      <rPr>
        <sz val="8"/>
        <rFont val="FreeSans"/>
        <family val="2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กันย้อนลงนาม วศ</t>
    </r>
    <r>
      <rPr>
        <sz val="8"/>
        <rFont val="Tahoma"/>
        <family val="0"/>
        <charset val="1"/>
      </rPr>
      <t xml:space="preserve">.</t>
    </r>
  </si>
  <si>
    <t xml:space="preserve">2.9.1</t>
  </si>
  <si>
    <r>
      <rPr>
        <sz val="8"/>
        <rFont val="Tahoma"/>
        <family val="0"/>
        <charset val="1"/>
      </rPr>
      <t xml:space="preserve">Data logger </t>
    </r>
    <r>
      <rPr>
        <sz val="8"/>
        <rFont val="FreeSans"/>
        <family val="2"/>
      </rPr>
      <t xml:space="preserve">เชื่อม </t>
    </r>
    <r>
      <rPr>
        <sz val="8"/>
        <rFont val="Tahoma"/>
        <family val="0"/>
        <charset val="1"/>
      </rPr>
      <t xml:space="preserve">Data center </t>
    </r>
    <r>
      <rPr>
        <sz val="8"/>
        <rFont val="FreeSans"/>
        <family val="2"/>
      </rPr>
      <t xml:space="preserve">กปภ</t>
    </r>
    <r>
      <rPr>
        <sz val="8"/>
        <rFont val="Tahoma"/>
        <family val="0"/>
        <charset val="1"/>
      </rPr>
      <t xml:space="preserve">.</t>
    </r>
  </si>
  <si>
    <r>
      <rPr>
        <sz val="8"/>
        <rFont val="Tahoma"/>
        <family val="0"/>
        <charset val="1"/>
      </rPr>
      <t xml:space="preserve">Data logger </t>
    </r>
    <r>
      <rPr>
        <sz val="8"/>
        <rFont val="FreeSans"/>
        <family val="2"/>
      </rPr>
      <t xml:space="preserve">ส่งข้อมูลถึง </t>
    </r>
    <r>
      <rPr>
        <sz val="8"/>
        <rFont val="Tahoma"/>
        <family val="0"/>
        <charset val="1"/>
      </rPr>
      <t xml:space="preserve">Data center </t>
    </r>
    <r>
      <rPr>
        <sz val="8"/>
        <rFont val="FreeSans"/>
        <family val="2"/>
      </rPr>
      <t xml:space="preserve">กปภ</t>
    </r>
    <r>
      <rPr>
        <sz val="8"/>
        <rFont val="Tahoma"/>
        <family val="0"/>
        <charset val="1"/>
      </rPr>
      <t xml:space="preserve">.</t>
    </r>
  </si>
  <si>
    <t xml:space="preserve">2.9.2</t>
  </si>
  <si>
    <r>
      <rPr>
        <sz val="8"/>
        <rFont val="FreeSans"/>
        <family val="2"/>
      </rPr>
      <t xml:space="preserve">ผลทดสอบส่งข้อมูลมิเตอร์ </t>
    </r>
    <r>
      <rPr>
        <sz val="8"/>
        <rFont val="Tahoma"/>
        <family val="0"/>
        <charset val="1"/>
      </rPr>
      <t xml:space="preserve">/ Inverter</t>
    </r>
  </si>
  <si>
    <r>
      <rPr>
        <sz val="8"/>
        <rFont val="FreeSans"/>
        <family val="2"/>
      </rPr>
      <t xml:space="preserve">ข้อมูล </t>
    </r>
    <r>
      <rPr>
        <sz val="8"/>
        <rFont val="Tahoma"/>
        <family val="0"/>
        <charset val="1"/>
      </rPr>
      <t xml:space="preserve">Inverter / Revenue meter / PQ meter </t>
    </r>
    <r>
      <rPr>
        <sz val="8"/>
        <rFont val="FreeSans"/>
        <family val="2"/>
      </rPr>
      <t xml:space="preserve">ขึ้นครบ</t>
    </r>
  </si>
  <si>
    <t xml:space="preserve">2.9.3</t>
  </si>
  <si>
    <r>
      <rPr>
        <sz val="8"/>
        <rFont val="Tahoma"/>
        <family val="0"/>
        <charset val="1"/>
      </rPr>
      <t xml:space="preserve">Weather station (Irradiance + </t>
    </r>
    <r>
      <rPr>
        <sz val="8"/>
        <rFont val="FreeSans"/>
        <family val="2"/>
      </rPr>
      <t xml:space="preserve">อุณหภูมิแผง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</si>
  <si>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ค่าแสง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อุณหภูมิแผงขึ้นใน </t>
    </r>
    <r>
      <rPr>
        <sz val="8"/>
        <rFont val="Tahoma"/>
        <family val="0"/>
        <charset val="1"/>
      </rPr>
      <t xml:space="preserve">Data logger</t>
    </r>
  </si>
  <si>
    <t xml:space="preserve">2.10.1</t>
  </si>
  <si>
    <r>
      <rPr>
        <sz val="8"/>
        <rFont val="FreeSans"/>
        <family val="2"/>
      </rPr>
      <t xml:space="preserve">จุดต่อร่วมกับ </t>
    </r>
    <r>
      <rPr>
        <sz val="8"/>
        <rFont val="Tahoma"/>
        <family val="0"/>
        <charset val="1"/>
      </rPr>
      <t xml:space="preserve">MDB (</t>
    </r>
    <r>
      <rPr>
        <sz val="8"/>
        <rFont val="FreeSans"/>
        <family val="2"/>
      </rPr>
      <t xml:space="preserve">ดับไฟ </t>
    </r>
    <r>
      <rPr>
        <sz val="8"/>
        <rFont val="Tahoma"/>
        <family val="0"/>
        <charset val="1"/>
      </rPr>
      <t xml:space="preserve">+ LOTO)</t>
    </r>
  </si>
  <si>
    <t xml:space="preserve">เชื่อมจุดต่อร่วมเสร็จในเวลาดับไฟ</t>
  </si>
  <si>
    <t xml:space="preserve">2.10.2</t>
  </si>
  <si>
    <r>
      <rPr>
        <sz val="8"/>
        <rFont val="FreeSans"/>
        <family val="2"/>
      </rPr>
      <t xml:space="preserve">ระบบจ่ายไฟคืน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ลำดับเฟส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แรงดันถูกต้อง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</si>
  <si>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จ่ายไฟคืน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ลำดับเฟส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แรงดันถูก บันทึกค่า</t>
    </r>
  </si>
  <si>
    <t xml:space="preserve">3.1.1</t>
  </si>
  <si>
    <t xml:space="preserve">Mechanical completion + Punch list A</t>
  </si>
  <si>
    <r>
      <rPr>
        <sz val="8"/>
        <rFont val="Tahoma"/>
        <family val="0"/>
        <charset val="1"/>
      </rPr>
      <t xml:space="preserve">Walk-down </t>
    </r>
    <r>
      <rPr>
        <sz val="8"/>
        <rFont val="FreeSans"/>
        <family val="2"/>
      </rPr>
      <t xml:space="preserve">ลงนาม</t>
    </r>
    <r>
      <rPr>
        <sz val="8"/>
        <rFont val="Tahoma"/>
        <family val="0"/>
        <charset val="1"/>
      </rPr>
      <t xml:space="preserve">, Punch list A </t>
    </r>
    <r>
      <rPr>
        <sz val="8"/>
        <rFont val="FreeSans"/>
        <family val="2"/>
      </rPr>
      <t xml:space="preserve">ปิดครบ</t>
    </r>
  </si>
  <si>
    <t xml:space="preserve">3.1.2</t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</si>
  <si>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IEC 62446 </t>
    </r>
    <r>
      <rPr>
        <sz val="8"/>
        <rFont val="FreeSans"/>
        <family val="2"/>
      </rPr>
      <t xml:space="preserve">ก่อนเชื่อม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ราย </t>
    </r>
    <r>
      <rPr>
        <sz val="8"/>
        <rFont val="Tahoma"/>
        <family val="0"/>
        <charset val="1"/>
      </rPr>
      <t xml:space="preserve">String)</t>
    </r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</si>
  <si>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IEC 62446 </t>
    </r>
    <r>
      <rPr>
        <sz val="8"/>
        <rFont val="FreeSans"/>
        <family val="2"/>
      </rPr>
      <t xml:space="preserve">ก่อนเชื่อม ครบทุก </t>
    </r>
    <r>
      <rPr>
        <sz val="8"/>
        <rFont val="Tahoma"/>
        <family val="0"/>
        <charset val="1"/>
      </rPr>
      <t xml:space="preserve">String (</t>
    </r>
    <r>
      <rPr>
        <sz val="8"/>
        <rFont val="FreeSans"/>
        <family val="2"/>
      </rPr>
      <t xml:space="preserve">แอป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</rPr>
      <t xml:space="preserve">ขั้น </t>
    </r>
    <r>
      <rPr>
        <sz val="8"/>
        <rFont val="Tahoma"/>
        <family val="0"/>
        <charset val="1"/>
      </rPr>
      <t xml:space="preserve">2)</t>
    </r>
  </si>
  <si>
    <t xml:space="preserve">3.1.3</t>
  </si>
  <si>
    <r>
      <rPr>
        <sz val="8"/>
        <rFont val="FreeSans"/>
        <family val="2"/>
      </rPr>
      <t xml:space="preserve">รายงาน </t>
    </r>
    <r>
      <rPr>
        <sz val="8"/>
        <rFont val="Tahoma"/>
        <family val="0"/>
        <charset val="1"/>
      </rPr>
      <t xml:space="preserve">Thermography </t>
    </r>
    <r>
      <rPr>
        <sz val="8"/>
        <rFont val="FreeSans"/>
        <family val="2"/>
      </rPr>
      <t xml:space="preserve">แผง</t>
    </r>
  </si>
  <si>
    <r>
      <rPr>
        <sz val="8"/>
        <rFont val="FreeSans"/>
        <family val="2"/>
      </rPr>
      <t xml:space="preserve">รายงาน </t>
    </r>
    <r>
      <rPr>
        <sz val="8"/>
        <rFont val="Tahoma"/>
        <family val="0"/>
        <charset val="1"/>
      </rPr>
      <t xml:space="preserve">Thermography </t>
    </r>
    <r>
      <rPr>
        <sz val="8"/>
        <rFont val="FreeSans"/>
        <family val="2"/>
      </rPr>
      <t xml:space="preserve">แผง </t>
    </r>
    <r>
      <rPr>
        <sz val="8"/>
        <rFont val="Tahoma"/>
        <family val="0"/>
        <charset val="1"/>
      </rPr>
      <t xml:space="preserve">100%</t>
    </r>
  </si>
  <si>
    <t xml:space="preserve">3.1.4</t>
  </si>
  <si>
    <r>
      <rPr>
        <sz val="8"/>
        <rFont val="FreeSans"/>
        <family val="2"/>
      </rPr>
      <t xml:space="preserve">ผลทดสอบ </t>
    </r>
    <r>
      <rPr>
        <sz val="8"/>
        <rFont val="Tahoma"/>
        <family val="0"/>
        <charset val="1"/>
      </rPr>
      <t xml:space="preserve">FTS / ELR / Shunt trip</t>
    </r>
  </si>
  <si>
    <r>
      <rPr>
        <sz val="8"/>
        <rFont val="FreeSans"/>
        <family val="2"/>
      </rPr>
      <t xml:space="preserve">ผลทดสอบ </t>
    </r>
    <r>
      <rPr>
        <sz val="8"/>
        <rFont val="Tahoma"/>
        <family val="0"/>
        <charset val="1"/>
      </rPr>
      <t xml:space="preserve">FTS / ELR / Shunt trip / SPD </t>
    </r>
    <r>
      <rPr>
        <sz val="8"/>
        <rFont val="FreeSans"/>
        <family val="2"/>
      </rPr>
      <t xml:space="preserve">ผ่าน</t>
    </r>
  </si>
  <si>
    <t xml:space="preserve">3.1.5</t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</si>
  <si>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Start-up + Zero export / Anti-islanding</t>
    </r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</si>
  <si>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Start-up + </t>
    </r>
    <r>
      <rPr>
        <sz val="8"/>
        <rFont val="FreeSans"/>
        <family val="2"/>
      </rPr>
      <t xml:space="preserve">ทดสอบ </t>
    </r>
    <r>
      <rPr>
        <sz val="8"/>
        <rFont val="Tahoma"/>
        <family val="0"/>
        <charset val="1"/>
      </rPr>
      <t xml:space="preserve">Zero export / Anti-islanding </t>
    </r>
    <r>
      <rPr>
        <sz val="8"/>
        <rFont val="FreeSans"/>
        <family val="2"/>
      </rPr>
      <t xml:space="preserve">ผ่าน</t>
    </r>
  </si>
  <si>
    <t xml:space="preserve">3.1.6</t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</si>
  <si>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</rPr>
      <t xml:space="preserve">หลังเชื่อม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ผลผลิต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</rPr>
      <t xml:space="preserve">วัน</t>
    </r>
  </si>
  <si>
    <r>
      <rPr>
        <sz val="8"/>
        <rFont val="FreeSans"/>
        <family val="2"/>
      </rPr>
      <t xml:space="preserve">ผล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</rPr>
      <t xml:space="preserve">หลังเชื่อม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ผลการผลิต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</rPr>
      <t xml:space="preserve">วัน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ทีมกดปิดการทดสอบ</t>
    </r>
  </si>
  <si>
    <t xml:space="preserve">3.2.1</t>
  </si>
  <si>
    <r>
      <rPr>
        <sz val="8"/>
        <rFont val="FreeSans"/>
        <family val="2"/>
      </rPr>
      <t xml:space="preserve">การอบรมเจ้าหน้าที่ กปภ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</si>
  <si>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</rPr>
      <t xml:space="preserve">บันทึกการอบรม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รายชื่อผู้เข้าอบรม</t>
    </r>
  </si>
  <si>
    <t xml:space="preserve">3.2.2</t>
  </si>
  <si>
    <r>
      <rPr>
        <sz val="8"/>
        <rFont val="FreeSans"/>
        <family val="2"/>
      </rPr>
      <t xml:space="preserve">ชุดเอกสารส่งมอบ </t>
    </r>
    <r>
      <rPr>
        <sz val="8"/>
        <rFont val="Tahoma"/>
        <family val="0"/>
        <charset val="1"/>
      </rPr>
      <t xml:space="preserve">(Handover pack)</t>
    </r>
  </si>
  <si>
    <r>
      <rPr>
        <sz val="8"/>
        <rFont val="Tahoma"/>
        <family val="0"/>
        <charset val="1"/>
      </rPr>
      <t xml:space="preserve">Handover pack </t>
    </r>
    <r>
      <rPr>
        <sz val="8"/>
        <rFont val="FreeSans"/>
        <family val="2"/>
      </rPr>
      <t xml:space="preserve">ครบตามโฟลเดอร์ส่งมอบ </t>
    </r>
    <r>
      <rPr>
        <sz val="8"/>
        <rFont val="Tahoma"/>
        <family val="0"/>
        <charset val="1"/>
      </rPr>
      <t xml:space="preserve">1–4 + </t>
    </r>
    <r>
      <rPr>
        <sz val="8"/>
        <rFont val="FreeSans"/>
        <family val="2"/>
      </rPr>
      <t xml:space="preserve">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รับเอกสาร</t>
    </r>
  </si>
  <si>
    <t xml:space="preserve">3.2.3</t>
  </si>
  <si>
    <r>
      <rPr>
        <sz val="8"/>
        <rFont val="Tahoma"/>
        <family val="0"/>
        <charset val="1"/>
      </rPr>
      <t xml:space="preserve">PAC (</t>
    </r>
    <r>
      <rPr>
        <sz val="8"/>
        <rFont val="FreeSans"/>
        <family val="2"/>
      </rPr>
      <t xml:space="preserve">หนังสือรับมอบชั่วคราว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</si>
  <si>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PAC </t>
    </r>
    <r>
      <rPr>
        <sz val="8"/>
        <rFont val="FreeSans"/>
        <family val="2"/>
      </rPr>
      <t xml:space="preserve">ลงนาม</t>
    </r>
  </si>
  <si>
    <r>
      <rPr>
        <sz val="8"/>
        <rFont val="FreeSans"/>
        <family val="2"/>
      </rPr>
      <t xml:space="preserve">แม่แบบ หลังคาลอนคู่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</si>
  <si>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.02</t>
    </r>
  </si>
  <si>
    <t xml:space="preserve">1.5.1</t>
  </si>
  <si>
    <r>
      <rPr>
        <sz val="8"/>
        <rFont val="Tahoma"/>
        <family val="0"/>
        <charset val="1"/>
      </rPr>
      <t xml:space="preserve">Check list </t>
    </r>
    <r>
      <rPr>
        <sz val="8"/>
        <rFont val="FreeSans"/>
        <family val="2"/>
      </rPr>
      <t xml:space="preserve">พค</t>
    </r>
    <r>
      <rPr>
        <sz val="8"/>
        <rFont val="Tahoma"/>
        <family val="0"/>
        <charset val="1"/>
      </rPr>
      <t xml:space="preserve">.2 (23 </t>
    </r>
    <r>
      <rPr>
        <sz val="8"/>
        <rFont val="FreeSans"/>
        <family val="2"/>
      </rPr>
      <t xml:space="preserve">ข้อ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</si>
  <si>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Check list 23 </t>
    </r>
    <r>
      <rPr>
        <sz val="8"/>
        <rFont val="FreeSans"/>
        <family val="2"/>
      </rPr>
      <t xml:space="preserve">ข้อครบ</t>
    </r>
  </si>
  <si>
    <t xml:space="preserve">1.5.2</t>
  </si>
  <si>
    <r>
      <rPr>
        <sz val="8"/>
        <rFont val="FreeSans"/>
        <family val="2"/>
      </rPr>
      <t xml:space="preserve">คำขอ พค</t>
    </r>
    <r>
      <rPr>
        <sz val="8"/>
        <rFont val="Tahoma"/>
        <family val="0"/>
        <charset val="1"/>
      </rPr>
      <t xml:space="preserve">.2 </t>
    </r>
    <r>
      <rPr>
        <sz val="8"/>
        <rFont val="FreeSans"/>
        <family val="2"/>
      </rPr>
      <t xml:space="preserve">ที่ยื่นแล้ว</t>
    </r>
  </si>
  <si>
    <r>
      <rPr>
        <sz val="8"/>
        <rFont val="FreeSans"/>
        <family val="2"/>
      </rPr>
      <t xml:space="preserve">เอกสารลงนาม กปภ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</rPr>
      <t xml:space="preserve">หลักฐานการยื่น </t>
    </r>
    <r>
      <rPr>
        <sz val="8"/>
        <rFont val="Tahoma"/>
        <family val="0"/>
        <charset val="1"/>
      </rPr>
      <t xml:space="preserve">(QR Code)</t>
    </r>
  </si>
  <si>
    <t xml:space="preserve">1.5.4</t>
  </si>
  <si>
    <r>
      <rPr>
        <sz val="8"/>
        <rFont val="FreeSans"/>
        <family val="2"/>
      </rPr>
      <t xml:space="preserve">ใบอนุญาต พค</t>
    </r>
    <r>
      <rPr>
        <sz val="8"/>
        <rFont val="Tahoma"/>
        <family val="0"/>
        <charset val="1"/>
      </rPr>
      <t xml:space="preserve">.2 + </t>
    </r>
    <r>
      <rPr>
        <sz val="8"/>
        <rFont val="FreeSans"/>
        <family val="2"/>
      </rPr>
      <t xml:space="preserve">บันทึกวันหมดอายุ</t>
    </r>
  </si>
  <si>
    <r>
      <rPr>
        <sz val="8"/>
        <rFont val="FreeSans"/>
        <family val="2"/>
      </rPr>
      <t xml:space="preserve">ใบอนุญาต พค</t>
    </r>
    <r>
      <rPr>
        <sz val="8"/>
        <rFont val="Tahoma"/>
        <family val="0"/>
        <charset val="1"/>
      </rPr>
      <t xml:space="preserve">.2 + </t>
    </r>
    <r>
      <rPr>
        <sz val="8"/>
        <rFont val="FreeSans"/>
        <family val="2"/>
      </rPr>
      <t xml:space="preserve">วันหมดอายุบันทึกในแอป</t>
    </r>
  </si>
  <si>
    <r>
      <rPr>
        <sz val="8"/>
        <rFont val="FreeSans"/>
        <family val="2"/>
      </rPr>
      <t xml:space="preserve">แม่แบบ หลังคาลอนคู่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</si>
  <si>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.03</t>
    </r>
  </si>
  <si>
    <t xml:space="preserve">2.8.6</t>
  </si>
  <si>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+ Relay </t>
    </r>
    <r>
      <rPr>
        <sz val="8"/>
        <rFont val="FreeSans"/>
        <family val="2"/>
      </rPr>
      <t xml:space="preserve">ฝั่ง </t>
    </r>
    <r>
      <rPr>
        <sz val="8"/>
        <rFont val="Tahoma"/>
        <family val="0"/>
        <charset val="1"/>
      </rPr>
      <t xml:space="preserve">LV (E17)</t>
    </r>
  </si>
  <si>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</rPr>
      <t xml:space="preserve">กันย้อนที่ </t>
    </r>
    <r>
      <rPr>
        <sz val="8"/>
        <rFont val="Tahoma"/>
        <family val="0"/>
        <charset val="1"/>
      </rPr>
      <t xml:space="preserve">MDB </t>
    </r>
    <r>
      <rPr>
        <sz val="8"/>
        <rFont val="FreeSans"/>
        <family val="2"/>
      </rPr>
      <t xml:space="preserve">เดิม </t>
    </r>
    <r>
      <rPr>
        <sz val="8"/>
        <rFont val="Tahoma"/>
        <family val="0"/>
        <charset val="1"/>
      </rPr>
      <t xml:space="preserve">+ Relay </t>
    </r>
    <r>
      <rPr>
        <sz val="8"/>
        <rFont val="FreeSans"/>
        <family val="2"/>
      </rPr>
      <t xml:space="preserve">ครบ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ทิศ </t>
    </r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</rPr>
      <t xml:space="preserve">ถูก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</si>
  <si>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แม่แบบ หลังคาลอนคู่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</si>
  <si>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.04</t>
    </r>
  </si>
  <si>
    <r>
      <rPr>
        <sz val="8"/>
        <rFont val="FreeSans"/>
        <family val="2"/>
      </rPr>
      <t xml:space="preserve">แม่แบบ หลังคาเมทัลชีท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</si>
  <si>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.05</t>
    </r>
  </si>
  <si>
    <r>
      <rPr>
        <sz val="8"/>
        <rFont val="FreeSans"/>
        <family val="2"/>
      </rPr>
      <t xml:space="preserve">แม่แบบ หลังคาเมทัลชีท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</si>
  <si>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.06</t>
    </r>
  </si>
  <si>
    <r>
      <rPr>
        <sz val="8"/>
        <rFont val="FreeSans"/>
        <family val="2"/>
      </rPr>
      <t xml:space="preserve">แม่แบบ หลังคาเมทัลชีท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</si>
  <si>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.07</t>
    </r>
  </si>
  <si>
    <r>
      <rPr>
        <sz val="8"/>
        <rFont val="FreeSans"/>
        <family val="2"/>
      </rPr>
      <t xml:space="preserve">แม่แบบ หลังคาเมทัลชีท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</si>
  <si>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.08</t>
    </r>
  </si>
  <si>
    <r>
      <rPr>
        <sz val="8"/>
        <rFont val="FreeSans"/>
        <family val="2"/>
      </rPr>
      <t xml:space="preserve">แม่แบบ ถังน้ำใส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</si>
  <si>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.09</t>
    </r>
  </si>
  <si>
    <r>
      <rPr>
        <sz val="8"/>
        <rFont val="FreeSans"/>
        <family val="2"/>
      </rPr>
      <t xml:space="preserve">แม่แบบ ถังน้ำใส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</si>
  <si>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.10</t>
    </r>
  </si>
  <si>
    <r>
      <rPr>
        <sz val="8"/>
        <rFont val="FreeSans"/>
        <family val="2"/>
      </rPr>
      <t xml:space="preserve">แม่แบบ ถังน้ำใส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</si>
  <si>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.11</t>
    </r>
  </si>
  <si>
    <r>
      <rPr>
        <sz val="8"/>
        <rFont val="FreeSans"/>
        <family val="2"/>
      </rPr>
      <t xml:space="preserve">แม่แบบ ถังน้ำใส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</si>
  <si>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.12</t>
    </r>
  </si>
  <si>
    <r>
      <rPr>
        <sz val="8"/>
        <rFont val="FreeSans"/>
        <family val="2"/>
      </rPr>
      <t xml:space="preserve">แม่แบบ ถังดินกลบ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</si>
  <si>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.13</t>
    </r>
  </si>
  <si>
    <r>
      <rPr>
        <sz val="8"/>
        <rFont val="FreeSans"/>
        <family val="2"/>
      </rPr>
      <t xml:space="preserve">แม่แบบ ถังดินกลบ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</si>
  <si>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.14</t>
    </r>
  </si>
  <si>
    <r>
      <rPr>
        <sz val="8"/>
        <rFont val="FreeSans"/>
        <family val="2"/>
      </rPr>
      <t xml:space="preserve">แม่แบบ ถังดินกลบ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</si>
  <si>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.15</t>
    </r>
  </si>
  <si>
    <r>
      <rPr>
        <sz val="8"/>
        <rFont val="FreeSans"/>
        <family val="2"/>
      </rPr>
      <t xml:space="preserve">แม่แบบ ถังดินกลบ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</si>
  <si>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.16</t>
    </r>
  </si>
  <si>
    <r>
      <rPr>
        <sz val="8"/>
        <rFont val="FreeSans"/>
        <family val="2"/>
      </rPr>
      <t xml:space="preserve">แม่แบบ </t>
    </r>
    <r>
      <rPr>
        <sz val="8"/>
        <rFont val="Tahoma"/>
        <family val="0"/>
        <charset val="1"/>
      </rPr>
      <t xml:space="preserve">Carport,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</si>
  <si>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.17</t>
    </r>
  </si>
  <si>
    <r>
      <rPr>
        <sz val="8"/>
        <rFont val="FreeSans"/>
        <family val="2"/>
      </rPr>
      <t xml:space="preserve">แม่แบบ </t>
    </r>
    <r>
      <rPr>
        <sz val="8"/>
        <rFont val="Tahoma"/>
        <family val="0"/>
        <charset val="1"/>
      </rPr>
      <t xml:space="preserve">Carport,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</si>
  <si>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.18</t>
    </r>
  </si>
  <si>
    <r>
      <rPr>
        <sz val="8"/>
        <rFont val="FreeSans"/>
        <family val="2"/>
      </rPr>
      <t xml:space="preserve">แม่แบบ </t>
    </r>
    <r>
      <rPr>
        <sz val="8"/>
        <rFont val="Tahoma"/>
        <family val="0"/>
        <charset val="1"/>
      </rPr>
      <t xml:space="preserve">Carport,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</si>
  <si>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.19</t>
    </r>
  </si>
  <si>
    <r>
      <rPr>
        <sz val="8"/>
        <rFont val="FreeSans"/>
        <family val="2"/>
      </rPr>
      <t xml:space="preserve">แม่แบบ </t>
    </r>
    <r>
      <rPr>
        <sz val="8"/>
        <rFont val="Tahoma"/>
        <family val="0"/>
        <charset val="1"/>
      </rPr>
      <t xml:space="preserve">Carport, </t>
    </r>
    <r>
      <rPr>
        <sz val="8"/>
        <rFont val="FreeSans"/>
        <family val="2"/>
      </rPr>
      <t xml:space="preserve">กันย้อน </t>
    </r>
    <r>
      <rPr>
        <sz val="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</si>
  <si>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วศ</t>
    </r>
    <r>
      <rPr>
        <sz val="8"/>
        <rFont val="Tahoma"/>
        <family val="0"/>
        <charset val="1"/>
      </rPr>
      <t xml:space="preserve">.20</t>
    </r>
  </si>
  <si>
    <r>
      <rPr>
        <b val="true"/>
        <sz val="14"/>
        <color rgb="FF1F4E78"/>
        <rFont val="Tahoma"/>
        <family val="0"/>
        <charset val="1"/>
      </rPr>
      <t xml:space="preserve">MASTER PLAN – </t>
    </r>
    <r>
      <rPr>
        <b val="true"/>
        <sz val="14"/>
        <color rgb="FF1F4E78"/>
        <rFont val="FreeSans"/>
        <family val="2"/>
      </rPr>
      <t xml:space="preserve">โครงการ </t>
    </r>
    <r>
      <rPr>
        <b val="true"/>
        <sz val="14"/>
        <color rgb="FF1F4E78"/>
        <rFont val="Tahoma"/>
        <family val="0"/>
        <charset val="1"/>
      </rPr>
      <t xml:space="preserve">Solar Rooftop </t>
    </r>
    <r>
      <rPr>
        <b val="true"/>
        <sz val="14"/>
        <color rgb="FF1F4E78"/>
        <rFont val="FreeSans"/>
        <family val="2"/>
      </rPr>
      <t xml:space="preserve">การประปาส่วนภูมิภาค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</si>
  <si>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sz val="10"/>
        <rFont val="Tahoma"/>
        <family val="0"/>
        <charset val="1"/>
      </rPr>
      <t xml:space="preserve">20 </t>
    </r>
    <r>
      <rPr>
        <sz val="10"/>
        <rFont val="FreeSans"/>
        <family val="2"/>
      </rPr>
      <t xml:space="preserve">สถานี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สัญญา </t>
    </r>
    <r>
      <rPr>
        <sz val="10"/>
        <rFont val="Tahoma"/>
        <family val="0"/>
        <charset val="1"/>
      </rPr>
      <t xml:space="preserve">PEA(EMD)-03/2024</t>
    </r>
  </si>
  <si>
    <t xml:space="preserve">✎ อัปเดตรายสัปดาห์</t>
  </si>
  <si>
    <t xml:space="preserve">⚙ สมมติฐาน</t>
  </si>
  <si>
    <t xml:space="preserve">⚠ ความเสี่ยง</t>
  </si>
  <si>
    <t xml:space="preserve">↻ บันทึกการเปลี่ยนแปลง</t>
  </si>
  <si>
    <t xml:space="preserve">✗ Cost of Quality</t>
  </si>
  <si>
    <t xml:space="preserve">◆ Milestone</t>
  </si>
  <si>
    <t xml:space="preserve">⟳ TCRoof (สด)</t>
  </si>
  <si>
    <r>
      <rPr>
        <sz val="9"/>
        <color rgb="FF595959"/>
        <rFont val="FreeSans"/>
        <family val="2"/>
      </rPr>
      <t xml:space="preserve">กฟภ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ตรวจแล้ว</t>
    </r>
  </si>
  <si>
    <t xml:space="preserve">ส่งมอบงวดแล้ว</t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</si>
  <si>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</si>
  <si>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 </t>
    </r>
    <r>
      <rPr>
        <sz val="9"/>
        <color rgb="FF595959"/>
        <rFont val="Tahoma"/>
        <family val="0"/>
        <charset val="1"/>
      </rPr>
      <t xml:space="preserve">kWp)</t>
    </r>
  </si>
  <si>
    <r>
      <rPr>
        <sz val="9"/>
        <color rgb="FF595959"/>
        <rFont val="FreeSans"/>
        <family val="2"/>
      </rPr>
      <t xml:space="preserve">สถานี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</t>
    </r>
  </si>
  <si>
    <t xml:space="preserve">ช้าแต่ยังไม่บันทึกเหตุผล</t>
  </si>
  <si>
    <r>
      <rPr>
        <i val="true"/>
        <sz val="8"/>
        <color rgb="FF595959"/>
        <rFont val="FreeSans"/>
        <family val="2"/>
      </rPr>
      <t xml:space="preserve">คลิกรหัสสถานีเพื่อเปิดแผนรายโครงการ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เขียว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ลิงก์จากชีต ‘อัปเดตรายสัปดาห์’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ฟ้า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แผนที่สูตรคำนวณ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I </t>
    </r>
    <r>
      <rPr>
        <i val="true"/>
        <sz val="8"/>
        <color rgb="FF595959"/>
        <rFont val="FreeSans"/>
        <family val="2"/>
      </rPr>
      <t xml:space="preserve">ติดตั้ง</t>
    </r>
    <r>
      <rPr>
        <i val="true"/>
        <sz val="8"/>
        <color rgb="FF595959"/>
        <rFont val="Tahoma"/>
        <family val="0"/>
        <charset val="1"/>
      </rPr>
      <t xml:space="preserve">, P </t>
    </r>
    <r>
      <rPr>
        <i val="true"/>
        <sz val="8"/>
        <color rgb="FF595959"/>
        <rFont val="FreeSans"/>
        <family val="2"/>
      </rPr>
      <t xml:space="preserve">กฟภ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ตรวจ</t>
    </r>
    <r>
      <rPr>
        <i val="true"/>
        <sz val="8"/>
        <color rgb="FF595959"/>
        <rFont val="Tahoma"/>
        <family val="0"/>
        <charset val="1"/>
      </rPr>
      <t xml:space="preserve">, T IEC, H </t>
    </r>
    <r>
      <rPr>
        <i val="true"/>
        <sz val="8"/>
        <color rgb="FF595959"/>
        <rFont val="FreeSans"/>
        <family val="2"/>
      </rPr>
      <t xml:space="preserve">ส่งมอบ</t>
    </r>
    <r>
      <rPr>
        <i val="true"/>
        <sz val="8"/>
        <color rgb="FF595959"/>
        <rFont val="Tahoma"/>
        <family val="0"/>
        <charset val="1"/>
      </rPr>
      <t xml:space="preserve">, G </t>
    </r>
    <r>
      <rPr>
        <i val="true"/>
        <sz val="8"/>
        <color rgb="FF595959"/>
        <rFont val="FreeSans"/>
        <family val="2"/>
      </rPr>
      <t xml:space="preserve">ยื่นขนานไฟ</t>
    </r>
    <r>
      <rPr>
        <i val="true"/>
        <sz val="8"/>
        <color rgb="FF595959"/>
        <rFont val="Tahoma"/>
        <family val="0"/>
        <charset val="1"/>
      </rPr>
      <t xml:space="preserve">, S First Sync, </t>
    </r>
    <r>
      <rPr>
        <i val="true"/>
        <sz val="8"/>
        <color rgb="FF595959"/>
        <rFont val="FreeSans"/>
        <family val="2"/>
      </rPr>
      <t xml:space="preserve">ส้ม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สัปดาห์กำหนดรอบ</t>
    </r>
    <r>
      <rPr>
        <i val="true"/>
        <sz val="8"/>
        <color rgb="FF595959"/>
        <rFont val="Tahoma"/>
        <family val="0"/>
        <charset val="1"/>
      </rPr>
      <t xml:space="preserve">, % </t>
    </r>
    <r>
      <rPr>
        <i val="true"/>
        <sz val="8"/>
        <color rgb="FF595959"/>
        <rFont val="FreeSans"/>
        <family val="2"/>
      </rPr>
      <t xml:space="preserve">งานสูงเพราะงานติดตั้งหนัก </t>
    </r>
    <r>
      <rPr>
        <i val="true"/>
        <sz val="8"/>
        <color rgb="FF595959"/>
        <rFont val="Tahoma"/>
        <family val="0"/>
        <charset val="1"/>
      </rPr>
      <t xml:space="preserve">90% </t>
    </r>
    <r>
      <rPr>
        <i val="true"/>
        <sz val="8"/>
        <color rgb="FF595959"/>
        <rFont val="FreeSans"/>
        <family val="2"/>
      </rPr>
      <t xml:space="preserve">ให้ดู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คู่กัน</t>
    </r>
  </si>
  <si>
    <t xml:space="preserve">ผู้รับผิดชอบ</t>
  </si>
  <si>
    <r>
      <rPr>
        <b val="true"/>
        <sz val="9"/>
        <color rgb="FFFFFFFF"/>
        <rFont val="FreeSans"/>
        <family val="2"/>
      </rPr>
      <t xml:space="preserve">วันที่จริง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นัด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ลิงก์จาก ‘อัปเดตรายสัปดาห์’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</si>
  <si>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แผน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คำนวณ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</si>
  <si>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</t>
  </si>
  <si>
    <t xml:space="preserve">ตัวช่วย</t>
  </si>
  <si>
    <t xml:space="preserve">สาขา</t>
  </si>
  <si>
    <t xml:space="preserve">ภาค</t>
  </si>
  <si>
    <t xml:space="preserve">kWp</t>
  </si>
  <si>
    <t xml:space="preserve">กำหนดรอบ</t>
  </si>
  <si>
    <t xml:space="preserve">COD Baseline</t>
  </si>
  <si>
    <r>
      <rPr>
        <b val="true"/>
        <sz val="9"/>
        <color rgb="FFFFFFFF"/>
        <rFont val="FreeSans"/>
        <family val="2"/>
      </rPr>
      <t xml:space="preserve">พค</t>
    </r>
    <r>
      <rPr>
        <b val="true"/>
        <sz val="9"/>
        <color rgb="FFFFFFFF"/>
        <rFont val="Tahoma"/>
        <family val="0"/>
        <charset val="1"/>
      </rPr>
      <t xml:space="preserve">.2</t>
    </r>
  </si>
  <si>
    <t xml:space="preserve">ติดตั้ง</t>
  </si>
  <si>
    <r>
      <rPr>
        <b val="true"/>
        <sz val="9"/>
        <color rgb="FFFFFFFF"/>
        <rFont val="FreeSans"/>
        <family val="2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</rPr>
      <t xml:space="preserve">ตรวจ</t>
    </r>
  </si>
  <si>
    <t xml:space="preserve">IEC 62446</t>
  </si>
  <si>
    <t xml:space="preserve">ส่งมอบงวด</t>
  </si>
  <si>
    <t xml:space="preserve">ยื่นขนานไฟ</t>
  </si>
  <si>
    <t xml:space="preserve">ยื่นแก้ไขล่าสุด</t>
  </si>
  <si>
    <r>
      <rPr>
        <b val="true"/>
        <sz val="9"/>
        <color rgb="FFFFFFFF"/>
        <rFont val="FreeSans"/>
        <family val="2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</rPr>
      <t xml:space="preserve">อนุมัติ</t>
    </r>
  </si>
  <si>
    <t xml:space="preserve">ชำระค่าธรรมเนียม</t>
  </si>
  <si>
    <t xml:space="preserve">ขอตรวจระบบ</t>
  </si>
  <si>
    <r>
      <rPr>
        <b val="true"/>
        <sz val="9"/>
        <color rgb="FFFFFFFF"/>
        <rFont val="FreeSans"/>
        <family val="2"/>
      </rPr>
      <t xml:space="preserve">ยื่น พค</t>
    </r>
    <r>
      <rPr>
        <b val="true"/>
        <sz val="9"/>
        <color rgb="FFFFFFFF"/>
        <rFont val="Tahoma"/>
        <family val="0"/>
        <charset val="1"/>
      </rPr>
      <t xml:space="preserve">.2</t>
    </r>
  </si>
  <si>
    <t xml:space="preserve">First Sync</t>
  </si>
  <si>
    <t xml:space="preserve">COD / First Sync</t>
  </si>
  <si>
    <r>
      <rPr>
        <b val="true"/>
        <sz val="9"/>
        <color rgb="FFFFFFFF"/>
        <rFont val="FreeSans"/>
        <family val="2"/>
      </rPr>
      <t xml:space="preserve">ส่งมอบงวดช้า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</si>
  <si>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</si>
  <si>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Milestone </t>
    </r>
    <r>
      <rPr>
        <b val="true"/>
        <sz val="9"/>
        <color rgb="FFFFFFFF"/>
        <rFont val="FreeSans"/>
        <family val="2"/>
      </rPr>
      <t xml:space="preserve">เสร็จ</t>
    </r>
  </si>
  <si>
    <t xml:space="preserve">จาก</t>
  </si>
  <si>
    <r>
      <rPr>
        <b val="true"/>
        <sz val="9"/>
        <color rgb="FFFFFFFF"/>
        <rFont val="FreeSans"/>
        <family val="2"/>
      </rPr>
      <t xml:space="preserve">เลื่อนที่อนุมัติ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</si>
  <si>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ช้าที่ยังไม่มีเหตุผล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</si>
  <si>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งานแก้ซ้ำ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ครั้ง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</si>
  <si>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MP </t>
    </r>
    <r>
      <rPr>
        <b val="true"/>
        <sz val="9"/>
        <color rgb="FFFFFFFF"/>
        <rFont val="FreeSans"/>
        <family val="2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TCRoof</t>
    </r>
  </si>
  <si>
    <t xml:space="preserve">แก้ล่าสุดในแอป</t>
  </si>
  <si>
    <r>
      <rPr>
        <b val="true"/>
        <sz val="9"/>
        <color rgb="FFFFFFFF"/>
        <rFont val="FreeSans"/>
        <family val="2"/>
      </rPr>
      <t xml:space="preserve">คิวติดตั้ง </t>
    </r>
    <r>
      <rPr>
        <b val="true"/>
        <sz val="9"/>
        <color rgb="FFFFFFFF"/>
        <rFont val="Tahoma"/>
        <family val="0"/>
        <charset val="1"/>
      </rPr>
      <t xml:space="preserve">(kWp </t>
    </r>
    <r>
      <rPr>
        <b val="true"/>
        <sz val="9"/>
        <color rgb="FFFFFFFF"/>
        <rFont val="FreeSans"/>
        <family val="2"/>
      </rPr>
      <t xml:space="preserve">สะสม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</si>
  <si>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kWp/</t>
    </r>
    <r>
      <rPr>
        <b val="true"/>
        <sz val="9"/>
        <color rgb="FFFFFFFF"/>
        <rFont val="FreeSans"/>
        <family val="2"/>
      </rPr>
      <t xml:space="preserve">สัปดาห์</t>
    </r>
  </si>
  <si>
    <t xml:space="preserve">วันตรวจเร็วสุด</t>
  </si>
  <si>
    <r>
      <rPr>
        <b val="true"/>
        <sz val="9"/>
        <color rgb="FFFFFFFF"/>
        <rFont val="FreeSans"/>
        <family val="2"/>
      </rPr>
      <t xml:space="preserve">คิว 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</si>
  <si>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กำลังตรวจเขต</t>
  </si>
  <si>
    <t xml:space="preserve">คิววิศวกร</t>
  </si>
  <si>
    <r>
      <rPr>
        <b val="true"/>
        <sz val="9"/>
        <color rgb="FFFFFFFF"/>
        <rFont val="FreeSans"/>
        <family val="2"/>
      </rPr>
      <t xml:space="preserve">วิศวกร ไซต์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</si>
  <si>
    <r>
      <rPr>
        <b val="true"/>
        <sz val="9"/>
        <color rgb="FFFFFFFF"/>
        <rFont val="FreeSans"/>
        <family val="2"/>
      </rPr>
      <t xml:space="preserve">วัน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เร็วสุด</t>
    </r>
  </si>
  <si>
    <r>
      <rPr>
        <b val="true"/>
        <sz val="9"/>
        <color rgb="FFFFFFFF"/>
        <rFont val="FreeSans"/>
        <family val="2"/>
      </rPr>
      <t xml:space="preserve">คิว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</si>
  <si>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IEC/</t>
    </r>
    <r>
      <rPr>
        <b val="true"/>
        <sz val="9"/>
        <color rgb="FFFFFFFF"/>
        <rFont val="FreeSans"/>
        <family val="2"/>
      </rPr>
      <t xml:space="preserve">สัปดาห์</t>
    </r>
  </si>
  <si>
    <t xml:space="preserve">วันทำรายงาน</t>
  </si>
  <si>
    <r>
      <rPr>
        <b val="true"/>
        <sz val="9"/>
        <color rgb="FFFFFFFF"/>
        <rFont val="FreeSans"/>
        <family val="2"/>
      </rPr>
      <t xml:space="preserve">รอคิวเขต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</si>
  <si>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รอคิววิศวกร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</si>
  <si>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 (</t>
    </r>
    <r>
      <rPr>
        <sz val="9"/>
        <rFont val="FreeSans"/>
        <family val="2"/>
      </rPr>
      <t xml:space="preserve">ตัวอย่าง</t>
    </r>
    <r>
      <rPr>
        <sz val="9"/>
        <rFont val="Tahoma"/>
        <family val="0"/>
        <charset val="1"/>
      </rPr>
      <t xml:space="preserve">)</t>
    </r>
  </si>
  <si>
    <t xml:space="preserve">ตัวอย่าง</t>
  </si>
  <si>
    <t xml:space="preserve">N</t>
  </si>
  <si>
    <t xml:space="preserve">Y</t>
  </si>
  <si>
    <r>
      <rPr>
        <b val="true"/>
        <sz val="14"/>
        <color rgb="FF1F4E78"/>
        <rFont val="FreeSans"/>
        <family val="2"/>
      </rPr>
      <t xml:space="preserve">งาน </t>
    </r>
    <r>
      <rPr>
        <b val="true"/>
        <sz val="14"/>
        <color rgb="FF1F4E78"/>
        <rFont val="Tahoma"/>
        <family val="0"/>
        <charset val="1"/>
      </rPr>
      <t xml:space="preserve">3 </t>
    </r>
    <r>
      <rPr>
        <b val="true"/>
        <sz val="14"/>
        <color rgb="FF1F4E78"/>
        <rFont val="FreeSans"/>
        <family val="2"/>
      </rPr>
      <t xml:space="preserve">สัปดาห์ข้างหน้า – ใครต้องทำอะไร ที่ไหน เมื่อไร</t>
    </r>
  </si>
  <si>
    <r>
      <rPr>
        <i val="true"/>
        <sz val="9"/>
        <color rgb="FF595959"/>
        <rFont val="FreeSans"/>
        <family val="2"/>
      </rPr>
      <t xml:space="preserve">เรียงตามวัน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กรองคอลัมน์ ‘ผู้ทำหลัก’ หรือ ‘วิศวกร’ เพื่อดูงานของตัวเอง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นัดแล้ว’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มีวันนัดในชีตอัปเดต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ตามแผน’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วันที่สูตรคาดการณ์ ยังต้องนัด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ช่วงวันแก้ได้ที่ </t>
    </r>
    <r>
      <rPr>
        <i val="true"/>
        <sz val="9"/>
        <color rgb="FF595959"/>
        <rFont val="Tahoma"/>
        <family val="0"/>
        <charset val="1"/>
      </rPr>
      <t xml:space="preserve">LOOKAHEAD </t>
    </r>
    <r>
      <rPr>
        <i val="true"/>
        <sz val="9"/>
        <color rgb="FF595959"/>
        <rFont val="FreeSans"/>
        <family val="2"/>
      </rPr>
      <t xml:space="preserve">ในชีตสมมติฐาน</t>
    </r>
  </si>
  <si>
    <t xml:space="preserve">k</t>
  </si>
  <si>
    <t xml:space="preserve">วันที่</t>
  </si>
  <si>
    <t xml:space="preserve">งาน</t>
  </si>
  <si>
    <t xml:space="preserve">สถานะ</t>
  </si>
  <si>
    <t xml:space="preserve">ผู้ทำหลัก</t>
  </si>
  <si>
    <r>
      <rPr>
        <b val="true"/>
        <sz val="14"/>
        <color rgb="FF1F4E78"/>
        <rFont val="FreeSans"/>
        <family val="2"/>
      </rPr>
      <t xml:space="preserve">จุดติดตั้ง – </t>
    </r>
    <r>
      <rPr>
        <b val="true"/>
        <sz val="14"/>
        <color rgb="FF1F4E78"/>
        <rFont val="Tahoma"/>
        <family val="0"/>
        <charset val="1"/>
      </rPr>
      <t xml:space="preserve">WBS </t>
    </r>
    <r>
      <rPr>
        <b val="true"/>
        <sz val="14"/>
        <color rgb="FF1F4E78"/>
        <rFont val="FreeSans"/>
        <family val="2"/>
      </rPr>
      <t xml:space="preserve">งานติดตั้งตามประเภทหน้างาน</t>
    </r>
  </si>
  <si>
    <r>
      <rPr>
        <i val="true"/>
        <sz val="9"/>
        <color rgb="FF595959"/>
        <rFont val="FreeSans"/>
        <family val="2"/>
      </rPr>
      <t xml:space="preserve">แยกเป็นกลุ่มละสถานี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แถวฟ้า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สรุปของสถานีตามประเภทหน้างาน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คลิกรหัสไปแผนสถานี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แถวใต้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จุดติดตั้ง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แถวต่อจุด กรอกช่องเหลือง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เลือกประเภทแล้วงาน </t>
    </r>
    <r>
      <rPr>
        <i val="true"/>
        <sz val="9"/>
        <color rgb="FF595959"/>
        <rFont val="Tahoma"/>
        <family val="0"/>
        <charset val="1"/>
      </rPr>
      <t xml:space="preserve">2.1 </t>
    </r>
    <r>
      <rPr>
        <i val="true"/>
        <sz val="9"/>
        <color rgb="FF595959"/>
        <rFont val="FreeSans"/>
        <family val="2"/>
      </rPr>
      <t xml:space="preserve">ทั้ง </t>
    </r>
    <r>
      <rPr>
        <i val="true"/>
        <sz val="9"/>
        <color rgb="FF595959"/>
        <rFont val="Tahoma"/>
        <family val="0"/>
        <charset val="1"/>
      </rPr>
      <t xml:space="preserve">7 </t>
    </r>
    <r>
      <rPr>
        <i val="true"/>
        <sz val="9"/>
        <color rgb="FF595959"/>
        <rFont val="FreeSans"/>
        <family val="2"/>
      </rPr>
      <t xml:space="preserve">ขั้นเป็นของประเภทนั้น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แม่แบบด้านขวา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ติ๊ก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</rPr>
      <t xml:space="preserve">เมื่อเสร็จ →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งาน </t>
    </r>
    <r>
      <rPr>
        <i val="true"/>
        <sz val="9"/>
        <color rgb="FF595959"/>
        <rFont val="Tahoma"/>
        <family val="0"/>
        <charset val="1"/>
      </rPr>
      <t xml:space="preserve">2.1 / 2.2 / 2.3 </t>
    </r>
    <r>
      <rPr>
        <i val="true"/>
        <sz val="9"/>
        <color rgb="FF595959"/>
        <rFont val="FreeSans"/>
        <family val="2"/>
      </rPr>
      <t xml:space="preserve">ในแผนสถานีคำนวณจากที่นี่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หลังคา’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เหลือง</t>
    </r>
    <r>
      <rPr>
        <i val="true"/>
        <sz val="9"/>
        <color rgb="FF595959"/>
        <rFont val="Tahoma"/>
        <family val="0"/>
        <charset val="1"/>
      </rPr>
      <t xml:space="preserve">) = </t>
    </r>
    <r>
      <rPr>
        <i val="true"/>
        <sz val="9"/>
        <color rgb="FF595959"/>
        <rFont val="FreeSans"/>
        <family val="2"/>
      </rPr>
      <t xml:space="preserve">ยังไม่รู้วัสดุ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จุดเกินช่อง → ใช้แถวเพิ่มท้ายชีต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กด </t>
    </r>
    <r>
      <rPr>
        <i val="true"/>
        <sz val="9"/>
        <color rgb="FF595959"/>
        <rFont val="Tahoma"/>
        <family val="0"/>
        <charset val="1"/>
      </rPr>
      <t xml:space="preserve">[–] </t>
    </r>
    <r>
      <rPr>
        <i val="true"/>
        <sz val="9"/>
        <color rgb="FF595959"/>
        <rFont val="FreeSans"/>
        <family val="2"/>
      </rPr>
      <t xml:space="preserve">ซ้ายมือเพื่อพับกลุ่ม</t>
    </r>
  </si>
  <si>
    <t xml:space="preserve">→ แบบมาตรฐาน กปภ. (สเปกและจุดตรวจของแต่ละงาน)</t>
  </si>
  <si>
    <r>
      <rPr>
        <b val="true"/>
        <sz val="9"/>
        <color rgb="FFFFFFFF"/>
        <rFont val="Tahoma"/>
        <family val="0"/>
        <charset val="1"/>
      </rPr>
      <t xml:space="preserve">2.1 </t>
    </r>
    <r>
      <rPr>
        <b val="true"/>
        <sz val="9"/>
        <color rgb="FFFFFFFF"/>
        <rFont val="FreeSans"/>
        <family val="2"/>
      </rPr>
      <t xml:space="preserve">โครงสร้าง</t>
    </r>
    <r>
      <rPr>
        <b val="true"/>
        <sz val="9"/>
        <color rgb="FFFFFFFF"/>
        <rFont val="Tahoma"/>
        <family val="0"/>
        <charset val="1"/>
      </rPr>
      <t xml:space="preserve">: </t>
    </r>
    <r>
      <rPr>
        <b val="true"/>
        <sz val="9"/>
        <color rgb="FFFFFFFF"/>
        <rFont val="FreeSans"/>
        <family val="2"/>
      </rPr>
      <t xml:space="preserve">ติ๊ก </t>
    </r>
    <r>
      <rPr>
        <b val="true"/>
        <sz val="9"/>
        <color rgb="FFFFFFFF"/>
        <rFont val="Tahoma"/>
        <family val="0"/>
        <charset val="1"/>
      </rPr>
      <t xml:space="preserve">Y </t>
    </r>
    <r>
      <rPr>
        <b val="true"/>
        <sz val="9"/>
        <color rgb="FFFFFFFF"/>
        <rFont val="FreeSans"/>
        <family val="2"/>
      </rPr>
      <t xml:space="preserve">ทีละขั้น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ชื่องานจริงของแต่ละประเภทอยู่ในแม่แบบด้านขวา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</si>
  <si>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แม่แบบงานย่อย </t>
    </r>
    <r>
      <rPr>
        <b val="true"/>
        <sz val="10"/>
        <rFont val="Tahoma"/>
        <family val="0"/>
        <charset val="1"/>
      </rPr>
      <t xml:space="preserve">2.1 </t>
    </r>
    <r>
      <rPr>
        <b val="true"/>
        <sz val="10"/>
        <rFont val="FreeSans"/>
        <family val="2"/>
      </rPr>
      <t xml:space="preserve">ตามประเภท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แก้ </t>
    </r>
    <r>
      <rPr>
        <b val="true"/>
        <sz val="10"/>
        <rFont val="Tahoma"/>
        <family val="0"/>
        <charset val="1"/>
      </rPr>
      <t xml:space="preserve">% </t>
    </r>
    <r>
      <rPr>
        <b val="true"/>
        <sz val="10"/>
        <rFont val="FreeSans"/>
        <family val="2"/>
      </rPr>
      <t xml:space="preserve">ได้</t>
    </r>
    <r>
      <rPr>
        <b val="true"/>
        <sz val="10"/>
        <rFont val="Tahoma"/>
        <family val="0"/>
        <charset val="1"/>
      </rPr>
      <t xml:space="preserve">, </t>
    </r>
    <r>
      <rPr>
        <b val="true"/>
        <sz val="10"/>
        <rFont val="FreeSans"/>
        <family val="2"/>
      </rPr>
      <t xml:space="preserve">แต่ละประเภทรวม </t>
    </r>
    <r>
      <rPr>
        <b val="true"/>
        <sz val="10"/>
        <rFont val="Tahoma"/>
        <family val="0"/>
        <charset val="1"/>
      </rPr>
      <t xml:space="preserve">100)</t>
    </r>
  </si>
  <si>
    <t xml:space="preserve">รหัสสถานี</t>
  </si>
  <si>
    <t xml:space="preserve">จุด</t>
  </si>
  <si>
    <t xml:space="preserve">ชื่อจุดติดตั้ง</t>
  </si>
  <si>
    <t xml:space="preserve">ประเภท</t>
  </si>
  <si>
    <t xml:space="preserve">แผง</t>
  </si>
  <si>
    <r>
      <rPr>
        <b val="true"/>
        <sz val="8"/>
        <color rgb="FFFFFFFF"/>
        <rFont val="FreeSans"/>
        <family val="2"/>
      </rPr>
      <t xml:space="preserve">ความสูง
ขึ้นลง 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</rPr>
      <t xml:space="preserve">ม</t>
    </r>
    <r>
      <rPr>
        <b val="true"/>
        <sz val="8"/>
        <color rgb="FFFFFFFF"/>
        <rFont val="Tahoma"/>
        <family val="0"/>
        <charset val="1"/>
      </rPr>
      <t xml:space="preserve">.)</t>
    </r>
  </si>
  <si>
    <r>
      <rPr>
        <b val="true"/>
        <sz val="8"/>
        <color rgb="FFFFFFFF"/>
        <rFont val="FreeSans"/>
        <family val="2"/>
      </rPr>
      <t xml:space="preserve">มีบันได
ถาวรแล้ว </t>
    </r>
    <r>
      <rPr>
        <b val="true"/>
        <sz val="8"/>
        <color rgb="FFFFFFFF"/>
        <rFont val="Tahoma"/>
        <family val="0"/>
        <charset val="1"/>
      </rPr>
      <t xml:space="preserve">(Y)</t>
    </r>
  </si>
  <si>
    <r>
      <rPr>
        <b val="true"/>
        <sz val="8"/>
        <color rgb="FFFFFFFF"/>
        <rFont val="FreeSans"/>
        <family val="2"/>
      </rPr>
      <t xml:space="preserve">บันได
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</rPr>
      <t xml:space="preserve">แบบ กปภ</t>
    </r>
    <r>
      <rPr>
        <b val="true"/>
        <sz val="8"/>
        <color rgb="FFFFFFFF"/>
        <rFont val="Tahoma"/>
        <family val="0"/>
        <charset val="1"/>
      </rPr>
      <t xml:space="preserve">.)</t>
    </r>
  </si>
  <si>
    <r>
      <rPr>
        <b val="true"/>
        <sz val="8"/>
        <color rgb="FFFFFFFF"/>
        <rFont val="Tahoma"/>
        <family val="0"/>
        <charset val="1"/>
      </rPr>
      <t xml:space="preserve">kWp × </t>
    </r>
    <r>
      <rPr>
        <b val="true"/>
        <sz val="8"/>
        <color rgb="FFFFFFFF"/>
        <rFont val="FreeSans"/>
        <family val="2"/>
      </rPr>
      <t xml:space="preserve">ภาระ</t>
    </r>
  </si>
  <si>
    <r>
      <rPr>
        <b val="true"/>
        <sz val="8"/>
        <color rgb="FFFFFFFF"/>
        <rFont val="FreeSans"/>
        <family val="2"/>
      </rPr>
      <t xml:space="preserve">สัดส่วน </t>
    </r>
    <r>
      <rPr>
        <b val="true"/>
        <sz val="8"/>
        <color rgb="FFFFFFFF"/>
        <rFont val="Tahoma"/>
        <family val="0"/>
        <charset val="1"/>
      </rPr>
      <t xml:space="preserve">2.1</t>
    </r>
  </si>
  <si>
    <r>
      <rPr>
        <b val="true"/>
        <sz val="8"/>
        <color rgb="FFFFFFFF"/>
        <rFont val="FreeSans"/>
        <family val="2"/>
      </rPr>
      <t xml:space="preserve">สัดส่วน </t>
    </r>
    <r>
      <rPr>
        <b val="true"/>
        <sz val="8"/>
        <color rgb="FFFFFFFF"/>
        <rFont val="Tahoma"/>
        <family val="0"/>
        <charset val="1"/>
      </rPr>
      <t xml:space="preserve">2.2/2.3</t>
    </r>
  </si>
  <si>
    <r>
      <rPr>
        <b val="true"/>
        <sz val="8"/>
        <color rgb="FFFFFFFF"/>
        <rFont val="Tahoma"/>
        <family val="0"/>
        <charset val="1"/>
      </rPr>
      <t xml:space="preserve">2.1.1
</t>
    </r>
    <r>
      <rPr>
        <b val="true"/>
        <sz val="8"/>
        <color rgb="FFFFFFFF"/>
        <rFont val="FreeSans"/>
        <family val="2"/>
      </rPr>
      <t xml:space="preserve">สำรวจ </t>
    </r>
    <r>
      <rPr>
        <b val="true"/>
        <sz val="8"/>
        <color rgb="FFFFFFFF"/>
        <rFont val="Tahoma"/>
        <family val="0"/>
        <charset val="1"/>
      </rPr>
      <t xml:space="preserve">/ Mark</t>
    </r>
  </si>
  <si>
    <r>
      <rPr>
        <b val="true"/>
        <sz val="8"/>
        <color rgb="FFFFFFFF"/>
        <rFont val="Tahoma"/>
        <family val="0"/>
        <charset val="1"/>
      </rPr>
      <t xml:space="preserve">2.1.2
</t>
    </r>
    <r>
      <rPr>
        <b val="true"/>
        <sz val="8"/>
        <color rgb="FFFFFFFF"/>
        <rFont val="FreeSans"/>
        <family val="2"/>
      </rPr>
      <t xml:space="preserve">บันได </t>
    </r>
    <r>
      <rPr>
        <b val="true"/>
        <sz val="8"/>
        <color rgb="FFFFFFFF"/>
        <rFont val="Tahoma"/>
        <family val="0"/>
        <charset val="1"/>
      </rPr>
      <t xml:space="preserve">/ </t>
    </r>
    <r>
      <rPr>
        <b val="true"/>
        <sz val="8"/>
        <color rgb="FFFFFFFF"/>
        <rFont val="FreeSans"/>
        <family val="2"/>
      </rPr>
      <t xml:space="preserve">ความปลอดภัย</t>
    </r>
  </si>
  <si>
    <r>
      <rPr>
        <b val="true"/>
        <sz val="8"/>
        <color rgb="FFFFFFFF"/>
        <rFont val="Tahoma"/>
        <family val="0"/>
        <charset val="1"/>
      </rPr>
      <t xml:space="preserve">2.1.3
</t>
    </r>
    <r>
      <rPr>
        <b val="true"/>
        <sz val="8"/>
        <color rgb="FFFFFFFF"/>
        <rFont val="FreeSans"/>
        <family val="2"/>
      </rPr>
      <t xml:space="preserve">ฐานยึด</t>
    </r>
  </si>
  <si>
    <r>
      <rPr>
        <b val="true"/>
        <sz val="8"/>
        <color rgb="FFFFFFFF"/>
        <rFont val="Tahoma"/>
        <family val="0"/>
        <charset val="1"/>
      </rPr>
      <t xml:space="preserve">2.1.4
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</si>
  <si>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2.1.5
</t>
    </r>
    <r>
      <rPr>
        <b val="true"/>
        <sz val="8"/>
        <color rgb="FFFFFFFF"/>
        <rFont val="FreeSans"/>
        <family val="2"/>
      </rPr>
      <t xml:space="preserve">ทางเดิน </t>
    </r>
    <r>
      <rPr>
        <b val="true"/>
        <sz val="8"/>
        <color rgb="FFFFFFFF"/>
        <rFont val="Tahoma"/>
        <family val="0"/>
        <charset val="1"/>
      </rPr>
      <t xml:space="preserve">/ Lifeline / </t>
    </r>
    <r>
      <rPr>
        <b val="true"/>
        <sz val="8"/>
        <color rgb="FFFFFFFF"/>
        <rFont val="FreeSans"/>
        <family val="2"/>
      </rPr>
      <t xml:space="preserve">ป้องกัน</t>
    </r>
  </si>
  <si>
    <r>
      <rPr>
        <b val="true"/>
        <sz val="8"/>
        <color rgb="FFFFFFFF"/>
        <rFont val="Tahoma"/>
        <family val="0"/>
        <charset val="1"/>
      </rPr>
      <t xml:space="preserve">2.1.6
</t>
    </r>
    <r>
      <rPr>
        <b val="true"/>
        <sz val="8"/>
        <color rgb="FFFFFFFF"/>
        <rFont val="FreeSans"/>
        <family val="2"/>
      </rPr>
      <t xml:space="preserve">น้ำ </t>
    </r>
    <r>
      <rPr>
        <b val="true"/>
        <sz val="8"/>
        <color rgb="FFFFFFFF"/>
        <rFont val="Tahoma"/>
        <family val="0"/>
        <charset val="1"/>
      </rPr>
      <t xml:space="preserve">/ </t>
    </r>
    <r>
      <rPr>
        <b val="true"/>
        <sz val="8"/>
        <color rgb="FFFFFFFF"/>
        <rFont val="FreeSans"/>
        <family val="2"/>
      </rPr>
      <t xml:space="preserve">ระบายน้ำ</t>
    </r>
  </si>
  <si>
    <r>
      <rPr>
        <b val="true"/>
        <sz val="8"/>
        <color rgb="FFFFFFFF"/>
        <rFont val="Tahoma"/>
        <family val="0"/>
        <charset val="1"/>
      </rPr>
      <t xml:space="preserve">2.1.7
</t>
    </r>
    <r>
      <rPr>
        <b val="true"/>
        <sz val="8"/>
        <color rgb="FFFFFFFF"/>
        <rFont val="FreeSans"/>
        <family val="2"/>
      </rPr>
      <t xml:space="preserve">ตรวจรับ </t>
    </r>
    <r>
      <rPr>
        <b val="true"/>
        <sz val="8"/>
        <color rgb="FFFFFFFF"/>
        <rFont val="Tahoma"/>
        <family val="0"/>
        <charset val="1"/>
      </rPr>
      <t xml:space="preserve">ICL</t>
    </r>
  </si>
  <si>
    <t xml:space="preserve">2.2 DC
(S / Y)</t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</si>
  <si>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
</t>
    </r>
    <r>
      <rPr>
        <b val="true"/>
        <sz val="8"/>
        <color rgb="FFFFFFFF"/>
        <rFont val="Tahoma"/>
        <family val="0"/>
        <charset val="1"/>
      </rPr>
      <t xml:space="preserve">(S / Y)</t>
    </r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</si>
  <si>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จุดนี้
</t>
    </r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เสร็จ</t>
    </r>
  </si>
  <si>
    <t xml:space="preserve">แบบอ้างอิง</t>
  </si>
  <si>
    <t xml:space="preserve">key</t>
  </si>
  <si>
    <t xml:space="preserve">ขั้น</t>
  </si>
  <si>
    <t xml:space="preserve">งานย่อย</t>
  </si>
  <si>
    <t xml:space="preserve">%</t>
  </si>
  <si>
    <t xml:space="preserve">▸ P9-001</t>
  </si>
  <si>
    <r>
      <rPr>
        <b val="true"/>
        <sz val="9"/>
        <color rgb="FF1F4E78"/>
        <rFont val="FreeSans"/>
        <family val="2"/>
      </rPr>
      <t xml:space="preserve">แม่แบบ หลังคาลอนคู่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&lt; 200 kVA</t>
    </r>
  </si>
  <si>
    <t xml:space="preserve">หลังคาลอนคู่</t>
  </si>
  <si>
    <r>
      <rPr>
        <sz val="8"/>
        <rFont val="FreeSans"/>
        <family val="2"/>
      </rPr>
      <t xml:space="preserve">ตรวจกระเบื้องแตก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แปผุ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</rPr>
      <t xml:space="preserve">จุดยึดตามระยะแป </t>
    </r>
    <r>
      <rPr>
        <sz val="8"/>
        <rFont val="Tahoma"/>
        <family val="0"/>
        <charset val="1"/>
      </rPr>
      <t xml:space="preserve">(C09)</t>
    </r>
  </si>
  <si>
    <t xml:space="preserve">R1</t>
  </si>
  <si>
    <r>
      <rPr>
        <sz val="9"/>
        <color rgb="FF0000FF"/>
        <rFont val="FreeSans"/>
        <family val="2"/>
      </rPr>
      <t xml:space="preserve">อาคารสูบน้ำ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ลอนคู่</t>
    </r>
    <r>
      <rPr>
        <sz val="9"/>
        <color rgb="FF0000FF"/>
        <rFont val="Tahoma"/>
        <family val="0"/>
        <charset val="1"/>
      </rPr>
      <t xml:space="preserve">)</t>
    </r>
  </si>
  <si>
    <t xml:space="preserve">ตามแบบมาตรฐาน</t>
  </si>
  <si>
    <r>
      <rPr>
        <sz val="8"/>
        <rFont val="FreeSans"/>
        <family val="2"/>
      </rPr>
      <t xml:space="preserve">บันไดเซอร์วิสถาวรมีกรง ตามแบบ กปภ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</rPr>
      <t xml:space="preserve">อาคารสูง ดูช่อง ‘บันได’</t>
    </r>
    <r>
      <rPr>
        <sz val="8"/>
        <rFont val="Tahoma"/>
        <family val="0"/>
        <charset val="1"/>
      </rPr>
      <t xml:space="preserve">) + Lifeline </t>
    </r>
    <r>
      <rPr>
        <sz val="8"/>
        <rFont val="FreeSans"/>
        <family val="2"/>
      </rPr>
      <t xml:space="preserve">ชั่วคราว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อาคารเตี้ย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มีบันไดแล้ว </t>
    </r>
    <r>
      <rPr>
        <sz val="8"/>
        <rFont val="Tahoma"/>
        <family val="0"/>
        <charset val="1"/>
      </rPr>
      <t xml:space="preserve">= </t>
    </r>
    <r>
      <rPr>
        <sz val="8"/>
        <rFont val="FreeSans"/>
        <family val="2"/>
      </rPr>
      <t xml:space="preserve">จุดขึ้นลงชั่วคราว</t>
    </r>
  </si>
  <si>
    <t xml:space="preserve">R2</t>
  </si>
  <si>
    <r>
      <rPr>
        <sz val="9"/>
        <color rgb="FF0000FF"/>
        <rFont val="FreeSans"/>
        <family val="2"/>
      </rPr>
      <t xml:space="preserve">อาคารสำนักงาน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ลอนคู่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</si>
  <si>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Hanger bolt </t>
    </r>
    <r>
      <rPr>
        <sz val="8"/>
        <rFont val="FreeSans"/>
        <family val="2"/>
      </rPr>
      <t xml:space="preserve">ยึดแป </t>
    </r>
    <r>
      <rPr>
        <sz val="8"/>
        <rFont val="Tahoma"/>
        <family val="0"/>
        <charset val="1"/>
      </rPr>
      <t xml:space="preserve">+ L-bracket + </t>
    </r>
    <r>
      <rPr>
        <sz val="8"/>
        <rFont val="FreeSans"/>
        <family val="2"/>
      </rPr>
      <t xml:space="preserve">ซีลกันซึมรอบรูเจาะ </t>
    </r>
    <r>
      <rPr>
        <sz val="8"/>
        <rFont val="Tahoma"/>
        <family val="0"/>
        <charset val="1"/>
      </rPr>
      <t xml:space="preserve">(C09)</t>
    </r>
  </si>
  <si>
    <r>
      <rPr>
        <sz val="8"/>
        <rFont val="Tahoma"/>
        <family val="0"/>
        <charset val="1"/>
      </rPr>
      <t xml:space="preserve">Rail + Clamp + </t>
    </r>
    <r>
      <rPr>
        <sz val="8"/>
        <rFont val="FreeSans"/>
        <family val="2"/>
      </rPr>
      <t xml:space="preserve">ตรวจแรงขัน </t>
    </r>
    <r>
      <rPr>
        <sz val="8"/>
        <rFont val="Tahoma"/>
        <family val="0"/>
        <charset val="1"/>
      </rPr>
      <t xml:space="preserve">M8 = 12 N·m, M10 = 21 N·m (C09)</t>
    </r>
  </si>
  <si>
    <r>
      <rPr>
        <sz val="8"/>
        <rFont val="Tahoma"/>
        <family val="0"/>
        <charset val="1"/>
      </rPr>
      <t xml:space="preserve">Walkway HDG 0.30 × 2.40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+ Lifeline </t>
    </r>
    <r>
      <rPr>
        <sz val="8"/>
        <rFont val="FreeSans"/>
        <family val="2"/>
      </rPr>
      <t xml:space="preserve">สลิง </t>
    </r>
    <r>
      <rPr>
        <sz val="8"/>
        <rFont val="Tahoma"/>
        <family val="0"/>
        <charset val="1"/>
      </rPr>
      <t xml:space="preserve">6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บน </t>
    </r>
    <r>
      <rPr>
        <sz val="8"/>
        <rFont val="Tahoma"/>
        <family val="0"/>
        <charset val="1"/>
      </rPr>
      <t xml:space="preserve">L-feet </t>
    </r>
    <r>
      <rPr>
        <sz val="8"/>
        <rFont val="FreeSans"/>
        <family val="2"/>
      </rPr>
      <t xml:space="preserve">ทุก </t>
    </r>
    <r>
      <rPr>
        <sz val="8"/>
        <rFont val="Tahoma"/>
        <family val="0"/>
        <charset val="1"/>
      </rPr>
      <t xml:space="preserve">2.40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(C16)</t>
    </r>
  </si>
  <si>
    <t xml:space="preserve">▸ P9-002</t>
  </si>
  <si>
    <r>
      <rPr>
        <b val="true"/>
        <sz val="9"/>
        <color rgb="FF1F4E78"/>
        <rFont val="FreeSans"/>
        <family val="2"/>
      </rPr>
      <t xml:space="preserve">แม่แบบ หลังคาลอนคู่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≥ 200 kVA</t>
    </r>
  </si>
  <si>
    <r>
      <rPr>
        <sz val="8"/>
        <rFont val="FreeSans"/>
        <family val="2"/>
      </rPr>
      <t xml:space="preserve">ท่อ </t>
    </r>
    <r>
      <rPr>
        <sz val="8"/>
        <rFont val="Tahoma"/>
        <family val="0"/>
        <charset val="1"/>
      </rPr>
      <t xml:space="preserve">PPR ¾" + </t>
    </r>
    <r>
      <rPr>
        <sz val="8"/>
        <rFont val="FreeSans"/>
        <family val="2"/>
      </rPr>
      <t xml:space="preserve">ก๊อกล้างแผง </t>
    </r>
    <r>
      <rPr>
        <sz val="8"/>
        <rFont val="Tahoma"/>
        <family val="0"/>
        <charset val="1"/>
      </rPr>
      <t xml:space="preserve">(C16)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</si>
  <si>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ทดสอบรั่วซึม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ฉีดน้ำ</t>
    </r>
    <r>
      <rPr>
        <sz val="8"/>
        <rFont val="Tahoma"/>
        <family val="0"/>
        <charset val="1"/>
      </rPr>
      <t xml:space="preserve">) </t>
    </r>
    <r>
      <rPr>
        <sz val="8"/>
        <rFont val="FreeSans"/>
        <family val="2"/>
      </rPr>
      <t xml:space="preserve">ทุกจุดเจาะ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เปลี่ยนกระเบื้องที่แตก</t>
    </r>
  </si>
  <si>
    <t xml:space="preserve">หลังคาเมทัลชีท</t>
  </si>
  <si>
    <r>
      <rPr>
        <sz val="8"/>
        <rFont val="FreeSans"/>
        <family val="2"/>
      </rPr>
      <t xml:space="preserve">ตรวจแผ่นหลังคา สันลอน และแป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</rPr>
      <t xml:space="preserve">จุดยึด </t>
    </r>
    <r>
      <rPr>
        <sz val="8"/>
        <rFont val="Tahoma"/>
        <family val="0"/>
        <charset val="1"/>
      </rPr>
      <t xml:space="preserve">(C17)</t>
    </r>
  </si>
  <si>
    <r>
      <rPr>
        <sz val="8"/>
        <rFont val="Tahoma"/>
        <family val="0"/>
        <charset val="1"/>
      </rPr>
      <t xml:space="preserve">Kliplok / Clamp + L-bracket </t>
    </r>
    <r>
      <rPr>
        <sz val="8"/>
        <rFont val="FreeSans"/>
        <family val="2"/>
      </rPr>
      <t xml:space="preserve">ยึดสันลอน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ระยะตามแบบ </t>
    </r>
    <r>
      <rPr>
        <sz val="8"/>
        <rFont val="Tahoma"/>
        <family val="0"/>
        <charset val="1"/>
      </rPr>
      <t xml:space="preserve">C17)</t>
    </r>
  </si>
  <si>
    <t xml:space="preserve">▸ P9-003</t>
  </si>
  <si>
    <r>
      <rPr>
        <b val="true"/>
        <sz val="9"/>
        <color rgb="FF1F4E78"/>
        <rFont val="FreeSans"/>
        <family val="2"/>
      </rPr>
      <t xml:space="preserve">แม่แบบ หลังคาลอนคู่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&lt; 200 kVA</t>
    </r>
  </si>
  <si>
    <r>
      <rPr>
        <sz val="8"/>
        <rFont val="Tahoma"/>
        <family val="0"/>
        <charset val="1"/>
      </rPr>
      <t xml:space="preserve">Rail + Clamp + </t>
    </r>
    <r>
      <rPr>
        <sz val="8"/>
        <rFont val="FreeSans"/>
        <family val="2"/>
      </rPr>
      <t xml:space="preserve">ตรวจแรงขัน </t>
    </r>
    <r>
      <rPr>
        <sz val="8"/>
        <rFont val="Tahoma"/>
        <family val="0"/>
        <charset val="1"/>
      </rPr>
      <t xml:space="preserve">M8 = 12 N·m, M10 = 21 N·m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</si>
  <si>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Kliplok </t>
    </r>
    <r>
      <rPr>
        <sz val="8"/>
        <rFont val="FreeSans"/>
        <family val="2"/>
      </rPr>
      <t xml:space="preserve">แน่นทุกจุด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ไม่มีรอยเจาะแผ่น</t>
    </r>
  </si>
  <si>
    <t xml:space="preserve">หลังคา</t>
  </si>
  <si>
    <r>
      <rPr>
        <sz val="8"/>
        <rFont val="FreeSans"/>
        <family val="2"/>
      </rPr>
      <t xml:space="preserve">ตรวจสภาพหลังคาและแป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</rPr>
      <t xml:space="preserve">จุดยึดตาม </t>
    </r>
    <r>
      <rPr>
        <sz val="8"/>
        <rFont val="Tahoma"/>
        <family val="0"/>
        <charset val="1"/>
      </rPr>
      <t xml:space="preserve">shop drawing (</t>
    </r>
    <r>
      <rPr>
        <sz val="8"/>
        <rFont val="FreeSans"/>
        <family val="2"/>
      </rPr>
      <t xml:space="preserve">ลอนคู่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ระยะยึดตามแป</t>
    </r>
    <r>
      <rPr>
        <sz val="8"/>
        <rFont val="Tahoma"/>
        <family val="0"/>
        <charset val="1"/>
      </rPr>
      <t xml:space="preserve">, C09)</t>
    </r>
  </si>
  <si>
    <t xml:space="preserve">▸ P9-004</t>
  </si>
  <si>
    <r>
      <rPr>
        <b val="true"/>
        <sz val="9"/>
        <color rgb="FF1F4E78"/>
        <rFont val="FreeSans"/>
        <family val="2"/>
      </rPr>
      <t xml:space="preserve">แม่แบบ หลังคาลอนคู่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≥ 200 kVA</t>
    </r>
  </si>
  <si>
    <r>
      <rPr>
        <sz val="8"/>
        <rFont val="FreeSans"/>
        <family val="2"/>
      </rPr>
      <t xml:space="preserve">ยึดฐาน</t>
    </r>
    <r>
      <rPr>
        <sz val="8"/>
        <rFont val="Tahoma"/>
        <family val="0"/>
        <charset val="1"/>
      </rPr>
      <t xml:space="preserve">: Metal sheet = Kliplok + L-bracket (C17), </t>
    </r>
    <r>
      <rPr>
        <sz val="8"/>
        <rFont val="FreeSans"/>
        <family val="2"/>
      </rPr>
      <t xml:space="preserve">ลอนคู่ </t>
    </r>
    <r>
      <rPr>
        <sz val="8"/>
        <rFont val="Tahoma"/>
        <family val="0"/>
        <charset val="1"/>
      </rPr>
      <t xml:space="preserve">= Hanger bolt </t>
    </r>
    <r>
      <rPr>
        <sz val="8"/>
        <rFont val="FreeSans"/>
        <family val="2"/>
      </rPr>
      <t xml:space="preserve">ยึดแป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ซีลกันซึม </t>
    </r>
    <r>
      <rPr>
        <sz val="8"/>
        <rFont val="Tahoma"/>
        <family val="0"/>
        <charset val="1"/>
      </rPr>
      <t xml:space="preserve">(C09)</t>
    </r>
  </si>
  <si>
    <t xml:space="preserve">▸ P9-005</t>
  </si>
  <si>
    <r>
      <rPr>
        <b val="true"/>
        <sz val="9"/>
        <color rgb="FF1F4E78"/>
        <rFont val="FreeSans"/>
        <family val="2"/>
      </rPr>
      <t xml:space="preserve">แม่แบบ หลังคาเมทัลชีท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&lt; 200 kVA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</si>
  <si>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ทดสอบรั่วซึม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ฉีดน้ำ</t>
    </r>
    <r>
      <rPr>
        <sz val="8"/>
        <rFont val="Tahoma"/>
        <family val="0"/>
        <charset val="1"/>
      </rPr>
      <t xml:space="preserve">)</t>
    </r>
  </si>
  <si>
    <r>
      <rPr>
        <sz val="9"/>
        <color rgb="FF0000FF"/>
        <rFont val="FreeSans"/>
        <family val="2"/>
      </rPr>
      <t xml:space="preserve">อาคารสูบน้ำ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เมทัลชีท</t>
    </r>
    <r>
      <rPr>
        <sz val="9"/>
        <color rgb="FF0000FF"/>
        <rFont val="Tahoma"/>
        <family val="0"/>
        <charset val="1"/>
      </rPr>
      <t xml:space="preserve">)</t>
    </r>
  </si>
  <si>
    <t xml:space="preserve">ถังน้ำใส</t>
  </si>
  <si>
    <r>
      <rPr>
        <sz val="8"/>
        <rFont val="FreeSans"/>
        <family val="2"/>
      </rPr>
      <t xml:space="preserve">ตรวจพื้น คสล</t>
    </r>
    <r>
      <rPr>
        <sz val="8"/>
        <rFont val="Tahoma"/>
        <family val="0"/>
        <charset val="1"/>
      </rPr>
      <t xml:space="preserve">. / </t>
    </r>
    <r>
      <rPr>
        <sz val="8"/>
        <rFont val="FreeSans"/>
        <family val="2"/>
      </rPr>
      <t xml:space="preserve">ฝาถัง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ช่องระบายอากาศ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</rPr>
      <t xml:space="preserve">ฐานตามระยะ </t>
    </r>
    <r>
      <rPr>
        <sz val="8"/>
        <rFont val="Tahoma"/>
        <family val="0"/>
        <charset val="1"/>
      </rPr>
      <t xml:space="preserve">2.70 × 2.80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หลบฝาและท่อ</t>
    </r>
  </si>
  <si>
    <r>
      <rPr>
        <sz val="9"/>
        <color rgb="FF0000FF"/>
        <rFont val="FreeSans"/>
        <family val="2"/>
      </rPr>
      <t xml:space="preserve">โรงเก็บพัสดุ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เมทัลชีท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</si>
  <si>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กันเศษเจาะ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</rPr>
      <t xml:space="preserve">ฝุ่นลงถัง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ปิดฝา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ช่องระบาย</t>
    </r>
    <r>
      <rPr>
        <sz val="8"/>
        <rFont val="Tahoma"/>
        <family val="0"/>
        <charset val="1"/>
      </rPr>
      <t xml:space="preserve">) + </t>
    </r>
    <r>
      <rPr>
        <sz val="8"/>
        <rFont val="FreeSans"/>
        <family val="2"/>
      </rPr>
      <t xml:space="preserve">ราวกันตก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บันไดเซอร์วิสตามแบบ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ถ้าถังสูงและยังไม่มีบันได</t>
    </r>
  </si>
  <si>
    <r>
      <rPr>
        <sz val="8"/>
        <rFont val="FreeSans"/>
        <family val="2"/>
      </rPr>
      <t xml:space="preserve">ฐาน </t>
    </r>
    <r>
      <rPr>
        <sz val="8"/>
        <rFont val="Tahoma"/>
        <family val="0"/>
        <charset val="1"/>
      </rPr>
      <t xml:space="preserve">Concrete topping 300×300×150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+ Expansion bolt M12 + Base </t>
    </r>
    <r>
      <rPr>
        <sz val="8"/>
        <rFont val="FreeSans"/>
        <family val="2"/>
      </rPr>
      <t xml:space="preserve">อลูมิเนียม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ห้ามเจาะทะลุ </t>
    </r>
    <r>
      <rPr>
        <sz val="8"/>
        <rFont val="Tahoma"/>
        <family val="0"/>
        <charset val="1"/>
      </rPr>
      <t xml:space="preserve">slab) + </t>
    </r>
    <r>
      <rPr>
        <sz val="8"/>
        <rFont val="FreeSans"/>
        <family val="2"/>
      </rPr>
      <t xml:space="preserve">กันซึม </t>
    </r>
    <r>
      <rPr>
        <sz val="8"/>
        <rFont val="Tahoma"/>
        <family val="0"/>
        <charset val="1"/>
      </rPr>
      <t xml:space="preserve">(C15)</t>
    </r>
  </si>
  <si>
    <r>
      <rPr>
        <sz val="8"/>
        <rFont val="FreeSans"/>
        <family val="2"/>
      </rPr>
      <t xml:space="preserve">โครงอลูมิเนียม </t>
    </r>
    <r>
      <rPr>
        <sz val="8"/>
        <rFont val="Tahoma"/>
        <family val="0"/>
        <charset val="1"/>
      </rPr>
      <t xml:space="preserve">Front/Back post (2.00 / 1.00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.) + Rail + Bracing + Clamp SUS 304 + torque (C15)</t>
    </r>
  </si>
  <si>
    <t xml:space="preserve">▸ P9-006</t>
  </si>
  <si>
    <r>
      <rPr>
        <b val="true"/>
        <sz val="9"/>
        <color rgb="FF1F4E78"/>
        <rFont val="FreeSans"/>
        <family val="2"/>
      </rPr>
      <t xml:space="preserve">แม่แบบ หลังคาเมทัลชีท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≥ 200 kVA</t>
    </r>
  </si>
  <si>
    <r>
      <rPr>
        <sz val="8"/>
        <rFont val="Tahoma"/>
        <family val="0"/>
        <charset val="1"/>
      </rPr>
      <t xml:space="preserve">Walkway + Lifeline </t>
    </r>
    <r>
      <rPr>
        <sz val="8"/>
        <rFont val="FreeSans"/>
        <family val="2"/>
      </rPr>
      <t xml:space="preserve">ขอบถัง</t>
    </r>
  </si>
  <si>
    <r>
      <rPr>
        <sz val="8"/>
        <rFont val="FreeSans"/>
        <family val="2"/>
      </rPr>
      <t xml:space="preserve">ท่อน้ำ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ก๊อกล้างแผง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</si>
  <si>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Ground lug </t>
    </r>
    <r>
      <rPr>
        <sz val="8"/>
        <rFont val="FreeSans"/>
        <family val="2"/>
      </rPr>
      <t xml:space="preserve">ครบตามผัง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ตรวจความสะอาดถังและฝาปิด </t>
    </r>
    <r>
      <rPr>
        <sz val="8"/>
        <rFont val="Tahoma"/>
        <family val="0"/>
        <charset val="1"/>
      </rPr>
      <t xml:space="preserve">(C15)</t>
    </r>
  </si>
  <si>
    <t xml:space="preserve">ถังดินกลบ</t>
  </si>
  <si>
    <r>
      <rPr>
        <sz val="8"/>
        <rFont val="FreeSans"/>
        <family val="2"/>
      </rPr>
      <t xml:space="preserve">วัดความหนาดินที่ตำแหน่งเสาทุกจุด → เลือกความยาว </t>
    </r>
    <r>
      <rPr>
        <sz val="8"/>
        <rFont val="Tahoma"/>
        <family val="0"/>
        <charset val="1"/>
      </rPr>
      <t xml:space="preserve">Steel support 300–800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., Mark </t>
    </r>
    <r>
      <rPr>
        <sz val="8"/>
        <rFont val="FreeSans"/>
        <family val="2"/>
      </rPr>
      <t xml:space="preserve">ฐาน หลบฝา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ช่องระบาย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ดิน </t>
    </r>
    <r>
      <rPr>
        <sz val="8"/>
        <rFont val="Tahoma"/>
        <family val="0"/>
        <charset val="1"/>
      </rPr>
      <t xml:space="preserve">&lt; 30 </t>
    </r>
    <r>
      <rPr>
        <sz val="8"/>
        <rFont val="FreeSans"/>
        <family val="2"/>
      </rPr>
      <t xml:space="preserve">หรือ </t>
    </r>
    <r>
      <rPr>
        <sz val="8"/>
        <rFont val="Tahoma"/>
        <family val="0"/>
        <charset val="1"/>
      </rPr>
      <t xml:space="preserve">&gt; 70 </t>
    </r>
    <r>
      <rPr>
        <sz val="8"/>
        <rFont val="FreeSans"/>
        <family val="2"/>
      </rPr>
      <t xml:space="preserve">ซม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ส่งวิศวกรออกแบบ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</si>
  <si>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ความปลอดภัยงานขุด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กั้นเขต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กันดินพัง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น้ำขัง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กันเศษลงถัง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แจ้ง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สาขาก่อนขุด</t>
    </r>
  </si>
  <si>
    <t xml:space="preserve">▸ P9-007</t>
  </si>
  <si>
    <r>
      <rPr>
        <b val="true"/>
        <sz val="9"/>
        <color rgb="FF1F4E78"/>
        <rFont val="FreeSans"/>
        <family val="2"/>
      </rPr>
      <t xml:space="preserve">แม่แบบ หลังคาเมทัลชีท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&lt; 200 kVA</t>
    </r>
  </si>
  <si>
    <r>
      <rPr>
        <sz val="8"/>
        <rFont val="FreeSans"/>
        <family val="2"/>
      </rPr>
      <t xml:space="preserve">ขุดหลุมถึงพื้นหลังคาถัง </t>
    </r>
    <r>
      <rPr>
        <sz val="8"/>
        <rFont val="Tahoma"/>
        <family val="0"/>
        <charset val="1"/>
      </rPr>
      <t xml:space="preserve">+ Steel support HDG (Pipe ø3"×2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+ Plate 8"×8"×6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.) </t>
    </r>
    <r>
      <rPr>
        <sz val="8"/>
        <rFont val="FreeSans"/>
        <family val="2"/>
      </rPr>
      <t xml:space="preserve">ยึด </t>
    </r>
    <r>
      <rPr>
        <sz val="8"/>
        <rFont val="Tahoma"/>
        <family val="0"/>
        <charset val="1"/>
      </rPr>
      <t xml:space="preserve">Expansion bolt M12 + </t>
    </r>
    <r>
      <rPr>
        <sz val="8"/>
        <rFont val="FreeSans"/>
        <family val="2"/>
      </rPr>
      <t xml:space="preserve">คอนกรีตหุ้ม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กันซึมรอยเจาะ</t>
    </r>
  </si>
  <si>
    <r>
      <rPr>
        <sz val="8"/>
        <rFont val="FreeSans"/>
        <family val="2"/>
      </rPr>
      <t xml:space="preserve">โครงอลูมิเนียม </t>
    </r>
    <r>
      <rPr>
        <sz val="8"/>
        <rFont val="Tahoma"/>
        <family val="0"/>
        <charset val="1"/>
      </rPr>
      <t xml:space="preserve">Post/Rail/Bracing </t>
    </r>
    <r>
      <rPr>
        <sz val="8"/>
        <rFont val="FreeSans"/>
        <family val="2"/>
      </rPr>
      <t xml:space="preserve">ยึด </t>
    </r>
    <r>
      <rPr>
        <sz val="8"/>
        <rFont val="Tahoma"/>
        <family val="0"/>
        <charset val="1"/>
      </rPr>
      <t xml:space="preserve">Top plate (Stainless bolt M8) + torque</t>
    </r>
  </si>
  <si>
    <r>
      <rPr>
        <sz val="8"/>
        <rFont val="FreeSans"/>
        <family val="2"/>
      </rPr>
      <t xml:space="preserve">กลบดินและบดอัดคืน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ทางเดินตรวจ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ป้ายเตือน</t>
    </r>
  </si>
  <si>
    <r>
      <rPr>
        <sz val="8"/>
        <rFont val="FreeSans"/>
        <family val="2"/>
      </rPr>
      <t xml:space="preserve">ระบายน้ำผิวดินรอบฐาน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ท่อน้ำล้างแผง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</si>
  <si>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ถ่ายรูปฐานทุกต้นก่อนกลบดิน </t>
    </r>
    <r>
      <rPr>
        <sz val="8"/>
        <rFont val="Tahoma"/>
        <family val="0"/>
        <charset val="1"/>
      </rPr>
      <t xml:space="preserve">(hold point), </t>
    </r>
    <r>
      <rPr>
        <sz val="8"/>
        <rFont val="FreeSans"/>
        <family val="2"/>
      </rPr>
      <t xml:space="preserve">ความยาวตรงความลึกดิน</t>
    </r>
    <r>
      <rPr>
        <sz val="8"/>
        <rFont val="Tahoma"/>
        <family val="0"/>
        <charset val="1"/>
      </rPr>
      <t xml:space="preserve">, HDG, torque</t>
    </r>
  </si>
  <si>
    <t xml:space="preserve">▸ P9-008</t>
  </si>
  <si>
    <r>
      <rPr>
        <b val="true"/>
        <sz val="9"/>
        <color rgb="FF1F4E78"/>
        <rFont val="FreeSans"/>
        <family val="2"/>
      </rPr>
      <t xml:space="preserve">แม่แบบ หลังคาเมทัลชีท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≥ 200 kVA</t>
    </r>
  </si>
  <si>
    <t xml:space="preserve">Carport</t>
  </si>
  <si>
    <r>
      <rPr>
        <sz val="8"/>
        <rFont val="FreeSans"/>
        <family val="2"/>
      </rPr>
      <t xml:space="preserve">วางผัง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ตรวจท่อ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สายใต้ดิน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แบบโครงสร้างลงนาม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วิศวกรโยธา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</si>
  <si>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ความปลอดภัย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กั้นเขตงาน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ที่จอดรถ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รถกระเช้า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นั่งร้าน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</rPr>
      <t xml:space="preserve">งานที่สูง</t>
    </r>
  </si>
  <si>
    <r>
      <rPr>
        <sz val="8"/>
        <rFont val="FreeSans"/>
        <family val="2"/>
      </rPr>
      <t xml:space="preserve">ฐานราก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ขุด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เข็ม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ถ้ามี</t>
    </r>
    <r>
      <rPr>
        <sz val="8"/>
        <rFont val="Tahoma"/>
        <family val="0"/>
        <charset val="1"/>
      </rPr>
      <t xml:space="preserve">) + </t>
    </r>
    <r>
      <rPr>
        <sz val="8"/>
        <rFont val="FreeSans"/>
        <family val="2"/>
      </rPr>
      <t xml:space="preserve">เทคอนกรีต </t>
    </r>
    <r>
      <rPr>
        <sz val="8"/>
        <rFont val="Tahoma"/>
        <family val="0"/>
        <charset val="1"/>
      </rPr>
      <t xml:space="preserve">+ Anchor bolt + </t>
    </r>
    <r>
      <rPr>
        <sz val="8"/>
        <rFont val="FreeSans"/>
        <family val="2"/>
      </rPr>
      <t xml:space="preserve">บ่ม</t>
    </r>
  </si>
  <si>
    <r>
      <rPr>
        <sz val="8"/>
        <rFont val="FreeSans"/>
        <family val="2"/>
      </rPr>
      <t xml:space="preserve">เสา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</rPr>
      <t xml:space="preserve">คานเหล็ก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แป </t>
    </r>
    <r>
      <rPr>
        <sz val="8"/>
        <rFont val="Tahoma"/>
        <family val="0"/>
        <charset val="1"/>
      </rPr>
      <t xml:space="preserve">/ Purlin + Rail (</t>
    </r>
    <r>
      <rPr>
        <sz val="8"/>
        <rFont val="FreeSans"/>
        <family val="2"/>
      </rPr>
      <t xml:space="preserve">หรือหลังคา </t>
    </r>
    <r>
      <rPr>
        <sz val="8"/>
        <rFont val="Tahoma"/>
        <family val="0"/>
        <charset val="1"/>
      </rPr>
      <t xml:space="preserve">Metal sheet) + </t>
    </r>
    <r>
      <rPr>
        <sz val="8"/>
        <rFont val="FreeSans"/>
        <family val="2"/>
      </rPr>
      <t xml:space="preserve">ป้องกันสนิม </t>
    </r>
    <r>
      <rPr>
        <sz val="8"/>
        <rFont val="Tahoma"/>
        <family val="0"/>
        <charset val="1"/>
      </rPr>
      <t xml:space="preserve">(HDG / </t>
    </r>
    <r>
      <rPr>
        <sz val="8"/>
        <rFont val="FreeSans"/>
        <family val="2"/>
      </rPr>
      <t xml:space="preserve">ทาสี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</si>
  <si>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</rPr>
      <t xml:space="preserve">ราวกันชนเสา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ไฟส่องสว่าง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ป้าย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เส้นจอดรถ</t>
    </r>
  </si>
  <si>
    <t xml:space="preserve">▸ P9-009</t>
  </si>
  <si>
    <r>
      <rPr>
        <b val="true"/>
        <sz val="9"/>
        <color rgb="FF1F4E78"/>
        <rFont val="FreeSans"/>
        <family val="2"/>
      </rPr>
      <t xml:space="preserve">แม่แบบ ถังน้ำใส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&lt; 200 kVA</t>
    </r>
  </si>
  <si>
    <r>
      <rPr>
        <sz val="8"/>
        <rFont val="FreeSans"/>
        <family val="2"/>
      </rPr>
      <t xml:space="preserve">รางน้ำ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ระบายน้ำหลังคา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ท่อน้ำล้างแผง</t>
    </r>
  </si>
  <si>
    <t xml:space="preserve">T1</t>
  </si>
  <si>
    <r>
      <rPr>
        <sz val="9"/>
        <color rgb="FF0000FF"/>
        <rFont val="FreeSans"/>
        <family val="2"/>
      </rPr>
      <t xml:space="preserve">หลังคาถังน้ำใส </t>
    </r>
    <r>
      <rPr>
        <sz val="9"/>
        <color rgb="FF0000FF"/>
        <rFont val="Tahoma"/>
        <family val="0"/>
        <charset val="1"/>
      </rPr>
      <t xml:space="preserve">1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</si>
  <si>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ตรวจแนวดิ่ง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ระดับ</t>
    </r>
  </si>
  <si>
    <t xml:space="preserve">ภาระ</t>
  </si>
  <si>
    <r>
      <rPr>
        <b val="true"/>
        <sz val="8"/>
        <rFont val="FreeSans"/>
        <family val="2"/>
      </rPr>
      <t xml:space="preserve">หมายเหตุ </t>
    </r>
    <r>
      <rPr>
        <b val="true"/>
        <sz val="8"/>
        <rFont val="Tahoma"/>
        <family val="0"/>
        <charset val="1"/>
      </rPr>
      <t xml:space="preserve">2.2 / 2.3 / </t>
    </r>
    <r>
      <rPr>
        <b val="true"/>
        <sz val="8"/>
        <rFont val="FreeSans"/>
        <family val="2"/>
      </rPr>
      <t xml:space="preserve">ใบอนุญาต</t>
    </r>
  </si>
  <si>
    <r>
      <rPr>
        <sz val="8"/>
        <rFont val="FreeSans"/>
        <family val="2"/>
      </rPr>
      <t xml:space="preserve">กระเบื้องลอนคู่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ไฟเบอร์ซีเมนต์</t>
    </r>
    <r>
      <rPr>
        <sz val="8"/>
        <rFont val="Tahoma"/>
        <family val="0"/>
        <charset val="1"/>
      </rPr>
      <t xml:space="preserve">), </t>
    </r>
    <r>
      <rPr>
        <sz val="8"/>
        <rFont val="FreeSans"/>
        <family val="2"/>
      </rPr>
      <t xml:space="preserve">เจาะยึดแป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เดินบนแป</t>
    </r>
    <r>
      <rPr>
        <sz val="8"/>
        <rFont val="Tahoma"/>
        <family val="0"/>
        <charset val="1"/>
      </rPr>
      <t xml:space="preserve">/Walkway </t>
    </r>
    <r>
      <rPr>
        <sz val="8"/>
        <rFont val="FreeSans"/>
        <family val="2"/>
      </rPr>
      <t xml:space="preserve">เท่านั้น ห้ามเหยียบกระเบื้อง </t>
    </r>
    <r>
      <rPr>
        <sz val="8"/>
        <rFont val="Tahoma"/>
        <family val="0"/>
        <charset val="1"/>
      </rPr>
      <t xml:space="preserve">(C09), DC: Tray 100–400 × 100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</rPr>
      <t xml:space="preserve">บน </t>
    </r>
    <r>
      <rPr>
        <sz val="8"/>
        <rFont val="Tahoma"/>
        <family val="0"/>
        <charset val="1"/>
      </rPr>
      <t xml:space="preserve">Rail (C17, C16), </t>
    </r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</rPr>
      <t xml:space="preserve">ภายนอก </t>
    </r>
    <r>
      <rPr>
        <sz val="8"/>
        <rFont val="Tahoma"/>
        <family val="0"/>
        <charset val="1"/>
      </rPr>
      <t xml:space="preserve">IP65 (E10, E11),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plan, </t>
    </r>
    <r>
      <rPr>
        <sz val="8"/>
        <rFont val="FreeSans"/>
        <family val="2"/>
      </rPr>
      <t xml:space="preserve">ตรวจน้ำหนักบนหลังคา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</rPr>
      <t xml:space="preserve">ขอ อ</t>
    </r>
    <r>
      <rPr>
        <sz val="8"/>
        <rFont val="Tahoma"/>
        <family val="0"/>
        <charset val="1"/>
      </rPr>
      <t xml:space="preserve">.1, </t>
    </r>
    <r>
      <rPr>
        <sz val="8"/>
        <rFont val="FreeSans"/>
        <family val="2"/>
      </rPr>
      <t xml:space="preserve">ไม่เกิน → แจ้งเทศบาล</t>
    </r>
  </si>
  <si>
    <t xml:space="preserve">▸ P9-010</t>
  </si>
  <si>
    <r>
      <rPr>
        <b val="true"/>
        <sz val="9"/>
        <color rgb="FF1F4E78"/>
        <rFont val="FreeSans"/>
        <family val="2"/>
      </rPr>
      <t xml:space="preserve">แม่แบบ ถังน้ำใส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≥ 200 kVA</t>
    </r>
  </si>
  <si>
    <r>
      <rPr>
        <sz val="8"/>
        <rFont val="Tahoma"/>
        <family val="0"/>
        <charset val="1"/>
      </rPr>
      <t xml:space="preserve">Metal sheet, </t>
    </r>
    <r>
      <rPr>
        <sz val="8"/>
        <rFont val="FreeSans"/>
        <family val="2"/>
      </rPr>
      <t xml:space="preserve">ยึดสันลอนด้วย </t>
    </r>
    <r>
      <rPr>
        <sz val="8"/>
        <rFont val="Tahoma"/>
        <family val="0"/>
        <charset val="1"/>
      </rPr>
      <t xml:space="preserve">Kliplok / Clamp </t>
    </r>
    <r>
      <rPr>
        <sz val="8"/>
        <rFont val="FreeSans"/>
        <family val="2"/>
      </rPr>
      <t xml:space="preserve">ไม่เจาะแผ่น </t>
    </r>
    <r>
      <rPr>
        <sz val="8"/>
        <rFont val="Tahoma"/>
        <family val="0"/>
        <charset val="1"/>
      </rPr>
      <t xml:space="preserve">(C17), DC: Tray 100–400 × 100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</rPr>
      <t xml:space="preserve">บน </t>
    </r>
    <r>
      <rPr>
        <sz val="8"/>
        <rFont val="Tahoma"/>
        <family val="0"/>
        <charset val="1"/>
      </rPr>
      <t xml:space="preserve">Rail (C17, C16), </t>
    </r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</rPr>
      <t xml:space="preserve">ภายนอก </t>
    </r>
    <r>
      <rPr>
        <sz val="8"/>
        <rFont val="Tahoma"/>
        <family val="0"/>
        <charset val="1"/>
      </rPr>
      <t xml:space="preserve">IP65 (E10, E11),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plan, </t>
    </r>
    <r>
      <rPr>
        <sz val="8"/>
        <rFont val="FreeSans"/>
        <family val="2"/>
      </rPr>
      <t xml:space="preserve">ตรวจน้ำหนักบนหลังคา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</rPr>
      <t xml:space="preserve">ขอ อ</t>
    </r>
    <r>
      <rPr>
        <sz val="8"/>
        <rFont val="Tahoma"/>
        <family val="0"/>
        <charset val="1"/>
      </rPr>
      <t xml:space="preserve">.1, </t>
    </r>
    <r>
      <rPr>
        <sz val="8"/>
        <rFont val="FreeSans"/>
        <family val="2"/>
      </rPr>
      <t xml:space="preserve">ไม่เกิน → แจ้งเทศบาล</t>
    </r>
  </si>
  <si>
    <r>
      <rPr>
        <sz val="8"/>
        <rFont val="FreeSans"/>
        <family val="2"/>
      </rPr>
      <t xml:space="preserve">ยังไม่ระบุวัสดุ → เปลี่ยนเป็นหลังคาลอนคู่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หลังคาเมทัลชีทเมื่อทราบ</t>
    </r>
    <r>
      <rPr>
        <sz val="8"/>
        <rFont val="Tahoma"/>
        <family val="0"/>
        <charset val="1"/>
      </rPr>
      <t xml:space="preserve">, DC: Tray 100–400 × 100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</rPr>
      <t xml:space="preserve">บน </t>
    </r>
    <r>
      <rPr>
        <sz val="8"/>
        <rFont val="Tahoma"/>
        <family val="0"/>
        <charset val="1"/>
      </rPr>
      <t xml:space="preserve">Rail (C17, C16), </t>
    </r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</rPr>
      <t xml:space="preserve">ภายนอก </t>
    </r>
    <r>
      <rPr>
        <sz val="8"/>
        <rFont val="Tahoma"/>
        <family val="0"/>
        <charset val="1"/>
      </rPr>
      <t xml:space="preserve">IP65 (E10, E11),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plan, </t>
    </r>
    <r>
      <rPr>
        <sz val="8"/>
        <rFont val="FreeSans"/>
        <family val="2"/>
      </rPr>
      <t xml:space="preserve">ตรวจน้ำหนักบนหลังคา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</rPr>
      <t xml:space="preserve">ขอ อ</t>
    </r>
    <r>
      <rPr>
        <sz val="8"/>
        <rFont val="Tahoma"/>
        <family val="0"/>
        <charset val="1"/>
      </rPr>
      <t xml:space="preserve">.1, </t>
    </r>
    <r>
      <rPr>
        <sz val="8"/>
        <rFont val="FreeSans"/>
        <family val="2"/>
      </rPr>
      <t xml:space="preserve">ไม่เกิน → แจ้งเทศบาล</t>
    </r>
  </si>
  <si>
    <r>
      <rPr>
        <sz val="8"/>
        <rFont val="FreeSans"/>
        <family val="2"/>
      </rPr>
      <t xml:space="preserve">พื้น คสล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หลังคาถังน้ำใส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โครงยึดพุก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แบบมาตรฐาน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แบบขยายการติดตั้งแผงฯ หลังคาถังน้ำใส แบบยึดพุก</t>
    </r>
    <r>
      <rPr>
        <sz val="8"/>
        <rFont val="Tahoma"/>
        <family val="0"/>
        <charset val="1"/>
      </rPr>
      <t xml:space="preserve">), DC: Tray </t>
    </r>
    <r>
      <rPr>
        <sz val="8"/>
        <rFont val="FreeSans"/>
        <family val="2"/>
      </rPr>
      <t xml:space="preserve">บนพื้นถัง ยกพ้นน้ำขัง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เลี่ยงฝาถัง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ช่องระบาย</t>
    </r>
    <r>
      <rPr>
        <sz val="8"/>
        <rFont val="Tahoma"/>
        <family val="0"/>
        <charset val="1"/>
      </rPr>
      <t xml:space="preserve">, Ground lug/plate </t>
    </r>
    <r>
      <rPr>
        <sz val="8"/>
        <rFont val="FreeSans"/>
        <family val="2"/>
      </rPr>
      <t xml:space="preserve">ตามแบบ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ยกแผงด้วยเครน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รอก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ห้ามวางของบนฝาถัง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ตามน้ำหนักบนหลังคาถัง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แบบมาตรฐาน กปภ</t>
    </r>
    <r>
      <rPr>
        <sz val="8"/>
        <rFont val="Tahoma"/>
        <family val="0"/>
        <charset val="1"/>
      </rPr>
      <t xml:space="preserve">.), </t>
    </r>
    <r>
      <rPr>
        <sz val="8"/>
        <rFont val="FreeSans"/>
        <family val="2"/>
      </rPr>
      <t xml:space="preserve">งานเหนือถังน้ำประปา ใช้แผนสุขอนามัย</t>
    </r>
  </si>
  <si>
    <r>
      <rPr>
        <sz val="8"/>
        <rFont val="FreeSans"/>
        <family val="2"/>
      </rPr>
      <t xml:space="preserve">หลังคาถังน้ำใสแบบมีดิน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ดินหนา </t>
    </r>
    <r>
      <rPr>
        <sz val="8"/>
        <rFont val="Tahoma"/>
        <family val="0"/>
        <charset val="1"/>
      </rPr>
      <t xml:space="preserve">30–70 </t>
    </r>
    <r>
      <rPr>
        <sz val="8"/>
        <rFont val="FreeSans"/>
        <family val="2"/>
      </rPr>
      <t xml:space="preserve">ซม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</rPr>
      <t xml:space="preserve">ฐานรากแบบ </t>
    </r>
    <r>
      <rPr>
        <sz val="8"/>
        <rFont val="Tahoma"/>
        <family val="0"/>
        <charset val="1"/>
      </rPr>
      <t xml:space="preserve">STEEL SUPPORT (</t>
    </r>
    <r>
      <rPr>
        <sz val="8"/>
        <rFont val="FreeSans"/>
        <family val="2"/>
      </rPr>
      <t xml:space="preserve">แบบมาตรฐาน </t>
    </r>
    <r>
      <rPr>
        <sz val="8"/>
        <rFont val="Tahoma"/>
        <family val="0"/>
        <charset val="1"/>
      </rPr>
      <t xml:space="preserve">PEA-EMD-00-2024, 3 </t>
    </r>
    <r>
      <rPr>
        <sz val="8"/>
        <rFont val="FreeSans"/>
        <family val="2"/>
      </rPr>
      <t xml:space="preserve">แผ่น</t>
    </r>
    <r>
      <rPr>
        <sz val="8"/>
        <rFont val="Tahoma"/>
        <family val="0"/>
        <charset val="1"/>
      </rPr>
      <t xml:space="preserve">), DC: </t>
    </r>
    <r>
      <rPr>
        <sz val="8"/>
        <rFont val="FreeSans"/>
        <family val="2"/>
      </rPr>
      <t xml:space="preserve">ห้ามขุดร่องสายถึงพื้นถังนอกตำแหน่งฐาน → </t>
    </r>
    <r>
      <rPr>
        <sz val="8"/>
        <rFont val="Tahoma"/>
        <family val="0"/>
        <charset val="1"/>
      </rPr>
      <t xml:space="preserve">Tray </t>
    </r>
    <r>
      <rPr>
        <sz val="8"/>
        <rFont val="FreeSans"/>
        <family val="2"/>
      </rPr>
      <t xml:space="preserve">บนเสาเตี้ย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ท่อตื้นตามแบบ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ติดตั้งระดับพื้น ไม่ต้องยกขึ้นที่สูง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กันน้ำท่วมขังใต้แผง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ยืนยันกับเทศบาลว่าต้องแจ้งหรือไม่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ฐานเจาะเข้าพื้นถัง → แจ้ง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สาขาก่อนขุด</t>
    </r>
  </si>
  <si>
    <r>
      <rPr>
        <sz val="8"/>
        <rFont val="FreeSans"/>
        <family val="2"/>
      </rPr>
      <t xml:space="preserve">ก่อสร้างโครงหลังคาจอดรถใหม่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แผงบนหลังคา</t>
    </r>
    <r>
      <rPr>
        <sz val="8"/>
        <rFont val="Tahoma"/>
        <family val="0"/>
        <charset val="1"/>
      </rPr>
      <t xml:space="preserve">, DC: </t>
    </r>
    <r>
      <rPr>
        <sz val="8"/>
        <rFont val="FreeSans"/>
        <family val="2"/>
      </rPr>
      <t xml:space="preserve">สายเดินตามโครงเหล็ก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ท่อร้อยสายลงเสา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กันรถชน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ยกแผงด้วยรถกระเช้า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แผงเป็นหลังคา → ตรวจกันรั่ว</t>
    </r>
    <r>
      <rPr>
        <sz val="8"/>
        <rFont val="Tahoma"/>
        <family val="0"/>
        <charset val="1"/>
      </rPr>
      <t xml:space="preserve">, 1.4: </t>
    </r>
    <r>
      <rPr>
        <sz val="8"/>
        <rFont val="FreeSans"/>
        <family val="2"/>
      </rPr>
      <t xml:space="preserve">โครงสร้างใหม่ → ขออนุญาตก่อสร้าง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ข</t>
    </r>
    <r>
      <rPr>
        <sz val="8"/>
        <rFont val="Tahoma"/>
        <family val="0"/>
        <charset val="1"/>
      </rPr>
      <t xml:space="preserve">.1) </t>
    </r>
    <r>
      <rPr>
        <sz val="8"/>
        <rFont val="FreeSans"/>
        <family val="2"/>
      </rPr>
      <t xml:space="preserve">ไม่ใช่ อ</t>
    </r>
    <r>
      <rPr>
        <sz val="8"/>
        <rFont val="Tahoma"/>
        <family val="0"/>
        <charset val="1"/>
      </rPr>
      <t xml:space="preserve">.1, </t>
    </r>
    <r>
      <rPr>
        <sz val="8"/>
        <rFont val="FreeSans"/>
        <family val="2"/>
      </rPr>
      <t xml:space="preserve">เผื่อเวลาบ่มคอนกรีตในแผน</t>
    </r>
  </si>
  <si>
    <t xml:space="preserve">▸ P9-011</t>
  </si>
  <si>
    <r>
      <rPr>
        <b val="true"/>
        <sz val="9"/>
        <color rgb="FF1F4E78"/>
        <rFont val="FreeSans"/>
        <family val="2"/>
      </rPr>
      <t xml:space="preserve">แม่แบบ ถังน้ำใส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&lt; 200 kVA</t>
    </r>
  </si>
  <si>
    <r>
      <rPr>
        <i val="true"/>
        <sz val="7"/>
        <color rgb="FF595959"/>
        <rFont val="FreeSans"/>
        <family val="2"/>
      </rPr>
      <t xml:space="preserve">ภาระ </t>
    </r>
    <r>
      <rPr>
        <i val="true"/>
        <sz val="7"/>
        <color rgb="FF595959"/>
        <rFont val="Tahoma"/>
        <family val="0"/>
        <charset val="1"/>
      </rPr>
      <t xml:space="preserve">= </t>
    </r>
    <r>
      <rPr>
        <i val="true"/>
        <sz val="7"/>
        <color rgb="FF595959"/>
        <rFont val="FreeSans"/>
        <family val="2"/>
      </rPr>
      <t xml:space="preserve">งานโครงสร้างต่อ </t>
    </r>
    <r>
      <rPr>
        <i val="true"/>
        <sz val="7"/>
        <color rgb="FF595959"/>
        <rFont val="Tahoma"/>
        <family val="0"/>
        <charset val="1"/>
      </rPr>
      <t xml:space="preserve">kWp </t>
    </r>
    <r>
      <rPr>
        <i val="true"/>
        <sz val="7"/>
        <color rgb="FF595959"/>
        <rFont val="FreeSans"/>
        <family val="2"/>
      </rPr>
      <t xml:space="preserve">เทียบหลังคา </t>
    </r>
    <r>
      <rPr>
        <i val="true"/>
        <sz val="7"/>
        <color rgb="FF595959"/>
        <rFont val="Tahoma"/>
        <family val="0"/>
        <charset val="1"/>
      </rPr>
      <t xml:space="preserve">(</t>
    </r>
    <r>
      <rPr>
        <i val="true"/>
        <sz val="7"/>
        <color rgb="FF595959"/>
        <rFont val="FreeSans"/>
        <family val="2"/>
      </rPr>
      <t xml:space="preserve">ค่าตั้งต้น ปรับตามต้นทุนจริง</t>
    </r>
    <r>
      <rPr>
        <i val="true"/>
        <sz val="7"/>
        <color rgb="FF595959"/>
        <rFont val="Tahoma"/>
        <family val="0"/>
        <charset val="1"/>
      </rPr>
      <t xml:space="preserve">)</t>
    </r>
  </si>
  <si>
    <t xml:space="preserve">บันได</t>
  </si>
  <si>
    <r>
      <rPr>
        <sz val="8"/>
        <rFont val="FreeSans"/>
        <family val="2"/>
      </rPr>
      <t xml:space="preserve">ติดบันไดเมื่อสูงตั้งแต่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.) ← </t>
    </r>
    <r>
      <rPr>
        <sz val="8"/>
        <rFont val="FreeSans"/>
        <family val="2"/>
      </rPr>
      <t xml:space="preserve">แก้ได้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หลังคา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ถังน้ำใส ที่ยังไม่มีบันไดถาวร</t>
    </r>
  </si>
  <si>
    <r>
      <rPr>
        <sz val="8"/>
        <rFont val="FreeSans"/>
        <family val="2"/>
      </rPr>
      <t xml:space="preserve">แบบ กปภ</t>
    </r>
    <r>
      <rPr>
        <sz val="8"/>
        <rFont val="Tahoma"/>
        <family val="0"/>
        <charset val="1"/>
      </rPr>
      <t xml:space="preserve">. PEA-EMD-03-2024C18, </t>
    </r>
    <r>
      <rPr>
        <sz val="8"/>
        <rFont val="FreeSans"/>
        <family val="2"/>
      </rPr>
      <t xml:space="preserve">แผ่น </t>
    </r>
    <r>
      <rPr>
        <sz val="8"/>
        <rFont val="Tahoma"/>
        <family val="0"/>
        <charset val="1"/>
      </rPr>
      <t xml:space="preserve">1: </t>
    </r>
    <r>
      <rPr>
        <sz val="8"/>
        <rFont val="FreeSans"/>
        <family val="2"/>
      </rPr>
      <t xml:space="preserve">สูงไม่เกิน </t>
    </r>
    <r>
      <rPr>
        <sz val="8"/>
        <rFont val="Tahoma"/>
        <family val="0"/>
        <charset val="1"/>
      </rPr>
      <t xml:space="preserve">8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ช่วงเดียว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แผ่น </t>
    </r>
    <r>
      <rPr>
        <sz val="8"/>
        <rFont val="Tahoma"/>
        <family val="0"/>
        <charset val="1"/>
      </rPr>
      <t xml:space="preserve">2: </t>
    </r>
    <r>
      <rPr>
        <sz val="8"/>
        <rFont val="FreeSans"/>
        <family val="2"/>
      </rPr>
      <t xml:space="preserve">สูงเกิน </t>
    </r>
    <r>
      <rPr>
        <sz val="8"/>
        <rFont val="Tahoma"/>
        <family val="0"/>
        <charset val="1"/>
      </rPr>
      <t xml:space="preserve">8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2 </t>
    </r>
    <r>
      <rPr>
        <sz val="8"/>
        <rFont val="FreeSans"/>
        <family val="2"/>
      </rPr>
      <t xml:space="preserve">ช่วง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ชานพัก </t>
    </r>
    <r>
      <rPr>
        <sz val="8"/>
        <rFont val="Tahoma"/>
        <family val="0"/>
        <charset val="1"/>
      </rPr>
      <t xml:space="preserve">(Platform), </t>
    </r>
    <r>
      <rPr>
        <sz val="8"/>
        <rFont val="FreeSans"/>
        <family val="2"/>
      </rPr>
      <t xml:space="preserve">กว้าง </t>
    </r>
    <r>
      <rPr>
        <sz val="8"/>
        <rFont val="Tahoma"/>
        <family val="0"/>
        <charset val="1"/>
      </rPr>
      <t xml:space="preserve">0.60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., </t>
    </r>
    <r>
      <rPr>
        <sz val="8"/>
        <rFont val="FreeSans"/>
        <family val="2"/>
      </rPr>
      <t xml:space="preserve">ขั้นบันไดเหล็ก </t>
    </r>
    <r>
      <rPr>
        <sz val="8"/>
        <rFont val="Tahoma"/>
        <family val="0"/>
        <charset val="1"/>
      </rPr>
      <t xml:space="preserve">Pipe ø1" </t>
    </r>
    <r>
      <rPr>
        <sz val="8"/>
        <rFont val="FreeSans"/>
        <family val="2"/>
      </rPr>
      <t xml:space="preserve">ทุก </t>
    </r>
    <r>
      <rPr>
        <sz val="8"/>
        <rFont val="Tahoma"/>
        <family val="0"/>
        <charset val="1"/>
      </rPr>
      <t xml:space="preserve">0.40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., </t>
    </r>
    <r>
      <rPr>
        <sz val="8"/>
        <rFont val="FreeSans"/>
        <family val="2"/>
      </rPr>
      <t xml:space="preserve">ราวข้างเหล็กกล่อง </t>
    </r>
    <r>
      <rPr>
        <sz val="8"/>
        <rFont val="Tahoma"/>
        <family val="0"/>
        <charset val="1"/>
      </rPr>
      <t xml:space="preserve">2"×2", </t>
    </r>
    <r>
      <rPr>
        <sz val="8"/>
        <rFont val="FreeSans"/>
        <family val="2"/>
      </rPr>
      <t xml:space="preserve">กรงเหล็ก </t>
    </r>
    <r>
      <rPr>
        <sz val="8"/>
        <rFont val="Tahoma"/>
        <family val="0"/>
        <charset val="1"/>
      </rPr>
      <t xml:space="preserve">Flat bar 1" </t>
    </r>
    <r>
      <rPr>
        <sz val="8"/>
        <rFont val="FreeSans"/>
        <family val="2"/>
      </rPr>
      <t xml:space="preserve">ทุก </t>
    </r>
    <r>
      <rPr>
        <sz val="8"/>
        <rFont val="Tahoma"/>
        <family val="0"/>
        <charset val="1"/>
      </rPr>
      <t xml:space="preserve">0.60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เริ่มที่ </t>
    </r>
    <r>
      <rPr>
        <sz val="8"/>
        <rFont val="Tahoma"/>
        <family val="0"/>
        <charset val="1"/>
      </rPr>
      <t xml:space="preserve">2.35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จากพื้น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ยื่นเหนือหลังคา </t>
    </r>
    <r>
      <rPr>
        <sz val="8"/>
        <rFont val="Tahoma"/>
        <family val="0"/>
        <charset val="1"/>
      </rPr>
      <t xml:space="preserve">1.00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</rPr>
      <t xml:space="preserve">ชานและราวจับ </t>
    </r>
    <r>
      <rPr>
        <sz val="8"/>
        <rFont val="Tahoma"/>
        <family val="0"/>
        <charset val="1"/>
      </rPr>
      <t xml:space="preserve">1.00 + 0.90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., </t>
    </r>
    <r>
      <rPr>
        <sz val="8"/>
        <rFont val="FreeSans"/>
        <family val="2"/>
      </rPr>
      <t xml:space="preserve">ยึดผนังด้วย </t>
    </r>
    <r>
      <rPr>
        <sz val="8"/>
        <rFont val="Tahoma"/>
        <family val="0"/>
        <charset val="1"/>
      </rPr>
      <t xml:space="preserve">Stud bolt ø12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</rPr>
      <t xml:space="preserve">ระยะ </t>
    </r>
    <r>
      <rPr>
        <sz val="8"/>
        <rFont val="Tahoma"/>
        <family val="0"/>
        <charset val="1"/>
      </rPr>
      <t xml:space="preserve">150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., </t>
    </r>
    <r>
      <rPr>
        <sz val="8"/>
        <rFont val="FreeSans"/>
        <family val="2"/>
      </rPr>
      <t xml:space="preserve">ห่างผนัง </t>
    </r>
    <r>
      <rPr>
        <sz val="8"/>
        <rFont val="Tahoma"/>
        <family val="0"/>
        <charset val="1"/>
      </rPr>
      <t xml:space="preserve">200 </t>
    </r>
    <r>
      <rPr>
        <sz val="8"/>
        <rFont val="FreeSans"/>
        <family val="2"/>
      </rPr>
      <t xml:space="preserve">มม</t>
    </r>
    <r>
      <rPr>
        <sz val="8"/>
        <rFont val="Tahoma"/>
        <family val="0"/>
        <charset val="1"/>
      </rPr>
      <t xml:space="preserve">.), ICL: </t>
    </r>
    <r>
      <rPr>
        <sz val="8"/>
        <rFont val="FreeSans"/>
        <family val="2"/>
      </rPr>
      <t xml:space="preserve">ยึดผนังครบทุกจุด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กรงต่อเนื่องถึงชานบน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ทาสีกันสนิม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ตรวจรับก่อนใช้ขึ้นลง</t>
    </r>
  </si>
  <si>
    <t xml:space="preserve">▸ P9-012</t>
  </si>
  <si>
    <r>
      <rPr>
        <b val="true"/>
        <sz val="9"/>
        <color rgb="FF1F4E78"/>
        <rFont val="FreeSans"/>
        <family val="2"/>
      </rPr>
      <t xml:space="preserve">แม่แบบ ถังน้ำใส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≥ 200 kVA</t>
    </r>
  </si>
  <si>
    <t xml:space="preserve">▸ P9-013</t>
  </si>
  <si>
    <r>
      <rPr>
        <b val="true"/>
        <sz val="9"/>
        <color rgb="FF1F4E78"/>
        <rFont val="FreeSans"/>
        <family val="2"/>
      </rPr>
      <t xml:space="preserve">แม่แบบ ถังดินกลบ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&lt; 200 kVA</t>
    </r>
  </si>
  <si>
    <t xml:space="preserve">B1</t>
  </si>
  <si>
    <r>
      <rPr>
        <sz val="9"/>
        <color rgb="FF0000FF"/>
        <rFont val="FreeSans"/>
        <family val="2"/>
      </rPr>
      <t xml:space="preserve">หลังคาถังน้ำใสแบบมีดิน </t>
    </r>
    <r>
      <rPr>
        <sz val="9"/>
        <color rgb="FF0000FF"/>
        <rFont val="Tahoma"/>
        <family val="0"/>
        <charset val="1"/>
      </rPr>
      <t xml:space="preserve">1</t>
    </r>
  </si>
  <si>
    <t xml:space="preserve">▸ P9-014</t>
  </si>
  <si>
    <r>
      <rPr>
        <b val="true"/>
        <sz val="9"/>
        <color rgb="FF1F4E78"/>
        <rFont val="FreeSans"/>
        <family val="2"/>
      </rPr>
      <t xml:space="preserve">แม่แบบ ถังดินกลบ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≥ 200 kVA</t>
    </r>
  </si>
  <si>
    <t xml:space="preserve">▸ P9-015</t>
  </si>
  <si>
    <r>
      <rPr>
        <b val="true"/>
        <sz val="9"/>
        <color rgb="FF1F4E78"/>
        <rFont val="FreeSans"/>
        <family val="2"/>
      </rPr>
      <t xml:space="preserve">แม่แบบ ถังดินกลบ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&lt; 200 kVA</t>
    </r>
  </si>
  <si>
    <t xml:space="preserve">▸ P9-016</t>
  </si>
  <si>
    <r>
      <rPr>
        <b val="true"/>
        <sz val="9"/>
        <color rgb="FF1F4E78"/>
        <rFont val="FreeSans"/>
        <family val="2"/>
      </rPr>
      <t xml:space="preserve">แม่แบบ ถังดินกลบ</t>
    </r>
    <r>
      <rPr>
        <b val="true"/>
        <sz val="9"/>
        <color rgb="FF1F4E78"/>
        <rFont val="Tahoma"/>
        <family val="0"/>
        <charset val="1"/>
      </rPr>
      <t xml:space="preserve">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≥ 200 kVA</t>
    </r>
  </si>
  <si>
    <t xml:space="preserve">▸ P9-017</t>
  </si>
  <si>
    <r>
      <rPr>
        <b val="true"/>
        <sz val="9"/>
        <color rgb="FF1F4E78"/>
        <rFont val="FreeSans"/>
        <family val="2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&lt; 200 kVA</t>
    </r>
  </si>
  <si>
    <t xml:space="preserve">C1</t>
  </si>
  <si>
    <r>
      <rPr>
        <sz val="9"/>
        <color rgb="FF0000FF"/>
        <rFont val="Tahoma"/>
        <family val="0"/>
        <charset val="1"/>
      </rPr>
      <t xml:space="preserve">Carport </t>
    </r>
    <r>
      <rPr>
        <sz val="9"/>
        <color rgb="FF0000FF"/>
        <rFont val="FreeSans"/>
        <family val="2"/>
      </rPr>
      <t xml:space="preserve">ลานจอดรถ</t>
    </r>
  </si>
  <si>
    <t xml:space="preserve">▸ P9-018</t>
  </si>
  <si>
    <r>
      <rPr>
        <b val="true"/>
        <sz val="9"/>
        <color rgb="FF1F4E78"/>
        <rFont val="FreeSans"/>
        <family val="2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HV, Inverter ≥ 200 kVA</t>
    </r>
  </si>
  <si>
    <t xml:space="preserve">▸ P9-019</t>
  </si>
  <si>
    <r>
      <rPr>
        <b val="true"/>
        <sz val="9"/>
        <color rgb="FF1F4E78"/>
        <rFont val="FreeSans"/>
        <family val="2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&lt; 200 kVA</t>
    </r>
  </si>
  <si>
    <t xml:space="preserve">▸ P9-020</t>
  </si>
  <si>
    <r>
      <rPr>
        <b val="true"/>
        <sz val="9"/>
        <color rgb="FF1F4E78"/>
        <rFont val="FreeSans"/>
        <family val="2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Carport, </t>
    </r>
    <r>
      <rPr>
        <b val="true"/>
        <sz val="9"/>
        <color rgb="FF1F4E78"/>
        <rFont val="FreeSans"/>
        <family val="2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LV, Inverter ≥ 200 kVA</t>
    </r>
  </si>
  <si>
    <r>
      <rPr>
        <b val="true"/>
        <sz val="9"/>
        <color rgb="FF1F4E78"/>
        <rFont val="FreeSans"/>
        <family val="2"/>
      </rPr>
      <t xml:space="preserve">แถวเพิ่ม</t>
    </r>
    <r>
      <rPr>
        <b val="true"/>
        <sz val="9"/>
        <color rgb="FF1F4E78"/>
        <rFont val="Tahoma"/>
        <family val="0"/>
        <charset val="1"/>
      </rPr>
      <t xml:space="preserve">: </t>
    </r>
    <r>
      <rPr>
        <b val="true"/>
        <sz val="9"/>
        <color rgb="FF1F4E78"/>
        <rFont val="FreeSans"/>
        <family val="2"/>
      </rPr>
      <t xml:space="preserve">สถานีที่มีจุดติดตั้งมากกว่าช่องในกลุ่ม ใส่รหัสสถานีแล้วกรอกต่อได้ที่นี่</t>
    </r>
  </si>
  <si>
    <r>
      <rPr>
        <b val="true"/>
        <sz val="14"/>
        <color rgb="FF1F4E78"/>
        <rFont val="Tahoma"/>
        <family val="0"/>
        <charset val="1"/>
      </rPr>
      <t xml:space="preserve">Inverter station </t>
    </r>
    <r>
      <rPr>
        <b val="true"/>
        <sz val="14"/>
        <color rgb="FF1F4E78"/>
        <rFont val="FreeSans"/>
        <family val="2"/>
      </rPr>
      <t xml:space="preserve">รายสถานี – เลือกรูปแบบ </t>
    </r>
    <r>
      <rPr>
        <b val="true"/>
        <sz val="14"/>
        <color rgb="FF1F4E78"/>
        <rFont val="Tahoma"/>
        <family val="0"/>
        <charset val="1"/>
      </rPr>
      <t xml:space="preserve">(</t>
    </r>
    <r>
      <rPr>
        <b val="true"/>
        <sz val="14"/>
        <color rgb="FF1F4E78"/>
        <rFont val="FreeSans"/>
        <family val="2"/>
      </rPr>
      <t xml:space="preserve">งาน </t>
    </r>
    <r>
      <rPr>
        <b val="true"/>
        <sz val="14"/>
        <color rgb="FF1F4E78"/>
        <rFont val="Tahoma"/>
        <family val="0"/>
        <charset val="1"/>
      </rPr>
      <t xml:space="preserve">2.5.1)</t>
    </r>
  </si>
  <si>
    <r>
      <rPr>
        <i val="true"/>
        <sz val="9"/>
        <color rgb="FF595959"/>
        <rFont val="FreeSans"/>
        <family val="2"/>
      </rPr>
      <t xml:space="preserve">เลือก ‘รูปแบบ’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ช่องเหลือง</t>
    </r>
    <r>
      <rPr>
        <i val="true"/>
        <sz val="9"/>
        <color rgb="FF595959"/>
        <rFont val="Tahoma"/>
        <family val="0"/>
        <charset val="1"/>
      </rPr>
      <t xml:space="preserve">) → </t>
    </r>
    <r>
      <rPr>
        <i val="true"/>
        <sz val="9"/>
        <color rgb="FF595959"/>
        <rFont val="FreeSans"/>
        <family val="2"/>
      </rPr>
      <t xml:space="preserve">ชีตสถานีแสดง </t>
    </r>
    <r>
      <rPr>
        <i val="true"/>
        <sz val="9"/>
        <color rgb="FF595959"/>
        <rFont val="Tahoma"/>
        <family val="0"/>
        <charset val="1"/>
      </rPr>
      <t xml:space="preserve">6 </t>
    </r>
    <r>
      <rPr>
        <i val="true"/>
        <sz val="9"/>
        <color rgb="FF595959"/>
        <rFont val="FreeSans"/>
        <family val="2"/>
      </rPr>
      <t xml:space="preserve">ขั้นงานของรูปแบบนั้น ให้ติ๊ก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</rPr>
      <t xml:space="preserve">ทีละขั้น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ชุด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</rPr>
      <t xml:space="preserve">และขนาดโรงเรือน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ประมาณจาก </t>
    </r>
    <r>
      <rPr>
        <i val="true"/>
        <sz val="9"/>
        <color rgb="FF595959"/>
        <rFont val="Tahoma"/>
        <family val="0"/>
        <charset val="1"/>
      </rPr>
      <t xml:space="preserve">kW Inverter </t>
    </r>
    <r>
      <rPr>
        <i val="true"/>
        <sz val="9"/>
        <color rgb="FF595959"/>
        <rFont val="FreeSans"/>
        <family val="2"/>
      </rPr>
      <t xml:space="preserve">ของสถานี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ขนาด </t>
    </r>
    <r>
      <rPr>
        <i val="true"/>
        <sz val="9"/>
        <color rgb="FF595959"/>
        <rFont val="Tahoma"/>
        <family val="0"/>
        <charset val="1"/>
      </rPr>
      <t xml:space="preserve">Growatt 125 / 80 / 60 / 40 kW </t>
    </r>
    <r>
      <rPr>
        <i val="true"/>
        <sz val="9"/>
        <color rgb="FF595959"/>
        <rFont val="FreeSans"/>
        <family val="2"/>
      </rPr>
      <t xml:space="preserve">ตามแบบ </t>
    </r>
    <r>
      <rPr>
        <i val="true"/>
        <sz val="9"/>
        <color rgb="FF595959"/>
        <rFont val="Tahoma"/>
        <family val="0"/>
        <charset val="1"/>
      </rPr>
      <t xml:space="preserve">E09: </t>
    </r>
    <r>
      <rPr>
        <i val="true"/>
        <sz val="9"/>
        <color rgb="FF595959"/>
        <rFont val="FreeSans"/>
        <family val="2"/>
      </rPr>
      <t xml:space="preserve">ตู้ </t>
    </r>
    <r>
      <rPr>
        <i val="true"/>
        <sz val="9"/>
        <color rgb="FF595959"/>
        <rFont val="Tahoma"/>
        <family val="0"/>
        <charset val="1"/>
      </rPr>
      <t xml:space="preserve">AC-DB + METER-DB ~4 </t>
    </r>
    <r>
      <rPr>
        <i val="true"/>
        <sz val="9"/>
        <color rgb="FF595959"/>
        <rFont val="FreeSans"/>
        <family val="2"/>
      </rPr>
      <t xml:space="preserve">ม</t>
    </r>
    <r>
      <rPr>
        <i val="true"/>
        <sz val="9"/>
        <color rgb="FF595959"/>
        <rFont val="Tahoma"/>
        <family val="0"/>
        <charset val="1"/>
      </rPr>
      <t xml:space="preserve">. + 2.5 </t>
    </r>
    <r>
      <rPr>
        <i val="true"/>
        <sz val="9"/>
        <color rgb="FF595959"/>
        <rFont val="FreeSans"/>
        <family val="2"/>
      </rPr>
      <t xml:space="preserve">ม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ต่อ </t>
    </r>
    <r>
      <rPr>
        <i val="true"/>
        <sz val="9"/>
        <color rgb="FF595959"/>
        <rFont val="Tahoma"/>
        <family val="0"/>
        <charset val="1"/>
      </rPr>
      <t xml:space="preserve">Inverter) </t>
    </r>
    <r>
      <rPr>
        <i val="true"/>
        <sz val="9"/>
        <color rgb="FF595959"/>
        <rFont val="FreeSans"/>
        <family val="2"/>
      </rPr>
      <t xml:space="preserve">แก้ชุด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</rPr>
      <t xml:space="preserve">ได้เมื่อรู้จริง</t>
    </r>
  </si>
  <si>
    <t xml:space="preserve">→ แม่แบบ 6 ขั้นของแต่ละรูปแบบ (ชีตแบบมาตรฐาน)</t>
  </si>
  <si>
    <r>
      <rPr>
        <b val="true"/>
        <sz val="9"/>
        <color rgb="FFFFFFFF"/>
        <rFont val="Tahoma"/>
        <family val="0"/>
        <charset val="1"/>
      </rPr>
      <t xml:space="preserve">Inverter </t>
    </r>
    <r>
      <rPr>
        <b val="true"/>
        <sz val="9"/>
        <color rgb="FFFFFFFF"/>
        <rFont val="FreeSans"/>
        <family val="2"/>
      </rPr>
      <t xml:space="preserve">รวม </t>
    </r>
    <r>
      <rPr>
        <b val="true"/>
        <sz val="9"/>
        <color rgb="FFFFFFFF"/>
        <rFont val="Tahoma"/>
        <family val="0"/>
        <charset val="1"/>
      </rPr>
      <t xml:space="preserve">(kW)</t>
    </r>
  </si>
  <si>
    <r>
      <rPr>
        <b val="true"/>
        <sz val="9"/>
        <color rgb="FFFFFFFF"/>
        <rFont val="FreeSans"/>
        <family val="2"/>
      </rPr>
      <t xml:space="preserve">ชุด </t>
    </r>
    <r>
      <rPr>
        <b val="true"/>
        <sz val="9"/>
        <color rgb="FFFFFFFF"/>
        <rFont val="Tahoma"/>
        <family val="0"/>
        <charset val="1"/>
      </rPr>
      <t xml:space="preserve">Inverter (kW)</t>
    </r>
  </si>
  <si>
    <r>
      <rPr>
        <b val="true"/>
        <sz val="9"/>
        <color rgb="FFFFFFFF"/>
        <rFont val="FreeSans"/>
        <family val="2"/>
      </rPr>
      <t xml:space="preserve">จำนวน </t>
    </r>
    <r>
      <rPr>
        <b val="true"/>
        <sz val="9"/>
        <color rgb="FFFFFFFF"/>
        <rFont val="Tahoma"/>
        <family val="0"/>
        <charset val="1"/>
      </rPr>
      <t xml:space="preserve">Inverter</t>
    </r>
  </si>
  <si>
    <r>
      <rPr>
        <b val="true"/>
        <sz val="9"/>
        <color rgb="FFFFFFFF"/>
        <rFont val="FreeSans"/>
        <family val="2"/>
      </rPr>
      <t xml:space="preserve">รูปแบบ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เลือก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</si>
  <si>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ขนาดโรงเรือน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ประมาณ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</si>
  <si>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DC-DB (</t>
    </r>
    <r>
      <rPr>
        <b val="true"/>
        <sz val="9"/>
        <color rgb="FFFFFFFF"/>
        <rFont val="FreeSans"/>
        <family val="2"/>
      </rPr>
      <t xml:space="preserve">ตู้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</si>
  <si>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ที่มา</t>
  </si>
  <si>
    <r>
      <rPr>
        <b val="true"/>
        <sz val="9"/>
        <color rgb="FFFFFFFF"/>
        <rFont val="Tahoma"/>
        <family val="0"/>
        <charset val="1"/>
      </rPr>
      <t xml:space="preserve">2.5.1 </t>
    </r>
    <r>
      <rPr>
        <b val="true"/>
        <sz val="9"/>
        <color rgb="FFFFFFFF"/>
        <rFont val="FreeSans"/>
        <family val="2"/>
      </rPr>
      <t xml:space="preserve">เสร็จ</t>
    </r>
  </si>
  <si>
    <t xml:space="preserve">125</t>
  </si>
  <si>
    <r>
      <rPr>
        <sz val="9"/>
        <color rgb="FF0000FF"/>
        <rFont val="FreeSans"/>
        <family val="2"/>
      </rPr>
      <t xml:space="preserve">สร้างใหม่ </t>
    </r>
    <r>
      <rPr>
        <sz val="9"/>
        <color rgb="FF0000FF"/>
        <rFont val="Tahoma"/>
        <family val="0"/>
        <charset val="1"/>
      </rPr>
      <t xml:space="preserve">(E09)</t>
    </r>
  </si>
  <si>
    <r>
      <rPr>
        <sz val="9"/>
        <color rgb="FF0000FF"/>
        <rFont val="FreeSans"/>
        <family val="2"/>
      </rPr>
      <t xml:space="preserve">ประมาณจาก </t>
    </r>
    <r>
      <rPr>
        <sz val="9"/>
        <color rgb="FF0000FF"/>
        <rFont val="Tahoma"/>
        <family val="0"/>
        <charset val="1"/>
      </rPr>
      <t xml:space="preserve">kW Inverter — </t>
    </r>
    <r>
      <rPr>
        <sz val="9"/>
        <color rgb="FF0000FF"/>
        <rFont val="FreeSans"/>
        <family val="2"/>
      </rPr>
      <t xml:space="preserve">ยืนยันหน้างาน</t>
    </r>
  </si>
  <si>
    <t xml:space="preserve">125+125</t>
  </si>
  <si>
    <t xml:space="preserve">สรุป</t>
  </si>
  <si>
    <r>
      <rPr>
        <sz val="9"/>
        <rFont val="FreeSans"/>
        <family val="2"/>
      </rPr>
      <t xml:space="preserve">สร้างใหม่ </t>
    </r>
    <r>
      <rPr>
        <sz val="9"/>
        <rFont val="Tahoma"/>
        <family val="0"/>
        <charset val="1"/>
      </rPr>
      <t xml:space="preserve">(E09)</t>
    </r>
  </si>
  <si>
    <r>
      <rPr>
        <sz val="9"/>
        <rFont val="FreeSans"/>
        <family val="2"/>
      </rPr>
      <t xml:space="preserve">ในอาคารเดิม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ผนังเดิม</t>
    </r>
  </si>
  <si>
    <r>
      <rPr>
        <sz val="9"/>
        <rFont val="FreeSans"/>
        <family val="2"/>
      </rPr>
      <t xml:space="preserve">บนหลังคาถังน้ำใส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ดาดฟ้า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</si>
  <si>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</rPr>
      <t xml:space="preserve">รวมทั้งเฟส</t>
    </r>
  </si>
  <si>
    <r>
      <rPr>
        <b val="true"/>
        <sz val="14"/>
        <color rgb="FF1F4E78"/>
        <rFont val="FreeSans"/>
        <family val="2"/>
      </rPr>
      <t xml:space="preserve">แบบมาตรฐานการติดตั้ง กปภ</t>
    </r>
    <r>
      <rPr>
        <b val="true"/>
        <sz val="14"/>
        <color rgb="FF1F4E78"/>
        <rFont val="Tahoma"/>
        <family val="0"/>
        <charset val="1"/>
      </rPr>
      <t xml:space="preserve">. – </t>
    </r>
    <r>
      <rPr>
        <b val="true"/>
        <sz val="14"/>
        <color rgb="FF1F4E78"/>
        <rFont val="FreeSans"/>
        <family val="2"/>
      </rPr>
      <t xml:space="preserve">ใช้กับงานไหน ตรวจอะไร</t>
    </r>
  </si>
  <si>
    <r>
      <rPr>
        <i val="true"/>
        <sz val="9"/>
        <color rgb="FF595959"/>
        <rFont val="FreeSans"/>
        <family val="2"/>
      </rPr>
      <t xml:space="preserve">ชุดแบบ </t>
    </r>
    <r>
      <rPr>
        <i val="true"/>
        <sz val="9"/>
        <color rgb="FF595959"/>
        <rFont val="Tahoma"/>
        <family val="0"/>
        <charset val="1"/>
      </rPr>
      <t xml:space="preserve">PEA-EMD-xx-2024 </t>
    </r>
    <r>
      <rPr>
        <i val="true"/>
        <sz val="9"/>
        <color rgb="FF595959"/>
        <rFont val="FreeSans"/>
        <family val="2"/>
      </rPr>
      <t xml:space="preserve">ของแต่ละสถานีใช้เลขแผ่นเดียวกัน </t>
    </r>
    <r>
      <rPr>
        <i val="true"/>
        <sz val="9"/>
        <color rgb="FF595959"/>
        <rFont val="Tahoma"/>
        <family val="0"/>
        <charset val="1"/>
      </rPr>
      <t xml:space="preserve">(C = </t>
    </r>
    <r>
      <rPr>
        <i val="true"/>
        <sz val="9"/>
        <color rgb="FF595959"/>
        <rFont val="FreeSans"/>
        <family val="2"/>
      </rPr>
      <t xml:space="preserve">โยธา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โครงสร้าง</t>
    </r>
    <r>
      <rPr>
        <i val="true"/>
        <sz val="9"/>
        <color rgb="FF595959"/>
        <rFont val="Tahoma"/>
        <family val="0"/>
        <charset val="1"/>
      </rPr>
      <t xml:space="preserve">, E = </t>
    </r>
    <r>
      <rPr>
        <i val="true"/>
        <sz val="9"/>
        <color rgb="FF595959"/>
        <rFont val="FreeSans"/>
        <family val="2"/>
      </rPr>
      <t xml:space="preserve">ไฟฟ้า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เลขแบบของแต่ละงานดูได้ในตารางด้านล่าง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จุดตรวจ </t>
    </r>
    <r>
      <rPr>
        <i val="true"/>
        <sz val="9"/>
        <color rgb="FF595959"/>
        <rFont val="Tahoma"/>
        <family val="0"/>
        <charset val="1"/>
      </rPr>
      <t xml:space="preserve">ICL = </t>
    </r>
    <r>
      <rPr>
        <i val="true"/>
        <sz val="9"/>
        <color rgb="FF595959"/>
        <rFont val="FreeSans"/>
        <family val="2"/>
      </rPr>
      <t xml:space="preserve">สิ่งที่ต้องเห็นก่อนติ๊กเสร็จ</t>
    </r>
  </si>
  <si>
    <t xml:space="preserve">→ จุดติดตั้ง</t>
  </si>
  <si>
    <t xml:space="preserve">เลขแบบ</t>
  </si>
  <si>
    <t xml:space="preserve">ชื่อแบบ</t>
  </si>
  <si>
    <t xml:space="preserve">แผ่น</t>
  </si>
  <si>
    <r>
      <rPr>
        <b val="true"/>
        <sz val="9"/>
        <color rgb="FFFFFFFF"/>
        <rFont val="FreeSans"/>
        <family val="2"/>
      </rPr>
      <t xml:space="preserve">ใช้กับ </t>
    </r>
    <r>
      <rPr>
        <b val="true"/>
        <sz val="9"/>
        <color rgb="FFFFFFFF"/>
        <rFont val="Tahoma"/>
        <family val="0"/>
        <charset val="1"/>
      </rPr>
      <t xml:space="preserve">WBS</t>
    </r>
  </si>
  <si>
    <t xml:space="preserve">ใช้เมื่อ</t>
  </si>
  <si>
    <t xml:space="preserve">ใช้กี่แห่ง</t>
  </si>
  <si>
    <t xml:space="preserve">สเปกหลักตามแบบ</t>
  </si>
  <si>
    <r>
      <rPr>
        <b val="true"/>
        <sz val="9"/>
        <color rgb="FFFFFFFF"/>
        <rFont val="FreeSans"/>
        <family val="2"/>
      </rPr>
      <t xml:space="preserve">จุดตรวจ </t>
    </r>
    <r>
      <rPr>
        <b val="true"/>
        <sz val="9"/>
        <color rgb="FFFFFFFF"/>
        <rFont val="Tahoma"/>
        <family val="0"/>
        <charset val="1"/>
      </rPr>
      <t xml:space="preserve">ICL (</t>
    </r>
    <r>
      <rPr>
        <b val="true"/>
        <sz val="9"/>
        <color rgb="FFFFFFFF"/>
        <rFont val="FreeSans"/>
        <family val="2"/>
      </rPr>
      <t xml:space="preserve">ก่อนติ๊กเสร็จ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</si>
  <si>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C09</t>
  </si>
  <si>
    <t xml:space="preserve">แบบขยายการติดตั้งแผงบนหลังคากระเบื้องลอนคู่</t>
  </si>
  <si>
    <t xml:space="preserve">2.1.1, 2.1.3, 2.1.4, 2.1.7, 2.3.2, 2.3.5</t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</si>
  <si>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</rPr>
      <t xml:space="preserve">ยึดแป </t>
    </r>
    <r>
      <rPr>
        <sz val="9"/>
        <rFont val="Tahoma"/>
        <family val="0"/>
        <charset val="1"/>
      </rPr>
      <t xml:space="preserve">+ L-bracket, </t>
    </r>
    <r>
      <rPr>
        <sz val="9"/>
        <rFont val="FreeSans"/>
        <family val="2"/>
      </rPr>
      <t xml:space="preserve">ระยะยึดตามระยะแป </t>
    </r>
    <r>
      <rPr>
        <sz val="9"/>
        <rFont val="Tahoma"/>
        <family val="0"/>
        <charset val="1"/>
      </rPr>
      <t xml:space="preserve">(X), </t>
    </r>
    <r>
      <rPr>
        <sz val="9"/>
        <rFont val="FreeSans"/>
        <family val="2"/>
      </rPr>
      <t xml:space="preserve">ปลาย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</rPr>
      <t xml:space="preserve">ยื่น </t>
    </r>
    <r>
      <rPr>
        <sz val="9"/>
        <rFont val="Tahoma"/>
        <family val="0"/>
        <charset val="1"/>
      </rPr>
      <t xml:space="preserve">70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1.134 × 2.279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ช่องห่างแผง </t>
    </r>
    <r>
      <rPr>
        <sz val="9"/>
        <rFont val="Tahoma"/>
        <family val="0"/>
        <charset val="1"/>
      </rPr>
      <t xml:space="preserve">20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ปลาย </t>
    </r>
    <r>
      <rPr>
        <sz val="9"/>
        <rFont val="Tahoma"/>
        <family val="0"/>
        <charset val="1"/>
      </rPr>
      <t xml:space="preserve">40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</si>
  <si>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</rPr>
      <t xml:space="preserve">เข้าแปทุกจุด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ซีลกันซึม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แรงขัน </t>
    </r>
    <r>
      <rPr>
        <sz val="9"/>
        <rFont val="Tahoma"/>
        <family val="0"/>
        <charset val="1"/>
      </rPr>
      <t xml:space="preserve">M8 = 12 N·m, M10 = 21 N·m, </t>
    </r>
    <r>
      <rPr>
        <sz val="9"/>
        <rFont val="FreeSans"/>
        <family val="2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ฉีดน้ำ</t>
    </r>
    <r>
      <rPr>
        <sz val="9"/>
        <rFont val="Tahoma"/>
        <family val="0"/>
        <charset val="1"/>
      </rPr>
      <t xml:space="preserve">)</t>
    </r>
  </si>
  <si>
    <t xml:space="preserve">C15</t>
  </si>
  <si>
    <t xml:space="preserve">แบบขยายการติดตั้งแผงบนหลังคาถังน้ำใส แบบยึดพุก</t>
  </si>
  <si>
    <t xml:space="preserve">2.1.1, 2.1.3, 2.1.4, 2.1.7, 2.2.4, 2.3.5</t>
  </si>
  <si>
    <r>
      <rPr>
        <sz val="9"/>
        <rFont val="FreeSans"/>
        <family val="2"/>
      </rPr>
      <t xml:space="preserve">ฐาน </t>
    </r>
    <r>
      <rPr>
        <sz val="9"/>
        <rFont val="Tahoma"/>
        <family val="0"/>
        <charset val="1"/>
      </rPr>
      <t xml:space="preserve">Concrete topping 300×300×150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+ Expansion bolt M12 + Base </t>
    </r>
    <r>
      <rPr>
        <sz val="9"/>
        <rFont val="FreeSans"/>
        <family val="2"/>
      </rPr>
      <t xml:space="preserve">อลูมิเนียม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เสาห่าง </t>
    </r>
    <r>
      <rPr>
        <sz val="9"/>
        <rFont val="Tahoma"/>
        <family val="0"/>
        <charset val="1"/>
      </rPr>
      <t xml:space="preserve">2.70 × 2.80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โครง </t>
    </r>
    <r>
      <rPr>
        <sz val="9"/>
        <rFont val="Tahoma"/>
        <family val="0"/>
        <charset val="1"/>
      </rPr>
      <t xml:space="preserve">Front/Back post </t>
    </r>
    <r>
      <rPr>
        <sz val="9"/>
        <rFont val="FreeSans"/>
        <family val="2"/>
      </rPr>
      <t xml:space="preserve">สูง </t>
    </r>
    <r>
      <rPr>
        <sz val="9"/>
        <rFont val="Tahoma"/>
        <family val="0"/>
        <charset val="1"/>
      </rPr>
      <t xml:space="preserve">2.00 / 1.00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+ Bracing, Rail </t>
    </r>
    <r>
      <rPr>
        <sz val="9"/>
        <rFont val="FreeSans"/>
        <family val="2"/>
      </rPr>
      <t xml:space="preserve">อลูมิเนียม </t>
    </r>
    <r>
      <rPr>
        <sz val="9"/>
        <rFont val="Tahoma"/>
        <family val="0"/>
        <charset val="1"/>
      </rPr>
      <t xml:space="preserve">+ End/Mid clamp + Bolt SUS 304, Ground lug / Ground plate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Rail, </t>
    </r>
    <r>
      <rPr>
        <sz val="9"/>
        <rFont val="FreeSans"/>
        <family val="2"/>
      </rPr>
      <t xml:space="preserve">ฐานเว้นช่องท่อ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ฝาถัง</t>
    </r>
  </si>
  <si>
    <r>
      <rPr>
        <sz val="9"/>
        <rFont val="FreeSans"/>
        <family val="2"/>
      </rPr>
      <t xml:space="preserve">ไม่เจาะทะลุ </t>
    </r>
    <r>
      <rPr>
        <sz val="9"/>
        <rFont val="Tahoma"/>
        <family val="0"/>
        <charset val="1"/>
      </rPr>
      <t xml:space="preserve">slab, </t>
    </r>
    <r>
      <rPr>
        <sz val="9"/>
        <rFont val="FreeSans"/>
        <family val="2"/>
      </rPr>
      <t xml:space="preserve">พุกครบ </t>
    </r>
    <r>
      <rPr>
        <sz val="9"/>
        <rFont val="Tahoma"/>
        <family val="0"/>
        <charset val="1"/>
      </rPr>
      <t xml:space="preserve">4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ฐาน</t>
    </r>
    <r>
      <rPr>
        <sz val="9"/>
        <rFont val="Tahoma"/>
        <family val="0"/>
        <charset val="1"/>
      </rPr>
      <t xml:space="preserve">, Ground lug </t>
    </r>
    <r>
      <rPr>
        <sz val="9"/>
        <rFont val="FreeSans"/>
        <family val="2"/>
      </rPr>
      <t xml:space="preserve">ครบตามผัง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ระยะเสาตามแบบ</t>
    </r>
  </si>
  <si>
    <t xml:space="preserve">C16</t>
  </si>
  <si>
    <t xml:space="preserve">แบบขยายการติดตั้งทางเดิน รางสายไฟ สายเซฟตี้ และท่อน้ำ</t>
  </si>
  <si>
    <t xml:space="preserve">2.1.5, 2.1.6, 2.1.7, 2.2.1</t>
  </si>
  <si>
    <r>
      <rPr>
        <sz val="9"/>
        <rFont val="Tahoma"/>
        <family val="0"/>
        <charset val="1"/>
      </rPr>
      <t xml:space="preserve">Walkway HDG 0.30 × 2.40 × 0.03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(End clamp 30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.), Lifeline </t>
    </r>
    <r>
      <rPr>
        <sz val="9"/>
        <rFont val="FreeSans"/>
        <family val="2"/>
      </rPr>
      <t xml:space="preserve">ลวดสลิง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+ Wire rope clips + Thimbles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L-feet </t>
    </r>
    <r>
      <rPr>
        <sz val="9"/>
        <rFont val="FreeSans"/>
        <family val="2"/>
      </rPr>
      <t xml:space="preserve">ทุก </t>
    </r>
    <r>
      <rPr>
        <sz val="9"/>
        <rFont val="Tahoma"/>
        <family val="0"/>
        <charset val="1"/>
      </rPr>
      <t xml:space="preserve">2.40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ท่อ </t>
    </r>
    <r>
      <rPr>
        <sz val="9"/>
        <rFont val="Tahoma"/>
        <family val="0"/>
        <charset val="1"/>
      </rPr>
      <t xml:space="preserve">PPR ¾" (25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.), Cable tray 200×100 / 100×100 </t>
    </r>
    <r>
      <rPr>
        <sz val="9"/>
        <rFont val="FreeSans"/>
        <family val="2"/>
      </rPr>
      <t xml:space="preserve">มีฝา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แถบทางเดินรวม </t>
    </r>
    <r>
      <rPr>
        <sz val="9"/>
        <rFont val="Tahoma"/>
        <family val="0"/>
        <charset val="1"/>
      </rPr>
      <t xml:space="preserve">0.90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ยึดทุก </t>
    </r>
    <r>
      <rPr>
        <sz val="9"/>
        <rFont val="Tahoma"/>
        <family val="0"/>
        <charset val="1"/>
      </rPr>
      <t xml:space="preserve">1.20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</si>
  <si>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Lifeline </t>
    </r>
    <r>
      <rPr>
        <sz val="9"/>
        <rFont val="FreeSans"/>
        <family val="2"/>
      </rPr>
      <t xml:space="preserve">ตึง </t>
    </r>
    <r>
      <rPr>
        <sz val="9"/>
        <rFont val="Tahoma"/>
        <family val="0"/>
        <charset val="1"/>
      </rPr>
      <t xml:space="preserve">+ clips </t>
    </r>
    <r>
      <rPr>
        <sz val="9"/>
        <rFont val="FreeSans"/>
        <family val="2"/>
      </rPr>
      <t xml:space="preserve">ครบทั้งสองปลาย</t>
    </r>
    <r>
      <rPr>
        <sz val="9"/>
        <rFont val="Tahoma"/>
        <family val="0"/>
        <charset val="1"/>
      </rPr>
      <t xml:space="preserve">, Walkway </t>
    </r>
    <r>
      <rPr>
        <sz val="9"/>
        <rFont val="FreeSans"/>
        <family val="2"/>
      </rPr>
      <t xml:space="preserve">ยึดครบ ไม่โยก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ท่อน้ำไม่รั่ว</t>
    </r>
  </si>
  <si>
    <t xml:space="preserve">C17</t>
  </si>
  <si>
    <t xml:space="preserve">แบบการติดตั้งรางเดินสาย</t>
  </si>
  <si>
    <t xml:space="preserve">2.1.3, 2.1.7, 2.2.1</t>
  </si>
  <si>
    <r>
      <rPr>
        <sz val="9"/>
        <rFont val="Tahoma"/>
        <family val="0"/>
        <charset val="1"/>
      </rPr>
      <t xml:space="preserve">Kliplok + L-bracket </t>
    </r>
    <r>
      <rPr>
        <sz val="9"/>
        <rFont val="FreeSans"/>
        <family val="2"/>
      </rPr>
      <t xml:space="preserve">บนหลังคา </t>
    </r>
    <r>
      <rPr>
        <sz val="9"/>
        <rFont val="Tahoma"/>
        <family val="0"/>
        <charset val="1"/>
      </rPr>
      <t xml:space="preserve">Metal sheet, Tray 100×100 / 200×100 / 300×100 / 400×100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หรือ </t>
    </r>
    <r>
      <rPr>
        <sz val="9"/>
        <rFont val="Tahoma"/>
        <family val="0"/>
        <charset val="1"/>
      </rPr>
      <t xml:space="preserve">Perforated tray 100) </t>
    </r>
    <r>
      <rPr>
        <sz val="9"/>
        <rFont val="FreeSans"/>
        <family val="2"/>
      </rPr>
      <t xml:space="preserve">ยึด </t>
    </r>
    <r>
      <rPr>
        <sz val="9"/>
        <rFont val="Tahoma"/>
        <family val="0"/>
        <charset val="1"/>
      </rPr>
      <t xml:space="preserve">Hold-down clamp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</rPr>
      <t xml:space="preserve">อลูมิเนียม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เว้นระยะจากแผง </t>
    </r>
    <r>
      <rPr>
        <sz val="9"/>
        <rFont val="Tahoma"/>
        <family val="0"/>
        <charset val="1"/>
      </rPr>
      <t xml:space="preserve">300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ทั้งสองข้าง</t>
    </r>
  </si>
  <si>
    <r>
      <rPr>
        <sz val="9"/>
        <rFont val="FreeSans"/>
        <family val="2"/>
      </rPr>
      <t xml:space="preserve">ขนาด </t>
    </r>
    <r>
      <rPr>
        <sz val="9"/>
        <rFont val="Tahoma"/>
        <family val="0"/>
        <charset val="1"/>
      </rPr>
      <t xml:space="preserve">Tray </t>
    </r>
    <r>
      <rPr>
        <sz val="9"/>
        <rFont val="FreeSans"/>
        <family val="2"/>
      </rPr>
      <t xml:space="preserve">ตามจำนวนสาย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ฝาปิดครบ</t>
    </r>
    <r>
      <rPr>
        <sz val="9"/>
        <rFont val="Tahoma"/>
        <family val="0"/>
        <charset val="1"/>
      </rPr>
      <t xml:space="preserve">, Hold-down clamp </t>
    </r>
    <r>
      <rPr>
        <sz val="9"/>
        <rFont val="FreeSans"/>
        <family val="2"/>
      </rPr>
      <t xml:space="preserve">ทุกจุด </t>
    </r>
    <r>
      <rPr>
        <sz val="9"/>
        <rFont val="Tahoma"/>
        <family val="0"/>
        <charset val="1"/>
      </rPr>
      <t xml:space="preserve">Rail</t>
    </r>
  </si>
  <si>
    <t xml:space="preserve">C18</t>
  </si>
  <si>
    <t xml:space="preserve">แบบการติดตั้งบันไดเซอร์วิส</t>
  </si>
  <si>
    <r>
      <rPr>
        <sz val="9"/>
        <rFont val="FreeSans"/>
        <family val="2"/>
      </rPr>
      <t xml:space="preserve">สูง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ไม่มีบันได</t>
    </r>
  </si>
  <si>
    <r>
      <rPr>
        <sz val="9"/>
        <rFont val="FreeSans"/>
        <family val="2"/>
      </rPr>
      <t xml:space="preserve">แผ่น </t>
    </r>
    <r>
      <rPr>
        <sz val="9"/>
        <rFont val="Tahoma"/>
        <family val="0"/>
        <charset val="1"/>
      </rPr>
      <t xml:space="preserve">1: </t>
    </r>
    <r>
      <rPr>
        <sz val="9"/>
        <rFont val="FreeSans"/>
        <family val="2"/>
      </rPr>
      <t xml:space="preserve">สูงไม่เกิน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ช่วงเดียว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แผ่น </t>
    </r>
    <r>
      <rPr>
        <sz val="9"/>
        <rFont val="Tahoma"/>
        <family val="0"/>
        <charset val="1"/>
      </rPr>
      <t xml:space="preserve">2: </t>
    </r>
    <r>
      <rPr>
        <sz val="9"/>
        <rFont val="FreeSans"/>
        <family val="2"/>
      </rPr>
      <t xml:space="preserve">สูงเกิน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2 </t>
    </r>
    <r>
      <rPr>
        <sz val="9"/>
        <rFont val="FreeSans"/>
        <family val="2"/>
      </rPr>
      <t xml:space="preserve">ช่วง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ชานพัก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กว้าง </t>
    </r>
    <r>
      <rPr>
        <sz val="9"/>
        <rFont val="Tahoma"/>
        <family val="0"/>
        <charset val="1"/>
      </rPr>
      <t xml:space="preserve">0.60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ขั้น </t>
    </r>
    <r>
      <rPr>
        <sz val="9"/>
        <rFont val="Tahoma"/>
        <family val="0"/>
        <charset val="1"/>
      </rPr>
      <t xml:space="preserve">Pipe ø1" </t>
    </r>
    <r>
      <rPr>
        <sz val="9"/>
        <rFont val="FreeSans"/>
        <family val="2"/>
      </rPr>
      <t xml:space="preserve">ทุก </t>
    </r>
    <r>
      <rPr>
        <sz val="9"/>
        <rFont val="Tahoma"/>
        <family val="0"/>
        <charset val="1"/>
      </rPr>
      <t xml:space="preserve">0.40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ราวข้างเหล็กกล่อง </t>
    </r>
    <r>
      <rPr>
        <sz val="9"/>
        <rFont val="Tahoma"/>
        <family val="0"/>
        <charset val="1"/>
      </rPr>
      <t xml:space="preserve">2"×2", </t>
    </r>
    <r>
      <rPr>
        <sz val="9"/>
        <rFont val="FreeSans"/>
        <family val="2"/>
      </rPr>
      <t xml:space="preserve">กรง </t>
    </r>
    <r>
      <rPr>
        <sz val="9"/>
        <rFont val="Tahoma"/>
        <family val="0"/>
        <charset val="1"/>
      </rPr>
      <t xml:space="preserve">Flat bar 1" </t>
    </r>
    <r>
      <rPr>
        <sz val="9"/>
        <rFont val="FreeSans"/>
        <family val="2"/>
      </rPr>
      <t xml:space="preserve">ทุก </t>
    </r>
    <r>
      <rPr>
        <sz val="9"/>
        <rFont val="Tahoma"/>
        <family val="0"/>
        <charset val="1"/>
      </rPr>
      <t xml:space="preserve">0.60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เริ่มที่ </t>
    </r>
    <r>
      <rPr>
        <sz val="9"/>
        <rFont val="Tahoma"/>
        <family val="0"/>
        <charset val="1"/>
      </rPr>
      <t xml:space="preserve">2.35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ยื่นเหนือหลังคา </t>
    </r>
    <r>
      <rPr>
        <sz val="9"/>
        <rFont val="Tahoma"/>
        <family val="0"/>
        <charset val="1"/>
      </rPr>
      <t xml:space="preserve">1.00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</rPr>
      <t xml:space="preserve">ชาน </t>
    </r>
    <r>
      <rPr>
        <sz val="9"/>
        <rFont val="Tahoma"/>
        <family val="0"/>
        <charset val="1"/>
      </rPr>
      <t xml:space="preserve">1.00 + 0.90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ยึดผนัง </t>
    </r>
    <r>
      <rPr>
        <sz val="9"/>
        <rFont val="Tahoma"/>
        <family val="0"/>
        <charset val="1"/>
      </rPr>
      <t xml:space="preserve">Stud bolt ø12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ห่างผนัง </t>
    </r>
    <r>
      <rPr>
        <sz val="9"/>
        <rFont val="Tahoma"/>
        <family val="0"/>
        <charset val="1"/>
      </rPr>
      <t xml:space="preserve">200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</si>
  <si>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ยึดผนังครบทุกจุด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กรงต่อเนื่องถึงชานบน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ทาสีกันสนิม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ตรวจรับก่อนใช้ขึ้นลง</t>
    </r>
  </si>
  <si>
    <t xml:space="preserve">STEEL SUPPORT</t>
  </si>
  <si>
    <r>
      <rPr>
        <sz val="9"/>
        <rFont val="FreeSans"/>
        <family val="2"/>
      </rPr>
      <t xml:space="preserve">แบบขยายการติดตั้งแผงบนหลังคาถังน้ำใสแบบมีดิน ฐานรากแบบ </t>
    </r>
    <r>
      <rPr>
        <sz val="9"/>
        <rFont val="Tahoma"/>
        <family val="0"/>
        <charset val="1"/>
      </rPr>
      <t xml:space="preserve">STEEL SUPPORT</t>
    </r>
  </si>
  <si>
    <t xml:space="preserve">2.1.1, 2.1.3, 2.1.5, 2.1.7</t>
  </si>
  <si>
    <r>
      <rPr>
        <sz val="9"/>
        <rFont val="FreeSans"/>
        <family val="2"/>
      </rPr>
      <t xml:space="preserve">ดินหนา </t>
    </r>
    <r>
      <rPr>
        <sz val="9"/>
        <rFont val="Tahoma"/>
        <family val="0"/>
        <charset val="1"/>
      </rPr>
      <t xml:space="preserve">30–70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→ Steel support 300–800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Pipe HDG ø3" × 2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+ Plate 8" × 8" × 6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ยึด </t>
    </r>
    <r>
      <rPr>
        <sz val="9"/>
        <rFont val="Tahoma"/>
        <family val="0"/>
        <charset val="1"/>
      </rPr>
      <t xml:space="preserve">Expansion bolt M12 </t>
    </r>
    <r>
      <rPr>
        <sz val="9"/>
        <rFont val="FreeSans"/>
        <family val="2"/>
      </rPr>
      <t xml:space="preserve">กับพื้นถัง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คอนกรีตหุ้ม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โครงอลูมิเนียมยึด </t>
    </r>
    <r>
      <rPr>
        <sz val="9"/>
        <rFont val="Tahoma"/>
        <family val="0"/>
        <charset val="1"/>
      </rPr>
      <t xml:space="preserve">Top plate </t>
    </r>
    <r>
      <rPr>
        <sz val="9"/>
        <rFont val="FreeSans"/>
        <family val="2"/>
      </rPr>
      <t xml:space="preserve">ด้วย </t>
    </r>
    <r>
      <rPr>
        <sz val="9"/>
        <rFont val="Tahoma"/>
        <family val="0"/>
        <charset val="1"/>
      </rPr>
      <t xml:space="preserve">SUS M8</t>
    </r>
  </si>
  <si>
    <r>
      <rPr>
        <sz val="9"/>
        <rFont val="FreeSans"/>
        <family val="2"/>
      </rPr>
      <t xml:space="preserve">ถ่ายรูปฐานทุกต้นก่อนกลบดิน </t>
    </r>
    <r>
      <rPr>
        <sz val="9"/>
        <rFont val="Tahoma"/>
        <family val="0"/>
        <charset val="1"/>
      </rPr>
      <t xml:space="preserve">(hold point), </t>
    </r>
    <r>
      <rPr>
        <sz val="9"/>
        <rFont val="FreeSans"/>
        <family val="2"/>
      </rPr>
      <t xml:space="preserve">ความยาวตรงความลึกดิน</t>
    </r>
    <r>
      <rPr>
        <sz val="9"/>
        <rFont val="Tahoma"/>
        <family val="0"/>
        <charset val="1"/>
      </rPr>
      <t xml:space="preserve">, HDG </t>
    </r>
    <r>
      <rPr>
        <sz val="9"/>
        <rFont val="FreeSans"/>
        <family val="2"/>
      </rPr>
      <t xml:space="preserve">ไม่ถลอก</t>
    </r>
  </si>
  <si>
    <t xml:space="preserve">E09</t>
  </si>
  <si>
    <r>
      <rPr>
        <sz val="9"/>
        <rFont val="FreeSans"/>
        <family val="2"/>
      </rPr>
      <t xml:space="preserve">รายละเอียด </t>
    </r>
    <r>
      <rPr>
        <sz val="9"/>
        <rFont val="Tahoma"/>
        <family val="0"/>
        <charset val="1"/>
      </rPr>
      <t xml:space="preserve">INVERTER STATION</t>
    </r>
  </si>
  <si>
    <t xml:space="preserve">2.5.1, 2.5.2, 2.5.3, 2.6.4</t>
  </si>
  <si>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</rPr>
      <t xml:space="preserve">สร้างใหม่</t>
    </r>
  </si>
  <si>
    <r>
      <rPr>
        <sz val="9"/>
        <rFont val="FreeSans"/>
        <family val="2"/>
      </rPr>
      <t xml:space="preserve">โรงเรือน </t>
    </r>
    <r>
      <rPr>
        <sz val="9"/>
        <rFont val="Tahoma"/>
        <family val="0"/>
        <charset val="1"/>
      </rPr>
      <t xml:space="preserve">9.00 × 2.50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ช่วงเสา </t>
    </r>
    <r>
      <rPr>
        <sz val="9"/>
        <rFont val="Tahoma"/>
        <family val="0"/>
        <charset val="1"/>
      </rPr>
      <t xml:space="preserve">2.50 / 2.00 / 2.00 / 2.50) </t>
    </r>
    <r>
      <rPr>
        <sz val="9"/>
        <rFont val="FreeSans"/>
        <family val="2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หลังคาเมทัลชีทลาดเดียว</t>
    </r>
    <r>
      <rPr>
        <sz val="9"/>
        <rFont val="Tahoma"/>
        <family val="0"/>
        <charset val="1"/>
      </rPr>
      <t xml:space="preserve">, Rack </t>
    </r>
    <r>
      <rPr>
        <sz val="9"/>
        <rFont val="FreeSans"/>
        <family val="2"/>
      </rPr>
      <t xml:space="preserve">เหล็กแขวน </t>
    </r>
    <r>
      <rPr>
        <sz val="9"/>
        <rFont val="Tahoma"/>
        <family val="0"/>
        <charset val="1"/>
      </rPr>
      <t xml:space="preserve">Inverter (</t>
    </r>
    <r>
      <rPr>
        <sz val="9"/>
        <rFont val="FreeSans"/>
        <family val="2"/>
      </rPr>
      <t xml:space="preserve">เช่น </t>
    </r>
    <r>
      <rPr>
        <sz val="9"/>
        <rFont val="Tahoma"/>
        <family val="0"/>
        <charset val="1"/>
      </rPr>
      <t xml:space="preserve">Growatt MAX125KTL3-LV, MAX60KTL3-LV) + DC-DB 1 </t>
    </r>
    <r>
      <rPr>
        <sz val="9"/>
        <rFont val="FreeSans"/>
        <family val="2"/>
      </rPr>
      <t xml:space="preserve">ตู้ต่อ </t>
    </r>
    <r>
      <rPr>
        <sz val="9"/>
        <rFont val="Tahoma"/>
        <family val="0"/>
        <charset val="1"/>
      </rPr>
      <t xml:space="preserve">Inverter + METER-DB,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Type C </t>
    </r>
    <r>
      <rPr>
        <sz val="9"/>
        <rFont val="FreeSans"/>
        <family val="2"/>
      </rPr>
      <t xml:space="preserve">ตั้งพื้น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 </t>
    </r>
    <r>
      <rPr>
        <sz val="9"/>
        <rFont val="Tahoma"/>
        <family val="0"/>
        <charset val="1"/>
      </rPr>
      <t xml:space="preserve">2.00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.), AC Perforated tray 200×100 </t>
    </r>
    <r>
      <rPr>
        <sz val="9"/>
        <rFont val="FreeSans"/>
        <family val="2"/>
      </rPr>
      <t xml:space="preserve">มีฝา</t>
    </r>
    <r>
      <rPr>
        <sz val="9"/>
        <rFont val="Tahoma"/>
        <family val="0"/>
        <charset val="1"/>
      </rPr>
      <t xml:space="preserve">, DC tray 100×100 </t>
    </r>
    <r>
      <rPr>
        <sz val="9"/>
        <rFont val="FreeSans"/>
        <family val="2"/>
      </rPr>
      <t xml:space="preserve">มีฝาจากแผง</t>
    </r>
    <r>
      <rPr>
        <sz val="9"/>
        <rFont val="Tahoma"/>
        <family val="0"/>
        <charset val="1"/>
      </rPr>
      <t xml:space="preserve">, AC Cable ladder 200×100 </t>
    </r>
    <r>
      <rPr>
        <sz val="9"/>
        <rFont val="FreeSans"/>
        <family val="2"/>
      </rPr>
      <t xml:space="preserve">ไปจุดเชื่อม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โคม </t>
    </r>
    <r>
      <rPr>
        <sz val="9"/>
        <rFont val="Tahoma"/>
        <family val="0"/>
        <charset val="1"/>
      </rPr>
      <t xml:space="preserve">T8 LED 3 </t>
    </r>
    <r>
      <rPr>
        <sz val="9"/>
        <rFont val="FreeSans"/>
        <family val="2"/>
      </rPr>
      <t xml:space="preserve">ชุด</t>
    </r>
  </si>
  <si>
    <r>
      <rPr>
        <sz val="9"/>
        <rFont val="FreeSans"/>
        <family val="2"/>
      </rPr>
      <t xml:space="preserve">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ระดับโครง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ระยะเว้นรอบ </t>
    </r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</rPr>
      <t xml:space="preserve">ตามคู่มือ</t>
    </r>
    <r>
      <rPr>
        <sz val="9"/>
        <rFont val="Tahoma"/>
        <family val="0"/>
        <charset val="1"/>
      </rPr>
      <t xml:space="preserve">, Tray </t>
    </r>
    <r>
      <rPr>
        <sz val="9"/>
        <rFont val="FreeSans"/>
        <family val="2"/>
      </rPr>
      <t xml:space="preserve">มีฝาครบ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ไฟส่องสว่างใช้งานได้</t>
    </r>
  </si>
  <si>
    <t xml:space="preserve">E10</t>
  </si>
  <si>
    <r>
      <rPr>
        <sz val="9"/>
        <rFont val="FreeSans"/>
        <family val="2"/>
      </rPr>
      <t xml:space="preserve">แบบตู้ไฟฟ้ากระแสตรง </t>
    </r>
    <r>
      <rPr>
        <sz val="9"/>
        <rFont val="Tahoma"/>
        <family val="0"/>
        <charset val="1"/>
      </rPr>
      <t xml:space="preserve">(SOLAR DC-DB)</t>
    </r>
  </si>
  <si>
    <t xml:space="preserve">2.2.2, 2.2.3, 2.2.4, 2.2.5</t>
  </si>
  <si>
    <t xml:space="preserve">ทุกสถานี</t>
  </si>
  <si>
    <r>
      <rPr>
        <sz val="9"/>
        <rFont val="Tahoma"/>
        <family val="0"/>
        <charset val="1"/>
      </rPr>
      <t xml:space="preserve">20 </t>
    </r>
    <r>
      <rPr>
        <sz val="9"/>
        <rFont val="FreeSans"/>
        <family val="2"/>
      </rPr>
      <t xml:space="preserve">สถานี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</si>
  <si>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70 × 100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สำหรับ </t>
    </r>
    <r>
      <rPr>
        <sz val="9"/>
        <rFont val="Tahoma"/>
        <family val="0"/>
        <charset val="1"/>
      </rPr>
      <t xml:space="preserve">Inverter 60 / 80 / 125 kW (</t>
    </r>
    <r>
      <rPr>
        <sz val="9"/>
        <rFont val="FreeSans"/>
        <family val="2"/>
      </rPr>
      <t xml:space="preserve">ถึง </t>
    </r>
    <r>
      <rPr>
        <sz val="9"/>
        <rFont val="Tahoma"/>
        <family val="0"/>
        <charset val="1"/>
      </rPr>
      <t xml:space="preserve">18 </t>
    </r>
    <r>
      <rPr>
        <sz val="9"/>
        <rFont val="FreeSans"/>
        <family val="2"/>
      </rPr>
      <t xml:space="preserve">สตริง</t>
    </r>
    <r>
      <rPr>
        <sz val="9"/>
        <rFont val="Tahoma"/>
        <family val="0"/>
        <charset val="1"/>
      </rPr>
      <t xml:space="preserve">), 63 × 75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สำหรับ </t>
    </r>
    <r>
      <rPr>
        <sz val="9"/>
        <rFont val="Tahoma"/>
        <family val="0"/>
        <charset val="1"/>
      </rPr>
      <t xml:space="preserve">40 kW (</t>
    </r>
    <r>
      <rPr>
        <sz val="9"/>
        <rFont val="FreeSans"/>
        <family val="2"/>
      </rPr>
      <t xml:space="preserve">ถึง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</rPr>
      <t xml:space="preserve">สตริง</t>
    </r>
    <r>
      <rPr>
        <sz val="9"/>
        <rFont val="Tahoma"/>
        <family val="0"/>
        <charset val="1"/>
      </rPr>
      <t xml:space="preserve">), DC fuse 25 A 1,000 Vdc </t>
    </r>
    <r>
      <rPr>
        <sz val="9"/>
        <rFont val="FreeSans"/>
        <family val="2"/>
      </rPr>
      <t xml:space="preserve">ทั้ง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และ −</t>
    </r>
    <r>
      <rPr>
        <sz val="9"/>
        <rFont val="Tahoma"/>
        <family val="0"/>
        <charset val="1"/>
      </rPr>
      <t xml:space="preserve">, DC SPD T1/T2 </t>
    </r>
    <r>
      <rPr>
        <sz val="9"/>
        <rFont val="FreeSans"/>
        <family val="2"/>
      </rPr>
      <t xml:space="preserve">เมื่ออาคารมีล่อฟ้า มิฉะนั้น </t>
    </r>
    <r>
      <rPr>
        <sz val="9"/>
        <rFont val="Tahoma"/>
        <family val="0"/>
        <charset val="1"/>
      </rPr>
      <t xml:space="preserve">T2, </t>
    </r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PV H1Z2Z2-K 1C-6 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สายดิน </t>
    </r>
    <r>
      <rPr>
        <sz val="9"/>
        <rFont val="Tahoma"/>
        <family val="0"/>
        <charset val="1"/>
      </rPr>
      <t xml:space="preserve">SPD: Class II ≥ 6 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Class I ≥ 16 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ติดตั้งภายนอกต้อง </t>
    </r>
    <r>
      <rPr>
        <sz val="9"/>
        <rFont val="Tahoma"/>
        <family val="0"/>
        <charset val="1"/>
      </rPr>
      <t xml:space="preserve">IP65, </t>
    </r>
    <r>
      <rPr>
        <sz val="9"/>
        <rFont val="FreeSans"/>
        <family val="2"/>
      </rPr>
      <t xml:space="preserve">ป้ายชื่อ </t>
    </r>
    <r>
      <rPr>
        <sz val="9"/>
        <rFont val="Tahoma"/>
        <family val="0"/>
        <charset val="1"/>
      </rPr>
      <t xml:space="preserve">Romark</t>
    </r>
  </si>
  <si>
    <r>
      <rPr>
        <sz val="9"/>
        <rFont val="Tahoma"/>
        <family val="0"/>
        <charset val="1"/>
      </rPr>
      <t xml:space="preserve">Fuse </t>
    </r>
    <r>
      <rPr>
        <sz val="9"/>
        <rFont val="FreeSans"/>
        <family val="2"/>
      </rPr>
      <t xml:space="preserve">ครบทุกสตริง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ชนิด </t>
    </r>
    <r>
      <rPr>
        <sz val="9"/>
        <rFont val="Tahoma"/>
        <family val="0"/>
        <charset val="1"/>
      </rPr>
      <t xml:space="preserve">SPD </t>
    </r>
    <r>
      <rPr>
        <sz val="9"/>
        <rFont val="FreeSans"/>
        <family val="2"/>
      </rPr>
      <t xml:space="preserve">ตรงกับล่อฟ้า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ขนาดสายดิน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สีสาย </t>
    </r>
    <r>
      <rPr>
        <sz val="9"/>
        <rFont val="Tahoma"/>
        <family val="0"/>
        <charset val="1"/>
      </rPr>
      <t xml:space="preserve">PV+ </t>
    </r>
    <r>
      <rPr>
        <sz val="9"/>
        <rFont val="FreeSans"/>
        <family val="2"/>
      </rPr>
      <t xml:space="preserve">แดง </t>
    </r>
    <r>
      <rPr>
        <sz val="9"/>
        <rFont val="Tahoma"/>
        <family val="0"/>
        <charset val="1"/>
      </rPr>
      <t xml:space="preserve">/ PV− </t>
    </r>
    <r>
      <rPr>
        <sz val="9"/>
        <rFont val="FreeSans"/>
        <family val="2"/>
      </rPr>
      <t xml:space="preserve">ดำ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ดิน เขียว</t>
    </r>
    <r>
      <rPr>
        <sz val="9"/>
        <rFont val="Tahoma"/>
        <family val="0"/>
        <charset val="1"/>
      </rPr>
      <t xml:space="preserve">, IP65 </t>
    </r>
    <r>
      <rPr>
        <sz val="9"/>
        <rFont val="FreeSans"/>
        <family val="2"/>
      </rPr>
      <t xml:space="preserve">ถ้าอยู่นอกอาคาร</t>
    </r>
  </si>
  <si>
    <t xml:space="preserve">E11</t>
  </si>
  <si>
    <r>
      <rPr>
        <sz val="9"/>
        <rFont val="FreeSans"/>
        <family val="2"/>
      </rPr>
      <t xml:space="preserve">แบบตู้อุปกรณ์ </t>
    </r>
    <r>
      <rPr>
        <sz val="9"/>
        <rFont val="Tahoma"/>
        <family val="0"/>
        <charset val="1"/>
      </rPr>
      <t xml:space="preserve">FIREFIGHTER (SOLAR FTS-DB)</t>
    </r>
  </si>
  <si>
    <t xml:space="preserve">2.4.1, 2.4.2</t>
  </si>
  <si>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70 × 50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., 2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70 × 90 × 25, 3–4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120 × 90 × 25, 4 </t>
    </r>
    <r>
      <rPr>
        <sz val="9"/>
        <rFont val="FreeSans"/>
        <family val="2"/>
      </rPr>
      <t xml:space="preserve">สตริงต่อ </t>
    </r>
    <r>
      <rPr>
        <sz val="9"/>
        <rFont val="Tahoma"/>
        <family val="0"/>
        <charset val="1"/>
      </rPr>
      <t xml:space="preserve">FTS, </t>
    </r>
    <r>
      <rPr>
        <sz val="9"/>
        <rFont val="FreeSans"/>
        <family val="2"/>
      </rPr>
      <t xml:space="preserve">ตาราง </t>
    </r>
    <r>
      <rPr>
        <sz val="9"/>
        <rFont val="Tahoma"/>
        <family val="0"/>
        <charset val="1"/>
      </rPr>
      <t xml:space="preserve">FTS-DB → DC-DB, </t>
    </r>
    <r>
      <rPr>
        <sz val="9"/>
        <rFont val="FreeSans"/>
        <family val="2"/>
      </rPr>
      <t xml:space="preserve">ภายนอก </t>
    </r>
    <r>
      <rPr>
        <sz val="9"/>
        <rFont val="Tahoma"/>
        <family val="0"/>
        <charset val="1"/>
      </rPr>
      <t xml:space="preserve">IP65, </t>
    </r>
    <r>
      <rPr>
        <sz val="9"/>
        <rFont val="FreeSans"/>
        <family val="2"/>
      </rPr>
      <t xml:space="preserve">ป้ายเตือน</t>
    </r>
  </si>
  <si>
    <r>
      <rPr>
        <sz val="9"/>
        <rFont val="FreeSans"/>
        <family val="2"/>
      </rPr>
      <t xml:space="preserve">จำนวน </t>
    </r>
    <r>
      <rPr>
        <sz val="9"/>
        <rFont val="Tahoma"/>
        <family val="0"/>
        <charset val="1"/>
      </rPr>
      <t xml:space="preserve">FTS </t>
    </r>
    <r>
      <rPr>
        <sz val="9"/>
        <rFont val="FreeSans"/>
        <family val="2"/>
      </rPr>
      <t xml:space="preserve">ตามจำนวนสตริง </t>
    </r>
    <r>
      <rPr>
        <sz val="9"/>
        <rFont val="Tahoma"/>
        <family val="0"/>
        <charset val="1"/>
      </rPr>
      <t xml:space="preserve">÷ 4, </t>
    </r>
    <r>
      <rPr>
        <sz val="9"/>
        <rFont val="FreeSans"/>
        <family val="2"/>
      </rPr>
      <t xml:space="preserve">ทดสอบตัดวงจร </t>
    </r>
    <r>
      <rPr>
        <sz val="9"/>
        <rFont val="Tahoma"/>
        <family val="0"/>
        <charset val="1"/>
      </rPr>
      <t xml:space="preserve">(3.1.4), </t>
    </r>
    <r>
      <rPr>
        <sz val="9"/>
        <rFont val="FreeSans"/>
        <family val="2"/>
      </rPr>
      <t xml:space="preserve">ป้ายเตือนครบ</t>
    </r>
  </si>
  <si>
    <t xml:space="preserve">E13</t>
  </si>
  <si>
    <r>
      <rPr>
        <sz val="9"/>
        <rFont val="FreeSans"/>
        <family val="2"/>
      </rPr>
      <t xml:space="preserve">แบบตู้อุปกรณ์ระบบกันย้อนสำหรับแรงสูง </t>
    </r>
    <r>
      <rPr>
        <sz val="9"/>
        <rFont val="Tahoma"/>
        <family val="0"/>
        <charset val="1"/>
      </rPr>
      <t xml:space="preserve">(SOLAR PQM-DB + SEM-DB)</t>
    </r>
  </si>
  <si>
    <t xml:space="preserve">2.8.3, 2.8.4, 2.8.5</t>
  </si>
  <si>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</t>
    </r>
  </si>
  <si>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สถานี</t>
    </r>
  </si>
  <si>
    <r>
      <rPr>
        <sz val="9"/>
        <rFont val="Tahoma"/>
        <family val="0"/>
        <charset val="1"/>
      </rPr>
      <t xml:space="preserve">PQM Janitza UMC512 PRO + UPS, VT 22 kV/√3 : 110/√3 V, CT cl. 0.5, Smart energy manager (SEM-DB 63 × 75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.), </t>
    </r>
    <r>
      <rPr>
        <sz val="9"/>
        <rFont val="FreeSans"/>
        <family val="2"/>
      </rPr>
      <t xml:space="preserve">สื่อสาร </t>
    </r>
    <r>
      <rPr>
        <sz val="9"/>
        <rFont val="Tahoma"/>
        <family val="0"/>
        <charset val="1"/>
      </rPr>
      <t xml:space="preserve">Fiber optic (single mode 9/125, SC/UPC) / CAT6 / RS485, Converter TL-FC311B-2, Switch TL-SG105, USR-DR302, </t>
    </r>
    <r>
      <rPr>
        <sz val="9"/>
        <rFont val="FreeSans"/>
        <family val="2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</si>
  <si>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</rPr>
      <t xml:space="preserve">ขั้ว </t>
    </r>
    <r>
      <rPr>
        <sz val="9"/>
        <rFont val="Tahoma"/>
        <family val="0"/>
        <charset val="1"/>
      </rPr>
      <t xml:space="preserve">CT/VT </t>
    </r>
    <r>
      <rPr>
        <sz val="9"/>
        <rFont val="FreeSans"/>
        <family val="2"/>
      </rPr>
      <t xml:space="preserve">ตรงเฟส</t>
    </r>
    <r>
      <rPr>
        <sz val="9"/>
        <rFont val="Tahoma"/>
        <family val="0"/>
        <charset val="1"/>
      </rPr>
      <t xml:space="preserve">, PQM </t>
    </r>
    <r>
      <rPr>
        <sz val="9"/>
        <rFont val="FreeSans"/>
        <family val="2"/>
      </rPr>
      <t xml:space="preserve">อ่านค่าได้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สื่อสารถึง </t>
    </r>
    <r>
      <rPr>
        <sz val="9"/>
        <rFont val="Tahoma"/>
        <family val="0"/>
        <charset val="1"/>
      </rPr>
      <t xml:space="preserve">Inverter station</t>
    </r>
  </si>
  <si>
    <t xml:space="preserve">E16</t>
  </si>
  <si>
    <r>
      <rPr>
        <sz val="9"/>
        <rFont val="FreeSans"/>
        <family val="2"/>
      </rPr>
      <t xml:space="preserve">แบบตู้อุปกรณ์ </t>
    </r>
    <r>
      <rPr>
        <sz val="9"/>
        <rFont val="Tahoma"/>
        <family val="0"/>
        <charset val="1"/>
      </rPr>
      <t xml:space="preserve">REVENUE METER (SOLAR METER-DB)</t>
    </r>
  </si>
  <si>
    <t xml:space="preserve">2.7.2, 2.7.3, 2.8.4, 2.9.1, 2.9.2</t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</si>
  <si>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63 × 75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., Revenue meter CEWE Prometer 100, VPN router RUT901, USR-DR302 (RS485 → LAN), MCB ABB S201-C, </t>
    </r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CT 12C-2.5 CVV, VT 2C-2.5 VCT-G, RS485 </t>
    </r>
    <r>
      <rPr>
        <sz val="9"/>
        <rFont val="FreeSans"/>
        <family val="2"/>
      </rPr>
      <t xml:space="preserve">จาก </t>
    </r>
    <r>
      <rPr>
        <sz val="9"/>
        <rFont val="Tahoma"/>
        <family val="0"/>
        <charset val="1"/>
      </rPr>
      <t xml:space="preserve">Inverter, Fiber/CAT6 </t>
    </r>
    <r>
      <rPr>
        <sz val="9"/>
        <rFont val="FreeSans"/>
        <family val="2"/>
      </rPr>
      <t xml:space="preserve">ไป </t>
    </r>
    <r>
      <rPr>
        <sz val="9"/>
        <rFont val="Tahoma"/>
        <family val="0"/>
        <charset val="1"/>
      </rPr>
      <t xml:space="preserve">SEM, </t>
    </r>
    <r>
      <rPr>
        <sz val="9"/>
        <rFont val="FreeSans"/>
        <family val="2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</si>
  <si>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</rPr>
      <t xml:space="preserve">ต่อ </t>
    </r>
    <r>
      <rPr>
        <sz val="9"/>
        <rFont val="Tahoma"/>
        <family val="0"/>
        <charset val="1"/>
      </rPr>
      <t xml:space="preserve">CT IN/OUT, VT </t>
    </r>
    <r>
      <rPr>
        <sz val="9"/>
        <rFont val="FreeSans"/>
        <family val="2"/>
      </rPr>
      <t xml:space="preserve">ตามตาราง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มิเตอร์ส่งข้อมูลผ่าน </t>
    </r>
    <r>
      <rPr>
        <sz val="9"/>
        <rFont val="Tahoma"/>
        <family val="0"/>
        <charset val="1"/>
      </rPr>
      <t xml:space="preserve">VPN </t>
    </r>
    <r>
      <rPr>
        <sz val="9"/>
        <rFont val="FreeSans"/>
        <family val="2"/>
      </rPr>
      <t xml:space="preserve">ได้</t>
    </r>
  </si>
  <si>
    <t xml:space="preserve">E17</t>
  </si>
  <si>
    <r>
      <rPr>
        <sz val="9"/>
        <rFont val="FreeSans"/>
        <family val="2"/>
      </rPr>
      <t xml:space="preserve">แบบตู้อุปกรณ์ระบบกันย้อนสำหรับแรงต่ำ </t>
    </r>
    <r>
      <rPr>
        <sz val="9"/>
        <rFont val="Tahoma"/>
        <family val="0"/>
        <charset val="1"/>
      </rPr>
      <t xml:space="preserve">(SOLAR SEM-DB)</t>
    </r>
  </si>
  <si>
    <t xml:space="preserve">2.8.6, 2.8.3, 2.8.4, 2.8.5</t>
  </si>
  <si>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LV</t>
    </r>
  </si>
  <si>
    <r>
      <rPr>
        <sz val="9"/>
        <rFont val="Tahoma"/>
        <family val="0"/>
        <charset val="1"/>
      </rPr>
      <t xml:space="preserve">Smart energy manager </t>
    </r>
    <r>
      <rPr>
        <sz val="9"/>
        <rFont val="FreeSans"/>
        <family val="2"/>
      </rPr>
      <t xml:space="preserve">ในตู้ </t>
    </r>
    <r>
      <rPr>
        <sz val="9"/>
        <rFont val="Tahoma"/>
        <family val="0"/>
        <charset val="1"/>
      </rPr>
      <t xml:space="preserve">SEM-DB 63 × 75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วัดแรงดันจาก </t>
    </r>
    <r>
      <rPr>
        <sz val="9"/>
        <rFont val="Tahoma"/>
        <family val="0"/>
        <charset val="1"/>
      </rPr>
      <t xml:space="preserve">SOLAR AC-DB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ด้านโหลด</t>
    </r>
    <r>
      <rPr>
        <sz val="9"/>
        <rFont val="Tahoma"/>
        <family val="0"/>
        <charset val="1"/>
      </rPr>
      <t xml:space="preserve">), RS485 / CAT6 </t>
    </r>
    <r>
      <rPr>
        <sz val="9"/>
        <rFont val="FreeSans"/>
        <family val="2"/>
      </rPr>
      <t xml:space="preserve">ไป </t>
    </r>
    <r>
      <rPr>
        <sz val="9"/>
        <rFont val="Tahoma"/>
        <family val="0"/>
        <charset val="1"/>
      </rPr>
      <t xml:space="preserve">Inverter (USR-DR302, Switch, F.O. to LAN </t>
    </r>
    <r>
      <rPr>
        <sz val="9"/>
        <rFont val="FreeSans"/>
        <family val="2"/>
      </rPr>
      <t xml:space="preserve">ตามความจำเป็น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</si>
  <si>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</rPr>
      <t xml:space="preserve">ทิศ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ถูก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วัดด้านรับไฟจาก กฟภ</t>
    </r>
    <r>
      <rPr>
        <sz val="9"/>
        <rFont val="Tahoma"/>
        <family val="0"/>
        <charset val="1"/>
      </rPr>
      <t xml:space="preserve">.), </t>
    </r>
    <r>
      <rPr>
        <sz val="9"/>
        <rFont val="FreeSans"/>
        <family val="2"/>
      </rPr>
      <t xml:space="preserve">ทดสอบกันย้อน </t>
    </r>
    <r>
      <rPr>
        <sz val="9"/>
        <rFont val="Tahoma"/>
        <family val="0"/>
        <charset val="1"/>
      </rPr>
      <t xml:space="preserve">(3.1.5)</t>
    </r>
  </si>
  <si>
    <t xml:space="preserve">E18</t>
  </si>
  <si>
    <r>
      <rPr>
        <sz val="9"/>
        <rFont val="FreeSans"/>
        <family val="2"/>
      </rPr>
      <t xml:space="preserve">อุปกรณ์ทั่วไปของระบบกันไฟย้อนแรงสูง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เสา </t>
    </r>
    <r>
      <rPr>
        <sz val="9"/>
        <rFont val="Tahoma"/>
        <family val="0"/>
        <charset val="1"/>
      </rPr>
      <t xml:space="preserve">22 kV)</t>
    </r>
  </si>
  <si>
    <t xml:space="preserve">2.6.1, 2.8.1, 2.8.2, 2.8.5</t>
  </si>
  <si>
    <r>
      <rPr>
        <sz val="9"/>
        <rFont val="FreeSans"/>
        <family val="2"/>
      </rPr>
      <t xml:space="preserve">เสาคอนกรีตอัดแรง </t>
    </r>
    <r>
      <rPr>
        <sz val="9"/>
        <rFont val="Tahoma"/>
        <family val="0"/>
        <charset val="1"/>
      </rPr>
      <t xml:space="preserve">12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คอนสาย </t>
    </r>
    <r>
      <rPr>
        <sz val="9"/>
        <rFont val="Tahoma"/>
        <family val="0"/>
        <charset val="1"/>
      </rPr>
      <t xml:space="preserve">120×120×2000 / 100×100×2500, VT 22 kV ×3, CT 20/5 A 30 VA cl. 0.5 ×3, Drop-out fuse 27 kV 8 kA, Lightning arrester 21 kV 5 kA,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PQM +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Zero export </t>
    </r>
    <r>
      <rPr>
        <sz val="9"/>
        <rFont val="FreeSans"/>
        <family val="2"/>
      </rPr>
      <t xml:space="preserve">บนเสา</t>
    </r>
    <r>
      <rPr>
        <sz val="9"/>
        <rFont val="Tahoma"/>
        <family val="0"/>
        <charset val="1"/>
      </rPr>
      <t xml:space="preserve">, Snake guard, </t>
    </r>
    <r>
      <rPr>
        <sz val="9"/>
        <rFont val="FreeSans"/>
        <family val="2"/>
      </rPr>
      <t xml:space="preserve">หลักดิน </t>
    </r>
    <r>
      <rPr>
        <sz val="9"/>
        <rFont val="Tahoma"/>
        <family val="0"/>
        <charset val="1"/>
      </rPr>
      <t xml:space="preserve">HV </t>
    </r>
    <r>
      <rPr>
        <sz val="9"/>
        <rFont val="FreeSans"/>
        <family val="2"/>
      </rPr>
      <t xml:space="preserve">ห่างเสา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หลักดิน </t>
    </r>
    <r>
      <rPr>
        <sz val="9"/>
        <rFont val="Tahoma"/>
        <family val="0"/>
        <charset val="1"/>
      </rPr>
      <t xml:space="preserve">LV </t>
    </r>
    <r>
      <rPr>
        <sz val="9"/>
        <rFont val="FreeSans"/>
        <family val="2"/>
      </rPr>
      <t xml:space="preserve">ห่างเสา </t>
    </r>
    <r>
      <rPr>
        <sz val="9"/>
        <rFont val="Tahoma"/>
        <family val="0"/>
        <charset val="1"/>
      </rPr>
      <t xml:space="preserve">&gt; 5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</si>
  <si>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ระยะหลักดิน </t>
    </r>
    <r>
      <rPr>
        <sz val="9"/>
        <rFont val="Tahoma"/>
        <family val="0"/>
        <charset val="1"/>
      </rPr>
      <t xml:space="preserve">HV / LV </t>
    </r>
    <r>
      <rPr>
        <sz val="9"/>
        <rFont val="FreeSans"/>
        <family val="2"/>
      </rPr>
      <t xml:space="preserve">ตามแบบ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ต่อดิน </t>
    </r>
    <r>
      <rPr>
        <sz val="9"/>
        <rFont val="Tahoma"/>
        <family val="0"/>
        <charset val="1"/>
      </rPr>
      <t xml:space="preserve">Surge/DOF </t>
    </r>
    <r>
      <rPr>
        <sz val="9"/>
        <rFont val="FreeSans"/>
        <family val="2"/>
      </rPr>
      <t xml:space="preserve">แยกจาก </t>
    </r>
    <r>
      <rPr>
        <sz val="9"/>
        <rFont val="Tahoma"/>
        <family val="0"/>
        <charset val="1"/>
      </rPr>
      <t xml:space="preserve">CT/PT, </t>
    </r>
    <r>
      <rPr>
        <sz val="9"/>
        <rFont val="FreeSans"/>
        <family val="2"/>
      </rPr>
      <t xml:space="preserve">ทำงานตามนัดดับไฟ กฟภ</t>
    </r>
    <r>
      <rPr>
        <sz val="9"/>
        <rFont val="Tahoma"/>
        <family val="0"/>
        <charset val="1"/>
      </rPr>
      <t xml:space="preserve">.</t>
    </r>
  </si>
  <si>
    <t xml:space="preserve">เลือกตามสถานี</t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</si>
  <si>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DC-DB (E10)</t>
    </r>
  </si>
  <si>
    <r>
      <rPr>
        <sz val="9"/>
        <rFont val="Tahoma"/>
        <family val="0"/>
        <charset val="1"/>
      </rPr>
      <t xml:space="preserve">Inverter 40 kW →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63 × 75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ถึง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</rPr>
      <t xml:space="preserve">สตริง</t>
    </r>
    <r>
      <rPr>
        <sz val="9"/>
        <rFont val="Tahoma"/>
        <family val="0"/>
        <charset val="1"/>
      </rPr>
      <t xml:space="preserve">), 60 / 80 / 125 kW → 70 × 100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ถึง </t>
    </r>
    <r>
      <rPr>
        <sz val="9"/>
        <rFont val="Tahoma"/>
        <family val="0"/>
        <charset val="1"/>
      </rPr>
      <t xml:space="preserve">18 </t>
    </r>
    <r>
      <rPr>
        <sz val="9"/>
        <rFont val="FreeSans"/>
        <family val="2"/>
      </rPr>
      <t xml:space="preserve">สตริง</t>
    </r>
    <r>
      <rPr>
        <sz val="9"/>
        <rFont val="Tahoma"/>
        <family val="0"/>
        <charset val="1"/>
      </rPr>
      <t xml:space="preserve">), 1 </t>
    </r>
    <r>
      <rPr>
        <sz val="9"/>
        <rFont val="FreeSans"/>
        <family val="2"/>
      </rPr>
      <t xml:space="preserve">ตู้ต่อ </t>
    </r>
    <r>
      <rPr>
        <sz val="9"/>
        <rFont val="Tahoma"/>
        <family val="0"/>
        <charset val="1"/>
      </rPr>
      <t xml:space="preserve">Inverter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</si>
  <si>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FTS-DB (E11)</t>
    </r>
  </si>
  <si>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</rPr>
      <t xml:space="preserve">ตัวรับ </t>
    </r>
    <r>
      <rPr>
        <sz val="9"/>
        <rFont val="Tahoma"/>
        <family val="0"/>
        <charset val="1"/>
      </rPr>
      <t xml:space="preserve">4 </t>
    </r>
    <r>
      <rPr>
        <sz val="9"/>
        <rFont val="FreeSans"/>
        <family val="2"/>
      </rPr>
      <t xml:space="preserve">สตริง → </t>
    </r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70 × 50 × 25, 2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70 × 90 × 25, 3–4 </t>
    </r>
    <r>
      <rPr>
        <sz val="9"/>
        <rFont val="FreeSans"/>
        <family val="2"/>
      </rPr>
      <t xml:space="preserve">ตัว</t>
    </r>
    <r>
      <rPr>
        <sz val="9"/>
        <rFont val="Tahoma"/>
        <family val="0"/>
        <charset val="1"/>
      </rPr>
      <t xml:space="preserve">: 120 × 90 × 25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</t>
    </r>
  </si>
  <si>
    <t xml:space="preserve">DC SPD (E10)</t>
  </si>
  <si>
    <r>
      <rPr>
        <sz val="9"/>
        <rFont val="FreeSans"/>
        <family val="2"/>
      </rPr>
      <t xml:space="preserve">อาคารมีระบบล่อฟ้า → </t>
    </r>
    <r>
      <rPr>
        <sz val="9"/>
        <rFont val="Tahoma"/>
        <family val="0"/>
        <charset val="1"/>
      </rPr>
      <t xml:space="preserve">SPD Type 1+2 (</t>
    </r>
    <r>
      <rPr>
        <sz val="9"/>
        <rFont val="FreeSans"/>
        <family val="2"/>
      </rPr>
      <t xml:space="preserve">สายดิน ≥ </t>
    </r>
    <r>
      <rPr>
        <sz val="9"/>
        <rFont val="Tahoma"/>
        <family val="0"/>
        <charset val="1"/>
      </rPr>
      <t xml:space="preserve">16 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.), </t>
    </r>
    <r>
      <rPr>
        <sz val="9"/>
        <rFont val="FreeSans"/>
        <family val="2"/>
      </rPr>
      <t xml:space="preserve">ไม่มี → </t>
    </r>
    <r>
      <rPr>
        <sz val="9"/>
        <rFont val="Tahoma"/>
        <family val="0"/>
        <charset val="1"/>
      </rPr>
      <t xml:space="preserve">Type 2 (≥ 6 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.)</t>
    </r>
  </si>
  <si>
    <t xml:space="preserve">กันย้อน</t>
  </si>
  <si>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HV (10 </t>
    </r>
    <r>
      <rPr>
        <sz val="9"/>
        <rFont val="FreeSans"/>
        <family val="2"/>
      </rPr>
      <t xml:space="preserve">สถานี</t>
    </r>
    <r>
      <rPr>
        <sz val="9"/>
        <rFont val="Tahoma"/>
        <family val="0"/>
        <charset val="1"/>
      </rPr>
      <t xml:space="preserve">) → E18 </t>
    </r>
    <r>
      <rPr>
        <sz val="9"/>
        <rFont val="FreeSans"/>
        <family val="2"/>
      </rPr>
      <t xml:space="preserve">อุปกรณ์บนเสา </t>
    </r>
    <r>
      <rPr>
        <sz val="9"/>
        <rFont val="Tahoma"/>
        <family val="0"/>
        <charset val="1"/>
      </rPr>
      <t xml:space="preserve">22 kV + E13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PQM / SEM, </t>
    </r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LV (10 </t>
    </r>
    <r>
      <rPr>
        <sz val="9"/>
        <rFont val="FreeSans"/>
        <family val="2"/>
      </rPr>
      <t xml:space="preserve">สถานี</t>
    </r>
    <r>
      <rPr>
        <sz val="9"/>
        <rFont val="Tahoma"/>
        <family val="0"/>
        <charset val="1"/>
      </rPr>
      <t xml:space="preserve">) → E17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SEM + CT </t>
    </r>
    <r>
      <rPr>
        <sz val="9"/>
        <rFont val="FreeSans"/>
        <family val="2"/>
      </rPr>
      <t xml:space="preserve">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</t>
    </r>
  </si>
  <si>
    <t xml:space="preserve">โครงสร้าง</t>
  </si>
  <si>
    <r>
      <rPr>
        <sz val="9"/>
        <rFont val="FreeSans"/>
        <family val="2"/>
      </rPr>
      <t xml:space="preserve">หลังคาลอนคู่ → </t>
    </r>
    <r>
      <rPr>
        <sz val="9"/>
        <rFont val="Tahoma"/>
        <family val="0"/>
        <charset val="1"/>
      </rPr>
      <t xml:space="preserve">C09, </t>
    </r>
    <r>
      <rPr>
        <sz val="9"/>
        <rFont val="FreeSans"/>
        <family val="2"/>
      </rPr>
      <t xml:space="preserve">หลังคาเมทัลชีท → </t>
    </r>
    <r>
      <rPr>
        <sz val="9"/>
        <rFont val="Tahoma"/>
        <family val="0"/>
        <charset val="1"/>
      </rPr>
      <t xml:space="preserve">C17 (Kliplok), </t>
    </r>
    <r>
      <rPr>
        <sz val="9"/>
        <rFont val="FreeSans"/>
        <family val="2"/>
      </rPr>
      <t xml:space="preserve">ถังน้ำใส → </t>
    </r>
    <r>
      <rPr>
        <sz val="9"/>
        <rFont val="Tahoma"/>
        <family val="0"/>
        <charset val="1"/>
      </rPr>
      <t xml:space="preserve">C15, </t>
    </r>
    <r>
      <rPr>
        <sz val="9"/>
        <rFont val="FreeSans"/>
        <family val="2"/>
      </rPr>
      <t xml:space="preserve">ถังดินกลบ → </t>
    </r>
    <r>
      <rPr>
        <sz val="9"/>
        <rFont val="Tahoma"/>
        <family val="0"/>
        <charset val="1"/>
      </rPr>
      <t xml:space="preserve">STEEL SUPPORT, </t>
    </r>
    <r>
      <rPr>
        <sz val="9"/>
        <rFont val="FreeSans"/>
        <family val="2"/>
      </rPr>
      <t xml:space="preserve">ทางเดิน</t>
    </r>
    <r>
      <rPr>
        <sz val="9"/>
        <rFont val="Tahoma"/>
        <family val="0"/>
        <charset val="1"/>
      </rPr>
      <t xml:space="preserve">/Lifeline/</t>
    </r>
    <r>
      <rPr>
        <sz val="9"/>
        <rFont val="FreeSans"/>
        <family val="2"/>
      </rPr>
      <t xml:space="preserve">ท่อน้ำ → </t>
    </r>
    <r>
      <rPr>
        <sz val="9"/>
        <rFont val="Tahoma"/>
        <family val="0"/>
        <charset val="1"/>
      </rPr>
      <t xml:space="preserve">C16</t>
    </r>
  </si>
  <si>
    <r>
      <rPr>
        <sz val="9"/>
        <rFont val="FreeSans"/>
        <family val="2"/>
      </rPr>
      <t xml:space="preserve">ความสูงขึ้นลง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ไม่มีบันไดถาวร → </t>
    </r>
    <r>
      <rPr>
        <sz val="9"/>
        <rFont val="Tahoma"/>
        <family val="0"/>
        <charset val="1"/>
      </rPr>
      <t xml:space="preserve">C18 </t>
    </r>
    <r>
      <rPr>
        <sz val="9"/>
        <rFont val="FreeSans"/>
        <family val="2"/>
      </rPr>
      <t xml:space="preserve">แผ่น </t>
    </r>
    <r>
      <rPr>
        <sz val="9"/>
        <rFont val="Tahoma"/>
        <family val="0"/>
        <charset val="1"/>
      </rPr>
      <t xml:space="preserve">1 (≤ 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.) / </t>
    </r>
    <r>
      <rPr>
        <sz val="9"/>
        <rFont val="FreeSans"/>
        <family val="2"/>
      </rPr>
      <t xml:space="preserve">แผ่น </t>
    </r>
    <r>
      <rPr>
        <sz val="9"/>
        <rFont val="Tahoma"/>
        <family val="0"/>
        <charset val="1"/>
      </rPr>
      <t xml:space="preserve">2 (&gt; 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.), </t>
    </r>
    <r>
      <rPr>
        <sz val="9"/>
        <rFont val="FreeSans"/>
        <family val="2"/>
      </rPr>
      <t xml:space="preserve">ดูช่อง ‘บันได’ ในชีตจุดติดตั้ง</t>
    </r>
  </si>
  <si>
    <t xml:space="preserve">ตู้ภายนอกอาคาร</t>
  </si>
  <si>
    <r>
      <rPr>
        <sz val="9"/>
        <rFont val="FreeSans"/>
        <family val="2"/>
      </rPr>
      <t xml:space="preserve">ทุกตู้ </t>
    </r>
    <r>
      <rPr>
        <sz val="9"/>
        <rFont val="Tahoma"/>
        <family val="0"/>
        <charset val="1"/>
      </rPr>
      <t xml:space="preserve">(DC-DB, FTS-DB, METER-DB, SEM-DB, PQM-DB) </t>
    </r>
    <r>
      <rPr>
        <sz val="9"/>
        <rFont val="FreeSans"/>
        <family val="2"/>
      </rPr>
      <t xml:space="preserve">ต้องเป็นชนิด </t>
    </r>
    <r>
      <rPr>
        <sz val="9"/>
        <rFont val="Tahoma"/>
        <family val="0"/>
        <charset val="1"/>
      </rPr>
      <t xml:space="preserve">Outdoor IP65 + </t>
    </r>
    <r>
      <rPr>
        <sz val="9"/>
        <rFont val="FreeSans"/>
        <family val="2"/>
      </rPr>
      <t xml:space="preserve">ป้ายชื่อ </t>
    </r>
    <r>
      <rPr>
        <sz val="9"/>
        <rFont val="Tahoma"/>
        <family val="0"/>
        <charset val="1"/>
      </rPr>
      <t xml:space="preserve">Romark</t>
    </r>
  </si>
  <si>
    <r>
      <rPr>
        <b val="true"/>
        <sz val="11"/>
        <color rgb="FF1F4E78"/>
        <rFont val="Tahoma"/>
        <family val="0"/>
        <charset val="1"/>
      </rPr>
      <t xml:space="preserve">Inverter station (</t>
    </r>
    <r>
      <rPr>
        <b val="true"/>
        <sz val="11"/>
        <color rgb="FF1F4E78"/>
        <rFont val="FreeSans"/>
        <family val="2"/>
      </rPr>
      <t xml:space="preserve">งาน </t>
    </r>
    <r>
      <rPr>
        <b val="true"/>
        <sz val="11"/>
        <color rgb="FF1F4E78"/>
        <rFont val="Tahoma"/>
        <family val="0"/>
        <charset val="1"/>
      </rPr>
      <t xml:space="preserve">2.5.1) – </t>
    </r>
    <r>
      <rPr>
        <b val="true"/>
        <sz val="11"/>
        <color rgb="FF1F4E78"/>
        <rFont val="FreeSans"/>
        <family val="2"/>
      </rPr>
      <t xml:space="preserve">แม่แบบตามรูปแบบ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</rPr>
      <t xml:space="preserve">แก้ </t>
    </r>
    <r>
      <rPr>
        <b val="true"/>
        <sz val="11"/>
        <color rgb="FF1F4E78"/>
        <rFont val="Tahoma"/>
        <family val="0"/>
        <charset val="1"/>
      </rPr>
      <t xml:space="preserve">% </t>
    </r>
    <r>
      <rPr>
        <b val="true"/>
        <sz val="11"/>
        <color rgb="FF1F4E78"/>
        <rFont val="FreeSans"/>
        <family val="2"/>
      </rPr>
      <t xml:space="preserve">ได้</t>
    </r>
    <r>
      <rPr>
        <b val="true"/>
        <sz val="11"/>
        <color rgb="FF1F4E78"/>
        <rFont val="Tahoma"/>
        <family val="0"/>
        <charset val="1"/>
      </rPr>
      <t xml:space="preserve">, </t>
    </r>
    <r>
      <rPr>
        <b val="true"/>
        <sz val="11"/>
        <color rgb="FF1F4E78"/>
        <rFont val="FreeSans"/>
        <family val="2"/>
      </rPr>
      <t xml:space="preserve">แต่ละรูปแบบรวม </t>
    </r>
    <r>
      <rPr>
        <b val="true"/>
        <sz val="11"/>
        <color rgb="FF1F4E78"/>
        <rFont val="Tahoma"/>
        <family val="0"/>
        <charset val="1"/>
      </rPr>
      <t xml:space="preserve">100)</t>
    </r>
  </si>
  <si>
    <t xml:space="preserve">รูปแบบ</t>
  </si>
  <si>
    <r>
      <rPr>
        <b val="true"/>
        <sz val="9"/>
        <color rgb="FFFFFFFF"/>
        <rFont val="FreeSans"/>
        <family val="2"/>
      </rPr>
      <t xml:space="preserve">ใช้กี่สถานี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หมายเหตุ</t>
    </r>
  </si>
  <si>
    <r>
      <rPr>
        <b val="true"/>
        <sz val="8"/>
        <rFont val="FreeSans"/>
        <family val="2"/>
      </rPr>
      <t xml:space="preserve">สร้างใหม่ </t>
    </r>
    <r>
      <rPr>
        <b val="true"/>
        <sz val="8"/>
        <rFont val="Tahoma"/>
        <family val="0"/>
        <charset val="1"/>
      </rPr>
      <t xml:space="preserve">(E09)</t>
    </r>
  </si>
  <si>
    <r>
      <rPr>
        <sz val="8"/>
        <rFont val="FreeSans"/>
        <family val="2"/>
      </rPr>
      <t xml:space="preserve">วางผัง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ตรวจท่อ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สายใต้ดิน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ระดับพื้น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ตำแหน่งใกล้จุดเชื่อม </t>
    </r>
    <r>
      <rPr>
        <sz val="8"/>
        <rFont val="Tahoma"/>
        <family val="0"/>
        <charset val="1"/>
      </rPr>
      <t xml:space="preserve">(MDB)</t>
    </r>
  </si>
  <si>
    <r>
      <rPr>
        <sz val="8"/>
        <rFont val="FreeSans"/>
        <family val="2"/>
      </rPr>
      <t xml:space="preserve">สร้างใหม่ </t>
    </r>
    <r>
      <rPr>
        <sz val="8"/>
        <rFont val="Tahoma"/>
        <family val="0"/>
        <charset val="1"/>
      </rPr>
      <t xml:space="preserve">(E09)</t>
    </r>
  </si>
  <si>
    <r>
      <rPr>
        <sz val="8"/>
        <rFont val="FreeSans"/>
        <family val="2"/>
      </rPr>
      <t xml:space="preserve">ฐานรากเสา คสล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</rPr>
      <t xml:space="preserve">บ่มคอนกรีต</t>
    </r>
  </si>
  <si>
    <r>
      <rPr>
        <sz val="8"/>
        <rFont val="FreeSans"/>
        <family val="2"/>
      </rPr>
      <t xml:space="preserve">โรงเรือนบนพื้นดินตามแบบ </t>
    </r>
    <r>
      <rPr>
        <sz val="8"/>
        <rFont val="Tahoma"/>
        <family val="0"/>
        <charset val="1"/>
      </rPr>
      <t xml:space="preserve">E09, </t>
    </r>
    <r>
      <rPr>
        <sz val="8"/>
        <rFont val="FreeSans"/>
        <family val="2"/>
      </rPr>
      <t xml:space="preserve">โครงเหล็ก ช่วงเสา ≤ </t>
    </r>
    <r>
      <rPr>
        <sz val="8"/>
        <rFont val="Tahoma"/>
        <family val="0"/>
        <charset val="1"/>
      </rPr>
      <t xml:space="preserve">2.50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สูง </t>
    </r>
    <r>
      <rPr>
        <sz val="8"/>
        <rFont val="Tahoma"/>
        <family val="0"/>
        <charset val="1"/>
      </rPr>
      <t xml:space="preserve">3.00 / 2.75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หลังคาเมทัลชีทลาดเดียว</t>
    </r>
  </si>
  <si>
    <r>
      <rPr>
        <sz val="8"/>
        <rFont val="FreeSans"/>
        <family val="2"/>
      </rPr>
      <t xml:space="preserve">โครงเหล็กเสา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</rPr>
      <t xml:space="preserve">คาน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หลังคาเมทัลชีทลาดเดียว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สูง </t>
    </r>
    <r>
      <rPr>
        <sz val="8"/>
        <rFont val="Tahoma"/>
        <family val="0"/>
        <charset val="1"/>
      </rPr>
      <t xml:space="preserve">3.00 / 2.75 </t>
    </r>
    <r>
      <rPr>
        <sz val="8"/>
        <rFont val="FreeSans"/>
        <family val="2"/>
      </rPr>
      <t xml:space="preserve">ม</t>
    </r>
    <r>
      <rPr>
        <sz val="8"/>
        <rFont val="Tahoma"/>
        <family val="0"/>
        <charset val="1"/>
      </rPr>
      <t xml:space="preserve">.) + </t>
    </r>
    <r>
      <rPr>
        <sz val="8"/>
        <rFont val="FreeSans"/>
        <family val="2"/>
      </rPr>
      <t xml:space="preserve">ป้องกันสนิม</t>
    </r>
  </si>
  <si>
    <r>
      <rPr>
        <sz val="8"/>
        <rFont val="Tahoma"/>
        <family val="0"/>
        <charset val="1"/>
      </rPr>
      <t xml:space="preserve">Rack </t>
    </r>
    <r>
      <rPr>
        <sz val="8"/>
        <rFont val="FreeSans"/>
        <family val="2"/>
      </rPr>
      <t xml:space="preserve">เหล็กแขวน </t>
    </r>
    <r>
      <rPr>
        <sz val="8"/>
        <rFont val="Tahoma"/>
        <family val="0"/>
        <charset val="1"/>
      </rPr>
      <t xml:space="preserve">Inverter / </t>
    </r>
    <r>
      <rPr>
        <sz val="8"/>
        <rFont val="FreeSans"/>
        <family val="2"/>
      </rPr>
      <t xml:space="preserve">ตู้ </t>
    </r>
    <r>
      <rPr>
        <sz val="8"/>
        <rFont val="Tahoma"/>
        <family val="0"/>
        <charset val="1"/>
      </rPr>
      <t xml:space="preserve">DC-DB / METER-DB + </t>
    </r>
    <r>
      <rPr>
        <sz val="8"/>
        <rFont val="FreeSans"/>
        <family val="2"/>
      </rPr>
      <t xml:space="preserve">ฐานตู้ </t>
    </r>
    <r>
      <rPr>
        <sz val="8"/>
        <rFont val="Tahoma"/>
        <family val="0"/>
        <charset val="1"/>
      </rPr>
      <t xml:space="preserve">AC-DB Type C + </t>
    </r>
    <r>
      <rPr>
        <sz val="8"/>
        <rFont val="FreeSans"/>
        <family val="2"/>
      </rPr>
      <t xml:space="preserve">ที่ยึดราง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</si>
  <si>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</rPr>
      <t xml:space="preserve">ป้ายชื่อตู้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ทางเข้า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ประตูตามแบบ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</si>
  <si>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แนวดิ่ง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ระดับ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สนิม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ระยะเว้นรอบ </t>
    </r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</rPr>
      <t xml:space="preserve">ตามคู่มือผู้ผลิต</t>
    </r>
  </si>
  <si>
    <r>
      <rPr>
        <b val="true"/>
        <sz val="8"/>
        <rFont val="FreeSans"/>
        <family val="2"/>
      </rPr>
      <t xml:space="preserve">ในอาคารเดิม </t>
    </r>
    <r>
      <rPr>
        <b val="true"/>
        <sz val="8"/>
        <rFont val="Tahoma"/>
        <family val="0"/>
        <charset val="1"/>
      </rPr>
      <t xml:space="preserve">/ </t>
    </r>
    <r>
      <rPr>
        <b val="true"/>
        <sz val="8"/>
        <rFont val="FreeSans"/>
        <family val="2"/>
      </rPr>
      <t xml:space="preserve">ผนังเดิม</t>
    </r>
  </si>
  <si>
    <r>
      <rPr>
        <sz val="8"/>
        <rFont val="FreeSans"/>
        <family val="2"/>
      </rPr>
      <t xml:space="preserve">สำรวจห้อง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</rPr>
      <t xml:space="preserve">ผนัง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</rPr>
      <t xml:space="preserve">กันฝน แดด ระบายอากาศ ระยะเว้นตามคู่มือ </t>
    </r>
    <r>
      <rPr>
        <sz val="8"/>
        <rFont val="Tahoma"/>
        <family val="0"/>
        <charset val="1"/>
      </rPr>
      <t xml:space="preserve">Inverter + </t>
    </r>
    <r>
      <rPr>
        <sz val="8"/>
        <rFont val="FreeSans"/>
        <family val="2"/>
      </rPr>
      <t xml:space="preserve">ทางเดินสาย</t>
    </r>
  </si>
  <si>
    <r>
      <rPr>
        <sz val="8"/>
        <rFont val="FreeSans"/>
        <family val="2"/>
      </rPr>
      <t xml:space="preserve">ในอาคารเดิม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ผนังเดิม</t>
    </r>
  </si>
  <si>
    <r>
      <rPr>
        <sz val="8"/>
        <rFont val="FreeSans"/>
        <family val="2"/>
      </rPr>
      <t xml:space="preserve">ยึดโครง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แผ่นรองบนผนัง </t>
    </r>
    <r>
      <rPr>
        <sz val="8"/>
        <rFont val="Tahoma"/>
        <family val="0"/>
        <charset val="1"/>
      </rPr>
      <t xml:space="preserve">(Anchor </t>
    </r>
    <r>
      <rPr>
        <sz val="8"/>
        <rFont val="FreeSans"/>
        <family val="2"/>
      </rPr>
      <t xml:space="preserve">ตามน้ำหนัก </t>
    </r>
    <r>
      <rPr>
        <sz val="8"/>
        <rFont val="Tahoma"/>
        <family val="0"/>
        <charset val="1"/>
      </rPr>
      <t xml:space="preserve">Inverter)</t>
    </r>
  </si>
  <si>
    <r>
      <rPr>
        <sz val="8"/>
        <rFont val="FreeSans"/>
        <family val="2"/>
      </rPr>
      <t xml:space="preserve">ใช้ห้องหรือผนังอาคารเดิม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ไม่สร้างโรงเรือน</t>
    </r>
    <r>
      <rPr>
        <sz val="8"/>
        <rFont val="Tahoma"/>
        <family val="0"/>
        <charset val="1"/>
      </rPr>
      <t xml:space="preserve">), </t>
    </r>
    <r>
      <rPr>
        <sz val="8"/>
        <rFont val="FreeSans"/>
        <family val="2"/>
      </rPr>
      <t xml:space="preserve">ต้องกันแดดฝนและระบายอากาศได้</t>
    </r>
  </si>
  <si>
    <r>
      <rPr>
        <sz val="8"/>
        <rFont val="FreeSans"/>
        <family val="2"/>
      </rPr>
      <t xml:space="preserve">ตรวจหลังคา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กันสาดของอาคารเดิม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เพิ่มกันสาดถ้าจำเป็น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</si>
  <si>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Rack / </t>
    </r>
    <r>
      <rPr>
        <sz val="8"/>
        <rFont val="FreeSans"/>
        <family val="2"/>
      </rPr>
      <t xml:space="preserve">ที่ยึดราง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เจาะผนังร้อยสาย อุดกันไฟ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กันสัตว์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</si>
  <si>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</rPr>
      <t xml:space="preserve">ป้ายชื่อตู้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กั้นเขต</t>
    </r>
  </si>
  <si>
    <r>
      <rPr>
        <sz val="8"/>
        <rFont val="Tahoma"/>
        <family val="0"/>
        <charset val="1"/>
      </rPr>
      <t xml:space="preserve">ICL: </t>
    </r>
    <r>
      <rPr>
        <sz val="8"/>
        <rFont val="FreeSans"/>
        <family val="2"/>
      </rPr>
      <t xml:space="preserve">ยึดแน่น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ระยะเว้น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</rPr>
      <t xml:space="preserve">ช่องเจาะอุดครบ</t>
    </r>
  </si>
  <si>
    <r>
      <rPr>
        <b val="true"/>
        <sz val="8"/>
        <rFont val="FreeSans"/>
        <family val="2"/>
      </rPr>
      <t xml:space="preserve">บนหลังคาถังน้ำใส </t>
    </r>
    <r>
      <rPr>
        <b val="true"/>
        <sz val="8"/>
        <rFont val="Tahoma"/>
        <family val="0"/>
        <charset val="1"/>
      </rPr>
      <t xml:space="preserve">/ </t>
    </r>
    <r>
      <rPr>
        <b val="true"/>
        <sz val="8"/>
        <rFont val="FreeSans"/>
        <family val="2"/>
      </rPr>
      <t xml:space="preserve">ดาดฟ้า</t>
    </r>
  </si>
  <si>
    <r>
      <rPr>
        <sz val="8"/>
        <rFont val="Tahoma"/>
        <family val="0"/>
        <charset val="1"/>
      </rPr>
      <t xml:space="preserve">Mark </t>
    </r>
    <r>
      <rPr>
        <sz val="8"/>
        <rFont val="FreeSans"/>
        <family val="2"/>
      </rPr>
      <t xml:space="preserve">ตำแหน่ง หลบฝาถัง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ช่องระบาย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ท่อ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ตรวจน้ำหนักบนพื้น</t>
    </r>
  </si>
  <si>
    <r>
      <rPr>
        <sz val="8"/>
        <rFont val="FreeSans"/>
        <family val="2"/>
      </rPr>
      <t xml:space="preserve">บนหลังคาถังน้ำใส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ดาดฟ้า</t>
    </r>
  </si>
  <si>
    <r>
      <rPr>
        <sz val="8"/>
        <rFont val="FreeSans"/>
        <family val="2"/>
      </rPr>
      <t xml:space="preserve">ฐาน </t>
    </r>
    <r>
      <rPr>
        <sz val="8"/>
        <rFont val="Tahoma"/>
        <family val="0"/>
        <charset val="1"/>
      </rPr>
      <t xml:space="preserve">Concrete topping + Expansion bolt (</t>
    </r>
    <r>
      <rPr>
        <sz val="8"/>
        <rFont val="FreeSans"/>
        <family val="2"/>
      </rPr>
      <t xml:space="preserve">ไม่เจาะทะลุ </t>
    </r>
    <r>
      <rPr>
        <sz val="8"/>
        <rFont val="Tahoma"/>
        <family val="0"/>
        <charset val="1"/>
      </rPr>
      <t xml:space="preserve">slab) + </t>
    </r>
    <r>
      <rPr>
        <sz val="8"/>
        <rFont val="FreeSans"/>
        <family val="2"/>
      </rPr>
      <t xml:space="preserve">กันซึม</t>
    </r>
  </si>
  <si>
    <r>
      <rPr>
        <sz val="8"/>
        <rFont val="FreeSans"/>
        <family val="2"/>
      </rPr>
      <t xml:space="preserve">ตั้งบนพื้น คสล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</rPr>
      <t xml:space="preserve">หลังคาถังน้ำใส หรือดาดฟ้า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เช่น </t>
    </r>
    <r>
      <rPr>
        <sz val="8"/>
        <rFont val="Tahoma"/>
        <family val="0"/>
        <charset val="1"/>
      </rPr>
      <t xml:space="preserve">P4-001), </t>
    </r>
    <r>
      <rPr>
        <sz val="8"/>
        <rFont val="FreeSans"/>
        <family val="2"/>
      </rPr>
      <t xml:space="preserve">ยึดพุก ห้ามเจาะทะลุ </t>
    </r>
    <r>
      <rPr>
        <sz val="8"/>
        <rFont val="Tahoma"/>
        <family val="0"/>
        <charset val="1"/>
      </rPr>
      <t xml:space="preserve">slab</t>
    </r>
  </si>
  <si>
    <r>
      <rPr>
        <sz val="8"/>
        <rFont val="FreeSans"/>
        <family val="2"/>
      </rPr>
      <t xml:space="preserve">โครงเหล็ก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หลังคากันแดดฝน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ป้องกันสนิม</t>
    </r>
  </si>
  <si>
    <r>
      <rPr>
        <sz val="8"/>
        <rFont val="Tahoma"/>
        <family val="0"/>
        <charset val="1"/>
      </rPr>
      <t xml:space="preserve">Rack + </t>
    </r>
    <r>
      <rPr>
        <sz val="8"/>
        <rFont val="FreeSans"/>
        <family val="2"/>
      </rPr>
      <t xml:space="preserve">ที่ยึดรางยกพ้นน้ำขัง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</si>
  <si>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ราวกันตกขอบถัง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</si>
  <si>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</rPr>
      <t xml:space="preserve">ความสะอาดถัง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</rPr>
      <t xml:space="preserve">ฝาปิด</t>
    </r>
  </si>
  <si>
    <r>
      <rPr>
        <b val="true"/>
        <sz val="14"/>
        <color rgb="FF1F4E78"/>
        <rFont val="Tahoma"/>
        <family val="0"/>
        <charset val="1"/>
      </rPr>
      <t xml:space="preserve">ICL </t>
    </r>
    <r>
      <rPr>
        <b val="true"/>
        <sz val="14"/>
        <color rgb="FF1F4E78"/>
        <rFont val="FreeSans"/>
        <family val="2"/>
      </rPr>
      <t xml:space="preserve">ตรวจหน้างาน</t>
    </r>
    <r>
      <rPr>
        <b val="true"/>
        <sz val="14"/>
        <color rgb="FF1F4E78"/>
        <rFont val="Tahoma"/>
        <family val="0"/>
        <charset val="1"/>
      </rPr>
      <t xml:space="preserve">: </t>
    </r>
    <r>
      <rPr>
        <b val="true"/>
        <sz val="14"/>
        <color rgb="FF1F4E78"/>
        <rFont val="FreeSans"/>
        <family val="2"/>
      </rPr>
      <t xml:space="preserve">รายการตรวจตามแบบมาตรฐาน กปภ</t>
    </r>
    <r>
      <rPr>
        <b val="true"/>
        <sz val="14"/>
        <color rgb="FF1F4E78"/>
        <rFont val="Tahoma"/>
        <family val="0"/>
        <charset val="1"/>
      </rPr>
      <t xml:space="preserve">. </t>
    </r>
    <r>
      <rPr>
        <b val="true"/>
        <sz val="14"/>
        <color rgb="FF1F4E78"/>
        <rFont val="FreeSans"/>
        <family val="2"/>
      </rPr>
      <t xml:space="preserve">และ </t>
    </r>
    <r>
      <rPr>
        <b val="true"/>
        <sz val="14"/>
        <color rgb="FF1F4E78"/>
        <rFont val="Tahoma"/>
        <family val="0"/>
        <charset val="1"/>
      </rPr>
      <t xml:space="preserve">IEC 62446</t>
    </r>
  </si>
  <si>
    <r>
      <rPr>
        <sz val="9"/>
        <color rgb="FF595959"/>
        <rFont val="FreeSans"/>
        <family val="2"/>
      </rPr>
      <t xml:space="preserve">ผรม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ตรวจและบันทึก </t>
    </r>
    <r>
      <rPr>
        <sz val="9"/>
        <color rgb="FF595959"/>
        <rFont val="Tahoma"/>
        <family val="0"/>
        <charset val="1"/>
      </rPr>
      <t xml:space="preserve">(R), </t>
    </r>
    <r>
      <rPr>
        <sz val="9"/>
        <color rgb="FF595959"/>
        <rFont val="FreeSans"/>
        <family val="2"/>
      </rPr>
      <t xml:space="preserve">วศ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ลงนามรับรอง </t>
    </r>
    <r>
      <rPr>
        <sz val="9"/>
        <color rgb="FF595959"/>
        <rFont val="Tahoma"/>
        <family val="0"/>
        <charset val="1"/>
      </rPr>
      <t xml:space="preserve">(A) </t>
    </r>
    <r>
      <rPr>
        <sz val="9"/>
        <color rgb="FF595959"/>
        <rFont val="FreeSans"/>
        <family val="2"/>
      </rPr>
      <t xml:space="preserve">ที่งาน </t>
    </r>
    <r>
      <rPr>
        <sz val="9"/>
        <color rgb="FF595959"/>
        <rFont val="Tahoma"/>
        <family val="0"/>
        <charset val="1"/>
      </rPr>
      <t xml:space="preserve">ICL </t>
    </r>
    <r>
      <rPr>
        <sz val="9"/>
        <color rgb="FF595959"/>
        <rFont val="FreeSans"/>
        <family val="2"/>
      </rPr>
      <t xml:space="preserve">ของแต่ละหมวดใน </t>
    </r>
    <r>
      <rPr>
        <sz val="9"/>
        <color rgb="FF595959"/>
        <rFont val="Tahoma"/>
        <family val="0"/>
        <charset val="1"/>
      </rPr>
      <t xml:space="preserve">WBS, </t>
    </r>
    <r>
      <rPr>
        <sz val="9"/>
        <color rgb="FF595959"/>
        <rFont val="FreeSans"/>
        <family val="2"/>
      </rPr>
      <t xml:space="preserve">จุดหยุด</t>
    </r>
    <r>
      <rPr>
        <sz val="9"/>
        <color rgb="FF595959"/>
        <rFont val="Tahoma"/>
        <family val="0"/>
        <charset val="1"/>
      </rPr>
      <t xml:space="preserve">: H = </t>
    </r>
    <r>
      <rPr>
        <sz val="9"/>
        <color rgb="FF595959"/>
        <rFont val="FreeSans"/>
        <family val="2"/>
      </rPr>
      <t xml:space="preserve">หยุดรอ วศ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ตรวจก่อนทำต่อ</t>
    </r>
    <r>
      <rPr>
        <sz val="9"/>
        <color rgb="FF595959"/>
        <rFont val="Tahoma"/>
        <family val="0"/>
        <charset val="1"/>
      </rPr>
      <t xml:space="preserve">, W = </t>
    </r>
    <r>
      <rPr>
        <sz val="9"/>
        <color rgb="FF595959"/>
        <rFont val="FreeSans"/>
        <family val="2"/>
      </rPr>
      <t xml:space="preserve">แจ้ง วศ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มาดู</t>
    </r>
    <r>
      <rPr>
        <sz val="9"/>
        <color rgb="FF595959"/>
        <rFont val="Tahoma"/>
        <family val="0"/>
        <charset val="1"/>
      </rPr>
      <t xml:space="preserve">, R = </t>
    </r>
    <r>
      <rPr>
        <sz val="9"/>
        <color rgb="FF595959"/>
        <rFont val="FreeSans"/>
        <family val="2"/>
      </rPr>
      <t xml:space="preserve">ตรวจจากรูป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เอกสาร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ไม่ผ่าน </t>
    </r>
    <r>
      <rPr>
        <sz val="9"/>
        <color rgb="FF595959"/>
        <rFont val="Tahoma"/>
        <family val="0"/>
        <charset val="1"/>
      </rPr>
      <t xml:space="preserve">= </t>
    </r>
    <r>
      <rPr>
        <sz val="9"/>
        <color rgb="FF595959"/>
        <rFont val="FreeSans"/>
        <family val="2"/>
      </rPr>
      <t xml:space="preserve">แก้แล้วตรวจซ้ำในแถวเดิม และบันทึกงานแก้ที่ </t>
    </r>
    <r>
      <rPr>
        <sz val="9"/>
        <color rgb="FF595959"/>
        <rFont val="Tahoma"/>
        <family val="0"/>
        <charset val="1"/>
      </rPr>
      <t xml:space="preserve">Cost of Quality (</t>
    </r>
    <r>
      <rPr>
        <sz val="9"/>
        <color rgb="FF595959"/>
        <rFont val="FreeSans"/>
        <family val="2"/>
      </rPr>
      <t xml:space="preserve">ไม่เพิ่มงานใน </t>
    </r>
    <r>
      <rPr>
        <sz val="9"/>
        <color rgb="FF595959"/>
        <rFont val="Tahoma"/>
        <family val="0"/>
        <charset val="1"/>
      </rPr>
      <t xml:space="preserve">WBS)</t>
    </r>
  </si>
  <si>
    <r>
      <rPr>
        <b val="true"/>
        <sz val="9"/>
        <color rgb="FFFFFFFF"/>
        <rFont val="Tahoma"/>
        <family val="0"/>
        <charset val="1"/>
      </rPr>
      <t xml:space="preserve">WBS (</t>
    </r>
    <r>
      <rPr>
        <b val="true"/>
        <sz val="9"/>
        <color rgb="FFFFFFFF"/>
        <rFont val="FreeSans"/>
        <family val="2"/>
      </rPr>
      <t xml:space="preserve">งาน </t>
    </r>
    <r>
      <rPr>
        <b val="true"/>
        <sz val="9"/>
        <color rgb="FFFFFFFF"/>
        <rFont val="Tahoma"/>
        <family val="0"/>
        <charset val="1"/>
      </rPr>
      <t xml:space="preserve">ICL)</t>
    </r>
  </si>
  <si>
    <t xml:space="preserve">รายการตรวจ</t>
  </si>
  <si>
    <t xml:space="preserve">เกณฑ์ยอมรับ</t>
  </si>
  <si>
    <r>
      <rPr>
        <b val="true"/>
        <sz val="9"/>
        <color rgb="FFFFFFFF"/>
        <rFont val="FreeSans"/>
        <family val="2"/>
      </rPr>
      <t xml:space="preserve">วิธีตรวจ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เครื่องมือ</t>
    </r>
  </si>
  <si>
    <t xml:space="preserve">จุดหยุด</t>
  </si>
  <si>
    <t xml:space="preserve">หลักฐาน</t>
  </si>
  <si>
    <t xml:space="preserve">อ้างอิง</t>
  </si>
  <si>
    <t xml:space="preserve">ใช้กับ</t>
  </si>
  <si>
    <r>
      <rPr>
        <b val="true"/>
        <sz val="9"/>
        <color rgb="FFFFFFFF"/>
        <rFont val="FreeSans"/>
        <family val="2"/>
      </rPr>
      <t xml:space="preserve">ขั้นในแอป </t>
    </r>
    <r>
      <rPr>
        <b val="true"/>
        <sz val="9"/>
        <color rgb="FFFFFFFF"/>
        <rFont val="Tahoma"/>
        <family val="0"/>
        <charset val="1"/>
      </rPr>
      <t xml:space="preserve">TCRoof</t>
    </r>
  </si>
  <si>
    <t xml:space="preserve">หมวด</t>
  </si>
  <si>
    <t xml:space="preserve">2.1</t>
  </si>
  <si>
    <r>
      <rPr>
        <b val="true"/>
        <sz val="9"/>
        <color rgb="FF000000"/>
        <rFont val="FreeSans"/>
        <family val="2"/>
      </rPr>
      <t xml:space="preserve">โครงสร้างรองรับแผง</t>
    </r>
    <r>
      <rPr>
        <b val="true"/>
        <sz val="9"/>
        <color rgb="FF000000"/>
        <rFont val="Tahoma"/>
        <family val="0"/>
        <charset val="1"/>
      </rPr>
      <t xml:space="preserve">, </t>
    </r>
    <r>
      <rPr>
        <b val="true"/>
        <sz val="9"/>
        <color rgb="FF000000"/>
        <rFont val="FreeSans"/>
        <family val="2"/>
      </rPr>
      <t xml:space="preserve">บันได</t>
    </r>
    <r>
      <rPr>
        <b val="true"/>
        <sz val="9"/>
        <color rgb="FF000000"/>
        <rFont val="Tahoma"/>
        <family val="0"/>
        <charset val="1"/>
      </rPr>
      <t xml:space="preserve">, Walkway (20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6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</si>
  <si>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ตามประเภทจุดติดตั้ง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ชีตจุดติดตั้ง</t>
    </r>
    <r>
      <rPr>
        <sz val="9"/>
        <color rgb="FF000000"/>
        <rFont val="Tahoma"/>
        <family val="0"/>
        <charset val="1"/>
      </rPr>
      <t xml:space="preserve">)</t>
    </r>
  </si>
  <si>
    <t xml:space="preserve">ICL-2.1-01</t>
  </si>
  <si>
    <r>
      <rPr>
        <sz val="9"/>
        <color rgb="FF000000"/>
        <rFont val="FreeSans"/>
        <family val="2"/>
      </rPr>
      <t xml:space="preserve">ผังจุดยึดตรงตาม </t>
    </r>
    <r>
      <rPr>
        <sz val="9"/>
        <color rgb="FF000000"/>
        <rFont val="Tahoma"/>
        <family val="0"/>
        <charset val="1"/>
      </rPr>
      <t xml:space="preserve">Shop drawing</t>
    </r>
  </si>
  <si>
    <r>
      <rPr>
        <sz val="9"/>
        <color rgb="FF000000"/>
        <rFont val="FreeSans"/>
        <family val="2"/>
      </rPr>
      <t xml:space="preserve">ระยะยึดตามระยะแป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ระยะเสาตามแบบ</t>
    </r>
  </si>
  <si>
    <t xml:space="preserve">ตลับเมตร เทียบแบบ</t>
  </si>
  <si>
    <t xml:space="preserve">W</t>
  </si>
  <si>
    <r>
      <rPr>
        <sz val="9"/>
        <color rgb="FF000000"/>
        <rFont val="FreeSans"/>
        <family val="2"/>
      </rPr>
      <t xml:space="preserve">รูปผังที่ </t>
    </r>
    <r>
      <rPr>
        <sz val="9"/>
        <color rgb="FF000000"/>
        <rFont val="Tahoma"/>
        <family val="0"/>
        <charset val="1"/>
      </rPr>
      <t xml:space="preserve">Mark</t>
    </r>
  </si>
  <si>
    <t xml:space="preserve">C09, C15, STEEL SUPPORT</t>
  </si>
  <si>
    <t xml:space="preserve">ทุกประเภท</t>
  </si>
  <si>
    <r>
      <rPr>
        <sz val="9"/>
        <color rgb="FF595959"/>
        <rFont val="FreeSans"/>
        <family val="2"/>
      </rPr>
      <t xml:space="preserve">โครงสร้างรองรับแผง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บันได</t>
    </r>
    <r>
      <rPr>
        <sz val="9"/>
        <color rgb="FF595959"/>
        <rFont val="Tahoma"/>
        <family val="0"/>
        <charset val="1"/>
      </rPr>
      <t xml:space="preserve">, Walkway</t>
    </r>
  </si>
  <si>
    <t xml:space="preserve">ICL-2.1-02</t>
  </si>
  <si>
    <r>
      <rPr>
        <sz val="9"/>
        <color rgb="FF000000"/>
        <rFont val="Tahoma"/>
        <family val="0"/>
        <charset val="1"/>
      </rPr>
      <t xml:space="preserve">Hanger bolt </t>
    </r>
    <r>
      <rPr>
        <sz val="9"/>
        <color rgb="FF000000"/>
        <rFont val="FreeSans"/>
        <family val="2"/>
      </rPr>
      <t xml:space="preserve">เข้าแปทุกจุด และซีลกันซึม</t>
    </r>
  </si>
  <si>
    <t xml:space="preserve">ครบทุกจุด ไม่มีรูเจาะเปล่า</t>
  </si>
  <si>
    <t xml:space="preserve">ตรวจด้วยตา ก่อนวางราง</t>
  </si>
  <si>
    <t xml:space="preserve">H</t>
  </si>
  <si>
    <t xml:space="preserve">รูปทุกแถวก่อนวางราง</t>
  </si>
  <si>
    <t xml:space="preserve">ICL-2.1-03</t>
  </si>
  <si>
    <t xml:space="preserve">แรงขันน็อตยึดโครง</t>
  </si>
  <si>
    <r>
      <rPr>
        <sz val="9"/>
        <color rgb="FF000000"/>
        <rFont val="Tahoma"/>
        <family val="0"/>
        <charset val="1"/>
      </rPr>
      <t xml:space="preserve">M8 = 12 N·m, M10 = 21 N·m </t>
    </r>
    <r>
      <rPr>
        <sz val="9"/>
        <color rgb="FF000000"/>
        <rFont val="FreeSans"/>
        <family val="2"/>
      </rPr>
      <t xml:space="preserve">และมาร์คสีทุกตัว</t>
    </r>
  </si>
  <si>
    <r>
      <rPr>
        <sz val="9"/>
        <color rgb="FF000000"/>
        <rFont val="FreeSans"/>
        <family val="2"/>
      </rPr>
      <t xml:space="preserve">ประแจทอร์ก สุ่มอย่างน้อย </t>
    </r>
    <r>
      <rPr>
        <sz val="9"/>
        <color rgb="FF000000"/>
        <rFont val="Tahoma"/>
        <family val="0"/>
        <charset val="1"/>
      </rPr>
      <t xml:space="preserve">10% </t>
    </r>
    <r>
      <rPr>
        <sz val="9"/>
        <color rgb="FF000000"/>
        <rFont val="FreeSans"/>
        <family val="2"/>
      </rPr>
      <t xml:space="preserve">ของจุด</t>
    </r>
  </si>
  <si>
    <r>
      <rPr>
        <sz val="9"/>
        <color rgb="FF000000"/>
        <rFont val="FreeSans"/>
        <family val="2"/>
      </rPr>
      <t xml:space="preserve">บันทึกค่า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เลขเครื่องมือ</t>
    </r>
  </si>
  <si>
    <t xml:space="preserve">ICL-2.1-04</t>
  </si>
  <si>
    <r>
      <rPr>
        <sz val="9"/>
        <color rgb="FF000000"/>
        <rFont val="FreeSans"/>
        <family val="2"/>
      </rPr>
      <t xml:space="preserve">แรงขันน็อตยึดโครง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หลังคาอื่น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ถัง</t>
    </r>
    <r>
      <rPr>
        <sz val="9"/>
        <color rgb="FF000000"/>
        <rFont val="Tahoma"/>
        <family val="0"/>
        <charset val="1"/>
      </rPr>
      <t xml:space="preserve">)</t>
    </r>
  </si>
  <si>
    <t xml:space="preserve">ตามคู่มือผู้ผลิตโครงยึด และมาร์คสีทุกตัว</t>
  </si>
  <si>
    <t xml:space="preserve">คู่มือผู้ผลิต</t>
  </si>
  <si>
    <r>
      <rPr>
        <sz val="9"/>
        <color rgb="FF000000"/>
        <rFont val="FreeSans"/>
        <family val="2"/>
      </rPr>
      <t xml:space="preserve">เมทัลชีท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หลังคา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ถังดินกลบ</t>
    </r>
    <r>
      <rPr>
        <sz val="9"/>
        <color rgb="FF000000"/>
        <rFont val="Tahoma"/>
        <family val="0"/>
        <charset val="1"/>
      </rPr>
      <t xml:space="preserve">, Carport</t>
    </r>
  </si>
  <si>
    <t xml:space="preserve">ICL-2.1-05</t>
  </si>
  <si>
    <t xml:space="preserve">ทดสอบรั่วซึมทุกจุดเจาะ</t>
  </si>
  <si>
    <t xml:space="preserve">ไม่มีน้ำซึมใต้หลังคา</t>
  </si>
  <si>
    <t xml:space="preserve">ฉีดน้ำแล้วตรวจใต้หลังคา</t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</si>
  <si>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วิดีโอใต้หลังคา</t>
    </r>
  </si>
  <si>
    <r>
      <rPr>
        <sz val="9"/>
        <color rgb="FF000000"/>
        <rFont val="FreeSans"/>
        <family val="2"/>
      </rPr>
      <t xml:space="preserve">หลังคาลอนคู่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หลังคา</t>
    </r>
  </si>
  <si>
    <t xml:space="preserve">ICL-2.1-06</t>
  </si>
  <si>
    <t xml:space="preserve">กระเบื้องที่แตกระหว่างติดตั้ง</t>
  </si>
  <si>
    <t xml:space="preserve">เปลี่ยนครบ ไม่มีแผ่นแตกหรือร้าว</t>
  </si>
  <si>
    <t xml:space="preserve">ตรวจด้วยตาทั้งหลังคา</t>
  </si>
  <si>
    <t xml:space="preserve">R</t>
  </si>
  <si>
    <r>
      <rPr>
        <sz val="9"/>
        <color rgb="FF000000"/>
        <rFont val="FreeSans"/>
        <family val="2"/>
      </rPr>
      <t xml:space="preserve">รูปก่อน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หลังเปลี่ยน</t>
    </r>
  </si>
  <si>
    <r>
      <rPr>
        <sz val="9"/>
        <color rgb="FF000000"/>
        <rFont val="FreeSans"/>
        <family val="2"/>
      </rPr>
      <t xml:space="preserve">แบบสำรวจ </t>
    </r>
    <r>
      <rPr>
        <sz val="9"/>
        <color rgb="FF000000"/>
        <rFont val="Tahoma"/>
        <family val="0"/>
        <charset val="1"/>
      </rPr>
      <t xml:space="preserve">C1</t>
    </r>
  </si>
  <si>
    <t xml:space="preserve">ICL-2.1-07</t>
  </si>
  <si>
    <r>
      <rPr>
        <sz val="9"/>
        <color rgb="FF000000"/>
        <rFont val="Tahoma"/>
        <family val="0"/>
        <charset val="1"/>
      </rPr>
      <t xml:space="preserve">Kliplok </t>
    </r>
    <r>
      <rPr>
        <sz val="9"/>
        <color rgb="FF000000"/>
        <rFont val="FreeSans"/>
        <family val="2"/>
      </rPr>
      <t xml:space="preserve">บนหลังคาเมทัลชีท</t>
    </r>
  </si>
  <si>
    <t xml:space="preserve">แน่นทุกจุด ไม่มีรอยเจาะแผ่น</t>
  </si>
  <si>
    <r>
      <rPr>
        <sz val="9"/>
        <color rgb="FF000000"/>
        <rFont val="FreeSans"/>
        <family val="2"/>
      </rPr>
      <t xml:space="preserve">ตรวจด้วยตา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ลองโยก</t>
    </r>
  </si>
  <si>
    <t xml:space="preserve">รูปทุกแถว</t>
  </si>
  <si>
    <t xml:space="preserve">ICL-2.1-08</t>
  </si>
  <si>
    <t xml:space="preserve">พุกยึดฐานบนหลังคาถัง</t>
  </si>
  <si>
    <r>
      <rPr>
        <sz val="9"/>
        <color rgb="FF000000"/>
        <rFont val="Tahoma"/>
        <family val="0"/>
        <charset val="1"/>
      </rPr>
      <t xml:space="preserve">Expansion bolt M12 </t>
    </r>
    <r>
      <rPr>
        <sz val="9"/>
        <color rgb="FF000000"/>
        <rFont val="FreeSans"/>
        <family val="2"/>
      </rPr>
      <t xml:space="preserve">ครบ </t>
    </r>
    <r>
      <rPr>
        <sz val="9"/>
        <color rgb="FF000000"/>
        <rFont val="Tahoma"/>
        <family val="0"/>
        <charset val="1"/>
      </rPr>
      <t xml:space="preserve">4 </t>
    </r>
    <r>
      <rPr>
        <sz val="9"/>
        <color rgb="FF000000"/>
        <rFont val="FreeSans"/>
        <family val="2"/>
      </rPr>
      <t xml:space="preserve">ตัว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ฐาน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ไม่เจาะทะลุ </t>
    </r>
    <r>
      <rPr>
        <sz val="9"/>
        <color rgb="FF000000"/>
        <rFont val="Tahoma"/>
        <family val="0"/>
        <charset val="1"/>
      </rPr>
      <t xml:space="preserve">slab</t>
    </r>
  </si>
  <si>
    <t xml:space="preserve">ตรวจความลึกเจาะก่อนใส่พุก</t>
  </si>
  <si>
    <r>
      <rPr>
        <sz val="9"/>
        <color rgb="FF000000"/>
        <rFont val="FreeSans"/>
        <family val="2"/>
      </rPr>
      <t xml:space="preserve">รูปทุกฐานก่อนเท </t>
    </r>
    <r>
      <rPr>
        <sz val="9"/>
        <color rgb="FF000000"/>
        <rFont val="Tahoma"/>
        <family val="0"/>
        <charset val="1"/>
      </rPr>
      <t xml:space="preserve">Topping</t>
    </r>
  </si>
  <si>
    <t xml:space="preserve">ICL-2.1-09</t>
  </si>
  <si>
    <r>
      <rPr>
        <sz val="9"/>
        <color rgb="FF000000"/>
        <rFont val="FreeSans"/>
        <family val="2"/>
      </rPr>
      <t xml:space="preserve">ฐาน </t>
    </r>
    <r>
      <rPr>
        <sz val="9"/>
        <color rgb="FF000000"/>
        <rFont val="Tahoma"/>
        <family val="0"/>
        <charset val="1"/>
      </rPr>
      <t xml:space="preserve">Concrete topping</t>
    </r>
  </si>
  <si>
    <r>
      <rPr>
        <sz val="9"/>
        <color rgb="FF000000"/>
        <rFont val="Tahoma"/>
        <family val="0"/>
        <charset val="1"/>
      </rPr>
      <t xml:space="preserve">300 × 300 × 150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เว้นช่องท่อและฝาถัง</t>
    </r>
  </si>
  <si>
    <t xml:space="preserve">ตลับเมตร</t>
  </si>
  <si>
    <t xml:space="preserve">รูปทุกฐาน</t>
  </si>
  <si>
    <t xml:space="preserve">ICL-2.1-10</t>
  </si>
  <si>
    <t xml:space="preserve">ระยะเสาและความสูงโครง</t>
  </si>
  <si>
    <r>
      <rPr>
        <sz val="9"/>
        <color rgb="FF000000"/>
        <rFont val="FreeSans"/>
        <family val="2"/>
      </rPr>
      <t xml:space="preserve">เสาห่าง </t>
    </r>
    <r>
      <rPr>
        <sz val="9"/>
        <color rgb="FF000000"/>
        <rFont val="Tahoma"/>
        <family val="0"/>
        <charset val="1"/>
      </rPr>
      <t xml:space="preserve">2.70 × 2.80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., Front / Back post 2.00 / 1.00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., Bracing </t>
    </r>
    <r>
      <rPr>
        <sz val="9"/>
        <color rgb="FF000000"/>
        <rFont val="FreeSans"/>
        <family val="2"/>
      </rPr>
      <t xml:space="preserve">ครบ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</si>
  <si>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บันทึกระยะ</t>
    </r>
  </si>
  <si>
    <t xml:space="preserve">ICL-2.1-11</t>
  </si>
  <si>
    <r>
      <rPr>
        <sz val="9"/>
        <color rgb="FF000000"/>
        <rFont val="Tahoma"/>
        <family val="0"/>
        <charset val="1"/>
      </rPr>
      <t xml:space="preserve">Ground lug / Ground plate </t>
    </r>
    <r>
      <rPr>
        <sz val="9"/>
        <color rgb="FF000000"/>
        <rFont val="FreeSans"/>
        <family val="2"/>
      </rPr>
      <t xml:space="preserve">บน </t>
    </r>
    <r>
      <rPr>
        <sz val="9"/>
        <color rgb="FF000000"/>
        <rFont val="Tahoma"/>
        <family val="0"/>
        <charset val="1"/>
      </rPr>
      <t xml:space="preserve">Rail</t>
    </r>
  </si>
  <si>
    <t xml:space="preserve">ครบตามผังต่อลงดิน</t>
  </si>
  <si>
    <t xml:space="preserve">ตรวจด้วยตาตามผัง</t>
  </si>
  <si>
    <t xml:space="preserve">ICL-2.1-12</t>
  </si>
  <si>
    <r>
      <rPr>
        <sz val="9"/>
        <color rgb="FF000000"/>
        <rFont val="FreeSans"/>
        <family val="2"/>
      </rPr>
      <t xml:space="preserve">ฐาน </t>
    </r>
    <r>
      <rPr>
        <sz val="9"/>
        <color rgb="FF000000"/>
        <rFont val="Tahoma"/>
        <family val="0"/>
        <charset val="1"/>
      </rPr>
      <t xml:space="preserve">Steel support </t>
    </r>
    <r>
      <rPr>
        <sz val="9"/>
        <color rgb="FF000000"/>
        <rFont val="FreeSans"/>
        <family val="2"/>
      </rPr>
      <t xml:space="preserve">ก่อนกลบดิน</t>
    </r>
  </si>
  <si>
    <r>
      <rPr>
        <sz val="9"/>
        <color rgb="FF000000"/>
        <rFont val="FreeSans"/>
        <family val="2"/>
      </rPr>
      <t xml:space="preserve">ถ่ายรูปทุกต้นก่อนกลบ</t>
    </r>
    <r>
      <rPr>
        <sz val="9"/>
        <color rgb="FF000000"/>
        <rFont val="Tahoma"/>
        <family val="0"/>
        <charset val="1"/>
      </rPr>
      <t xml:space="preserve">, Plate 8" × 8" × 6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 + Expansion bolt M12 + </t>
    </r>
    <r>
      <rPr>
        <sz val="9"/>
        <color rgb="FF000000"/>
        <rFont val="FreeSans"/>
        <family val="2"/>
      </rPr>
      <t xml:space="preserve">คอนกรีตหุ้ม</t>
    </r>
  </si>
  <si>
    <t xml:space="preserve">ตรวจด้วยตา</t>
  </si>
  <si>
    <t xml:space="preserve">รูปทุกต้นก่อนกลบดิน</t>
  </si>
  <si>
    <t xml:space="preserve">ICL-2.1-13</t>
  </si>
  <si>
    <r>
      <rPr>
        <sz val="9"/>
        <color rgb="FF000000"/>
        <rFont val="FreeSans"/>
        <family val="2"/>
      </rPr>
      <t xml:space="preserve">ความยาว </t>
    </r>
    <r>
      <rPr>
        <sz val="9"/>
        <color rgb="FF000000"/>
        <rFont val="Tahoma"/>
        <family val="0"/>
        <charset val="1"/>
      </rPr>
      <t xml:space="preserve">Steel support</t>
    </r>
  </si>
  <si>
    <r>
      <rPr>
        <sz val="9"/>
        <color rgb="FF000000"/>
        <rFont val="FreeSans"/>
        <family val="2"/>
      </rPr>
      <t xml:space="preserve">ตรงกับความลึกดินที่วัดได้ </t>
    </r>
    <r>
      <rPr>
        <sz val="9"/>
        <color rgb="FF000000"/>
        <rFont val="Tahoma"/>
        <family val="0"/>
        <charset val="1"/>
      </rPr>
      <t xml:space="preserve">(300–800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.)</t>
    </r>
  </si>
  <si>
    <t xml:space="preserve">วัดความลึกดินทุกต้น</t>
  </si>
  <si>
    <r>
      <rPr>
        <sz val="9"/>
        <color rgb="FF000000"/>
        <rFont val="FreeSans"/>
        <family val="2"/>
      </rPr>
      <t xml:space="preserve">บันทึกความลึก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ความยาว</t>
    </r>
  </si>
  <si>
    <t xml:space="preserve">ICL-2.1-14</t>
  </si>
  <si>
    <r>
      <rPr>
        <sz val="9"/>
        <color rgb="FF000000"/>
        <rFont val="FreeSans"/>
        <family val="2"/>
      </rPr>
      <t xml:space="preserve">ผิวชุบ </t>
    </r>
    <r>
      <rPr>
        <sz val="9"/>
        <color rgb="FF000000"/>
        <rFont val="Tahoma"/>
        <family val="0"/>
        <charset val="1"/>
      </rPr>
      <t xml:space="preserve">HDG</t>
    </r>
  </si>
  <si>
    <t xml:space="preserve">ไม่ถลอก หรือซ่อมสีกันสนิมแล้ว</t>
  </si>
  <si>
    <t xml:space="preserve">รูป</t>
  </si>
  <si>
    <t xml:space="preserve">STEEL SUPPORT, C16</t>
  </si>
  <si>
    <r>
      <rPr>
        <sz val="9"/>
        <color rgb="FF000000"/>
        <rFont val="FreeSans"/>
        <family val="2"/>
      </rPr>
      <t xml:space="preserve">ถังดินกลบ</t>
    </r>
    <r>
      <rPr>
        <sz val="9"/>
        <color rgb="FF000000"/>
        <rFont val="Tahoma"/>
        <family val="0"/>
        <charset val="1"/>
      </rPr>
      <t xml:space="preserve">, Walkway</t>
    </r>
  </si>
  <si>
    <t xml:space="preserve">ICL-2.1-15</t>
  </si>
  <si>
    <t xml:space="preserve">แนวดิ่งและระดับโครง</t>
  </si>
  <si>
    <t xml:space="preserve">ตามแบบ</t>
  </si>
  <si>
    <r>
      <rPr>
        <sz val="9"/>
        <color rgb="FF000000"/>
        <rFont val="FreeSans"/>
        <family val="2"/>
      </rPr>
      <t xml:space="preserve">ระดับน้ำ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เลเซอร์</t>
    </r>
  </si>
  <si>
    <t xml:space="preserve">บันทึกค่า</t>
  </si>
  <si>
    <r>
      <rPr>
        <sz val="9"/>
        <color rgb="FF000000"/>
        <rFont val="FreeSans"/>
        <family val="2"/>
      </rPr>
      <t xml:space="preserve">แบบ </t>
    </r>
    <r>
      <rPr>
        <sz val="9"/>
        <color rgb="FF000000"/>
        <rFont val="Tahoma"/>
        <family val="0"/>
        <charset val="1"/>
      </rPr>
      <t xml:space="preserve">Carport</t>
    </r>
  </si>
  <si>
    <t xml:space="preserve">ICL-2.1-16</t>
  </si>
  <si>
    <t xml:space="preserve">ความสะอาดถังและฝาปิดหลังติดตั้ง</t>
  </si>
  <si>
    <t xml:space="preserve">ไม่มีเศษวัสดุตกค้าง ฝาปิดสนิท</t>
  </si>
  <si>
    <t xml:space="preserve">รูปฝาถังทุกฝา</t>
  </si>
  <si>
    <r>
      <rPr>
        <sz val="9"/>
        <color rgb="FF000000"/>
        <rFont val="FreeSans"/>
        <family val="2"/>
      </rPr>
      <t xml:space="preserve">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ถังดินกลบ</t>
    </r>
  </si>
  <si>
    <t xml:space="preserve">ICL-2.1-17</t>
  </si>
  <si>
    <t xml:space="preserve">บันไดเซอร์วิส</t>
  </si>
  <si>
    <r>
      <rPr>
        <sz val="9"/>
        <color rgb="FF000000"/>
        <rFont val="FreeSans"/>
        <family val="2"/>
      </rPr>
      <t xml:space="preserve">ยึดผนัง </t>
    </r>
    <r>
      <rPr>
        <sz val="9"/>
        <color rgb="FF000000"/>
        <rFont val="Tahoma"/>
        <family val="0"/>
        <charset val="1"/>
      </rPr>
      <t xml:space="preserve">Stud bolt ø12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ครบ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กรงต่อเนื่องถึงชานบน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ยื่นเหนือหลังคา </t>
    </r>
    <r>
      <rPr>
        <sz val="9"/>
        <color rgb="FF000000"/>
        <rFont val="Tahoma"/>
        <family val="0"/>
        <charset val="1"/>
      </rPr>
      <t xml:space="preserve">1.00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ทาสีกันสนิม</t>
    </r>
  </si>
  <si>
    <r>
      <rPr>
        <sz val="9"/>
        <color rgb="FF000000"/>
        <rFont val="FreeSans"/>
        <family val="2"/>
      </rPr>
      <t xml:space="preserve">ตรวจด้วยตา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ลองรับน้ำหนัก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</si>
  <si>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ลงนามก่อนเปิดใช้</t>
    </r>
  </si>
  <si>
    <r>
      <rPr>
        <sz val="9"/>
        <color rgb="FF000000"/>
        <rFont val="FreeSans"/>
        <family val="2"/>
      </rPr>
      <t xml:space="preserve">อาคารสูง ≥ </t>
    </r>
    <r>
      <rPr>
        <sz val="9"/>
        <color rgb="FF000000"/>
        <rFont val="Tahoma"/>
        <family val="0"/>
        <charset val="1"/>
      </rPr>
      <t xml:space="preserve">3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ไม่มีบันได</t>
    </r>
  </si>
  <si>
    <t xml:space="preserve">ICL-2.1-18</t>
  </si>
  <si>
    <t xml:space="preserve">Walkway HDG</t>
  </si>
  <si>
    <r>
      <rPr>
        <sz val="9"/>
        <color rgb="FF000000"/>
        <rFont val="FreeSans"/>
        <family val="2"/>
      </rPr>
      <t xml:space="preserve">ยึดครบทุก </t>
    </r>
    <r>
      <rPr>
        <sz val="9"/>
        <color rgb="FF000000"/>
        <rFont val="Tahoma"/>
        <family val="0"/>
        <charset val="1"/>
      </rPr>
      <t xml:space="preserve">1.20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ไม่โยก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แถบทางเดินรวม </t>
    </r>
    <r>
      <rPr>
        <sz val="9"/>
        <color rgb="FF000000"/>
        <rFont val="Tahoma"/>
        <family val="0"/>
        <charset val="1"/>
      </rPr>
      <t xml:space="preserve">0.90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</t>
    </r>
  </si>
  <si>
    <t xml:space="preserve">เดินทดสอบ</t>
  </si>
  <si>
    <t xml:space="preserve">รูปตลอดแนว</t>
  </si>
  <si>
    <r>
      <rPr>
        <sz val="9"/>
        <color rgb="FF000000"/>
        <rFont val="FreeSans"/>
        <family val="2"/>
      </rPr>
      <t xml:space="preserve">หลังคา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มี </t>
    </r>
    <r>
      <rPr>
        <sz val="9"/>
        <color rgb="FF000000"/>
        <rFont val="Tahoma"/>
        <family val="0"/>
        <charset val="1"/>
      </rPr>
      <t xml:space="preserve">Walkway)</t>
    </r>
  </si>
  <si>
    <t xml:space="preserve">ICL-2.1-19</t>
  </si>
  <si>
    <t xml:space="preserve">Lifeline</t>
  </si>
  <si>
    <r>
      <rPr>
        <sz val="9"/>
        <color rgb="FF000000"/>
        <rFont val="FreeSans"/>
        <family val="2"/>
      </rPr>
      <t xml:space="preserve">สลิง </t>
    </r>
    <r>
      <rPr>
        <sz val="9"/>
        <color rgb="FF000000"/>
        <rFont val="Tahoma"/>
        <family val="0"/>
        <charset val="1"/>
      </rPr>
      <t xml:space="preserve">6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ตึง</t>
    </r>
    <r>
      <rPr>
        <sz val="9"/>
        <color rgb="FF000000"/>
        <rFont val="Tahoma"/>
        <family val="0"/>
        <charset val="1"/>
      </rPr>
      <t xml:space="preserve">, Wire rope clips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Thimbles </t>
    </r>
    <r>
      <rPr>
        <sz val="9"/>
        <color rgb="FF000000"/>
        <rFont val="FreeSans"/>
        <family val="2"/>
      </rPr>
      <t xml:space="preserve">ครบทั้งสองปลาย</t>
    </r>
    <r>
      <rPr>
        <sz val="9"/>
        <color rgb="FF000000"/>
        <rFont val="Tahoma"/>
        <family val="0"/>
        <charset val="1"/>
      </rPr>
      <t xml:space="preserve">, L-feet </t>
    </r>
    <r>
      <rPr>
        <sz val="9"/>
        <color rgb="FF000000"/>
        <rFont val="FreeSans"/>
        <family val="2"/>
      </rPr>
      <t xml:space="preserve">ทุก </t>
    </r>
    <r>
      <rPr>
        <sz val="9"/>
        <color rgb="FF000000"/>
        <rFont val="Tahoma"/>
        <family val="0"/>
        <charset val="1"/>
      </rPr>
      <t xml:space="preserve">2.40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</si>
  <si>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ตรวจด้วยตา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ดึงทดสอบ</t>
    </r>
  </si>
  <si>
    <t xml:space="preserve">รูปปลายสลิงทั้งสองข้าง</t>
  </si>
  <si>
    <r>
      <rPr>
        <sz val="9"/>
        <color rgb="FF000000"/>
        <rFont val="FreeSans"/>
        <family val="2"/>
      </rPr>
      <t xml:space="preserve">หลังคา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มี </t>
    </r>
    <r>
      <rPr>
        <sz val="9"/>
        <color rgb="FF000000"/>
        <rFont val="Tahoma"/>
        <family val="0"/>
        <charset val="1"/>
      </rPr>
      <t xml:space="preserve">Lifeline)</t>
    </r>
  </si>
  <si>
    <t xml:space="preserve">ICL-2.1-20</t>
  </si>
  <si>
    <t xml:space="preserve">ท่อน้ำล้างแผงและก๊อก</t>
  </si>
  <si>
    <r>
      <rPr>
        <sz val="9"/>
        <color rgb="FF000000"/>
        <rFont val="FreeSans"/>
        <family val="2"/>
      </rPr>
      <t xml:space="preserve">ท่อ </t>
    </r>
    <r>
      <rPr>
        <sz val="9"/>
        <color rgb="FF000000"/>
        <rFont val="Tahoma"/>
        <family val="0"/>
        <charset val="1"/>
      </rPr>
      <t xml:space="preserve">PPR ¾" </t>
    </r>
    <r>
      <rPr>
        <sz val="9"/>
        <color rgb="FF000000"/>
        <rFont val="FreeSans"/>
        <family val="2"/>
      </rPr>
      <t xml:space="preserve">ไม่รั่ว ก๊อกใช้งานได้</t>
    </r>
  </si>
  <si>
    <t xml:space="preserve">เปิดน้ำทดสอบ</t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</si>
  <si>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วิดีโอ</t>
    </r>
  </si>
  <si>
    <r>
      <rPr>
        <sz val="9"/>
        <color rgb="FF000000"/>
        <rFont val="FreeSans"/>
        <family val="2"/>
      </rPr>
      <t xml:space="preserve">หลังคา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มีท่อน้ำ</t>
    </r>
    <r>
      <rPr>
        <sz val="9"/>
        <color rgb="FF000000"/>
        <rFont val="Tahoma"/>
        <family val="0"/>
        <charset val="1"/>
      </rPr>
      <t xml:space="preserve">)</t>
    </r>
  </si>
  <si>
    <t xml:space="preserve">2.2</t>
  </si>
  <si>
    <r>
      <rPr>
        <b val="true"/>
        <sz val="9"/>
        <color rgb="FF000000"/>
        <rFont val="FreeSans"/>
        <family val="2"/>
      </rPr>
      <t xml:space="preserve">ระบบ </t>
    </r>
    <r>
      <rPr>
        <b val="true"/>
        <sz val="9"/>
        <color rgb="FF000000"/>
        <rFont val="Tahoma"/>
        <family val="0"/>
        <charset val="1"/>
      </rPr>
      <t xml:space="preserve">DC </t>
    </r>
    <r>
      <rPr>
        <b val="true"/>
        <sz val="9"/>
        <color rgb="FF000000"/>
        <rFont val="FreeSans"/>
        <family val="2"/>
      </rPr>
      <t xml:space="preserve">และตู้ </t>
    </r>
    <r>
      <rPr>
        <b val="true"/>
        <sz val="9"/>
        <color rgb="FF000000"/>
        <rFont val="Tahoma"/>
        <family val="0"/>
        <charset val="1"/>
      </rPr>
      <t xml:space="preserve">DC-DB (9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1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</si>
  <si>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ICL-2.2-01</t>
  </si>
  <si>
    <r>
      <rPr>
        <sz val="9"/>
        <color rgb="FF000000"/>
        <rFont val="FreeSans"/>
        <family val="2"/>
      </rPr>
      <t xml:space="preserve">รางเดินสาย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</si>
  <si>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FreeSans"/>
        <family val="2"/>
      </rPr>
      <t xml:space="preserve">ขนาดตามจำนวนสาย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ฝาปิดครบ</t>
    </r>
    <r>
      <rPr>
        <sz val="9"/>
        <color rgb="FF000000"/>
        <rFont val="Tahoma"/>
        <family val="0"/>
        <charset val="1"/>
      </rPr>
      <t xml:space="preserve">, Hold-down clamp </t>
    </r>
    <r>
      <rPr>
        <sz val="9"/>
        <color rgb="FF000000"/>
        <rFont val="FreeSans"/>
        <family val="2"/>
      </rPr>
      <t xml:space="preserve">ทุกจุด </t>
    </r>
    <r>
      <rPr>
        <sz val="9"/>
        <color rgb="FF000000"/>
        <rFont val="Tahoma"/>
        <family val="0"/>
        <charset val="1"/>
      </rPr>
      <t xml:space="preserve">Rail, </t>
    </r>
    <r>
      <rPr>
        <sz val="9"/>
        <color rgb="FF000000"/>
        <rFont val="FreeSans"/>
        <family val="2"/>
      </rPr>
      <t xml:space="preserve">ห่างแผง </t>
    </r>
    <r>
      <rPr>
        <sz val="9"/>
        <color rgb="FF000000"/>
        <rFont val="Tahoma"/>
        <family val="0"/>
        <charset val="1"/>
      </rPr>
      <t xml:space="preserve">300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</t>
    </r>
  </si>
  <si>
    <t xml:space="preserve">C16, C17</t>
  </si>
  <si>
    <r>
      <rPr>
        <sz val="9"/>
        <color rgb="FF000000"/>
        <rFont val="FreeSans"/>
        <family val="2"/>
      </rPr>
      <t xml:space="preserve">สาย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</si>
  <si>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595959"/>
        <rFont val="FreeSans"/>
        <family val="2"/>
      </rPr>
      <t xml:space="preserve">ระบบ </t>
    </r>
    <r>
      <rPr>
        <sz val="9"/>
        <color rgb="FF595959"/>
        <rFont val="Tahoma"/>
        <family val="0"/>
        <charset val="1"/>
      </rPr>
      <t xml:space="preserve">DC </t>
    </r>
    <r>
      <rPr>
        <sz val="9"/>
        <color rgb="FF595959"/>
        <rFont val="FreeSans"/>
        <family val="2"/>
      </rPr>
      <t xml:space="preserve">และตู้ </t>
    </r>
    <r>
      <rPr>
        <sz val="9"/>
        <color rgb="FF595959"/>
        <rFont val="Tahoma"/>
        <family val="0"/>
        <charset val="1"/>
      </rPr>
      <t xml:space="preserve">DC-DB</t>
    </r>
  </si>
  <si>
    <t xml:space="preserve">ICL-2.2-02</t>
  </si>
  <si>
    <r>
      <rPr>
        <sz val="9"/>
        <color rgb="FF000000"/>
        <rFont val="FreeSans"/>
        <family val="2"/>
      </rPr>
      <t xml:space="preserve">สาย </t>
    </r>
    <r>
      <rPr>
        <sz val="9"/>
        <color rgb="FF000000"/>
        <rFont val="Tahoma"/>
        <family val="0"/>
        <charset val="1"/>
      </rPr>
      <t xml:space="preserve">PV</t>
    </r>
  </si>
  <si>
    <r>
      <rPr>
        <sz val="9"/>
        <color rgb="FF000000"/>
        <rFont val="Tahoma"/>
        <family val="0"/>
        <charset val="1"/>
      </rPr>
      <t xml:space="preserve">H1Z2Z2-K 1C × 6 </t>
    </r>
    <r>
      <rPr>
        <sz val="9"/>
        <color rgb="FF000000"/>
        <rFont val="FreeSans"/>
        <family val="2"/>
      </rPr>
      <t xml:space="preserve">ตร</t>
    </r>
    <r>
      <rPr>
        <sz val="9"/>
        <color rgb="FF000000"/>
        <rFont val="Tahoma"/>
        <family val="0"/>
        <charset val="1"/>
      </rPr>
      <t xml:space="preserve">.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สี </t>
    </r>
    <r>
      <rPr>
        <sz val="9"/>
        <color rgb="FF000000"/>
        <rFont val="Tahoma"/>
        <family val="0"/>
        <charset val="1"/>
      </rPr>
      <t xml:space="preserve">PV+ </t>
    </r>
    <r>
      <rPr>
        <sz val="9"/>
        <color rgb="FF000000"/>
        <rFont val="FreeSans"/>
        <family val="2"/>
      </rPr>
      <t xml:space="preserve">แดง </t>
    </r>
    <r>
      <rPr>
        <sz val="9"/>
        <color rgb="FF000000"/>
        <rFont val="Tahoma"/>
        <family val="0"/>
        <charset val="1"/>
      </rPr>
      <t xml:space="preserve">/ PV− </t>
    </r>
    <r>
      <rPr>
        <sz val="9"/>
        <color rgb="FF000000"/>
        <rFont val="FreeSans"/>
        <family val="2"/>
      </rPr>
      <t xml:space="preserve">ดำ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ดิน เขียว</t>
    </r>
  </si>
  <si>
    <t xml:space="preserve">ตรวจฉลากสาย</t>
  </si>
  <si>
    <t xml:space="preserve">รูปฉลากสาย</t>
  </si>
  <si>
    <t xml:space="preserve">ICL-2.2-03</t>
  </si>
  <si>
    <r>
      <rPr>
        <sz val="9"/>
        <color rgb="FF000000"/>
        <rFont val="FreeSans"/>
        <family val="2"/>
      </rPr>
      <t xml:space="preserve">ขั้วต่อ </t>
    </r>
    <r>
      <rPr>
        <sz val="9"/>
        <color rgb="FF000000"/>
        <rFont val="Tahoma"/>
        <family val="0"/>
        <charset val="1"/>
      </rPr>
      <t xml:space="preserve">MC4</t>
    </r>
  </si>
  <si>
    <r>
      <rPr>
        <sz val="9"/>
        <color rgb="FF000000"/>
        <rFont val="FreeSans"/>
        <family val="2"/>
      </rPr>
      <t xml:space="preserve">เข้าล็อกสนิท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ตัวผู้</t>
    </r>
    <r>
      <rPr>
        <sz val="9"/>
        <color rgb="FF000000"/>
        <rFont val="Tahoma"/>
        <family val="0"/>
        <charset val="1"/>
      </rPr>
      <t xml:space="preserve">-</t>
    </r>
    <r>
      <rPr>
        <sz val="9"/>
        <color rgb="FF000000"/>
        <rFont val="FreeSans"/>
        <family val="2"/>
      </rPr>
      <t xml:space="preserve">ตัวเมียยี่ห้อและรุ่นเดียวกัน</t>
    </r>
  </si>
  <si>
    <t xml:space="preserve">รูปสุ่ม</t>
  </si>
  <si>
    <t xml:space="preserve">IEC 62548</t>
  </si>
  <si>
    <t xml:space="preserve">ICL-2.2-04</t>
  </si>
  <si>
    <t xml:space="preserve">ป้ายสายและป้ายสตริง</t>
  </si>
  <si>
    <r>
      <rPr>
        <sz val="9"/>
        <color rgb="FF000000"/>
        <rFont val="FreeSans"/>
        <family val="2"/>
      </rPr>
      <t xml:space="preserve">ครบทุกเส้นตาม </t>
    </r>
    <r>
      <rPr>
        <sz val="9"/>
        <color rgb="FF000000"/>
        <rFont val="Tahoma"/>
        <family val="0"/>
        <charset val="1"/>
      </rPr>
      <t xml:space="preserve">String map</t>
    </r>
  </si>
  <si>
    <t xml:space="preserve">ICL-2.2-05</t>
  </si>
  <si>
    <r>
      <rPr>
        <sz val="9"/>
        <color rgb="FF000000"/>
        <rFont val="Tahoma"/>
        <family val="0"/>
        <charset val="1"/>
      </rPr>
      <t xml:space="preserve">DC fuse </t>
    </r>
    <r>
      <rPr>
        <sz val="9"/>
        <color rgb="FF000000"/>
        <rFont val="FreeSans"/>
        <family val="2"/>
      </rPr>
      <t xml:space="preserve">ในตู้ </t>
    </r>
    <r>
      <rPr>
        <sz val="9"/>
        <color rgb="FF000000"/>
        <rFont val="Tahoma"/>
        <family val="0"/>
        <charset val="1"/>
      </rPr>
      <t xml:space="preserve">DC-DB</t>
    </r>
  </si>
  <si>
    <r>
      <rPr>
        <sz val="9"/>
        <color rgb="FF000000"/>
        <rFont val="Tahoma"/>
        <family val="0"/>
        <charset val="1"/>
      </rPr>
      <t xml:space="preserve">25 A 1,000 Vdc </t>
    </r>
    <r>
      <rPr>
        <sz val="9"/>
        <color rgb="FF000000"/>
        <rFont val="FreeSans"/>
        <family val="2"/>
      </rPr>
      <t xml:space="preserve">ครบทั้งขั้ว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และ − ทุกสตริง</t>
    </r>
  </si>
  <si>
    <t xml:space="preserve">รูปในตู้</t>
  </si>
  <si>
    <t xml:space="preserve">ICL-2.2-06</t>
  </si>
  <si>
    <r>
      <rPr>
        <sz val="9"/>
        <color rgb="FF000000"/>
        <rFont val="Tahoma"/>
        <family val="0"/>
        <charset val="1"/>
      </rPr>
      <t xml:space="preserve">DC SPD </t>
    </r>
    <r>
      <rPr>
        <sz val="9"/>
        <color rgb="FF000000"/>
        <rFont val="FreeSans"/>
        <family val="2"/>
      </rPr>
      <t xml:space="preserve">และสายดิน </t>
    </r>
    <r>
      <rPr>
        <sz val="9"/>
        <color rgb="FF000000"/>
        <rFont val="Tahoma"/>
        <family val="0"/>
        <charset val="1"/>
      </rPr>
      <t xml:space="preserve">SPD</t>
    </r>
  </si>
  <si>
    <r>
      <rPr>
        <sz val="9"/>
        <color rgb="FF000000"/>
        <rFont val="FreeSans"/>
        <family val="2"/>
      </rPr>
      <t xml:space="preserve">อาคารมีล่อฟ้า </t>
    </r>
    <r>
      <rPr>
        <sz val="9"/>
        <color rgb="FF000000"/>
        <rFont val="Tahoma"/>
        <family val="0"/>
        <charset val="1"/>
      </rPr>
      <t xml:space="preserve">T1/T2, </t>
    </r>
    <r>
      <rPr>
        <sz val="9"/>
        <color rgb="FF000000"/>
        <rFont val="FreeSans"/>
        <family val="2"/>
      </rPr>
      <t xml:space="preserve">ไม่มี </t>
    </r>
    <r>
      <rPr>
        <sz val="9"/>
        <color rgb="FF000000"/>
        <rFont val="Tahoma"/>
        <family val="0"/>
        <charset val="1"/>
      </rPr>
      <t xml:space="preserve">T2; </t>
    </r>
    <r>
      <rPr>
        <sz val="9"/>
        <color rgb="FF000000"/>
        <rFont val="FreeSans"/>
        <family val="2"/>
      </rPr>
      <t xml:space="preserve">สายดิน </t>
    </r>
    <r>
      <rPr>
        <sz val="9"/>
        <color rgb="FF000000"/>
        <rFont val="Tahoma"/>
        <family val="0"/>
        <charset val="1"/>
      </rPr>
      <t xml:space="preserve">Class II ≥ 6, Class I ≥ 16 </t>
    </r>
    <r>
      <rPr>
        <sz val="9"/>
        <color rgb="FF000000"/>
        <rFont val="FreeSans"/>
        <family val="2"/>
      </rPr>
      <t xml:space="preserve">ตร</t>
    </r>
    <r>
      <rPr>
        <sz val="9"/>
        <color rgb="FF000000"/>
        <rFont val="Tahoma"/>
        <family val="0"/>
        <charset val="1"/>
      </rPr>
      <t xml:space="preserve">.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</t>
    </r>
  </si>
  <si>
    <t xml:space="preserve">ตรวจรุ่นและขนาดสาย</t>
  </si>
  <si>
    <r>
      <rPr>
        <sz val="9"/>
        <color rgb="FF000000"/>
        <rFont val="FreeSans"/>
        <family val="2"/>
      </rPr>
      <t xml:space="preserve">รูปฉลาก </t>
    </r>
    <r>
      <rPr>
        <sz val="9"/>
        <color rgb="FF000000"/>
        <rFont val="Tahoma"/>
        <family val="0"/>
        <charset val="1"/>
      </rPr>
      <t xml:space="preserve">SPD</t>
    </r>
  </si>
  <si>
    <t xml:space="preserve">ICL-2.2-07</t>
  </si>
  <si>
    <t xml:space="preserve">ตู้ที่อยู่นอกอาคาร</t>
  </si>
  <si>
    <r>
      <rPr>
        <sz val="9"/>
        <color rgb="FF000000"/>
        <rFont val="Tahoma"/>
        <family val="0"/>
        <charset val="1"/>
      </rPr>
      <t xml:space="preserve">IP65, </t>
    </r>
    <r>
      <rPr>
        <sz val="9"/>
        <color rgb="FF000000"/>
        <rFont val="FreeSans"/>
        <family val="2"/>
      </rPr>
      <t xml:space="preserve">เคเบิลแกลนด์ซีลครบ</t>
    </r>
  </si>
  <si>
    <t xml:space="preserve">ตรวจฉลากตู้</t>
  </si>
  <si>
    <t xml:space="preserve">รูปฉลาก</t>
  </si>
  <si>
    <t xml:space="preserve">E10, E11, E13, E16, E17</t>
  </si>
  <si>
    <t xml:space="preserve">ตู้นอกอาคาร</t>
  </si>
  <si>
    <t xml:space="preserve">ตู้ควบคุม</t>
  </si>
  <si>
    <t xml:space="preserve">ICL-2.2-08</t>
  </si>
  <si>
    <r>
      <rPr>
        <sz val="9"/>
        <color rgb="FF000000"/>
        <rFont val="Tahoma"/>
        <family val="0"/>
        <charset val="1"/>
      </rPr>
      <t xml:space="preserve">Bonding </t>
    </r>
    <r>
      <rPr>
        <sz val="9"/>
        <color rgb="FF000000"/>
        <rFont val="FreeSans"/>
        <family val="2"/>
      </rPr>
      <t xml:space="preserve">โครงแผงลงดิน</t>
    </r>
  </si>
  <si>
    <r>
      <rPr>
        <sz val="9"/>
        <color rgb="FF000000"/>
        <rFont val="FreeSans"/>
        <family val="2"/>
      </rPr>
      <t xml:space="preserve">ต่อเนื่องทุกแถว </t>
    </r>
    <r>
      <rPr>
        <sz val="9"/>
        <color rgb="FF000000"/>
        <rFont val="Tahoma"/>
        <family val="0"/>
        <charset val="1"/>
      </rPr>
      <t xml:space="preserve">(Continuity </t>
    </r>
    <r>
      <rPr>
        <sz val="9"/>
        <color rgb="FF000000"/>
        <rFont val="FreeSans"/>
        <family val="2"/>
      </rPr>
      <t xml:space="preserve">ผ่าน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</si>
  <si>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มัลติมิเตอร์ </t>
    </r>
    <r>
      <rPr>
        <sz val="9"/>
        <color rgb="FF000000"/>
        <rFont val="Tahoma"/>
        <family val="0"/>
        <charset val="1"/>
      </rPr>
      <t xml:space="preserve">/ Low-ohm meter</t>
    </r>
  </si>
  <si>
    <r>
      <rPr>
        <sz val="9"/>
        <color rgb="FF000000"/>
        <rFont val="FreeSans"/>
        <family val="2"/>
      </rPr>
      <t xml:space="preserve">บันทึกค่า </t>
    </r>
    <r>
      <rPr>
        <sz val="9"/>
        <color rgb="FF000000"/>
        <rFont val="Tahoma"/>
        <family val="0"/>
        <charset val="1"/>
      </rPr>
      <t xml:space="preserve">Ω</t>
    </r>
  </si>
  <si>
    <t xml:space="preserve">IEC 62446-1</t>
  </si>
  <si>
    <t xml:space="preserve">ICL-2.2-09</t>
  </si>
  <si>
    <r>
      <rPr>
        <sz val="9"/>
        <color rgb="FF000000"/>
        <rFont val="Tahoma"/>
        <family val="0"/>
        <charset val="1"/>
      </rPr>
      <t xml:space="preserve">Polarity </t>
    </r>
    <r>
      <rPr>
        <sz val="9"/>
        <color rgb="FF000000"/>
        <rFont val="FreeSans"/>
        <family val="2"/>
      </rPr>
      <t xml:space="preserve">ก่อนต่อเข้าตู้</t>
    </r>
  </si>
  <si>
    <t xml:space="preserve">ถูกขั้วทุกสตริง</t>
  </si>
  <si>
    <r>
      <rPr>
        <sz val="9"/>
        <color rgb="FF000000"/>
        <rFont val="FreeSans"/>
        <family val="2"/>
      </rPr>
      <t xml:space="preserve">มัลติมิเตอร์ </t>
    </r>
    <r>
      <rPr>
        <sz val="9"/>
        <color rgb="FF000000"/>
        <rFont val="Tahoma"/>
        <family val="0"/>
        <charset val="1"/>
      </rPr>
      <t xml:space="preserve">CAT III 1000 V</t>
    </r>
  </si>
  <si>
    <r>
      <rPr>
        <sz val="9"/>
        <color rgb="FF000000"/>
        <rFont val="FreeSans"/>
        <family val="2"/>
      </rPr>
      <t xml:space="preserve">บันทึกในแอป </t>
    </r>
    <r>
      <rPr>
        <sz val="9"/>
        <color rgb="FF000000"/>
        <rFont val="Tahoma"/>
        <family val="0"/>
        <charset val="1"/>
      </rPr>
      <t xml:space="preserve">IEC </t>
    </r>
    <r>
      <rPr>
        <sz val="9"/>
        <color rgb="FF000000"/>
        <rFont val="FreeSans"/>
        <family val="2"/>
      </rPr>
      <t xml:space="preserve">ขั้น </t>
    </r>
    <r>
      <rPr>
        <sz val="9"/>
        <color rgb="FF000000"/>
        <rFont val="Tahoma"/>
        <family val="0"/>
        <charset val="1"/>
      </rPr>
      <t xml:space="preserve">2</t>
    </r>
  </si>
  <si>
    <r>
      <rPr>
        <sz val="9"/>
        <color rgb="FF000000"/>
        <rFont val="FreeSans"/>
        <family val="2"/>
      </rPr>
      <t xml:space="preserve">แรงดัน </t>
    </r>
    <r>
      <rPr>
        <sz val="9"/>
        <color rgb="FF000000"/>
        <rFont val="Tahoma"/>
        <family val="0"/>
        <charset val="1"/>
      </rPr>
      <t xml:space="preserve">Voc</t>
    </r>
  </si>
  <si>
    <t xml:space="preserve">2.3</t>
  </si>
  <si>
    <r>
      <rPr>
        <b val="true"/>
        <sz val="9"/>
        <color rgb="FF000000"/>
        <rFont val="FreeSans"/>
        <family val="2"/>
      </rPr>
      <t xml:space="preserve">แผงและ </t>
    </r>
    <r>
      <rPr>
        <b val="true"/>
        <sz val="9"/>
        <color rgb="FF000000"/>
        <rFont val="Tahoma"/>
        <family val="0"/>
        <charset val="1"/>
      </rPr>
      <t xml:space="preserve">String (5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0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</si>
  <si>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ICL-2.3-01</t>
  </si>
  <si>
    <t xml:space="preserve">สภาพแผง</t>
  </si>
  <si>
    <r>
      <rPr>
        <sz val="9"/>
        <color rgb="FF000000"/>
        <rFont val="FreeSans"/>
        <family val="2"/>
      </rPr>
      <t xml:space="preserve">ไม่แตก ร้าว หรือมีรอยขีด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ฉลากครบ</t>
    </r>
  </si>
  <si>
    <t xml:space="preserve">ตรวจด้วยตาทุกแผง</t>
  </si>
  <si>
    <t xml:space="preserve">รูปมุมสูง</t>
  </si>
  <si>
    <t xml:space="preserve">แผงโซลาร์</t>
  </si>
  <si>
    <r>
      <rPr>
        <sz val="9"/>
        <color rgb="FF595959"/>
        <rFont val="FreeSans"/>
        <family val="2"/>
      </rPr>
      <t xml:space="preserve">แผงและ </t>
    </r>
    <r>
      <rPr>
        <sz val="9"/>
        <color rgb="FF595959"/>
        <rFont val="Tahoma"/>
        <family val="0"/>
        <charset val="1"/>
      </rPr>
      <t xml:space="preserve">String</t>
    </r>
  </si>
  <si>
    <t xml:space="preserve">ICL-2.3-02</t>
  </si>
  <si>
    <r>
      <rPr>
        <sz val="9"/>
        <color rgb="FF000000"/>
        <rFont val="Tahoma"/>
        <family val="0"/>
        <charset val="1"/>
      </rPr>
      <t xml:space="preserve">Clamp </t>
    </r>
    <r>
      <rPr>
        <sz val="9"/>
        <color rgb="FF000000"/>
        <rFont val="FreeSans"/>
        <family val="2"/>
      </rPr>
      <t xml:space="preserve">และระยะแผง</t>
    </r>
  </si>
  <si>
    <r>
      <rPr>
        <sz val="9"/>
        <color rgb="FF000000"/>
        <rFont val="Tahoma"/>
        <family val="0"/>
        <charset val="1"/>
      </rPr>
      <t xml:space="preserve">End / Mid clamp </t>
    </r>
    <r>
      <rPr>
        <sz val="9"/>
        <color rgb="FF000000"/>
        <rFont val="FreeSans"/>
        <family val="2"/>
      </rPr>
      <t xml:space="preserve">ตามแรงบิดผู้ผลิต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ช่องห่างแผง </t>
    </r>
    <r>
      <rPr>
        <sz val="9"/>
        <color rgb="FF000000"/>
        <rFont val="Tahoma"/>
        <family val="0"/>
        <charset val="1"/>
      </rPr>
      <t xml:space="preserve">20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ปลาย </t>
    </r>
    <r>
      <rPr>
        <sz val="9"/>
        <color rgb="FF000000"/>
        <rFont val="Tahoma"/>
        <family val="0"/>
        <charset val="1"/>
      </rPr>
      <t xml:space="preserve">Rail </t>
    </r>
    <r>
      <rPr>
        <sz val="9"/>
        <color rgb="FF000000"/>
        <rFont val="FreeSans"/>
        <family val="2"/>
      </rPr>
      <t xml:space="preserve">ยื่น </t>
    </r>
    <r>
      <rPr>
        <sz val="9"/>
        <color rgb="FF000000"/>
        <rFont val="Tahoma"/>
        <family val="0"/>
        <charset val="1"/>
      </rPr>
      <t xml:space="preserve">70 </t>
    </r>
    <r>
      <rPr>
        <sz val="9"/>
        <color rgb="FF000000"/>
        <rFont val="FreeSans"/>
        <family val="2"/>
      </rPr>
      <t xml:space="preserve">มม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</si>
  <si>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ประแจทอร์ก สุ่ม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ตลับเมตร</t>
    </r>
  </si>
  <si>
    <t xml:space="preserve">ICL-2.3-03</t>
  </si>
  <si>
    <r>
      <rPr>
        <sz val="9"/>
        <color rgb="FF000000"/>
        <rFont val="Tahoma"/>
        <family val="0"/>
        <charset val="1"/>
      </rPr>
      <t xml:space="preserve">String </t>
    </r>
    <r>
      <rPr>
        <sz val="9"/>
        <color rgb="FF000000"/>
        <rFont val="FreeSans"/>
        <family val="2"/>
      </rPr>
      <t xml:space="preserve">ตาม </t>
    </r>
    <r>
      <rPr>
        <sz val="9"/>
        <color rgb="FF000000"/>
        <rFont val="Tahoma"/>
        <family val="0"/>
        <charset val="1"/>
      </rPr>
      <t xml:space="preserve">String map</t>
    </r>
  </si>
  <si>
    <r>
      <rPr>
        <sz val="9"/>
        <color rgb="FF000000"/>
        <rFont val="FreeSans"/>
        <family val="2"/>
      </rPr>
      <t xml:space="preserve">จำนวนแผง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สตริงตามแบบ</t>
    </r>
  </si>
  <si>
    <t xml:space="preserve">นับเทียบแบบ</t>
  </si>
  <si>
    <r>
      <rPr>
        <sz val="9"/>
        <color rgb="FF000000"/>
        <rFont val="Tahoma"/>
        <family val="0"/>
        <charset val="1"/>
      </rPr>
      <t xml:space="preserve">String map </t>
    </r>
    <r>
      <rPr>
        <sz val="9"/>
        <color rgb="FF000000"/>
        <rFont val="FreeSans"/>
        <family val="2"/>
      </rPr>
      <t xml:space="preserve">ที่ลงนาม</t>
    </r>
  </si>
  <si>
    <t xml:space="preserve">ICL-2.3-04</t>
  </si>
  <si>
    <t xml:space="preserve">สายใต้แผง</t>
  </si>
  <si>
    <r>
      <rPr>
        <sz val="9"/>
        <color rgb="FF000000"/>
        <rFont val="FreeSans"/>
        <family val="2"/>
      </rPr>
      <t xml:space="preserve">ยึดด้วยคลิป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เคเบิลไทกัน </t>
    </r>
    <r>
      <rPr>
        <sz val="9"/>
        <color rgb="FF000000"/>
        <rFont val="Tahoma"/>
        <family val="0"/>
        <charset val="1"/>
      </rPr>
      <t xml:space="preserve">UV </t>
    </r>
    <r>
      <rPr>
        <sz val="9"/>
        <color rgb="FF000000"/>
        <rFont val="FreeSans"/>
        <family val="2"/>
      </rPr>
      <t xml:space="preserve">ไม่ห้อยแตะหลังคา</t>
    </r>
  </si>
  <si>
    <t xml:space="preserve">ICL-2.3-05</t>
  </si>
  <si>
    <r>
      <rPr>
        <sz val="9"/>
        <color rgb="FF000000"/>
        <rFont val="Tahoma"/>
        <family val="0"/>
        <charset val="1"/>
      </rPr>
      <t xml:space="preserve">S/N </t>
    </r>
    <r>
      <rPr>
        <sz val="9"/>
        <color rgb="FF000000"/>
        <rFont val="FreeSans"/>
        <family val="2"/>
      </rPr>
      <t xml:space="preserve">แผงและภาพมุมสูง</t>
    </r>
  </si>
  <si>
    <r>
      <rPr>
        <sz val="9"/>
        <color rgb="FF000000"/>
        <rFont val="Tahoma"/>
        <family val="0"/>
        <charset val="1"/>
      </rPr>
      <t xml:space="preserve">S/N </t>
    </r>
    <r>
      <rPr>
        <sz val="9"/>
        <color rgb="FF000000"/>
        <rFont val="FreeSans"/>
        <family val="2"/>
      </rPr>
      <t xml:space="preserve">ครบทุกแผง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ภาพมุมสูงเห็นทุกแถว</t>
    </r>
  </si>
  <si>
    <r>
      <rPr>
        <sz val="9"/>
        <color rgb="FF000000"/>
        <rFont val="FreeSans"/>
        <family val="2"/>
      </rPr>
      <t xml:space="preserve">สแกน </t>
    </r>
    <r>
      <rPr>
        <sz val="9"/>
        <color rgb="FF000000"/>
        <rFont val="Tahoma"/>
        <family val="0"/>
        <charset val="1"/>
      </rPr>
      <t xml:space="preserve">S/N, </t>
    </r>
    <r>
      <rPr>
        <sz val="9"/>
        <color rgb="FF000000"/>
        <rFont val="FreeSans"/>
        <family val="2"/>
      </rPr>
      <t xml:space="preserve">โดรน</t>
    </r>
  </si>
  <si>
    <r>
      <rPr>
        <sz val="9"/>
        <color rgb="FF000000"/>
        <rFont val="FreeSans"/>
        <family val="2"/>
      </rPr>
      <t xml:space="preserve">ไฟล์ </t>
    </r>
    <r>
      <rPr>
        <sz val="9"/>
        <color rgb="FF000000"/>
        <rFont val="Tahoma"/>
        <family val="0"/>
        <charset val="1"/>
      </rPr>
      <t xml:space="preserve">S/N + </t>
    </r>
    <r>
      <rPr>
        <sz val="9"/>
        <color rgb="FF000000"/>
        <rFont val="FreeSans"/>
        <family val="2"/>
      </rPr>
      <t xml:space="preserve">ภาพ</t>
    </r>
  </si>
  <si>
    <t xml:space="preserve">2.4</t>
  </si>
  <si>
    <t xml:space="preserve">2.4.2, 3.1.4</t>
  </si>
  <si>
    <r>
      <rPr>
        <b val="true"/>
        <sz val="9"/>
        <color rgb="FF000000"/>
        <rFont val="FreeSans"/>
        <family val="2"/>
      </rPr>
      <t xml:space="preserve">ตู้ </t>
    </r>
    <r>
      <rPr>
        <b val="true"/>
        <sz val="9"/>
        <color rgb="FF000000"/>
        <rFont val="Tahoma"/>
        <family val="0"/>
        <charset val="1"/>
      </rPr>
      <t xml:space="preserve">FTS-DB (Firefighter safety switch) (3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0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</si>
  <si>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ICL-2.4-01</t>
  </si>
  <si>
    <r>
      <rPr>
        <sz val="9"/>
        <color rgb="FF000000"/>
        <rFont val="FreeSans"/>
        <family val="2"/>
      </rPr>
      <t xml:space="preserve">จำนวน </t>
    </r>
    <r>
      <rPr>
        <sz val="9"/>
        <color rgb="FF000000"/>
        <rFont val="Tahoma"/>
        <family val="0"/>
        <charset val="1"/>
      </rPr>
      <t xml:space="preserve">FTS</t>
    </r>
  </si>
  <si>
    <r>
      <rPr>
        <sz val="9"/>
        <color rgb="FF000000"/>
        <rFont val="FreeSans"/>
        <family val="2"/>
      </rPr>
      <t xml:space="preserve">สตริง </t>
    </r>
    <r>
      <rPr>
        <sz val="9"/>
        <color rgb="FF000000"/>
        <rFont val="Tahoma"/>
        <family val="0"/>
        <charset val="1"/>
      </rPr>
      <t xml:space="preserve">÷ 4 (</t>
    </r>
    <r>
      <rPr>
        <sz val="9"/>
        <color rgb="FF000000"/>
        <rFont val="FreeSans"/>
        <family val="2"/>
      </rPr>
      <t xml:space="preserve">ปัดขึ้น</t>
    </r>
    <r>
      <rPr>
        <sz val="9"/>
        <color rgb="FF000000"/>
        <rFont val="Tahoma"/>
        <family val="0"/>
        <charset val="1"/>
      </rPr>
      <t xml:space="preserve">), </t>
    </r>
    <r>
      <rPr>
        <sz val="9"/>
        <color rgb="FF000000"/>
        <rFont val="FreeSans"/>
        <family val="2"/>
      </rPr>
      <t xml:space="preserve">ขนาดตู้ตามจำนวน </t>
    </r>
    <r>
      <rPr>
        <sz val="9"/>
        <color rgb="FF000000"/>
        <rFont val="Tahoma"/>
        <family val="0"/>
        <charset val="1"/>
      </rPr>
      <t xml:space="preserve">FTS</t>
    </r>
  </si>
  <si>
    <r>
      <rPr>
        <sz val="9"/>
        <color rgb="FF595959"/>
        <rFont val="FreeSans"/>
        <family val="2"/>
      </rPr>
      <t xml:space="preserve">ตู้ </t>
    </r>
    <r>
      <rPr>
        <sz val="9"/>
        <color rgb="FF595959"/>
        <rFont val="Tahoma"/>
        <family val="0"/>
        <charset val="1"/>
      </rPr>
      <t xml:space="preserve">FTS-DB (Firefighter safety switch)</t>
    </r>
  </si>
  <si>
    <t xml:space="preserve">ICL-2.4-02</t>
  </si>
  <si>
    <r>
      <rPr>
        <sz val="9"/>
        <color rgb="FF000000"/>
        <rFont val="Tahoma"/>
        <family val="0"/>
        <charset val="1"/>
      </rPr>
      <t xml:space="preserve">E-Stop </t>
    </r>
    <r>
      <rPr>
        <sz val="9"/>
        <color rgb="FF000000"/>
        <rFont val="FreeSans"/>
        <family val="2"/>
      </rPr>
      <t xml:space="preserve">และป้ายเตือน</t>
    </r>
  </si>
  <si>
    <t xml:space="preserve">เข้าถึงได้ ป้ายเตือนครบ</t>
  </si>
  <si>
    <t xml:space="preserve">ICL-2.4-03</t>
  </si>
  <si>
    <r>
      <rPr>
        <sz val="9"/>
        <color rgb="FF000000"/>
        <rFont val="FreeSans"/>
        <family val="2"/>
      </rPr>
      <t xml:space="preserve">ทดสอบตัดวงจร </t>
    </r>
    <r>
      <rPr>
        <sz val="9"/>
        <color rgb="FF000000"/>
        <rFont val="Tahoma"/>
        <family val="0"/>
        <charset val="1"/>
      </rPr>
      <t xml:space="preserve">FTS</t>
    </r>
  </si>
  <si>
    <r>
      <rPr>
        <sz val="9"/>
        <color rgb="FF000000"/>
        <rFont val="FreeSans"/>
        <family val="2"/>
      </rPr>
      <t xml:space="preserve">กด </t>
    </r>
    <r>
      <rPr>
        <sz val="9"/>
        <color rgb="FF000000"/>
        <rFont val="Tahoma"/>
        <family val="0"/>
        <charset val="1"/>
      </rPr>
      <t xml:space="preserve">E-Stop </t>
    </r>
    <r>
      <rPr>
        <sz val="9"/>
        <color rgb="FF000000"/>
        <rFont val="FreeSans"/>
        <family val="2"/>
      </rPr>
      <t xml:space="preserve">แล้ว </t>
    </r>
    <r>
      <rPr>
        <sz val="9"/>
        <color rgb="FF000000"/>
        <rFont val="Tahoma"/>
        <family val="0"/>
        <charset val="1"/>
      </rPr>
      <t xml:space="preserve">DC </t>
    </r>
    <r>
      <rPr>
        <sz val="9"/>
        <color rgb="FF000000"/>
        <rFont val="FreeSans"/>
        <family val="2"/>
      </rPr>
      <t xml:space="preserve">ถูกตัดตามที่ผู้ผลิตกำหนด</t>
    </r>
  </si>
  <si>
    <r>
      <rPr>
        <sz val="9"/>
        <color rgb="FF000000"/>
        <rFont val="FreeSans"/>
        <family val="2"/>
      </rPr>
      <t xml:space="preserve">มัลติมิเตอร์ วัดก่อน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หลังกด</t>
    </r>
  </si>
  <si>
    <r>
      <rPr>
        <sz val="9"/>
        <color rgb="FF000000"/>
        <rFont val="FreeSans"/>
        <family val="2"/>
      </rPr>
      <t xml:space="preserve">บันทึกค่า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วิดีโอ</t>
    </r>
  </si>
  <si>
    <r>
      <rPr>
        <sz val="9"/>
        <color rgb="FF000000"/>
        <rFont val="Tahoma"/>
        <family val="0"/>
        <charset val="1"/>
      </rPr>
      <t xml:space="preserve">E11, </t>
    </r>
    <r>
      <rPr>
        <sz val="9"/>
        <color rgb="FF000000"/>
        <rFont val="FreeSans"/>
        <family val="2"/>
      </rPr>
      <t xml:space="preserve">วสท</t>
    </r>
    <r>
      <rPr>
        <sz val="9"/>
        <color rgb="FF000000"/>
        <rFont val="Tahoma"/>
        <family val="0"/>
        <charset val="1"/>
      </rPr>
      <t xml:space="preserve">. 022013-22</t>
    </r>
  </si>
  <si>
    <t xml:space="preserve">2.5</t>
  </si>
  <si>
    <r>
      <rPr>
        <b val="true"/>
        <sz val="9"/>
        <color rgb="FF000000"/>
        <rFont val="Tahoma"/>
        <family val="0"/>
        <charset val="1"/>
      </rPr>
      <t xml:space="preserve">Inverter station </t>
    </r>
    <r>
      <rPr>
        <b val="true"/>
        <sz val="9"/>
        <color rgb="FF000000"/>
        <rFont val="FreeSans"/>
        <family val="2"/>
      </rPr>
      <t xml:space="preserve">และ </t>
    </r>
    <r>
      <rPr>
        <b val="true"/>
        <sz val="9"/>
        <color rgb="FF000000"/>
        <rFont val="Tahoma"/>
        <family val="0"/>
        <charset val="1"/>
      </rPr>
      <t xml:space="preserve">Inverter (7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1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</si>
  <si>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ตามรูปแบบ </t>
    </r>
    <r>
      <rPr>
        <sz val="9"/>
        <color rgb="FF000000"/>
        <rFont val="Tahoma"/>
        <family val="0"/>
        <charset val="1"/>
      </rPr>
      <t xml:space="preserve">Inverter station</t>
    </r>
  </si>
  <si>
    <t xml:space="preserve">ICL-2.5-01</t>
  </si>
  <si>
    <r>
      <rPr>
        <sz val="9"/>
        <color rgb="FF000000"/>
        <rFont val="FreeSans"/>
        <family val="2"/>
      </rPr>
      <t xml:space="preserve">โรงเรือน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ที่ตั้ง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</si>
  <si>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FreeSans"/>
        <family val="2"/>
      </rPr>
      <t xml:space="preserve">แนวดิ่งและระดับโครงตามแบบ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กันสนิม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หลังคาไม่รั่ว</t>
    </r>
  </si>
  <si>
    <r>
      <rPr>
        <sz val="9"/>
        <color rgb="FF000000"/>
        <rFont val="FreeSans"/>
        <family val="2"/>
      </rPr>
      <t xml:space="preserve">ระดับน้ำ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ตรวจด้วยตา</t>
    </r>
  </si>
  <si>
    <t xml:space="preserve">อินเวอร์เตอร์</t>
  </si>
  <si>
    <r>
      <rPr>
        <sz val="9"/>
        <color rgb="FF595959"/>
        <rFont val="Tahoma"/>
        <family val="0"/>
        <charset val="1"/>
      </rPr>
      <t xml:space="preserve">Inverter station </t>
    </r>
    <r>
      <rPr>
        <sz val="9"/>
        <color rgb="FF595959"/>
        <rFont val="FreeSans"/>
        <family val="2"/>
      </rPr>
      <t xml:space="preserve">และ </t>
    </r>
    <r>
      <rPr>
        <sz val="9"/>
        <color rgb="FF595959"/>
        <rFont val="Tahoma"/>
        <family val="0"/>
        <charset val="1"/>
      </rPr>
      <t xml:space="preserve">Inverter</t>
    </r>
  </si>
  <si>
    <t xml:space="preserve">ICL-2.5-02</t>
  </si>
  <si>
    <r>
      <rPr>
        <sz val="9"/>
        <color rgb="FF000000"/>
        <rFont val="FreeSans"/>
        <family val="2"/>
      </rPr>
      <t xml:space="preserve">ระยะเว้นรอบ </t>
    </r>
    <r>
      <rPr>
        <sz val="9"/>
        <color rgb="FF000000"/>
        <rFont val="Tahoma"/>
        <family val="0"/>
        <charset val="1"/>
      </rPr>
      <t xml:space="preserve">Inverter</t>
    </r>
  </si>
  <si>
    <t xml:space="preserve">ตามคู่มือผู้ผลิต อากาศถ่ายเท</t>
  </si>
  <si>
    <r>
      <rPr>
        <sz val="9"/>
        <color rgb="FF000000"/>
        <rFont val="Tahoma"/>
        <family val="0"/>
        <charset val="1"/>
      </rPr>
      <t xml:space="preserve">E09, </t>
    </r>
    <r>
      <rPr>
        <sz val="9"/>
        <color rgb="FF000000"/>
        <rFont val="FreeSans"/>
        <family val="2"/>
      </rPr>
      <t xml:space="preserve">คู่มือผู้ผลิต</t>
    </r>
  </si>
  <si>
    <t xml:space="preserve">ICL-2.5-03</t>
  </si>
  <si>
    <r>
      <rPr>
        <sz val="9"/>
        <color rgb="FF000000"/>
        <rFont val="Tahoma"/>
        <family val="0"/>
        <charset val="1"/>
      </rPr>
      <t xml:space="preserve">Inverter </t>
    </r>
    <r>
      <rPr>
        <sz val="9"/>
        <color rgb="FF000000"/>
        <rFont val="FreeSans"/>
        <family val="2"/>
      </rPr>
      <t xml:space="preserve">บน </t>
    </r>
    <r>
      <rPr>
        <sz val="9"/>
        <color rgb="FF000000"/>
        <rFont val="Tahoma"/>
        <family val="0"/>
        <charset val="1"/>
      </rPr>
      <t xml:space="preserve">Rack</t>
    </r>
  </si>
  <si>
    <r>
      <rPr>
        <sz val="9"/>
        <color rgb="FF000000"/>
        <rFont val="FreeSans"/>
        <family val="2"/>
      </rPr>
      <t xml:space="preserve">ยึดแน่น</t>
    </r>
    <r>
      <rPr>
        <sz val="9"/>
        <color rgb="FF000000"/>
        <rFont val="Tahoma"/>
        <family val="0"/>
        <charset val="1"/>
      </rPr>
      <t xml:space="preserve">, S/N </t>
    </r>
    <r>
      <rPr>
        <sz val="9"/>
        <color rgb="FF000000"/>
        <rFont val="FreeSans"/>
        <family val="2"/>
      </rPr>
      <t xml:space="preserve">บันทึก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</si>
  <si>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S/N</t>
    </r>
  </si>
  <si>
    <t xml:space="preserve">ICL-2.5-04</t>
  </si>
  <si>
    <t xml:space="preserve">รางสายและช่องเจาะ</t>
  </si>
  <si>
    <r>
      <rPr>
        <sz val="9"/>
        <color rgb="FF000000"/>
        <rFont val="Tahoma"/>
        <family val="0"/>
        <charset val="1"/>
      </rPr>
      <t xml:space="preserve">Tray </t>
    </r>
    <r>
      <rPr>
        <sz val="9"/>
        <color rgb="FF000000"/>
        <rFont val="FreeSans"/>
        <family val="2"/>
      </rPr>
      <t xml:space="preserve">มีฝาครบ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ช่องเจาะอุดกันไฟ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กันสัตว์</t>
    </r>
  </si>
  <si>
    <t xml:space="preserve">ICL-2.5-05</t>
  </si>
  <si>
    <r>
      <rPr>
        <sz val="9"/>
        <color rgb="FF000000"/>
        <rFont val="FreeSans"/>
        <family val="2"/>
      </rPr>
      <t xml:space="preserve">แรงขันขั้วสาย </t>
    </r>
    <r>
      <rPr>
        <sz val="9"/>
        <color rgb="FF000000"/>
        <rFont val="Tahoma"/>
        <family val="0"/>
        <charset val="1"/>
      </rPr>
      <t xml:space="preserve">AC / DC </t>
    </r>
    <r>
      <rPr>
        <sz val="9"/>
        <color rgb="FF000000"/>
        <rFont val="FreeSans"/>
        <family val="2"/>
      </rPr>
      <t xml:space="preserve">ที่ </t>
    </r>
    <r>
      <rPr>
        <sz val="9"/>
        <color rgb="FF000000"/>
        <rFont val="Tahoma"/>
        <family val="0"/>
        <charset val="1"/>
      </rPr>
      <t xml:space="preserve">Inverter</t>
    </r>
  </si>
  <si>
    <t xml:space="preserve">ตามคู่มือผู้ผลิต และมาร์คสี</t>
  </si>
  <si>
    <t xml:space="preserve">ประแจทอร์ก</t>
  </si>
  <si>
    <t xml:space="preserve">ICL-2.5-06</t>
  </si>
  <si>
    <r>
      <rPr>
        <sz val="9"/>
        <color rgb="FF000000"/>
        <rFont val="FreeSans"/>
        <family val="2"/>
      </rPr>
      <t xml:space="preserve">ค่าตั้ง </t>
    </r>
    <r>
      <rPr>
        <sz val="9"/>
        <color rgb="FF000000"/>
        <rFont val="Tahoma"/>
        <family val="0"/>
        <charset val="1"/>
      </rPr>
      <t xml:space="preserve">Grid code / Protection</t>
    </r>
  </si>
  <si>
    <r>
      <rPr>
        <sz val="9"/>
        <color rgb="FF000000"/>
        <rFont val="FreeSans"/>
        <family val="2"/>
      </rPr>
      <t xml:space="preserve">ตรงกับค่าตั้งที่อนุมัติ </t>
    </r>
    <r>
      <rPr>
        <sz val="9"/>
        <color rgb="FF000000"/>
        <rFont val="Tahoma"/>
        <family val="0"/>
        <charset val="1"/>
      </rPr>
      <t xml:space="preserve">(1.2.3)</t>
    </r>
  </si>
  <si>
    <r>
      <rPr>
        <sz val="9"/>
        <color rgb="FF000000"/>
        <rFont val="FreeSans"/>
        <family val="2"/>
      </rPr>
      <t xml:space="preserve">อ่านจากหน้าจอ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แอปผู้ผลิต</t>
    </r>
  </si>
  <si>
    <t xml:space="preserve">ภาพหน้าจอค่าตั้ง</t>
  </si>
  <si>
    <t xml:space="preserve">ICL-2.5-07</t>
  </si>
  <si>
    <t xml:space="preserve">ไฟส่องสว่างและเต้ารับ</t>
  </si>
  <si>
    <t xml:space="preserve">ใช้งานได้</t>
  </si>
  <si>
    <t xml:space="preserve">ทดสอบเปิด</t>
  </si>
  <si>
    <r>
      <rPr>
        <sz val="9"/>
        <color rgb="FF000000"/>
        <rFont val="Tahoma"/>
        <family val="0"/>
        <charset val="1"/>
      </rPr>
      <t xml:space="preserve">Inverter station </t>
    </r>
    <r>
      <rPr>
        <sz val="9"/>
        <color rgb="FF000000"/>
        <rFont val="FreeSans"/>
        <family val="2"/>
      </rPr>
      <t xml:space="preserve">สร้างใหม่</t>
    </r>
  </si>
  <si>
    <t xml:space="preserve">2.6</t>
  </si>
  <si>
    <r>
      <rPr>
        <b val="true"/>
        <sz val="9"/>
        <color rgb="FF000000"/>
        <rFont val="FreeSans"/>
        <family val="2"/>
      </rPr>
      <t xml:space="preserve">ระบบ </t>
    </r>
    <r>
      <rPr>
        <b val="true"/>
        <sz val="9"/>
        <color rgb="FF000000"/>
        <rFont val="Tahoma"/>
        <family val="0"/>
        <charset val="1"/>
      </rPr>
      <t xml:space="preserve">AC </t>
    </r>
    <r>
      <rPr>
        <b val="true"/>
        <sz val="9"/>
        <color rgb="FF000000"/>
        <rFont val="FreeSans"/>
        <family val="2"/>
      </rPr>
      <t xml:space="preserve">และระบบดิน </t>
    </r>
    <r>
      <rPr>
        <b val="true"/>
        <sz val="9"/>
        <color rgb="FF000000"/>
        <rFont val="Tahoma"/>
        <family val="0"/>
        <charset val="1"/>
      </rPr>
      <t xml:space="preserve">(6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2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</si>
  <si>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ICL-2.6-01</t>
  </si>
  <si>
    <r>
      <rPr>
        <sz val="9"/>
        <color rgb="FF000000"/>
        <rFont val="FreeSans"/>
        <family val="2"/>
      </rPr>
      <t xml:space="preserve">แนวสาย </t>
    </r>
    <r>
      <rPr>
        <sz val="9"/>
        <color rgb="FF000000"/>
        <rFont val="Tahoma"/>
        <family val="0"/>
        <charset val="1"/>
      </rPr>
      <t xml:space="preserve">AC </t>
    </r>
    <r>
      <rPr>
        <sz val="9"/>
        <color rgb="FF000000"/>
        <rFont val="FreeSans"/>
        <family val="2"/>
      </rPr>
      <t xml:space="preserve">และขนาดสาย</t>
    </r>
  </si>
  <si>
    <r>
      <rPr>
        <sz val="9"/>
        <color rgb="FF000000"/>
        <rFont val="FreeSans"/>
        <family val="2"/>
      </rPr>
      <t xml:space="preserve">ตามแบบและรายการคำนวณ </t>
    </r>
    <r>
      <rPr>
        <sz val="9"/>
        <color rgb="FF000000"/>
        <rFont val="Tahoma"/>
        <family val="0"/>
        <charset val="1"/>
      </rPr>
      <t xml:space="preserve">(1.2.2)</t>
    </r>
  </si>
  <si>
    <t xml:space="preserve">E09, E18</t>
  </si>
  <si>
    <r>
      <rPr>
        <sz val="9"/>
        <color rgb="FF595959"/>
        <rFont val="FreeSans"/>
        <family val="2"/>
      </rPr>
      <t xml:space="preserve">ระบบ </t>
    </r>
    <r>
      <rPr>
        <sz val="9"/>
        <color rgb="FF595959"/>
        <rFont val="Tahoma"/>
        <family val="0"/>
        <charset val="1"/>
      </rPr>
      <t xml:space="preserve">AC </t>
    </r>
    <r>
      <rPr>
        <sz val="9"/>
        <color rgb="FF595959"/>
        <rFont val="FreeSans"/>
        <family val="2"/>
      </rPr>
      <t xml:space="preserve">และระบบดิน</t>
    </r>
  </si>
  <si>
    <t xml:space="preserve">ICL-2.6-02</t>
  </si>
  <si>
    <r>
      <rPr>
        <sz val="9"/>
        <color rgb="FF000000"/>
        <rFont val="Tahoma"/>
        <family val="0"/>
        <charset val="1"/>
      </rPr>
      <t xml:space="preserve">Breaker / Busbar </t>
    </r>
    <r>
      <rPr>
        <sz val="9"/>
        <color rgb="FF000000"/>
        <rFont val="FreeSans"/>
        <family val="2"/>
      </rPr>
      <t xml:space="preserve">จุดเชื่อม</t>
    </r>
  </si>
  <si>
    <r>
      <rPr>
        <sz val="9"/>
        <color rgb="FF000000"/>
        <rFont val="FreeSans"/>
        <family val="2"/>
      </rPr>
      <t xml:space="preserve">ขนาดตามแบบ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แรงขันขั้วตามผู้ผลิต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ทำในวันดับไฟพร้อม </t>
    </r>
    <r>
      <rPr>
        <sz val="9"/>
        <color rgb="FF000000"/>
        <rFont val="Tahoma"/>
        <family val="0"/>
        <charset val="1"/>
      </rPr>
      <t xml:space="preserve">LOTO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</si>
  <si>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บันทึก </t>
    </r>
    <r>
      <rPr>
        <sz val="9"/>
        <color rgb="FF000000"/>
        <rFont val="Tahoma"/>
        <family val="0"/>
        <charset val="1"/>
      </rPr>
      <t xml:space="preserve">LOTO</t>
    </r>
  </si>
  <si>
    <t xml:space="preserve">0.3, 2.10.1</t>
  </si>
  <si>
    <t xml:space="preserve">ICL-2.6-03</t>
  </si>
  <si>
    <t xml:space="preserve">ค่าความต้านทานดิน</t>
  </si>
  <si>
    <t xml:space="preserve">≤ 5 Ω</t>
  </si>
  <si>
    <r>
      <rPr>
        <sz val="9"/>
        <color rgb="FF000000"/>
        <rFont val="FreeSans"/>
        <family val="2"/>
      </rPr>
      <t xml:space="preserve">เครื่องวัดดิน </t>
    </r>
    <r>
      <rPr>
        <sz val="9"/>
        <color rgb="FF000000"/>
        <rFont val="Tahoma"/>
        <family val="0"/>
        <charset val="1"/>
      </rPr>
      <t xml:space="preserve">(3 </t>
    </r>
    <r>
      <rPr>
        <sz val="9"/>
        <color rgb="FF000000"/>
        <rFont val="FreeSans"/>
        <family val="2"/>
      </rPr>
      <t xml:space="preserve">จุด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</si>
  <si>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บันทึกค่า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รูปหน้าจอ</t>
    </r>
  </si>
  <si>
    <r>
      <rPr>
        <sz val="9"/>
        <color rgb="FF000000"/>
        <rFont val="FreeSans"/>
        <family val="2"/>
      </rPr>
      <t xml:space="preserve">วสท</t>
    </r>
    <r>
      <rPr>
        <sz val="9"/>
        <color rgb="FF000000"/>
        <rFont val="Tahoma"/>
        <family val="0"/>
        <charset val="1"/>
      </rPr>
      <t xml:space="preserve">.</t>
    </r>
  </si>
  <si>
    <t xml:space="preserve">ค่าความต้านทาน</t>
  </si>
  <si>
    <t xml:space="preserve">ICL-2.6-04</t>
  </si>
  <si>
    <r>
      <rPr>
        <sz val="9"/>
        <color rgb="FF000000"/>
        <rFont val="FreeSans"/>
        <family val="2"/>
      </rPr>
      <t xml:space="preserve">ความต้านทานฉนวนสาย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</si>
  <si>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≥ 1 MΩ </t>
    </r>
    <r>
      <rPr>
        <sz val="9"/>
        <color rgb="FF000000"/>
        <rFont val="FreeSans"/>
        <family val="2"/>
      </rPr>
      <t xml:space="preserve">ที่ </t>
    </r>
    <r>
      <rPr>
        <sz val="9"/>
        <color rgb="FF000000"/>
        <rFont val="Tahoma"/>
        <family val="0"/>
        <charset val="1"/>
      </rPr>
      <t xml:space="preserve">500 Vdc</t>
    </r>
  </si>
  <si>
    <t xml:space="preserve">Insulation tester</t>
  </si>
  <si>
    <r>
      <rPr>
        <sz val="9"/>
        <color rgb="FF000000"/>
        <rFont val="Tahoma"/>
        <family val="0"/>
        <charset val="1"/>
      </rPr>
      <t xml:space="preserve">IEC 60364-6, </t>
    </r>
    <r>
      <rPr>
        <sz val="9"/>
        <color rgb="FF000000"/>
        <rFont val="FreeSans"/>
        <family val="2"/>
      </rPr>
      <t xml:space="preserve">วสท</t>
    </r>
    <r>
      <rPr>
        <sz val="9"/>
        <color rgb="FF000000"/>
        <rFont val="Tahoma"/>
        <family val="0"/>
        <charset val="1"/>
      </rPr>
      <t xml:space="preserve">.</t>
    </r>
  </si>
  <si>
    <t xml:space="preserve">ICL-2.6-05</t>
  </si>
  <si>
    <t xml:space="preserve">ลำดับเฟสที่จุดเชื่อม</t>
  </si>
  <si>
    <t xml:space="preserve">ถูกต้อง</t>
  </si>
  <si>
    <t xml:space="preserve">Phase rotation meter</t>
  </si>
  <si>
    <t xml:space="preserve">บันทึกผล</t>
  </si>
  <si>
    <t xml:space="preserve">ICL-2.6-06</t>
  </si>
  <si>
    <r>
      <rPr>
        <sz val="9"/>
        <color rgb="FF000000"/>
        <rFont val="FreeSans"/>
        <family val="2"/>
      </rPr>
      <t xml:space="preserve">หลักดินที่เสา </t>
    </r>
    <r>
      <rPr>
        <sz val="9"/>
        <color rgb="FF000000"/>
        <rFont val="Tahoma"/>
        <family val="0"/>
        <charset val="1"/>
      </rPr>
      <t xml:space="preserve">22 kV</t>
    </r>
  </si>
  <si>
    <r>
      <rPr>
        <sz val="9"/>
        <color rgb="FF000000"/>
        <rFont val="FreeSans"/>
        <family val="2"/>
      </rPr>
      <t xml:space="preserve">หลักดิน </t>
    </r>
    <r>
      <rPr>
        <sz val="9"/>
        <color rgb="FF000000"/>
        <rFont val="Tahoma"/>
        <family val="0"/>
        <charset val="1"/>
      </rPr>
      <t xml:space="preserve">HV </t>
    </r>
    <r>
      <rPr>
        <sz val="9"/>
        <color rgb="FF000000"/>
        <rFont val="FreeSans"/>
        <family val="2"/>
      </rPr>
      <t xml:space="preserve">ห่างเสา </t>
    </r>
    <r>
      <rPr>
        <sz val="9"/>
        <color rgb="FF000000"/>
        <rFont val="Tahoma"/>
        <family val="0"/>
        <charset val="1"/>
      </rPr>
      <t xml:space="preserve">2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., LV &gt; 5 </t>
    </r>
    <r>
      <rPr>
        <sz val="9"/>
        <color rgb="FF000000"/>
        <rFont val="FreeSans"/>
        <family val="2"/>
      </rPr>
      <t xml:space="preserve">ม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ดิน </t>
    </r>
    <r>
      <rPr>
        <sz val="9"/>
        <color rgb="FF000000"/>
        <rFont val="Tahoma"/>
        <family val="0"/>
        <charset val="1"/>
      </rPr>
      <t xml:space="preserve">Surge / DOF </t>
    </r>
    <r>
      <rPr>
        <sz val="9"/>
        <color rgb="FF000000"/>
        <rFont val="FreeSans"/>
        <family val="2"/>
      </rPr>
      <t xml:space="preserve">แยกจาก </t>
    </r>
    <r>
      <rPr>
        <sz val="9"/>
        <color rgb="FF000000"/>
        <rFont val="Tahoma"/>
        <family val="0"/>
        <charset val="1"/>
      </rPr>
      <t xml:space="preserve">CT / VT</t>
    </r>
  </si>
  <si>
    <r>
      <rPr>
        <sz val="9"/>
        <color rgb="FF000000"/>
        <rFont val="FreeSans"/>
        <family val="2"/>
      </rPr>
      <t xml:space="preserve">ตลับเมตร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ตรวจด้วยตา</t>
    </r>
  </si>
  <si>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</t>
    </r>
  </si>
  <si>
    <t xml:space="preserve">2.7</t>
  </si>
  <si>
    <r>
      <rPr>
        <b val="true"/>
        <sz val="9"/>
        <color rgb="FF000000"/>
        <rFont val="FreeSans"/>
        <family val="2"/>
      </rPr>
      <t xml:space="preserve">ตู้ </t>
    </r>
    <r>
      <rPr>
        <b val="true"/>
        <sz val="9"/>
        <color rgb="FF000000"/>
        <rFont val="Tahoma"/>
        <family val="0"/>
        <charset val="1"/>
      </rPr>
      <t xml:space="preserve">AC-DB </t>
    </r>
    <r>
      <rPr>
        <b val="true"/>
        <sz val="9"/>
        <color rgb="FF000000"/>
        <rFont val="FreeSans"/>
        <family val="2"/>
      </rPr>
      <t xml:space="preserve">และ </t>
    </r>
    <r>
      <rPr>
        <b val="true"/>
        <sz val="9"/>
        <color rgb="FF000000"/>
        <rFont val="Tahoma"/>
        <family val="0"/>
        <charset val="1"/>
      </rPr>
      <t xml:space="preserve">METER-DB (4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0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</si>
  <si>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ICL-2.7-01</t>
  </si>
  <si>
    <r>
      <rPr>
        <sz val="9"/>
        <color rgb="FF000000"/>
        <rFont val="FreeSans"/>
        <family val="2"/>
      </rPr>
      <t xml:space="preserve">อุปกรณ์ตู้ </t>
    </r>
    <r>
      <rPr>
        <sz val="9"/>
        <color rgb="FF000000"/>
        <rFont val="Tahoma"/>
        <family val="0"/>
        <charset val="1"/>
      </rPr>
      <t xml:space="preserve">AC-DB</t>
    </r>
  </si>
  <si>
    <r>
      <rPr>
        <sz val="9"/>
        <color rgb="FF000000"/>
        <rFont val="Tahoma"/>
        <family val="0"/>
        <charset val="1"/>
      </rPr>
      <t xml:space="preserve">MCCB, ELR, SPD, DPM </t>
    </r>
    <r>
      <rPr>
        <sz val="9"/>
        <color rgb="FF000000"/>
        <rFont val="FreeSans"/>
        <family val="2"/>
      </rPr>
      <t xml:space="preserve">รุ่นและขนาดตามแบบ</t>
    </r>
  </si>
  <si>
    <t xml:space="preserve">ตรวจฉลาก</t>
  </si>
  <si>
    <t xml:space="preserve">E09, E16</t>
  </si>
  <si>
    <r>
      <rPr>
        <sz val="9"/>
        <color rgb="FF595959"/>
        <rFont val="FreeSans"/>
        <family val="2"/>
      </rPr>
      <t xml:space="preserve">ตู้ </t>
    </r>
    <r>
      <rPr>
        <sz val="9"/>
        <color rgb="FF595959"/>
        <rFont val="Tahoma"/>
        <family val="0"/>
        <charset val="1"/>
      </rPr>
      <t xml:space="preserve">AC-DB </t>
    </r>
    <r>
      <rPr>
        <sz val="9"/>
        <color rgb="FF595959"/>
        <rFont val="FreeSans"/>
        <family val="2"/>
      </rPr>
      <t xml:space="preserve">และ </t>
    </r>
    <r>
      <rPr>
        <sz val="9"/>
        <color rgb="FF595959"/>
        <rFont val="Tahoma"/>
        <family val="0"/>
        <charset val="1"/>
      </rPr>
      <t xml:space="preserve">METER-DB</t>
    </r>
  </si>
  <si>
    <t xml:space="preserve">ICL-2.7-02</t>
  </si>
  <si>
    <r>
      <rPr>
        <sz val="9"/>
        <color rgb="FF000000"/>
        <rFont val="FreeSans"/>
        <family val="2"/>
      </rPr>
      <t xml:space="preserve">การต่อ </t>
    </r>
    <r>
      <rPr>
        <sz val="9"/>
        <color rgb="FF000000"/>
        <rFont val="Tahoma"/>
        <family val="0"/>
        <charset val="1"/>
      </rPr>
      <t xml:space="preserve">CT / VT </t>
    </r>
    <r>
      <rPr>
        <sz val="9"/>
        <color rgb="FF000000"/>
        <rFont val="FreeSans"/>
        <family val="2"/>
      </rPr>
      <t xml:space="preserve">ของ </t>
    </r>
    <r>
      <rPr>
        <sz val="9"/>
        <color rgb="FF000000"/>
        <rFont val="Tahoma"/>
        <family val="0"/>
        <charset val="1"/>
      </rPr>
      <t xml:space="preserve">Revenue meter</t>
    </r>
  </si>
  <si>
    <r>
      <rPr>
        <sz val="9"/>
        <color rgb="FF000000"/>
        <rFont val="Tahoma"/>
        <family val="0"/>
        <charset val="1"/>
      </rPr>
      <t xml:space="preserve">CT IN / OUT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VT </t>
    </r>
    <r>
      <rPr>
        <sz val="9"/>
        <color rgb="FF000000"/>
        <rFont val="FreeSans"/>
        <family val="2"/>
      </rPr>
      <t xml:space="preserve">ตามตาราง</t>
    </r>
    <r>
      <rPr>
        <sz val="9"/>
        <color rgb="FF000000"/>
        <rFont val="Tahoma"/>
        <family val="0"/>
        <charset val="1"/>
      </rPr>
      <t xml:space="preserve">, CT class 0.5S</t>
    </r>
  </si>
  <si>
    <t xml:space="preserve">ตรวจตามตาราง</t>
  </si>
  <si>
    <t xml:space="preserve">รูปขั้วต่อ</t>
  </si>
  <si>
    <t xml:space="preserve">ICL-2.7-03</t>
  </si>
  <si>
    <r>
      <rPr>
        <sz val="9"/>
        <color rgb="FF000000"/>
        <rFont val="Tahoma"/>
        <family val="0"/>
        <charset val="1"/>
      </rPr>
      <t xml:space="preserve">Revenue meter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VPN</t>
    </r>
  </si>
  <si>
    <r>
      <rPr>
        <sz val="9"/>
        <color rgb="FF000000"/>
        <rFont val="Tahoma"/>
        <family val="0"/>
        <charset val="1"/>
      </rPr>
      <t xml:space="preserve">CEWE Prometer 100 </t>
    </r>
    <r>
      <rPr>
        <sz val="9"/>
        <color rgb="FF000000"/>
        <rFont val="FreeSans"/>
        <family val="2"/>
      </rPr>
      <t xml:space="preserve">ตั้งค่าแล้ว ส่งข้อมูลผ่าน </t>
    </r>
    <r>
      <rPr>
        <sz val="9"/>
        <color rgb="FF000000"/>
        <rFont val="Tahoma"/>
        <family val="0"/>
        <charset val="1"/>
      </rPr>
      <t xml:space="preserve">VPN </t>
    </r>
    <r>
      <rPr>
        <sz val="9"/>
        <color rgb="FF000000"/>
        <rFont val="FreeSans"/>
        <family val="2"/>
      </rPr>
      <t xml:space="preserve">ได้</t>
    </r>
  </si>
  <si>
    <t xml:space="preserve">ทดสอบส่งข้อมูล</t>
  </si>
  <si>
    <t xml:space="preserve">ภาพหน้าจอ</t>
  </si>
  <si>
    <t xml:space="preserve">ICL-2.7-04</t>
  </si>
  <si>
    <t xml:space="preserve">ป้ายชื่อตู้และป้ายเตือน</t>
  </si>
  <si>
    <t xml:space="preserve">ครบทุกตู้</t>
  </si>
  <si>
    <t xml:space="preserve">2.8</t>
  </si>
  <si>
    <r>
      <rPr>
        <b val="true"/>
        <sz val="9"/>
        <color rgb="FF000000"/>
        <rFont val="FreeSans"/>
        <family val="2"/>
      </rPr>
      <t xml:space="preserve">กันย้อน </t>
    </r>
    <r>
      <rPr>
        <b val="true"/>
        <sz val="9"/>
        <color rgb="FF000000"/>
        <rFont val="Tahoma"/>
        <family val="0"/>
        <charset val="1"/>
      </rPr>
      <t xml:space="preserve">(Zero export) </t>
    </r>
    <r>
      <rPr>
        <b val="true"/>
        <sz val="9"/>
        <color rgb="FF000000"/>
        <rFont val="FreeSans"/>
        <family val="2"/>
      </rPr>
      <t xml:space="preserve">และสื่อสาร </t>
    </r>
    <r>
      <rPr>
        <b val="true"/>
        <sz val="9"/>
        <color rgb="FF000000"/>
        <rFont val="Tahoma"/>
        <family val="0"/>
        <charset val="1"/>
      </rPr>
      <t xml:space="preserve">(4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1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</si>
  <si>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แยก </t>
    </r>
    <r>
      <rPr>
        <sz val="9"/>
        <color rgb="FF000000"/>
        <rFont val="Tahoma"/>
        <family val="0"/>
        <charset val="1"/>
      </rPr>
      <t xml:space="preserve">HV / LV</t>
    </r>
  </si>
  <si>
    <t xml:space="preserve">ICL-2.8-01</t>
  </si>
  <si>
    <r>
      <rPr>
        <sz val="9"/>
        <color rgb="FF000000"/>
        <rFont val="FreeSans"/>
        <family val="2"/>
      </rPr>
      <t xml:space="preserve">อุปกรณ์บนเสา </t>
    </r>
    <r>
      <rPr>
        <sz val="9"/>
        <color rgb="FF000000"/>
        <rFont val="Tahoma"/>
        <family val="0"/>
        <charset val="1"/>
      </rPr>
      <t xml:space="preserve">22 kV</t>
    </r>
  </si>
  <si>
    <r>
      <rPr>
        <sz val="9"/>
        <color rgb="FF000000"/>
        <rFont val="Tahoma"/>
        <family val="0"/>
        <charset val="1"/>
      </rPr>
      <t xml:space="preserve">VT 22 kV × 3, CT 20/5 A cl. 0.5 × 3, Drop-out fuse 27 kV, Lightning arrester 21 kV </t>
    </r>
    <r>
      <rPr>
        <sz val="9"/>
        <color rgb="FF000000"/>
        <rFont val="FreeSans"/>
        <family val="2"/>
      </rPr>
      <t xml:space="preserve">ตามแบบ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</si>
  <si>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ผลทดสอบ </t>
    </r>
    <r>
      <rPr>
        <sz val="9"/>
        <color rgb="FF000000"/>
        <rFont val="Tahoma"/>
        <family val="0"/>
        <charset val="1"/>
      </rPr>
      <t xml:space="preserve">CT / VT </t>
    </r>
    <r>
      <rPr>
        <sz val="9"/>
        <color rgb="FF000000"/>
        <rFont val="FreeSans"/>
        <family val="2"/>
      </rPr>
      <t xml:space="preserve">จาก กฟภ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</si>
  <si>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595959"/>
        <rFont val="FreeSans"/>
        <family val="2"/>
      </rPr>
      <t xml:space="preserve">กันย้อน </t>
    </r>
    <r>
      <rPr>
        <sz val="9"/>
        <color rgb="FF595959"/>
        <rFont val="Tahoma"/>
        <family val="0"/>
        <charset val="1"/>
      </rPr>
      <t xml:space="preserve">(Zero export) </t>
    </r>
    <r>
      <rPr>
        <sz val="9"/>
        <color rgb="FF595959"/>
        <rFont val="FreeSans"/>
        <family val="2"/>
      </rPr>
      <t xml:space="preserve">และสื่อสาร</t>
    </r>
  </si>
  <si>
    <t xml:space="preserve">ICL-2.8-02</t>
  </si>
  <si>
    <r>
      <rPr>
        <sz val="9"/>
        <color rgb="FF000000"/>
        <rFont val="FreeSans"/>
        <family val="2"/>
      </rPr>
      <t xml:space="preserve">ขั้ว </t>
    </r>
    <r>
      <rPr>
        <sz val="9"/>
        <color rgb="FF000000"/>
        <rFont val="Tahoma"/>
        <family val="0"/>
        <charset val="1"/>
      </rPr>
      <t xml:space="preserve">CT / VT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PQM</t>
    </r>
  </si>
  <si>
    <r>
      <rPr>
        <sz val="9"/>
        <color rgb="FF000000"/>
        <rFont val="FreeSans"/>
        <family val="2"/>
      </rPr>
      <t xml:space="preserve">ตรงเฟส</t>
    </r>
    <r>
      <rPr>
        <sz val="9"/>
        <color rgb="FF000000"/>
        <rFont val="Tahoma"/>
        <family val="0"/>
        <charset val="1"/>
      </rPr>
      <t xml:space="preserve">, PQM </t>
    </r>
    <r>
      <rPr>
        <sz val="9"/>
        <color rgb="FF000000"/>
        <rFont val="FreeSans"/>
        <family val="2"/>
      </rPr>
      <t xml:space="preserve">อ่านค่าได้</t>
    </r>
    <r>
      <rPr>
        <sz val="9"/>
        <color rgb="FF000000"/>
        <rFont val="Tahoma"/>
        <family val="0"/>
        <charset val="1"/>
      </rPr>
      <t xml:space="preserve">, UPS </t>
    </r>
    <r>
      <rPr>
        <sz val="9"/>
        <color rgb="FF000000"/>
        <rFont val="FreeSans"/>
        <family val="2"/>
      </rPr>
      <t xml:space="preserve">ทำงาน</t>
    </r>
  </si>
  <si>
    <t xml:space="preserve">อ่านค่าเทียบมิเตอร์</t>
  </si>
  <si>
    <r>
      <rPr>
        <sz val="9"/>
        <color rgb="FF000000"/>
        <rFont val="FreeSans"/>
        <family val="2"/>
      </rPr>
      <t xml:space="preserve">ภาพหน้าจอ </t>
    </r>
    <r>
      <rPr>
        <sz val="9"/>
        <color rgb="FF000000"/>
        <rFont val="Tahoma"/>
        <family val="0"/>
        <charset val="1"/>
      </rPr>
      <t xml:space="preserve">PQM</t>
    </r>
  </si>
  <si>
    <t xml:space="preserve">ICL-2.8-03</t>
  </si>
  <si>
    <r>
      <rPr>
        <sz val="9"/>
        <color rgb="FF000000"/>
        <rFont val="FreeSans"/>
        <family val="2"/>
      </rPr>
      <t xml:space="preserve">ทิศ </t>
    </r>
    <r>
      <rPr>
        <sz val="9"/>
        <color rgb="FF000000"/>
        <rFont val="Tahoma"/>
        <family val="0"/>
        <charset val="1"/>
      </rPr>
      <t xml:space="preserve">CT </t>
    </r>
    <r>
      <rPr>
        <sz val="9"/>
        <color rgb="FF000000"/>
        <rFont val="FreeSans"/>
        <family val="2"/>
      </rPr>
      <t xml:space="preserve">กันย้อนฝั่ง </t>
    </r>
    <r>
      <rPr>
        <sz val="9"/>
        <color rgb="FF000000"/>
        <rFont val="Tahoma"/>
        <family val="0"/>
        <charset val="1"/>
      </rPr>
      <t xml:space="preserve">LV</t>
    </r>
  </si>
  <si>
    <r>
      <rPr>
        <sz val="9"/>
        <color rgb="FF000000"/>
        <rFont val="FreeSans"/>
        <family val="2"/>
      </rPr>
      <t xml:space="preserve">วัดด้านรับไฟจาก กฟภ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ทิศถูก</t>
    </r>
  </si>
  <si>
    <t xml:space="preserve">อ่านค่าทิศกำลังไฟ</t>
  </si>
  <si>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</t>
    </r>
  </si>
  <si>
    <t xml:space="preserve">ICL-2.8-04</t>
  </si>
  <si>
    <t xml:space="preserve">เครือข่ายสื่อสาร</t>
  </si>
  <si>
    <r>
      <rPr>
        <sz val="9"/>
        <color rgb="FF000000"/>
        <rFont val="Tahoma"/>
        <family val="0"/>
        <charset val="1"/>
      </rPr>
      <t xml:space="preserve">Fiber / CAT6 / RS485 </t>
    </r>
    <r>
      <rPr>
        <sz val="9"/>
        <color rgb="FF000000"/>
        <rFont val="FreeSans"/>
        <family val="2"/>
      </rPr>
      <t xml:space="preserve">ถึง </t>
    </r>
    <r>
      <rPr>
        <sz val="9"/>
        <color rgb="FF000000"/>
        <rFont val="Tahoma"/>
        <family val="0"/>
        <charset val="1"/>
      </rPr>
      <t xml:space="preserve">Inverter station </t>
    </r>
    <r>
      <rPr>
        <sz val="9"/>
        <color rgb="FF000000"/>
        <rFont val="FreeSans"/>
        <family val="2"/>
      </rPr>
      <t xml:space="preserve">ทุกตัว อ่านค่าได้ครบ</t>
    </r>
  </si>
  <si>
    <t xml:space="preserve">ทดสอบอ่านค่า</t>
  </si>
  <si>
    <r>
      <rPr>
        <sz val="9"/>
        <color rgb="FF000000"/>
        <rFont val="FreeSans"/>
        <family val="2"/>
      </rPr>
      <t xml:space="preserve">ภาพหน้าจอ </t>
    </r>
    <r>
      <rPr>
        <sz val="9"/>
        <color rgb="FF000000"/>
        <rFont val="Tahoma"/>
        <family val="0"/>
        <charset val="1"/>
      </rPr>
      <t xml:space="preserve">SEM</t>
    </r>
  </si>
  <si>
    <t xml:space="preserve">E13, E16, E17</t>
  </si>
  <si>
    <t xml:space="preserve">2.9</t>
  </si>
  <si>
    <r>
      <rPr>
        <b val="true"/>
        <sz val="9"/>
        <color rgb="FF000000"/>
        <rFont val="Tahoma"/>
        <family val="0"/>
        <charset val="1"/>
      </rPr>
      <t xml:space="preserve">Solar Monitoring (2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0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</si>
  <si>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ICL-2.9-01</t>
  </si>
  <si>
    <t xml:space="preserve">Data logger</t>
  </si>
  <si>
    <r>
      <rPr>
        <sz val="9"/>
        <color rgb="FF000000"/>
        <rFont val="FreeSans"/>
        <family val="2"/>
      </rPr>
      <t xml:space="preserve">ส่งข้อมูลถึง </t>
    </r>
    <r>
      <rPr>
        <sz val="9"/>
        <color rgb="FF000000"/>
        <rFont val="Tahoma"/>
        <family val="0"/>
        <charset val="1"/>
      </rPr>
      <t xml:space="preserve">Data center </t>
    </r>
    <r>
      <rPr>
        <sz val="9"/>
        <color rgb="FF000000"/>
        <rFont val="FreeSans"/>
        <family val="2"/>
      </rPr>
      <t xml:space="preserve">กปภ</t>
    </r>
    <r>
      <rPr>
        <sz val="9"/>
        <color rgb="FF000000"/>
        <rFont val="Tahoma"/>
        <family val="0"/>
        <charset val="1"/>
      </rPr>
      <t xml:space="preserve">.</t>
    </r>
  </si>
  <si>
    <t xml:space="preserve">ภาพหน้าจอระบบ</t>
  </si>
  <si>
    <t xml:space="preserve">Solar Monitoring</t>
  </si>
  <si>
    <t xml:space="preserve">ICL-2.9-02</t>
  </si>
  <si>
    <t xml:space="preserve">Weather station</t>
  </si>
  <si>
    <r>
      <rPr>
        <sz val="9"/>
        <color rgb="FF000000"/>
        <rFont val="Tahoma"/>
        <family val="0"/>
        <charset val="1"/>
      </rPr>
      <t xml:space="preserve">Irradiance </t>
    </r>
    <r>
      <rPr>
        <sz val="9"/>
        <color rgb="FF000000"/>
        <rFont val="FreeSans"/>
        <family val="2"/>
      </rPr>
      <t xml:space="preserve">ระนาบเดียวกับแผง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วัดอุณหภูมิแผงได้</t>
    </r>
  </si>
  <si>
    <r>
      <rPr>
        <sz val="9"/>
        <color rgb="FF000000"/>
        <rFont val="FreeSans"/>
        <family val="2"/>
      </rPr>
      <t xml:space="preserve">ตรวจด้วยตา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อ่านค่า</t>
    </r>
  </si>
  <si>
    <r>
      <rPr>
        <sz val="9"/>
        <color rgb="FF000000"/>
        <rFont val="FreeSans"/>
        <family val="2"/>
      </rPr>
      <t xml:space="preserve">รูป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ค่า</t>
    </r>
  </si>
  <si>
    <t xml:space="preserve">IEC 61724-1</t>
  </si>
  <si>
    <t xml:space="preserve">3.1</t>
  </si>
  <si>
    <t xml:space="preserve">3.1.2–3.1.6</t>
  </si>
  <si>
    <r>
      <rPr>
        <b val="true"/>
        <sz val="9"/>
        <color rgb="FF000000"/>
        <rFont val="FreeSans"/>
        <family val="2"/>
      </rPr>
      <t xml:space="preserve">ทดสอบระบบ </t>
    </r>
    <r>
      <rPr>
        <b val="true"/>
        <sz val="9"/>
        <color rgb="FF000000"/>
        <rFont val="Tahoma"/>
        <family val="0"/>
        <charset val="1"/>
      </rPr>
      <t xml:space="preserve">IEC 62446 </t>
    </r>
    <r>
      <rPr>
        <b val="true"/>
        <sz val="9"/>
        <color rgb="FF000000"/>
        <rFont val="FreeSans"/>
        <family val="2"/>
      </rPr>
      <t xml:space="preserve">และ </t>
    </r>
    <r>
      <rPr>
        <b val="true"/>
        <sz val="9"/>
        <color rgb="FF000000"/>
        <rFont val="Tahoma"/>
        <family val="0"/>
        <charset val="1"/>
      </rPr>
      <t xml:space="preserve">Start-up (9 </t>
    </r>
    <r>
      <rPr>
        <b val="true"/>
        <sz val="9"/>
        <color rgb="FF000000"/>
        <rFont val="FreeSans"/>
        <family val="2"/>
      </rPr>
      <t xml:space="preserve">รายการ</t>
    </r>
    <r>
      <rPr>
        <b val="true"/>
        <sz val="9"/>
        <color rgb="FF000000"/>
        <rFont val="Tahoma"/>
        <family val="0"/>
        <charset val="1"/>
      </rPr>
      <t xml:space="preserve">, H 3 </t>
    </r>
    <r>
      <rPr>
        <b val="true"/>
        <sz val="9"/>
        <color rgb="FF000000"/>
        <rFont val="FreeSans"/>
        <family val="2"/>
      </rPr>
      <t xml:space="preserve">จุด</t>
    </r>
    <r>
      <rPr>
        <b val="true"/>
        <sz val="9"/>
        <color rgb="FF000000"/>
        <rFont val="Tahoma"/>
        <family val="0"/>
        <charset val="1"/>
      </rPr>
      <t xml:space="preserve">)</t>
    </r>
  </si>
  <si>
    <t xml:space="preserve">ICL-3.1-01</t>
  </si>
  <si>
    <t xml:space="preserve">Mechanical completion</t>
  </si>
  <si>
    <r>
      <rPr>
        <sz val="9"/>
        <color rgb="FF000000"/>
        <rFont val="Tahoma"/>
        <family val="0"/>
        <charset val="1"/>
      </rPr>
      <t xml:space="preserve">Walk-down </t>
    </r>
    <r>
      <rPr>
        <sz val="9"/>
        <color rgb="FF000000"/>
        <rFont val="FreeSans"/>
        <family val="2"/>
      </rPr>
      <t xml:space="preserve">ลงนาม</t>
    </r>
    <r>
      <rPr>
        <sz val="9"/>
        <color rgb="FF000000"/>
        <rFont val="Tahoma"/>
        <family val="0"/>
        <charset val="1"/>
      </rPr>
      <t xml:space="preserve">, Punch list A </t>
    </r>
    <r>
      <rPr>
        <sz val="9"/>
        <color rgb="FF000000"/>
        <rFont val="FreeSans"/>
        <family val="2"/>
      </rPr>
      <t xml:space="preserve">ปิดครบ ก่อนจ่ายไฟ</t>
    </r>
  </si>
  <si>
    <t xml:space="preserve">เดินตรวจร่วม</t>
  </si>
  <si>
    <r>
      <rPr>
        <sz val="9"/>
        <color rgb="FF000000"/>
        <rFont val="FreeSans"/>
        <family val="2"/>
      </rPr>
      <t xml:space="preserve">ใบ </t>
    </r>
    <r>
      <rPr>
        <sz val="9"/>
        <color rgb="FF000000"/>
        <rFont val="Tahoma"/>
        <family val="0"/>
        <charset val="1"/>
      </rPr>
      <t xml:space="preserve">Walk-down + Punch list</t>
    </r>
  </si>
  <si>
    <r>
      <rPr>
        <sz val="9"/>
        <color rgb="FF595959"/>
        <rFont val="FreeSans"/>
        <family val="2"/>
      </rPr>
      <t xml:space="preserve">ทดสอบระบบ </t>
    </r>
    <r>
      <rPr>
        <sz val="9"/>
        <color rgb="FF595959"/>
        <rFont val="Tahoma"/>
        <family val="0"/>
        <charset val="1"/>
      </rPr>
      <t xml:space="preserve">IEC 62446 </t>
    </r>
    <r>
      <rPr>
        <sz val="9"/>
        <color rgb="FF595959"/>
        <rFont val="FreeSans"/>
        <family val="2"/>
      </rPr>
      <t xml:space="preserve">และ </t>
    </r>
    <r>
      <rPr>
        <sz val="9"/>
        <color rgb="FF595959"/>
        <rFont val="Tahoma"/>
        <family val="0"/>
        <charset val="1"/>
      </rPr>
      <t xml:space="preserve">Start-up</t>
    </r>
  </si>
  <si>
    <t xml:space="preserve">ICL-3.1-02</t>
  </si>
  <si>
    <r>
      <rPr>
        <sz val="9"/>
        <color rgb="FF000000"/>
        <rFont val="Tahoma"/>
        <family val="0"/>
        <charset val="1"/>
      </rPr>
      <t xml:space="preserve">Continuity </t>
    </r>
    <r>
      <rPr>
        <sz val="9"/>
        <color rgb="FF000000"/>
        <rFont val="FreeSans"/>
        <family val="2"/>
      </rPr>
      <t xml:space="preserve">ตัวนำป้องกัน</t>
    </r>
  </si>
  <si>
    <t xml:space="preserve">ต่อเนื่อง ไม่ขาด</t>
  </si>
  <si>
    <t xml:space="preserve">Low-ohm meter</t>
  </si>
  <si>
    <r>
      <rPr>
        <sz val="9"/>
        <color rgb="FF000000"/>
        <rFont val="FreeSans"/>
        <family val="2"/>
      </rPr>
      <t xml:space="preserve">แอป </t>
    </r>
    <r>
      <rPr>
        <sz val="9"/>
        <color rgb="FF000000"/>
        <rFont val="Tahoma"/>
        <family val="0"/>
        <charset val="1"/>
      </rPr>
      <t xml:space="preserve">IEC </t>
    </r>
    <r>
      <rPr>
        <sz val="9"/>
        <color rgb="FF000000"/>
        <rFont val="FreeSans"/>
        <family val="2"/>
      </rPr>
      <t xml:space="preserve">ขั้น </t>
    </r>
    <r>
      <rPr>
        <sz val="9"/>
        <color rgb="FF000000"/>
        <rFont val="Tahoma"/>
        <family val="0"/>
        <charset val="1"/>
      </rPr>
      <t xml:space="preserve">2</t>
    </r>
  </si>
  <si>
    <t xml:space="preserve">ICL-3.1-03</t>
  </si>
  <si>
    <r>
      <rPr>
        <sz val="9"/>
        <color rgb="FF000000"/>
        <rFont val="Tahoma"/>
        <family val="0"/>
        <charset val="1"/>
      </rPr>
      <t xml:space="preserve">Insulation resistance </t>
    </r>
    <r>
      <rPr>
        <sz val="9"/>
        <color rgb="FF000000"/>
        <rFont val="FreeSans"/>
        <family val="2"/>
      </rPr>
      <t xml:space="preserve">ราย </t>
    </r>
    <r>
      <rPr>
        <sz val="9"/>
        <color rgb="FF000000"/>
        <rFont val="Tahoma"/>
        <family val="0"/>
        <charset val="1"/>
      </rPr>
      <t xml:space="preserve">String</t>
    </r>
  </si>
  <si>
    <r>
      <rPr>
        <sz val="9"/>
        <color rgb="FF000000"/>
        <rFont val="Tahoma"/>
        <family val="0"/>
        <charset val="1"/>
      </rPr>
      <t xml:space="preserve">min(+E, −E) ≥ 1 MΩ </t>
    </r>
    <r>
      <rPr>
        <sz val="9"/>
        <color rgb="FF000000"/>
        <rFont val="FreeSans"/>
        <family val="2"/>
      </rPr>
      <t xml:space="preserve">ที่ </t>
    </r>
    <r>
      <rPr>
        <sz val="9"/>
        <color rgb="FF000000"/>
        <rFont val="Tahoma"/>
        <family val="0"/>
        <charset val="1"/>
      </rPr>
      <t xml:space="preserve">1000 V</t>
    </r>
  </si>
  <si>
    <r>
      <rPr>
        <sz val="9"/>
        <color rgb="FF000000"/>
        <rFont val="FreeSans"/>
        <family val="2"/>
      </rPr>
      <t xml:space="preserve">แอป </t>
    </r>
    <r>
      <rPr>
        <sz val="9"/>
        <color rgb="FF000000"/>
        <rFont val="Tahoma"/>
        <family val="0"/>
        <charset val="1"/>
      </rPr>
      <t xml:space="preserve">IEC </t>
    </r>
    <r>
      <rPr>
        <sz val="9"/>
        <color rgb="FF000000"/>
        <rFont val="FreeSans"/>
        <family val="2"/>
      </rPr>
      <t xml:space="preserve">ขั้น </t>
    </r>
    <r>
      <rPr>
        <sz val="9"/>
        <color rgb="FF000000"/>
        <rFont val="Tahoma"/>
        <family val="0"/>
        <charset val="1"/>
      </rPr>
      <t xml:space="preserve">2 + </t>
    </r>
    <r>
      <rPr>
        <sz val="9"/>
        <color rgb="FF000000"/>
        <rFont val="FreeSans"/>
        <family val="2"/>
      </rPr>
      <t xml:space="preserve">รูปหน้าจอ</t>
    </r>
  </si>
  <si>
    <t xml:space="preserve">ICL-3.1-04</t>
  </si>
  <si>
    <r>
      <rPr>
        <sz val="9"/>
        <color rgb="FF000000"/>
        <rFont val="Tahoma"/>
        <family val="0"/>
        <charset val="1"/>
      </rPr>
      <t xml:space="preserve">Voc </t>
    </r>
    <r>
      <rPr>
        <sz val="9"/>
        <color rgb="FF000000"/>
        <rFont val="FreeSans"/>
        <family val="2"/>
      </rPr>
      <t xml:space="preserve">ราย </t>
    </r>
    <r>
      <rPr>
        <sz val="9"/>
        <color rgb="FF000000"/>
        <rFont val="Tahoma"/>
        <family val="0"/>
        <charset val="1"/>
      </rPr>
      <t xml:space="preserve">String</t>
    </r>
  </si>
  <si>
    <r>
      <rPr>
        <sz val="9"/>
        <color rgb="FF000000"/>
        <rFont val="FreeSans"/>
        <family val="2"/>
      </rPr>
      <t xml:space="preserve">ต่างจากค่ามัธยฐานของสตริงที่แผงเท่ากัน ≤ </t>
    </r>
    <r>
      <rPr>
        <sz val="9"/>
        <color rgb="FF000000"/>
        <rFont val="Tahoma"/>
        <family val="0"/>
        <charset val="1"/>
      </rPr>
      <t xml:space="preserve">5%</t>
    </r>
  </si>
  <si>
    <t xml:space="preserve">ICL-3.1-05</t>
  </si>
  <si>
    <r>
      <rPr>
        <sz val="9"/>
        <color rgb="FF000000"/>
        <rFont val="Tahoma"/>
        <family val="0"/>
        <charset val="1"/>
      </rPr>
      <t xml:space="preserve">Thermography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</si>
  <si>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ครบ </t>
    </r>
    <r>
      <rPr>
        <sz val="9"/>
        <color rgb="FF000000"/>
        <rFont val="Tahoma"/>
        <family val="0"/>
        <charset val="1"/>
      </rPr>
      <t xml:space="preserve">100% </t>
    </r>
    <r>
      <rPr>
        <sz val="9"/>
        <color rgb="FF000000"/>
        <rFont val="FreeSans"/>
        <family val="2"/>
      </rPr>
      <t xml:space="preserve">ที่แสง ≥ </t>
    </r>
    <r>
      <rPr>
        <sz val="9"/>
        <color rgb="FF000000"/>
        <rFont val="Tahoma"/>
        <family val="0"/>
        <charset val="1"/>
      </rPr>
      <t xml:space="preserve">600 W/m², </t>
    </r>
    <r>
      <rPr>
        <sz val="9"/>
        <color rgb="FF000000"/>
        <rFont val="FreeSans"/>
        <family val="2"/>
      </rPr>
      <t xml:space="preserve">จุดร้อนผิดปกติแก้ไขตามรายงาน</t>
    </r>
  </si>
  <si>
    <r>
      <rPr>
        <sz val="9"/>
        <color rgb="FF000000"/>
        <rFont val="FreeSans"/>
        <family val="2"/>
      </rPr>
      <t xml:space="preserve">กล้องถ่ายภาพความร้อน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โดรน</t>
    </r>
  </si>
  <si>
    <r>
      <rPr>
        <sz val="9"/>
        <color rgb="FF000000"/>
        <rFont val="FreeSans"/>
        <family val="2"/>
      </rPr>
      <t xml:space="preserve">รายงาน </t>
    </r>
    <r>
      <rPr>
        <sz val="9"/>
        <color rgb="FF000000"/>
        <rFont val="Tahoma"/>
        <family val="0"/>
        <charset val="1"/>
      </rPr>
      <t xml:space="preserve">Thermography</t>
    </r>
  </si>
  <si>
    <t xml:space="preserve">IEC 62446-3</t>
  </si>
  <si>
    <t xml:space="preserve">ICL-3.1-06</t>
  </si>
  <si>
    <t xml:space="preserve">FTS / ELR / Shunt trip / SPD</t>
  </si>
  <si>
    <t xml:space="preserve">ทำงานตามที่ออกแบบ</t>
  </si>
  <si>
    <t xml:space="preserve">ทดสอบสั่งการ</t>
  </si>
  <si>
    <r>
      <rPr>
        <sz val="9"/>
        <color rgb="FF000000"/>
        <rFont val="FreeSans"/>
        <family val="2"/>
      </rPr>
      <t xml:space="preserve">บันทึกผล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วิดีโอ</t>
    </r>
  </si>
  <si>
    <r>
      <rPr>
        <sz val="9"/>
        <color rgb="FF000000"/>
        <rFont val="FreeSans"/>
        <family val="2"/>
      </rPr>
      <t xml:space="preserve">วสท</t>
    </r>
    <r>
      <rPr>
        <sz val="9"/>
        <color rgb="FF000000"/>
        <rFont val="Tahoma"/>
        <family val="0"/>
        <charset val="1"/>
      </rPr>
      <t xml:space="preserve">. 022013-22</t>
    </r>
  </si>
  <si>
    <t xml:space="preserve">ICL-3.1-07</t>
  </si>
  <si>
    <r>
      <rPr>
        <sz val="9"/>
        <color rgb="FF000000"/>
        <rFont val="Tahoma"/>
        <family val="0"/>
        <charset val="1"/>
      </rPr>
      <t xml:space="preserve">Start-up </t>
    </r>
    <r>
      <rPr>
        <sz val="9"/>
        <color rgb="FF000000"/>
        <rFont val="FreeSans"/>
        <family val="2"/>
      </rPr>
      <t xml:space="preserve">และกันย้อน</t>
    </r>
  </si>
  <si>
    <r>
      <rPr>
        <sz val="9"/>
        <color rgb="FF000000"/>
        <rFont val="Tahoma"/>
        <family val="0"/>
        <charset val="1"/>
      </rPr>
      <t xml:space="preserve">Inverter </t>
    </r>
    <r>
      <rPr>
        <sz val="9"/>
        <color rgb="FF000000"/>
        <rFont val="FreeSans"/>
        <family val="2"/>
      </rPr>
      <t xml:space="preserve">ไม่มี </t>
    </r>
    <r>
      <rPr>
        <sz val="9"/>
        <color rgb="FF000000"/>
        <rFont val="Tahoma"/>
        <family val="0"/>
        <charset val="1"/>
      </rPr>
      <t xml:space="preserve">Fault, </t>
    </r>
    <r>
      <rPr>
        <sz val="9"/>
        <color rgb="FF000000"/>
        <rFont val="FreeSans"/>
        <family val="2"/>
      </rPr>
      <t xml:space="preserve">ไม่จ่ายไฟย้อนเข้าระบบ กฟภ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ตามค่าตั้งที่อนุมัติ</t>
    </r>
  </si>
  <si>
    <t xml:space="preserve">ทดสอบลดโหลดขณะผลิตไฟ</t>
  </si>
  <si>
    <r>
      <rPr>
        <sz val="9"/>
        <color rgb="FF000000"/>
        <rFont val="FreeSans"/>
        <family val="2"/>
      </rPr>
      <t xml:space="preserve">บันทึกผล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ภาพหน้าจอ</t>
    </r>
  </si>
  <si>
    <r>
      <rPr>
        <sz val="9"/>
        <color rgb="FF000000"/>
        <rFont val="FreeSans"/>
        <family val="2"/>
      </rPr>
      <t xml:space="preserve">ระเบียบ กฟภ</t>
    </r>
    <r>
      <rPr>
        <sz val="9"/>
        <color rgb="FF000000"/>
        <rFont val="Tahoma"/>
        <family val="0"/>
        <charset val="1"/>
      </rPr>
      <t xml:space="preserve">. 2559 </t>
    </r>
    <r>
      <rPr>
        <sz val="9"/>
        <color rgb="FF000000"/>
        <rFont val="FreeSans"/>
        <family val="2"/>
      </rPr>
      <t xml:space="preserve">ข้อ </t>
    </r>
    <r>
      <rPr>
        <sz val="9"/>
        <color rgb="FF000000"/>
        <rFont val="Tahoma"/>
        <family val="0"/>
        <charset val="1"/>
      </rPr>
      <t xml:space="preserve">7.1.8</t>
    </r>
  </si>
  <si>
    <t xml:space="preserve">ICL-3.1-08</t>
  </si>
  <si>
    <t xml:space="preserve">Anti-islanding</t>
  </si>
  <si>
    <r>
      <rPr>
        <sz val="9"/>
        <color rgb="FF000000"/>
        <rFont val="FreeSans"/>
        <family val="2"/>
      </rPr>
      <t xml:space="preserve">หยุดจ่ายไฟเมื่อไฟ กฟภ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ดับ ตามค่าตั้งที่อนุมัติ</t>
    </r>
  </si>
  <si>
    <r>
      <rPr>
        <sz val="9"/>
        <color rgb="FF000000"/>
        <rFont val="FreeSans"/>
        <family val="2"/>
      </rPr>
      <t xml:space="preserve">ปลด </t>
    </r>
    <r>
      <rPr>
        <sz val="9"/>
        <color rgb="FF000000"/>
        <rFont val="Tahoma"/>
        <family val="0"/>
        <charset val="1"/>
      </rPr>
      <t xml:space="preserve">Breaker </t>
    </r>
    <r>
      <rPr>
        <sz val="9"/>
        <color rgb="FF000000"/>
        <rFont val="FreeSans"/>
        <family val="2"/>
      </rPr>
      <t xml:space="preserve">ฝั่ง กฟภ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</si>
  <si>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บันทึกเวลาตัด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วิดีโอ</t>
    </r>
  </si>
  <si>
    <r>
      <rPr>
        <sz val="9"/>
        <color rgb="FF000000"/>
        <rFont val="FreeSans"/>
        <family val="2"/>
      </rPr>
      <t xml:space="preserve">ระเบียบ กฟภ</t>
    </r>
    <r>
      <rPr>
        <sz val="9"/>
        <color rgb="FF000000"/>
        <rFont val="Tahoma"/>
        <family val="0"/>
        <charset val="1"/>
      </rPr>
      <t xml:space="preserve">. 2559 </t>
    </r>
    <r>
      <rPr>
        <sz val="9"/>
        <color rgb="FF000000"/>
        <rFont val="FreeSans"/>
        <family val="2"/>
      </rPr>
      <t xml:space="preserve">ข้อ </t>
    </r>
    <r>
      <rPr>
        <sz val="9"/>
        <color rgb="FF000000"/>
        <rFont val="Tahoma"/>
        <family val="0"/>
        <charset val="1"/>
      </rPr>
      <t xml:space="preserve">7.1.15</t>
    </r>
  </si>
  <si>
    <t xml:space="preserve">ICL-3.1-09</t>
  </si>
  <si>
    <r>
      <rPr>
        <sz val="9"/>
        <color rgb="FF000000"/>
        <rFont val="Tahoma"/>
        <family val="0"/>
        <charset val="1"/>
      </rPr>
      <t xml:space="preserve">Vmp / Imp </t>
    </r>
    <r>
      <rPr>
        <sz val="9"/>
        <color rgb="FF000000"/>
        <rFont val="FreeSans"/>
        <family val="2"/>
      </rPr>
      <t xml:space="preserve">หลังเชื่อม และผลผลิต </t>
    </r>
    <r>
      <rPr>
        <sz val="9"/>
        <color rgb="FF000000"/>
        <rFont val="Tahoma"/>
        <family val="0"/>
        <charset val="1"/>
      </rPr>
      <t xml:space="preserve">7 </t>
    </r>
    <r>
      <rPr>
        <sz val="9"/>
        <color rgb="FF000000"/>
        <rFont val="FreeSans"/>
        <family val="2"/>
      </rPr>
      <t xml:space="preserve">วัน</t>
    </r>
  </si>
  <si>
    <r>
      <rPr>
        <sz val="9"/>
        <color rgb="FF000000"/>
        <rFont val="Tahoma"/>
        <family val="0"/>
        <charset val="1"/>
      </rPr>
      <t xml:space="preserve">Vmp </t>
    </r>
    <r>
      <rPr>
        <sz val="9"/>
        <color rgb="FF000000"/>
        <rFont val="FreeSans"/>
        <family val="2"/>
      </rPr>
      <t xml:space="preserve">ต่างจากค่ามัธยฐาน ≤ </t>
    </r>
    <r>
      <rPr>
        <sz val="9"/>
        <color rgb="FF000000"/>
        <rFont val="Tahoma"/>
        <family val="0"/>
        <charset val="1"/>
      </rPr>
      <t xml:space="preserve">5%, </t>
    </r>
    <r>
      <rPr>
        <sz val="9"/>
        <color rgb="FF000000"/>
        <rFont val="FreeSans"/>
        <family val="2"/>
      </rPr>
      <t xml:space="preserve">มี </t>
    </r>
    <r>
      <rPr>
        <sz val="9"/>
        <color rgb="FF000000"/>
        <rFont val="Tahoma"/>
        <family val="0"/>
        <charset val="1"/>
      </rPr>
      <t xml:space="preserve">PR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Yf </t>
    </r>
    <r>
      <rPr>
        <sz val="9"/>
        <color rgb="FF000000"/>
        <rFont val="FreeSans"/>
        <family val="2"/>
      </rPr>
      <t xml:space="preserve">ครบทุก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</si>
  <si>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FreeSans"/>
        <family val="2"/>
      </rPr>
      <t xml:space="preserve">มัลติมิเตอร์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แคลมป์มิเตอร์</t>
    </r>
    <r>
      <rPr>
        <sz val="9"/>
        <color rgb="FF000000"/>
        <rFont val="Tahoma"/>
        <family val="0"/>
        <charset val="1"/>
      </rPr>
      <t xml:space="preserve">, Weather station</t>
    </r>
  </si>
  <si>
    <r>
      <rPr>
        <sz val="9"/>
        <color rgb="FF000000"/>
        <rFont val="FreeSans"/>
        <family val="2"/>
      </rPr>
      <t xml:space="preserve">แอป </t>
    </r>
    <r>
      <rPr>
        <sz val="9"/>
        <color rgb="FF000000"/>
        <rFont val="Tahoma"/>
        <family val="0"/>
        <charset val="1"/>
      </rPr>
      <t xml:space="preserve">IEC </t>
    </r>
    <r>
      <rPr>
        <sz val="9"/>
        <color rgb="FF000000"/>
        <rFont val="FreeSans"/>
        <family val="2"/>
      </rPr>
      <t xml:space="preserve">ขั้น </t>
    </r>
    <r>
      <rPr>
        <sz val="9"/>
        <color rgb="FF000000"/>
        <rFont val="Tahoma"/>
        <family val="0"/>
        <charset val="1"/>
      </rPr>
      <t xml:space="preserve">4–6</t>
    </r>
  </si>
  <si>
    <t xml:space="preserve">IEC 62446-1, IEC 61724-1</t>
  </si>
  <si>
    <r>
      <rPr>
        <i val="true"/>
        <sz val="8"/>
        <color rgb="FF595959"/>
        <rFont val="FreeSans"/>
        <family val="2"/>
      </rPr>
      <t xml:space="preserve">ที่มา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แบบมาตรฐาน กปภ</t>
    </r>
    <r>
      <rPr>
        <i val="true"/>
        <sz val="8"/>
        <color rgb="FF595959"/>
        <rFont val="Tahoma"/>
        <family val="0"/>
        <charset val="1"/>
      </rPr>
      <t xml:space="preserve">. (</t>
    </r>
    <r>
      <rPr>
        <i val="true"/>
        <sz val="8"/>
        <color rgb="FF595959"/>
        <rFont val="FreeSans"/>
        <family val="2"/>
      </rPr>
      <t xml:space="preserve">ชีตแบบมาตรฐาน</t>
    </r>
    <r>
      <rPr>
        <i val="true"/>
        <sz val="8"/>
        <color rgb="FF595959"/>
        <rFont val="Tahoma"/>
        <family val="0"/>
        <charset val="1"/>
      </rPr>
      <t xml:space="preserve">), IEC 62446-1:2016+AMD1:2018, IEC 62446-3:2017, IEC 60364-6, IEC 62548, IEC 61724-1, </t>
    </r>
    <r>
      <rPr>
        <i val="true"/>
        <sz val="8"/>
        <color rgb="FF595959"/>
        <rFont val="FreeSans"/>
        <family val="2"/>
      </rPr>
      <t xml:space="preserve">วสท</t>
    </r>
    <r>
      <rPr>
        <i val="true"/>
        <sz val="8"/>
        <color rgb="FF595959"/>
        <rFont val="Tahoma"/>
        <family val="0"/>
        <charset val="1"/>
      </rPr>
      <t xml:space="preserve">. 022013-22, </t>
    </r>
    <r>
      <rPr>
        <i val="true"/>
        <sz val="8"/>
        <color rgb="FF595959"/>
        <rFont val="FreeSans"/>
        <family val="2"/>
      </rPr>
      <t xml:space="preserve">ระเบียบ กฟภ</t>
    </r>
    <r>
      <rPr>
        <i val="true"/>
        <sz val="8"/>
        <color rgb="FF595959"/>
        <rFont val="Tahoma"/>
        <family val="0"/>
        <charset val="1"/>
      </rPr>
      <t xml:space="preserve">. 2559, NASA WBS Handbook §4.1.4 (</t>
    </r>
    <r>
      <rPr>
        <i val="true"/>
        <sz val="8"/>
        <color rgb="FF595959"/>
        <rFont val="FreeSans"/>
        <family val="2"/>
      </rPr>
      <t xml:space="preserve">การทดสอบอยู่ในงานที่ถูกทดสอบ</t>
    </r>
    <r>
      <rPr>
        <i val="true"/>
        <sz val="8"/>
        <color rgb="FF595959"/>
        <rFont val="Tahoma"/>
        <family val="0"/>
        <charset val="1"/>
      </rPr>
      <t xml:space="preserve">), DOE WBS Guide (</t>
    </r>
    <r>
      <rPr>
        <i val="true"/>
        <sz val="8"/>
        <color rgb="FF595959"/>
        <rFont val="FreeSans"/>
        <family val="2"/>
      </rPr>
      <t xml:space="preserve">งานแก้ </t>
    </r>
    <r>
      <rPr>
        <i val="true"/>
        <sz val="8"/>
        <color rgb="FF595959"/>
        <rFont val="Tahoma"/>
        <family val="0"/>
        <charset val="1"/>
      </rPr>
      <t xml:space="preserve">/ </t>
    </r>
    <r>
      <rPr>
        <i val="true"/>
        <sz val="8"/>
        <color rgb="FF595959"/>
        <rFont val="FreeSans"/>
        <family val="2"/>
      </rPr>
      <t xml:space="preserve">ทดสอบซ้ำไม่ใช่รายการ </t>
    </r>
    <r>
      <rPr>
        <i val="true"/>
        <sz val="8"/>
        <color rgb="FF595959"/>
        <rFont val="Tahoma"/>
        <family val="0"/>
        <charset val="1"/>
      </rPr>
      <t xml:space="preserve">WBS)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</si>
  <si>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2.1: </t>
    </r>
    <r>
      <rPr>
        <b val="true"/>
        <sz val="13"/>
        <color rgb="FF1F4E78"/>
        <rFont val="FreeSans"/>
        <family val="2"/>
      </rPr>
      <t xml:space="preserve">โครงสร้างรองรับแผง</t>
    </r>
    <r>
      <rPr>
        <b val="true"/>
        <sz val="13"/>
        <color rgb="FF1F4E78"/>
        <rFont val="Tahoma"/>
        <family val="0"/>
        <charset val="1"/>
      </rPr>
      <t xml:space="preserve">, </t>
    </r>
    <r>
      <rPr>
        <b val="true"/>
        <sz val="13"/>
        <color rgb="FF1F4E78"/>
        <rFont val="FreeSans"/>
        <family val="2"/>
      </rPr>
      <t xml:space="preserve">บันได</t>
    </r>
    <r>
      <rPr>
        <b val="true"/>
        <sz val="13"/>
        <color rgb="FF1F4E78"/>
        <rFont val="Tahoma"/>
        <family val="0"/>
        <charset val="1"/>
      </rPr>
      <t xml:space="preserve">, Walkway</t>
    </r>
  </si>
  <si>
    <r>
      <rPr>
        <sz val="9"/>
        <color rgb="FF595959"/>
        <rFont val="Tahoma"/>
        <family val="0"/>
        <charset val="1"/>
      </rPr>
      <t xml:space="preserve">WBS 2.1.7,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ตามประเภทจุดติดตั้ง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ชีตจุดติดตั้ง</t>
    </r>
    <r>
      <rPr>
        <sz val="9"/>
        <color rgb="FF595959"/>
        <rFont val="Tahoma"/>
        <family val="0"/>
        <charset val="1"/>
      </rPr>
      <t xml:space="preserve">),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</si>
  <si>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b val="true"/>
        <sz val="9"/>
        <color rgb="FF000000"/>
        <rFont val="FreeSans"/>
        <family val="2"/>
      </rPr>
      <t xml:space="preserve">สถานี </t>
    </r>
    <r>
      <rPr>
        <b val="true"/>
        <sz val="9"/>
        <color rgb="FF000000"/>
        <rFont val="Tahoma"/>
        <family val="0"/>
        <charset val="1"/>
      </rPr>
      <t xml:space="preserve">(MP)</t>
    </r>
  </si>
  <si>
    <t xml:space="preserve">วันที่ตรวจ</t>
  </si>
  <si>
    <r>
      <rPr>
        <b val="true"/>
        <sz val="9"/>
        <color rgb="FF000000"/>
        <rFont val="FreeSans"/>
        <family val="2"/>
      </rPr>
      <t xml:space="preserve">จุดติดตั้ง </t>
    </r>
    <r>
      <rPr>
        <b val="true"/>
        <sz val="9"/>
        <color rgb="FF000000"/>
        <rFont val="Tahoma"/>
        <family val="0"/>
        <charset val="1"/>
      </rPr>
      <t xml:space="preserve">/ Inverter</t>
    </r>
  </si>
  <si>
    <r>
      <rPr>
        <i val="true"/>
        <sz val="8"/>
        <color rgb="FF595959"/>
        <rFont val="FreeSans"/>
        <family val="2"/>
      </rPr>
      <t xml:space="preserve">แทรกรูป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คลิกช่องรูปถ่าย แล้วเลือก แทรก </t>
    </r>
    <r>
      <rPr>
        <i val="true"/>
        <sz val="8"/>
        <color rgb="FF595959"/>
        <rFont val="Tahoma"/>
        <family val="0"/>
        <charset val="1"/>
      </rPr>
      <t xml:space="preserve">&gt; </t>
    </r>
    <r>
      <rPr>
        <i val="true"/>
        <sz val="8"/>
        <color rgb="FF595959"/>
        <rFont val="FreeSans"/>
        <family val="2"/>
      </rPr>
      <t xml:space="preserve">รูปภาพ </t>
    </r>
    <r>
      <rPr>
        <i val="true"/>
        <sz val="8"/>
        <color rgb="FF595959"/>
        <rFont val="Tahoma"/>
        <family val="0"/>
        <charset val="1"/>
      </rPr>
      <t xml:space="preserve">&gt; </t>
    </r>
    <r>
      <rPr>
        <i val="true"/>
        <sz val="8"/>
        <color rgb="FF595959"/>
        <rFont val="FreeSans"/>
        <family val="2"/>
      </rPr>
      <t xml:space="preserve">วางในเซลล์ </t>
    </r>
    <r>
      <rPr>
        <i val="true"/>
        <sz val="8"/>
        <color rgb="FF595959"/>
        <rFont val="Tahoma"/>
        <family val="0"/>
        <charset val="1"/>
      </rPr>
      <t xml:space="preserve">(Excel 365) </t>
    </r>
    <r>
      <rPr>
        <i val="true"/>
        <sz val="8"/>
        <color rgb="FF595959"/>
        <rFont val="FreeSans"/>
        <family val="2"/>
      </rPr>
      <t xml:space="preserve">หรือ แทรก </t>
    </r>
    <r>
      <rPr>
        <i val="true"/>
        <sz val="8"/>
        <color rgb="FF595959"/>
        <rFont val="Tahoma"/>
        <family val="0"/>
        <charset val="1"/>
      </rPr>
      <t xml:space="preserve">&gt; </t>
    </r>
    <r>
      <rPr>
        <i val="true"/>
        <sz val="8"/>
        <color rgb="FF595959"/>
        <rFont val="FreeSans"/>
        <family val="2"/>
      </rPr>
      <t xml:space="preserve">รูปภาพ </t>
    </r>
    <r>
      <rPr>
        <i val="true"/>
        <sz val="8"/>
        <color rgb="FF595959"/>
        <rFont val="Tahoma"/>
        <family val="0"/>
        <charset val="1"/>
      </rPr>
      <t xml:space="preserve">&gt; </t>
    </r>
    <r>
      <rPr>
        <i val="true"/>
        <sz val="8"/>
        <color rgb="FF595959"/>
        <rFont val="FreeSans"/>
        <family val="2"/>
      </rPr>
      <t xml:space="preserve">รูปภาพในเซลล์ </t>
    </r>
    <r>
      <rPr>
        <i val="true"/>
        <sz val="8"/>
        <color rgb="FF595959"/>
        <rFont val="Tahoma"/>
        <family val="0"/>
        <charset val="1"/>
      </rPr>
      <t xml:space="preserve">(Google Sheets) </t>
    </r>
    <r>
      <rPr>
        <i val="true"/>
        <sz val="8"/>
        <color rgb="FF595959"/>
        <rFont val="FreeSans"/>
        <family val="2"/>
      </rPr>
      <t xml:space="preserve">รูปจะย่อพอดีช่องและเลื่อนไปกับแถว</t>
    </r>
  </si>
  <si>
    <t xml:space="preserve">ค่าที่วัด</t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</si>
  <si>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เลขเครื่องมือ</t>
    </r>
  </si>
  <si>
    <t xml:space="preserve">รูปถ่าย</t>
  </si>
  <si>
    <r>
      <rPr>
        <sz val="8.5"/>
        <color rgb="FF000000"/>
        <rFont val="FreeSans"/>
        <family val="2"/>
      </rPr>
      <t xml:space="preserve">ผังจุดยึดตรงตาม </t>
    </r>
    <r>
      <rPr>
        <sz val="8.5"/>
        <color rgb="FF000000"/>
        <rFont val="Tahoma"/>
        <family val="0"/>
        <charset val="1"/>
      </rPr>
      <t xml:space="preserve">Shop drawing
(</t>
    </r>
    <r>
      <rPr>
        <sz val="8.5"/>
        <color rgb="FF000000"/>
        <rFont val="FreeSans"/>
        <family val="2"/>
      </rPr>
      <t xml:space="preserve">ทุกประเภท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</si>
  <si>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ระยะยึดตามระยะแป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ระยะเสาตามแบบ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ตลับเมตร เทียบแบบ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</si>
  <si>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รูปผังที่ </t>
    </r>
    <r>
      <rPr>
        <sz val="8.5"/>
        <color rgb="FFA6A6A6"/>
        <rFont val="Tahoma"/>
        <family val="0"/>
        <charset val="1"/>
      </rPr>
      <t xml:space="preserve">Mark</t>
    </r>
  </si>
  <si>
    <r>
      <rPr>
        <sz val="8.5"/>
        <color rgb="FF000000"/>
        <rFont val="Tahoma"/>
        <family val="0"/>
        <charset val="1"/>
      </rPr>
      <t xml:space="preserve">Hanger bolt </t>
    </r>
    <r>
      <rPr>
        <sz val="8.5"/>
        <color rgb="FF000000"/>
        <rFont val="FreeSans"/>
        <family val="2"/>
      </rPr>
      <t xml:space="preserve">เข้าแปทุกจุด และซีลกันซึม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หลังคาลอนคู่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</si>
  <si>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ครบทุกจุด ไม่มีรูเจาะเปล่า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ก่อนวางราง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</si>
  <si>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รูปทุกแถวก่อนวางราง</t>
    </r>
  </si>
  <si>
    <r>
      <rPr>
        <sz val="8.5"/>
        <color rgb="FF000000"/>
        <rFont val="FreeSans"/>
        <family val="2"/>
      </rPr>
      <t xml:space="preserve">แรงขันน็อตยึดโครง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หลังคาลอนคู่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</si>
  <si>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Tahoma"/>
        <family val="0"/>
        <charset val="1"/>
      </rPr>
      <t xml:space="preserve">M8 = 12 N·m, M10 = 21 N·m </t>
    </r>
    <r>
      <rPr>
        <sz val="8.5"/>
        <color rgb="FF000000"/>
        <rFont val="FreeSans"/>
        <family val="2"/>
      </rPr>
      <t xml:space="preserve">และมาร์คสีทุกตัว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ประแจทอร์ก สุ่มอย่างน้อย </t>
    </r>
    <r>
      <rPr>
        <sz val="8.5"/>
        <color rgb="FF000000"/>
        <rFont val="Tahoma"/>
        <family val="0"/>
        <charset val="1"/>
      </rPr>
      <t xml:space="preserve">10% </t>
    </r>
    <r>
      <rPr>
        <sz val="8.5"/>
        <color rgb="FF000000"/>
        <rFont val="FreeSans"/>
        <family val="2"/>
      </rPr>
      <t xml:space="preserve">ของจุด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</si>
  <si>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บันทึกค่า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เลขเครื่องมือ</t>
    </r>
  </si>
  <si>
    <r>
      <rPr>
        <sz val="8.5"/>
        <color rgb="FF000000"/>
        <rFont val="FreeSans"/>
        <family val="2"/>
      </rPr>
      <t xml:space="preserve">แรงขันน็อตยึดโครง 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หลังคาอื่น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ถัง</t>
    </r>
    <r>
      <rPr>
        <sz val="8.5"/>
        <color rgb="FF000000"/>
        <rFont val="Tahoma"/>
        <family val="0"/>
        <charset val="1"/>
      </rPr>
      <t xml:space="preserve">)
(</t>
    </r>
    <r>
      <rPr>
        <sz val="8.5"/>
        <color rgb="FF000000"/>
        <rFont val="FreeSans"/>
        <family val="2"/>
      </rPr>
      <t xml:space="preserve">เมทัลชีท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หลังคา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ถังดินกลบ</t>
    </r>
    <r>
      <rPr>
        <sz val="8.5"/>
        <color rgb="FF000000"/>
        <rFont val="Tahoma"/>
        <family val="0"/>
        <charset val="1"/>
      </rPr>
      <t xml:space="preserve">, Carport)</t>
    </r>
  </si>
  <si>
    <r>
      <rPr>
        <sz val="8.5"/>
        <color rgb="FF000000"/>
        <rFont val="FreeSans"/>
        <family val="2"/>
      </rPr>
      <t xml:space="preserve">ตามคู่มือผู้ผลิตโครงยึด และมาร์คสีทุกตัว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ประแจทอร์ก สุ่มอย่างน้อย </t>
    </r>
    <r>
      <rPr>
        <sz val="8.5"/>
        <color rgb="FF000000"/>
        <rFont val="Tahoma"/>
        <family val="0"/>
        <charset val="1"/>
      </rPr>
      <t xml:space="preserve">10% </t>
    </r>
    <r>
      <rPr>
        <sz val="8.5"/>
        <color rgb="FF000000"/>
        <rFont val="FreeSans"/>
        <family val="2"/>
      </rPr>
      <t xml:space="preserve">ของจุด</t>
    </r>
  </si>
  <si>
    <r>
      <rPr>
        <sz val="8.5"/>
        <color rgb="FF000000"/>
        <rFont val="FreeSans"/>
        <family val="2"/>
      </rPr>
      <t xml:space="preserve">ทดสอบรั่วซึมทุกจุดเจาะ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หลังคาลอนคู่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หลังคา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</si>
  <si>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ไม่มีน้ำซึมใต้หลังคา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ฉีดน้ำแล้วตรวจใต้หลังคา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</si>
  <si>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/ </t>
    </r>
    <r>
      <rPr>
        <sz val="8.5"/>
        <color rgb="FFA6A6A6"/>
        <rFont val="FreeSans"/>
        <family val="2"/>
      </rPr>
      <t xml:space="preserve">วิดีโอใต้หลังคา</t>
    </r>
  </si>
  <si>
    <r>
      <rPr>
        <sz val="8.5"/>
        <color rgb="FF000000"/>
        <rFont val="FreeSans"/>
        <family val="2"/>
      </rPr>
      <t xml:space="preserve">กระเบื้องที่แตกระหว่างติดตั้ง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หลังคาลอนคู่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</si>
  <si>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เปลี่ยนครบ ไม่มีแผ่นแตกหรือร้าว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ตรวจด้วยตาทั้งหลังคา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</si>
  <si>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รูปก่อน </t>
    </r>
    <r>
      <rPr>
        <sz val="8.5"/>
        <color rgb="FFA6A6A6"/>
        <rFont val="Tahoma"/>
        <family val="0"/>
        <charset val="1"/>
      </rPr>
      <t xml:space="preserve">/ </t>
    </r>
    <r>
      <rPr>
        <sz val="8.5"/>
        <color rgb="FFA6A6A6"/>
        <rFont val="FreeSans"/>
        <family val="2"/>
      </rPr>
      <t xml:space="preserve">หลังเปลี่ยน</t>
    </r>
  </si>
  <si>
    <r>
      <rPr>
        <sz val="8.5"/>
        <color rgb="FF000000"/>
        <rFont val="Tahoma"/>
        <family val="0"/>
        <charset val="1"/>
      </rPr>
      <t xml:space="preserve">Kliplok </t>
    </r>
    <r>
      <rPr>
        <sz val="8.5"/>
        <color rgb="FF000000"/>
        <rFont val="FreeSans"/>
        <family val="2"/>
      </rPr>
      <t xml:space="preserve">บนหลังคาเมทัลชีท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หลังคาเมทัลชีท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</si>
  <si>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แน่นทุกจุด ไม่มีรอยเจาะแผ่น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ลองโยก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</si>
  <si>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รูปทุกแถว</t>
    </r>
  </si>
  <si>
    <r>
      <rPr>
        <sz val="8.5"/>
        <color rgb="FF000000"/>
        <rFont val="FreeSans"/>
        <family val="2"/>
      </rPr>
      <t xml:space="preserve">พุกยึดฐานบนหลังคาถัง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</si>
  <si>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Tahoma"/>
        <family val="0"/>
        <charset val="1"/>
      </rPr>
      <t xml:space="preserve">Expansion bolt M12 </t>
    </r>
    <r>
      <rPr>
        <sz val="8.5"/>
        <color rgb="FF000000"/>
        <rFont val="FreeSans"/>
        <family val="2"/>
      </rPr>
      <t xml:space="preserve">ครบ </t>
    </r>
    <r>
      <rPr>
        <sz val="8.5"/>
        <color rgb="FF000000"/>
        <rFont val="Tahoma"/>
        <family val="0"/>
        <charset val="1"/>
      </rPr>
      <t xml:space="preserve">4 </t>
    </r>
    <r>
      <rPr>
        <sz val="8.5"/>
        <color rgb="FF000000"/>
        <rFont val="FreeSans"/>
        <family val="2"/>
      </rPr>
      <t xml:space="preserve">ตัว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ฐาน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ไม่เจาะทะลุ </t>
    </r>
    <r>
      <rPr>
        <sz val="8.5"/>
        <color rgb="FF000000"/>
        <rFont val="Tahoma"/>
        <family val="0"/>
        <charset val="1"/>
      </rPr>
      <t xml:space="preserve">slab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ตรวจความลึกเจาะก่อนใส่พุก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</si>
  <si>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รูปทุกฐานก่อนเท </t>
    </r>
    <r>
      <rPr>
        <sz val="8.5"/>
        <color rgb="FFA6A6A6"/>
        <rFont val="Tahoma"/>
        <family val="0"/>
        <charset val="1"/>
      </rPr>
      <t xml:space="preserve">Topping</t>
    </r>
  </si>
  <si>
    <r>
      <rPr>
        <sz val="8.5"/>
        <color rgb="FF000000"/>
        <rFont val="FreeSans"/>
        <family val="2"/>
      </rPr>
      <t xml:space="preserve">ฐาน </t>
    </r>
    <r>
      <rPr>
        <sz val="8.5"/>
        <color rgb="FF000000"/>
        <rFont val="Tahoma"/>
        <family val="0"/>
        <charset val="1"/>
      </rPr>
      <t xml:space="preserve">Concrete topping
(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</si>
  <si>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Tahoma"/>
        <family val="0"/>
        <charset val="1"/>
      </rPr>
      <t xml:space="preserve">300 × 300 × 150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., </t>
    </r>
    <r>
      <rPr>
        <sz val="8.5"/>
        <color rgb="FF000000"/>
        <rFont val="FreeSans"/>
        <family val="2"/>
      </rPr>
      <t xml:space="preserve">เว้นช่องท่อและฝาถัง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ตลับเมตร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</si>
  <si>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รูปทุกฐาน</t>
    </r>
  </si>
  <si>
    <r>
      <rPr>
        <sz val="8.5"/>
        <color rgb="FF000000"/>
        <rFont val="FreeSans"/>
        <family val="2"/>
      </rPr>
      <t xml:space="preserve">ระยะเสาและความสูงโครง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</si>
  <si>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เสาห่าง </t>
    </r>
    <r>
      <rPr>
        <sz val="8.5"/>
        <color rgb="FF000000"/>
        <rFont val="Tahoma"/>
        <family val="0"/>
        <charset val="1"/>
      </rPr>
      <t xml:space="preserve">2.70 × 2.80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., Front / Back post 2.00 / 1.00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., Bracing </t>
    </r>
    <r>
      <rPr>
        <sz val="8.5"/>
        <color rgb="FF000000"/>
        <rFont val="FreeSans"/>
        <family val="2"/>
      </rPr>
      <t xml:space="preserve">ครบ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ตลับเมตร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</si>
  <si>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บันทึกระยะ</t>
    </r>
  </si>
  <si>
    <r>
      <rPr>
        <sz val="8.5"/>
        <color rgb="FF000000"/>
        <rFont val="Tahoma"/>
        <family val="0"/>
        <charset val="1"/>
      </rPr>
      <t xml:space="preserve">Ground lug / Ground plate </t>
    </r>
    <r>
      <rPr>
        <sz val="8.5"/>
        <color rgb="FF000000"/>
        <rFont val="FreeSans"/>
        <family val="2"/>
      </rPr>
      <t xml:space="preserve">บน </t>
    </r>
    <r>
      <rPr>
        <sz val="8.5"/>
        <color rgb="FF000000"/>
        <rFont val="Tahoma"/>
        <family val="0"/>
        <charset val="1"/>
      </rPr>
      <t xml:space="preserve">Rail
(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</si>
  <si>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ครบตามผังต่อลงดิน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ตรวจด้วยตาตามผัง</t>
    </r>
  </si>
  <si>
    <r>
      <rPr>
        <sz val="8.5"/>
        <color rgb="FF000000"/>
        <rFont val="FreeSans"/>
        <family val="2"/>
      </rPr>
      <t xml:space="preserve">ฐาน </t>
    </r>
    <r>
      <rPr>
        <sz val="8.5"/>
        <color rgb="FF000000"/>
        <rFont val="Tahoma"/>
        <family val="0"/>
        <charset val="1"/>
      </rPr>
      <t xml:space="preserve">Steel support </t>
    </r>
    <r>
      <rPr>
        <sz val="8.5"/>
        <color rgb="FF000000"/>
        <rFont val="FreeSans"/>
        <family val="2"/>
      </rPr>
      <t xml:space="preserve">ก่อนกลบดิน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ถังดินกลบ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</si>
  <si>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ถ่ายรูปทุกต้นก่อนกลบ</t>
    </r>
    <r>
      <rPr>
        <sz val="8.5"/>
        <color rgb="FF000000"/>
        <rFont val="Tahoma"/>
        <family val="0"/>
        <charset val="1"/>
      </rPr>
      <t xml:space="preserve">, Plate 8" × 8" × 6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 + Expansion bolt M12 + </t>
    </r>
    <r>
      <rPr>
        <sz val="8.5"/>
        <color rgb="FF000000"/>
        <rFont val="FreeSans"/>
        <family val="2"/>
      </rPr>
      <t xml:space="preserve">คอนกรีตหุ้ม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</si>
  <si>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รูปทุกต้นก่อนกลบดิน</t>
    </r>
  </si>
  <si>
    <r>
      <rPr>
        <sz val="8.5"/>
        <color rgb="FF000000"/>
        <rFont val="FreeSans"/>
        <family val="2"/>
      </rPr>
      <t xml:space="preserve">ความยาว </t>
    </r>
    <r>
      <rPr>
        <sz val="8.5"/>
        <color rgb="FF000000"/>
        <rFont val="Tahoma"/>
        <family val="0"/>
        <charset val="1"/>
      </rPr>
      <t xml:space="preserve">Steel support
(</t>
    </r>
    <r>
      <rPr>
        <sz val="8.5"/>
        <color rgb="FF000000"/>
        <rFont val="FreeSans"/>
        <family val="2"/>
      </rPr>
      <t xml:space="preserve">ถังดินกลบ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</si>
  <si>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ตรงกับความลึกดินที่วัดได้ </t>
    </r>
    <r>
      <rPr>
        <sz val="8.5"/>
        <color rgb="FF000000"/>
        <rFont val="Tahoma"/>
        <family val="0"/>
        <charset val="1"/>
      </rPr>
      <t xml:space="preserve">(300–800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.)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วัดความลึกดินทุกต้น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</si>
  <si>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บันทึกความลึก </t>
    </r>
    <r>
      <rPr>
        <sz val="8.5"/>
        <color rgb="FFA6A6A6"/>
        <rFont val="Tahoma"/>
        <family val="0"/>
        <charset val="1"/>
      </rPr>
      <t xml:space="preserve">/ </t>
    </r>
    <r>
      <rPr>
        <sz val="8.5"/>
        <color rgb="FFA6A6A6"/>
        <rFont val="FreeSans"/>
        <family val="2"/>
      </rPr>
      <t xml:space="preserve">ความยาว</t>
    </r>
  </si>
  <si>
    <r>
      <rPr>
        <sz val="8.5"/>
        <color rgb="FF000000"/>
        <rFont val="FreeSans"/>
        <family val="2"/>
      </rPr>
      <t xml:space="preserve">ผิวชุบ </t>
    </r>
    <r>
      <rPr>
        <sz val="8.5"/>
        <color rgb="FF000000"/>
        <rFont val="Tahoma"/>
        <family val="0"/>
        <charset val="1"/>
      </rPr>
      <t xml:space="preserve">HDG
(</t>
    </r>
    <r>
      <rPr>
        <sz val="8.5"/>
        <color rgb="FF000000"/>
        <rFont val="FreeSans"/>
        <family val="2"/>
      </rPr>
      <t xml:space="preserve">ถังดินกลบ</t>
    </r>
    <r>
      <rPr>
        <sz val="8.5"/>
        <color rgb="FF000000"/>
        <rFont val="Tahoma"/>
        <family val="0"/>
        <charset val="1"/>
      </rPr>
      <t xml:space="preserve">, Walkway)</t>
    </r>
  </si>
  <si>
    <r>
      <rPr>
        <sz val="8.5"/>
        <color rgb="FF000000"/>
        <rFont val="FreeSans"/>
        <family val="2"/>
      </rPr>
      <t xml:space="preserve">ไม่ถลอก หรือซ่อมสีกันสนิมแล้ว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</si>
  <si>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</t>
    </r>
  </si>
  <si>
    <r>
      <rPr>
        <sz val="8.5"/>
        <color rgb="FF000000"/>
        <rFont val="FreeSans"/>
        <family val="2"/>
      </rPr>
      <t xml:space="preserve">แนวดิ่งและระดับโครง
</t>
    </r>
    <r>
      <rPr>
        <sz val="8.5"/>
        <color rgb="FF000000"/>
        <rFont val="Tahoma"/>
        <family val="0"/>
        <charset val="1"/>
      </rPr>
      <t xml:space="preserve">(Carport)</t>
    </r>
  </si>
  <si>
    <r>
      <rPr>
        <sz val="8.5"/>
        <color rgb="FF000000"/>
        <rFont val="FreeSans"/>
        <family val="2"/>
      </rPr>
      <t xml:space="preserve">ตามแบบ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ระดับน้ำ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เลเซอร์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</si>
  <si>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บันทึกค่า</t>
    </r>
  </si>
  <si>
    <r>
      <rPr>
        <sz val="8.5"/>
        <color rgb="FF000000"/>
        <rFont val="FreeSans"/>
        <family val="2"/>
      </rPr>
      <t xml:space="preserve">ความสะอาดถังและฝาปิดหลังติดตั้ง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ถังน้ำใส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ถังดินกลบ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</si>
  <si>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ไม่มีเศษวัสดุตกค้าง ฝาปิดสนิท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</si>
  <si>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รูปฝาถังทุกฝา</t>
    </r>
  </si>
  <si>
    <r>
      <rPr>
        <sz val="8.5"/>
        <color rgb="FF000000"/>
        <rFont val="FreeSans"/>
        <family val="2"/>
      </rPr>
      <t xml:space="preserve">บันไดเซอร์วิส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อาคารสูง ≥ </t>
    </r>
    <r>
      <rPr>
        <sz val="8.5"/>
        <color rgb="FF000000"/>
        <rFont val="Tahoma"/>
        <family val="0"/>
        <charset val="1"/>
      </rPr>
      <t xml:space="preserve">3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ไม่มีบันได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</si>
  <si>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ยึดผนัง </t>
    </r>
    <r>
      <rPr>
        <sz val="8.5"/>
        <color rgb="FF000000"/>
        <rFont val="Tahoma"/>
        <family val="0"/>
        <charset val="1"/>
      </rPr>
      <t xml:space="preserve">Stud bolt ø12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ครบ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กรงต่อเนื่องถึงชานบน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ยื่นเหนือหลังคา </t>
    </r>
    <r>
      <rPr>
        <sz val="8.5"/>
        <color rgb="FF000000"/>
        <rFont val="Tahoma"/>
        <family val="0"/>
        <charset val="1"/>
      </rPr>
      <t xml:space="preserve">1.00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., </t>
    </r>
    <r>
      <rPr>
        <sz val="8.5"/>
        <color rgb="FF000000"/>
        <rFont val="FreeSans"/>
        <family val="2"/>
      </rPr>
      <t xml:space="preserve">ทาสีกันสนิม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ลองรับน้ำหนัก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</si>
  <si>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ลงนามก่อนเปิดใช้</t>
    </r>
  </si>
  <si>
    <r>
      <rPr>
        <sz val="8.5"/>
        <color rgb="FF000000"/>
        <rFont val="Tahoma"/>
        <family val="0"/>
        <charset val="1"/>
      </rPr>
      <t xml:space="preserve">Walkway HDG
(</t>
    </r>
    <r>
      <rPr>
        <sz val="8.5"/>
        <color rgb="FF000000"/>
        <rFont val="FreeSans"/>
        <family val="2"/>
      </rPr>
      <t xml:space="preserve">หลังคา 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มี </t>
    </r>
    <r>
      <rPr>
        <sz val="8.5"/>
        <color rgb="FF000000"/>
        <rFont val="Tahoma"/>
        <family val="0"/>
        <charset val="1"/>
      </rPr>
      <t xml:space="preserve">Walkway))</t>
    </r>
  </si>
  <si>
    <r>
      <rPr>
        <sz val="8.5"/>
        <color rgb="FF000000"/>
        <rFont val="FreeSans"/>
        <family val="2"/>
      </rPr>
      <t xml:space="preserve">ยึดครบทุก </t>
    </r>
    <r>
      <rPr>
        <sz val="8.5"/>
        <color rgb="FF000000"/>
        <rFont val="Tahoma"/>
        <family val="0"/>
        <charset val="1"/>
      </rPr>
      <t xml:space="preserve">1.20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ไม่โยก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แถบทางเดินรวม </t>
    </r>
    <r>
      <rPr>
        <sz val="8.5"/>
        <color rgb="FF000000"/>
        <rFont val="Tahoma"/>
        <family val="0"/>
        <charset val="1"/>
      </rPr>
      <t xml:space="preserve">0.90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เดินทดสอบ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</si>
  <si>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รูปตลอดแนว</t>
    </r>
  </si>
  <si>
    <r>
      <rPr>
        <sz val="8.5"/>
        <color rgb="FF000000"/>
        <rFont val="Tahoma"/>
        <family val="0"/>
        <charset val="1"/>
      </rPr>
      <t xml:space="preserve">Lifeline
(</t>
    </r>
    <r>
      <rPr>
        <sz val="8.5"/>
        <color rgb="FF000000"/>
        <rFont val="FreeSans"/>
        <family val="2"/>
      </rPr>
      <t xml:space="preserve">หลังคา 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มี </t>
    </r>
    <r>
      <rPr>
        <sz val="8.5"/>
        <color rgb="FF000000"/>
        <rFont val="Tahoma"/>
        <family val="0"/>
        <charset val="1"/>
      </rPr>
      <t xml:space="preserve">Lifeline))</t>
    </r>
  </si>
  <si>
    <r>
      <rPr>
        <sz val="8.5"/>
        <color rgb="FF000000"/>
        <rFont val="FreeSans"/>
        <family val="2"/>
      </rPr>
      <t xml:space="preserve">สลิง </t>
    </r>
    <r>
      <rPr>
        <sz val="8.5"/>
        <color rgb="FF000000"/>
        <rFont val="Tahoma"/>
        <family val="0"/>
        <charset val="1"/>
      </rPr>
      <t xml:space="preserve">6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ตึง</t>
    </r>
    <r>
      <rPr>
        <sz val="8.5"/>
        <color rgb="FF000000"/>
        <rFont val="Tahoma"/>
        <family val="0"/>
        <charset val="1"/>
      </rPr>
      <t xml:space="preserve">, Wire rope clips </t>
    </r>
    <r>
      <rPr>
        <sz val="8.5"/>
        <color rgb="FF000000"/>
        <rFont val="FreeSans"/>
        <family val="2"/>
      </rPr>
      <t xml:space="preserve">และ </t>
    </r>
    <r>
      <rPr>
        <sz val="8.5"/>
        <color rgb="FF000000"/>
        <rFont val="Tahoma"/>
        <family val="0"/>
        <charset val="1"/>
      </rPr>
      <t xml:space="preserve">Thimbles </t>
    </r>
    <r>
      <rPr>
        <sz val="8.5"/>
        <color rgb="FF000000"/>
        <rFont val="FreeSans"/>
        <family val="2"/>
      </rPr>
      <t xml:space="preserve">ครบทั้งสองปลาย</t>
    </r>
    <r>
      <rPr>
        <sz val="8.5"/>
        <color rgb="FF000000"/>
        <rFont val="Tahoma"/>
        <family val="0"/>
        <charset val="1"/>
      </rPr>
      <t xml:space="preserve">, L-feet </t>
    </r>
    <r>
      <rPr>
        <sz val="8.5"/>
        <color rgb="FF000000"/>
        <rFont val="FreeSans"/>
        <family val="2"/>
      </rPr>
      <t xml:space="preserve">ทุก </t>
    </r>
    <r>
      <rPr>
        <sz val="8.5"/>
        <color rgb="FF000000"/>
        <rFont val="Tahoma"/>
        <family val="0"/>
        <charset val="1"/>
      </rPr>
      <t xml:space="preserve">2.40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ดึงทดสอบ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</si>
  <si>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รูปปลายสลิงทั้งสองข้าง</t>
    </r>
  </si>
  <si>
    <r>
      <rPr>
        <sz val="8.5"/>
        <color rgb="FF000000"/>
        <rFont val="FreeSans"/>
        <family val="2"/>
      </rPr>
      <t xml:space="preserve">ท่อน้ำล้างแผงและก๊อก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หลังคา 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มีท่อน้ำ</t>
    </r>
    <r>
      <rPr>
        <sz val="8.5"/>
        <color rgb="FF000000"/>
        <rFont val="Tahoma"/>
        <family val="0"/>
        <charset val="1"/>
      </rPr>
      <t xml:space="preserve">))</t>
    </r>
  </si>
  <si>
    <r>
      <rPr>
        <sz val="8.5"/>
        <color rgb="FF000000"/>
        <rFont val="FreeSans"/>
        <family val="2"/>
      </rPr>
      <t xml:space="preserve">ท่อ </t>
    </r>
    <r>
      <rPr>
        <sz val="8.5"/>
        <color rgb="FF000000"/>
        <rFont val="Tahoma"/>
        <family val="0"/>
        <charset val="1"/>
      </rPr>
      <t xml:space="preserve">PPR ¾" </t>
    </r>
    <r>
      <rPr>
        <sz val="8.5"/>
        <color rgb="FF000000"/>
        <rFont val="FreeSans"/>
        <family val="2"/>
      </rPr>
      <t xml:space="preserve">ไม่รั่ว ก๊อกใช้งานได้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เปิดน้ำทดสอบ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</si>
  <si>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/ </t>
    </r>
    <r>
      <rPr>
        <sz val="8.5"/>
        <color rgb="FFA6A6A6"/>
        <rFont val="FreeSans"/>
        <family val="2"/>
      </rPr>
      <t xml:space="preserve">วิดีโอ</t>
    </r>
  </si>
  <si>
    <r>
      <rPr>
        <b val="true"/>
        <sz val="9"/>
        <color rgb="FF000000"/>
        <rFont val="FreeSans"/>
        <family val="2"/>
      </rPr>
      <t xml:space="preserve">ผู้ตรวจ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ผรม</t>
    </r>
    <r>
      <rPr>
        <b val="true"/>
        <sz val="9"/>
        <color rgb="FF000000"/>
        <rFont val="Tahoma"/>
        <family val="0"/>
        <charset val="1"/>
      </rPr>
      <t xml:space="preserve">.) </t>
    </r>
    <r>
      <rPr>
        <b val="true"/>
        <sz val="9"/>
        <color rgb="FF000000"/>
        <rFont val="FreeSans"/>
        <family val="2"/>
      </rPr>
      <t xml:space="preserve">ลงนาม </t>
    </r>
    <r>
      <rPr>
        <b val="true"/>
        <sz val="9"/>
        <color rgb="FF000000"/>
        <rFont val="Tahoma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วันที่</t>
    </r>
  </si>
  <si>
    <r>
      <rPr>
        <b val="true"/>
        <sz val="9"/>
        <color rgb="FF000000"/>
        <rFont val="FreeSans"/>
        <family val="2"/>
      </rPr>
      <t xml:space="preserve">วิศวกรควบคุมงาน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วศ</t>
    </r>
    <r>
      <rPr>
        <b val="true"/>
        <sz val="9"/>
        <color rgb="FF000000"/>
        <rFont val="Tahoma"/>
        <family val="0"/>
        <charset val="1"/>
      </rPr>
      <t xml:space="preserve">.) </t>
    </r>
    <r>
      <rPr>
        <b val="true"/>
        <sz val="9"/>
        <color rgb="FF000000"/>
        <rFont val="FreeSans"/>
        <family val="2"/>
      </rPr>
      <t xml:space="preserve">ลงนาม </t>
    </r>
    <r>
      <rPr>
        <b val="true"/>
        <sz val="9"/>
        <color rgb="FF000000"/>
        <rFont val="Tahoma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วันที่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</si>
  <si>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2.2: </t>
    </r>
    <r>
      <rPr>
        <b val="true"/>
        <sz val="13"/>
        <color rgb="FF1F4E78"/>
        <rFont val="FreeSans"/>
        <family val="2"/>
      </rPr>
      <t xml:space="preserve">ระบบ </t>
    </r>
    <r>
      <rPr>
        <b val="true"/>
        <sz val="13"/>
        <color rgb="FF1F4E78"/>
        <rFont val="Tahoma"/>
        <family val="0"/>
        <charset val="1"/>
      </rPr>
      <t xml:space="preserve">DC </t>
    </r>
    <r>
      <rPr>
        <b val="true"/>
        <sz val="13"/>
        <color rgb="FF1F4E78"/>
        <rFont val="FreeSans"/>
        <family val="2"/>
      </rPr>
      <t xml:space="preserve">และตู้ </t>
    </r>
    <r>
      <rPr>
        <b val="true"/>
        <sz val="13"/>
        <color rgb="FF1F4E78"/>
        <rFont val="Tahoma"/>
        <family val="0"/>
        <charset val="1"/>
      </rPr>
      <t xml:space="preserve">DC-DB</t>
    </r>
  </si>
  <si>
    <r>
      <rPr>
        <sz val="9"/>
        <color rgb="FF595959"/>
        <rFont val="Tahoma"/>
        <family val="0"/>
        <charset val="1"/>
      </rPr>
      <t xml:space="preserve">WBS 2.2.5,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</si>
  <si>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รางเดินสาย </t>
    </r>
    <r>
      <rPr>
        <sz val="8.5"/>
        <color rgb="FF000000"/>
        <rFont val="Tahoma"/>
        <family val="0"/>
        <charset val="1"/>
      </rPr>
      <t xml:space="preserve">DC</t>
    </r>
  </si>
  <si>
    <r>
      <rPr>
        <sz val="8.5"/>
        <color rgb="FF000000"/>
        <rFont val="FreeSans"/>
        <family val="2"/>
      </rPr>
      <t xml:space="preserve">ขนาดตามจำนวนสาย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ฝาปิดครบ</t>
    </r>
    <r>
      <rPr>
        <sz val="8.5"/>
        <color rgb="FF000000"/>
        <rFont val="Tahoma"/>
        <family val="0"/>
        <charset val="1"/>
      </rPr>
      <t xml:space="preserve">, Hold-down clamp </t>
    </r>
    <r>
      <rPr>
        <sz val="8.5"/>
        <color rgb="FF000000"/>
        <rFont val="FreeSans"/>
        <family val="2"/>
      </rPr>
      <t xml:space="preserve">ทุกจุด </t>
    </r>
    <r>
      <rPr>
        <sz val="8.5"/>
        <color rgb="FF000000"/>
        <rFont val="Tahoma"/>
        <family val="0"/>
        <charset val="1"/>
      </rPr>
      <t xml:space="preserve">Rail, </t>
    </r>
    <r>
      <rPr>
        <sz val="8.5"/>
        <color rgb="FF000000"/>
        <rFont val="FreeSans"/>
        <family val="2"/>
      </rPr>
      <t xml:space="preserve">ห่างแผง </t>
    </r>
    <r>
      <rPr>
        <sz val="8.5"/>
        <color rgb="FF000000"/>
        <rFont val="Tahoma"/>
        <family val="0"/>
        <charset val="1"/>
      </rPr>
      <t xml:space="preserve">300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</si>
  <si>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FreeSans"/>
        <family val="2"/>
      </rPr>
      <t xml:space="preserve">สาย </t>
    </r>
    <r>
      <rPr>
        <sz val="8.5"/>
        <color rgb="FF000000"/>
        <rFont val="Tahoma"/>
        <family val="0"/>
        <charset val="1"/>
      </rPr>
      <t xml:space="preserve">PV</t>
    </r>
  </si>
  <si>
    <r>
      <rPr>
        <sz val="8.5"/>
        <color rgb="FF000000"/>
        <rFont val="Tahoma"/>
        <family val="0"/>
        <charset val="1"/>
      </rPr>
      <t xml:space="preserve">H1Z2Z2-K 1C × 6 </t>
    </r>
    <r>
      <rPr>
        <sz val="8.5"/>
        <color rgb="FF000000"/>
        <rFont val="FreeSans"/>
        <family val="2"/>
      </rPr>
      <t xml:space="preserve">ตร</t>
    </r>
    <r>
      <rPr>
        <sz val="8.5"/>
        <color rgb="FF000000"/>
        <rFont val="Tahoma"/>
        <family val="0"/>
        <charset val="1"/>
      </rPr>
      <t xml:space="preserve">.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., </t>
    </r>
    <r>
      <rPr>
        <sz val="8.5"/>
        <color rgb="FF000000"/>
        <rFont val="FreeSans"/>
        <family val="2"/>
      </rPr>
      <t xml:space="preserve">สี </t>
    </r>
    <r>
      <rPr>
        <sz val="8.5"/>
        <color rgb="FF000000"/>
        <rFont val="Tahoma"/>
        <family val="0"/>
        <charset val="1"/>
      </rPr>
      <t xml:space="preserve">PV+ </t>
    </r>
    <r>
      <rPr>
        <sz val="8.5"/>
        <color rgb="FF000000"/>
        <rFont val="FreeSans"/>
        <family val="2"/>
      </rPr>
      <t xml:space="preserve">แดง </t>
    </r>
    <r>
      <rPr>
        <sz val="8.5"/>
        <color rgb="FF000000"/>
        <rFont val="Tahoma"/>
        <family val="0"/>
        <charset val="1"/>
      </rPr>
      <t xml:space="preserve">/ PV− </t>
    </r>
    <r>
      <rPr>
        <sz val="8.5"/>
        <color rgb="FF000000"/>
        <rFont val="FreeSans"/>
        <family val="2"/>
      </rPr>
      <t xml:space="preserve">ดำ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ดิน เขียว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ตรวจฉลากสาย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</si>
  <si>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รูปฉลากสาย</t>
    </r>
  </si>
  <si>
    <r>
      <rPr>
        <sz val="8.5"/>
        <color rgb="FF000000"/>
        <rFont val="FreeSans"/>
        <family val="2"/>
      </rPr>
      <t xml:space="preserve">ขั้วต่อ </t>
    </r>
    <r>
      <rPr>
        <sz val="8.5"/>
        <color rgb="FF000000"/>
        <rFont val="Tahoma"/>
        <family val="0"/>
        <charset val="1"/>
      </rPr>
      <t xml:space="preserve">MC4</t>
    </r>
  </si>
  <si>
    <r>
      <rPr>
        <sz val="8.5"/>
        <color rgb="FF000000"/>
        <rFont val="FreeSans"/>
        <family val="2"/>
      </rPr>
      <t xml:space="preserve">เข้าล็อกสนิท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ตัวผู้</t>
    </r>
    <r>
      <rPr>
        <sz val="8.5"/>
        <color rgb="FF000000"/>
        <rFont val="Tahoma"/>
        <family val="0"/>
        <charset val="1"/>
      </rPr>
      <t xml:space="preserve">-</t>
    </r>
    <r>
      <rPr>
        <sz val="8.5"/>
        <color rgb="FF000000"/>
        <rFont val="FreeSans"/>
        <family val="2"/>
      </rPr>
      <t xml:space="preserve">ตัวเมียยี่ห้อและรุ่นเดียวกัน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ดึงทดสอบ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</si>
  <si>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รูปสุ่ม</t>
    </r>
  </si>
  <si>
    <r>
      <rPr>
        <sz val="8.5"/>
        <color rgb="FF000000"/>
        <rFont val="FreeSans"/>
        <family val="2"/>
      </rPr>
      <t xml:space="preserve">ครบทุกเส้นตาม </t>
    </r>
    <r>
      <rPr>
        <sz val="8.5"/>
        <color rgb="FF000000"/>
        <rFont val="Tahoma"/>
        <family val="0"/>
        <charset val="1"/>
      </rPr>
      <t xml:space="preserve">String map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</si>
  <si>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Tahoma"/>
        <family val="0"/>
        <charset val="1"/>
      </rPr>
      <t xml:space="preserve">DC fuse </t>
    </r>
    <r>
      <rPr>
        <sz val="8.5"/>
        <color rgb="FF000000"/>
        <rFont val="FreeSans"/>
        <family val="2"/>
      </rPr>
      <t xml:space="preserve">ในตู้ </t>
    </r>
    <r>
      <rPr>
        <sz val="8.5"/>
        <color rgb="FF000000"/>
        <rFont val="Tahoma"/>
        <family val="0"/>
        <charset val="1"/>
      </rPr>
      <t xml:space="preserve">DC-DB</t>
    </r>
  </si>
  <si>
    <r>
      <rPr>
        <sz val="8.5"/>
        <color rgb="FF000000"/>
        <rFont val="Tahoma"/>
        <family val="0"/>
        <charset val="1"/>
      </rPr>
      <t xml:space="preserve">25 A 1,000 Vdc </t>
    </r>
    <r>
      <rPr>
        <sz val="8.5"/>
        <color rgb="FF000000"/>
        <rFont val="FreeSans"/>
        <family val="2"/>
      </rPr>
      <t xml:space="preserve">ครบทั้งขั้ว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และ − ทุกสตริง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</si>
  <si>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รูปในตู้</t>
    </r>
  </si>
  <si>
    <r>
      <rPr>
        <sz val="8.5"/>
        <color rgb="FF000000"/>
        <rFont val="Tahoma"/>
        <family val="0"/>
        <charset val="1"/>
      </rPr>
      <t xml:space="preserve">DC SPD </t>
    </r>
    <r>
      <rPr>
        <sz val="8.5"/>
        <color rgb="FF000000"/>
        <rFont val="FreeSans"/>
        <family val="2"/>
      </rPr>
      <t xml:space="preserve">และสายดิน </t>
    </r>
    <r>
      <rPr>
        <sz val="8.5"/>
        <color rgb="FF000000"/>
        <rFont val="Tahoma"/>
        <family val="0"/>
        <charset val="1"/>
      </rPr>
      <t xml:space="preserve">SPD</t>
    </r>
  </si>
  <si>
    <r>
      <rPr>
        <sz val="8.5"/>
        <color rgb="FF000000"/>
        <rFont val="FreeSans"/>
        <family val="2"/>
      </rPr>
      <t xml:space="preserve">อาคารมีล่อฟ้า </t>
    </r>
    <r>
      <rPr>
        <sz val="8.5"/>
        <color rgb="FF000000"/>
        <rFont val="Tahoma"/>
        <family val="0"/>
        <charset val="1"/>
      </rPr>
      <t xml:space="preserve">T1/T2, </t>
    </r>
    <r>
      <rPr>
        <sz val="8.5"/>
        <color rgb="FF000000"/>
        <rFont val="FreeSans"/>
        <family val="2"/>
      </rPr>
      <t xml:space="preserve">ไม่มี </t>
    </r>
    <r>
      <rPr>
        <sz val="8.5"/>
        <color rgb="FF000000"/>
        <rFont val="Tahoma"/>
        <family val="0"/>
        <charset val="1"/>
      </rPr>
      <t xml:space="preserve">T2; </t>
    </r>
    <r>
      <rPr>
        <sz val="8.5"/>
        <color rgb="FF000000"/>
        <rFont val="FreeSans"/>
        <family val="2"/>
      </rPr>
      <t xml:space="preserve">สายดิน </t>
    </r>
    <r>
      <rPr>
        <sz val="8.5"/>
        <color rgb="FF000000"/>
        <rFont val="Tahoma"/>
        <family val="0"/>
        <charset val="1"/>
      </rPr>
      <t xml:space="preserve">Class II ≥ 6, Class I ≥ 16 </t>
    </r>
    <r>
      <rPr>
        <sz val="8.5"/>
        <color rgb="FF000000"/>
        <rFont val="FreeSans"/>
        <family val="2"/>
      </rPr>
      <t xml:space="preserve">ตร</t>
    </r>
    <r>
      <rPr>
        <sz val="8.5"/>
        <color rgb="FF000000"/>
        <rFont val="Tahoma"/>
        <family val="0"/>
        <charset val="1"/>
      </rPr>
      <t xml:space="preserve">.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ตรวจรุ่นและขนาดสาย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</si>
  <si>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รูปฉลาก </t>
    </r>
    <r>
      <rPr>
        <sz val="8.5"/>
        <color rgb="FFA6A6A6"/>
        <rFont val="Tahoma"/>
        <family val="0"/>
        <charset val="1"/>
      </rPr>
      <t xml:space="preserve">SPD</t>
    </r>
  </si>
  <si>
    <r>
      <rPr>
        <sz val="8.5"/>
        <color rgb="FF000000"/>
        <rFont val="FreeSans"/>
        <family val="2"/>
      </rPr>
      <t xml:space="preserve">ตู้ที่อยู่นอกอาคาร
</t>
    </r>
    <r>
      <rPr>
        <sz val="8.5"/>
        <color rgb="FF000000"/>
        <rFont val="Tahoma"/>
        <family val="0"/>
        <charset val="1"/>
      </rPr>
      <t xml:space="preserve">(</t>
    </r>
    <r>
      <rPr>
        <sz val="8.5"/>
        <color rgb="FF000000"/>
        <rFont val="FreeSans"/>
        <family val="2"/>
      </rPr>
      <t xml:space="preserve">ตู้นอกอาคาร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</si>
  <si>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Tahoma"/>
        <family val="0"/>
        <charset val="1"/>
      </rPr>
      <t xml:space="preserve">IP65, </t>
    </r>
    <r>
      <rPr>
        <sz val="8.5"/>
        <color rgb="FF000000"/>
        <rFont val="FreeSans"/>
        <family val="2"/>
      </rPr>
      <t xml:space="preserve">เคเบิลแกลนด์ซีลครบ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ตรวจฉลากตู้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</si>
  <si>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รูปฉลาก</t>
    </r>
  </si>
  <si>
    <r>
      <rPr>
        <sz val="8.5"/>
        <color rgb="FF000000"/>
        <rFont val="Tahoma"/>
        <family val="0"/>
        <charset val="1"/>
      </rPr>
      <t xml:space="preserve">Bonding </t>
    </r>
    <r>
      <rPr>
        <sz val="8.5"/>
        <color rgb="FF000000"/>
        <rFont val="FreeSans"/>
        <family val="2"/>
      </rPr>
      <t xml:space="preserve">โครงแผงลงดิน</t>
    </r>
  </si>
  <si>
    <r>
      <rPr>
        <sz val="8.5"/>
        <color rgb="FF000000"/>
        <rFont val="FreeSans"/>
        <family val="2"/>
      </rPr>
      <t xml:space="preserve">ต่อเนื่องทุกแถว </t>
    </r>
    <r>
      <rPr>
        <sz val="8.5"/>
        <color rgb="FF000000"/>
        <rFont val="Tahoma"/>
        <family val="0"/>
        <charset val="1"/>
      </rPr>
      <t xml:space="preserve">(Continuity </t>
    </r>
    <r>
      <rPr>
        <sz val="8.5"/>
        <color rgb="FF000000"/>
        <rFont val="FreeSans"/>
        <family val="2"/>
      </rPr>
      <t xml:space="preserve">ผ่าน</t>
    </r>
    <r>
      <rPr>
        <sz val="8.5"/>
        <color rgb="FF000000"/>
        <rFont val="Tahoma"/>
        <family val="0"/>
        <charset val="1"/>
      </rPr>
      <t xml:space="preserve">)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มัลติมิเตอร์ </t>
    </r>
    <r>
      <rPr>
        <sz val="8.5"/>
        <color rgb="FF000000"/>
        <rFont val="Tahoma"/>
        <family val="0"/>
        <charset val="1"/>
      </rPr>
      <t xml:space="preserve">/ Low-ohm meter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</si>
  <si>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บันทึกค่า </t>
    </r>
    <r>
      <rPr>
        <sz val="8.5"/>
        <color rgb="FFA6A6A6"/>
        <rFont val="Tahoma"/>
        <family val="0"/>
        <charset val="1"/>
      </rPr>
      <t xml:space="preserve">Ω</t>
    </r>
  </si>
  <si>
    <r>
      <rPr>
        <sz val="8.5"/>
        <color rgb="FF000000"/>
        <rFont val="Tahoma"/>
        <family val="0"/>
        <charset val="1"/>
      </rPr>
      <t xml:space="preserve">Polarity </t>
    </r>
    <r>
      <rPr>
        <sz val="8.5"/>
        <color rgb="FF000000"/>
        <rFont val="FreeSans"/>
        <family val="2"/>
      </rPr>
      <t xml:space="preserve">ก่อนต่อเข้าตู้</t>
    </r>
  </si>
  <si>
    <r>
      <rPr>
        <sz val="8.5"/>
        <color rgb="FF000000"/>
        <rFont val="FreeSans"/>
        <family val="2"/>
      </rPr>
      <t xml:space="preserve">ถูกขั้วทุกสตริง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มัลติมิเตอร์ </t>
    </r>
    <r>
      <rPr>
        <sz val="8.5"/>
        <color rgb="FF000000"/>
        <rFont val="Tahoma"/>
        <family val="0"/>
        <charset val="1"/>
      </rPr>
      <t xml:space="preserve">CAT III 1000 V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</si>
  <si>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บันทึกในแอป </t>
    </r>
    <r>
      <rPr>
        <sz val="8.5"/>
        <color rgb="FFA6A6A6"/>
        <rFont val="Tahoma"/>
        <family val="0"/>
        <charset val="1"/>
      </rPr>
      <t xml:space="preserve">IEC </t>
    </r>
    <r>
      <rPr>
        <sz val="8.5"/>
        <color rgb="FFA6A6A6"/>
        <rFont val="FreeSans"/>
        <family val="2"/>
      </rPr>
      <t xml:space="preserve">ขั้น </t>
    </r>
    <r>
      <rPr>
        <sz val="8.5"/>
        <color rgb="FFA6A6A6"/>
        <rFont val="Tahoma"/>
        <family val="0"/>
        <charset val="1"/>
      </rPr>
      <t xml:space="preserve">2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</si>
  <si>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2.3: </t>
    </r>
    <r>
      <rPr>
        <b val="true"/>
        <sz val="13"/>
        <color rgb="FF1F4E78"/>
        <rFont val="FreeSans"/>
        <family val="2"/>
      </rPr>
      <t xml:space="preserve">แผงและ </t>
    </r>
    <r>
      <rPr>
        <b val="true"/>
        <sz val="13"/>
        <color rgb="FF1F4E78"/>
        <rFont val="Tahoma"/>
        <family val="0"/>
        <charset val="1"/>
      </rPr>
      <t xml:space="preserve">String</t>
    </r>
  </si>
  <si>
    <r>
      <rPr>
        <sz val="9"/>
        <color rgb="FF595959"/>
        <rFont val="Tahoma"/>
        <family val="0"/>
        <charset val="1"/>
      </rPr>
      <t xml:space="preserve">WBS 2.3.5,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</si>
  <si>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ไม่แตก ร้าว หรือมีรอยขีด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ฉลากครบ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ตรวจด้วยตาทุกแผง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</si>
  <si>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รูปมุมสูง</t>
    </r>
  </si>
  <si>
    <r>
      <rPr>
        <sz val="8.5"/>
        <color rgb="FF000000"/>
        <rFont val="Tahoma"/>
        <family val="0"/>
        <charset val="1"/>
      </rPr>
      <t xml:space="preserve">Clamp </t>
    </r>
    <r>
      <rPr>
        <sz val="8.5"/>
        <color rgb="FF000000"/>
        <rFont val="FreeSans"/>
        <family val="2"/>
      </rPr>
      <t xml:space="preserve">และระยะแผง</t>
    </r>
  </si>
  <si>
    <r>
      <rPr>
        <sz val="8.5"/>
        <color rgb="FF000000"/>
        <rFont val="Tahoma"/>
        <family val="0"/>
        <charset val="1"/>
      </rPr>
      <t xml:space="preserve">End / Mid clamp </t>
    </r>
    <r>
      <rPr>
        <sz val="8.5"/>
        <color rgb="FF000000"/>
        <rFont val="FreeSans"/>
        <family val="2"/>
      </rPr>
      <t xml:space="preserve">ตามแรงบิดผู้ผลิต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ช่องห่างแผง </t>
    </r>
    <r>
      <rPr>
        <sz val="8.5"/>
        <color rgb="FF000000"/>
        <rFont val="Tahoma"/>
        <family val="0"/>
        <charset val="1"/>
      </rPr>
      <t xml:space="preserve">20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., </t>
    </r>
    <r>
      <rPr>
        <sz val="8.5"/>
        <color rgb="FF000000"/>
        <rFont val="FreeSans"/>
        <family val="2"/>
      </rPr>
      <t xml:space="preserve">ปลาย </t>
    </r>
    <r>
      <rPr>
        <sz val="8.5"/>
        <color rgb="FF000000"/>
        <rFont val="Tahoma"/>
        <family val="0"/>
        <charset val="1"/>
      </rPr>
      <t xml:space="preserve">Rail </t>
    </r>
    <r>
      <rPr>
        <sz val="8.5"/>
        <color rgb="FF000000"/>
        <rFont val="FreeSans"/>
        <family val="2"/>
      </rPr>
      <t xml:space="preserve">ยื่น </t>
    </r>
    <r>
      <rPr>
        <sz val="8.5"/>
        <color rgb="FF000000"/>
        <rFont val="Tahoma"/>
        <family val="0"/>
        <charset val="1"/>
      </rPr>
      <t xml:space="preserve">70 </t>
    </r>
    <r>
      <rPr>
        <sz val="8.5"/>
        <color rgb="FF000000"/>
        <rFont val="FreeSans"/>
        <family val="2"/>
      </rPr>
      <t xml:space="preserve">มม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ประแจทอร์ก สุ่ม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ตลับเมตร</t>
    </r>
  </si>
  <si>
    <r>
      <rPr>
        <sz val="8.5"/>
        <color rgb="FF000000"/>
        <rFont val="Tahoma"/>
        <family val="0"/>
        <charset val="1"/>
      </rPr>
      <t xml:space="preserve">String </t>
    </r>
    <r>
      <rPr>
        <sz val="8.5"/>
        <color rgb="FF000000"/>
        <rFont val="FreeSans"/>
        <family val="2"/>
      </rPr>
      <t xml:space="preserve">ตาม </t>
    </r>
    <r>
      <rPr>
        <sz val="8.5"/>
        <color rgb="FF000000"/>
        <rFont val="Tahoma"/>
        <family val="0"/>
        <charset val="1"/>
      </rPr>
      <t xml:space="preserve">String map</t>
    </r>
  </si>
  <si>
    <r>
      <rPr>
        <sz val="8.5"/>
        <color rgb="FF000000"/>
        <rFont val="FreeSans"/>
        <family val="2"/>
      </rPr>
      <t xml:space="preserve">จำนวนแผง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สตริงตามแบบ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นับเทียบแบบ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</si>
  <si>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String map </t>
    </r>
    <r>
      <rPr>
        <sz val="8.5"/>
        <color rgb="FFA6A6A6"/>
        <rFont val="FreeSans"/>
        <family val="2"/>
      </rPr>
      <t xml:space="preserve">ที่ลงนาม</t>
    </r>
  </si>
  <si>
    <r>
      <rPr>
        <sz val="8.5"/>
        <color rgb="FF000000"/>
        <rFont val="FreeSans"/>
        <family val="2"/>
      </rPr>
      <t xml:space="preserve">ยึดด้วยคลิป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เคเบิลไทกัน </t>
    </r>
    <r>
      <rPr>
        <sz val="8.5"/>
        <color rgb="FF000000"/>
        <rFont val="Tahoma"/>
        <family val="0"/>
        <charset val="1"/>
      </rPr>
      <t xml:space="preserve">UV </t>
    </r>
    <r>
      <rPr>
        <sz val="8.5"/>
        <color rgb="FF000000"/>
        <rFont val="FreeSans"/>
        <family val="2"/>
      </rPr>
      <t xml:space="preserve">ไม่ห้อยแตะหลังคา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</si>
  <si>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Tahoma"/>
        <family val="0"/>
        <charset val="1"/>
      </rPr>
      <t xml:space="preserve">S/N </t>
    </r>
    <r>
      <rPr>
        <sz val="8.5"/>
        <color rgb="FF000000"/>
        <rFont val="FreeSans"/>
        <family val="2"/>
      </rPr>
      <t xml:space="preserve">แผงและภาพมุมสูง</t>
    </r>
  </si>
  <si>
    <r>
      <rPr>
        <sz val="8.5"/>
        <color rgb="FF000000"/>
        <rFont val="Tahoma"/>
        <family val="0"/>
        <charset val="1"/>
      </rPr>
      <t xml:space="preserve">S/N </t>
    </r>
    <r>
      <rPr>
        <sz val="8.5"/>
        <color rgb="FF000000"/>
        <rFont val="FreeSans"/>
        <family val="2"/>
      </rPr>
      <t xml:space="preserve">ครบทุกแผง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ภาพมุมสูงเห็นทุกแถว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สแกน </t>
    </r>
    <r>
      <rPr>
        <sz val="8.5"/>
        <color rgb="FF000000"/>
        <rFont val="Tahoma"/>
        <family val="0"/>
        <charset val="1"/>
      </rPr>
      <t xml:space="preserve">S/N, </t>
    </r>
    <r>
      <rPr>
        <sz val="8.5"/>
        <color rgb="FF000000"/>
        <rFont val="FreeSans"/>
        <family val="2"/>
      </rPr>
      <t xml:space="preserve">โดรน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</si>
  <si>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ไฟล์ </t>
    </r>
    <r>
      <rPr>
        <sz val="8.5"/>
        <color rgb="FFA6A6A6"/>
        <rFont val="Tahoma"/>
        <family val="0"/>
        <charset val="1"/>
      </rPr>
      <t xml:space="preserve">S/N + </t>
    </r>
    <r>
      <rPr>
        <sz val="8.5"/>
        <color rgb="FFA6A6A6"/>
        <rFont val="FreeSans"/>
        <family val="2"/>
      </rPr>
      <t xml:space="preserve">ภาพ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</si>
  <si>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2.4: </t>
    </r>
    <r>
      <rPr>
        <b val="true"/>
        <sz val="13"/>
        <color rgb="FF1F4E78"/>
        <rFont val="FreeSans"/>
        <family val="2"/>
      </rPr>
      <t xml:space="preserve">ตู้ </t>
    </r>
    <r>
      <rPr>
        <b val="true"/>
        <sz val="13"/>
        <color rgb="FF1F4E78"/>
        <rFont val="Tahoma"/>
        <family val="0"/>
        <charset val="1"/>
      </rPr>
      <t xml:space="preserve">FTS-DB (Firefighter safety switch)</t>
    </r>
  </si>
  <si>
    <r>
      <rPr>
        <sz val="9"/>
        <color rgb="FF595959"/>
        <rFont val="Tahoma"/>
        <family val="0"/>
        <charset val="1"/>
      </rPr>
      <t xml:space="preserve">WBS 2.4.2, 3.1.4,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</si>
  <si>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จำนวน </t>
    </r>
    <r>
      <rPr>
        <sz val="8.5"/>
        <color rgb="FF000000"/>
        <rFont val="Tahoma"/>
        <family val="0"/>
        <charset val="1"/>
      </rPr>
      <t xml:space="preserve">FTS</t>
    </r>
  </si>
  <si>
    <r>
      <rPr>
        <sz val="8.5"/>
        <color rgb="FF000000"/>
        <rFont val="FreeSans"/>
        <family val="2"/>
      </rPr>
      <t xml:space="preserve">สตริง </t>
    </r>
    <r>
      <rPr>
        <sz val="8.5"/>
        <color rgb="FF000000"/>
        <rFont val="Tahoma"/>
        <family val="0"/>
        <charset val="1"/>
      </rPr>
      <t xml:space="preserve">÷ 4 (</t>
    </r>
    <r>
      <rPr>
        <sz val="8.5"/>
        <color rgb="FF000000"/>
        <rFont val="FreeSans"/>
        <family val="2"/>
      </rPr>
      <t xml:space="preserve">ปัดขึ้น</t>
    </r>
    <r>
      <rPr>
        <sz val="8.5"/>
        <color rgb="FF000000"/>
        <rFont val="Tahoma"/>
        <family val="0"/>
        <charset val="1"/>
      </rPr>
      <t xml:space="preserve">), </t>
    </r>
    <r>
      <rPr>
        <sz val="8.5"/>
        <color rgb="FF000000"/>
        <rFont val="FreeSans"/>
        <family val="2"/>
      </rPr>
      <t xml:space="preserve">ขนาดตู้ตามจำนวน </t>
    </r>
    <r>
      <rPr>
        <sz val="8.5"/>
        <color rgb="FF000000"/>
        <rFont val="Tahoma"/>
        <family val="0"/>
        <charset val="1"/>
      </rPr>
      <t xml:space="preserve">FTS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นับเทียบแบบ</t>
    </r>
  </si>
  <si>
    <r>
      <rPr>
        <sz val="8.5"/>
        <color rgb="FF000000"/>
        <rFont val="Tahoma"/>
        <family val="0"/>
        <charset val="1"/>
      </rPr>
      <t xml:space="preserve">E-Stop </t>
    </r>
    <r>
      <rPr>
        <sz val="8.5"/>
        <color rgb="FF000000"/>
        <rFont val="FreeSans"/>
        <family val="2"/>
      </rPr>
      <t xml:space="preserve">และป้ายเตือน</t>
    </r>
  </si>
  <si>
    <r>
      <rPr>
        <sz val="8.5"/>
        <color rgb="FF000000"/>
        <rFont val="FreeSans"/>
        <family val="2"/>
      </rPr>
      <t xml:space="preserve">เข้าถึงได้ ป้ายเตือนครบ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</si>
  <si>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FreeSans"/>
        <family val="2"/>
      </rPr>
      <t xml:space="preserve">ทดสอบตัดวงจร </t>
    </r>
    <r>
      <rPr>
        <sz val="8.5"/>
        <color rgb="FF000000"/>
        <rFont val="Tahoma"/>
        <family val="0"/>
        <charset val="1"/>
      </rPr>
      <t xml:space="preserve">FTS</t>
    </r>
  </si>
  <si>
    <r>
      <rPr>
        <sz val="8.5"/>
        <color rgb="FF000000"/>
        <rFont val="FreeSans"/>
        <family val="2"/>
      </rPr>
      <t xml:space="preserve">กด </t>
    </r>
    <r>
      <rPr>
        <sz val="8.5"/>
        <color rgb="FF000000"/>
        <rFont val="Tahoma"/>
        <family val="0"/>
        <charset val="1"/>
      </rPr>
      <t xml:space="preserve">E-Stop </t>
    </r>
    <r>
      <rPr>
        <sz val="8.5"/>
        <color rgb="FF000000"/>
        <rFont val="FreeSans"/>
        <family val="2"/>
      </rPr>
      <t xml:space="preserve">แล้ว </t>
    </r>
    <r>
      <rPr>
        <sz val="8.5"/>
        <color rgb="FF000000"/>
        <rFont val="Tahoma"/>
        <family val="0"/>
        <charset val="1"/>
      </rPr>
      <t xml:space="preserve">DC </t>
    </r>
    <r>
      <rPr>
        <sz val="8.5"/>
        <color rgb="FF000000"/>
        <rFont val="FreeSans"/>
        <family val="2"/>
      </rPr>
      <t xml:space="preserve">ถูกตัดตามที่ผู้ผลิตกำหนด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มัลติมิเตอร์ วัดก่อน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หลังกด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</si>
  <si>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บันทึกค่า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วิดีโอ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</si>
  <si>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2.5: Inverter station </t>
    </r>
    <r>
      <rPr>
        <b val="true"/>
        <sz val="13"/>
        <color rgb="FF1F4E78"/>
        <rFont val="FreeSans"/>
        <family val="2"/>
      </rPr>
      <t xml:space="preserve">และ </t>
    </r>
    <r>
      <rPr>
        <b val="true"/>
        <sz val="13"/>
        <color rgb="FF1F4E78"/>
        <rFont val="Tahoma"/>
        <family val="0"/>
        <charset val="1"/>
      </rPr>
      <t xml:space="preserve">Inverter</t>
    </r>
  </si>
  <si>
    <r>
      <rPr>
        <sz val="9"/>
        <color rgb="FF595959"/>
        <rFont val="Tahoma"/>
        <family val="0"/>
        <charset val="1"/>
      </rPr>
      <t xml:space="preserve">WBS 2.5.4,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ตามรูปแบบ </t>
    </r>
    <r>
      <rPr>
        <sz val="9"/>
        <color rgb="FF595959"/>
        <rFont val="Tahoma"/>
        <family val="0"/>
        <charset val="1"/>
      </rPr>
      <t xml:space="preserve">Inverter station,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</si>
  <si>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โรงเรือน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ที่ตั้ง </t>
    </r>
    <r>
      <rPr>
        <sz val="8.5"/>
        <color rgb="FF000000"/>
        <rFont val="Tahoma"/>
        <family val="0"/>
        <charset val="1"/>
      </rPr>
      <t xml:space="preserve">Inverter
(</t>
    </r>
    <r>
      <rPr>
        <sz val="8.5"/>
        <color rgb="FF000000"/>
        <rFont val="FreeSans"/>
        <family val="2"/>
      </rPr>
      <t xml:space="preserve">ตามรูปแบบ </t>
    </r>
    <r>
      <rPr>
        <sz val="8.5"/>
        <color rgb="FF000000"/>
        <rFont val="Tahoma"/>
        <family val="0"/>
        <charset val="1"/>
      </rPr>
      <t xml:space="preserve">Inverter station)</t>
    </r>
  </si>
  <si>
    <r>
      <rPr>
        <sz val="8.5"/>
        <color rgb="FF000000"/>
        <rFont val="FreeSans"/>
        <family val="2"/>
      </rPr>
      <t xml:space="preserve">แนวดิ่งและระดับโครงตามแบบ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กันสนิม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หลังคาไม่รั่ว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ระดับน้ำ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</si>
  <si>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FreeSans"/>
        <family val="2"/>
      </rPr>
      <t xml:space="preserve">ระยะเว้นรอบ </t>
    </r>
    <r>
      <rPr>
        <sz val="8.5"/>
        <color rgb="FF000000"/>
        <rFont val="Tahoma"/>
        <family val="0"/>
        <charset val="1"/>
      </rPr>
      <t xml:space="preserve">Inverter</t>
    </r>
  </si>
  <si>
    <r>
      <rPr>
        <sz val="8.5"/>
        <color rgb="FF000000"/>
        <rFont val="FreeSans"/>
        <family val="2"/>
      </rPr>
      <t xml:space="preserve">ตามคู่มือผู้ผลิต อากาศถ่ายเท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ตลับเมตร</t>
    </r>
  </si>
  <si>
    <r>
      <rPr>
        <sz val="8.5"/>
        <color rgb="FF000000"/>
        <rFont val="Tahoma"/>
        <family val="0"/>
        <charset val="1"/>
      </rPr>
      <t xml:space="preserve">Inverter </t>
    </r>
    <r>
      <rPr>
        <sz val="8.5"/>
        <color rgb="FF000000"/>
        <rFont val="FreeSans"/>
        <family val="2"/>
      </rPr>
      <t xml:space="preserve">บน </t>
    </r>
    <r>
      <rPr>
        <sz val="8.5"/>
        <color rgb="FF000000"/>
        <rFont val="Tahoma"/>
        <family val="0"/>
        <charset val="1"/>
      </rPr>
      <t xml:space="preserve">Rack</t>
    </r>
  </si>
  <si>
    <r>
      <rPr>
        <sz val="8.5"/>
        <color rgb="FF000000"/>
        <rFont val="FreeSans"/>
        <family val="2"/>
      </rPr>
      <t xml:space="preserve">ยึดแน่น</t>
    </r>
    <r>
      <rPr>
        <sz val="8.5"/>
        <color rgb="FF000000"/>
        <rFont val="Tahoma"/>
        <family val="0"/>
        <charset val="1"/>
      </rPr>
      <t xml:space="preserve">, S/N </t>
    </r>
    <r>
      <rPr>
        <sz val="8.5"/>
        <color rgb="FF000000"/>
        <rFont val="FreeSans"/>
        <family val="2"/>
      </rPr>
      <t xml:space="preserve">บันทึก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</si>
  <si>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S/N</t>
    </r>
  </si>
  <si>
    <r>
      <rPr>
        <sz val="8.5"/>
        <color rgb="FF000000"/>
        <rFont val="Tahoma"/>
        <family val="0"/>
        <charset val="1"/>
      </rPr>
      <t xml:space="preserve">Tray </t>
    </r>
    <r>
      <rPr>
        <sz val="8.5"/>
        <color rgb="FF000000"/>
        <rFont val="FreeSans"/>
        <family val="2"/>
      </rPr>
      <t xml:space="preserve">มีฝาครบ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ช่องเจาะอุดกันไฟ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กันสัตว์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</si>
  <si>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sz val="8.5"/>
        <color rgb="FF000000"/>
        <rFont val="FreeSans"/>
        <family val="2"/>
      </rPr>
      <t xml:space="preserve">แรงขันขั้วสาย </t>
    </r>
    <r>
      <rPr>
        <sz val="8.5"/>
        <color rgb="FF000000"/>
        <rFont val="Tahoma"/>
        <family val="0"/>
        <charset val="1"/>
      </rPr>
      <t xml:space="preserve">AC / DC </t>
    </r>
    <r>
      <rPr>
        <sz val="8.5"/>
        <color rgb="FF000000"/>
        <rFont val="FreeSans"/>
        <family val="2"/>
      </rPr>
      <t xml:space="preserve">ที่ </t>
    </r>
    <r>
      <rPr>
        <sz val="8.5"/>
        <color rgb="FF000000"/>
        <rFont val="Tahoma"/>
        <family val="0"/>
        <charset val="1"/>
      </rPr>
      <t xml:space="preserve">Inverter</t>
    </r>
  </si>
  <si>
    <r>
      <rPr>
        <sz val="8.5"/>
        <color rgb="FF000000"/>
        <rFont val="FreeSans"/>
        <family val="2"/>
      </rPr>
      <t xml:space="preserve">ตามคู่มือผู้ผลิต และมาร์คสี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ประแจทอร์ก</t>
    </r>
  </si>
  <si>
    <r>
      <rPr>
        <sz val="8.5"/>
        <color rgb="FF000000"/>
        <rFont val="FreeSans"/>
        <family val="2"/>
      </rPr>
      <t xml:space="preserve">ค่าตั้ง </t>
    </r>
    <r>
      <rPr>
        <sz val="8.5"/>
        <color rgb="FF000000"/>
        <rFont val="Tahoma"/>
        <family val="0"/>
        <charset val="1"/>
      </rPr>
      <t xml:space="preserve">Grid code / Protection</t>
    </r>
  </si>
  <si>
    <r>
      <rPr>
        <sz val="8.5"/>
        <color rgb="FF000000"/>
        <rFont val="FreeSans"/>
        <family val="2"/>
      </rPr>
      <t xml:space="preserve">ตรงกับค่าตั้งที่อนุมัติ </t>
    </r>
    <r>
      <rPr>
        <sz val="8.5"/>
        <color rgb="FF000000"/>
        <rFont val="Tahoma"/>
        <family val="0"/>
        <charset val="1"/>
      </rPr>
      <t xml:space="preserve">(1.2.3)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อ่านจากหน้าจอ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แอปผู้ผลิต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</si>
  <si>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ภาพหน้าจอค่าตั้ง</t>
    </r>
  </si>
  <si>
    <r>
      <rPr>
        <sz val="8.5"/>
        <color rgb="FF000000"/>
        <rFont val="FreeSans"/>
        <family val="2"/>
      </rPr>
      <t xml:space="preserve">ไฟส่องสว่างและเต้ารับ
</t>
    </r>
    <r>
      <rPr>
        <sz val="8.5"/>
        <color rgb="FF000000"/>
        <rFont val="Tahoma"/>
        <family val="0"/>
        <charset val="1"/>
      </rPr>
      <t xml:space="preserve">(Inverter station </t>
    </r>
    <r>
      <rPr>
        <sz val="8.5"/>
        <color rgb="FF000000"/>
        <rFont val="FreeSans"/>
        <family val="2"/>
      </rPr>
      <t xml:space="preserve">สร้างใหม่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</si>
  <si>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000000"/>
        <rFont val="FreeSans"/>
        <family val="2"/>
      </rPr>
      <t xml:space="preserve">ใช้งานได้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ทดสอบเปิด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</si>
  <si>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2.6: </t>
    </r>
    <r>
      <rPr>
        <b val="true"/>
        <sz val="13"/>
        <color rgb="FF1F4E78"/>
        <rFont val="FreeSans"/>
        <family val="2"/>
      </rPr>
      <t xml:space="preserve">ระบบ </t>
    </r>
    <r>
      <rPr>
        <b val="true"/>
        <sz val="13"/>
        <color rgb="FF1F4E78"/>
        <rFont val="Tahoma"/>
        <family val="0"/>
        <charset val="1"/>
      </rPr>
      <t xml:space="preserve">AC </t>
    </r>
    <r>
      <rPr>
        <b val="true"/>
        <sz val="13"/>
        <color rgb="FF1F4E78"/>
        <rFont val="FreeSans"/>
        <family val="2"/>
      </rPr>
      <t xml:space="preserve">และระบบดิน</t>
    </r>
  </si>
  <si>
    <r>
      <rPr>
        <sz val="9"/>
        <color rgb="FF595959"/>
        <rFont val="Tahoma"/>
        <family val="0"/>
        <charset val="1"/>
      </rPr>
      <t xml:space="preserve">WBS 2.6.5,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</si>
  <si>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แนวสาย </t>
    </r>
    <r>
      <rPr>
        <sz val="8.5"/>
        <color rgb="FF000000"/>
        <rFont val="Tahoma"/>
        <family val="0"/>
        <charset val="1"/>
      </rPr>
      <t xml:space="preserve">AC </t>
    </r>
    <r>
      <rPr>
        <sz val="8.5"/>
        <color rgb="FF000000"/>
        <rFont val="FreeSans"/>
        <family val="2"/>
      </rPr>
      <t xml:space="preserve">และขนาดสาย</t>
    </r>
  </si>
  <si>
    <r>
      <rPr>
        <sz val="8.5"/>
        <color rgb="FF000000"/>
        <rFont val="FreeSans"/>
        <family val="2"/>
      </rPr>
      <t xml:space="preserve">ตามแบบและรายการคำนวณ </t>
    </r>
    <r>
      <rPr>
        <sz val="8.5"/>
        <color rgb="FF000000"/>
        <rFont val="Tahoma"/>
        <family val="0"/>
        <charset val="1"/>
      </rPr>
      <t xml:space="preserve">(1.2.2)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ตรวจฉลากสาย</t>
    </r>
  </si>
  <si>
    <r>
      <rPr>
        <sz val="8.5"/>
        <color rgb="FF000000"/>
        <rFont val="Tahoma"/>
        <family val="0"/>
        <charset val="1"/>
      </rPr>
      <t xml:space="preserve">Breaker / Busbar </t>
    </r>
    <r>
      <rPr>
        <sz val="8.5"/>
        <color rgb="FF000000"/>
        <rFont val="FreeSans"/>
        <family val="2"/>
      </rPr>
      <t xml:space="preserve">จุดเชื่อม</t>
    </r>
  </si>
  <si>
    <r>
      <rPr>
        <sz val="8.5"/>
        <color rgb="FF000000"/>
        <rFont val="FreeSans"/>
        <family val="2"/>
      </rPr>
      <t xml:space="preserve">ขนาดตามแบบ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แรงขันขั้วตามผู้ผลิต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ทำในวันดับไฟพร้อม </t>
    </r>
    <r>
      <rPr>
        <sz val="8.5"/>
        <color rgb="FF000000"/>
        <rFont val="Tahoma"/>
        <family val="0"/>
        <charset val="1"/>
      </rPr>
      <t xml:space="preserve">LOTO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ประแจทอร์ก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</si>
  <si>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บันทึก </t>
    </r>
    <r>
      <rPr>
        <sz val="8.5"/>
        <color rgb="FFA6A6A6"/>
        <rFont val="Tahoma"/>
        <family val="0"/>
        <charset val="1"/>
      </rPr>
      <t xml:space="preserve">LOTO</t>
    </r>
  </si>
  <si>
    <r>
      <rPr>
        <sz val="8.5"/>
        <color rgb="FF000000"/>
        <rFont val="Tahoma"/>
        <family val="0"/>
        <charset val="1"/>
      </rPr>
      <t xml:space="preserve">≤ 5 Ω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เครื่องวัดดิน </t>
    </r>
    <r>
      <rPr>
        <sz val="8.5"/>
        <color rgb="FF000000"/>
        <rFont val="Tahoma"/>
        <family val="0"/>
        <charset val="1"/>
      </rPr>
      <t xml:space="preserve">(3 </t>
    </r>
    <r>
      <rPr>
        <sz val="8.5"/>
        <color rgb="FF000000"/>
        <rFont val="FreeSans"/>
        <family val="2"/>
      </rPr>
      <t xml:space="preserve">จุด</t>
    </r>
    <r>
      <rPr>
        <sz val="8.5"/>
        <color rgb="FF000000"/>
        <rFont val="Tahoma"/>
        <family val="0"/>
        <charset val="1"/>
      </rPr>
      <t xml:space="preserve">)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</si>
  <si>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บันทึกค่า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รูปหน้าจอ</t>
    </r>
  </si>
  <si>
    <r>
      <rPr>
        <sz val="8.5"/>
        <color rgb="FF000000"/>
        <rFont val="FreeSans"/>
        <family val="2"/>
      </rPr>
      <t xml:space="preserve">ความต้านทานฉนวนสาย </t>
    </r>
    <r>
      <rPr>
        <sz val="8.5"/>
        <color rgb="FF000000"/>
        <rFont val="Tahoma"/>
        <family val="0"/>
        <charset val="1"/>
      </rPr>
      <t xml:space="preserve">AC</t>
    </r>
  </si>
  <si>
    <r>
      <rPr>
        <sz val="8.5"/>
        <color rgb="FF000000"/>
        <rFont val="Tahoma"/>
        <family val="0"/>
        <charset val="1"/>
      </rPr>
      <t xml:space="preserve">≥ 1 MΩ </t>
    </r>
    <r>
      <rPr>
        <sz val="8.5"/>
        <color rgb="FF000000"/>
        <rFont val="FreeSans"/>
        <family val="2"/>
      </rPr>
      <t xml:space="preserve">ที่ </t>
    </r>
    <r>
      <rPr>
        <sz val="8.5"/>
        <color rgb="FF000000"/>
        <rFont val="Tahoma"/>
        <family val="0"/>
        <charset val="1"/>
      </rPr>
      <t xml:space="preserve">500 Vdc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Insulation tester</t>
    </r>
  </si>
  <si>
    <r>
      <rPr>
        <sz val="8.5"/>
        <color rgb="FF000000"/>
        <rFont val="FreeSans"/>
        <family val="2"/>
      </rPr>
      <t xml:space="preserve">ถูกต้อง
วิธี</t>
    </r>
    <r>
      <rPr>
        <sz val="8.5"/>
        <color rgb="FF000000"/>
        <rFont val="Tahoma"/>
        <family val="0"/>
        <charset val="1"/>
      </rPr>
      <t xml:space="preserve">: Phase rotation meter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</si>
  <si>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บันทึกผล</t>
    </r>
  </si>
  <si>
    <r>
      <rPr>
        <sz val="8.5"/>
        <color rgb="FF000000"/>
        <rFont val="FreeSans"/>
        <family val="2"/>
      </rPr>
      <t xml:space="preserve">หลักดินที่เสา </t>
    </r>
    <r>
      <rPr>
        <sz val="8.5"/>
        <color rgb="FF000000"/>
        <rFont val="Tahoma"/>
        <family val="0"/>
        <charset val="1"/>
      </rPr>
      <t xml:space="preserve">22 kV
(</t>
    </r>
    <r>
      <rPr>
        <sz val="8.5"/>
        <color rgb="FF000000"/>
        <rFont val="FreeSans"/>
        <family val="2"/>
      </rPr>
      <t xml:space="preserve">กันย้อน </t>
    </r>
    <r>
      <rPr>
        <sz val="8.5"/>
        <color rgb="FF000000"/>
        <rFont val="Tahoma"/>
        <family val="0"/>
        <charset val="1"/>
      </rPr>
      <t xml:space="preserve">HV)</t>
    </r>
  </si>
  <si>
    <r>
      <rPr>
        <sz val="8.5"/>
        <color rgb="FF000000"/>
        <rFont val="FreeSans"/>
        <family val="2"/>
      </rPr>
      <t xml:space="preserve">หลักดิน </t>
    </r>
    <r>
      <rPr>
        <sz val="8.5"/>
        <color rgb="FF000000"/>
        <rFont val="Tahoma"/>
        <family val="0"/>
        <charset val="1"/>
      </rPr>
      <t xml:space="preserve">HV </t>
    </r>
    <r>
      <rPr>
        <sz val="8.5"/>
        <color rgb="FF000000"/>
        <rFont val="FreeSans"/>
        <family val="2"/>
      </rPr>
      <t xml:space="preserve">ห่างเสา </t>
    </r>
    <r>
      <rPr>
        <sz val="8.5"/>
        <color rgb="FF000000"/>
        <rFont val="Tahoma"/>
        <family val="0"/>
        <charset val="1"/>
      </rPr>
      <t xml:space="preserve">2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., LV &gt; 5 </t>
    </r>
    <r>
      <rPr>
        <sz val="8.5"/>
        <color rgb="FF000000"/>
        <rFont val="FreeSans"/>
        <family val="2"/>
      </rPr>
      <t xml:space="preserve">ม</t>
    </r>
    <r>
      <rPr>
        <sz val="8.5"/>
        <color rgb="FF000000"/>
        <rFont val="Tahoma"/>
        <family val="0"/>
        <charset val="1"/>
      </rPr>
      <t xml:space="preserve">., </t>
    </r>
    <r>
      <rPr>
        <sz val="8.5"/>
        <color rgb="FF000000"/>
        <rFont val="FreeSans"/>
        <family val="2"/>
      </rPr>
      <t xml:space="preserve">ดิน </t>
    </r>
    <r>
      <rPr>
        <sz val="8.5"/>
        <color rgb="FF000000"/>
        <rFont val="Tahoma"/>
        <family val="0"/>
        <charset val="1"/>
      </rPr>
      <t xml:space="preserve">Surge / DOF </t>
    </r>
    <r>
      <rPr>
        <sz val="8.5"/>
        <color rgb="FF000000"/>
        <rFont val="FreeSans"/>
        <family val="2"/>
      </rPr>
      <t xml:space="preserve">แยกจาก </t>
    </r>
    <r>
      <rPr>
        <sz val="8.5"/>
        <color rgb="FF000000"/>
        <rFont val="Tahoma"/>
        <family val="0"/>
        <charset val="1"/>
      </rPr>
      <t xml:space="preserve">CT / VT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ตลับเมตร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</si>
  <si>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2.7: </t>
    </r>
    <r>
      <rPr>
        <b val="true"/>
        <sz val="13"/>
        <color rgb="FF1F4E78"/>
        <rFont val="FreeSans"/>
        <family val="2"/>
      </rPr>
      <t xml:space="preserve">ตู้ </t>
    </r>
    <r>
      <rPr>
        <b val="true"/>
        <sz val="13"/>
        <color rgb="FF1F4E78"/>
        <rFont val="Tahoma"/>
        <family val="0"/>
        <charset val="1"/>
      </rPr>
      <t xml:space="preserve">AC-DB </t>
    </r>
    <r>
      <rPr>
        <b val="true"/>
        <sz val="13"/>
        <color rgb="FF1F4E78"/>
        <rFont val="FreeSans"/>
        <family val="2"/>
      </rPr>
      <t xml:space="preserve">และ </t>
    </r>
    <r>
      <rPr>
        <b val="true"/>
        <sz val="13"/>
        <color rgb="FF1F4E78"/>
        <rFont val="Tahoma"/>
        <family val="0"/>
        <charset val="1"/>
      </rPr>
      <t xml:space="preserve">METER-DB</t>
    </r>
  </si>
  <si>
    <r>
      <rPr>
        <sz val="9"/>
        <color rgb="FF595959"/>
        <rFont val="Tahoma"/>
        <family val="0"/>
        <charset val="1"/>
      </rPr>
      <t xml:space="preserve">WBS 2.7.3,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</si>
  <si>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อุปกรณ์ตู้ </t>
    </r>
    <r>
      <rPr>
        <sz val="8.5"/>
        <color rgb="FF000000"/>
        <rFont val="Tahoma"/>
        <family val="0"/>
        <charset val="1"/>
      </rPr>
      <t xml:space="preserve">AC-DB</t>
    </r>
  </si>
  <si>
    <r>
      <rPr>
        <sz val="8.5"/>
        <color rgb="FF000000"/>
        <rFont val="Tahoma"/>
        <family val="0"/>
        <charset val="1"/>
      </rPr>
      <t xml:space="preserve">MCCB, ELR, SPD, DPM </t>
    </r>
    <r>
      <rPr>
        <sz val="8.5"/>
        <color rgb="FF000000"/>
        <rFont val="FreeSans"/>
        <family val="2"/>
      </rPr>
      <t xml:space="preserve">รุ่นและขนาดตามแบบ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ตรวจฉลาก</t>
    </r>
  </si>
  <si>
    <r>
      <rPr>
        <sz val="8.5"/>
        <color rgb="FF000000"/>
        <rFont val="FreeSans"/>
        <family val="2"/>
      </rPr>
      <t xml:space="preserve">การต่อ </t>
    </r>
    <r>
      <rPr>
        <sz val="8.5"/>
        <color rgb="FF000000"/>
        <rFont val="Tahoma"/>
        <family val="0"/>
        <charset val="1"/>
      </rPr>
      <t xml:space="preserve">CT / VT </t>
    </r>
    <r>
      <rPr>
        <sz val="8.5"/>
        <color rgb="FF000000"/>
        <rFont val="FreeSans"/>
        <family val="2"/>
      </rPr>
      <t xml:space="preserve">ของ </t>
    </r>
    <r>
      <rPr>
        <sz val="8.5"/>
        <color rgb="FF000000"/>
        <rFont val="Tahoma"/>
        <family val="0"/>
        <charset val="1"/>
      </rPr>
      <t xml:space="preserve">Revenue meter</t>
    </r>
  </si>
  <si>
    <r>
      <rPr>
        <sz val="8.5"/>
        <color rgb="FF000000"/>
        <rFont val="Tahoma"/>
        <family val="0"/>
        <charset val="1"/>
      </rPr>
      <t xml:space="preserve">CT IN / OUT </t>
    </r>
    <r>
      <rPr>
        <sz val="8.5"/>
        <color rgb="FF000000"/>
        <rFont val="FreeSans"/>
        <family val="2"/>
      </rPr>
      <t xml:space="preserve">และ </t>
    </r>
    <r>
      <rPr>
        <sz val="8.5"/>
        <color rgb="FF000000"/>
        <rFont val="Tahoma"/>
        <family val="0"/>
        <charset val="1"/>
      </rPr>
      <t xml:space="preserve">VT </t>
    </r>
    <r>
      <rPr>
        <sz val="8.5"/>
        <color rgb="FF000000"/>
        <rFont val="FreeSans"/>
        <family val="2"/>
      </rPr>
      <t xml:space="preserve">ตามตาราง</t>
    </r>
    <r>
      <rPr>
        <sz val="8.5"/>
        <color rgb="FF000000"/>
        <rFont val="Tahoma"/>
        <family val="0"/>
        <charset val="1"/>
      </rPr>
      <t xml:space="preserve">, CT class 0.5S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ตรวจตามตาราง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</si>
  <si>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รูปขั้วต่อ</t>
    </r>
  </si>
  <si>
    <r>
      <rPr>
        <sz val="8.5"/>
        <color rgb="FF000000"/>
        <rFont val="Tahoma"/>
        <family val="0"/>
        <charset val="1"/>
      </rPr>
      <t xml:space="preserve">Revenue meter </t>
    </r>
    <r>
      <rPr>
        <sz val="8.5"/>
        <color rgb="FF000000"/>
        <rFont val="FreeSans"/>
        <family val="2"/>
      </rPr>
      <t xml:space="preserve">และ </t>
    </r>
    <r>
      <rPr>
        <sz val="8.5"/>
        <color rgb="FF000000"/>
        <rFont val="Tahoma"/>
        <family val="0"/>
        <charset val="1"/>
      </rPr>
      <t xml:space="preserve">VPN</t>
    </r>
  </si>
  <si>
    <r>
      <rPr>
        <sz val="8.5"/>
        <color rgb="FF000000"/>
        <rFont val="Tahoma"/>
        <family val="0"/>
        <charset val="1"/>
      </rPr>
      <t xml:space="preserve">CEWE Prometer 100 </t>
    </r>
    <r>
      <rPr>
        <sz val="8.5"/>
        <color rgb="FF000000"/>
        <rFont val="FreeSans"/>
        <family val="2"/>
      </rPr>
      <t xml:space="preserve">ตั้งค่าแล้ว ส่งข้อมูลผ่าน </t>
    </r>
    <r>
      <rPr>
        <sz val="8.5"/>
        <color rgb="FF000000"/>
        <rFont val="Tahoma"/>
        <family val="0"/>
        <charset val="1"/>
      </rPr>
      <t xml:space="preserve">VPN </t>
    </r>
    <r>
      <rPr>
        <sz val="8.5"/>
        <color rgb="FF000000"/>
        <rFont val="FreeSans"/>
        <family val="2"/>
      </rPr>
      <t xml:space="preserve">ได้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ทดสอบส่งข้อมูล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</si>
  <si>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ภาพหน้าจอ</t>
    </r>
  </si>
  <si>
    <r>
      <rPr>
        <sz val="8.5"/>
        <color rgb="FF000000"/>
        <rFont val="FreeSans"/>
        <family val="2"/>
      </rPr>
      <t xml:space="preserve">ครบทุกตู้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</si>
  <si>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2.8: </t>
    </r>
    <r>
      <rPr>
        <b val="true"/>
        <sz val="13"/>
        <color rgb="FF1F4E78"/>
        <rFont val="FreeSans"/>
        <family val="2"/>
      </rPr>
      <t xml:space="preserve">กันย้อน </t>
    </r>
    <r>
      <rPr>
        <b val="true"/>
        <sz val="13"/>
        <color rgb="FF1F4E78"/>
        <rFont val="Tahoma"/>
        <family val="0"/>
        <charset val="1"/>
      </rPr>
      <t xml:space="preserve">(Zero export) </t>
    </r>
    <r>
      <rPr>
        <b val="true"/>
        <sz val="13"/>
        <color rgb="FF1F4E78"/>
        <rFont val="FreeSans"/>
        <family val="2"/>
      </rPr>
      <t xml:space="preserve">และสื่อสาร</t>
    </r>
  </si>
  <si>
    <r>
      <rPr>
        <sz val="9"/>
        <color rgb="FF595959"/>
        <rFont val="Tahoma"/>
        <family val="0"/>
        <charset val="1"/>
      </rPr>
      <t xml:space="preserve">WBS 2.8.5,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แยก </t>
    </r>
    <r>
      <rPr>
        <sz val="9"/>
        <color rgb="FF595959"/>
        <rFont val="Tahoma"/>
        <family val="0"/>
        <charset val="1"/>
      </rPr>
      <t xml:space="preserve">HV / LV,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</si>
  <si>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อุปกรณ์บนเสา </t>
    </r>
    <r>
      <rPr>
        <sz val="8.5"/>
        <color rgb="FF000000"/>
        <rFont val="Tahoma"/>
        <family val="0"/>
        <charset val="1"/>
      </rPr>
      <t xml:space="preserve">22 kV
(</t>
    </r>
    <r>
      <rPr>
        <sz val="8.5"/>
        <color rgb="FF000000"/>
        <rFont val="FreeSans"/>
        <family val="2"/>
      </rPr>
      <t xml:space="preserve">กันย้อน </t>
    </r>
    <r>
      <rPr>
        <sz val="8.5"/>
        <color rgb="FF000000"/>
        <rFont val="Tahoma"/>
        <family val="0"/>
        <charset val="1"/>
      </rPr>
      <t xml:space="preserve">HV)</t>
    </r>
  </si>
  <si>
    <r>
      <rPr>
        <sz val="8.5"/>
        <color rgb="FF000000"/>
        <rFont val="Tahoma"/>
        <family val="0"/>
        <charset val="1"/>
      </rPr>
      <t xml:space="preserve">VT 22 kV × 3, CT 20/5 A cl. 0.5 × 3, Drop-out fuse 27 kV, Lightning arrester 21 kV </t>
    </r>
    <r>
      <rPr>
        <sz val="8.5"/>
        <color rgb="FF000000"/>
        <rFont val="FreeSans"/>
        <family val="2"/>
      </rPr>
      <t xml:space="preserve">ตามแบบ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ตรวจฉลาก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</si>
  <si>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ผลทดสอบ </t>
    </r>
    <r>
      <rPr>
        <sz val="8.5"/>
        <color rgb="FFA6A6A6"/>
        <rFont val="Tahoma"/>
        <family val="0"/>
        <charset val="1"/>
      </rPr>
      <t xml:space="preserve">CT / VT </t>
    </r>
    <r>
      <rPr>
        <sz val="8.5"/>
        <color rgb="FFA6A6A6"/>
        <rFont val="FreeSans"/>
        <family val="2"/>
      </rPr>
      <t xml:space="preserve">จาก กฟภ</t>
    </r>
    <r>
      <rPr>
        <sz val="8.5"/>
        <color rgb="FFA6A6A6"/>
        <rFont val="Tahoma"/>
        <family val="0"/>
        <charset val="1"/>
      </rPr>
      <t xml:space="preserve">.</t>
    </r>
  </si>
  <si>
    <r>
      <rPr>
        <sz val="8.5"/>
        <color rgb="FF000000"/>
        <rFont val="FreeSans"/>
        <family val="2"/>
      </rPr>
      <t xml:space="preserve">ขั้ว </t>
    </r>
    <r>
      <rPr>
        <sz val="8.5"/>
        <color rgb="FF000000"/>
        <rFont val="Tahoma"/>
        <family val="0"/>
        <charset val="1"/>
      </rPr>
      <t xml:space="preserve">CT / VT </t>
    </r>
    <r>
      <rPr>
        <sz val="8.5"/>
        <color rgb="FF000000"/>
        <rFont val="FreeSans"/>
        <family val="2"/>
      </rPr>
      <t xml:space="preserve">และ </t>
    </r>
    <r>
      <rPr>
        <sz val="8.5"/>
        <color rgb="FF000000"/>
        <rFont val="Tahoma"/>
        <family val="0"/>
        <charset val="1"/>
      </rPr>
      <t xml:space="preserve">PQM
(</t>
    </r>
    <r>
      <rPr>
        <sz val="8.5"/>
        <color rgb="FF000000"/>
        <rFont val="FreeSans"/>
        <family val="2"/>
      </rPr>
      <t xml:space="preserve">กันย้อน </t>
    </r>
    <r>
      <rPr>
        <sz val="8.5"/>
        <color rgb="FF000000"/>
        <rFont val="Tahoma"/>
        <family val="0"/>
        <charset val="1"/>
      </rPr>
      <t xml:space="preserve">HV)</t>
    </r>
  </si>
  <si>
    <r>
      <rPr>
        <sz val="8.5"/>
        <color rgb="FF000000"/>
        <rFont val="FreeSans"/>
        <family val="2"/>
      </rPr>
      <t xml:space="preserve">ตรงเฟส</t>
    </r>
    <r>
      <rPr>
        <sz val="8.5"/>
        <color rgb="FF000000"/>
        <rFont val="Tahoma"/>
        <family val="0"/>
        <charset val="1"/>
      </rPr>
      <t xml:space="preserve">, PQM </t>
    </r>
    <r>
      <rPr>
        <sz val="8.5"/>
        <color rgb="FF000000"/>
        <rFont val="FreeSans"/>
        <family val="2"/>
      </rPr>
      <t xml:space="preserve">อ่านค่าได้</t>
    </r>
    <r>
      <rPr>
        <sz val="8.5"/>
        <color rgb="FF000000"/>
        <rFont val="Tahoma"/>
        <family val="0"/>
        <charset val="1"/>
      </rPr>
      <t xml:space="preserve">, UPS </t>
    </r>
    <r>
      <rPr>
        <sz val="8.5"/>
        <color rgb="FF000000"/>
        <rFont val="FreeSans"/>
        <family val="2"/>
      </rPr>
      <t xml:space="preserve">ทำงาน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อ่านค่าเทียบมิเตอร์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</si>
  <si>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ภาพหน้าจอ </t>
    </r>
    <r>
      <rPr>
        <sz val="8.5"/>
        <color rgb="FFA6A6A6"/>
        <rFont val="Tahoma"/>
        <family val="0"/>
        <charset val="1"/>
      </rPr>
      <t xml:space="preserve">PQM</t>
    </r>
  </si>
  <si>
    <r>
      <rPr>
        <sz val="8.5"/>
        <color rgb="FF000000"/>
        <rFont val="FreeSans"/>
        <family val="2"/>
      </rPr>
      <t xml:space="preserve">ทิศ </t>
    </r>
    <r>
      <rPr>
        <sz val="8.5"/>
        <color rgb="FF000000"/>
        <rFont val="Tahoma"/>
        <family val="0"/>
        <charset val="1"/>
      </rPr>
      <t xml:space="preserve">CT </t>
    </r>
    <r>
      <rPr>
        <sz val="8.5"/>
        <color rgb="FF000000"/>
        <rFont val="FreeSans"/>
        <family val="2"/>
      </rPr>
      <t xml:space="preserve">กันย้อนฝั่ง </t>
    </r>
    <r>
      <rPr>
        <sz val="8.5"/>
        <color rgb="FF000000"/>
        <rFont val="Tahoma"/>
        <family val="0"/>
        <charset val="1"/>
      </rPr>
      <t xml:space="preserve">LV
(</t>
    </r>
    <r>
      <rPr>
        <sz val="8.5"/>
        <color rgb="FF000000"/>
        <rFont val="FreeSans"/>
        <family val="2"/>
      </rPr>
      <t xml:space="preserve">กันย้อน </t>
    </r>
    <r>
      <rPr>
        <sz val="8.5"/>
        <color rgb="FF000000"/>
        <rFont val="Tahoma"/>
        <family val="0"/>
        <charset val="1"/>
      </rPr>
      <t xml:space="preserve">LV)</t>
    </r>
  </si>
  <si>
    <r>
      <rPr>
        <sz val="8.5"/>
        <color rgb="FF000000"/>
        <rFont val="FreeSans"/>
        <family val="2"/>
      </rPr>
      <t xml:space="preserve">วัดด้านรับไฟจาก กฟภ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ทิศถูก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อ่านค่าทิศกำลังไฟ</t>
    </r>
  </si>
  <si>
    <r>
      <rPr>
        <sz val="8.5"/>
        <color rgb="FF000000"/>
        <rFont val="Tahoma"/>
        <family val="0"/>
        <charset val="1"/>
      </rPr>
      <t xml:space="preserve">Fiber / CAT6 / RS485 </t>
    </r>
    <r>
      <rPr>
        <sz val="8.5"/>
        <color rgb="FF000000"/>
        <rFont val="FreeSans"/>
        <family val="2"/>
      </rPr>
      <t xml:space="preserve">ถึง </t>
    </r>
    <r>
      <rPr>
        <sz val="8.5"/>
        <color rgb="FF000000"/>
        <rFont val="Tahoma"/>
        <family val="0"/>
        <charset val="1"/>
      </rPr>
      <t xml:space="preserve">Inverter station </t>
    </r>
    <r>
      <rPr>
        <sz val="8.5"/>
        <color rgb="FF000000"/>
        <rFont val="FreeSans"/>
        <family val="2"/>
      </rPr>
      <t xml:space="preserve">ทุกตัว อ่านค่าได้ครบ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ทดสอบอ่านค่า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</si>
  <si>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ภาพหน้าจอ </t>
    </r>
    <r>
      <rPr>
        <sz val="8.5"/>
        <color rgb="FFA6A6A6"/>
        <rFont val="Tahoma"/>
        <family val="0"/>
        <charset val="1"/>
      </rPr>
      <t xml:space="preserve">SEM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</si>
  <si>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2.9: Solar Monitoring</t>
    </r>
  </si>
  <si>
    <r>
      <rPr>
        <sz val="9"/>
        <color rgb="FF595959"/>
        <rFont val="Tahoma"/>
        <family val="0"/>
        <charset val="1"/>
      </rPr>
      <t xml:space="preserve">WBS 2.9.2,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</si>
  <si>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FreeSans"/>
        <family val="2"/>
      </rPr>
      <t xml:space="preserve">ส่งข้อมูลถึง </t>
    </r>
    <r>
      <rPr>
        <sz val="8.5"/>
        <color rgb="FF000000"/>
        <rFont val="Tahoma"/>
        <family val="0"/>
        <charset val="1"/>
      </rPr>
      <t xml:space="preserve">Data center </t>
    </r>
    <r>
      <rPr>
        <sz val="8.5"/>
        <color rgb="FF000000"/>
        <rFont val="FreeSans"/>
        <family val="2"/>
      </rPr>
      <t xml:space="preserve">กปภ</t>
    </r>
    <r>
      <rPr>
        <sz val="8.5"/>
        <color rgb="FF000000"/>
        <rFont val="Tahoma"/>
        <family val="0"/>
        <charset val="1"/>
      </rPr>
      <t xml:space="preserve">.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ทดสอบส่งข้อมูล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</si>
  <si>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ภาพหน้าจอระบบ</t>
    </r>
  </si>
  <si>
    <r>
      <rPr>
        <sz val="8.5"/>
        <color rgb="FF000000"/>
        <rFont val="Tahoma"/>
        <family val="0"/>
        <charset val="1"/>
      </rPr>
      <t xml:space="preserve">Irradiance </t>
    </r>
    <r>
      <rPr>
        <sz val="8.5"/>
        <color rgb="FF000000"/>
        <rFont val="FreeSans"/>
        <family val="2"/>
      </rPr>
      <t xml:space="preserve">ระนาบเดียวกับแผง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วัดอุณหภูมิแผงได้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ตรวจด้วยตา </t>
    </r>
    <r>
      <rPr>
        <sz val="8.5"/>
        <color rgb="FF000000"/>
        <rFont val="Tahoma"/>
        <family val="0"/>
        <charset val="1"/>
      </rPr>
      <t xml:space="preserve">+ </t>
    </r>
    <r>
      <rPr>
        <sz val="8.5"/>
        <color rgb="FF000000"/>
        <rFont val="FreeSans"/>
        <family val="2"/>
      </rPr>
      <t xml:space="preserve">อ่านค่า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</si>
  <si>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รูป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ค่า</t>
    </r>
  </si>
  <si>
    <r>
      <rPr>
        <b val="true"/>
        <sz val="13"/>
        <color rgb="FF1F4E78"/>
        <rFont val="FreeSans"/>
        <family val="2"/>
      </rPr>
      <t xml:space="preserve">ใบตรวจ </t>
    </r>
    <r>
      <rPr>
        <b val="true"/>
        <sz val="13"/>
        <color rgb="FF1F4E78"/>
        <rFont val="Tahoma"/>
        <family val="0"/>
        <charset val="1"/>
      </rPr>
      <t xml:space="preserve">ICL </t>
    </r>
    <r>
      <rPr>
        <b val="true"/>
        <sz val="13"/>
        <color rgb="FF1F4E78"/>
        <rFont val="FreeSans"/>
        <family val="2"/>
      </rPr>
      <t xml:space="preserve">หมวด </t>
    </r>
    <r>
      <rPr>
        <b val="true"/>
        <sz val="13"/>
        <color rgb="FF1F4E78"/>
        <rFont val="Tahoma"/>
        <family val="0"/>
        <charset val="1"/>
      </rPr>
      <t xml:space="preserve">3.1: </t>
    </r>
    <r>
      <rPr>
        <b val="true"/>
        <sz val="13"/>
        <color rgb="FF1F4E78"/>
        <rFont val="FreeSans"/>
        <family val="2"/>
      </rPr>
      <t xml:space="preserve">ทดสอบระบบ </t>
    </r>
    <r>
      <rPr>
        <b val="true"/>
        <sz val="13"/>
        <color rgb="FF1F4E78"/>
        <rFont val="Tahoma"/>
        <family val="0"/>
        <charset val="1"/>
      </rPr>
      <t xml:space="preserve">IEC 62446 </t>
    </r>
    <r>
      <rPr>
        <b val="true"/>
        <sz val="13"/>
        <color rgb="FF1F4E78"/>
        <rFont val="FreeSans"/>
        <family val="2"/>
      </rPr>
      <t xml:space="preserve">และ </t>
    </r>
    <r>
      <rPr>
        <b val="true"/>
        <sz val="13"/>
        <color rgb="FF1F4E78"/>
        <rFont val="Tahoma"/>
        <family val="0"/>
        <charset val="1"/>
      </rPr>
      <t xml:space="preserve">Start-up</t>
    </r>
  </si>
  <si>
    <r>
      <rPr>
        <sz val="9"/>
        <color rgb="FF595959"/>
        <rFont val="Tahoma"/>
        <family val="0"/>
        <charset val="1"/>
      </rPr>
      <t xml:space="preserve">WBS 3.1.2–3.1.6, </t>
    </r>
    <r>
      <rPr>
        <sz val="9"/>
        <color rgb="FF595959"/>
        <rFont val="FreeSans"/>
        <family val="2"/>
      </rPr>
      <t xml:space="preserve">ใช้กับ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ทุกสถานี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โครงการ </t>
    </r>
    <r>
      <rPr>
        <sz val="9"/>
        <color rgb="FF595959"/>
        <rFont val="Tahoma"/>
        <family val="0"/>
        <charset val="1"/>
      </rPr>
      <t xml:space="preserve">Solar Rooftop </t>
    </r>
    <r>
      <rPr>
        <sz val="9"/>
        <color rgb="FF595959"/>
        <rFont val="FreeSans"/>
        <family val="2"/>
      </rPr>
      <t xml:space="preserve">กปภ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เฟส </t>
    </r>
    <r>
      <rPr>
        <sz val="9"/>
        <color rgb="FF595959"/>
        <rFont val="Tahoma"/>
        <family val="0"/>
        <charset val="1"/>
      </rPr>
      <t xml:space="preserve">3–4</t>
    </r>
  </si>
  <si>
    <r>
      <rPr>
        <sz val="8.5"/>
        <color rgb="FF000000"/>
        <rFont val="Tahoma"/>
        <family val="0"/>
        <charset val="1"/>
      </rPr>
      <t xml:space="preserve">Walk-down </t>
    </r>
    <r>
      <rPr>
        <sz val="8.5"/>
        <color rgb="FF000000"/>
        <rFont val="FreeSans"/>
        <family val="2"/>
      </rPr>
      <t xml:space="preserve">ลงนาม</t>
    </r>
    <r>
      <rPr>
        <sz val="8.5"/>
        <color rgb="FF000000"/>
        <rFont val="Tahoma"/>
        <family val="0"/>
        <charset val="1"/>
      </rPr>
      <t xml:space="preserve">, Punch list A </t>
    </r>
    <r>
      <rPr>
        <sz val="8.5"/>
        <color rgb="FF000000"/>
        <rFont val="FreeSans"/>
        <family val="2"/>
      </rPr>
      <t xml:space="preserve">ปิดครบ ก่อนจ่ายไฟ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เดินตรวจร่วม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</si>
  <si>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ใบ </t>
    </r>
    <r>
      <rPr>
        <sz val="8.5"/>
        <color rgb="FFA6A6A6"/>
        <rFont val="Tahoma"/>
        <family val="0"/>
        <charset val="1"/>
      </rPr>
      <t xml:space="preserve">Walk-down + Punch list</t>
    </r>
  </si>
  <si>
    <r>
      <rPr>
        <sz val="8.5"/>
        <color rgb="FF000000"/>
        <rFont val="Tahoma"/>
        <family val="0"/>
        <charset val="1"/>
      </rPr>
      <t xml:space="preserve">Continuity </t>
    </r>
    <r>
      <rPr>
        <sz val="8.5"/>
        <color rgb="FF000000"/>
        <rFont val="FreeSans"/>
        <family val="2"/>
      </rPr>
      <t xml:space="preserve">ตัวนำป้องกัน</t>
    </r>
  </si>
  <si>
    <r>
      <rPr>
        <sz val="8.5"/>
        <color rgb="FF000000"/>
        <rFont val="FreeSans"/>
        <family val="2"/>
      </rPr>
      <t xml:space="preserve">ต่อเนื่อง ไม่ขาด
วิธี</t>
    </r>
    <r>
      <rPr>
        <sz val="8.5"/>
        <color rgb="FF000000"/>
        <rFont val="Tahoma"/>
        <family val="0"/>
        <charset val="1"/>
      </rPr>
      <t xml:space="preserve">: Low-ohm meter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</si>
  <si>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แอป </t>
    </r>
    <r>
      <rPr>
        <sz val="8.5"/>
        <color rgb="FFA6A6A6"/>
        <rFont val="Tahoma"/>
        <family val="0"/>
        <charset val="1"/>
      </rPr>
      <t xml:space="preserve">IEC </t>
    </r>
    <r>
      <rPr>
        <sz val="8.5"/>
        <color rgb="FFA6A6A6"/>
        <rFont val="FreeSans"/>
        <family val="2"/>
      </rPr>
      <t xml:space="preserve">ขั้น </t>
    </r>
    <r>
      <rPr>
        <sz val="8.5"/>
        <color rgb="FFA6A6A6"/>
        <rFont val="Tahoma"/>
        <family val="0"/>
        <charset val="1"/>
      </rPr>
      <t xml:space="preserve">2</t>
    </r>
  </si>
  <si>
    <r>
      <rPr>
        <sz val="8.5"/>
        <color rgb="FF000000"/>
        <rFont val="Tahoma"/>
        <family val="0"/>
        <charset val="1"/>
      </rPr>
      <t xml:space="preserve">Insulation resistance </t>
    </r>
    <r>
      <rPr>
        <sz val="8.5"/>
        <color rgb="FF000000"/>
        <rFont val="FreeSans"/>
        <family val="2"/>
      </rPr>
      <t xml:space="preserve">ราย </t>
    </r>
    <r>
      <rPr>
        <sz val="8.5"/>
        <color rgb="FF000000"/>
        <rFont val="Tahoma"/>
        <family val="0"/>
        <charset val="1"/>
      </rPr>
      <t xml:space="preserve">String</t>
    </r>
  </si>
  <si>
    <r>
      <rPr>
        <sz val="8.5"/>
        <color rgb="FF000000"/>
        <rFont val="Tahoma"/>
        <family val="0"/>
        <charset val="1"/>
      </rPr>
      <t xml:space="preserve">min(+E, −E) ≥ 1 MΩ </t>
    </r>
    <r>
      <rPr>
        <sz val="8.5"/>
        <color rgb="FF000000"/>
        <rFont val="FreeSans"/>
        <family val="2"/>
      </rPr>
      <t xml:space="preserve">ที่ </t>
    </r>
    <r>
      <rPr>
        <sz val="8.5"/>
        <color rgb="FF000000"/>
        <rFont val="Tahoma"/>
        <family val="0"/>
        <charset val="1"/>
      </rPr>
      <t xml:space="preserve">1000 V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Insulation tester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</si>
  <si>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แอป </t>
    </r>
    <r>
      <rPr>
        <sz val="8.5"/>
        <color rgb="FFA6A6A6"/>
        <rFont val="Tahoma"/>
        <family val="0"/>
        <charset val="1"/>
      </rPr>
      <t xml:space="preserve">IEC </t>
    </r>
    <r>
      <rPr>
        <sz val="8.5"/>
        <color rgb="FFA6A6A6"/>
        <rFont val="FreeSans"/>
        <family val="2"/>
      </rPr>
      <t xml:space="preserve">ขั้น </t>
    </r>
    <r>
      <rPr>
        <sz val="8.5"/>
        <color rgb="FFA6A6A6"/>
        <rFont val="Tahoma"/>
        <family val="0"/>
        <charset val="1"/>
      </rPr>
      <t xml:space="preserve">2 + </t>
    </r>
    <r>
      <rPr>
        <sz val="8.5"/>
        <color rgb="FFA6A6A6"/>
        <rFont val="FreeSans"/>
        <family val="2"/>
      </rPr>
      <t xml:space="preserve">รูปหน้าจอ</t>
    </r>
  </si>
  <si>
    <r>
      <rPr>
        <sz val="8.5"/>
        <color rgb="FF000000"/>
        <rFont val="Tahoma"/>
        <family val="0"/>
        <charset val="1"/>
      </rPr>
      <t xml:space="preserve">Voc </t>
    </r>
    <r>
      <rPr>
        <sz val="8.5"/>
        <color rgb="FF000000"/>
        <rFont val="FreeSans"/>
        <family val="2"/>
      </rPr>
      <t xml:space="preserve">ราย </t>
    </r>
    <r>
      <rPr>
        <sz val="8.5"/>
        <color rgb="FF000000"/>
        <rFont val="Tahoma"/>
        <family val="0"/>
        <charset val="1"/>
      </rPr>
      <t xml:space="preserve">String</t>
    </r>
  </si>
  <si>
    <r>
      <rPr>
        <sz val="8.5"/>
        <color rgb="FF000000"/>
        <rFont val="FreeSans"/>
        <family val="2"/>
      </rPr>
      <t xml:space="preserve">ต่างจากค่ามัธยฐานของสตริงที่แผงเท่ากัน ≤ </t>
    </r>
    <r>
      <rPr>
        <sz val="8.5"/>
        <color rgb="FF000000"/>
        <rFont val="Tahoma"/>
        <family val="0"/>
        <charset val="1"/>
      </rPr>
      <t xml:space="preserve">5%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มัลติมิเตอร์ </t>
    </r>
    <r>
      <rPr>
        <sz val="8.5"/>
        <color rgb="FF000000"/>
        <rFont val="Tahoma"/>
        <family val="0"/>
        <charset val="1"/>
      </rPr>
      <t xml:space="preserve">CAT III 1000 V</t>
    </r>
  </si>
  <si>
    <r>
      <rPr>
        <sz val="8.5"/>
        <color rgb="FF000000"/>
        <rFont val="Tahoma"/>
        <family val="0"/>
        <charset val="1"/>
      </rPr>
      <t xml:space="preserve">Thermography </t>
    </r>
    <r>
      <rPr>
        <sz val="8.5"/>
        <color rgb="FF000000"/>
        <rFont val="FreeSans"/>
        <family val="2"/>
      </rPr>
      <t xml:space="preserve">แผง</t>
    </r>
  </si>
  <si>
    <r>
      <rPr>
        <sz val="8.5"/>
        <color rgb="FF000000"/>
        <rFont val="FreeSans"/>
        <family val="2"/>
      </rPr>
      <t xml:space="preserve">ครบ </t>
    </r>
    <r>
      <rPr>
        <sz val="8.5"/>
        <color rgb="FF000000"/>
        <rFont val="Tahoma"/>
        <family val="0"/>
        <charset val="1"/>
      </rPr>
      <t xml:space="preserve">100% </t>
    </r>
    <r>
      <rPr>
        <sz val="8.5"/>
        <color rgb="FF000000"/>
        <rFont val="FreeSans"/>
        <family val="2"/>
      </rPr>
      <t xml:space="preserve">ที่แสง ≥ </t>
    </r>
    <r>
      <rPr>
        <sz val="8.5"/>
        <color rgb="FF000000"/>
        <rFont val="Tahoma"/>
        <family val="0"/>
        <charset val="1"/>
      </rPr>
      <t xml:space="preserve">600 W/m², </t>
    </r>
    <r>
      <rPr>
        <sz val="8.5"/>
        <color rgb="FF000000"/>
        <rFont val="FreeSans"/>
        <family val="2"/>
      </rPr>
      <t xml:space="preserve">จุดร้อนผิดปกติแก้ไขตามรายงาน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กล้องถ่ายภาพความร้อน </t>
    </r>
    <r>
      <rPr>
        <sz val="8.5"/>
        <color rgb="FF000000"/>
        <rFont val="Tahoma"/>
        <family val="0"/>
        <charset val="1"/>
      </rPr>
      <t xml:space="preserve">/ </t>
    </r>
    <r>
      <rPr>
        <sz val="8.5"/>
        <color rgb="FF000000"/>
        <rFont val="FreeSans"/>
        <family val="2"/>
      </rPr>
      <t xml:space="preserve">โดรน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</si>
  <si>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รายงาน </t>
    </r>
    <r>
      <rPr>
        <sz val="8.5"/>
        <color rgb="FFA6A6A6"/>
        <rFont val="Tahoma"/>
        <family val="0"/>
        <charset val="1"/>
      </rPr>
      <t xml:space="preserve">Thermography</t>
    </r>
  </si>
  <si>
    <r>
      <rPr>
        <sz val="8.5"/>
        <color rgb="FF000000"/>
        <rFont val="FreeSans"/>
        <family val="2"/>
      </rPr>
      <t xml:space="preserve">ทำงานตามที่ออกแบบ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ทดสอบสั่งการ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</si>
  <si>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บันทึกผล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วิดีโอ</t>
    </r>
  </si>
  <si>
    <r>
      <rPr>
        <sz val="8.5"/>
        <color rgb="FF000000"/>
        <rFont val="Tahoma"/>
        <family val="0"/>
        <charset val="1"/>
      </rPr>
      <t xml:space="preserve">Start-up </t>
    </r>
    <r>
      <rPr>
        <sz val="8.5"/>
        <color rgb="FF000000"/>
        <rFont val="FreeSans"/>
        <family val="2"/>
      </rPr>
      <t xml:space="preserve">และกันย้อน</t>
    </r>
  </si>
  <si>
    <r>
      <rPr>
        <sz val="8.5"/>
        <color rgb="FF000000"/>
        <rFont val="Tahoma"/>
        <family val="0"/>
        <charset val="1"/>
      </rPr>
      <t xml:space="preserve">Inverter </t>
    </r>
    <r>
      <rPr>
        <sz val="8.5"/>
        <color rgb="FF000000"/>
        <rFont val="FreeSans"/>
        <family val="2"/>
      </rPr>
      <t xml:space="preserve">ไม่มี </t>
    </r>
    <r>
      <rPr>
        <sz val="8.5"/>
        <color rgb="FF000000"/>
        <rFont val="Tahoma"/>
        <family val="0"/>
        <charset val="1"/>
      </rPr>
      <t xml:space="preserve">Fault, </t>
    </r>
    <r>
      <rPr>
        <sz val="8.5"/>
        <color rgb="FF000000"/>
        <rFont val="FreeSans"/>
        <family val="2"/>
      </rPr>
      <t xml:space="preserve">ไม่จ่ายไฟย้อนเข้าระบบ กฟภ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ตามค่าตั้งที่อนุมัติ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ทดสอบลดโหลดขณะผลิตไฟ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</si>
  <si>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บันทึกผล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ภาพหน้าจอ</t>
    </r>
  </si>
  <si>
    <r>
      <rPr>
        <sz val="8.5"/>
        <color rgb="FF000000"/>
        <rFont val="FreeSans"/>
        <family val="2"/>
      </rPr>
      <t xml:space="preserve">หยุดจ่ายไฟเมื่อไฟ กฟภ</t>
    </r>
    <r>
      <rPr>
        <sz val="8.5"/>
        <color rgb="FF000000"/>
        <rFont val="Tahoma"/>
        <family val="0"/>
        <charset val="1"/>
      </rPr>
      <t xml:space="preserve">. </t>
    </r>
    <r>
      <rPr>
        <sz val="8.5"/>
        <color rgb="FF000000"/>
        <rFont val="FreeSans"/>
        <family val="2"/>
      </rPr>
      <t xml:space="preserve">ดับ ตามค่าตั้งที่อนุมัติ
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ปลด </t>
    </r>
    <r>
      <rPr>
        <sz val="8.5"/>
        <color rgb="FF000000"/>
        <rFont val="Tahoma"/>
        <family val="0"/>
        <charset val="1"/>
      </rPr>
      <t xml:space="preserve">Breaker </t>
    </r>
    <r>
      <rPr>
        <sz val="8.5"/>
        <color rgb="FF000000"/>
        <rFont val="FreeSans"/>
        <family val="2"/>
      </rPr>
      <t xml:space="preserve">ฝั่ง กฟภ</t>
    </r>
    <r>
      <rPr>
        <sz val="8.5"/>
        <color rgb="FF000000"/>
        <rFont val="Tahoma"/>
        <family val="0"/>
        <charset val="1"/>
      </rPr>
      <t xml:space="preserve">.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</si>
  <si>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บันทึกเวลาตัด </t>
    </r>
    <r>
      <rPr>
        <sz val="8.5"/>
        <color rgb="FFA6A6A6"/>
        <rFont val="Tahoma"/>
        <family val="0"/>
        <charset val="1"/>
      </rPr>
      <t xml:space="preserve">+ </t>
    </r>
    <r>
      <rPr>
        <sz val="8.5"/>
        <color rgb="FFA6A6A6"/>
        <rFont val="FreeSans"/>
        <family val="2"/>
      </rPr>
      <t xml:space="preserve">วิดีโอ</t>
    </r>
  </si>
  <si>
    <r>
      <rPr>
        <sz val="8.5"/>
        <color rgb="FF000000"/>
        <rFont val="Tahoma"/>
        <family val="0"/>
        <charset val="1"/>
      </rPr>
      <t xml:space="preserve">Vmp / Imp </t>
    </r>
    <r>
      <rPr>
        <sz val="8.5"/>
        <color rgb="FF000000"/>
        <rFont val="FreeSans"/>
        <family val="2"/>
      </rPr>
      <t xml:space="preserve">หลังเชื่อม และผลผลิต </t>
    </r>
    <r>
      <rPr>
        <sz val="8.5"/>
        <color rgb="FF000000"/>
        <rFont val="Tahoma"/>
        <family val="0"/>
        <charset val="1"/>
      </rPr>
      <t xml:space="preserve">7 </t>
    </r>
    <r>
      <rPr>
        <sz val="8.5"/>
        <color rgb="FF000000"/>
        <rFont val="FreeSans"/>
        <family val="2"/>
      </rPr>
      <t xml:space="preserve">วัน</t>
    </r>
  </si>
  <si>
    <r>
      <rPr>
        <sz val="8.5"/>
        <color rgb="FF000000"/>
        <rFont val="Tahoma"/>
        <family val="0"/>
        <charset val="1"/>
      </rPr>
      <t xml:space="preserve">Vmp </t>
    </r>
    <r>
      <rPr>
        <sz val="8.5"/>
        <color rgb="FF000000"/>
        <rFont val="FreeSans"/>
        <family val="2"/>
      </rPr>
      <t xml:space="preserve">ต่างจากค่ามัธยฐาน ≤ </t>
    </r>
    <r>
      <rPr>
        <sz val="8.5"/>
        <color rgb="FF000000"/>
        <rFont val="Tahoma"/>
        <family val="0"/>
        <charset val="1"/>
      </rPr>
      <t xml:space="preserve">5%, </t>
    </r>
    <r>
      <rPr>
        <sz val="8.5"/>
        <color rgb="FF000000"/>
        <rFont val="FreeSans"/>
        <family val="2"/>
      </rPr>
      <t xml:space="preserve">มี </t>
    </r>
    <r>
      <rPr>
        <sz val="8.5"/>
        <color rgb="FF000000"/>
        <rFont val="Tahoma"/>
        <family val="0"/>
        <charset val="1"/>
      </rPr>
      <t xml:space="preserve">PR </t>
    </r>
    <r>
      <rPr>
        <sz val="8.5"/>
        <color rgb="FF000000"/>
        <rFont val="FreeSans"/>
        <family val="2"/>
      </rPr>
      <t xml:space="preserve">และ </t>
    </r>
    <r>
      <rPr>
        <sz val="8.5"/>
        <color rgb="FF000000"/>
        <rFont val="Tahoma"/>
        <family val="0"/>
        <charset val="1"/>
      </rPr>
      <t xml:space="preserve">Yf </t>
    </r>
    <r>
      <rPr>
        <sz val="8.5"/>
        <color rgb="FF000000"/>
        <rFont val="FreeSans"/>
        <family val="2"/>
      </rPr>
      <t xml:space="preserve">ครบทุก </t>
    </r>
    <r>
      <rPr>
        <sz val="8.5"/>
        <color rgb="FF000000"/>
        <rFont val="Tahoma"/>
        <family val="0"/>
        <charset val="1"/>
      </rPr>
      <t xml:space="preserve">Inverter
</t>
    </r>
    <r>
      <rPr>
        <sz val="8.5"/>
        <color rgb="FF000000"/>
        <rFont val="FreeSans"/>
        <family val="2"/>
      </rPr>
      <t xml:space="preserve">วิธี</t>
    </r>
    <r>
      <rPr>
        <sz val="8.5"/>
        <color rgb="FF000000"/>
        <rFont val="Tahoma"/>
        <family val="0"/>
        <charset val="1"/>
      </rPr>
      <t xml:space="preserve">: </t>
    </r>
    <r>
      <rPr>
        <sz val="8.5"/>
        <color rgb="FF000000"/>
        <rFont val="FreeSans"/>
        <family val="2"/>
      </rPr>
      <t xml:space="preserve">มัลติมิเตอร์</t>
    </r>
    <r>
      <rPr>
        <sz val="8.5"/>
        <color rgb="FF000000"/>
        <rFont val="Tahoma"/>
        <family val="0"/>
        <charset val="1"/>
      </rPr>
      <t xml:space="preserve">, </t>
    </r>
    <r>
      <rPr>
        <sz val="8.5"/>
        <color rgb="FF000000"/>
        <rFont val="FreeSans"/>
        <family val="2"/>
      </rPr>
      <t xml:space="preserve">แคลมป์มิเตอร์</t>
    </r>
    <r>
      <rPr>
        <sz val="8.5"/>
        <color rgb="FF000000"/>
        <rFont val="Tahoma"/>
        <family val="0"/>
        <charset val="1"/>
      </rPr>
      <t xml:space="preserve">, Weather station</t>
    </r>
  </si>
  <si>
    <r>
      <rPr>
        <sz val="8.5"/>
        <color rgb="FFA6A6A6"/>
        <rFont val="FreeSans"/>
        <family val="2"/>
      </rPr>
      <t xml:space="preserve">แทรกรูป</t>
    </r>
    <r>
      <rPr>
        <sz val="8.5"/>
        <color rgb="FFA6A6A6"/>
        <rFont val="Tahoma"/>
        <family val="0"/>
        <charset val="1"/>
      </rPr>
      <t xml:space="preserve">: </t>
    </r>
    <r>
      <rPr>
        <sz val="8.5"/>
        <color rgb="FFA6A6A6"/>
        <rFont val="FreeSans"/>
        <family val="2"/>
      </rPr>
      <t xml:space="preserve">แอป </t>
    </r>
    <r>
      <rPr>
        <sz val="8.5"/>
        <color rgb="FFA6A6A6"/>
        <rFont val="Tahoma"/>
        <family val="0"/>
        <charset val="1"/>
      </rPr>
      <t xml:space="preserve">IEC </t>
    </r>
    <r>
      <rPr>
        <sz val="8.5"/>
        <color rgb="FFA6A6A6"/>
        <rFont val="FreeSans"/>
        <family val="2"/>
      </rPr>
      <t xml:space="preserve">ขั้น </t>
    </r>
    <r>
      <rPr>
        <sz val="8.5"/>
        <color rgb="FFA6A6A6"/>
        <rFont val="Tahoma"/>
        <family val="0"/>
        <charset val="1"/>
      </rPr>
      <t xml:space="preserve">4–6</t>
    </r>
  </si>
  <si>
    <r>
      <rPr>
        <b val="true"/>
        <sz val="14"/>
        <color rgb="FF1F4E78"/>
        <rFont val="Tahoma"/>
        <family val="0"/>
        <charset val="1"/>
      </rPr>
      <t xml:space="preserve">Milestone </t>
    </r>
    <r>
      <rPr>
        <b val="true"/>
        <sz val="14"/>
        <color rgb="FF1F4E78"/>
        <rFont val="FreeSans"/>
        <family val="2"/>
      </rPr>
      <t xml:space="preserve">โครงการ – ปักหมุดจุดสำคัญ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</si>
  <si>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Tahoma"/>
        <family val="0"/>
        <charset val="1"/>
      </rPr>
      <t xml:space="preserve">Milestone </t>
    </r>
    <r>
      <rPr>
        <i val="true"/>
        <sz val="9"/>
        <color rgb="FF595959"/>
        <rFont val="FreeSans"/>
        <family val="2"/>
      </rPr>
      <t xml:space="preserve">คือจุดตรวจระยะเวลา </t>
    </r>
    <r>
      <rPr>
        <i val="true"/>
        <sz val="9"/>
        <color rgb="FF595959"/>
        <rFont val="Tahoma"/>
        <family val="0"/>
        <charset val="1"/>
      </rPr>
      <t xml:space="preserve">0 </t>
    </r>
    <r>
      <rPr>
        <i val="true"/>
        <sz val="9"/>
        <color rgb="FF595959"/>
        <rFont val="FreeSans"/>
        <family val="2"/>
      </rPr>
      <t xml:space="preserve">วัน ไม่มีงานหรือกำลังคนผูกกับตัวมันเอง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สำเร็จเมื่องาน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</rPr>
      <t xml:space="preserve">ก่อนหน้าเสร็จ</t>
    </r>
    <r>
      <rPr>
        <i val="true"/>
        <sz val="9"/>
        <color rgb="FF595959"/>
        <rFont val="Tahoma"/>
        <family val="0"/>
        <charset val="1"/>
      </rPr>
      <t xml:space="preserve">, Baseline </t>
    </r>
    <r>
      <rPr>
        <i val="true"/>
        <sz val="9"/>
        <color rgb="FF595959"/>
        <rFont val="FreeSans"/>
        <family val="2"/>
      </rPr>
      <t xml:space="preserve">ต่อสถานี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กำหนดรอบ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</rPr>
      <t xml:space="preserve">ระยะที่แช่แข็งไว้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ไม่เปลี่ยนตามแผน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แผน </t>
    </r>
    <r>
      <rPr>
        <i val="true"/>
        <sz val="9"/>
        <color rgb="FF595959"/>
        <rFont val="Tahoma"/>
        <family val="0"/>
        <charset val="1"/>
      </rPr>
      <t xml:space="preserve">= Master Plan </t>
    </r>
    <r>
      <rPr>
        <i val="true"/>
        <sz val="9"/>
        <color rgb="FF595959"/>
        <rFont val="FreeSans"/>
        <family val="2"/>
      </rPr>
      <t xml:space="preserve">ล่าสุด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</si>
  <si>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ที่ควรเสร็จแล้ว</t>
    </r>
  </si>
  <si>
    <t xml:space="preserve">เสร็จแล้ว</t>
  </si>
  <si>
    <t xml:space="preserve">ขาด</t>
  </si>
  <si>
    <t xml:space="preserve">ทำได้ตามที่ควร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</si>
  <si>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ทั้งเฟส</t>
    </r>
    <r>
      <rPr>
        <sz val="9"/>
        <color rgb="FF595959"/>
        <rFont val="Tahoma"/>
        <family val="0"/>
        <charset val="1"/>
      </rPr>
      <t xml:space="preserve">: Baseline → </t>
    </r>
    <r>
      <rPr>
        <sz val="9"/>
        <color rgb="FF595959"/>
        <rFont val="FreeSans"/>
        <family val="2"/>
      </rPr>
      <t xml:space="preserve">แผน</t>
    </r>
  </si>
  <si>
    <r>
      <rPr>
        <sz val="9"/>
        <color rgb="FF595959"/>
        <rFont val="FreeSans"/>
        <family val="2"/>
      </rPr>
      <t xml:space="preserve">ข้อมูลเก่า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</si>
  <si>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t xml:space="preserve">วันที่ทั้งเฟส</t>
  </si>
  <si>
    <r>
      <rPr>
        <b val="true"/>
        <sz val="9"/>
        <color rgb="FFFFFFFF"/>
        <rFont val="FreeSans"/>
        <family val="2"/>
      </rPr>
      <t xml:space="preserve">ตรวจเร็ว ณ วันที่ข้อมูล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นับสถานี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</si>
  <si>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ขาดแยกผู้รับเหมา</t>
  </si>
  <si>
    <r>
      <rPr>
        <b val="true"/>
        <sz val="9"/>
        <color rgb="FFFFFFFF"/>
        <rFont val="FreeSans"/>
        <family val="2"/>
      </rPr>
      <t xml:space="preserve">คาดการณ์จากอัตราจริง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เทียบแผน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</si>
  <si>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Milestone</t>
  </si>
  <si>
    <t xml:space="preserve">สถานีที่ต้องทำ</t>
  </si>
  <si>
    <r>
      <rPr>
        <b val="true"/>
        <sz val="9"/>
        <color rgb="FFFFFFFF"/>
        <rFont val="Tahoma"/>
        <family val="0"/>
        <charset val="1"/>
      </rPr>
      <t xml:space="preserve">Baseline </t>
    </r>
    <r>
      <rPr>
        <b val="true"/>
        <sz val="9"/>
        <color rgb="FFFFFFFF"/>
        <rFont val="FreeSans"/>
        <family val="2"/>
      </rPr>
      <t xml:space="preserve">ครบทุกสถานี</t>
    </r>
  </si>
  <si>
    <t xml:space="preserve">แผนครบทุกสถานี</t>
  </si>
  <si>
    <t xml:space="preserve">เสร็จจริงครบ</t>
  </si>
  <si>
    <r>
      <rPr>
        <b val="true"/>
        <sz val="9"/>
        <color rgb="FFFFFFFF"/>
        <rFont val="FreeSans"/>
        <family val="2"/>
      </rPr>
      <t xml:space="preserve">ควรเสร็จแล้ว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ตาม </t>
    </r>
    <r>
      <rPr>
        <b val="true"/>
        <sz val="9"/>
        <color rgb="FFFFFFFF"/>
        <rFont val="Tahoma"/>
        <family val="0"/>
        <charset val="1"/>
      </rPr>
      <t xml:space="preserve">Baseline)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</si>
  <si>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เสร็จ</t>
    </r>
  </si>
  <si>
    <r>
      <rPr>
        <b val="true"/>
        <sz val="9"/>
        <color rgb="FFFFFFFF"/>
        <rFont val="FreeSans"/>
        <family val="2"/>
      </rPr>
      <t xml:space="preserve">ขาด</t>
    </r>
    <r>
      <rPr>
        <b val="true"/>
        <sz val="9"/>
        <color rgb="FFFFFFFF"/>
        <rFont val="Tahoma"/>
        <family val="0"/>
        <charset val="1"/>
      </rPr>
      <t xml:space="preserve">, </t>
    </r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S</t>
    </r>
  </si>
  <si>
    <r>
      <rPr>
        <b val="true"/>
        <sz val="9"/>
        <color rgb="FFFFFFFF"/>
        <rFont val="FreeSans"/>
        <family val="2"/>
      </rPr>
      <t xml:space="preserve">ขาด</t>
    </r>
    <r>
      <rPr>
        <b val="true"/>
        <sz val="9"/>
        <color rgb="FFFFFFFF"/>
        <rFont val="Tahoma"/>
        <family val="0"/>
        <charset val="1"/>
      </rPr>
      <t xml:space="preserve">, </t>
    </r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C</t>
    </r>
  </si>
  <si>
    <r>
      <rPr>
        <b val="true"/>
        <sz val="9"/>
        <color rgb="FFFFFFFF"/>
        <rFont val="FreeSans"/>
        <family val="2"/>
      </rPr>
      <t xml:space="preserve">ขาด</t>
    </r>
    <r>
      <rPr>
        <b val="true"/>
        <sz val="9"/>
        <color rgb="FFFFFFFF"/>
        <rFont val="Tahoma"/>
        <family val="0"/>
        <charset val="1"/>
      </rPr>
      <t xml:space="preserve">, </t>
    </r>
    <r>
      <rPr>
        <b val="true"/>
        <sz val="9"/>
        <color rgb="FFFFFFFF"/>
        <rFont val="FreeSans"/>
        <family val="2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B</t>
    </r>
  </si>
  <si>
    <r>
      <rPr>
        <b val="true"/>
        <sz val="9"/>
        <color rgb="FFFFFFFF"/>
        <rFont val="FreeSans"/>
        <family val="2"/>
      </rPr>
      <t xml:space="preserve">เสร็จใน </t>
    </r>
    <r>
      <rPr>
        <b val="true"/>
        <sz val="9"/>
        <color rgb="FFFFFFFF"/>
        <rFont val="Tahoma"/>
        <family val="0"/>
        <charset val="1"/>
      </rPr>
      <t xml:space="preserve">4 </t>
    </r>
    <r>
      <rPr>
        <b val="true"/>
        <sz val="9"/>
        <color rgb="FFFFFFFF"/>
        <rFont val="FreeSans"/>
        <family val="2"/>
      </rPr>
      <t xml:space="preserve">สัปดาห์ล่าสุด</t>
    </r>
  </si>
  <si>
    <r>
      <rPr>
        <b val="true"/>
        <sz val="9"/>
        <color rgb="FFFFFFFF"/>
        <rFont val="FreeSans"/>
        <family val="2"/>
      </rPr>
      <t xml:space="preserve">อัตราจริง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</si>
  <si>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คาดครบตามอัตราจริง</t>
  </si>
  <si>
    <r>
      <rPr>
        <b val="true"/>
        <sz val="9"/>
        <color rgb="FFFFFFFF"/>
        <rFont val="FreeSans"/>
        <family val="2"/>
      </rPr>
      <t xml:space="preserve">ต่างจากแผน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</si>
  <si>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ติดตั้งเสร็จ </t>
    </r>
    <r>
      <rPr>
        <b val="true"/>
        <sz val="10"/>
        <rFont val="Tahoma"/>
        <family val="0"/>
        <charset val="1"/>
      </rPr>
      <t xml:space="preserve">/ </t>
    </r>
    <r>
      <rPr>
        <b val="true"/>
        <sz val="10"/>
        <rFont val="FreeSans"/>
        <family val="2"/>
      </rPr>
      <t xml:space="preserve">ดับไฟเชื่อมระบบ</t>
    </r>
  </si>
  <si>
    <t xml:space="preserve">2.10</t>
  </si>
  <si>
    <r>
      <rPr>
        <b val="true"/>
        <sz val="10"/>
        <rFont val="FreeSans"/>
        <family val="2"/>
      </rPr>
      <t xml:space="preserve">ยื่นขนานไฟ </t>
    </r>
    <r>
      <rPr>
        <b val="true"/>
        <sz val="10"/>
        <rFont val="Tahoma"/>
        <family val="0"/>
        <charset val="1"/>
      </rPr>
      <t xml:space="preserve">PPIM</t>
    </r>
  </si>
  <si>
    <t xml:space="preserve">1.7.1</t>
  </si>
  <si>
    <r>
      <rPr>
        <b val="true"/>
        <sz val="10"/>
        <rFont val="FreeSans"/>
        <family val="2"/>
      </rPr>
      <t xml:space="preserve">ยื่น พค</t>
    </r>
    <r>
      <rPr>
        <b val="true"/>
        <sz val="10"/>
        <rFont val="Tahoma"/>
        <family val="0"/>
        <charset val="1"/>
      </rPr>
      <t xml:space="preserve">.2 (</t>
    </r>
    <r>
      <rPr>
        <b val="true"/>
        <sz val="10"/>
        <rFont val="FreeSans"/>
        <family val="2"/>
      </rPr>
      <t xml:space="preserve">สถานี </t>
    </r>
    <r>
      <rPr>
        <b val="true"/>
        <sz val="10"/>
        <rFont val="Tahoma"/>
        <family val="0"/>
        <charset val="1"/>
      </rPr>
      <t xml:space="preserve">&gt; 200 kVA)</t>
    </r>
  </si>
  <si>
    <t xml:space="preserve">1.5</t>
  </si>
  <si>
    <r>
      <rPr>
        <b val="true"/>
        <sz val="10"/>
        <rFont val="FreeSans"/>
        <family val="2"/>
      </rPr>
      <t xml:space="preserve">กฟภ</t>
    </r>
    <r>
      <rPr>
        <b val="true"/>
        <sz val="10"/>
        <rFont val="Tahoma"/>
        <family val="0"/>
        <charset val="1"/>
      </rPr>
      <t xml:space="preserve">. </t>
    </r>
    <r>
      <rPr>
        <b val="true"/>
        <sz val="10"/>
        <rFont val="FreeSans"/>
        <family val="2"/>
      </rPr>
      <t xml:space="preserve">ตรวจรับ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ผู้ว่าจ้าง</t>
    </r>
    <r>
      <rPr>
        <b val="true"/>
        <sz val="10"/>
        <rFont val="Tahoma"/>
        <family val="0"/>
        <charset val="1"/>
      </rPr>
      <t xml:space="preserve">)</t>
    </r>
  </si>
  <si>
    <t xml:space="preserve">3.1.7</t>
  </si>
  <si>
    <r>
      <rPr>
        <b val="true"/>
        <sz val="10"/>
        <rFont val="FreeSans"/>
        <family val="2"/>
      </rPr>
      <t xml:space="preserve">ผ่าน </t>
    </r>
    <r>
      <rPr>
        <b val="true"/>
        <sz val="10"/>
        <rFont val="Tahoma"/>
        <family val="0"/>
        <charset val="1"/>
      </rPr>
      <t xml:space="preserve">IEC 62446</t>
    </r>
  </si>
  <si>
    <t xml:space="preserve">ส่งมอบงวดงาน</t>
  </si>
  <si>
    <t xml:space="preserve">3.2.4</t>
  </si>
  <si>
    <r>
      <rPr>
        <b val="true"/>
        <sz val="10"/>
        <rFont val="FreeSans"/>
        <family val="2"/>
      </rPr>
      <t xml:space="preserve">กฟภ</t>
    </r>
    <r>
      <rPr>
        <b val="true"/>
        <sz val="10"/>
        <rFont val="Tahoma"/>
        <family val="0"/>
        <charset val="1"/>
      </rPr>
      <t xml:space="preserve">. </t>
    </r>
    <r>
      <rPr>
        <b val="true"/>
        <sz val="10"/>
        <rFont val="FreeSans"/>
        <family val="2"/>
      </rPr>
      <t xml:space="preserve">อนุมัติแบบ </t>
    </r>
    <r>
      <rPr>
        <b val="true"/>
        <sz val="10"/>
        <rFont val="Tahoma"/>
        <family val="0"/>
        <charset val="1"/>
      </rPr>
      <t xml:space="preserve">(PPIM)</t>
    </r>
  </si>
  <si>
    <t xml:space="preserve">1.7.3</t>
  </si>
  <si>
    <t xml:space="preserve">—</t>
  </si>
  <si>
    <t xml:space="preserve">ไม่มีวันที่จริง</t>
  </si>
  <si>
    <r>
      <rPr>
        <b val="true"/>
        <sz val="10"/>
        <rFont val="FreeSans"/>
        <family val="2"/>
      </rPr>
      <t xml:space="preserve">ชำระค่าธรรมเนียม </t>
    </r>
    <r>
      <rPr>
        <b val="true"/>
        <sz val="10"/>
        <rFont val="Tahoma"/>
        <family val="0"/>
        <charset val="1"/>
      </rPr>
      <t xml:space="preserve">+ </t>
    </r>
    <r>
      <rPr>
        <b val="true"/>
        <sz val="10"/>
        <rFont val="FreeSans"/>
        <family val="2"/>
      </rPr>
      <t xml:space="preserve">สัญญาเชื่อมต่อ</t>
    </r>
  </si>
  <si>
    <t xml:space="preserve">1.7.4</t>
  </si>
  <si>
    <t xml:space="preserve">ยื่นขอตรวจระบบ</t>
  </si>
  <si>
    <t xml:space="preserve">1.7.5</t>
  </si>
  <si>
    <r>
      <rPr>
        <b val="true"/>
        <sz val="10"/>
        <rFont val="FreeSans"/>
        <family val="2"/>
      </rPr>
      <t xml:space="preserve">ขนานไฟ </t>
    </r>
    <r>
      <rPr>
        <b val="true"/>
        <sz val="10"/>
        <rFont val="Tahoma"/>
        <family val="0"/>
        <charset val="1"/>
      </rPr>
      <t xml:space="preserve">COD</t>
    </r>
  </si>
  <si>
    <t xml:space="preserve">1.7.6</t>
  </si>
  <si>
    <r>
      <rPr>
        <i val="true"/>
        <sz val="9"/>
        <color rgb="FF595959"/>
        <rFont val="FreeSans"/>
        <family val="2"/>
      </rPr>
      <t xml:space="preserve">อ่านแบบ ‘เช็กเร็ว’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ถ้า </t>
    </r>
    <r>
      <rPr>
        <i val="true"/>
        <sz val="9"/>
        <color rgb="FF595959"/>
        <rFont val="Tahoma"/>
        <family val="0"/>
        <charset val="1"/>
      </rPr>
      <t xml:space="preserve">Milestone </t>
    </r>
    <r>
      <rPr>
        <i val="true"/>
        <sz val="9"/>
        <color rgb="FF595959"/>
        <rFont val="FreeSans"/>
        <family val="2"/>
      </rPr>
      <t xml:space="preserve">ที่ควรเสร็จแล้วมี </t>
    </r>
    <r>
      <rPr>
        <i val="true"/>
        <sz val="9"/>
        <color rgb="FF595959"/>
        <rFont val="Tahoma"/>
        <family val="0"/>
        <charset val="1"/>
      </rPr>
      <t xml:space="preserve">10 </t>
    </r>
    <r>
      <rPr>
        <i val="true"/>
        <sz val="9"/>
        <color rgb="FF595959"/>
        <rFont val="FreeSans"/>
        <family val="2"/>
      </rPr>
      <t xml:space="preserve">แต่เสร็จแค่ </t>
    </r>
    <r>
      <rPr>
        <i val="true"/>
        <sz val="9"/>
        <color rgb="FF595959"/>
        <rFont val="Tahoma"/>
        <family val="0"/>
        <charset val="1"/>
      </rPr>
      <t xml:space="preserve">5 </t>
    </r>
    <r>
      <rPr>
        <i val="true"/>
        <sz val="9"/>
        <color rgb="FF595959"/>
        <rFont val="FreeSans"/>
        <family val="2"/>
      </rPr>
      <t xml:space="preserve">แปลว่าโครงการมีปัญหา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ขาด’ แยกตามผู้รับเหมาบอกว่าต้องคุยกับใครก่อน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ใช้ตารางนี้รายงานผู้บริหาร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กปภ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ส่วนรายละเอียดงานดู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</rPr>
      <t xml:space="preserve">และแผนรายโครงการ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คาดการณ์จากอัตราจริง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งานที่เหลือ </t>
    </r>
    <r>
      <rPr>
        <i val="true"/>
        <sz val="9"/>
        <color rgb="FF595959"/>
        <rFont val="Tahoma"/>
        <family val="0"/>
        <charset val="1"/>
      </rPr>
      <t xml:space="preserve">÷ </t>
    </r>
    <r>
      <rPr>
        <i val="true"/>
        <sz val="9"/>
        <color rgb="FF595959"/>
        <rFont val="FreeSans"/>
        <family val="2"/>
      </rPr>
      <t xml:space="preserve">อัตราเสร็จ </t>
    </r>
    <r>
      <rPr>
        <i val="true"/>
        <sz val="9"/>
        <color rgb="FF595959"/>
        <rFont val="Tahoma"/>
        <family val="0"/>
        <charset val="1"/>
      </rPr>
      <t xml:space="preserve">4 </t>
    </r>
    <r>
      <rPr>
        <i val="true"/>
        <sz val="9"/>
        <color rgb="FF595959"/>
        <rFont val="FreeSans"/>
        <family val="2"/>
      </rPr>
      <t xml:space="preserve">สัปดาห์ล่าสุด ถ้าช้ากว่าแผน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แดง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</rPr>
      <t xml:space="preserve">แปลว่าแผนคิวมองโลกดีเกินไป ให้แจ้งผู้มีส่วนได้ส่วนเสียเร็ว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อนุมัติแบบ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ค่าธรรมเนียม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ขอตรวจระบบ กรอกเป็น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</rPr>
      <t xml:space="preserve">ไม่มีวันที่จริง จึงคาดการณ์จากอัตราไม่ได้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ควรกรอกเป็นวันที่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</si>
  <si>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ปฏิทิน </t>
    </r>
    <r>
      <rPr>
        <b val="true"/>
        <sz val="11"/>
        <rFont val="Tahoma"/>
        <family val="0"/>
        <charset val="1"/>
      </rPr>
      <t xml:space="preserve">Milestone </t>
    </r>
    <r>
      <rPr>
        <b val="true"/>
        <sz val="11"/>
        <rFont val="FreeSans"/>
        <family val="2"/>
      </rPr>
      <t xml:space="preserve">ตามแผน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จำนวนสถานีที่ถึงหมุดในเดือนนั้น</t>
    </r>
    <r>
      <rPr>
        <b val="true"/>
        <sz val="11"/>
        <rFont val="Tahoma"/>
        <family val="0"/>
        <charset val="1"/>
      </rPr>
      <t xml:space="preserve">, ◆ = </t>
    </r>
    <r>
      <rPr>
        <b val="true"/>
        <sz val="11"/>
        <rFont val="FreeSans"/>
        <family val="2"/>
      </rPr>
      <t xml:space="preserve">เดือนที่ครบทุกสถานีตามแผน</t>
    </r>
    <r>
      <rPr>
        <b val="true"/>
        <sz val="11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</si>
  <si>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ติดตั้งเสร็จ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ดับไฟเชื่อมระบบ</t>
    </r>
  </si>
  <si>
    <r>
      <rPr>
        <sz val="9"/>
        <rFont val="FreeSans"/>
        <family val="2"/>
      </rPr>
      <t xml:space="preserve">ยื่นขนานไฟ </t>
    </r>
    <r>
      <rPr>
        <sz val="9"/>
        <rFont val="Tahoma"/>
        <family val="0"/>
        <charset val="1"/>
      </rPr>
      <t xml:space="preserve">PPIM</t>
    </r>
  </si>
  <si>
    <r>
      <rPr>
        <sz val="9"/>
        <rFont val="FreeSans"/>
        <family val="2"/>
      </rPr>
      <t xml:space="preserve">ยื่น พค</t>
    </r>
    <r>
      <rPr>
        <sz val="9"/>
        <rFont val="Tahoma"/>
        <family val="0"/>
        <charset val="1"/>
      </rPr>
      <t xml:space="preserve">.2 (</t>
    </r>
    <r>
      <rPr>
        <sz val="9"/>
        <rFont val="FreeSans"/>
        <family val="2"/>
      </rPr>
      <t xml:space="preserve">สถานี </t>
    </r>
    <r>
      <rPr>
        <sz val="9"/>
        <rFont val="Tahoma"/>
        <family val="0"/>
        <charset val="1"/>
      </rPr>
      <t xml:space="preserve">&gt; 200 kVA)</t>
    </r>
  </si>
  <si>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ตรวจรับ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ผู้ว่าจ้าง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</si>
  <si>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ผ่าน </t>
    </r>
    <r>
      <rPr>
        <sz val="9"/>
        <rFont val="Tahoma"/>
        <family val="0"/>
        <charset val="1"/>
      </rPr>
      <t xml:space="preserve">IEC 62446</t>
    </r>
  </si>
  <si>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อนุมัติแบบ </t>
    </r>
    <r>
      <rPr>
        <sz val="9"/>
        <rFont val="Tahoma"/>
        <family val="0"/>
        <charset val="1"/>
      </rPr>
      <t xml:space="preserve">(PPIM)</t>
    </r>
  </si>
  <si>
    <r>
      <rPr>
        <sz val="9"/>
        <rFont val="FreeSans"/>
        <family val="2"/>
      </rPr>
      <t xml:space="preserve">ชำระค่าธรรมเนียม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สัญญาเชื่อมต่อ</t>
    </r>
  </si>
  <si>
    <r>
      <rPr>
        <sz val="9"/>
        <rFont val="FreeSans"/>
        <family val="2"/>
      </rPr>
      <t xml:space="preserve">ขนานไฟ </t>
    </r>
    <r>
      <rPr>
        <sz val="9"/>
        <rFont val="Tahoma"/>
        <family val="0"/>
        <charset val="1"/>
      </rPr>
      <t xml:space="preserve">COD</t>
    </r>
  </si>
  <si>
    <r>
      <rPr>
        <b val="true"/>
        <sz val="13"/>
        <rFont val="Tahoma"/>
        <family val="0"/>
        <charset val="1"/>
      </rPr>
      <t xml:space="preserve">S-Curve </t>
    </r>
    <r>
      <rPr>
        <b val="true"/>
        <sz val="13"/>
        <rFont val="FreeSans"/>
        <family val="2"/>
      </rPr>
      <t xml:space="preserve">ทั้งโครงการ </t>
    </r>
    <r>
      <rPr>
        <b val="true"/>
        <sz val="13"/>
        <rFont val="Tahoma"/>
        <family val="0"/>
        <charset val="1"/>
      </rPr>
      <t xml:space="preserve">(% </t>
    </r>
    <r>
      <rPr>
        <b val="true"/>
        <sz val="13"/>
        <rFont val="FreeSans"/>
        <family val="2"/>
      </rPr>
      <t xml:space="preserve">ถ่วง </t>
    </r>
    <r>
      <rPr>
        <b val="true"/>
        <sz val="13"/>
        <rFont val="Tahoma"/>
        <family val="0"/>
        <charset val="1"/>
      </rPr>
      <t xml:space="preserve">kWp)</t>
    </r>
  </si>
  <si>
    <r>
      <rPr>
        <i val="true"/>
        <sz val="9"/>
        <color rgb="FF595959"/>
        <rFont val="Tahoma"/>
        <family val="0"/>
        <charset val="1"/>
      </rPr>
      <t xml:space="preserve">Baseline = </t>
    </r>
    <r>
      <rPr>
        <i val="true"/>
        <sz val="9"/>
        <color rgb="FF595959"/>
        <rFont val="FreeSans"/>
        <family val="2"/>
      </rPr>
      <t xml:space="preserve">ล็อก ณ </t>
    </r>
    <r>
      <rPr>
        <i val="true"/>
        <sz val="9"/>
        <color rgb="FF595959"/>
        <rFont val="Tahoma"/>
        <family val="0"/>
        <charset val="1"/>
      </rPr>
      <t xml:space="preserve">19 </t>
    </r>
    <r>
      <rPr>
        <i val="true"/>
        <sz val="9"/>
        <color rgb="FF595959"/>
        <rFont val="FreeSans"/>
        <family val="2"/>
      </rPr>
      <t xml:space="preserve">ต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</rPr>
      <t xml:space="preserve">ค</t>
    </r>
    <r>
      <rPr>
        <i val="true"/>
        <sz val="9"/>
        <color rgb="FF595959"/>
        <rFont val="Tahoma"/>
        <family val="0"/>
        <charset val="1"/>
      </rPr>
      <t xml:space="preserve">. 69 (</t>
    </r>
    <r>
      <rPr>
        <i val="true"/>
        <sz val="9"/>
        <color rgb="FF595959"/>
        <rFont val="FreeSans"/>
        <family val="2"/>
      </rPr>
      <t xml:space="preserve">ดับไฟ </t>
    </r>
    <r>
      <rPr>
        <i val="true"/>
        <sz val="9"/>
        <color rgb="FF595959"/>
        <rFont val="Tahoma"/>
        <family val="0"/>
        <charset val="1"/>
      </rPr>
      <t xml:space="preserve">R−13, </t>
    </r>
    <r>
      <rPr>
        <i val="true"/>
        <sz val="9"/>
        <color rgb="FF595959"/>
        <rFont val="FreeSans"/>
        <family val="2"/>
      </rPr>
      <t xml:space="preserve">ยื่นขนานไฟ </t>
    </r>
    <r>
      <rPr>
        <i val="true"/>
        <sz val="9"/>
        <color rgb="FF595959"/>
        <rFont val="Tahoma"/>
        <family val="0"/>
        <charset val="1"/>
      </rPr>
      <t xml:space="preserve">R−12, IEC R−10, </t>
    </r>
    <r>
      <rPr>
        <i val="true"/>
        <sz val="9"/>
        <color rgb="FF595959"/>
        <rFont val="FreeSans"/>
        <family val="2"/>
      </rPr>
      <t xml:space="preserve">ส่งมอบ </t>
    </r>
    <r>
      <rPr>
        <i val="true"/>
        <sz val="9"/>
        <color rgb="FF595959"/>
        <rFont val="Tahoma"/>
        <family val="0"/>
        <charset val="1"/>
      </rPr>
      <t xml:space="preserve">R, COD R+33), Plan = </t>
    </r>
    <r>
      <rPr>
        <i val="true"/>
        <sz val="9"/>
        <color rgb="FF595959"/>
        <rFont val="FreeSans"/>
        <family val="2"/>
      </rPr>
      <t xml:space="preserve">แผนปัจจุบันจาก </t>
    </r>
    <r>
      <rPr>
        <i val="true"/>
        <sz val="9"/>
        <color rgb="FF595959"/>
        <rFont val="Tahoma"/>
        <family val="0"/>
        <charset val="1"/>
      </rPr>
      <t xml:space="preserve">Master Plan, Actual = </t>
    </r>
    <r>
      <rPr>
        <i val="true"/>
        <sz val="9"/>
        <color rgb="FF595959"/>
        <rFont val="FreeSans"/>
        <family val="2"/>
      </rPr>
      <t xml:space="preserve">วันที่จริงไม่เกินวันข้อมูล</t>
    </r>
  </si>
  <si>
    <t xml:space="preserve">สัปดาห์</t>
  </si>
  <si>
    <t xml:space="preserve">เริ่ม</t>
  </si>
  <si>
    <t xml:space="preserve">สิ้นสุด</t>
  </si>
  <si>
    <t xml:space="preserve">Baseline %</t>
  </si>
  <si>
    <t xml:space="preserve">Plan %</t>
  </si>
  <si>
    <t xml:space="preserve">Actual %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</si>
  <si>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</si>
  <si>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</si>
  <si>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</si>
  <si>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</si>
  <si>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</si>
  <si>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</si>
  <si>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</si>
  <si>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</si>
  <si>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</si>
  <si>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</si>
  <si>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</si>
  <si>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</si>
  <si>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</si>
  <si>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</si>
  <si>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</si>
  <si>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</si>
  <si>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</si>
  <si>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</si>
  <si>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</si>
  <si>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</si>
  <si>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</si>
  <si>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</si>
  <si>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</si>
  <si>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</si>
  <si>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</si>
  <si>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</si>
  <si>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</si>
  <si>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</si>
  <si>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</si>
  <si>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</si>
  <si>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</si>
  <si>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</si>
  <si>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</si>
  <si>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</si>
  <si>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</si>
  <si>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</si>
  <si>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</si>
  <si>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</si>
  <si>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</si>
  <si>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</si>
  <si>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</si>
  <si>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</si>
  <si>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</si>
  <si>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</si>
  <si>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</si>
  <si>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</si>
  <si>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</si>
  <si>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</si>
  <si>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r>
      <rPr>
        <b val="true"/>
        <sz val="14"/>
        <color rgb="FF1F4E78"/>
        <rFont val="FreeSans"/>
        <family val="2"/>
      </rPr>
      <t xml:space="preserve">ทะเบียนความเสี่ยง </t>
    </r>
    <r>
      <rPr>
        <b val="true"/>
        <sz val="14"/>
        <color rgb="FF1F4E78"/>
        <rFont val="Tahoma"/>
        <family val="0"/>
        <charset val="1"/>
      </rPr>
      <t xml:space="preserve">(Risk Register) – </t>
    </r>
    <r>
      <rPr>
        <b val="true"/>
        <sz val="14"/>
        <color rgb="FF1F4E78"/>
        <rFont val="FreeSans"/>
        <family val="2"/>
      </rPr>
      <t xml:space="preserve">โครงการประปา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</si>
  <si>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FreeSans"/>
        <family val="2"/>
      </rPr>
      <t xml:space="preserve">ตัวชี้วัด </t>
    </r>
    <r>
      <rPr>
        <i val="true"/>
        <sz val="9"/>
        <color rgb="FF595959"/>
        <rFont val="Tahoma"/>
        <family val="0"/>
        <charset val="1"/>
      </rPr>
      <t xml:space="preserve">(KRI) </t>
    </r>
    <r>
      <rPr>
        <i val="true"/>
        <sz val="9"/>
        <color rgb="FF595959"/>
        <rFont val="FreeSans"/>
        <family val="2"/>
      </rPr>
      <t xml:space="preserve">คำนวณจาก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</rPr>
      <t xml:space="preserve">ทุกครั้งที่อัปเดต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ช่องเหลือง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กรอก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ทบทวนทุกสัปดาห์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โอกาส ผลกระทบ และวันกระทบ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</rPr>
      <t xml:space="preserve">เป็นค่าตั้งต้นที่ประเมินไว้ ให้ทีมปรับ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วันสำรอง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โอกาส </t>
    </r>
    <r>
      <rPr>
        <i val="true"/>
        <sz val="9"/>
        <color rgb="FF595959"/>
        <rFont val="Tahoma"/>
        <family val="0"/>
        <charset val="1"/>
      </rPr>
      <t xml:space="preserve">× </t>
    </r>
    <r>
      <rPr>
        <i val="true"/>
        <sz val="9"/>
        <color rgb="FF595959"/>
        <rFont val="FreeSans"/>
        <family val="2"/>
      </rPr>
      <t xml:space="preserve">วันกระทบ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เกิดแล้ว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เต็มจำนวน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</rPr>
      <t xml:space="preserve">ใช้กันเวลาเผื่อหน้า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</rPr>
      <t xml:space="preserve">ไม่ใช่การเลื่อนแผน</t>
    </r>
  </si>
  <si>
    <t xml:space="preserve">ความเสี่ยงที่ยังไม่ปิด</t>
  </si>
  <si>
    <t xml:space="preserve">ระดับสูง</t>
  </si>
  <si>
    <r>
      <rPr>
        <sz val="9"/>
        <color rgb="FF595959"/>
        <rFont val="Tahoma"/>
        <family val="0"/>
        <charset val="1"/>
      </rPr>
      <t xml:space="preserve">KRI </t>
    </r>
    <r>
      <rPr>
        <sz val="9"/>
        <color rgb="FF595959"/>
        <rFont val="FreeSans"/>
        <family val="2"/>
      </rPr>
      <t xml:space="preserve">เกินเกณฑ์</t>
    </r>
  </si>
  <si>
    <r>
      <rPr>
        <sz val="9"/>
        <color rgb="FF595959"/>
        <rFont val="FreeSans"/>
        <family val="2"/>
      </rPr>
      <t xml:space="preserve">สำรองความเสี่ยงที่รู้ </t>
    </r>
    <r>
      <rPr>
        <sz val="9"/>
        <color rgb="FF595959"/>
        <rFont val="Tahoma"/>
        <family val="0"/>
        <charset val="1"/>
      </rPr>
      <t xml:space="preserve">+ </t>
    </r>
    <r>
      <rPr>
        <sz val="9"/>
        <color rgb="FF595959"/>
        <rFont val="FreeSans"/>
        <family val="2"/>
      </rPr>
      <t xml:space="preserve">ไม่คาดคิด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</si>
  <si>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COD + </t>
    </r>
    <r>
      <rPr>
        <sz val="9"/>
        <color rgb="FF595959"/>
        <rFont val="FreeSans"/>
        <family val="2"/>
      </rPr>
      <t xml:space="preserve">สำรองทั้งหมด</t>
    </r>
  </si>
  <si>
    <r>
      <rPr>
        <b val="true"/>
        <sz val="10"/>
        <rFont val="FreeSans"/>
        <family val="2"/>
      </rPr>
      <t xml:space="preserve">แผนที่ความเสี่ยง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จำนวนที่ยังไม่ปิด</t>
    </r>
    <r>
      <rPr>
        <b val="true"/>
        <sz val="10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</si>
  <si>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ความเสี่ยง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เหตุการณ์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</si>
  <si>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สาเหตุ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สัญญาณเตือน</t>
    </r>
  </si>
  <si>
    <t xml:space="preserve">ขอบเขต</t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</si>
  <si>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ที่กระทบ</t>
    </r>
  </si>
  <si>
    <r>
      <rPr>
        <b val="true"/>
        <sz val="9"/>
        <color rgb="FFFFFFFF"/>
        <rFont val="FreeSans"/>
        <family val="2"/>
      </rPr>
      <t xml:space="preserve">ตัวชี้วัด </t>
    </r>
    <r>
      <rPr>
        <b val="true"/>
        <sz val="9"/>
        <color rgb="FFFFFFFF"/>
        <rFont val="Tahoma"/>
        <family val="0"/>
        <charset val="1"/>
      </rPr>
      <t xml:space="preserve">(KRI)</t>
    </r>
  </si>
  <si>
    <t xml:space="preserve">ค่าปัจจุบัน</t>
  </si>
  <si>
    <t xml:space="preserve">เกณฑ์เตือน</t>
  </si>
  <si>
    <t xml:space="preserve">เตือน</t>
  </si>
  <si>
    <r>
      <rPr>
        <b val="true"/>
        <sz val="9"/>
        <color rgb="FFFFFFFF"/>
        <rFont val="FreeSans"/>
        <family val="2"/>
      </rPr>
      <t xml:space="preserve">โอกาส
</t>
    </r>
    <r>
      <rPr>
        <b val="true"/>
        <sz val="9"/>
        <color rgb="FFFFFFFF"/>
        <rFont val="Tahoma"/>
        <family val="0"/>
        <charset val="1"/>
      </rPr>
      <t xml:space="preserve">(1–5)</t>
    </r>
  </si>
  <si>
    <r>
      <rPr>
        <b val="true"/>
        <sz val="9"/>
        <color rgb="FFFFFFFF"/>
        <rFont val="FreeSans"/>
        <family val="2"/>
      </rPr>
      <t xml:space="preserve">ผลกระทบ
</t>
    </r>
    <r>
      <rPr>
        <b val="true"/>
        <sz val="9"/>
        <color rgb="FFFFFFFF"/>
        <rFont val="Tahoma"/>
        <family val="0"/>
        <charset val="1"/>
      </rPr>
      <t xml:space="preserve">(1–5)</t>
    </r>
  </si>
  <si>
    <t xml:space="preserve">คะแนน</t>
  </si>
  <si>
    <t xml:space="preserve">ระดับ</t>
  </si>
  <si>
    <r>
      <rPr>
        <b val="true"/>
        <sz val="9"/>
        <color rgb="FFFFFFFF"/>
        <rFont val="FreeSans"/>
        <family val="2"/>
      </rPr>
      <t xml:space="preserve">กระทบ </t>
    </r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ถ้าเกิด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</si>
  <si>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วันสำรอง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</si>
  <si>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กลยุทธ์ </t>
    </r>
    <r>
      <rPr>
        <b val="true"/>
        <sz val="9"/>
        <color rgb="FFFFFFFF"/>
        <rFont val="Tahoma"/>
        <family val="0"/>
        <charset val="1"/>
      </rPr>
      <t xml:space="preserve">(PMBOK)</t>
    </r>
  </si>
  <si>
    <t xml:space="preserve">วิธีรับมือ</t>
  </si>
  <si>
    <t xml:space="preserve">เหตุผลที่ปิด</t>
  </si>
  <si>
    <r>
      <rPr>
        <b val="true"/>
        <sz val="9"/>
        <color rgb="FFFFFFFF"/>
        <rFont val="FreeSans"/>
        <family val="2"/>
      </rPr>
      <t xml:space="preserve">เลื่อนแผนแล้ว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ครั้ง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</si>
  <si>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ทบทวนล่าสุด</t>
  </si>
  <si>
    <r>
      <rPr>
        <b val="true"/>
        <sz val="9"/>
        <color rgb="FFFFFFFF"/>
        <rFont val="FreeSans"/>
        <family val="2"/>
      </rPr>
      <t xml:space="preserve">โอกาส ↓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ผลกระทบ →</t>
    </r>
  </si>
  <si>
    <t xml:space="preserve">R01</t>
  </si>
  <si>
    <r>
      <rPr>
        <sz val="9"/>
        <color rgb="FF0000FF"/>
        <rFont val="FreeSans"/>
        <family val="2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ใช้เวลาตรวจระบบและขนานไฟเต็ม </t>
    </r>
    <r>
      <rPr>
        <sz val="9"/>
        <color rgb="FF0000FF"/>
        <rFont val="Tahoma"/>
        <family val="0"/>
        <charset val="1"/>
      </rPr>
      <t xml:space="preserve">30 </t>
    </r>
    <r>
      <rPr>
        <sz val="9"/>
        <color rgb="FF0000FF"/>
        <rFont val="FreeSans"/>
        <family val="2"/>
      </rPr>
      <t xml:space="preserve">วันทำการ</t>
    </r>
  </si>
  <si>
    <r>
      <rPr>
        <sz val="9"/>
        <color rgb="FF0000FF"/>
        <rFont val="FreeSans"/>
        <family val="2"/>
      </rPr>
      <t xml:space="preserve">กฟภ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</si>
  <si>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</rPr>
      <t xml:space="preserve">สถานีขอตรวจระบบพร้อมกันหลายแห่งในเขตเดียว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เขตไม่ตอบนัด</t>
    </r>
  </si>
  <si>
    <t xml:space="preserve">ทั้งเฟส</t>
  </si>
  <si>
    <t xml:space="preserve">1.7.5–1.7.6</t>
  </si>
  <si>
    <r>
      <rPr>
        <sz val="9"/>
        <color rgb="FF0000FF"/>
        <rFont val="FreeSans"/>
        <family val="2"/>
      </rPr>
      <t xml:space="preserve">สถานีที่ขอตรวจระบบแล้ว ยังไม่ </t>
    </r>
    <r>
      <rPr>
        <sz val="9"/>
        <color rgb="FF0000FF"/>
        <rFont val="Tahoma"/>
        <family val="0"/>
        <charset val="1"/>
      </rPr>
      <t xml:space="preserve">COD</t>
    </r>
  </si>
  <si>
    <t xml:space="preserve">ยกระดับ</t>
  </si>
  <si>
    <r>
      <rPr>
        <sz val="9"/>
        <color rgb="FF0000FF"/>
        <rFont val="FreeSans"/>
        <family val="2"/>
      </rPr>
      <t xml:space="preserve">ยื่นเอกสารให้ครบในรอบเดียว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โทรติดตามเขตทุกสัปดาห์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ขอนัดเป็นกลุ่มตามเขต กฟภ</t>
    </r>
    <r>
      <rPr>
        <sz val="9"/>
        <color rgb="FF0000FF"/>
        <rFont val="Tahoma"/>
        <family val="0"/>
        <charset val="1"/>
      </rPr>
      <t xml:space="preserve">.</t>
    </r>
  </si>
  <si>
    <t xml:space="preserve">เปิด</t>
  </si>
  <si>
    <t xml:space="preserve">R02</t>
  </si>
  <si>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</rPr>
      <t xml:space="preserve">ขอแก้ไขเอกสาร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ผลพิจารณาแบบล่าช้า</t>
    </r>
  </si>
  <si>
    <t xml:space="preserve">เอกสาร</t>
  </si>
  <si>
    <r>
      <rPr>
        <sz val="9"/>
        <color rgb="FF0000FF"/>
        <rFont val="FreeSans"/>
        <family val="2"/>
      </rPr>
      <t xml:space="preserve">ค่าตั้ง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</rPr>
      <t xml:space="preserve">ตาม </t>
    </r>
    <r>
      <rPr>
        <sz val="9"/>
        <color rgb="FF0000FF"/>
        <rFont val="Tahoma"/>
        <family val="0"/>
        <charset val="1"/>
      </rPr>
      <t xml:space="preserve">Grid Code </t>
    </r>
    <r>
      <rPr>
        <sz val="9"/>
        <color rgb="FF0000FF"/>
        <rFont val="FreeSans"/>
        <family val="2"/>
      </rPr>
      <t xml:space="preserve">ไม่แนบ</t>
    </r>
    <r>
      <rPr>
        <sz val="9"/>
        <color rgb="FF0000FF"/>
        <rFont val="Tahoma"/>
        <family val="0"/>
        <charset val="1"/>
      </rPr>
      <t xml:space="preserve">, SLD </t>
    </r>
    <r>
      <rPr>
        <sz val="9"/>
        <color rgb="FF0000FF"/>
        <rFont val="FreeSans"/>
        <family val="2"/>
      </rPr>
      <t xml:space="preserve">ไม่ตรงหน้างาน</t>
    </r>
  </si>
  <si>
    <t xml:space="preserve">1.7.1–1.7.3</t>
  </si>
  <si>
    <r>
      <rPr>
        <sz val="9"/>
        <color rgb="FF0000FF"/>
        <rFont val="FreeSans"/>
        <family val="2"/>
      </rPr>
      <t xml:space="preserve">งานแก้ </t>
    </r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</rPr>
      <t xml:space="preserve">ที่ยังค้าง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จาก </t>
    </r>
    <r>
      <rPr>
        <sz val="9"/>
        <color rgb="FF0000FF"/>
        <rFont val="Tahoma"/>
        <family val="0"/>
        <charset val="1"/>
      </rPr>
      <t xml:space="preserve">Cost of Quality)</t>
    </r>
  </si>
  <si>
    <t xml:space="preserve">ลดผลกระทบ</t>
  </si>
  <si>
    <r>
      <rPr>
        <sz val="9"/>
        <color rgb="FF0000FF"/>
        <rFont val="FreeSans"/>
        <family val="2"/>
      </rPr>
      <t xml:space="preserve">เช็กลิสต์ก่อนยื่น </t>
    </r>
    <r>
      <rPr>
        <sz val="9"/>
        <color rgb="FF0000FF"/>
        <rFont val="Tahoma"/>
        <family val="0"/>
        <charset val="1"/>
      </rPr>
      <t xml:space="preserve">(Grid Code, SLD, </t>
    </r>
    <r>
      <rPr>
        <sz val="9"/>
        <color rgb="FF0000FF"/>
        <rFont val="FreeSans"/>
        <family val="2"/>
      </rPr>
      <t xml:space="preserve">หนังสือรับรองตนเอง</t>
    </r>
    <r>
      <rPr>
        <sz val="9"/>
        <color rgb="FF0000FF"/>
        <rFont val="Tahoma"/>
        <family val="0"/>
        <charset val="1"/>
      </rPr>
      <t xml:space="preserve">), </t>
    </r>
    <r>
      <rPr>
        <sz val="9"/>
        <color rgb="FF0000FF"/>
        <rFont val="FreeSans"/>
        <family val="2"/>
      </rPr>
      <t xml:space="preserve">ใช้ชุดเอกสารที่ผ่านแล้วเป็นต้นแบบ</t>
    </r>
  </si>
  <si>
    <t xml:space="preserve">R03</t>
  </si>
  <si>
    <r>
      <rPr>
        <sz val="9"/>
        <color rgb="FF0000FF"/>
        <rFont val="FreeSans"/>
        <family val="2"/>
      </rPr>
      <t xml:space="preserve">ผรม</t>
    </r>
    <r>
      <rPr>
        <sz val="9"/>
        <color rgb="FF0000FF"/>
        <rFont val="Tahoma"/>
        <family val="0"/>
        <charset val="1"/>
      </rPr>
      <t xml:space="preserve">. S </t>
    </r>
    <r>
      <rPr>
        <sz val="9"/>
        <color rgb="FF0000FF"/>
        <rFont val="FreeSans"/>
        <family val="2"/>
      </rPr>
      <t xml:space="preserve">กำลังติดตั้งไม่พอ </t>
    </r>
    <r>
      <rPr>
        <sz val="9"/>
        <color rgb="FF0000FF"/>
        <rFont val="Tahoma"/>
        <family val="0"/>
        <charset val="1"/>
      </rPr>
      <t xml:space="preserve">(50 </t>
    </r>
    <r>
      <rPr>
        <sz val="9"/>
        <color rgb="FF0000FF"/>
        <rFont val="FreeSans"/>
        <family val="2"/>
      </rPr>
      <t xml:space="preserve">สถานี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กำลังเป็นค่าสมมุติ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</si>
  <si>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9"/>
        <color rgb="FF0000FF"/>
        <rFont val="FreeSans"/>
        <family val="2"/>
      </rPr>
      <t xml:space="preserve">ผรม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</si>
  <si>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</rPr>
      <t xml:space="preserve">ชุดช่างน้อยกว่าที่ตกลง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งานสะสมหลายเขตพร้อมกัน</t>
    </r>
  </si>
  <si>
    <r>
      <rPr>
        <sz val="9"/>
        <color rgb="FF0000FF"/>
        <rFont val="FreeSans"/>
        <family val="2"/>
      </rPr>
      <t xml:space="preserve">ผรม</t>
    </r>
    <r>
      <rPr>
        <sz val="9"/>
        <color rgb="FF0000FF"/>
        <rFont val="Tahoma"/>
        <family val="0"/>
        <charset val="1"/>
      </rPr>
      <t xml:space="preserve">. S</t>
    </r>
  </si>
  <si>
    <t xml:space="preserve">2.1–2.9</t>
  </si>
  <si>
    <r>
      <rPr>
        <sz val="9"/>
        <color rgb="FF0000FF"/>
        <rFont val="FreeSans"/>
        <family val="2"/>
      </rPr>
      <t xml:space="preserve">สถานีของ ผรม</t>
    </r>
    <r>
      <rPr>
        <sz val="9"/>
        <color rgb="FF0000FF"/>
        <rFont val="Tahoma"/>
        <family val="0"/>
        <charset val="1"/>
      </rPr>
      <t xml:space="preserve">. S </t>
    </r>
    <r>
      <rPr>
        <sz val="9"/>
        <color rgb="FF0000FF"/>
        <rFont val="FreeSans"/>
        <family val="2"/>
      </rPr>
      <t xml:space="preserve">ที่ </t>
    </r>
    <r>
      <rPr>
        <sz val="9"/>
        <color rgb="FF0000FF"/>
        <rFont val="Tahoma"/>
        <family val="0"/>
        <charset val="1"/>
      </rPr>
      <t xml:space="preserve">COD </t>
    </r>
    <r>
      <rPr>
        <sz val="9"/>
        <color rgb="FF0000FF"/>
        <rFont val="FreeSans"/>
        <family val="2"/>
      </rPr>
      <t xml:space="preserve">ช้ากว่า </t>
    </r>
    <r>
      <rPr>
        <sz val="9"/>
        <color rgb="FF0000FF"/>
        <rFont val="Tahoma"/>
        <family val="0"/>
        <charset val="1"/>
      </rPr>
      <t xml:space="preserve">Baseline</t>
    </r>
  </si>
  <si>
    <r>
      <rPr>
        <sz val="9"/>
        <color rgb="FF0000FF"/>
        <rFont val="FreeSans"/>
        <family val="2"/>
      </rPr>
      <t xml:space="preserve">ยืนยันจำนวนชุดช่างจริงในตารางทีม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ย้ายบางสถานีให้ ผรม</t>
    </r>
    <r>
      <rPr>
        <sz val="9"/>
        <color rgb="FF0000FF"/>
        <rFont val="Tahoma"/>
        <family val="0"/>
        <charset val="1"/>
      </rPr>
      <t xml:space="preserve">. C/B, </t>
    </r>
    <r>
      <rPr>
        <sz val="9"/>
        <color rgb="FF0000FF"/>
        <rFont val="FreeSans"/>
        <family val="2"/>
      </rPr>
      <t xml:space="preserve">ประชุมกำลังคนทุกสัปดาห์</t>
    </r>
  </si>
  <si>
    <t xml:space="preserve">PM</t>
  </si>
  <si>
    <t xml:space="preserve">R04</t>
  </si>
  <si>
    <r>
      <rPr>
        <sz val="9"/>
        <color rgb="FF0000FF"/>
        <rFont val="FreeSans"/>
        <family val="2"/>
      </rPr>
      <t xml:space="preserve">คิว 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เข้าตรวจบางเขตเกินกำลัง</t>
    </r>
  </si>
  <si>
    <t xml:space="preserve">ติดตั้งเสร็จพร้อมกันในเขตเดียว</t>
  </si>
  <si>
    <t xml:space="preserve">รายเขต</t>
  </si>
  <si>
    <r>
      <rPr>
        <sz val="9"/>
        <color rgb="FF0000FF"/>
        <rFont val="FreeSans"/>
        <family val="2"/>
      </rPr>
      <t xml:space="preserve">สถานีที่รอคิวตรวจของเขต ≥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สัปดาห์</t>
    </r>
  </si>
  <si>
    <r>
      <rPr>
        <sz val="9"/>
        <color rgb="FF0000FF"/>
        <rFont val="FreeSans"/>
        <family val="2"/>
      </rPr>
      <t xml:space="preserve">เกลี่ยวันติดตั้งตามเขต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ดูชีตภาระงานรายสัปดาห์</t>
    </r>
    <r>
      <rPr>
        <sz val="9"/>
        <color rgb="FF0000FF"/>
        <rFont val="Tahoma"/>
        <family val="0"/>
        <charset val="1"/>
      </rPr>
      <t xml:space="preserve">), </t>
    </r>
    <r>
      <rPr>
        <sz val="9"/>
        <color rgb="FF0000FF"/>
        <rFont val="FreeSans"/>
        <family val="2"/>
      </rPr>
      <t xml:space="preserve">แจ้งเขตล่วงหน้า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สัปดาห์</t>
    </r>
  </si>
  <si>
    <t xml:space="preserve">R05</t>
  </si>
  <si>
    <t xml:space="preserve">ดับไฟเชื่อมระบบไม่ได้ตามแผน</t>
  </si>
  <si>
    <r>
      <rPr>
        <sz val="9"/>
        <color rgb="FF0000FF"/>
        <rFont val="FreeSans"/>
        <family val="2"/>
      </rPr>
      <t xml:space="preserve">สถานี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กปภ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</si>
  <si>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</rPr>
      <t xml:space="preserve">สถานีไม่อนุญาตช่วงจ่ายน้ำสูง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หนังสือขอดับไฟออกช้า</t>
    </r>
  </si>
  <si>
    <t xml:space="preserve">รายสถานี</t>
  </si>
  <si>
    <t xml:space="preserve">0.3, 2.10</t>
  </si>
  <si>
    <t xml:space="preserve">ยังไม่ติดตั้งและยังไม่มีหนังสือขอดับไฟ</t>
  </si>
  <si>
    <t xml:space="preserve">หลีกเลี่ยง</t>
  </si>
  <si>
    <r>
      <rPr>
        <sz val="9"/>
        <color rgb="FF0000FF"/>
        <rFont val="FreeSans"/>
        <family val="2"/>
      </rPr>
      <t xml:space="preserve">ออกหนังสือขอดับไฟก่อนวันติดตั้ง ≥ </t>
    </r>
    <r>
      <rPr>
        <sz val="9"/>
        <color rgb="FF0000FF"/>
        <rFont val="Tahoma"/>
        <family val="0"/>
        <charset val="1"/>
      </rPr>
      <t xml:space="preserve">20 </t>
    </r>
    <r>
      <rPr>
        <sz val="9"/>
        <color rgb="FF0000FF"/>
        <rFont val="FreeSans"/>
        <family val="2"/>
      </rPr>
      <t xml:space="preserve">วัน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ยืนยันกับหัวหน้าสถานีก่อน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วัน</t>
    </r>
  </si>
  <si>
    <t xml:space="preserve">R06</t>
  </si>
  <si>
    <r>
      <rPr>
        <sz val="9"/>
        <color rgb="FF0000FF"/>
        <rFont val="FreeSans"/>
        <family val="2"/>
      </rPr>
      <t xml:space="preserve">ฝน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พายุช่วงติดตั้งบนหลังคา</t>
    </r>
  </si>
  <si>
    <t xml:space="preserve">อากาศ</t>
  </si>
  <si>
    <r>
      <rPr>
        <sz val="9"/>
        <color rgb="FF0000FF"/>
        <rFont val="FreeSans"/>
        <family val="2"/>
      </rPr>
      <t xml:space="preserve">มรสุม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ฝนตกต่อเนื่อง</t>
    </r>
  </si>
  <si>
    <t xml:space="preserve">2.1–2.5</t>
  </si>
  <si>
    <t xml:space="preserve">ยอมรับ</t>
  </si>
  <si>
    <r>
      <rPr>
        <sz val="9"/>
        <color rgb="FF0000FF"/>
        <rFont val="FreeSans"/>
        <family val="2"/>
      </rPr>
      <t xml:space="preserve">สลับไปงานในอาคาร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ตู้ </t>
    </r>
    <r>
      <rPr>
        <sz val="9"/>
        <color rgb="FF0000FF"/>
        <rFont val="Tahoma"/>
        <family val="0"/>
        <charset val="1"/>
      </rPr>
      <t xml:space="preserve">AC </t>
    </r>
    <r>
      <rPr>
        <sz val="9"/>
        <color rgb="FF0000FF"/>
        <rFont val="FreeSans"/>
        <family val="2"/>
      </rPr>
      <t xml:space="preserve">สาย</t>
    </r>
    <r>
      <rPr>
        <sz val="9"/>
        <color rgb="FF0000FF"/>
        <rFont val="Tahoma"/>
        <family val="0"/>
        <charset val="1"/>
      </rPr>
      <t xml:space="preserve">) </t>
    </r>
    <r>
      <rPr>
        <sz val="9"/>
        <color rgb="FF0000FF"/>
        <rFont val="FreeSans"/>
        <family val="2"/>
      </rPr>
      <t xml:space="preserve">ช่วงฝน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เผื่อวันในแผน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สัปดาห์ข้างหน้า</t>
    </r>
  </si>
  <si>
    <t xml:space="preserve">R07</t>
  </si>
  <si>
    <r>
      <rPr>
        <sz val="9"/>
        <color rgb="FF0000FF"/>
        <rFont val="FreeSans"/>
        <family val="2"/>
      </rPr>
      <t xml:space="preserve">นัดหมายตรงวันหยุด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วันหยุดยาว</t>
    </r>
  </si>
  <si>
    <r>
      <rPr>
        <sz val="9"/>
        <color rgb="FF0000FF"/>
        <rFont val="FreeSans"/>
        <family val="2"/>
      </rPr>
      <t xml:space="preserve">แผน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ข้อมูล</t>
    </r>
  </si>
  <si>
    <t xml:space="preserve">ตารางนัดไม่ได้เช็กวันหยุดราชการ</t>
  </si>
  <si>
    <t xml:space="preserve">2.10, 3.1</t>
  </si>
  <si>
    <t xml:space="preserve">นัดในอนาคตที่ตรงวันหยุด</t>
  </si>
  <si>
    <r>
      <rPr>
        <sz val="9"/>
        <color rgb="FF0000FF"/>
        <rFont val="FreeSans"/>
        <family val="2"/>
      </rPr>
      <t xml:space="preserve">เลื่อนนัดเป็นวันทำงาน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อัปเดตตารางวันหยุดในชีตสมมติฐานทุกปี</t>
    </r>
  </si>
  <si>
    <t xml:space="preserve">R08</t>
  </si>
  <si>
    <t xml:space="preserve">ข้อมูลติดตามผิดหรือไม่ครบ ทำให้แผนคลาดเคลื่อน</t>
  </si>
  <si>
    <r>
      <rPr>
        <sz val="9"/>
        <color rgb="FF0000FF"/>
        <rFont val="FreeSans"/>
        <family val="2"/>
      </rPr>
      <t xml:space="preserve">พิมพ์ปีผิด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ช่องอ้างอิงเสียในไฟล์ติดตาม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วันที่จริงกรอกช้า</t>
    </r>
  </si>
  <si>
    <t xml:space="preserve">0.1</t>
  </si>
  <si>
    <t xml:space="preserve">สถานีที่มี ⚠ ตรวจข้อมูล</t>
  </si>
  <si>
    <r>
      <rPr>
        <sz val="9"/>
        <color rgb="FF0000FF"/>
        <rFont val="FreeSans"/>
        <family val="2"/>
      </rPr>
      <t xml:space="preserve">แก้ข้อมูลก่อนประชุมรายสัปดาห์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กรอกที่ชีตอัปเดตรายสัปดาห์ที่เดียว</t>
    </r>
  </si>
  <si>
    <r>
      <rPr>
        <b val="true"/>
        <sz val="9"/>
        <rFont val="FreeSans"/>
        <family val="2"/>
      </rPr>
      <t xml:space="preserve">สำรองเผื่อเรื่องไม่คาดคิด </t>
    </r>
    <r>
      <rPr>
        <b val="true"/>
        <sz val="9"/>
        <rFont val="Tahoma"/>
        <family val="0"/>
        <charset val="1"/>
      </rPr>
      <t xml:space="preserve">(% </t>
    </r>
    <r>
      <rPr>
        <b val="true"/>
        <sz val="9"/>
        <rFont val="FreeSans"/>
        <family val="2"/>
      </rPr>
      <t xml:space="preserve">ของเวลาที่เหลือ</t>
    </r>
    <r>
      <rPr>
        <b val="true"/>
        <sz val="9"/>
        <rFont val="Tahoma"/>
        <family val="0"/>
        <charset val="1"/>
      </rPr>
      <t xml:space="preserve">)</t>
    </r>
  </si>
  <si>
    <t xml:space="preserve">R09</t>
  </si>
  <si>
    <t xml:space="preserve">รายงานและเอกสารส่งมอบงวดล่าช้า</t>
  </si>
  <si>
    <r>
      <rPr>
        <sz val="9"/>
        <color rgb="FF0000FF"/>
        <rFont val="Tahoma"/>
        <family val="0"/>
        <charset val="1"/>
      </rPr>
      <t xml:space="preserve">As-built </t>
    </r>
    <r>
      <rPr>
        <sz val="9"/>
        <color rgb="FF0000FF"/>
        <rFont val="FreeSans"/>
        <family val="2"/>
      </rPr>
      <t xml:space="preserve">และรายงาน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ส่งช้า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ถูกตีกลับ</t>
    </r>
  </si>
  <si>
    <r>
      <rPr>
        <sz val="9"/>
        <color rgb="FF0000FF"/>
        <rFont val="FreeSans"/>
        <family val="2"/>
      </rPr>
      <t xml:space="preserve">ทุก ผรม</t>
    </r>
    <r>
      <rPr>
        <sz val="9"/>
        <color rgb="FF0000FF"/>
        <rFont val="Tahoma"/>
        <family val="0"/>
        <charset val="1"/>
      </rPr>
      <t xml:space="preserve">.</t>
    </r>
  </si>
  <si>
    <t xml:space="preserve">3.1.8, 3.2.4</t>
  </si>
  <si>
    <r>
      <rPr>
        <sz val="9"/>
        <color rgb="FF0000FF"/>
        <rFont val="FreeSans"/>
        <family val="2"/>
      </rPr>
      <t xml:space="preserve">สถานีที่ส่งมอบงวดช้ากว่ากำหนดรอบเกิน </t>
    </r>
    <r>
      <rPr>
        <sz val="9"/>
        <color rgb="FF0000FF"/>
        <rFont val="Tahoma"/>
        <family val="0"/>
        <charset val="1"/>
      </rPr>
      <t xml:space="preserve">30 </t>
    </r>
    <r>
      <rPr>
        <sz val="9"/>
        <color rgb="FF0000FF"/>
        <rFont val="FreeSans"/>
        <family val="2"/>
      </rPr>
      <t xml:space="preserve">วัน</t>
    </r>
  </si>
  <si>
    <t xml:space="preserve">โอนย้าย</t>
  </si>
  <si>
    <r>
      <rPr>
        <sz val="9"/>
        <color rgb="FF0000FF"/>
        <rFont val="FreeSans"/>
        <family val="2"/>
      </rPr>
      <t xml:space="preserve">กำหนดส่งรายงานใน </t>
    </r>
    <r>
      <rPr>
        <sz val="9"/>
        <color rgb="FF0000FF"/>
        <rFont val="Tahoma"/>
        <family val="0"/>
        <charset val="1"/>
      </rPr>
      <t xml:space="preserve">TCRoof </t>
    </r>
    <r>
      <rPr>
        <sz val="9"/>
        <color rgb="FF0000FF"/>
        <rFont val="FreeSans"/>
        <family val="2"/>
      </rPr>
      <t xml:space="preserve">ภายใน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วันหลัง </t>
    </r>
    <r>
      <rPr>
        <sz val="9"/>
        <color rgb="FF0000FF"/>
        <rFont val="Tahoma"/>
        <family val="0"/>
        <charset val="1"/>
      </rPr>
      <t xml:space="preserve">IEC, </t>
    </r>
    <r>
      <rPr>
        <sz val="9"/>
        <color rgb="FF0000FF"/>
        <rFont val="FreeSans"/>
        <family val="2"/>
      </rPr>
      <t xml:space="preserve">วิศวกรตรวจรายงาน </t>
    </r>
    <r>
      <rPr>
        <sz val="9"/>
        <color rgb="FF0000FF"/>
        <rFont val="Tahoma"/>
        <family val="0"/>
        <charset val="1"/>
      </rPr>
      <t xml:space="preserve">2–3 </t>
    </r>
    <r>
      <rPr>
        <sz val="9"/>
        <color rgb="FF0000FF"/>
        <rFont val="FreeSans"/>
        <family val="2"/>
      </rPr>
      <t xml:space="preserve">สัปดาห์แรกของ ผรม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</si>
  <si>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→ สำรองเผื่อเรื่องไม่คาดคิด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</si>
  <si>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R10</t>
  </si>
  <si>
    <r>
      <rPr>
        <sz val="9"/>
        <color rgb="FF0000FF"/>
        <rFont val="FreeSans"/>
        <family val="2"/>
      </rPr>
      <t xml:space="preserve">พพ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ให้ความเห็น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</rPr>
      <t xml:space="preserve">ล่าช้า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สถานีเกิน </t>
    </r>
    <r>
      <rPr>
        <sz val="9"/>
        <color rgb="FF0000FF"/>
        <rFont val="Tahoma"/>
        <family val="0"/>
        <charset val="1"/>
      </rPr>
      <t xml:space="preserve">200 kVA)</t>
    </r>
  </si>
  <si>
    <t xml:space="preserve">ราชการ</t>
  </si>
  <si>
    <r>
      <rPr>
        <sz val="9"/>
        <color rgb="FF0000FF"/>
        <rFont val="FreeSans"/>
        <family val="2"/>
      </rPr>
      <t xml:space="preserve">เอกสาร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</rPr>
      <t xml:space="preserve">ไม่ครบ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คิว พพ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</si>
  <si>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</rPr>
      <t xml:space="preserve">สถานี </t>
    </r>
    <r>
      <rPr>
        <sz val="9"/>
        <color rgb="FF0000FF"/>
        <rFont val="Tahoma"/>
        <family val="0"/>
        <charset val="1"/>
      </rPr>
      <t xml:space="preserve">&gt; 200 kVA</t>
    </r>
  </si>
  <si>
    <r>
      <rPr>
        <sz val="9"/>
        <color rgb="FF0000FF"/>
        <rFont val="FreeSans"/>
        <family val="2"/>
      </rPr>
      <t xml:space="preserve">ต้องยื่น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</rPr>
      <t xml:space="preserve">แต่ยังไม่ยื่น</t>
    </r>
  </si>
  <si>
    <r>
      <rPr>
        <sz val="9"/>
        <color rgb="FF0000FF"/>
        <rFont val="FreeSans"/>
        <family val="2"/>
      </rPr>
      <t xml:space="preserve">ยื่น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</rPr>
      <t xml:space="preserve">พร้อมยื่น </t>
    </r>
    <r>
      <rPr>
        <sz val="9"/>
        <color rgb="FF0000FF"/>
        <rFont val="Tahoma"/>
        <family val="0"/>
        <charset val="1"/>
      </rPr>
      <t xml:space="preserve">PPIM, </t>
    </r>
    <r>
      <rPr>
        <sz val="9"/>
        <color rgb="FF0000FF"/>
        <rFont val="FreeSans"/>
        <family val="2"/>
      </rPr>
      <t xml:space="preserve">ใช้เช็กลิสต์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</rPr>
      <t xml:space="preserve">ใน </t>
    </r>
    <r>
      <rPr>
        <sz val="9"/>
        <color rgb="FF0000FF"/>
        <rFont val="Tahoma"/>
        <family val="0"/>
        <charset val="1"/>
      </rPr>
      <t xml:space="preserve">TCRoof</t>
    </r>
  </si>
  <si>
    <r>
      <rPr>
        <i val="true"/>
        <sz val="8"/>
        <color rgb="FF595959"/>
        <rFont val="FreeSans"/>
        <family val="2"/>
      </rPr>
      <t xml:space="preserve">งานคาดการณ์ได้ </t>
    </r>
    <r>
      <rPr>
        <i val="true"/>
        <sz val="8"/>
        <color rgb="FF595959"/>
        <rFont val="Tahoma"/>
        <family val="0"/>
        <charset val="1"/>
      </rPr>
      <t xml:space="preserve">~5%, </t>
    </r>
    <r>
      <rPr>
        <i val="true"/>
        <sz val="8"/>
        <color rgb="FF595959"/>
        <rFont val="FreeSans"/>
        <family val="2"/>
      </rPr>
      <t xml:space="preserve">งานเสี่ยงสูง </t>
    </r>
    <r>
      <rPr>
        <i val="true"/>
        <sz val="8"/>
        <color rgb="FF595959"/>
        <rFont val="Tahoma"/>
        <family val="0"/>
        <charset val="1"/>
      </rPr>
      <t xml:space="preserve">~30% (Verzuh), </t>
    </r>
    <r>
      <rPr>
        <i val="true"/>
        <sz val="8"/>
        <color rgb="FF595959"/>
        <rFont val="FreeSans"/>
        <family val="2"/>
      </rPr>
      <t xml:space="preserve">ตั้งเท่ากันทุกโครงการแล้ววัดว่าใช้จริงเท่าไร</t>
    </r>
  </si>
  <si>
    <t xml:space="preserve">R11</t>
  </si>
  <si>
    <r>
      <rPr>
        <sz val="9"/>
        <color rgb="FF0000FF"/>
        <rFont val="FreeSans"/>
        <family val="2"/>
      </rPr>
      <t xml:space="preserve">แผง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อุปกรณ์ส่งไม่ทันคิวติดตั้ง</t>
    </r>
  </si>
  <si>
    <t xml:space="preserve">วัสดุ</t>
  </si>
  <si>
    <r>
      <rPr>
        <sz val="9"/>
        <color rgb="FF0000FF"/>
        <rFont val="FreeSans"/>
        <family val="2"/>
      </rPr>
      <t xml:space="preserve">ผู้ขายส่งช้า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รับของไม่ครบ</t>
    </r>
  </si>
  <si>
    <t xml:space="preserve">0.2</t>
  </si>
  <si>
    <t xml:space="preserve">ยังไม่ติดตั้งและยังไม่บันทึกรับแผง</t>
  </si>
  <si>
    <r>
      <rPr>
        <sz val="9"/>
        <color rgb="FF0000FF"/>
        <rFont val="FreeSans"/>
        <family val="2"/>
      </rPr>
      <t xml:space="preserve">สั่งของตามคิว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ล่วงหน้า </t>
    </r>
    <r>
      <rPr>
        <sz val="9"/>
        <color rgb="FF0000FF"/>
        <rFont val="Tahoma"/>
        <family val="0"/>
        <charset val="1"/>
      </rPr>
      <t xml:space="preserve">4 </t>
    </r>
    <r>
      <rPr>
        <sz val="9"/>
        <color rgb="FF0000FF"/>
        <rFont val="FreeSans"/>
        <family val="2"/>
      </rPr>
      <t xml:space="preserve">สัปดาห์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ตรวจรับเข้าคลังทุกสัปดาห์</t>
    </r>
  </si>
  <si>
    <t xml:space="preserve">จัดซื้อ</t>
  </si>
  <si>
    <t xml:space="preserve">R12</t>
  </si>
  <si>
    <r>
      <rPr>
        <sz val="9"/>
        <color rgb="FF0000FF"/>
        <rFont val="FreeSans"/>
        <family val="2"/>
      </rPr>
      <t xml:space="preserve">ชำระค่าธรรมเนียม 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ไม่ทันกำหนด</t>
    </r>
  </si>
  <si>
    <r>
      <rPr>
        <sz val="9"/>
        <color rgb="FF0000FF"/>
        <rFont val="FreeSans"/>
        <family val="2"/>
      </rPr>
      <t xml:space="preserve">เบิกเงินช้า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ไม่เห็นใบแจ้งหนี้</t>
    </r>
  </si>
  <si>
    <t xml:space="preserve">อนุมัติแล้วแต่ยังไม่ชำระ</t>
  </si>
  <si>
    <r>
      <rPr>
        <sz val="9"/>
        <color rgb="FF0000FF"/>
        <rFont val="FreeSans"/>
        <family val="2"/>
      </rPr>
      <t xml:space="preserve">ตั้งเบิกเงินทันทีที่ได้ใบแจ้ง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ติดตามวันครบกำหนดในแผนรายโครงการ</t>
    </r>
  </si>
  <si>
    <t xml:space="preserve">ทบทวนความเสี่ยงใหญ่ครั้งถัดไป</t>
  </si>
  <si>
    <t xml:space="preserve">R13</t>
  </si>
  <si>
    <t xml:space="preserve">วิศวกรดูแลหลายไซต์ คิวเข้าตรวจชนกัน</t>
  </si>
  <si>
    <r>
      <rPr>
        <sz val="9"/>
        <color rgb="FF0000FF"/>
        <rFont val="FreeSans"/>
        <family val="2"/>
      </rPr>
      <t xml:space="preserve">ทีม </t>
    </r>
    <r>
      <rPr>
        <sz val="9"/>
        <color rgb="FF0000FF"/>
        <rFont val="Tahoma"/>
        <family val="0"/>
        <charset val="1"/>
      </rPr>
      <t xml:space="preserve">TC</t>
    </r>
  </si>
  <si>
    <r>
      <rPr>
        <sz val="9"/>
        <color rgb="FF0000FF"/>
        <rFont val="FreeSans"/>
        <family val="2"/>
      </rPr>
      <t xml:space="preserve">นัด กฟภ</t>
    </r>
    <r>
      <rPr>
        <sz val="9"/>
        <color rgb="FF0000FF"/>
        <rFont val="Tahoma"/>
        <family val="0"/>
        <charset val="1"/>
      </rPr>
      <t xml:space="preserve">./IEC </t>
    </r>
    <r>
      <rPr>
        <sz val="9"/>
        <color rgb="FF0000FF"/>
        <rFont val="FreeSans"/>
        <family val="2"/>
      </rPr>
      <t xml:space="preserve">หลายสถานีในสัปดาห์เดียว</t>
    </r>
  </si>
  <si>
    <t xml:space="preserve">รายวิศวกร</t>
  </si>
  <si>
    <t xml:space="preserve">3.1, 3.1.7</t>
  </si>
  <si>
    <r>
      <rPr>
        <sz val="9"/>
        <color rgb="FF0000FF"/>
        <rFont val="FreeSans"/>
        <family val="2"/>
      </rPr>
      <t xml:space="preserve">สถานีที่รอคิววิศวกร ≥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สัปดาห์</t>
    </r>
  </si>
  <si>
    <r>
      <rPr>
        <sz val="9"/>
        <color rgb="FF0000FF"/>
        <rFont val="FreeSans"/>
        <family val="2"/>
      </rPr>
      <t xml:space="preserve">ดูชีตแผนทีมรายสัปดาห์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ให้วิศวกรสลับกันดูไซต์ใกล้กัน</t>
    </r>
  </si>
  <si>
    <r>
      <rPr>
        <i val="true"/>
        <sz val="8"/>
        <color rgb="FF595959"/>
        <rFont val="FreeSans"/>
        <family val="2"/>
      </rPr>
      <t xml:space="preserve">ระบุความเสี่ยงใหม่ทั้งทีมทุก </t>
    </r>
    <r>
      <rPr>
        <i val="true"/>
        <sz val="8"/>
        <color rgb="FF595959"/>
        <rFont val="Tahoma"/>
        <family val="0"/>
        <charset val="1"/>
      </rPr>
      <t xml:space="preserve">6–9 </t>
    </r>
    <r>
      <rPr>
        <i val="true"/>
        <sz val="8"/>
        <color rgb="FF595959"/>
        <rFont val="FreeSans"/>
        <family val="2"/>
      </rPr>
      <t xml:space="preserve">สัปดาห์ หรือก่อนเริ่มรอบใหม่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ประชุมรายสัปดาห์ถามหาความเสี่ยงใหม่ทุกครั้ง</t>
    </r>
  </si>
  <si>
    <r>
      <rPr>
        <b val="true"/>
        <sz val="14"/>
        <color rgb="FF1F4E78"/>
        <rFont val="FreeSans"/>
        <family val="2"/>
      </rPr>
      <t xml:space="preserve">บันทึกการเปลี่ยนแปลงเทียบ </t>
    </r>
    <r>
      <rPr>
        <b val="true"/>
        <sz val="14"/>
        <color rgb="FF1F4E78"/>
        <rFont val="Tahoma"/>
        <family val="0"/>
        <charset val="1"/>
      </rPr>
      <t xml:space="preserve">Baseline (Change Log)</t>
    </r>
  </si>
  <si>
    <r>
      <rPr>
        <i val="true"/>
        <sz val="9"/>
        <color rgb="FF595959"/>
        <rFont val="FreeSans"/>
        <family val="2"/>
      </rPr>
      <t xml:space="preserve">ทุกครั้งที่เลื่อนแผนหรือวันนัด ให้บันทึก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สถานี งาน วันเดิม→วันใหม่ สาเหตุ วันที่กระทบ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</rPr>
      <t xml:space="preserve">และผู้อนุมัติ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รายการที่ ‘อนุมัติ’ จะไปหักใน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</rPr>
      <t xml:space="preserve">คอลัมน์ ‘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</rPr>
      <t xml:space="preserve">ช้าที่ยังไม่มีเหตุผล’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กรอง </t>
    </r>
    <r>
      <rPr>
        <i val="true"/>
        <sz val="9"/>
        <color rgb="FF595959"/>
        <rFont val="Tahoma"/>
        <family val="0"/>
        <charset val="1"/>
      </rPr>
      <t xml:space="preserve">&gt; 0 </t>
    </r>
    <r>
      <rPr>
        <i val="true"/>
        <sz val="9"/>
        <color rgb="FF595959"/>
        <rFont val="FreeSans"/>
        <family val="2"/>
      </rPr>
      <t xml:space="preserve">เพื่อดูสถานีที่ยังต้องบันทึก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ช่องรหัสสถานีพิมพ์ได้ </t>
    </r>
    <r>
      <rPr>
        <i val="true"/>
        <sz val="9"/>
        <color rgb="FF595959"/>
        <rFont val="Tahoma"/>
        <family val="0"/>
        <charset val="1"/>
      </rPr>
      <t xml:space="preserve">3 </t>
    </r>
    <r>
      <rPr>
        <i val="true"/>
        <sz val="9"/>
        <color rgb="FF595959"/>
        <rFont val="FreeSans"/>
        <family val="2"/>
      </rPr>
      <t xml:space="preserve">แบบนอกจากรหัส</t>
    </r>
    <r>
      <rPr>
        <i val="true"/>
        <sz val="9"/>
        <color rgb="FF595959"/>
        <rFont val="Tahoma"/>
        <family val="0"/>
        <charset val="1"/>
      </rPr>
      <t xml:space="preserve">: ‘</t>
    </r>
    <r>
      <rPr>
        <i val="true"/>
        <sz val="9"/>
        <color rgb="FF595959"/>
        <rFont val="FreeSans"/>
        <family val="2"/>
      </rPr>
      <t xml:space="preserve">ทั้งเฟส’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ผรม</t>
    </r>
    <r>
      <rPr>
        <i val="true"/>
        <sz val="9"/>
        <color rgb="FF595959"/>
        <rFont val="Tahoma"/>
        <family val="0"/>
        <charset val="1"/>
      </rPr>
      <t xml:space="preserve">. S’ (C, B) </t>
    </r>
    <r>
      <rPr>
        <i val="true"/>
        <sz val="9"/>
        <color rgb="FF595959"/>
        <rFont val="FreeSans"/>
        <family val="2"/>
      </rPr>
      <t xml:space="preserve">หรือ ‘เขต ฉ</t>
    </r>
    <r>
      <rPr>
        <i val="true"/>
        <sz val="9"/>
        <color rgb="FF595959"/>
        <rFont val="Tahoma"/>
        <family val="0"/>
        <charset val="1"/>
      </rPr>
      <t xml:space="preserve">.1’ = </t>
    </r>
    <r>
      <rPr>
        <i val="true"/>
        <sz val="9"/>
        <color rgb="FF595959"/>
        <rFont val="FreeSans"/>
        <family val="2"/>
      </rPr>
      <t xml:space="preserve">ใช้กับทุกสถานีในกลุ่มนั้น</t>
    </r>
  </si>
  <si>
    <t xml:space="preserve">รายการทั้งหมด</t>
  </si>
  <si>
    <t xml:space="preserve">รออนุมัติ</t>
  </si>
  <si>
    <t xml:space="preserve">อนุมัติแล้ว</t>
  </si>
  <si>
    <r>
      <rPr>
        <sz val="9"/>
        <color rgb="FF595959"/>
        <rFont val="FreeSans"/>
        <family val="2"/>
      </rPr>
      <t xml:space="preserve">วัน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ที่อนุมัติให้เลื่อน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รวม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</si>
  <si>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สถานี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ช้าที่ยังไม่บันทึกเหตุผล</t>
    </r>
  </si>
  <si>
    <r>
      <rPr>
        <sz val="9"/>
        <color rgb="FF595959"/>
        <rFont val="Tahoma"/>
        <family val="0"/>
        <charset val="1"/>
      </rPr>
      <t xml:space="preserve">4 </t>
    </r>
    <r>
      <rPr>
        <sz val="9"/>
        <color rgb="FF595959"/>
        <rFont val="FreeSans"/>
        <family val="2"/>
      </rPr>
      <t xml:space="preserve">สัปดาห์ล่าสุด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เข้าใหม่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ตัดสินแล้ว</t>
    </r>
  </si>
  <si>
    <r>
      <rPr>
        <i val="true"/>
        <sz val="8"/>
        <color rgb="FF595959"/>
        <rFont val="FreeSans"/>
        <family val="2"/>
      </rPr>
      <t xml:space="preserve">ถ้าเข้าใหม่มากกว่าตัดสินแล้วต่อเนื่อง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การเปลี่ยนแปลงเข้ามาเร็วกว่าที่ทีมปิดได้ </t>
    </r>
    <r>
      <rPr>
        <i val="true"/>
        <sz val="8"/>
        <color rgb="FF595959"/>
        <rFont val="Tahoma"/>
        <family val="0"/>
        <charset val="1"/>
      </rPr>
      <t xml:space="preserve">(PMBOK 7 Project Work)</t>
    </r>
  </si>
  <si>
    <r>
      <rPr>
        <b val="true"/>
        <sz val="10"/>
        <rFont val="FreeSans"/>
        <family val="2"/>
      </rPr>
      <t xml:space="preserve">สรุปตามสาเหตุ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เฉพาะที่อนุมัติ</t>
    </r>
    <r>
      <rPr>
        <b val="true"/>
        <sz val="10"/>
        <rFont val="Tahoma"/>
        <family val="0"/>
        <charset val="1"/>
      </rPr>
      <t xml:space="preserve">)</t>
    </r>
  </si>
  <si>
    <t xml:space="preserve">เลขที่</t>
  </si>
  <si>
    <t xml:space="preserve">วันที่บันทึก</t>
  </si>
  <si>
    <r>
      <rPr>
        <b val="true"/>
        <sz val="9"/>
        <color rgb="FFFFFFFF"/>
        <rFont val="FreeSans"/>
        <family val="2"/>
      </rPr>
      <t xml:space="preserve">งาน </t>
    </r>
    <r>
      <rPr>
        <b val="true"/>
        <sz val="9"/>
        <color rgb="FFFFFFFF"/>
        <rFont val="Tahoma"/>
        <family val="0"/>
        <charset val="1"/>
      </rPr>
      <t xml:space="preserve">/ Milestone</t>
    </r>
  </si>
  <si>
    <t xml:space="preserve">วันเดิม</t>
  </si>
  <si>
    <t xml:space="preserve">วันใหม่</t>
  </si>
  <si>
    <r>
      <rPr>
        <b val="true"/>
        <sz val="9"/>
        <color rgb="FFFFFFFF"/>
        <rFont val="FreeSans"/>
        <family val="2"/>
      </rPr>
      <t xml:space="preserve">เลื่อน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</si>
  <si>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กระทบ </t>
    </r>
    <r>
      <rPr>
        <b val="true"/>
        <sz val="9"/>
        <color rgb="FFFFFFFF"/>
        <rFont val="Tahoma"/>
        <family val="0"/>
        <charset val="1"/>
      </rPr>
      <t xml:space="preserve">COD 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</si>
  <si>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สาเหตุหลัก</t>
  </si>
  <si>
    <r>
      <rPr>
        <b val="true"/>
        <sz val="9"/>
        <color rgb="FFFFFFFF"/>
        <rFont val="FreeSans"/>
        <family val="2"/>
      </rPr>
      <t xml:space="preserve">รายละเอียด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หลักฐาน</t>
    </r>
  </si>
  <si>
    <t xml:space="preserve">ความเสี่ยง</t>
  </si>
  <si>
    <t xml:space="preserve">เสนอโดย</t>
  </si>
  <si>
    <t xml:space="preserve">ข้อเสนอทีม</t>
  </si>
  <si>
    <t xml:space="preserve">ระดับผู้อนุมัติ</t>
  </si>
  <si>
    <t xml:space="preserve">อนุมัติโดย</t>
  </si>
  <si>
    <t xml:space="preserve">วันที่อนุมัติ</t>
  </si>
  <si>
    <t xml:space="preserve">สาเหตุ</t>
  </si>
  <si>
    <t xml:space="preserve">รายการ</t>
  </si>
  <si>
    <r>
      <rPr>
        <b val="true"/>
        <sz val="9"/>
        <color rgb="FFFFFFFF"/>
        <rFont val="FreeSans"/>
        <family val="2"/>
      </rPr>
      <t xml:space="preserve">วันกระทบ </t>
    </r>
    <r>
      <rPr>
        <b val="true"/>
        <sz val="9"/>
        <color rgb="FFFFFFFF"/>
        <rFont val="Tahoma"/>
        <family val="0"/>
        <charset val="1"/>
      </rPr>
      <t xml:space="preserve">COD</t>
    </r>
  </si>
  <si>
    <t xml:space="preserve">สัดส่วน</t>
  </si>
  <si>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</si>
  <si>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</si>
  <si>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สถานี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</si>
  <si>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เอกสาร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ราชการ</t>
    </r>
  </si>
  <si>
    <r>
      <rPr>
        <sz val="9"/>
        <rFont val="FreeSans"/>
        <family val="2"/>
      </rPr>
      <t xml:space="preserve">วัสดุ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ผู้ขาย</t>
    </r>
  </si>
  <si>
    <r>
      <rPr>
        <sz val="9"/>
        <rFont val="FreeSans"/>
        <family val="2"/>
      </rPr>
      <t xml:space="preserve">ทีม </t>
    </r>
    <r>
      <rPr>
        <sz val="9"/>
        <rFont val="Tahoma"/>
        <family val="0"/>
        <charset val="1"/>
      </rPr>
      <t xml:space="preserve">TC</t>
    </r>
  </si>
  <si>
    <t xml:space="preserve">ลูกค้าเปลี่ยนขอบเขต</t>
  </si>
  <si>
    <t xml:space="preserve">อื่น ๆ</t>
  </si>
  <si>
    <t xml:space="preserve">รวม</t>
  </si>
  <si>
    <r>
      <rPr>
        <b val="true"/>
        <sz val="10"/>
        <rFont val="FreeSans"/>
        <family val="2"/>
      </rPr>
      <t xml:space="preserve">สรุปตามผู้รับเหมา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อนุมัติ</t>
    </r>
    <r>
      <rPr>
        <b val="true"/>
        <sz val="10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</si>
  <si>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เกิดจาก 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</si>
  <si>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S</t>
  </si>
  <si>
    <t xml:space="preserve">C</t>
  </si>
  <si>
    <t xml:space="preserve">B</t>
  </si>
  <si>
    <r>
      <rPr>
        <b val="true"/>
        <sz val="10"/>
        <rFont val="FreeSans"/>
        <family val="2"/>
      </rPr>
      <t xml:space="preserve">เกณฑ์อำนาจอนุมัติ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กระทบ </t>
    </r>
    <r>
      <rPr>
        <b val="true"/>
        <sz val="10"/>
        <rFont val="Tahoma"/>
        <family val="0"/>
        <charset val="1"/>
      </rPr>
      <t xml:space="preserve">COD)</t>
    </r>
  </si>
  <si>
    <r>
      <rPr>
        <b val="true"/>
        <sz val="9"/>
        <color rgb="FFFFFFFF"/>
        <rFont val="FreeSans"/>
        <family val="2"/>
      </rPr>
      <t xml:space="preserve">ไม่เกิน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</si>
  <si>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ผู้อนุมัติ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เวที</t>
    </r>
  </si>
  <si>
    <r>
      <rPr>
        <b val="true"/>
        <sz val="9"/>
        <rFont val="FreeSans"/>
        <family val="2"/>
      </rPr>
      <t xml:space="preserve">วิศวกร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ทีม</t>
    </r>
  </si>
  <si>
    <r>
      <rPr>
        <sz val="9"/>
        <rFont val="FreeSans"/>
        <family val="2"/>
      </rPr>
      <t xml:space="preserve">ไม่กระทบ </t>
    </r>
    <r>
      <rPr>
        <sz val="9"/>
        <rFont val="Tahoma"/>
        <family val="0"/>
        <charset val="1"/>
      </rPr>
      <t xml:space="preserve">COD, </t>
    </r>
    <r>
      <rPr>
        <sz val="9"/>
        <rFont val="FreeSans"/>
        <family val="2"/>
      </rPr>
      <t xml:space="preserve">บันทึกไว้อย่างเดียว</t>
    </r>
  </si>
  <si>
    <t xml:space="preserve">ประชุมรายสัปดาห์</t>
  </si>
  <si>
    <t xml:space="preserve">Change Board</t>
  </si>
  <si>
    <r>
      <rPr>
        <sz val="9"/>
        <rFont val="Tahoma"/>
        <family val="0"/>
        <charset val="1"/>
      </rPr>
      <t xml:space="preserve">PM + </t>
    </r>
    <r>
      <rPr>
        <sz val="9"/>
        <rFont val="FreeSans"/>
        <family val="2"/>
      </rPr>
      <t xml:space="preserve">ตัวแทน ผรม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</rPr>
      <t xml:space="preserve">ตัวแทน กปภ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ประชุมทุก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สัปดาห์</t>
    </r>
  </si>
  <si>
    <r>
      <rPr>
        <b val="true"/>
        <sz val="9"/>
        <rFont val="FreeSans"/>
        <family val="2"/>
      </rPr>
      <t xml:space="preserve">ผู้บริหาร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</si>
  <si>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เกินกว่านั้น หรือเปลี่ยน </t>
    </r>
    <r>
      <rPr>
        <sz val="9"/>
        <rFont val="Tahoma"/>
        <family val="0"/>
        <charset val="1"/>
      </rPr>
      <t xml:space="preserve">Baseline</t>
    </r>
  </si>
  <si>
    <r>
      <rPr>
        <b val="true"/>
        <sz val="14"/>
        <color rgb="FF1F4E78"/>
        <rFont val="Tahoma"/>
        <family val="0"/>
        <charset val="1"/>
      </rPr>
      <t xml:space="preserve">Cost of Quality – </t>
    </r>
    <r>
      <rPr>
        <b val="true"/>
        <sz val="14"/>
        <color rgb="FF1F4E78"/>
        <rFont val="FreeSans"/>
        <family val="2"/>
      </rPr>
      <t xml:space="preserve">งานแก้ซ้ำและต้นทุนคุณภาพต่ำ</t>
    </r>
  </si>
  <si>
    <r>
      <rPr>
        <i val="true"/>
        <sz val="9"/>
        <color rgb="FF595959"/>
        <rFont val="FreeSans"/>
        <family val="2"/>
      </rPr>
      <t xml:space="preserve">บันทึกงานที่ต้องทำซ้ำทุกครั้ง </t>
    </r>
    <r>
      <rPr>
        <i val="true"/>
        <sz val="9"/>
        <color rgb="FF595959"/>
        <rFont val="Tahoma"/>
        <family val="0"/>
        <charset val="1"/>
      </rPr>
      <t xml:space="preserve">(PPIM </t>
    </r>
    <r>
      <rPr>
        <i val="true"/>
        <sz val="9"/>
        <color rgb="FF595959"/>
        <rFont val="FreeSans"/>
        <family val="2"/>
      </rPr>
      <t xml:space="preserve">ขอแก้ </t>
    </r>
    <r>
      <rPr>
        <i val="true"/>
        <sz val="9"/>
        <color rgb="FF595959"/>
        <rFont val="Tahoma"/>
        <family val="0"/>
        <charset val="1"/>
      </rPr>
      <t xml:space="preserve">IEC </t>
    </r>
    <r>
      <rPr>
        <i val="true"/>
        <sz val="9"/>
        <color rgb="FF595959"/>
        <rFont val="FreeSans"/>
        <family val="2"/>
      </rPr>
      <t xml:space="preserve">ไม่ผ่าน กฟภ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ตรวจซ้ำ </t>
    </r>
    <r>
      <rPr>
        <i val="true"/>
        <sz val="9"/>
        <color rgb="FF595959"/>
        <rFont val="Tahoma"/>
        <family val="0"/>
        <charset val="1"/>
      </rPr>
      <t xml:space="preserve">Punch list </t>
    </r>
    <r>
      <rPr>
        <i val="true"/>
        <sz val="9"/>
        <color rgb="FF595959"/>
        <rFont val="FreeSans"/>
        <family val="2"/>
      </rPr>
      <t xml:space="preserve">รายงานถูกตีกลับ …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วันที่เสียและค่าใช้จ่ายว่างไว้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ใช้ค่าตั้งต้นตามประเภท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ตารางขวา เป็นค่าประมาณ ปรับได้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แถวที่มาจากไฟล์ติดตามเติมไว้ให้แล้ว ให้ระบุ ‘ผู้ทำให้เกิด’</t>
    </r>
  </si>
  <si>
    <t xml:space="preserve">งานแก้ซ้ำทั้งหมด</t>
  </si>
  <si>
    <t xml:space="preserve">ยังค้าง</t>
  </si>
  <si>
    <t xml:space="preserve">สถานีที่มีงานแก้ซ้ำ</t>
  </si>
  <si>
    <t xml:space="preserve">วันที่เสียรวม</t>
  </si>
  <si>
    <r>
      <rPr>
        <sz val="9"/>
        <color rgb="FF595959"/>
        <rFont val="FreeSans"/>
        <family val="2"/>
      </rPr>
      <t xml:space="preserve">ต้นทุนคุณภาพต่ำ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บาท</t>
    </r>
    <r>
      <rPr>
        <sz val="9"/>
        <color rgb="FF595959"/>
        <rFont val="Tahoma"/>
        <family val="0"/>
        <charset val="1"/>
      </rPr>
      <t xml:space="preserve">)</t>
    </r>
  </si>
  <si>
    <t xml:space="preserve">ยังไม่ระบุผู้ทำให้เกิด</t>
  </si>
  <si>
    <r>
      <rPr>
        <b val="true"/>
        <sz val="10"/>
        <rFont val="FreeSans"/>
        <family val="2"/>
      </rPr>
      <t xml:space="preserve">ค่าตั้งต้นต่อครั้ง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</rPr>
      <t xml:space="preserve">ประมาณการ – ปรับได้</t>
    </r>
    <r>
      <rPr>
        <b val="true"/>
        <sz val="10"/>
        <rFont val="Tahoma"/>
        <family val="0"/>
        <charset val="1"/>
      </rPr>
      <t xml:space="preserve">)</t>
    </r>
  </si>
  <si>
    <t xml:space="preserve">ลำดับ</t>
  </si>
  <si>
    <t xml:space="preserve">ประเภทงานแก้ซ้ำ</t>
  </si>
  <si>
    <t xml:space="preserve">รายละเอียด</t>
  </si>
  <si>
    <t xml:space="preserve">ผู้ทำให้เกิด</t>
  </si>
  <si>
    <r>
      <rPr>
        <b val="true"/>
        <sz val="9"/>
        <color rgb="FFFFFFFF"/>
        <rFont val="FreeSans"/>
        <family val="2"/>
      </rPr>
      <t xml:space="preserve">วันที่เสีย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กรอกเอง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</si>
  <si>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ค่าใช้จ่าย บาท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กรอกเอง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</si>
  <si>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วันที่เสีย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ใช้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</si>
  <si>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ค่าใช้จ่าย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ใช้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</si>
  <si>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แก้แล้ว </t>
    </r>
    <r>
      <rPr>
        <b val="true"/>
        <sz val="9"/>
        <color rgb="FFFFFFFF"/>
        <rFont val="Tahoma"/>
        <family val="0"/>
        <charset val="1"/>
      </rPr>
      <t xml:space="preserve">(Y)</t>
    </r>
  </si>
  <si>
    <t xml:space="preserve">วันที่เสีย</t>
  </si>
  <si>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ครั้ง</t>
    </r>
  </si>
  <si>
    <r>
      <rPr>
        <b val="true"/>
        <sz val="9"/>
        <color rgb="FFFFFFFF"/>
        <rFont val="FreeSans"/>
        <family val="2"/>
      </rPr>
      <t xml:space="preserve">ความล้มเหลว </t>
    </r>
    <r>
      <rPr>
        <b val="true"/>
        <sz val="9"/>
        <color rgb="FFFFFFFF"/>
        <rFont val="Tahoma"/>
        <family val="0"/>
        <charset val="1"/>
      </rPr>
      <t xml:space="preserve">(PMBOK)</t>
    </r>
  </si>
  <si>
    <t xml:space="preserve">ครั้ง</t>
  </si>
  <si>
    <t xml:space="preserve">ค้าง</t>
  </si>
  <si>
    <t xml:space="preserve">วันรวม</t>
  </si>
  <si>
    <t xml:space="preserve">บาทรวม</t>
  </si>
  <si>
    <t xml:space="preserve">หมายเหตุ</t>
  </si>
  <si>
    <r>
      <rPr>
        <b val="true"/>
        <sz val="9"/>
        <color rgb="FFFFFFFF"/>
        <rFont val="FreeSans"/>
        <family val="2"/>
      </rPr>
      <t xml:space="preserve">นับใน </t>
    </r>
    <r>
      <rPr>
        <b val="true"/>
        <sz val="9"/>
        <color rgb="FFFFFFFF"/>
        <rFont val="Tahoma"/>
        <family val="0"/>
        <charset val="1"/>
      </rPr>
      <t xml:space="preserve">WBS (DOE: </t>
    </r>
    <r>
      <rPr>
        <b val="true"/>
        <sz val="9"/>
        <color rgb="FFFFFFFF"/>
        <rFont val="FreeSans"/>
        <family val="2"/>
      </rPr>
      <t xml:space="preserve">งานแก้ซ้ำไม่แยกรายการ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</si>
  <si>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PPIM </t>
    </r>
    <r>
      <rPr>
        <b val="true"/>
        <sz val="9"/>
        <rFont val="FreeSans"/>
        <family val="2"/>
      </rPr>
      <t xml:space="preserve">ยื่นแก้ไขเอกสาร</t>
    </r>
  </si>
  <si>
    <t xml:space="preserve">ภายนอก</t>
  </si>
  <si>
    <r>
      <rPr>
        <i val="true"/>
        <sz val="8"/>
        <color rgb="FF595959"/>
        <rFont val="FreeSans"/>
        <family val="2"/>
      </rPr>
      <t xml:space="preserve">เวลารอผลรอบใหม่</t>
    </r>
    <r>
      <rPr>
        <i val="true"/>
        <sz val="8"/>
        <color rgb="FF595959"/>
        <rFont val="Tahoma"/>
        <family val="0"/>
        <charset val="1"/>
      </rPr>
      <t xml:space="preserve">, Admin + </t>
    </r>
    <r>
      <rPr>
        <i val="true"/>
        <sz val="8"/>
        <color rgb="FF595959"/>
        <rFont val="FreeSans"/>
        <family val="2"/>
      </rPr>
      <t xml:space="preserve">วิศวกรครึ่งวัน</t>
    </r>
  </si>
  <si>
    <t xml:space="preserve">1.7.2</t>
  </si>
  <si>
    <r>
      <rPr>
        <b val="true"/>
        <sz val="9"/>
        <rFont val="FreeSans"/>
        <family val="2"/>
      </rPr>
      <t xml:space="preserve">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ตรวจไม่ผ่าน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นัดตรวจซ้ำ</t>
    </r>
  </si>
  <si>
    <r>
      <rPr>
        <i val="true"/>
        <sz val="8"/>
        <color rgb="FF595959"/>
        <rFont val="FreeSans"/>
        <family val="2"/>
      </rPr>
      <t xml:space="preserve">รอนัดใหม่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ทีมเข้าไซต์อีกครั้ง</t>
    </r>
  </si>
  <si>
    <r>
      <rPr>
        <b val="true"/>
        <sz val="9"/>
        <rFont val="Tahoma"/>
        <family val="0"/>
        <charset val="1"/>
      </rPr>
      <t xml:space="preserve">IEC 62446 </t>
    </r>
    <r>
      <rPr>
        <b val="true"/>
        <sz val="9"/>
        <rFont val="FreeSans"/>
        <family val="2"/>
      </rPr>
      <t xml:space="preserve">ไม่ผ่าน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ทดสอบซ้ำ</t>
    </r>
  </si>
  <si>
    <t xml:space="preserve">ภายใน</t>
  </si>
  <si>
    <r>
      <rPr>
        <i val="true"/>
        <sz val="8"/>
        <color rgb="FF595959"/>
        <rFont val="FreeSans"/>
        <family val="2"/>
      </rPr>
      <t xml:space="preserve">ทีมทดสอบ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</rPr>
      <t xml:space="preserve">เครื่องมือ </t>
    </r>
    <r>
      <rPr>
        <i val="true"/>
        <sz val="8"/>
        <color rgb="FF595959"/>
        <rFont val="Tahoma"/>
        <family val="0"/>
        <charset val="1"/>
      </rPr>
      <t xml:space="preserve">1 </t>
    </r>
    <r>
      <rPr>
        <i val="true"/>
        <sz val="8"/>
        <color rgb="FF595959"/>
        <rFont val="FreeSans"/>
        <family val="2"/>
      </rPr>
      <t xml:space="preserve">วัน</t>
    </r>
  </si>
  <si>
    <r>
      <rPr>
        <b val="true"/>
        <sz val="9"/>
        <rFont val="Tahoma"/>
        <family val="0"/>
        <charset val="1"/>
      </rPr>
      <t xml:space="preserve">Punch list </t>
    </r>
    <r>
      <rPr>
        <b val="true"/>
        <sz val="9"/>
        <rFont val="FreeSans"/>
        <family val="2"/>
      </rPr>
      <t xml:space="preserve">จากการตรวจรับ</t>
    </r>
  </si>
  <si>
    <t xml:space="preserve">ต่อรายการ</t>
  </si>
  <si>
    <r>
      <rPr>
        <sz val="9"/>
        <rFont val="FreeSans"/>
        <family val="2"/>
      </rPr>
      <t xml:space="preserve">งาน </t>
    </r>
    <r>
      <rPr>
        <sz val="9"/>
        <rFont val="Tahoma"/>
        <family val="0"/>
        <charset val="1"/>
      </rPr>
      <t xml:space="preserve">2.x </t>
    </r>
    <r>
      <rPr>
        <sz val="9"/>
        <rFont val="FreeSans"/>
        <family val="2"/>
      </rPr>
      <t xml:space="preserve">ที่แก้</t>
    </r>
  </si>
  <si>
    <r>
      <rPr>
        <b val="true"/>
        <sz val="9"/>
        <rFont val="FreeSans"/>
        <family val="2"/>
      </rPr>
      <t xml:space="preserve">รายงาน ผรม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ถูกตีกลับ</t>
    </r>
  </si>
  <si>
    <r>
      <rPr>
        <i val="true"/>
        <sz val="8"/>
        <color rgb="FF595959"/>
        <rFont val="FreeSans"/>
        <family val="2"/>
      </rPr>
      <t xml:space="preserve">รายงานประจำวัน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สัปดาห์</t>
    </r>
  </si>
  <si>
    <r>
      <rPr>
        <b val="true"/>
        <sz val="9"/>
        <rFont val="Tahoma"/>
        <family val="0"/>
        <charset val="1"/>
      </rPr>
      <t xml:space="preserve">As-built / </t>
    </r>
    <r>
      <rPr>
        <b val="true"/>
        <sz val="9"/>
        <rFont val="FreeSans"/>
        <family val="2"/>
      </rPr>
      <t xml:space="preserve">แบบต้องแก้</t>
    </r>
  </si>
  <si>
    <r>
      <rPr>
        <i val="true"/>
        <sz val="8"/>
        <color rgb="FF595959"/>
        <rFont val="FreeSans"/>
        <family val="2"/>
      </rPr>
      <t xml:space="preserve">เขียนแบบ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</rPr>
      <t xml:space="preserve">ลงนามใหม่</t>
    </r>
  </si>
  <si>
    <t xml:space="preserve">3.1.8</t>
  </si>
  <si>
    <t xml:space="preserve">เอกสารส่งมอบงวดถูกตีกลับ</t>
  </si>
  <si>
    <t xml:space="preserve">ส่งมอบงวดเลื่อน</t>
  </si>
  <si>
    <r>
      <rPr>
        <b val="true"/>
        <sz val="9"/>
        <rFont val="FreeSans"/>
        <family val="2"/>
      </rPr>
      <t xml:space="preserve">งานรื้อ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ทำใหม่หน้างาน</t>
    </r>
  </si>
  <si>
    <r>
      <rPr>
        <i val="true"/>
        <sz val="8"/>
        <color rgb="FF595959"/>
        <rFont val="FreeSans"/>
        <family val="2"/>
      </rPr>
      <t xml:space="preserve">แรงงาน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</rPr>
      <t xml:space="preserve">วัสดุ</t>
    </r>
  </si>
  <si>
    <t xml:space="preserve">งานเดิม</t>
  </si>
  <si>
    <t xml:space="preserve">ตามผู้รับเหมา</t>
  </si>
  <si>
    <t xml:space="preserve">งานแก้ซ้ำ</t>
  </si>
  <si>
    <t xml:space="preserve">ต่อสถานี</t>
  </si>
  <si>
    <t xml:space="preserve">ตามผู้ทำให้เกิด</t>
  </si>
  <si>
    <r>
      <rPr>
        <b val="true"/>
        <sz val="9"/>
        <rFont val="FreeSans"/>
        <family val="2"/>
      </rPr>
      <t xml:space="preserve">ผรม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</si>
  <si>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</rPr>
      <t xml:space="preserve">ทีม </t>
    </r>
    <r>
      <rPr>
        <b val="true"/>
        <sz val="9"/>
        <rFont val="Tahoma"/>
        <family val="0"/>
        <charset val="1"/>
      </rPr>
      <t xml:space="preserve">TC</t>
    </r>
  </si>
  <si>
    <r>
      <rPr>
        <b val="true"/>
        <sz val="9"/>
        <rFont val="FreeSans"/>
        <family val="2"/>
      </rPr>
      <t xml:space="preserve">กฟภ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</si>
  <si>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</rPr>
      <t xml:space="preserve">สถานี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</si>
  <si>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t xml:space="preserve">ผู้ขาย</t>
  </si>
  <si>
    <t xml:space="preserve">ยังไม่ระบุ</t>
  </si>
  <si>
    <r>
      <rPr>
        <b val="true"/>
        <sz val="10"/>
        <rFont val="FreeSans"/>
        <family val="2"/>
      </rPr>
      <t xml:space="preserve">ตามหมวด </t>
    </r>
    <r>
      <rPr>
        <b val="true"/>
        <sz val="10"/>
        <rFont val="Tahoma"/>
        <family val="0"/>
        <charset val="1"/>
      </rPr>
      <t xml:space="preserve">Cost of Quality (PMBOK 8.1)</t>
    </r>
  </si>
  <si>
    <r>
      <rPr>
        <b val="true"/>
        <sz val="9"/>
        <rFont val="FreeSans"/>
        <family val="2"/>
      </rPr>
      <t xml:space="preserve">ความล้มเหลวภายใน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เราพบเอง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</si>
  <si>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ความล้มเหลวภายนอก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กฟภ</t>
    </r>
    <r>
      <rPr>
        <b val="true"/>
        <sz val="9"/>
        <rFont val="Tahoma"/>
        <family val="0"/>
        <charset val="1"/>
      </rPr>
      <t xml:space="preserve">./</t>
    </r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พบ</t>
    </r>
    <r>
      <rPr>
        <b val="true"/>
        <sz val="9"/>
        <rFont val="Tahoma"/>
        <family val="0"/>
        <charset val="1"/>
      </rPr>
      <t xml:space="preserve">)</t>
    </r>
  </si>
  <si>
    <r>
      <rPr>
        <i val="true"/>
        <sz val="8"/>
        <color rgb="FF595959"/>
        <rFont val="FreeSans"/>
        <family val="2"/>
      </rPr>
      <t xml:space="preserve">ต้นทุนป้องกัน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เช็กลิสต์ก่อนยื่น อบรม ผรม</t>
    </r>
    <r>
      <rPr>
        <i val="true"/>
        <sz val="8"/>
        <color rgb="FF595959"/>
        <rFont val="Tahoma"/>
        <family val="0"/>
        <charset val="1"/>
      </rPr>
      <t xml:space="preserve">.) </t>
    </r>
    <r>
      <rPr>
        <i val="true"/>
        <sz val="8"/>
        <color rgb="FF595959"/>
        <rFont val="FreeSans"/>
        <family val="2"/>
      </rPr>
      <t xml:space="preserve">และต้นทุนตรวจสอบ </t>
    </r>
    <r>
      <rPr>
        <i val="true"/>
        <sz val="8"/>
        <color rgb="FF595959"/>
        <rFont val="Tahoma"/>
        <family val="0"/>
        <charset val="1"/>
      </rPr>
      <t xml:space="preserve">(IEC, </t>
    </r>
    <r>
      <rPr>
        <i val="true"/>
        <sz val="8"/>
        <color rgb="FF595959"/>
        <rFont val="FreeSans"/>
        <family val="2"/>
      </rPr>
      <t xml:space="preserve">วิศวกรตรวจรายงาน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ไม่ได้นับในชีตนี้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ภายนอกสูงกว่าภายในมาก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ควรลงทุนตรวจก่อนส่งเพิ่ม</t>
    </r>
  </si>
  <si>
    <r>
      <rPr>
        <b val="true"/>
        <sz val="14"/>
        <color rgb="FF1F4E78"/>
        <rFont val="FreeSans"/>
        <family val="2"/>
      </rPr>
      <t xml:space="preserve">สรุปต้นทุนตามรูปแบบรายงาน </t>
    </r>
    <r>
      <rPr>
        <b val="true"/>
        <sz val="14"/>
        <color rgb="FF1F4E78"/>
        <rFont val="Tahoma"/>
        <family val="0"/>
        <charset val="1"/>
      </rPr>
      <t xml:space="preserve">ICMS: </t>
    </r>
    <r>
      <rPr>
        <b val="true"/>
        <sz val="14"/>
        <color rgb="FF1F4E78"/>
        <rFont val="FreeSans"/>
        <family val="2"/>
      </rPr>
      <t xml:space="preserve">ทั้งโครงการ </t>
    </r>
    <r>
      <rPr>
        <b val="true"/>
        <sz val="14"/>
        <color rgb="FF1F4E78"/>
        <rFont val="Tahoma"/>
        <family val="0"/>
        <charset val="1"/>
      </rPr>
      <t xml:space="preserve">20 </t>
    </r>
    <r>
      <rPr>
        <b val="true"/>
        <sz val="14"/>
        <color rgb="FF1F4E78"/>
        <rFont val="FreeSans"/>
        <family val="2"/>
      </rPr>
      <t xml:space="preserve">สถานี</t>
    </r>
  </si>
  <si>
    <r>
      <rPr>
        <sz val="9"/>
        <color rgb="FF595959"/>
        <rFont val="FreeSans"/>
        <family val="2"/>
      </rPr>
      <t xml:space="preserve">งบมาจาก ‘งบรวมทุกสถานี’ ของชีต </t>
    </r>
    <r>
      <rPr>
        <sz val="9"/>
        <color rgb="FF595959"/>
        <rFont val="Tahoma"/>
        <family val="0"/>
        <charset val="1"/>
      </rPr>
      <t xml:space="preserve">ICMS WBS, ‘not applicable’ / ‘excluded’ </t>
    </r>
    <r>
      <rPr>
        <sz val="9"/>
        <color rgb="FF595959"/>
        <rFont val="FreeSans"/>
        <family val="2"/>
      </rPr>
      <t xml:space="preserve">ตาม </t>
    </r>
    <r>
      <rPr>
        <sz val="9"/>
        <color rgb="FF595959"/>
        <rFont val="Tahoma"/>
        <family val="0"/>
        <charset val="1"/>
      </rPr>
      <t xml:space="preserve">ICMS §2.2</t>
    </r>
  </si>
  <si>
    <r>
      <rPr>
        <b val="true"/>
        <sz val="9"/>
        <color rgb="FF000000"/>
        <rFont val="Tahoma"/>
        <family val="0"/>
        <charset val="1"/>
      </rPr>
      <t xml:space="preserve">Project Category (</t>
    </r>
    <r>
      <rPr>
        <b val="true"/>
        <sz val="9"/>
        <color rgb="FF000000"/>
        <rFont val="FreeSans"/>
        <family val="2"/>
      </rPr>
      <t xml:space="preserve">ระดับ </t>
    </r>
    <r>
      <rPr>
        <b val="true"/>
        <sz val="9"/>
        <color rgb="FF000000"/>
        <rFont val="Tahoma"/>
        <family val="0"/>
        <charset val="1"/>
      </rPr>
      <t xml:space="preserve">1)</t>
    </r>
  </si>
  <si>
    <r>
      <rPr>
        <sz val="9"/>
        <color rgb="FF000000"/>
        <rFont val="Tahoma"/>
        <family val="0"/>
        <charset val="1"/>
      </rPr>
      <t xml:space="preserve">Power-Generating Plants: solar power (PV rooftop / </t>
    </r>
    <r>
      <rPr>
        <sz val="9"/>
        <color rgb="FF000000"/>
        <rFont val="FreeSans"/>
        <family val="2"/>
      </rPr>
      <t xml:space="preserve">ถังน้ำ </t>
    </r>
    <r>
      <rPr>
        <sz val="9"/>
        <color rgb="FF000000"/>
        <rFont val="Tahoma"/>
        <family val="0"/>
        <charset val="1"/>
      </rPr>
      <t xml:space="preserve">/ carport)</t>
    </r>
  </si>
  <si>
    <t xml:space="preserve">จำนวนสถานี</t>
  </si>
  <si>
    <r>
      <rPr>
        <b val="true"/>
        <sz val="9"/>
        <color rgb="FF000000"/>
        <rFont val="FreeSans"/>
        <family val="2"/>
      </rPr>
      <t xml:space="preserve">กำลังผลิตรวม </t>
    </r>
    <r>
      <rPr>
        <b val="true"/>
        <sz val="9"/>
        <color rgb="FF000000"/>
        <rFont val="Tahoma"/>
        <family val="0"/>
        <charset val="1"/>
      </rPr>
      <t xml:space="preserve">(kWp)</t>
    </r>
  </si>
  <si>
    <r>
      <rPr>
        <b val="true"/>
        <sz val="9"/>
        <color rgb="FF000000"/>
        <rFont val="FreeSans"/>
        <family val="2"/>
      </rPr>
      <t xml:space="preserve">พื้นที่แผงรวม </t>
    </r>
    <r>
      <rPr>
        <b val="true"/>
        <sz val="9"/>
        <color rgb="FF000000"/>
        <rFont val="Tahoma"/>
        <family val="0"/>
        <charset val="1"/>
      </rPr>
      <t xml:space="preserve">(m²)</t>
    </r>
  </si>
  <si>
    <t xml:space="preserve">สกุลเงิน</t>
  </si>
  <si>
    <t xml:space="preserve">THB</t>
  </si>
  <si>
    <t xml:space="preserve">วันที่ฐานราคา</t>
  </si>
  <si>
    <t xml:space="preserve">Cost Category / Group</t>
  </si>
  <si>
    <t xml:space="preserve">ชื่อไทย</t>
  </si>
  <si>
    <r>
      <rPr>
        <b val="true"/>
        <sz val="9"/>
        <color rgb="FFFFFFFF"/>
        <rFont val="FreeSans"/>
        <family val="2"/>
      </rPr>
      <t xml:space="preserve">งบ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</si>
  <si>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สัดส่วนงบ</t>
  </si>
  <si>
    <r>
      <rPr>
        <b val="true"/>
        <sz val="9"/>
        <color rgb="FFFFFFFF"/>
        <rFont val="FreeSans"/>
        <family val="2"/>
      </rPr>
      <t xml:space="preserve">บาท </t>
    </r>
    <r>
      <rPr>
        <b val="true"/>
        <sz val="9"/>
        <color rgb="FFFFFFFF"/>
        <rFont val="Tahoma"/>
        <family val="0"/>
        <charset val="1"/>
      </rPr>
      <t xml:space="preserve">/ kWp</t>
    </r>
  </si>
  <si>
    <r>
      <rPr>
        <b val="true"/>
        <sz val="9"/>
        <color rgb="FFFFFFFF"/>
        <rFont val="FreeSans"/>
        <family val="2"/>
      </rPr>
      <t xml:space="preserve">บาท </t>
    </r>
    <r>
      <rPr>
        <b val="true"/>
        <sz val="9"/>
        <color rgb="FFFFFFFF"/>
        <rFont val="Tahoma"/>
        <family val="0"/>
        <charset val="1"/>
      </rPr>
      <t xml:space="preserve">/ m²</t>
    </r>
  </si>
  <si>
    <r>
      <rPr>
        <b val="true"/>
        <sz val="9"/>
        <color rgb="FFFFFFFF"/>
        <rFont val="FreeSans"/>
        <family val="2"/>
      </rPr>
      <t xml:space="preserve">น้ำหนักงานใน </t>
    </r>
    <r>
      <rPr>
        <b val="true"/>
        <sz val="9"/>
        <color rgb="FFFFFFFF"/>
        <rFont val="Tahoma"/>
        <family val="0"/>
        <charset val="1"/>
      </rPr>
      <t xml:space="preserve">Master Plan (%)</t>
    </r>
  </si>
  <si>
    <r>
      <rPr>
        <b val="true"/>
        <sz val="9"/>
        <color rgb="FFFFFFFF"/>
        <rFont val="FreeSans"/>
        <family val="2"/>
      </rPr>
      <t xml:space="preserve">สถานะ </t>
    </r>
    <r>
      <rPr>
        <b val="true"/>
        <sz val="9"/>
        <color rgb="FFFFFFFF"/>
        <rFont val="Tahoma"/>
        <family val="0"/>
        <charset val="1"/>
      </rPr>
      <t xml:space="preserve">ICMS</t>
    </r>
  </si>
  <si>
    <t xml:space="preserve">0</t>
  </si>
  <si>
    <t xml:space="preserve">Total Project Capital Cost (1 + 2)</t>
  </si>
  <si>
    <t xml:space="preserve">ต้นทุนลงทุนรวมของโครงการ</t>
  </si>
  <si>
    <t xml:space="preserve">1</t>
  </si>
  <si>
    <t xml:space="preserve">Capital Construction Costs</t>
  </si>
  <si>
    <t xml:space="preserve">ต้นทุนงานก่อสร้าง</t>
  </si>
  <si>
    <t xml:space="preserve">1.1</t>
  </si>
  <si>
    <t xml:space="preserve">Demolition and site preparation</t>
  </si>
  <si>
    <t xml:space="preserve">รื้อถอนและเตรียมพื้นที่</t>
  </si>
  <si>
    <t xml:space="preserve">1.2</t>
  </si>
  <si>
    <t xml:space="preserve">Substructure</t>
  </si>
  <si>
    <r>
      <rPr>
        <sz val="9"/>
        <color rgb="FF000000"/>
        <rFont val="FreeSans"/>
        <family val="2"/>
      </rPr>
      <t xml:space="preserve">โครงสร้างใต้ดิน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ฐานราก</t>
    </r>
  </si>
  <si>
    <t xml:space="preserve">1.3</t>
  </si>
  <si>
    <t xml:space="preserve">Structure</t>
  </si>
  <si>
    <t xml:space="preserve">1.4</t>
  </si>
  <si>
    <t xml:space="preserve">Architectural works | non-structural works</t>
  </si>
  <si>
    <r>
      <rPr>
        <sz val="9"/>
        <color rgb="FF000000"/>
        <rFont val="FreeSans"/>
        <family val="2"/>
      </rPr>
      <t xml:space="preserve">งานสถาปัตย์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งานไม่รับน้ำหนัก</t>
    </r>
  </si>
  <si>
    <t xml:space="preserve">Services and equipment</t>
  </si>
  <si>
    <t xml:space="preserve">ระบบและอุปกรณ์</t>
  </si>
  <si>
    <t xml:space="preserve">1.6</t>
  </si>
  <si>
    <t xml:space="preserve">Underground drainage</t>
  </si>
  <si>
    <t xml:space="preserve">ระบายน้ำใต้ดิน</t>
  </si>
  <si>
    <t xml:space="preserve">1.7</t>
  </si>
  <si>
    <t xml:space="preserve">External works</t>
  </si>
  <si>
    <t xml:space="preserve">งานภายนอก</t>
  </si>
  <si>
    <t xml:space="preserve">1.8</t>
  </si>
  <si>
    <t xml:space="preserve">Preliminaries | contractor's site overheads</t>
  </si>
  <si>
    <t xml:space="preserve">ค่าดำเนินการหน้างานของผู้รับเหมา</t>
  </si>
  <si>
    <t xml:space="preserve">1.9</t>
  </si>
  <si>
    <t xml:space="preserve">Risk Allowances</t>
  </si>
  <si>
    <r>
      <rPr>
        <sz val="9"/>
        <color rgb="FF000000"/>
        <rFont val="FreeSans"/>
        <family val="2"/>
      </rPr>
      <t xml:space="preserve">เงินสำรองความเสี่ยง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งานก่อสร้าง</t>
    </r>
    <r>
      <rPr>
        <sz val="9"/>
        <color rgb="FF000000"/>
        <rFont val="Tahoma"/>
        <family val="0"/>
        <charset val="1"/>
      </rPr>
      <t xml:space="preserve">)</t>
    </r>
  </si>
  <si>
    <t xml:space="preserve">1.10</t>
  </si>
  <si>
    <t xml:space="preserve">Taxes and Levies</t>
  </si>
  <si>
    <t xml:space="preserve">ภาษีและค่าธรรมเนียม</t>
  </si>
  <si>
    <t xml:space="preserve">2</t>
  </si>
  <si>
    <t xml:space="preserve">Associated Capital Costs</t>
  </si>
  <si>
    <t xml:space="preserve">ต้นทุนเกี่ยวเนื่อง</t>
  </si>
  <si>
    <t xml:space="preserve">Land or Property acquisition</t>
  </si>
  <si>
    <r>
      <rPr>
        <sz val="9"/>
        <color rgb="FF000000"/>
        <rFont val="FreeSans"/>
        <family val="2"/>
      </rPr>
      <t xml:space="preserve">ค่าที่ดิน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ทรัพย์สิน</t>
    </r>
  </si>
  <si>
    <t xml:space="preserve">Construction-related consultants and supervision</t>
  </si>
  <si>
    <t xml:space="preserve">ที่ปรึกษาและควบคุมงาน</t>
  </si>
  <si>
    <t xml:space="preserve">Work and utilities outside site</t>
  </si>
  <si>
    <t xml:space="preserve">งานและสาธารณูปโภคนอกพื้นที่</t>
  </si>
  <si>
    <t xml:space="preserve">Loose furniture, fittings and equipment</t>
  </si>
  <si>
    <t xml:space="preserve">เฟอร์นิเจอร์และอุปกรณ์ลอย</t>
  </si>
  <si>
    <t xml:space="preserve">Administrative, finance, legal and marketing expenses</t>
  </si>
  <si>
    <t xml:space="preserve">ค่าบริหาร การเงิน กฎหมาย</t>
  </si>
  <si>
    <r>
      <rPr>
        <sz val="9"/>
        <color rgb="FF000000"/>
        <rFont val="FreeSans"/>
        <family val="2"/>
      </rPr>
      <t xml:space="preserve">เงินสำรองความเสี่ยง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ต้นทุนเกี่ยวเนื่อง</t>
    </r>
    <r>
      <rPr>
        <sz val="9"/>
        <color rgb="FF000000"/>
        <rFont val="Tahoma"/>
        <family val="0"/>
        <charset val="1"/>
      </rPr>
      <t xml:space="preserve">)</t>
    </r>
  </si>
  <si>
    <t xml:space="preserve">ตรวจ</t>
  </si>
  <si>
    <r>
      <rPr>
        <sz val="9"/>
        <color rgb="FF000000"/>
        <rFont val="FreeSans"/>
        <family val="2"/>
      </rPr>
      <t xml:space="preserve">น้ำหนักงานคือความพยายามตาม </t>
    </r>
    <r>
      <rPr>
        <sz val="9"/>
        <color rgb="FF000000"/>
        <rFont val="Tahoma"/>
        <family val="0"/>
        <charset val="1"/>
      </rPr>
      <t xml:space="preserve">Master Plan </t>
    </r>
    <r>
      <rPr>
        <sz val="9"/>
        <color rgb="FF000000"/>
        <rFont val="FreeSans"/>
        <family val="2"/>
      </rPr>
      <t xml:space="preserve">ใช้เทียบกับสัดส่วนงบได้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ตัวอย่าง </t>
    </r>
    <r>
      <rPr>
        <sz val="9"/>
        <color rgb="FF000000"/>
        <rFont val="Tahoma"/>
        <family val="0"/>
        <charset val="1"/>
      </rPr>
      <t xml:space="preserve">RICS: WBS by percentage) </t>
    </r>
    <r>
      <rPr>
        <sz val="9"/>
        <color rgb="FF000000"/>
        <rFont val="FreeSans"/>
        <family val="2"/>
      </rPr>
      <t xml:space="preserve">แต่ไม่ใช่ราคา</t>
    </r>
  </si>
  <si>
    <r>
      <rPr>
        <b val="true"/>
        <sz val="14"/>
        <color rgb="FF1F4E78"/>
        <rFont val="FreeSans"/>
        <family val="2"/>
      </rPr>
      <t xml:space="preserve">งาน </t>
    </r>
    <r>
      <rPr>
        <b val="true"/>
        <sz val="14"/>
        <color rgb="FF1F4E78"/>
        <rFont val="Tahoma"/>
        <family val="0"/>
        <charset val="1"/>
      </rPr>
      <t xml:space="preserve">WBS </t>
    </r>
    <r>
      <rPr>
        <b val="true"/>
        <sz val="14"/>
        <color rgb="FF1F4E78"/>
        <rFont val="FreeSans"/>
        <family val="2"/>
      </rPr>
      <t xml:space="preserve">กับกลุ่มต้นทุน </t>
    </r>
    <r>
      <rPr>
        <b val="true"/>
        <sz val="14"/>
        <color rgb="FF1F4E78"/>
        <rFont val="Tahoma"/>
        <family val="0"/>
        <charset val="1"/>
      </rPr>
      <t xml:space="preserve">ICMS</t>
    </r>
  </si>
  <si>
    <r>
      <rPr>
        <sz val="9"/>
        <color rgb="FF595959"/>
        <rFont val="FreeSans"/>
        <family val="2"/>
      </rPr>
      <t xml:space="preserve">ระดับ </t>
    </r>
    <r>
      <rPr>
        <sz val="9"/>
        <color rgb="FF595959"/>
        <rFont val="Tahoma"/>
        <family val="0"/>
        <charset val="1"/>
      </rPr>
      <t xml:space="preserve">4 </t>
    </r>
    <r>
      <rPr>
        <sz val="9"/>
        <color rgb="FF595959"/>
        <rFont val="FreeSans"/>
        <family val="2"/>
      </rPr>
      <t xml:space="preserve">ของ </t>
    </r>
    <r>
      <rPr>
        <sz val="9"/>
        <color rgb="FF595959"/>
        <rFont val="Tahoma"/>
        <family val="0"/>
        <charset val="1"/>
      </rPr>
      <t xml:space="preserve">ICMS =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WBS </t>
    </r>
    <r>
      <rPr>
        <sz val="9"/>
        <color rgb="FF595959"/>
        <rFont val="FreeSans"/>
        <family val="2"/>
      </rPr>
      <t xml:space="preserve">ระดับ </t>
    </r>
    <r>
      <rPr>
        <sz val="9"/>
        <color rgb="FF595959"/>
        <rFont val="Tahoma"/>
        <family val="0"/>
        <charset val="1"/>
      </rPr>
      <t xml:space="preserve">3 </t>
    </r>
    <r>
      <rPr>
        <sz val="9"/>
        <color rgb="FF595959"/>
        <rFont val="FreeSans"/>
        <family val="2"/>
      </rPr>
      <t xml:space="preserve">ของ </t>
    </r>
    <r>
      <rPr>
        <sz val="9"/>
        <color rgb="FF595959"/>
        <rFont val="Tahoma"/>
        <family val="0"/>
        <charset val="1"/>
      </rPr>
      <t xml:space="preserve">Master Plan, </t>
    </r>
    <r>
      <rPr>
        <sz val="9"/>
        <color rgb="FF595959"/>
        <rFont val="FreeSans"/>
        <family val="2"/>
      </rPr>
      <t xml:space="preserve">ช่องเหลืองแก้ได้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น้ำหนักงาน </t>
    </r>
    <r>
      <rPr>
        <sz val="9"/>
        <color rgb="FF595959"/>
        <rFont val="Tahoma"/>
        <family val="0"/>
        <charset val="1"/>
      </rPr>
      <t xml:space="preserve">(%) </t>
    </r>
    <r>
      <rPr>
        <sz val="9"/>
        <color rgb="FF595959"/>
        <rFont val="FreeSans"/>
        <family val="2"/>
      </rPr>
      <t xml:space="preserve">คือความพยายาม ไม่ใช่ต้นทุน</t>
    </r>
  </si>
  <si>
    <t xml:space="preserve">ชื่องาน</t>
  </si>
  <si>
    <r>
      <rPr>
        <b val="true"/>
        <sz val="9"/>
        <color rgb="FFFFFFFF"/>
        <rFont val="FreeSans"/>
        <family val="2"/>
      </rPr>
      <t xml:space="preserve">น้ำหนักงาน </t>
    </r>
    <r>
      <rPr>
        <b val="true"/>
        <sz val="9"/>
        <color rgb="FFFFFFFF"/>
        <rFont val="Tahoma"/>
        <family val="0"/>
        <charset val="1"/>
      </rPr>
      <t xml:space="preserve">(%)</t>
    </r>
  </si>
  <si>
    <r>
      <rPr>
        <b val="true"/>
        <sz val="9"/>
        <color rgb="FFFFFFFF"/>
        <rFont val="FreeSans"/>
        <family val="2"/>
      </rPr>
      <t xml:space="preserve">รหัส </t>
    </r>
    <r>
      <rPr>
        <b val="true"/>
        <sz val="9"/>
        <color rgb="FFFFFFFF"/>
        <rFont val="Tahoma"/>
        <family val="0"/>
        <charset val="1"/>
      </rPr>
      <t xml:space="preserve">ICMS</t>
    </r>
  </si>
  <si>
    <r>
      <rPr>
        <b val="true"/>
        <sz val="9"/>
        <color rgb="FFFFFFFF"/>
        <rFont val="FreeSans"/>
        <family val="2"/>
      </rPr>
      <t xml:space="preserve">กลุ่ม </t>
    </r>
    <r>
      <rPr>
        <b val="true"/>
        <sz val="9"/>
        <color rgb="FFFFFFFF"/>
        <rFont val="Tahoma"/>
        <family val="0"/>
        <charset val="1"/>
      </rPr>
      <t xml:space="preserve">ICMS</t>
    </r>
  </si>
  <si>
    <r>
      <rPr>
        <b val="true"/>
        <sz val="9"/>
        <color rgb="FFFFFFFF"/>
        <rFont val="FreeSans"/>
        <family val="2"/>
      </rPr>
      <t xml:space="preserve">หมายเหตุการจัดกลุ่ม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การแยก</t>
    </r>
  </si>
  <si>
    <r>
      <rPr>
        <b val="true"/>
        <sz val="9"/>
        <color rgb="FFFFFFFF"/>
        <rFont val="FreeSans"/>
        <family val="2"/>
      </rPr>
      <t xml:space="preserve">งบต่อสถานี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</si>
  <si>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งบรวม </t>
    </r>
    <r>
      <rPr>
        <b val="true"/>
        <sz val="9"/>
        <color rgb="FFFFFFFF"/>
        <rFont val="Tahoma"/>
        <family val="0"/>
        <charset val="1"/>
      </rPr>
      <t xml:space="preserve">20 </t>
    </r>
    <r>
      <rPr>
        <b val="true"/>
        <sz val="9"/>
        <color rgb="FFFFFFFF"/>
        <rFont val="FreeSans"/>
        <family val="2"/>
      </rPr>
      <t xml:space="preserve">สถานี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</si>
  <si>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000000"/>
        <rFont val="Tahoma"/>
        <family val="0"/>
        <charset val="1"/>
      </rPr>
      <t xml:space="preserve">Project Controls, HSE </t>
    </r>
    <r>
      <rPr>
        <b val="true"/>
        <sz val="9"/>
        <color rgb="FF000000"/>
        <rFont val="FreeSans"/>
        <family val="2"/>
      </rPr>
      <t xml:space="preserve">และ </t>
    </r>
    <r>
      <rPr>
        <b val="true"/>
        <sz val="9"/>
        <color rgb="FF000000"/>
        <rFont val="Tahoma"/>
        <family val="0"/>
        <charset val="1"/>
      </rPr>
      <t xml:space="preserve">Quality</t>
    </r>
  </si>
  <si>
    <t xml:space="preserve">ดูงานย่อย</t>
  </si>
  <si>
    <r>
      <rPr>
        <sz val="9"/>
        <color rgb="FF000000"/>
        <rFont val="FreeSans"/>
        <family val="2"/>
      </rPr>
      <t xml:space="preserve">    แผนบริหารโครงการ </t>
    </r>
    <r>
      <rPr>
        <sz val="9"/>
        <color rgb="FF000000"/>
        <rFont val="Tahoma"/>
        <family val="0"/>
        <charset val="1"/>
      </rPr>
      <t xml:space="preserve">(PEP) + Baseline</t>
    </r>
  </si>
  <si>
    <r>
      <rPr>
        <sz val="9"/>
        <color rgb="FF000000"/>
        <rFont val="FreeSans"/>
        <family val="2"/>
      </rPr>
      <t xml:space="preserve">    แผนความปลอดภัย </t>
    </r>
    <r>
      <rPr>
        <sz val="9"/>
        <color rgb="FF000000"/>
        <rFont val="Tahoma"/>
        <family val="0"/>
        <charset val="1"/>
      </rPr>
      <t xml:space="preserve">(HSE Plan, JSA, Permit-to-Work)</t>
    </r>
  </si>
  <si>
    <r>
      <rPr>
        <sz val="9"/>
        <color rgb="FF000000"/>
        <rFont val="FreeSans"/>
        <family val="2"/>
      </rPr>
      <t xml:space="preserve">    แผนคุณภาพ </t>
    </r>
    <r>
      <rPr>
        <sz val="9"/>
        <color rgb="FF000000"/>
        <rFont val="Tahoma"/>
        <family val="0"/>
        <charset val="1"/>
      </rPr>
      <t xml:space="preserve">(PQP) + </t>
    </r>
    <r>
      <rPr>
        <sz val="9"/>
        <color rgb="FF000000"/>
        <rFont val="FreeSans"/>
        <family val="2"/>
      </rPr>
      <t xml:space="preserve">แผนตรวจทดสอบ </t>
    </r>
    <r>
      <rPr>
        <sz val="9"/>
        <color rgb="FF000000"/>
        <rFont val="Tahoma"/>
        <family val="0"/>
        <charset val="1"/>
      </rPr>
      <t xml:space="preserve">(ITP)</t>
    </r>
  </si>
  <si>
    <r>
      <rPr>
        <sz val="9"/>
        <color rgb="FF000000"/>
        <rFont val="FreeSans"/>
        <family val="2"/>
      </rPr>
      <t xml:space="preserve">    เอกสารขออนุมัติวัสดุ </t>
    </r>
    <r>
      <rPr>
        <sz val="9"/>
        <color rgb="FF000000"/>
        <rFont val="Tahoma"/>
        <family val="0"/>
        <charset val="1"/>
      </rPr>
      <t xml:space="preserve">(Material submittal)</t>
    </r>
  </si>
  <si>
    <r>
      <rPr>
        <sz val="9"/>
        <color rgb="FF000000"/>
        <rFont val="FreeSans"/>
        <family val="2"/>
      </rPr>
      <t xml:space="preserve">    รายงานประจำ </t>
    </r>
    <r>
      <rPr>
        <sz val="9"/>
        <color rgb="FF000000"/>
        <rFont val="Tahoma"/>
        <family val="0"/>
        <charset val="1"/>
      </rPr>
      <t xml:space="preserve">R1–R4</t>
    </r>
  </si>
  <si>
    <r>
      <rPr>
        <sz val="9"/>
        <color rgb="FF000000"/>
        <rFont val="FreeSans"/>
        <family val="2"/>
      </rPr>
      <t xml:space="preserve">    การตรวจ </t>
    </r>
    <r>
      <rPr>
        <sz val="9"/>
        <color rgb="FF000000"/>
        <rFont val="Tahoma"/>
        <family val="0"/>
        <charset val="1"/>
      </rPr>
      <t xml:space="preserve">HSE / NCR / Punch list </t>
    </r>
    <r>
      <rPr>
        <sz val="9"/>
        <color rgb="FF000000"/>
        <rFont val="FreeSans"/>
        <family val="2"/>
      </rPr>
      <t xml:space="preserve">หน้างาน</t>
    </r>
  </si>
  <si>
    <r>
      <rPr>
        <b val="true"/>
        <sz val="9"/>
        <color rgb="FF000000"/>
        <rFont val="FreeSans"/>
        <family val="2"/>
      </rPr>
      <t xml:space="preserve">จัดหาและรับอุปกรณ์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หนังสือส่งแผง </t>
    </r>
    <r>
      <rPr>
        <b val="true"/>
        <sz val="9"/>
        <color rgb="FF000000"/>
        <rFont val="Tahoma"/>
        <family val="0"/>
        <charset val="1"/>
      </rPr>
      <t xml:space="preserve">+ </t>
    </r>
    <r>
      <rPr>
        <b val="true"/>
        <sz val="9"/>
        <color rgb="FF000000"/>
        <rFont val="FreeSans"/>
        <family val="2"/>
      </rPr>
      <t xml:space="preserve">ตรวจรับของ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</si>
  <si>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หนังสือส่งแผง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ใบเบิกจากคลัง</t>
    </r>
  </si>
  <si>
    <r>
      <rPr>
        <sz val="9"/>
        <color rgb="FF595959"/>
        <rFont val="FreeSans"/>
        <family val="2"/>
      </rPr>
      <t xml:space="preserve">แผงจากคลัง กปภ</t>
    </r>
    <r>
      <rPr>
        <sz val="9"/>
        <color rgb="FF595959"/>
        <rFont val="Tahoma"/>
        <family val="0"/>
        <charset val="1"/>
      </rPr>
      <t xml:space="preserve">.: </t>
    </r>
    <r>
      <rPr>
        <sz val="9"/>
        <color rgb="FF595959"/>
        <rFont val="FreeSans"/>
        <family val="2"/>
      </rPr>
      <t xml:space="preserve">ใส่มูลค่าแยก หรือระบุ </t>
    </r>
    <r>
      <rPr>
        <sz val="9"/>
        <color rgb="FF595959"/>
        <rFont val="Tahoma"/>
        <family val="0"/>
        <charset val="1"/>
      </rPr>
      <t xml:space="preserve">excluded</t>
    </r>
  </si>
  <si>
    <r>
      <rPr>
        <sz val="9"/>
        <color rgb="FF000000"/>
        <rFont val="FreeSans"/>
        <family val="2"/>
      </rPr>
      <t xml:space="preserve">    ผล </t>
    </r>
    <r>
      <rPr>
        <sz val="9"/>
        <color rgb="FF000000"/>
        <rFont val="Tahoma"/>
        <family val="0"/>
        <charset val="1"/>
      </rPr>
      <t xml:space="preserve">FAT Inverter / </t>
    </r>
    <r>
      <rPr>
        <sz val="9"/>
        <color rgb="FF000000"/>
        <rFont val="FreeSans"/>
        <family val="2"/>
      </rPr>
      <t xml:space="preserve">ตู้ไฟ </t>
    </r>
    <r>
      <rPr>
        <sz val="9"/>
        <color rgb="FF000000"/>
        <rFont val="Tahoma"/>
        <family val="0"/>
        <charset val="1"/>
      </rPr>
      <t xml:space="preserve">(+ CT/VT 22 kV)</t>
    </r>
  </si>
  <si>
    <r>
      <rPr>
        <sz val="9"/>
        <color rgb="FF595959"/>
        <rFont val="FreeSans"/>
        <family val="2"/>
      </rPr>
      <t xml:space="preserve">ค่าอุปกรณ์ </t>
    </r>
    <r>
      <rPr>
        <sz val="9"/>
        <color rgb="FF595959"/>
        <rFont val="Tahoma"/>
        <family val="0"/>
        <charset val="1"/>
      </rPr>
      <t xml:space="preserve">(supply) </t>
    </r>
    <r>
      <rPr>
        <sz val="9"/>
        <color rgb="FF595959"/>
        <rFont val="FreeSans"/>
        <family val="2"/>
      </rPr>
      <t xml:space="preserve">ของงานติดตั้งที่เกี่ยวข้อง</t>
    </r>
  </si>
  <si>
    <r>
      <rPr>
        <sz val="9"/>
        <color rgb="FF000000"/>
        <rFont val="FreeSans"/>
        <family val="2"/>
      </rPr>
      <t xml:space="preserve">    แผง </t>
    </r>
    <r>
      <rPr>
        <sz val="9"/>
        <color rgb="FF000000"/>
        <rFont val="Tahoma"/>
        <family val="0"/>
        <charset val="1"/>
      </rPr>
      <t xml:space="preserve">+ Inverter </t>
    </r>
    <r>
      <rPr>
        <sz val="9"/>
        <color rgb="FF000000"/>
        <rFont val="FreeSans"/>
        <family val="2"/>
      </rPr>
      <t xml:space="preserve">ถึงหน้างาน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ตรวจรับ </t>
    </r>
    <r>
      <rPr>
        <sz val="9"/>
        <color rgb="FF000000"/>
        <rFont val="Tahoma"/>
        <family val="0"/>
        <charset val="1"/>
      </rPr>
      <t xml:space="preserve">+ S/N)</t>
    </r>
  </si>
  <si>
    <r>
      <rPr>
        <sz val="9"/>
        <color rgb="FF000000"/>
        <rFont val="FreeSans"/>
        <family val="2"/>
      </rPr>
      <t xml:space="preserve">    โครงยึด </t>
    </r>
    <r>
      <rPr>
        <sz val="9"/>
        <color rgb="FF000000"/>
        <rFont val="Tahoma"/>
        <family val="0"/>
        <charset val="1"/>
      </rPr>
      <t xml:space="preserve">+ Walkway </t>
    </r>
    <r>
      <rPr>
        <sz val="9"/>
        <color rgb="FF000000"/>
        <rFont val="FreeSans"/>
        <family val="2"/>
      </rPr>
      <t xml:space="preserve">ถึงหน้างาน</t>
    </r>
  </si>
  <si>
    <r>
      <rPr>
        <sz val="9"/>
        <color rgb="FF595959"/>
        <rFont val="FreeSans"/>
        <family val="2"/>
      </rPr>
      <t xml:space="preserve">ค่าโครงยึดและ </t>
    </r>
    <r>
      <rPr>
        <sz val="9"/>
        <color rgb="FF595959"/>
        <rFont val="Tahoma"/>
        <family val="0"/>
        <charset val="1"/>
      </rPr>
      <t xml:space="preserve">Walkway (supply)</t>
    </r>
  </si>
  <si>
    <r>
      <rPr>
        <sz val="9"/>
        <color rgb="FF000000"/>
        <rFont val="FreeSans"/>
        <family val="2"/>
      </rPr>
      <t xml:space="preserve">    สายไฟ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รางสาย ถึงหน้างาน</t>
    </r>
  </si>
  <si>
    <r>
      <rPr>
        <sz val="9"/>
        <color rgb="FF000000"/>
        <rFont val="FreeSans"/>
        <family val="2"/>
      </rPr>
      <t xml:space="preserve">    ตู้ไฟ </t>
    </r>
    <r>
      <rPr>
        <sz val="9"/>
        <color rgb="FF000000"/>
        <rFont val="Tahoma"/>
        <family val="0"/>
        <charset val="1"/>
      </rPr>
      <t xml:space="preserve">FTS / DC / AC / METER / PQM / SEM </t>
    </r>
    <r>
      <rPr>
        <sz val="9"/>
        <color rgb="FF000000"/>
        <rFont val="FreeSans"/>
        <family val="2"/>
      </rPr>
      <t xml:space="preserve">ถึงหน้างาน</t>
    </r>
  </si>
  <si>
    <r>
      <rPr>
        <sz val="9"/>
        <color rgb="FF000000"/>
        <rFont val="FreeSans"/>
        <family val="2"/>
      </rPr>
      <t xml:space="preserve">    อุปกรณ์ </t>
    </r>
    <r>
      <rPr>
        <sz val="9"/>
        <color rgb="FF000000"/>
        <rFont val="Tahoma"/>
        <family val="0"/>
        <charset val="1"/>
      </rPr>
      <t xml:space="preserve">22 kV </t>
    </r>
    <r>
      <rPr>
        <sz val="9"/>
        <color rgb="FF000000"/>
        <rFont val="FreeSans"/>
        <family val="2"/>
      </rPr>
      <t xml:space="preserve">ถึงหน้างาน </t>
    </r>
    <r>
      <rPr>
        <sz val="9"/>
        <color rgb="FF000000"/>
        <rFont val="Tahoma"/>
        <family val="0"/>
        <charset val="1"/>
      </rPr>
      <t xml:space="preserve">(VT / CT </t>
    </r>
    <r>
      <rPr>
        <sz val="9"/>
        <color rgb="FF000000"/>
        <rFont val="FreeSans"/>
        <family val="2"/>
      </rPr>
      <t xml:space="preserve">ผ่านทดสอบ กฟภ</t>
    </r>
    <r>
      <rPr>
        <sz val="9"/>
        <color rgb="FF000000"/>
        <rFont val="Tahoma"/>
        <family val="0"/>
        <charset val="1"/>
      </rPr>
      <t xml:space="preserve">.)</t>
    </r>
  </si>
  <si>
    <r>
      <rPr>
        <sz val="9"/>
        <color rgb="FF000000"/>
        <rFont val="FreeSans"/>
        <family val="2"/>
      </rPr>
      <t xml:space="preserve">    มิเตอร์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อุปกรณ์สื่อสาร ถึงหน้างาน</t>
    </r>
  </si>
  <si>
    <t xml:space="preserve">0.3</t>
  </si>
  <si>
    <t xml:space="preserve">หนังสือแจ้งขอดับไฟ</t>
  </si>
  <si>
    <t xml:space="preserve">    ร่างหนังสือแจ้งดับไฟ</t>
  </si>
  <si>
    <r>
      <rPr>
        <sz val="9"/>
        <color rgb="FF000000"/>
        <rFont val="FreeSans"/>
        <family val="2"/>
      </rPr>
      <t xml:space="preserve">    หนังสือแจ้งดับไฟ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ส่งล่วงหน้า ≥ </t>
    </r>
    <r>
      <rPr>
        <sz val="9"/>
        <color rgb="FF000000"/>
        <rFont val="Tahoma"/>
        <family val="0"/>
        <charset val="1"/>
      </rPr>
      <t xml:space="preserve">7 </t>
    </r>
    <r>
      <rPr>
        <sz val="9"/>
        <color rgb="FF000000"/>
        <rFont val="FreeSans"/>
        <family val="2"/>
      </rPr>
      <t xml:space="preserve">วัน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</si>
  <si>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วันดับไฟที่ยืนยันแล้ว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สาขา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กฟภ</t>
    </r>
    <r>
      <rPr>
        <sz val="9"/>
        <color rgb="FF000000"/>
        <rFont val="Tahoma"/>
        <family val="0"/>
        <charset val="1"/>
      </rPr>
      <t xml:space="preserve">.)</t>
    </r>
  </si>
  <si>
    <t xml:space="preserve">Kick Off</t>
  </si>
  <si>
    <r>
      <rPr>
        <sz val="9"/>
        <color rgb="FF000000"/>
        <rFont val="FreeSans"/>
        <family val="2"/>
      </rPr>
      <t xml:space="preserve">    บันทึกประชุม </t>
    </r>
    <r>
      <rPr>
        <sz val="9"/>
        <color rgb="FF000000"/>
        <rFont val="Tahoma"/>
        <family val="0"/>
        <charset val="1"/>
      </rPr>
      <t xml:space="preserve">Kick off</t>
    </r>
  </si>
  <si>
    <r>
      <rPr>
        <sz val="9"/>
        <color rgb="FF000000"/>
        <rFont val="FreeSans"/>
        <family val="2"/>
      </rPr>
      <t xml:space="preserve">    งาน </t>
    </r>
    <r>
      <rPr>
        <sz val="9"/>
        <color rgb="FF000000"/>
        <rFont val="Tahoma"/>
        <family val="0"/>
        <charset val="1"/>
      </rPr>
      <t xml:space="preserve">PWA </t>
    </r>
    <r>
      <rPr>
        <sz val="9"/>
        <color rgb="FF000000"/>
        <rFont val="FreeSans"/>
        <family val="2"/>
      </rPr>
      <t xml:space="preserve">ในแอป </t>
    </r>
    <r>
      <rPr>
        <sz val="9"/>
        <color rgb="FF000000"/>
        <rFont val="Tahoma"/>
        <family val="0"/>
        <charset val="1"/>
      </rPr>
      <t xml:space="preserve">TCRoof</t>
    </r>
  </si>
  <si>
    <r>
      <rPr>
        <sz val="9"/>
        <color rgb="FF000000"/>
        <rFont val="FreeSans"/>
        <family val="2"/>
      </rPr>
      <t xml:space="preserve">    แบบสำรวจหน้างาน </t>
    </r>
    <r>
      <rPr>
        <sz val="9"/>
        <color rgb="FF000000"/>
        <rFont val="Tahoma"/>
        <family val="0"/>
        <charset val="1"/>
      </rPr>
      <t xml:space="preserve">A1–E1 (REV 00)</t>
    </r>
  </si>
  <si>
    <r>
      <rPr>
        <sz val="9"/>
        <color rgb="FF595959"/>
        <rFont val="FreeSans"/>
        <family val="2"/>
      </rPr>
      <t xml:space="preserve">ถ้าสำรวจโดยที่ปรึกษา กปภ</t>
    </r>
    <r>
      <rPr>
        <sz val="9"/>
        <color rgb="FF595959"/>
        <rFont val="Tahoma"/>
        <family val="0"/>
        <charset val="1"/>
      </rPr>
      <t xml:space="preserve">. → 2.2</t>
    </r>
  </si>
  <si>
    <t xml:space="preserve">Engineering Approve</t>
  </si>
  <si>
    <t xml:space="preserve">    SLD + Layout + String sizing</t>
  </si>
  <si>
    <r>
      <rPr>
        <sz val="9"/>
        <color rgb="FF595959"/>
        <rFont val="Tahoma"/>
        <family val="0"/>
        <charset val="1"/>
      </rPr>
      <t xml:space="preserve">design-build: </t>
    </r>
    <r>
      <rPr>
        <sz val="9"/>
        <color rgb="FF595959"/>
        <rFont val="FreeSans"/>
        <family val="2"/>
      </rPr>
      <t xml:space="preserve">ออกแบบโดยผู้รับเหมา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ถ้าโดยที่ปรึกษา → </t>
    </r>
    <r>
      <rPr>
        <sz val="9"/>
        <color rgb="FF595959"/>
        <rFont val="Tahoma"/>
        <family val="0"/>
        <charset val="1"/>
      </rPr>
      <t xml:space="preserve">2.2</t>
    </r>
  </si>
  <si>
    <r>
      <rPr>
        <sz val="9"/>
        <color rgb="FF000000"/>
        <rFont val="FreeSans"/>
        <family val="2"/>
      </rPr>
      <t xml:space="preserve">    รายการคำนวณไฟฟ้า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โครงสร้าง</t>
    </r>
  </si>
  <si>
    <r>
      <rPr>
        <sz val="9"/>
        <color rgb="FF000000"/>
        <rFont val="FreeSans"/>
        <family val="2"/>
      </rPr>
      <t xml:space="preserve">    ค่าตั้ง </t>
    </r>
    <r>
      <rPr>
        <sz val="9"/>
        <color rgb="FF000000"/>
        <rFont val="Tahoma"/>
        <family val="0"/>
        <charset val="1"/>
      </rPr>
      <t xml:space="preserve">Protection / Zero export</t>
    </r>
  </si>
  <si>
    <r>
      <rPr>
        <sz val="9"/>
        <color rgb="FF000000"/>
        <rFont val="FreeSans"/>
        <family val="2"/>
      </rPr>
      <t xml:space="preserve">    แบบที่ กปภ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อนุมัติ </t>
    </r>
    <r>
      <rPr>
        <sz val="9"/>
        <color rgb="FF000000"/>
        <rFont val="Tahoma"/>
        <family val="0"/>
        <charset val="1"/>
      </rPr>
      <t xml:space="preserve">(REV </t>
    </r>
    <r>
      <rPr>
        <sz val="9"/>
        <color rgb="FF000000"/>
        <rFont val="FreeSans"/>
        <family val="2"/>
      </rPr>
      <t xml:space="preserve">ล่าสุด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</si>
  <si>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การอนุมัติแบบโดย กปภ</t>
    </r>
    <r>
      <rPr>
        <sz val="9"/>
        <color rgb="FF595959"/>
        <rFont val="Tahoma"/>
        <family val="0"/>
        <charset val="1"/>
      </rPr>
      <t xml:space="preserve">.</t>
    </r>
  </si>
  <si>
    <t xml:space="preserve">ส่งมอบพื้นที่และเข้าดำเนินการติดตั้ง</t>
  </si>
  <si>
    <t xml:space="preserve">    บันทึกส่งมอบพื้นที่</t>
  </si>
  <si>
    <r>
      <rPr>
        <sz val="9"/>
        <color rgb="FF000000"/>
        <rFont val="FreeSans"/>
        <family val="2"/>
      </rPr>
      <t xml:space="preserve">    สิ่งอำนวยความสะดวกหน้างาน </t>
    </r>
    <r>
      <rPr>
        <sz val="9"/>
        <color rgb="FF000000"/>
        <rFont val="Tahoma"/>
        <family val="0"/>
        <charset val="1"/>
      </rPr>
      <t xml:space="preserve">(Mobilization)</t>
    </r>
  </si>
  <si>
    <r>
      <rPr>
        <sz val="9"/>
        <color rgb="FF000000"/>
        <rFont val="FreeSans"/>
        <family val="2"/>
      </rPr>
      <t xml:space="preserve">    คำขอปฏิบัติงาน </t>
    </r>
    <r>
      <rPr>
        <sz val="9"/>
        <color rgb="FF000000"/>
        <rFont val="Tahoma"/>
        <family val="0"/>
        <charset val="1"/>
      </rPr>
      <t xml:space="preserve">R1 </t>
    </r>
    <r>
      <rPr>
        <sz val="9"/>
        <color rgb="FF000000"/>
        <rFont val="FreeSans"/>
        <family val="2"/>
      </rPr>
      <t xml:space="preserve">ฉบับแรก</t>
    </r>
  </si>
  <si>
    <r>
      <rPr>
        <b val="true"/>
        <sz val="9"/>
        <color rgb="FF000000"/>
        <rFont val="FreeSans"/>
        <family val="2"/>
      </rPr>
      <t xml:space="preserve">ขออนุญาตดัดแปลงอาคาร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อ</t>
    </r>
    <r>
      <rPr>
        <b val="true"/>
        <sz val="9"/>
        <color rgb="FF000000"/>
        <rFont val="Tahoma"/>
        <family val="0"/>
        <charset val="1"/>
      </rPr>
      <t xml:space="preserve">.1) / </t>
    </r>
    <r>
      <rPr>
        <b val="true"/>
        <sz val="9"/>
        <color rgb="FF000000"/>
        <rFont val="FreeSans"/>
        <family val="2"/>
      </rPr>
      <t xml:space="preserve">แจ้งเทศบาลตามกฎกระทรวงยกเว้น</t>
    </r>
  </si>
  <si>
    <r>
      <rPr>
        <sz val="9"/>
        <color rgb="FF000000"/>
        <rFont val="FreeSans"/>
        <family val="2"/>
      </rPr>
      <t xml:space="preserve">    ผลตรวจน้ำหนักบนหลังคา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เลือก อ</t>
    </r>
    <r>
      <rPr>
        <sz val="9"/>
        <color rgb="FF000000"/>
        <rFont val="Tahoma"/>
        <family val="0"/>
        <charset val="1"/>
      </rPr>
      <t xml:space="preserve">.1 / </t>
    </r>
    <r>
      <rPr>
        <sz val="9"/>
        <color rgb="FF000000"/>
        <rFont val="FreeSans"/>
        <family val="2"/>
      </rPr>
      <t xml:space="preserve">แจ้ง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</si>
  <si>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ตรวจน้ำหนักโดยผู้รับเหมา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ถ้าโดยที่ปรึกษา → </t>
    </r>
    <r>
      <rPr>
        <sz val="9"/>
        <color rgb="FF595959"/>
        <rFont val="Tahoma"/>
        <family val="0"/>
        <charset val="1"/>
      </rPr>
      <t xml:space="preserve">2.2</t>
    </r>
  </si>
  <si>
    <r>
      <rPr>
        <sz val="9"/>
        <color rgb="FF000000"/>
        <rFont val="FreeSans"/>
        <family val="2"/>
      </rPr>
      <t xml:space="preserve">    ชุดเอกสารขออนุญาต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แจ้งเทศบาล</t>
    </r>
  </si>
  <si>
    <r>
      <rPr>
        <sz val="9"/>
        <color rgb="FF000000"/>
        <rFont val="FreeSans"/>
        <family val="2"/>
      </rPr>
      <t xml:space="preserve">    อ</t>
    </r>
    <r>
      <rPr>
        <sz val="9"/>
        <color rgb="FF000000"/>
        <rFont val="Tahoma"/>
        <family val="0"/>
        <charset val="1"/>
      </rPr>
      <t xml:space="preserve">.1 / </t>
    </r>
    <r>
      <rPr>
        <sz val="9"/>
        <color rgb="FF000000"/>
        <rFont val="FreeSans"/>
        <family val="2"/>
      </rPr>
      <t xml:space="preserve">หนังสือรับแจ้งเทศบาล</t>
    </r>
  </si>
  <si>
    <r>
      <rPr>
        <b val="true"/>
        <sz val="9"/>
        <color rgb="FF000000"/>
        <rFont val="FreeSans"/>
        <family val="2"/>
      </rPr>
      <t xml:space="preserve">ยื่นขอใบอนุญาต พค</t>
    </r>
    <r>
      <rPr>
        <b val="true"/>
        <sz val="9"/>
        <color rgb="FF000000"/>
        <rFont val="Tahoma"/>
        <family val="0"/>
        <charset val="1"/>
      </rPr>
      <t xml:space="preserve">.2 (Inverter ≥ 200 kVA)</t>
    </r>
  </si>
  <si>
    <t xml:space="preserve">≥ 200 kVA</t>
  </si>
  <si>
    <r>
      <rPr>
        <sz val="9"/>
        <color rgb="FF000000"/>
        <rFont val="Tahoma"/>
        <family val="0"/>
        <charset val="1"/>
      </rPr>
      <t xml:space="preserve">    Check list </t>
    </r>
    <r>
      <rPr>
        <sz val="9"/>
        <color rgb="FF000000"/>
        <rFont val="FreeSans"/>
        <family val="2"/>
      </rPr>
      <t xml:space="preserve">พค</t>
    </r>
    <r>
      <rPr>
        <sz val="9"/>
        <color rgb="FF000000"/>
        <rFont val="Tahoma"/>
        <family val="0"/>
        <charset val="1"/>
      </rPr>
      <t xml:space="preserve">.2 (23 </t>
    </r>
    <r>
      <rPr>
        <sz val="9"/>
        <color rgb="FF000000"/>
        <rFont val="FreeSans"/>
        <family val="2"/>
      </rPr>
      <t xml:space="preserve">ข้อ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</si>
  <si>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คำขอ พค</t>
    </r>
    <r>
      <rPr>
        <sz val="9"/>
        <color rgb="FF000000"/>
        <rFont val="Tahoma"/>
        <family val="0"/>
        <charset val="1"/>
      </rPr>
      <t xml:space="preserve">.2 </t>
    </r>
    <r>
      <rPr>
        <sz val="9"/>
        <color rgb="FF000000"/>
        <rFont val="FreeSans"/>
        <family val="2"/>
      </rPr>
      <t xml:space="preserve">ที่ยื่นแล้ว</t>
    </r>
  </si>
  <si>
    <t xml:space="preserve">1.5.3</t>
  </si>
  <si>
    <r>
      <rPr>
        <sz val="9"/>
        <color rgb="FF000000"/>
        <rFont val="FreeSans"/>
        <family val="2"/>
      </rPr>
      <t xml:space="preserve">    ความเห็น พพ</t>
    </r>
    <r>
      <rPr>
        <sz val="9"/>
        <color rgb="FF000000"/>
        <rFont val="Tahoma"/>
        <family val="0"/>
        <charset val="1"/>
      </rPr>
      <t xml:space="preserve">. (≤ 30 </t>
    </r>
    <r>
      <rPr>
        <sz val="9"/>
        <color rgb="FF000000"/>
        <rFont val="FreeSans"/>
        <family val="2"/>
      </rPr>
      <t xml:space="preserve">วัน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</si>
  <si>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ใบอนุญาต พค</t>
    </r>
    <r>
      <rPr>
        <sz val="9"/>
        <color rgb="FF000000"/>
        <rFont val="Tahoma"/>
        <family val="0"/>
        <charset val="1"/>
      </rPr>
      <t xml:space="preserve">.2 + </t>
    </r>
    <r>
      <rPr>
        <sz val="9"/>
        <color rgb="FF000000"/>
        <rFont val="FreeSans"/>
        <family val="2"/>
      </rPr>
      <t xml:space="preserve">บันทึกวันหมดอายุ</t>
    </r>
  </si>
  <si>
    <r>
      <rPr>
        <b val="true"/>
        <sz val="9"/>
        <color rgb="FF000000"/>
        <rFont val="Tahoma"/>
        <family val="0"/>
        <charset val="1"/>
      </rPr>
      <t xml:space="preserve">COP / </t>
    </r>
    <r>
      <rPr>
        <b val="true"/>
        <sz val="9"/>
        <color rgb="FF000000"/>
        <rFont val="FreeSans"/>
        <family val="2"/>
      </rPr>
      <t xml:space="preserve">แจ้งการประกอบกิจการพลังงานที่ได้รับยกเว้น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กกพ</t>
    </r>
    <r>
      <rPr>
        <b val="true"/>
        <sz val="9"/>
        <color rgb="FF000000"/>
        <rFont val="Tahoma"/>
        <family val="0"/>
        <charset val="1"/>
      </rPr>
      <t xml:space="preserve">.)</t>
    </r>
  </si>
  <si>
    <r>
      <rPr>
        <sz val="9"/>
        <color rgb="FF000000"/>
        <rFont val="FreeSans"/>
        <family val="2"/>
      </rPr>
      <t xml:space="preserve">    ผลตรวจเกณฑ์ยกเว้น กกพ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</si>
  <si>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    หลักฐานแจ้งยกเว้น กกพ</t>
    </r>
    <r>
      <rPr>
        <sz val="9"/>
        <color rgb="FF000000"/>
        <rFont val="Tahoma"/>
        <family val="0"/>
        <charset val="1"/>
      </rPr>
      <t xml:space="preserve">.</t>
    </r>
  </si>
  <si>
    <r>
      <rPr>
        <b val="true"/>
        <sz val="9"/>
        <color rgb="FF000000"/>
        <rFont val="FreeSans"/>
        <family val="2"/>
      </rPr>
      <t xml:space="preserve">ยื่นขอขนานไฟ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กฟภ</t>
    </r>
    <r>
      <rPr>
        <b val="true"/>
        <sz val="9"/>
        <color rgb="FF000000"/>
        <rFont val="Tahoma"/>
        <family val="0"/>
        <charset val="1"/>
      </rPr>
      <t xml:space="preserve">.)</t>
    </r>
  </si>
  <si>
    <r>
      <rPr>
        <sz val="9"/>
        <color rgb="FF000000"/>
        <rFont val="FreeSans"/>
        <family val="2"/>
      </rPr>
      <t xml:space="preserve">    คำขอขนานไฟ </t>
    </r>
    <r>
      <rPr>
        <sz val="9"/>
        <color rgb="FF000000"/>
        <rFont val="Tahoma"/>
        <family val="0"/>
        <charset val="1"/>
      </rPr>
      <t xml:space="preserve">PPIM (</t>
    </r>
    <r>
      <rPr>
        <sz val="9"/>
        <color rgb="FF000000"/>
        <rFont val="FreeSans"/>
        <family val="2"/>
      </rPr>
      <t xml:space="preserve">ชุด </t>
    </r>
    <r>
      <rPr>
        <sz val="9"/>
        <color rgb="FF000000"/>
        <rFont val="Tahoma"/>
        <family val="0"/>
        <charset val="1"/>
      </rPr>
      <t xml:space="preserve">11 </t>
    </r>
    <r>
      <rPr>
        <sz val="9"/>
        <color rgb="FF000000"/>
        <rFont val="FreeSans"/>
        <family val="2"/>
      </rPr>
      <t xml:space="preserve">ไฟล์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</si>
  <si>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คำขอฉบับแก้ไข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ยื่นใหม่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</si>
  <si>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ผลพิจารณาแบบ กฟภ</t>
    </r>
    <r>
      <rPr>
        <sz val="9"/>
        <color rgb="FF000000"/>
        <rFont val="Tahoma"/>
        <family val="0"/>
        <charset val="1"/>
      </rPr>
      <t xml:space="preserve">. (≤ 15 </t>
    </r>
    <r>
      <rPr>
        <sz val="9"/>
        <color rgb="FF000000"/>
        <rFont val="FreeSans"/>
        <family val="2"/>
      </rPr>
      <t xml:space="preserve">วันทำการ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</si>
  <si>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ค่าธรรมเนียม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สัญญาเชื่อมต่อ</t>
    </r>
  </si>
  <si>
    <r>
      <rPr>
        <sz val="9"/>
        <color rgb="FF595959"/>
        <rFont val="FreeSans"/>
        <family val="2"/>
      </rPr>
      <t xml:space="preserve">ค่าธรรมเนียม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ตรวจระบบโดย กฟภ</t>
    </r>
    <r>
      <rPr>
        <sz val="9"/>
        <color rgb="FF595959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</si>
  <si>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    แบบรับรองการติดตั้ง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คำขอตรวจระบบ</t>
    </r>
  </si>
  <si>
    <r>
      <rPr>
        <sz val="9"/>
        <color rgb="FF000000"/>
        <rFont val="FreeSans"/>
        <family val="2"/>
      </rPr>
      <t xml:space="preserve">    ผลตรวจระบบ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วันขนานไฟ </t>
    </r>
    <r>
      <rPr>
        <sz val="9"/>
        <color rgb="FF000000"/>
        <rFont val="Tahoma"/>
        <family val="0"/>
        <charset val="1"/>
      </rPr>
      <t xml:space="preserve">COD (≤ 30 </t>
    </r>
    <r>
      <rPr>
        <sz val="9"/>
        <color rgb="FF000000"/>
        <rFont val="FreeSans"/>
        <family val="2"/>
      </rPr>
      <t xml:space="preserve">วันทำการ</t>
    </r>
    <r>
      <rPr>
        <sz val="9"/>
        <color rgb="FF000000"/>
        <rFont val="Tahoma"/>
        <family val="0"/>
        <charset val="1"/>
      </rPr>
      <t xml:space="preserve">)</t>
    </r>
  </si>
  <si>
    <r>
      <rPr>
        <b val="true"/>
        <sz val="9"/>
        <color rgb="FF000000"/>
        <rFont val="FreeSans"/>
        <family val="2"/>
      </rPr>
      <t xml:space="preserve">ติดตั้งโครงสร้างรองรับแผง และ </t>
    </r>
    <r>
      <rPr>
        <b val="true"/>
        <sz val="9"/>
        <color rgb="FF000000"/>
        <rFont val="Tahoma"/>
        <family val="0"/>
        <charset val="1"/>
      </rPr>
      <t xml:space="preserve">Walkway</t>
    </r>
  </si>
  <si>
    <r>
      <rPr>
        <sz val="9"/>
        <color rgb="FF000000"/>
        <rFont val="FreeSans"/>
        <family val="2"/>
      </rPr>
      <t xml:space="preserve">    ผังจุดยึด </t>
    </r>
    <r>
      <rPr>
        <sz val="9"/>
        <color rgb="FF000000"/>
        <rFont val="Tahoma"/>
        <family val="0"/>
        <charset val="1"/>
      </rPr>
      <t xml:space="preserve">(Mark </t>
    </r>
    <r>
      <rPr>
        <sz val="9"/>
        <color rgb="FF000000"/>
        <rFont val="FreeSans"/>
        <family val="2"/>
      </rPr>
      <t xml:space="preserve">ตาม </t>
    </r>
    <r>
      <rPr>
        <sz val="9"/>
        <color rgb="FF000000"/>
        <rFont val="Tahoma"/>
        <family val="0"/>
        <charset val="1"/>
      </rPr>
      <t xml:space="preserve">shop drawing)</t>
    </r>
  </si>
  <si>
    <r>
      <rPr>
        <sz val="9"/>
        <color rgb="FF000000"/>
        <rFont val="FreeSans"/>
        <family val="2"/>
      </rPr>
      <t xml:space="preserve">    บันไดเซอร์วิส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ทางขึ้นลง </t>
    </r>
    <r>
      <rPr>
        <sz val="9"/>
        <color rgb="FF000000"/>
        <rFont val="Tahoma"/>
        <family val="0"/>
        <charset val="1"/>
      </rPr>
      <t xml:space="preserve">+ Lifeline </t>
    </r>
    <r>
      <rPr>
        <sz val="9"/>
        <color rgb="FF000000"/>
        <rFont val="FreeSans"/>
        <family val="2"/>
      </rPr>
      <t xml:space="preserve">ชั่วคราว</t>
    </r>
  </si>
  <si>
    <r>
      <rPr>
        <sz val="9"/>
        <color rgb="FF595959"/>
        <rFont val="FreeSans"/>
        <family val="2"/>
      </rPr>
      <t xml:space="preserve">บันไดถาวร </t>
    </r>
    <r>
      <rPr>
        <sz val="9"/>
        <color rgb="FF595959"/>
        <rFont val="Tahoma"/>
        <family val="0"/>
        <charset val="1"/>
      </rPr>
      <t xml:space="preserve">(C18), Lifeline </t>
    </r>
    <r>
      <rPr>
        <sz val="9"/>
        <color rgb="FF595959"/>
        <rFont val="FreeSans"/>
        <family val="2"/>
      </rPr>
      <t xml:space="preserve">ชั่วคราว → </t>
    </r>
    <r>
      <rPr>
        <sz val="9"/>
        <color rgb="FF595959"/>
        <rFont val="Tahoma"/>
        <family val="0"/>
        <charset val="1"/>
      </rPr>
      <t xml:space="preserve">1.8</t>
    </r>
  </si>
  <si>
    <r>
      <rPr>
        <sz val="9"/>
        <color rgb="FF000000"/>
        <rFont val="FreeSans"/>
        <family val="2"/>
      </rPr>
      <t xml:space="preserve">    ฐานยึดโครงสร้าง </t>
    </r>
    <r>
      <rPr>
        <sz val="9"/>
        <color rgb="FF000000"/>
        <rFont val="Tahoma"/>
        <family val="0"/>
        <charset val="1"/>
      </rPr>
      <t xml:space="preserve">(Hanger bolt / Kliplok / </t>
    </r>
    <r>
      <rPr>
        <sz val="9"/>
        <color rgb="FF000000"/>
        <rFont val="FreeSans"/>
        <family val="2"/>
      </rPr>
      <t xml:space="preserve">พุก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</si>
  <si>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โครง </t>
    </r>
    <r>
      <rPr>
        <sz val="9"/>
        <color rgb="FF000000"/>
        <rFont val="Tahoma"/>
        <family val="0"/>
        <charset val="1"/>
      </rPr>
      <t xml:space="preserve">Rail </t>
    </r>
    <r>
      <rPr>
        <sz val="9"/>
        <color rgb="FF000000"/>
        <rFont val="FreeSans"/>
        <family val="2"/>
      </rPr>
      <t xml:space="preserve">อลูมิเนียม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ขันตามแรงบิด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</si>
  <si>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Tahoma"/>
        <family val="0"/>
        <charset val="1"/>
      </rPr>
      <t xml:space="preserve">    Walkway HDG + Lifeline </t>
    </r>
    <r>
      <rPr>
        <sz val="9"/>
        <color rgb="FF000000"/>
        <rFont val="FreeSans"/>
        <family val="2"/>
      </rPr>
      <t xml:space="preserve">ถาวร</t>
    </r>
  </si>
  <si>
    <r>
      <rPr>
        <sz val="9"/>
        <color rgb="FF000000"/>
        <rFont val="FreeSans"/>
        <family val="2"/>
      </rPr>
      <t xml:space="preserve">    ท่อน้ำล้างแผง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ก๊อก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</si>
  <si>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โครงสร้าง</t>
    </r>
  </si>
  <si>
    <r>
      <rPr>
        <b val="true"/>
        <sz val="9"/>
        <color rgb="FF000000"/>
        <rFont val="FreeSans"/>
        <family val="2"/>
      </rPr>
      <t xml:space="preserve">ติดตั้งอุปกรณ์ไฟฟ้าด้าน </t>
    </r>
    <r>
      <rPr>
        <b val="true"/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</si>
  <si>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FreeSans"/>
        <family val="2"/>
      </rPr>
      <t xml:space="preserve">    รางเดินสาย </t>
    </r>
    <r>
      <rPr>
        <sz val="9"/>
        <color rgb="FF000000"/>
        <rFont val="Tahoma"/>
        <family val="0"/>
        <charset val="1"/>
      </rPr>
      <t xml:space="preserve">DC (Tray / Steel support)</t>
    </r>
  </si>
  <si>
    <r>
      <rPr>
        <sz val="9"/>
        <color rgb="FF000000"/>
        <rFont val="FreeSans"/>
        <family val="2"/>
      </rPr>
      <t xml:space="preserve">    สาย </t>
    </r>
    <r>
      <rPr>
        <sz val="9"/>
        <color rgb="FF000000"/>
        <rFont val="Tahoma"/>
        <family val="0"/>
        <charset val="1"/>
      </rPr>
      <t xml:space="preserve">PV + MC4 + </t>
    </r>
    <r>
      <rPr>
        <sz val="9"/>
        <color rgb="FF000000"/>
        <rFont val="FreeSans"/>
        <family val="2"/>
      </rPr>
      <t xml:space="preserve">ป้ายสาย</t>
    </r>
  </si>
  <si>
    <r>
      <rPr>
        <sz val="9"/>
        <color rgb="FF000000"/>
        <rFont val="FreeSans"/>
        <family val="2"/>
      </rPr>
      <t xml:space="preserve">    ตู้ </t>
    </r>
    <r>
      <rPr>
        <sz val="9"/>
        <color rgb="FF000000"/>
        <rFont val="Tahoma"/>
        <family val="0"/>
        <charset val="1"/>
      </rPr>
      <t xml:space="preserve">DC-DB (Fuse + SPD)</t>
    </r>
  </si>
  <si>
    <r>
      <rPr>
        <sz val="9"/>
        <color rgb="FF000000"/>
        <rFont val="FreeSans"/>
        <family val="2"/>
      </rPr>
      <t xml:space="preserve">    ระบบต่อลงดินโครงแผง </t>
    </r>
    <r>
      <rPr>
        <sz val="9"/>
        <color rgb="FF000000"/>
        <rFont val="Tahoma"/>
        <family val="0"/>
        <charset val="1"/>
      </rPr>
      <t xml:space="preserve">(Bonding)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</si>
  <si>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ระบบ </t>
    </r>
    <r>
      <rPr>
        <sz val="9"/>
        <color rgb="FF000000"/>
        <rFont val="Tahoma"/>
        <family val="0"/>
        <charset val="1"/>
      </rPr>
      <t xml:space="preserve">DC (Polarity / Continuity)</t>
    </r>
  </si>
  <si>
    <t xml:space="preserve">ติดตั้งแผงเซลล์แสงอาทิตย์</t>
  </si>
  <si>
    <r>
      <rPr>
        <sz val="9"/>
        <color rgb="FF000000"/>
        <rFont val="FreeSans"/>
        <family val="2"/>
      </rPr>
      <t xml:space="preserve">    แผงถึงจุดติดตั้ง </t>
    </r>
    <r>
      <rPr>
        <sz val="9"/>
        <color rgb="FF000000"/>
        <rFont val="Tahoma"/>
        <family val="0"/>
        <charset val="1"/>
      </rPr>
      <t xml:space="preserve">(Lifting plan)</t>
    </r>
  </si>
  <si>
    <r>
      <rPr>
        <sz val="9"/>
        <color rgb="FF595959"/>
        <rFont val="FreeSans"/>
        <family val="2"/>
      </rPr>
      <t xml:space="preserve">ยก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เครน ใช้ร่วม</t>
    </r>
  </si>
  <si>
    <r>
      <rPr>
        <sz val="9"/>
        <color rgb="FF000000"/>
        <rFont val="FreeSans"/>
        <family val="2"/>
      </rPr>
      <t xml:space="preserve">    แผงบนโครง </t>
    </r>
    <r>
      <rPr>
        <sz val="9"/>
        <color rgb="FF000000"/>
        <rFont val="Tahoma"/>
        <family val="0"/>
        <charset val="1"/>
      </rPr>
      <t xml:space="preserve">(Clamp </t>
    </r>
    <r>
      <rPr>
        <sz val="9"/>
        <color rgb="FF000000"/>
        <rFont val="FreeSans"/>
        <family val="2"/>
      </rPr>
      <t xml:space="preserve">ตามแรงบิด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</si>
  <si>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Tahoma"/>
        <family val="0"/>
        <charset val="1"/>
      </rPr>
      <t xml:space="preserve">    String </t>
    </r>
    <r>
      <rPr>
        <sz val="9"/>
        <color rgb="FF000000"/>
        <rFont val="FreeSans"/>
        <family val="2"/>
      </rPr>
      <t xml:space="preserve">ต่อครบตาม </t>
    </r>
    <r>
      <rPr>
        <sz val="9"/>
        <color rgb="FF000000"/>
        <rFont val="Tahoma"/>
        <family val="0"/>
        <charset val="1"/>
      </rPr>
      <t xml:space="preserve">String map</t>
    </r>
  </si>
  <si>
    <r>
      <rPr>
        <sz val="9"/>
        <color rgb="FF000000"/>
        <rFont val="Tahoma"/>
        <family val="0"/>
        <charset val="1"/>
      </rPr>
      <t xml:space="preserve">    S/N </t>
    </r>
    <r>
      <rPr>
        <sz val="9"/>
        <color rgb="FF000000"/>
        <rFont val="FreeSans"/>
        <family val="2"/>
      </rPr>
      <t xml:space="preserve">แผง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ภาพมุมสูง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</si>
  <si>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แผง </t>
    </r>
    <r>
      <rPr>
        <sz val="9"/>
        <color rgb="FF000000"/>
        <rFont val="Tahoma"/>
        <family val="0"/>
        <charset val="1"/>
      </rPr>
      <t xml:space="preserve">+ String</t>
    </r>
  </si>
  <si>
    <r>
      <rPr>
        <b val="true"/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b val="true"/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</si>
  <si>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FreeSans"/>
        <family val="2"/>
      </rPr>
      <t xml:space="preserve">    ตู้ </t>
    </r>
    <r>
      <rPr>
        <sz val="9"/>
        <color rgb="FF000000"/>
        <rFont val="Tahoma"/>
        <family val="0"/>
        <charset val="1"/>
      </rPr>
      <t xml:space="preserve">FTS-DB (Rapid shutdown)</t>
    </r>
  </si>
  <si>
    <r>
      <rPr>
        <sz val="9"/>
        <color rgb="FF000000"/>
        <rFont val="FreeSans"/>
        <family val="2"/>
      </rPr>
      <t xml:space="preserve">    วงจรควบคุม </t>
    </r>
    <r>
      <rPr>
        <sz val="9"/>
        <color rgb="FF000000"/>
        <rFont val="Tahoma"/>
        <family val="0"/>
        <charset val="1"/>
      </rPr>
      <t xml:space="preserve">E-Stop + </t>
    </r>
    <r>
      <rPr>
        <sz val="9"/>
        <color rgb="FF000000"/>
        <rFont val="FreeSans"/>
        <family val="2"/>
      </rPr>
      <t xml:space="preserve">ป้ายเตือน</t>
    </r>
  </si>
  <si>
    <r>
      <rPr>
        <b val="true"/>
        <sz val="9"/>
        <color rgb="FF000000"/>
        <rFont val="FreeSans"/>
        <family val="2"/>
      </rPr>
      <t xml:space="preserve">ติดตั้ง </t>
    </r>
    <r>
      <rPr>
        <b val="true"/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</si>
  <si>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    Inverter station (</t>
    </r>
    <r>
      <rPr>
        <sz val="9"/>
        <color rgb="FF000000"/>
        <rFont val="FreeSans"/>
        <family val="2"/>
      </rPr>
      <t xml:space="preserve">ฐาน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โรงเรือน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</si>
  <si>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แยกได้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</rPr>
      <t xml:space="preserve">ฐานราก → </t>
    </r>
    <r>
      <rPr>
        <sz val="9"/>
        <color rgb="FF595959"/>
        <rFont val="Tahoma"/>
        <family val="0"/>
        <charset val="1"/>
      </rPr>
      <t xml:space="preserve">1.2, </t>
    </r>
    <r>
      <rPr>
        <sz val="9"/>
        <color rgb="FF595959"/>
        <rFont val="FreeSans"/>
        <family val="2"/>
      </rPr>
      <t xml:space="preserve">โครงเหล็ก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หลังคา → </t>
    </r>
    <r>
      <rPr>
        <sz val="9"/>
        <color rgb="FF595959"/>
        <rFont val="Tahoma"/>
        <family val="0"/>
        <charset val="1"/>
      </rPr>
      <t xml:space="preserve">1.3, Rack → 1.5 (</t>
    </r>
    <r>
      <rPr>
        <sz val="9"/>
        <color rgb="FF595959"/>
        <rFont val="FreeSans"/>
        <family val="2"/>
      </rPr>
      <t xml:space="preserve">ตามขั้น </t>
    </r>
    <r>
      <rPr>
        <sz val="9"/>
        <color rgb="FF595959"/>
        <rFont val="Tahoma"/>
        <family val="0"/>
        <charset val="1"/>
      </rPr>
      <t xml:space="preserve">template Inverter station)</t>
    </r>
  </si>
  <si>
    <r>
      <rPr>
        <sz val="9"/>
        <color rgb="FF000000"/>
        <rFont val="Tahoma"/>
        <family val="0"/>
        <charset val="1"/>
      </rPr>
      <t xml:space="preserve">    Inverter </t>
    </r>
    <r>
      <rPr>
        <sz val="9"/>
        <color rgb="FF000000"/>
        <rFont val="FreeSans"/>
        <family val="2"/>
      </rPr>
      <t xml:space="preserve">บน </t>
    </r>
    <r>
      <rPr>
        <sz val="9"/>
        <color rgb="FF000000"/>
        <rFont val="Tahoma"/>
        <family val="0"/>
        <charset val="1"/>
      </rPr>
      <t xml:space="preserve">Rack + S/N</t>
    </r>
  </si>
  <si>
    <r>
      <rPr>
        <sz val="9"/>
        <color rgb="FF000000"/>
        <rFont val="FreeSans"/>
        <family val="2"/>
      </rPr>
      <t xml:space="preserve">    สาย </t>
    </r>
    <r>
      <rPr>
        <sz val="9"/>
        <color rgb="FF000000"/>
        <rFont val="Tahoma"/>
        <family val="0"/>
        <charset val="1"/>
      </rPr>
      <t xml:space="preserve">AC Inverter → AC-DB</t>
    </r>
  </si>
  <si>
    <t xml:space="preserve">    ICL Inverter</t>
  </si>
  <si>
    <r>
      <rPr>
        <b val="true"/>
        <sz val="9"/>
        <color rgb="FF000000"/>
        <rFont val="FreeSans"/>
        <family val="2"/>
      </rPr>
      <t xml:space="preserve">ติดตั้งอุปกรณ์ไฟฟ้าด้าน </t>
    </r>
    <r>
      <rPr>
        <b val="true"/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</si>
  <si>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FreeSans"/>
        <family val="2"/>
      </rPr>
      <t xml:space="preserve">    แนวสาย </t>
    </r>
    <r>
      <rPr>
        <sz val="9"/>
        <color rgb="FF000000"/>
        <rFont val="Tahoma"/>
        <family val="0"/>
        <charset val="1"/>
      </rPr>
      <t xml:space="preserve">AC </t>
    </r>
    <r>
      <rPr>
        <sz val="9"/>
        <color rgb="FF000000"/>
        <rFont val="FreeSans"/>
        <family val="2"/>
      </rPr>
      <t xml:space="preserve">ถึงจุดเชื่อม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ท่อ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ราง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สาย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</si>
  <si>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ขุดร่อง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</rPr>
      <t xml:space="preserve">ท่อใต้ดินนอกอาคาร → </t>
    </r>
    <r>
      <rPr>
        <sz val="9"/>
        <color rgb="FF595959"/>
        <rFont val="Tahoma"/>
        <family val="0"/>
        <charset val="1"/>
      </rPr>
      <t xml:space="preserve">1.7</t>
    </r>
  </si>
  <si>
    <r>
      <rPr>
        <sz val="9"/>
        <color rgb="FF000000"/>
        <rFont val="Tahoma"/>
        <family val="0"/>
        <charset val="1"/>
      </rPr>
      <t xml:space="preserve">    Breaker / Busbar </t>
    </r>
    <r>
      <rPr>
        <sz val="9"/>
        <color rgb="FF000000"/>
        <rFont val="FreeSans"/>
        <family val="2"/>
      </rPr>
      <t xml:space="preserve">จุดเชื่อม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พร้อมวันดับไฟ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</si>
  <si>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    ระบบดินฝั่ง </t>
    </r>
    <r>
      <rPr>
        <sz val="9"/>
        <color rgb="FF000000"/>
        <rFont val="Tahoma"/>
        <family val="0"/>
        <charset val="1"/>
      </rPr>
      <t xml:space="preserve">AC (&lt; 5 Ω)</t>
    </r>
  </si>
  <si>
    <r>
      <rPr>
        <sz val="9"/>
        <color rgb="FF000000"/>
        <rFont val="FreeSans"/>
        <family val="2"/>
      </rPr>
      <t xml:space="preserve">    ไฟแสงสว่าง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เต้ารับ </t>
    </r>
    <r>
      <rPr>
        <sz val="9"/>
        <color rgb="FF000000"/>
        <rFont val="Tahoma"/>
        <family val="0"/>
        <charset val="1"/>
      </rPr>
      <t xml:space="preserve">Inverter station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</si>
  <si>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ระบบ </t>
    </r>
    <r>
      <rPr>
        <sz val="9"/>
        <color rgb="FF000000"/>
        <rFont val="Tahoma"/>
        <family val="0"/>
        <charset val="1"/>
      </rPr>
      <t xml:space="preserve">AC</t>
    </r>
  </si>
  <si>
    <r>
      <rPr>
        <b val="true"/>
        <sz val="9"/>
        <color rgb="FF000000"/>
        <rFont val="FreeSans"/>
        <family val="2"/>
      </rPr>
      <t xml:space="preserve">ติดตั้งตู้ควบคุมระบบไฟฟ้า </t>
    </r>
    <r>
      <rPr>
        <b val="true"/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</si>
  <si>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FreeSans"/>
        <family val="2"/>
      </rPr>
      <t xml:space="preserve">    ตู้ </t>
    </r>
    <r>
      <rPr>
        <sz val="9"/>
        <color rgb="FF000000"/>
        <rFont val="Tahoma"/>
        <family val="0"/>
        <charset val="1"/>
      </rPr>
      <t xml:space="preserve">AC-DB (MCCB, ELR, SPD, DPM)</t>
    </r>
  </si>
  <si>
    <r>
      <rPr>
        <sz val="9"/>
        <color rgb="FF000000"/>
        <rFont val="FreeSans"/>
        <family val="2"/>
      </rPr>
      <t xml:space="preserve">    ตู้ </t>
    </r>
    <r>
      <rPr>
        <sz val="9"/>
        <color rgb="FF000000"/>
        <rFont val="Tahoma"/>
        <family val="0"/>
        <charset val="1"/>
      </rPr>
      <t xml:space="preserve">METER-DB (Revenue meter + CT 0.5S)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</si>
  <si>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ตู้ </t>
    </r>
    <r>
      <rPr>
        <sz val="9"/>
        <color rgb="FF000000"/>
        <rFont val="Tahoma"/>
        <family val="0"/>
        <charset val="1"/>
      </rPr>
      <t xml:space="preserve">AC-DB / METER-DB</t>
    </r>
  </si>
  <si>
    <r>
      <rPr>
        <b val="true"/>
        <sz val="9"/>
        <color rgb="FF000000"/>
        <rFont val="FreeSans"/>
        <family val="2"/>
      </rPr>
      <t xml:space="preserve">ระบบสื่อสาร </t>
    </r>
    <r>
      <rPr>
        <b val="true"/>
        <sz val="9"/>
        <color rgb="FF000000"/>
        <rFont val="Tahoma"/>
        <family val="0"/>
        <charset val="1"/>
      </rPr>
      <t xml:space="preserve">+ </t>
    </r>
    <r>
      <rPr>
        <b val="true"/>
        <sz val="9"/>
        <color rgb="FF000000"/>
        <rFont val="FreeSans"/>
        <family val="2"/>
      </rPr>
      <t xml:space="preserve">ป้องกันไฟไหลย้อน </t>
    </r>
    <r>
      <rPr>
        <b val="true"/>
        <sz val="9"/>
        <color rgb="FF000000"/>
        <rFont val="Tahoma"/>
        <family val="0"/>
        <charset val="1"/>
      </rPr>
      <t xml:space="preserve">(Zero Export Controller)</t>
    </r>
  </si>
  <si>
    <t xml:space="preserve">2.8.1</t>
  </si>
  <si>
    <r>
      <rPr>
        <sz val="9"/>
        <color rgb="FF000000"/>
        <rFont val="FreeSans"/>
        <family val="2"/>
      </rPr>
      <t xml:space="preserve">    อนุญาตเข้าทำงานเสา </t>
    </r>
    <r>
      <rPr>
        <sz val="9"/>
        <color rgb="FF000000"/>
        <rFont val="Tahoma"/>
        <family val="0"/>
        <charset val="1"/>
      </rPr>
      <t xml:space="preserve">22 kV (</t>
    </r>
    <r>
      <rPr>
        <sz val="9"/>
        <color rgb="FF000000"/>
        <rFont val="FreeSans"/>
        <family val="2"/>
      </rPr>
      <t xml:space="preserve">กฟภ</t>
    </r>
    <r>
      <rPr>
        <sz val="9"/>
        <color rgb="FF000000"/>
        <rFont val="Tahoma"/>
        <family val="0"/>
        <charset val="1"/>
      </rPr>
      <t xml:space="preserve">.)</t>
    </r>
  </si>
  <si>
    <r>
      <rPr>
        <sz val="9"/>
        <color rgb="FF000000"/>
        <rFont val="FreeSans"/>
        <family val="2"/>
      </rPr>
      <t xml:space="preserve">    ชุดอุปกรณ์กันย้อน </t>
    </r>
    <r>
      <rPr>
        <sz val="9"/>
        <color rgb="FF000000"/>
        <rFont val="Tahoma"/>
        <family val="0"/>
        <charset val="1"/>
      </rPr>
      <t xml:space="preserve">22 kV </t>
    </r>
    <r>
      <rPr>
        <sz val="9"/>
        <color rgb="FF000000"/>
        <rFont val="FreeSans"/>
        <family val="2"/>
      </rPr>
      <t xml:space="preserve">บนเสา </t>
    </r>
    <r>
      <rPr>
        <sz val="9"/>
        <color rgb="FF000000"/>
        <rFont val="Tahoma"/>
        <family val="0"/>
        <charset val="1"/>
      </rPr>
      <t xml:space="preserve">(E18)</t>
    </r>
  </si>
  <si>
    <r>
      <rPr>
        <sz val="9"/>
        <color rgb="FF595959"/>
        <rFont val="FreeSans"/>
        <family val="2"/>
      </rPr>
      <t xml:space="preserve">งานบนเสาของ กฟภ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</rPr>
      <t xml:space="preserve">นอกพื้นที่</t>
    </r>
  </si>
  <si>
    <r>
      <rPr>
        <sz val="9"/>
        <color rgb="FF000000"/>
        <rFont val="Tahoma"/>
        <family val="0"/>
        <charset val="1"/>
      </rPr>
      <t xml:space="preserve">    CT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+ Relay </t>
    </r>
    <r>
      <rPr>
        <sz val="9"/>
        <color rgb="FF000000"/>
        <rFont val="FreeSans"/>
        <family val="2"/>
      </rPr>
      <t xml:space="preserve">ฝั่ง </t>
    </r>
    <r>
      <rPr>
        <sz val="9"/>
        <color rgb="FF000000"/>
        <rFont val="Tahoma"/>
        <family val="0"/>
        <charset val="1"/>
      </rPr>
      <t xml:space="preserve">LV (E17)</t>
    </r>
  </si>
  <si>
    <r>
      <rPr>
        <sz val="9"/>
        <color rgb="FF000000"/>
        <rFont val="FreeSans"/>
        <family val="2"/>
      </rPr>
      <t xml:space="preserve">    ตู้ </t>
    </r>
    <r>
      <rPr>
        <sz val="9"/>
        <color rgb="FF000000"/>
        <rFont val="Tahoma"/>
        <family val="0"/>
        <charset val="1"/>
      </rPr>
      <t xml:space="preserve">PQM / Smart Energy Manager</t>
    </r>
  </si>
  <si>
    <r>
      <rPr>
        <sz val="9"/>
        <color rgb="FF000000"/>
        <rFont val="FreeSans"/>
        <family val="2"/>
      </rPr>
      <t xml:space="preserve">    เครือข่ายสื่อสาร </t>
    </r>
    <r>
      <rPr>
        <sz val="9"/>
        <color rgb="FF000000"/>
        <rFont val="Tahoma"/>
        <family val="0"/>
        <charset val="1"/>
      </rPr>
      <t xml:space="preserve">(Fiber / CAT6 / RS485 / VPN)</t>
    </r>
  </si>
  <si>
    <r>
      <rPr>
        <sz val="9"/>
        <color rgb="FF000000"/>
        <rFont val="Tahoma"/>
        <family val="0"/>
        <charset val="1"/>
      </rPr>
      <t xml:space="preserve">    ICL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สื่อสาร</t>
    </r>
  </si>
  <si>
    <r>
      <rPr>
        <b val="true"/>
        <sz val="9"/>
        <color rgb="FF000000"/>
        <rFont val="FreeSans"/>
        <family val="2"/>
      </rPr>
      <t xml:space="preserve">ระบบประมวลผลการผลิตไฟฟ้า </t>
    </r>
    <r>
      <rPr>
        <b val="true"/>
        <sz val="9"/>
        <color rgb="FF000000"/>
        <rFont val="Tahoma"/>
        <family val="0"/>
        <charset val="1"/>
      </rPr>
      <t xml:space="preserve">(Solar Monitoring)</t>
    </r>
  </si>
  <si>
    <r>
      <rPr>
        <sz val="9"/>
        <color rgb="FF000000"/>
        <rFont val="Tahoma"/>
        <family val="0"/>
        <charset val="1"/>
      </rPr>
      <t xml:space="preserve">    Data logger </t>
    </r>
    <r>
      <rPr>
        <sz val="9"/>
        <color rgb="FF000000"/>
        <rFont val="FreeSans"/>
        <family val="2"/>
      </rPr>
      <t xml:space="preserve">เชื่อม </t>
    </r>
    <r>
      <rPr>
        <sz val="9"/>
        <color rgb="FF000000"/>
        <rFont val="Tahoma"/>
        <family val="0"/>
        <charset val="1"/>
      </rPr>
      <t xml:space="preserve">Data center </t>
    </r>
    <r>
      <rPr>
        <sz val="9"/>
        <color rgb="FF000000"/>
        <rFont val="FreeSans"/>
        <family val="2"/>
      </rPr>
      <t xml:space="preserve">กปภ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</si>
  <si>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    ผลทดสอบส่งข้อมูลมิเตอร์ </t>
    </r>
    <r>
      <rPr>
        <sz val="9"/>
        <color rgb="FF000000"/>
        <rFont val="Tahoma"/>
        <family val="0"/>
        <charset val="1"/>
      </rPr>
      <t xml:space="preserve">/ Inverter</t>
    </r>
  </si>
  <si>
    <r>
      <rPr>
        <sz val="9"/>
        <color rgb="FF000000"/>
        <rFont val="Tahoma"/>
        <family val="0"/>
        <charset val="1"/>
      </rPr>
      <t xml:space="preserve">    Weather station (Irradiance + </t>
    </r>
    <r>
      <rPr>
        <sz val="9"/>
        <color rgb="FF000000"/>
        <rFont val="FreeSans"/>
        <family val="2"/>
      </rPr>
      <t xml:space="preserve">อุณหภูมิแผง</t>
    </r>
    <r>
      <rPr>
        <sz val="9"/>
        <color rgb="FF000000"/>
        <rFont val="Tahoma"/>
        <family val="0"/>
        <charset val="1"/>
      </rPr>
      <t xml:space="preserve">)</t>
    </r>
  </si>
  <si>
    <r>
      <rPr>
        <b val="true"/>
        <sz val="9"/>
        <color rgb="FF000000"/>
        <rFont val="FreeSans"/>
        <family val="2"/>
      </rPr>
      <t xml:space="preserve">ระบบเชื่อมกับ </t>
    </r>
    <r>
      <rPr>
        <b val="true"/>
        <sz val="9"/>
        <color rgb="FF000000"/>
        <rFont val="Tahoma"/>
        <family val="0"/>
        <charset val="1"/>
      </rPr>
      <t xml:space="preserve">MDB </t>
    </r>
    <r>
      <rPr>
        <b val="true"/>
        <sz val="9"/>
        <color rgb="FF000000"/>
        <rFont val="FreeSans"/>
        <family val="2"/>
      </rPr>
      <t xml:space="preserve">แล้ว และจ่ายไฟคืนได้ </t>
    </r>
    <r>
      <rPr>
        <b val="true"/>
        <sz val="9"/>
        <color rgb="FF000000"/>
        <rFont val="Tahoma"/>
        <family val="0"/>
        <charset val="1"/>
      </rPr>
      <t xml:space="preserve">(Tie-in)</t>
    </r>
  </si>
  <si>
    <r>
      <rPr>
        <sz val="9"/>
        <color rgb="FF000000"/>
        <rFont val="FreeSans"/>
        <family val="2"/>
      </rPr>
      <t xml:space="preserve">    จุดต่อร่วมกับ </t>
    </r>
    <r>
      <rPr>
        <sz val="9"/>
        <color rgb="FF000000"/>
        <rFont val="Tahoma"/>
        <family val="0"/>
        <charset val="1"/>
      </rPr>
      <t xml:space="preserve">MDB (</t>
    </r>
    <r>
      <rPr>
        <sz val="9"/>
        <color rgb="FF000000"/>
        <rFont val="FreeSans"/>
        <family val="2"/>
      </rPr>
      <t xml:space="preserve">ดับไฟ </t>
    </r>
    <r>
      <rPr>
        <sz val="9"/>
        <color rgb="FF000000"/>
        <rFont val="Tahoma"/>
        <family val="0"/>
        <charset val="1"/>
      </rPr>
      <t xml:space="preserve">+ LOTO)</t>
    </r>
  </si>
  <si>
    <r>
      <rPr>
        <sz val="9"/>
        <color rgb="FF000000"/>
        <rFont val="FreeSans"/>
        <family val="2"/>
      </rPr>
      <t xml:space="preserve">    ระบบจ่ายไฟคืน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ลำดับเฟส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แรงดันถูกต้อง</t>
    </r>
    <r>
      <rPr>
        <sz val="9"/>
        <color rgb="FF000000"/>
        <rFont val="Tahoma"/>
        <family val="0"/>
        <charset val="1"/>
      </rPr>
      <t xml:space="preserve">)</t>
    </r>
  </si>
  <si>
    <r>
      <rPr>
        <b val="true"/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b val="true"/>
        <sz val="9"/>
        <color rgb="FF000000"/>
        <rFont val="Tahoma"/>
        <family val="0"/>
        <charset val="1"/>
      </rPr>
      <t xml:space="preserve">(Pre-Commissioning / IEC 62446)</t>
    </r>
  </si>
  <si>
    <t xml:space="preserve">    Mechanical completion + Punch list A</t>
  </si>
  <si>
    <r>
      <rPr>
        <sz val="9"/>
        <color rgb="FF595959"/>
        <rFont val="FreeSans"/>
        <family val="2"/>
      </rPr>
      <t xml:space="preserve">ทดสอบและ </t>
    </r>
    <r>
      <rPr>
        <sz val="9"/>
        <color rgb="FF595959"/>
        <rFont val="Tahoma"/>
        <family val="0"/>
        <charset val="1"/>
      </rPr>
      <t xml:space="preserve">commissioning </t>
    </r>
    <r>
      <rPr>
        <sz val="9"/>
        <color rgb="FF595959"/>
        <rFont val="FreeSans"/>
        <family val="2"/>
      </rPr>
      <t xml:space="preserve">ของระบบ</t>
    </r>
  </si>
  <si>
    <r>
      <rPr>
        <sz val="9"/>
        <color rgb="FF000000"/>
        <rFont val="FreeSans"/>
        <family val="2"/>
      </rPr>
      <t xml:space="preserve">    ผล </t>
    </r>
    <r>
      <rPr>
        <sz val="9"/>
        <color rgb="FF000000"/>
        <rFont val="Tahoma"/>
        <family val="0"/>
        <charset val="1"/>
      </rPr>
      <t xml:space="preserve">IEC 62446 </t>
    </r>
    <r>
      <rPr>
        <sz val="9"/>
        <color rgb="FF000000"/>
        <rFont val="FreeSans"/>
        <family val="2"/>
      </rPr>
      <t xml:space="preserve">ก่อนเชื่อม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ราย </t>
    </r>
    <r>
      <rPr>
        <sz val="9"/>
        <color rgb="FF000000"/>
        <rFont val="Tahoma"/>
        <family val="0"/>
        <charset val="1"/>
      </rPr>
      <t xml:space="preserve">String)</t>
    </r>
  </si>
  <si>
    <r>
      <rPr>
        <sz val="9"/>
        <color rgb="FF000000"/>
        <rFont val="FreeSans"/>
        <family val="2"/>
      </rPr>
      <t xml:space="preserve">    รายงาน </t>
    </r>
    <r>
      <rPr>
        <sz val="9"/>
        <color rgb="FF000000"/>
        <rFont val="Tahoma"/>
        <family val="0"/>
        <charset val="1"/>
      </rPr>
      <t xml:space="preserve">Thermography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</si>
  <si>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    ผลทดสอบ </t>
    </r>
    <r>
      <rPr>
        <sz val="9"/>
        <color rgb="FF000000"/>
        <rFont val="Tahoma"/>
        <family val="0"/>
        <charset val="1"/>
      </rPr>
      <t xml:space="preserve">FTS / ELR / Shunt trip</t>
    </r>
  </si>
  <si>
    <r>
      <rPr>
        <sz val="9"/>
        <color rgb="FF000000"/>
        <rFont val="FreeSans"/>
        <family val="2"/>
      </rPr>
      <t xml:space="preserve">    ผล </t>
    </r>
    <r>
      <rPr>
        <sz val="9"/>
        <color rgb="FF000000"/>
        <rFont val="Tahoma"/>
        <family val="0"/>
        <charset val="1"/>
      </rPr>
      <t xml:space="preserve">Start-up + Zero export / Anti-islanding</t>
    </r>
  </si>
  <si>
    <r>
      <rPr>
        <sz val="9"/>
        <color rgb="FF000000"/>
        <rFont val="FreeSans"/>
        <family val="2"/>
      </rPr>
      <t xml:space="preserve">    ผล </t>
    </r>
    <r>
      <rPr>
        <sz val="9"/>
        <color rgb="FF000000"/>
        <rFont val="Tahoma"/>
        <family val="0"/>
        <charset val="1"/>
      </rPr>
      <t xml:space="preserve">IEC </t>
    </r>
    <r>
      <rPr>
        <sz val="9"/>
        <color rgb="FF000000"/>
        <rFont val="FreeSans"/>
        <family val="2"/>
      </rPr>
      <t xml:space="preserve">หลังเชื่อม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ผลผลิต </t>
    </r>
    <r>
      <rPr>
        <sz val="9"/>
        <color rgb="FF000000"/>
        <rFont val="Tahoma"/>
        <family val="0"/>
        <charset val="1"/>
      </rPr>
      <t xml:space="preserve">7 </t>
    </r>
    <r>
      <rPr>
        <sz val="9"/>
        <color rgb="FF000000"/>
        <rFont val="FreeSans"/>
        <family val="2"/>
      </rPr>
      <t xml:space="preserve">วัน</t>
    </r>
  </si>
  <si>
    <r>
      <rPr>
        <sz val="9"/>
        <color rgb="FF000000"/>
        <rFont val="FreeSans"/>
        <family val="2"/>
      </rPr>
      <t xml:space="preserve">    ตรวจรับตามนัด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กปภ</t>
    </r>
    <r>
      <rPr>
        <sz val="9"/>
        <color rgb="FF000000"/>
        <rFont val="Tahoma"/>
        <family val="0"/>
        <charset val="1"/>
      </rPr>
      <t xml:space="preserve">. / </t>
    </r>
    <r>
      <rPr>
        <sz val="9"/>
        <color rgb="FF000000"/>
        <rFont val="FreeSans"/>
        <family val="2"/>
      </rPr>
      <t xml:space="preserve">กฟภ</t>
    </r>
    <r>
      <rPr>
        <sz val="9"/>
        <color rgb="FF000000"/>
        <rFont val="Tahoma"/>
        <family val="0"/>
        <charset val="1"/>
      </rPr>
      <t xml:space="preserve">.)</t>
    </r>
  </si>
  <si>
    <r>
      <rPr>
        <sz val="9"/>
        <color rgb="FF595959"/>
        <rFont val="FreeSans"/>
        <family val="2"/>
      </rPr>
      <t xml:space="preserve">การตรวจรับโดย กปภ</t>
    </r>
    <r>
      <rPr>
        <sz val="9"/>
        <color rgb="FF595959"/>
        <rFont val="Tahoma"/>
        <family val="0"/>
        <charset val="1"/>
      </rPr>
      <t xml:space="preserve">. / </t>
    </r>
    <r>
      <rPr>
        <sz val="9"/>
        <color rgb="FF595959"/>
        <rFont val="FreeSans"/>
        <family val="2"/>
      </rPr>
      <t xml:space="preserve">กฟภ</t>
    </r>
    <r>
      <rPr>
        <sz val="9"/>
        <color rgb="FF595959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</si>
  <si>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    แบบ </t>
    </r>
    <r>
      <rPr>
        <sz val="9"/>
        <color rgb="FF000000"/>
        <rFont val="Tahoma"/>
        <family val="0"/>
        <charset val="1"/>
      </rPr>
      <t xml:space="preserve">As-built + </t>
    </r>
    <r>
      <rPr>
        <sz val="9"/>
        <color rgb="FF000000"/>
        <rFont val="FreeSans"/>
        <family val="2"/>
      </rPr>
      <t xml:space="preserve">รายการคำนวณ</t>
    </r>
  </si>
  <si>
    <t xml:space="preserve">3.2</t>
  </si>
  <si>
    <r>
      <rPr>
        <b val="true"/>
        <sz val="9"/>
        <color rgb="FF000000"/>
        <rFont val="FreeSans"/>
        <family val="2"/>
      </rPr>
      <t xml:space="preserve">อบรมการใช้งาน</t>
    </r>
    <r>
      <rPr>
        <b val="true"/>
        <sz val="9"/>
        <color rgb="FF000000"/>
        <rFont val="Tahoma"/>
        <family val="0"/>
        <charset val="1"/>
      </rPr>
      <t xml:space="preserve">, </t>
    </r>
    <r>
      <rPr>
        <b val="true"/>
        <sz val="9"/>
        <color rgb="FF000000"/>
        <rFont val="FreeSans"/>
        <family val="2"/>
      </rPr>
      <t xml:space="preserve">ส่งมอบงาน</t>
    </r>
    <r>
      <rPr>
        <b val="true"/>
        <sz val="9"/>
        <color rgb="FF000000"/>
        <rFont val="Tahoma"/>
        <family val="0"/>
        <charset val="1"/>
      </rPr>
      <t xml:space="preserve">, PAC</t>
    </r>
  </si>
  <si>
    <r>
      <rPr>
        <sz val="9"/>
        <color rgb="FF000000"/>
        <rFont val="FreeSans"/>
        <family val="2"/>
      </rPr>
      <t xml:space="preserve">    การอบรมเจ้าหน้าที่ กปภ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</si>
  <si>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    ชุดเอกสารส่งมอบ </t>
    </r>
    <r>
      <rPr>
        <sz val="9"/>
        <color rgb="FF000000"/>
        <rFont val="Tahoma"/>
        <family val="0"/>
        <charset val="1"/>
      </rPr>
      <t xml:space="preserve">(Handover pack)</t>
    </r>
  </si>
  <si>
    <r>
      <rPr>
        <sz val="9"/>
        <color rgb="FF000000"/>
        <rFont val="Tahoma"/>
        <family val="0"/>
        <charset val="1"/>
      </rPr>
      <t xml:space="preserve">    PAC (</t>
    </r>
    <r>
      <rPr>
        <sz val="9"/>
        <color rgb="FF000000"/>
        <rFont val="FreeSans"/>
        <family val="2"/>
      </rPr>
      <t xml:space="preserve">หนังสือรับมอบชั่วคราว</t>
    </r>
    <r>
      <rPr>
        <sz val="9"/>
        <color rgb="FF000000"/>
        <rFont val="Tahoma"/>
        <family val="0"/>
        <charset val="1"/>
      </rPr>
      <t xml:space="preserve">)</t>
    </r>
  </si>
  <si>
    <t xml:space="preserve">    เอกสารส่งมอบงวดงาน</t>
  </si>
  <si>
    <t xml:space="preserve">3.2.5</t>
  </si>
  <si>
    <r>
      <rPr>
        <sz val="9"/>
        <color rgb="FF000000"/>
        <rFont val="Tahoma"/>
        <family val="0"/>
        <charset val="1"/>
      </rPr>
      <t xml:space="preserve">    C-Form </t>
    </r>
    <r>
      <rPr>
        <sz val="9"/>
        <color rgb="FF000000"/>
        <rFont val="FreeSans"/>
        <family val="2"/>
      </rPr>
      <t xml:space="preserve">ภาคผนวก ข</t>
    </r>
    <r>
      <rPr>
        <sz val="9"/>
        <color rgb="FF000000"/>
        <rFont val="Tahoma"/>
        <family val="0"/>
        <charset val="1"/>
      </rPr>
      <t xml:space="preserve">.</t>
    </r>
  </si>
  <si>
    <t xml:space="preserve">3.2.6</t>
  </si>
  <si>
    <r>
      <rPr>
        <sz val="9"/>
        <color rgb="FF000000"/>
        <rFont val="Tahoma"/>
        <family val="0"/>
        <charset val="1"/>
      </rPr>
      <t xml:space="preserve">    C-Form </t>
    </r>
    <r>
      <rPr>
        <sz val="9"/>
        <color rgb="FF000000"/>
        <rFont val="FreeSans"/>
        <family val="2"/>
      </rPr>
      <t xml:space="preserve">ภาคผนวก ก</t>
    </r>
    <r>
      <rPr>
        <sz val="9"/>
        <color rgb="FF000000"/>
        <rFont val="Tahoma"/>
        <family val="0"/>
        <charset val="1"/>
      </rPr>
      <t xml:space="preserve">.</t>
    </r>
  </si>
  <si>
    <t xml:space="preserve">3.2.7</t>
  </si>
  <si>
    <r>
      <rPr>
        <sz val="9"/>
        <color rgb="FF000000"/>
        <rFont val="FreeSans"/>
        <family val="2"/>
      </rPr>
      <t xml:space="preserve">    ข้อมูลขึ้นระบบ </t>
    </r>
    <r>
      <rPr>
        <sz val="9"/>
        <color rgb="FF000000"/>
        <rFont val="Tahoma"/>
        <family val="0"/>
        <charset val="1"/>
      </rPr>
      <t xml:space="preserve">Monitoring (</t>
    </r>
    <r>
      <rPr>
        <sz val="9"/>
        <color rgb="FF000000"/>
        <rFont val="FreeSans"/>
        <family val="2"/>
      </rPr>
      <t xml:space="preserve">หลัง </t>
    </r>
    <r>
      <rPr>
        <sz val="9"/>
        <color rgb="FF000000"/>
        <rFont val="Tahoma"/>
        <family val="0"/>
        <charset val="1"/>
      </rPr>
      <t xml:space="preserve">COD)</t>
    </r>
  </si>
  <si>
    <t xml:space="preserve">4.1</t>
  </si>
  <si>
    <r>
      <rPr>
        <b val="true"/>
        <sz val="9"/>
        <color rgb="FF000000"/>
        <rFont val="Tahoma"/>
        <family val="0"/>
        <charset val="1"/>
      </rPr>
      <t xml:space="preserve">Defects Liability Period / </t>
    </r>
    <r>
      <rPr>
        <b val="true"/>
        <sz val="9"/>
        <color rgb="FF000000"/>
        <rFont val="FreeSans"/>
        <family val="2"/>
      </rPr>
      <t xml:space="preserve">รับประกันผลงาน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ตามสัญญา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</si>
  <si>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นอกขอบเขต </t>
    </r>
    <r>
      <rPr>
        <sz val="9"/>
        <color rgb="FF595959"/>
        <rFont val="Tahoma"/>
        <family val="0"/>
        <charset val="1"/>
      </rPr>
      <t xml:space="preserve">ICMS </t>
    </r>
    <r>
      <rPr>
        <sz val="9"/>
        <color rgb="FF595959"/>
        <rFont val="FreeSans"/>
        <family val="2"/>
      </rPr>
      <t xml:space="preserve">ฉบับนี้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ต้นทุนลงทุนเท่านั้น</t>
    </r>
    <r>
      <rPr>
        <sz val="9"/>
        <color rgb="FF595959"/>
        <rFont val="Tahoma"/>
        <family val="0"/>
        <charset val="1"/>
      </rPr>
      <t xml:space="preserve">): DLP / </t>
    </r>
    <r>
      <rPr>
        <sz val="9"/>
        <color rgb="FF595959"/>
        <rFont val="FreeSans"/>
        <family val="2"/>
      </rPr>
      <t xml:space="preserve">ค่าใช้จ่ายช่วงรับประกัน</t>
    </r>
  </si>
  <si>
    <t xml:space="preserve">4.2</t>
  </si>
  <si>
    <t xml:space="preserve">Project close-out: Final account, Lessons learned</t>
  </si>
  <si>
    <t xml:space="preserve">4.3</t>
  </si>
  <si>
    <r>
      <rPr>
        <b val="true"/>
        <sz val="9"/>
        <color rgb="FF000000"/>
        <rFont val="Tahoma"/>
        <family val="0"/>
        <charset val="1"/>
      </rPr>
      <t xml:space="preserve">PR test </t>
    </r>
    <r>
      <rPr>
        <b val="true"/>
        <sz val="9"/>
        <color rgb="FF000000"/>
        <rFont val="FreeSans"/>
        <family val="2"/>
      </rPr>
      <t xml:space="preserve">ปลาย </t>
    </r>
    <r>
      <rPr>
        <b val="true"/>
        <sz val="9"/>
        <color rgb="FF000000"/>
        <rFont val="Tahoma"/>
        <family val="0"/>
        <charset val="1"/>
      </rPr>
      <t xml:space="preserve">DLP + FAC + </t>
    </r>
    <r>
      <rPr>
        <b val="true"/>
        <sz val="9"/>
        <color rgb="FF000000"/>
        <rFont val="FreeSans"/>
        <family val="2"/>
      </rPr>
      <t xml:space="preserve">คืนหลักประกัน</t>
    </r>
  </si>
  <si>
    <r>
      <rPr>
        <b val="true"/>
        <sz val="14"/>
        <color rgb="FF1F4E78"/>
        <rFont val="Tahoma"/>
        <family val="0"/>
        <charset val="1"/>
      </rPr>
      <t xml:space="preserve">Project Attributes </t>
    </r>
    <r>
      <rPr>
        <b val="true"/>
        <sz val="14"/>
        <color rgb="FF1F4E78"/>
        <rFont val="FreeSans"/>
        <family val="2"/>
      </rPr>
      <t xml:space="preserve">ตาม </t>
    </r>
    <r>
      <rPr>
        <b val="true"/>
        <sz val="14"/>
        <color rgb="FF1F4E78"/>
        <rFont val="Tahoma"/>
        <family val="0"/>
        <charset val="1"/>
      </rPr>
      <t xml:space="preserve">ICMS Schedule 1: Power-Generating Plants (solar power)</t>
    </r>
  </si>
  <si>
    <r>
      <rPr>
        <sz val="9"/>
        <color rgb="FF595959"/>
        <rFont val="Tahoma"/>
        <family val="0"/>
        <charset val="1"/>
      </rPr>
      <t xml:space="preserve">UN ISIC F4290, </t>
    </r>
    <r>
      <rPr>
        <sz val="9"/>
        <color rgb="FF595959"/>
        <rFont val="FreeSans"/>
        <family val="2"/>
      </rPr>
      <t xml:space="preserve">หน่วยวัด </t>
    </r>
    <r>
      <rPr>
        <sz val="9"/>
        <color rgb="FF595959"/>
        <rFont val="Tahoma"/>
        <family val="0"/>
        <charset val="1"/>
      </rPr>
      <t xml:space="preserve">2 </t>
    </r>
    <r>
      <rPr>
        <sz val="9"/>
        <color rgb="FF595959"/>
        <rFont val="FreeSans"/>
        <family val="2"/>
      </rPr>
      <t xml:space="preserve">อย่างตาม </t>
    </r>
    <r>
      <rPr>
        <sz val="9"/>
        <color rgb="FF595959"/>
        <rFont val="Tahoma"/>
        <family val="0"/>
        <charset val="1"/>
      </rPr>
      <t xml:space="preserve">ICMS §2.3: </t>
    </r>
    <r>
      <rPr>
        <sz val="9"/>
        <color rgb="FF595959"/>
        <rFont val="FreeSans"/>
        <family val="2"/>
      </rPr>
      <t xml:space="preserve">ขนาด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พื้นที่แผง </t>
    </r>
    <r>
      <rPr>
        <sz val="9"/>
        <color rgb="FF595959"/>
        <rFont val="Tahoma"/>
        <family val="0"/>
        <charset val="1"/>
      </rPr>
      <t xml:space="preserve">m²) </t>
    </r>
    <r>
      <rPr>
        <sz val="9"/>
        <color rgb="FF595959"/>
        <rFont val="FreeSans"/>
        <family val="2"/>
      </rPr>
      <t xml:space="preserve">และกำลังผลิต </t>
    </r>
    <r>
      <rPr>
        <sz val="9"/>
        <color rgb="FF595959"/>
        <rFont val="Tahoma"/>
        <family val="0"/>
        <charset val="1"/>
      </rPr>
      <t xml:space="preserve">(kWp), </t>
    </r>
    <r>
      <rPr>
        <sz val="9"/>
        <color rgb="FF595959"/>
        <rFont val="FreeSans"/>
        <family val="2"/>
      </rPr>
      <t xml:space="preserve">ช่องเหลืองกรอกเมื่อมีข้อมูล</t>
    </r>
  </si>
  <si>
    <t xml:space="preserve">MP</t>
  </si>
  <si>
    <r>
      <rPr>
        <b val="true"/>
        <sz val="9"/>
        <color rgb="FFFFFFFF"/>
        <rFont val="FreeSans"/>
        <family val="2"/>
      </rPr>
      <t xml:space="preserve">สาขา กปภ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</si>
  <si>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UN ISIC</t>
  </si>
  <si>
    <t xml:space="preserve">Functional type</t>
  </si>
  <si>
    <r>
      <rPr>
        <b val="true"/>
        <sz val="9"/>
        <color rgb="FFFFFFFF"/>
        <rFont val="FreeSans"/>
        <family val="2"/>
      </rPr>
      <t xml:space="preserve">ประเภทหน้างาน </t>
    </r>
    <r>
      <rPr>
        <b val="true"/>
        <sz val="9"/>
        <color rgb="FFFFFFFF"/>
        <rFont val="Tahoma"/>
        <family val="0"/>
        <charset val="1"/>
      </rPr>
      <t xml:space="preserve">(Principal design features)</t>
    </r>
  </si>
  <si>
    <t xml:space="preserve">Inverter (kW)</t>
  </si>
  <si>
    <r>
      <rPr>
        <b val="true"/>
        <sz val="9"/>
        <color rgb="FFFFFFFF"/>
        <rFont val="FreeSans"/>
        <family val="2"/>
      </rPr>
      <t xml:space="preserve">ชุด </t>
    </r>
    <r>
      <rPr>
        <b val="true"/>
        <sz val="9"/>
        <color rgb="FFFFFFFF"/>
        <rFont val="Tahoma"/>
        <family val="0"/>
        <charset val="1"/>
      </rPr>
      <t xml:space="preserve">Inverter (</t>
    </r>
    <r>
      <rPr>
        <b val="true"/>
        <sz val="9"/>
        <color rgb="FFFFFFFF"/>
        <rFont val="FreeSans"/>
        <family val="2"/>
      </rPr>
      <t xml:space="preserve">ประมาณ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</si>
  <si>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กำลังผลิต </t>
    </r>
    <r>
      <rPr>
        <b val="true"/>
        <sz val="9"/>
        <color rgb="FFFFFFFF"/>
        <rFont val="Tahoma"/>
        <family val="0"/>
        <charset val="1"/>
      </rPr>
      <t xml:space="preserve">(kWp)</t>
    </r>
  </si>
  <si>
    <t xml:space="preserve">จำนวนแผง</t>
  </si>
  <si>
    <r>
      <rPr>
        <b val="true"/>
        <sz val="9"/>
        <color rgb="FFFFFFFF"/>
        <rFont val="FreeSans"/>
        <family val="2"/>
      </rPr>
      <t xml:space="preserve">พื้นที่แผง </t>
    </r>
    <r>
      <rPr>
        <b val="true"/>
        <sz val="9"/>
        <color rgb="FFFFFFFF"/>
        <rFont val="Tahoma"/>
        <family val="0"/>
        <charset val="1"/>
      </rPr>
      <t xml:space="preserve">(m²)</t>
    </r>
  </si>
  <si>
    <t xml:space="preserve">ที่มาข้อมูลหน้างาน</t>
  </si>
  <si>
    <r>
      <rPr>
        <b val="true"/>
        <sz val="9"/>
        <color rgb="FFFFFFFF"/>
        <rFont val="FreeSans"/>
        <family val="2"/>
      </rPr>
      <t xml:space="preserve">อายุออกแบบ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ปี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</si>
  <si>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ความสูงจากระดับน้ำทะเล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ม</t>
    </r>
    <r>
      <rPr>
        <b val="true"/>
        <sz val="9"/>
        <color rgb="FFFFFFFF"/>
        <rFont val="Tahoma"/>
        <family val="0"/>
        <charset val="1"/>
      </rPr>
      <t xml:space="preserve">.)</t>
    </r>
  </si>
  <si>
    <t xml:space="preserve">ละติจูด</t>
  </si>
  <si>
    <t xml:space="preserve">ลองจิจูด</t>
  </si>
  <si>
    <r>
      <rPr>
        <b val="true"/>
        <sz val="9"/>
        <color rgb="FFFFFFFF"/>
        <rFont val="FreeSans"/>
        <family val="2"/>
      </rPr>
      <t xml:space="preserve">งบรวม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</si>
  <si>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แม่แบบ หลังคาลอนคู่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&lt; 200 kVA</t>
    </r>
  </si>
  <si>
    <r>
      <rPr>
        <sz val="9"/>
        <color rgb="FF000000"/>
        <rFont val="FreeSans"/>
        <family val="2"/>
      </rPr>
      <t xml:space="preserve">กปภ</t>
    </r>
    <r>
      <rPr>
        <sz val="9"/>
        <color rgb="FF000000"/>
        <rFont val="Tahoma"/>
        <family val="0"/>
        <charset val="1"/>
      </rPr>
      <t xml:space="preserve">.</t>
    </r>
    <r>
      <rPr>
        <sz val="9"/>
        <color rgb="FF000000"/>
        <rFont val="FreeSans"/>
        <family val="2"/>
      </rPr>
      <t xml:space="preserve">สาขา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ตัวอย่าง</t>
    </r>
    <r>
      <rPr>
        <sz val="9"/>
        <color rgb="FF000000"/>
        <rFont val="Tahoma"/>
        <family val="0"/>
        <charset val="1"/>
      </rPr>
      <t xml:space="preserve">)</t>
    </r>
  </si>
  <si>
    <t xml:space="preserve">F4290</t>
  </si>
  <si>
    <t xml:space="preserve">solar power (PV)</t>
  </si>
  <si>
    <r>
      <rPr>
        <sz val="9"/>
        <color rgb="FF000000"/>
        <rFont val="FreeSans"/>
        <family val="2"/>
      </rPr>
      <t xml:space="preserve">หลังคาลอนคู่ </t>
    </r>
    <r>
      <rPr>
        <sz val="9"/>
        <color rgb="FF000000"/>
        <rFont val="Tahoma"/>
        <family val="0"/>
        <charset val="1"/>
      </rPr>
      <t xml:space="preserve">264 </t>
    </r>
    <r>
      <rPr>
        <sz val="9"/>
        <color rgb="FF000000"/>
        <rFont val="FreeSans"/>
        <family val="2"/>
      </rPr>
      <t xml:space="preserve">แผง</t>
    </r>
  </si>
  <si>
    <t xml:space="preserve">HV</t>
  </si>
  <si>
    <t xml:space="preserve">สำรวจแล้ว</t>
  </si>
  <si>
    <r>
      <rPr>
        <sz val="9"/>
        <color rgb="FF000000"/>
        <rFont val="FreeSans"/>
        <family val="2"/>
      </rPr>
      <t xml:space="preserve">แม่แบบ หลังคาลอนคู่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≥ 200 kVA</t>
    </r>
  </si>
  <si>
    <r>
      <rPr>
        <sz val="9"/>
        <color rgb="FF000000"/>
        <rFont val="FreeSans"/>
        <family val="2"/>
      </rPr>
      <t xml:space="preserve">หลังคาลอนคู่ </t>
    </r>
    <r>
      <rPr>
        <sz val="9"/>
        <color rgb="FF000000"/>
        <rFont val="Tahoma"/>
        <family val="0"/>
        <charset val="1"/>
      </rPr>
      <t xml:space="preserve">492 </t>
    </r>
    <r>
      <rPr>
        <sz val="9"/>
        <color rgb="FF000000"/>
        <rFont val="FreeSans"/>
        <family val="2"/>
      </rPr>
      <t xml:space="preserve">แผง</t>
    </r>
  </si>
  <si>
    <t xml:space="preserve">125 + 125</t>
  </si>
  <si>
    <r>
      <rPr>
        <sz val="9"/>
        <color rgb="FF000000"/>
        <rFont val="FreeSans"/>
        <family val="2"/>
      </rPr>
      <t xml:space="preserve">แม่แบบ หลังคาลอนคู่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&lt; 200 kVA</t>
    </r>
  </si>
  <si>
    <t xml:space="preserve">LV</t>
  </si>
  <si>
    <r>
      <rPr>
        <sz val="9"/>
        <color rgb="FF000000"/>
        <rFont val="FreeSans"/>
        <family val="2"/>
      </rPr>
      <t xml:space="preserve">แม่แบบ หลังคาลอนคู่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≥ 200 kVA</t>
    </r>
  </si>
  <si>
    <r>
      <rPr>
        <sz val="9"/>
        <color rgb="FF000000"/>
        <rFont val="FreeSans"/>
        <family val="2"/>
      </rPr>
      <t xml:space="preserve">แม่แบบ หลังคาเมทัลชีท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&lt; 200 kVA</t>
    </r>
  </si>
  <si>
    <r>
      <rPr>
        <sz val="9"/>
        <color rgb="FF000000"/>
        <rFont val="FreeSans"/>
        <family val="2"/>
      </rPr>
      <t xml:space="preserve">หลังคาเมทัลชีท </t>
    </r>
    <r>
      <rPr>
        <sz val="9"/>
        <color rgb="FF000000"/>
        <rFont val="Tahoma"/>
        <family val="0"/>
        <charset val="1"/>
      </rPr>
      <t xml:space="preserve">264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</si>
  <si>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หลังคาเมทัลชีท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≥ 200 kVA</t>
    </r>
  </si>
  <si>
    <r>
      <rPr>
        <sz val="9"/>
        <color rgb="FF000000"/>
        <rFont val="FreeSans"/>
        <family val="2"/>
      </rPr>
      <t xml:space="preserve">หลังคาเมทัลชีท </t>
    </r>
    <r>
      <rPr>
        <sz val="9"/>
        <color rgb="FF000000"/>
        <rFont val="Tahoma"/>
        <family val="0"/>
        <charset val="1"/>
      </rPr>
      <t xml:space="preserve">492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</si>
  <si>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หลังคาเมทัลชีท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&lt; 200 kVA</t>
    </r>
  </si>
  <si>
    <r>
      <rPr>
        <sz val="9"/>
        <color rgb="FF000000"/>
        <rFont val="FreeSans"/>
        <family val="2"/>
      </rPr>
      <t xml:space="preserve">แม่แบบ หลังคาเมทัลชีท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≥ 200 kVA</t>
    </r>
  </si>
  <si>
    <r>
      <rPr>
        <sz val="9"/>
        <color rgb="FF000000"/>
        <rFont val="FreeSans"/>
        <family val="2"/>
      </rPr>
      <t xml:space="preserve">แม่แบบ 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&lt; 200 kVA</t>
    </r>
  </si>
  <si>
    <r>
      <rPr>
        <sz val="9"/>
        <color rgb="FF000000"/>
        <rFont val="FreeSans"/>
        <family val="2"/>
      </rPr>
      <t xml:space="preserve">ถังน้ำใส </t>
    </r>
    <r>
      <rPr>
        <sz val="9"/>
        <color rgb="FF000000"/>
        <rFont val="Tahoma"/>
        <family val="0"/>
        <charset val="1"/>
      </rPr>
      <t xml:space="preserve">264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</si>
  <si>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≥ 200 kVA</t>
    </r>
  </si>
  <si>
    <r>
      <rPr>
        <sz val="9"/>
        <color rgb="FF000000"/>
        <rFont val="FreeSans"/>
        <family val="2"/>
      </rPr>
      <t xml:space="preserve">ถังน้ำใส </t>
    </r>
    <r>
      <rPr>
        <sz val="9"/>
        <color rgb="FF000000"/>
        <rFont val="Tahoma"/>
        <family val="0"/>
        <charset val="1"/>
      </rPr>
      <t xml:space="preserve">492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</si>
  <si>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&lt; 200 kVA</t>
    </r>
  </si>
  <si>
    <r>
      <rPr>
        <sz val="9"/>
        <color rgb="FF000000"/>
        <rFont val="FreeSans"/>
        <family val="2"/>
      </rPr>
      <t xml:space="preserve">แม่แบบ ถังน้ำใส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≥ 200 kVA</t>
    </r>
  </si>
  <si>
    <r>
      <rPr>
        <sz val="9"/>
        <color rgb="FF000000"/>
        <rFont val="FreeSans"/>
        <family val="2"/>
      </rPr>
      <t xml:space="preserve">แม่แบบ ถังดินกลบ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&lt; 200 kVA</t>
    </r>
  </si>
  <si>
    <r>
      <rPr>
        <sz val="9"/>
        <color rgb="FF000000"/>
        <rFont val="FreeSans"/>
        <family val="2"/>
      </rPr>
      <t xml:space="preserve">ถังดินกลบ </t>
    </r>
    <r>
      <rPr>
        <sz val="9"/>
        <color rgb="FF000000"/>
        <rFont val="Tahoma"/>
        <family val="0"/>
        <charset val="1"/>
      </rPr>
      <t xml:space="preserve">264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</si>
  <si>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ถังดินกลบ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≥ 200 kVA</t>
    </r>
  </si>
  <si>
    <r>
      <rPr>
        <sz val="9"/>
        <color rgb="FF000000"/>
        <rFont val="FreeSans"/>
        <family val="2"/>
      </rPr>
      <t xml:space="preserve">ถังดินกลบ </t>
    </r>
    <r>
      <rPr>
        <sz val="9"/>
        <color rgb="FF000000"/>
        <rFont val="Tahoma"/>
        <family val="0"/>
        <charset val="1"/>
      </rPr>
      <t xml:space="preserve">492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</si>
  <si>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ถังดินกลบ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&lt; 200 kVA</t>
    </r>
  </si>
  <si>
    <r>
      <rPr>
        <sz val="9"/>
        <color rgb="FF000000"/>
        <rFont val="FreeSans"/>
        <family val="2"/>
      </rPr>
      <t xml:space="preserve">แม่แบบ ถังดินกลบ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≥ 200 kVA</t>
    </r>
  </si>
  <si>
    <r>
      <rPr>
        <sz val="9"/>
        <color rgb="FF000000"/>
        <rFont val="FreeSans"/>
        <family val="2"/>
      </rPr>
      <t xml:space="preserve">แม่แบบ </t>
    </r>
    <r>
      <rPr>
        <sz val="9"/>
        <color rgb="FF000000"/>
        <rFont val="Tahoma"/>
        <family val="0"/>
        <charset val="1"/>
      </rPr>
      <t xml:space="preserve">Carport,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&lt; 200 kVA</t>
    </r>
  </si>
  <si>
    <r>
      <rPr>
        <sz val="9"/>
        <color rgb="FF000000"/>
        <rFont val="Tahoma"/>
        <family val="0"/>
        <charset val="1"/>
      </rPr>
      <t xml:space="preserve">Carport 264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</si>
  <si>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</t>
    </r>
    <r>
      <rPr>
        <sz val="9"/>
        <color rgb="FF000000"/>
        <rFont val="Tahoma"/>
        <family val="0"/>
        <charset val="1"/>
      </rPr>
      <t xml:space="preserve">Carport,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HV, Inverter ≥ 200 kVA</t>
    </r>
  </si>
  <si>
    <r>
      <rPr>
        <sz val="9"/>
        <color rgb="FF000000"/>
        <rFont val="Tahoma"/>
        <family val="0"/>
        <charset val="1"/>
      </rPr>
      <t xml:space="preserve">Carport 492 </t>
    </r>
    <r>
      <rPr>
        <sz val="9"/>
        <color rgb="FF000000"/>
        <rFont val="FreeSans"/>
        <family val="2"/>
      </rPr>
      <t xml:space="preserve">แผง</t>
    </r>
  </si>
  <si>
    <r>
      <rPr>
        <sz val="9"/>
        <color rgb="FF000000"/>
        <rFont val="FreeSans"/>
        <family val="2"/>
      </rPr>
      <t xml:space="preserve">แม่แบบ </t>
    </r>
    <r>
      <rPr>
        <sz val="9"/>
        <color rgb="FF000000"/>
        <rFont val="Tahoma"/>
        <family val="0"/>
        <charset val="1"/>
      </rPr>
      <t xml:space="preserve">Carport,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&lt; 200 kVA</t>
    </r>
  </si>
  <si>
    <r>
      <rPr>
        <sz val="9"/>
        <color rgb="FF000000"/>
        <rFont val="FreeSans"/>
        <family val="2"/>
      </rPr>
      <t xml:space="preserve">แม่แบบ </t>
    </r>
    <r>
      <rPr>
        <sz val="9"/>
        <color rgb="FF000000"/>
        <rFont val="Tahoma"/>
        <family val="0"/>
        <charset val="1"/>
      </rPr>
      <t xml:space="preserve">Carport, </t>
    </r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LV, Inverter ≥ 200 kVA</t>
    </r>
  </si>
  <si>
    <r>
      <rPr>
        <i val="true"/>
        <sz val="8"/>
        <color rgb="FF595959"/>
        <rFont val="FreeSans"/>
        <family val="2"/>
      </rPr>
      <t xml:space="preserve">งบรวมต่อสถานีมาจากผลรวม ‘งบต่อสถานี’ ในชีต </t>
    </r>
    <r>
      <rPr>
        <i val="true"/>
        <sz val="8"/>
        <color rgb="FF595959"/>
        <rFont val="Tahoma"/>
        <family val="0"/>
        <charset val="1"/>
      </rPr>
      <t xml:space="preserve">ICMS WBS (</t>
    </r>
    <r>
      <rPr>
        <i val="true"/>
        <sz val="8"/>
        <color rgb="FF595959"/>
        <rFont val="FreeSans"/>
        <family val="2"/>
      </rPr>
      <t xml:space="preserve">ค่าเฉลี่ยเท่ากันทุกสถานี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เมื่อมี </t>
    </r>
    <r>
      <rPr>
        <i val="true"/>
        <sz val="8"/>
        <color rgb="FF595959"/>
        <rFont val="Tahoma"/>
        <family val="0"/>
        <charset val="1"/>
      </rPr>
      <t xml:space="preserve">BOQ </t>
    </r>
    <r>
      <rPr>
        <i val="true"/>
        <sz val="8"/>
        <color rgb="FF595959"/>
        <rFont val="FreeSans"/>
        <family val="2"/>
      </rPr>
      <t xml:space="preserve">รายสถานี ให้แทนช่องนี้ด้วยราคาจริง</t>
    </r>
  </si>
  <si>
    <r>
      <rPr>
        <b val="true"/>
        <sz val="14"/>
        <color rgb="FF1F4E78"/>
        <rFont val="Tahoma"/>
        <family val="0"/>
        <charset val="1"/>
      </rPr>
      <t xml:space="preserve">ICMS </t>
    </r>
    <r>
      <rPr>
        <b val="true"/>
        <sz val="14"/>
        <color rgb="FF1F4E78"/>
        <rFont val="FreeSans"/>
        <family val="2"/>
      </rPr>
      <t xml:space="preserve">ตาราง </t>
    </r>
    <r>
      <rPr>
        <b val="true"/>
        <sz val="14"/>
        <color rgb="FF1F4E78"/>
        <rFont val="Tahoma"/>
        <family val="0"/>
        <charset val="1"/>
      </rPr>
      <t xml:space="preserve">1: Cost Categories (</t>
    </r>
    <r>
      <rPr>
        <b val="true"/>
        <sz val="14"/>
        <color rgb="FF1F4E78"/>
        <rFont val="FreeSans"/>
        <family val="2"/>
      </rPr>
      <t xml:space="preserve">ระดับ </t>
    </r>
    <r>
      <rPr>
        <b val="true"/>
        <sz val="14"/>
        <color rgb="FF1F4E78"/>
        <rFont val="Tahoma"/>
        <family val="0"/>
        <charset val="1"/>
      </rPr>
      <t xml:space="preserve">2) </t>
    </r>
    <r>
      <rPr>
        <b val="true"/>
        <sz val="14"/>
        <color rgb="FF1F4E78"/>
        <rFont val="FreeSans"/>
        <family val="2"/>
      </rPr>
      <t xml:space="preserve">และ </t>
    </r>
    <r>
      <rPr>
        <b val="true"/>
        <sz val="14"/>
        <color rgb="FF1F4E78"/>
        <rFont val="Tahoma"/>
        <family val="0"/>
        <charset val="1"/>
      </rPr>
      <t xml:space="preserve">Cost Groups (</t>
    </r>
    <r>
      <rPr>
        <b val="true"/>
        <sz val="14"/>
        <color rgb="FF1F4E78"/>
        <rFont val="FreeSans"/>
        <family val="2"/>
      </rPr>
      <t xml:space="preserve">ระดับ </t>
    </r>
    <r>
      <rPr>
        <b val="true"/>
        <sz val="14"/>
        <color rgb="FF1F4E78"/>
        <rFont val="Tahoma"/>
        <family val="0"/>
        <charset val="1"/>
      </rPr>
      <t xml:space="preserve">3)</t>
    </r>
  </si>
  <si>
    <r>
      <rPr>
        <sz val="9"/>
        <color rgb="FF595959"/>
        <rFont val="FreeSans"/>
        <family val="2"/>
      </rPr>
      <t xml:space="preserve">ระดับ </t>
    </r>
    <r>
      <rPr>
        <sz val="9"/>
        <color rgb="FF595959"/>
        <rFont val="Tahoma"/>
        <family val="0"/>
        <charset val="1"/>
      </rPr>
      <t xml:space="preserve">2–3 </t>
    </r>
    <r>
      <rPr>
        <sz val="9"/>
        <color rgb="FF595959"/>
        <rFont val="FreeSans"/>
        <family val="2"/>
      </rPr>
      <t xml:space="preserve">บังคับใช้ทุกโครงการ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ระบุ ‘</t>
    </r>
    <r>
      <rPr>
        <sz val="9"/>
        <color rgb="FF595959"/>
        <rFont val="Tahoma"/>
        <family val="0"/>
        <charset val="1"/>
      </rPr>
      <t xml:space="preserve">not applicable’ </t>
    </r>
    <r>
      <rPr>
        <sz val="9"/>
        <color rgb="FF595959"/>
        <rFont val="FreeSans"/>
        <family val="2"/>
      </rPr>
      <t xml:space="preserve">หรือ ‘</t>
    </r>
    <r>
      <rPr>
        <sz val="9"/>
        <color rgb="FF595959"/>
        <rFont val="Tahoma"/>
        <family val="0"/>
        <charset val="1"/>
      </rPr>
      <t xml:space="preserve">excluded’ </t>
    </r>
    <r>
      <rPr>
        <sz val="9"/>
        <color rgb="FF595959"/>
        <rFont val="FreeSans"/>
        <family val="2"/>
      </rPr>
      <t xml:space="preserve">เมื่อไม่มี </t>
    </r>
    <r>
      <rPr>
        <sz val="9"/>
        <color rgb="FF595959"/>
        <rFont val="Tahoma"/>
        <family val="0"/>
        <charset val="1"/>
      </rPr>
      <t xml:space="preserve">(ICMS §2.2)</t>
    </r>
  </si>
  <si>
    <r>
      <rPr>
        <b val="true"/>
        <sz val="9"/>
        <color rgb="FFFFFFFF"/>
        <rFont val="FreeSans"/>
        <family val="2"/>
      </rPr>
      <t xml:space="preserve">ขอบเขต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ย่อ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</si>
  <si>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ในโครงการนี้</t>
  </si>
  <si>
    <t xml:space="preserve">งานเตรียมพื้นที่ก่อนงานถาวร</t>
  </si>
  <si>
    <r>
      <rPr>
        <sz val="9"/>
        <color rgb="FF000000"/>
        <rFont val="FreeSans"/>
        <family val="2"/>
      </rPr>
      <t xml:space="preserve">ไม่มีใน </t>
    </r>
    <r>
      <rPr>
        <sz val="9"/>
        <color rgb="FF000000"/>
        <rFont val="Tahoma"/>
        <family val="0"/>
        <charset val="1"/>
      </rPr>
      <t xml:space="preserve">WBS, </t>
    </r>
    <r>
      <rPr>
        <sz val="9"/>
        <color rgb="FF000000"/>
        <rFont val="FreeSans"/>
        <family val="2"/>
      </rPr>
      <t xml:space="preserve">ถ้ามีรื้อหรือซ่อมหลังคาเดิมก่อนติดตั้ง ใส่ที่นี่</t>
    </r>
  </si>
  <si>
    <r>
      <rPr>
        <sz val="9"/>
        <color rgb="FF000000"/>
        <rFont val="FreeSans"/>
        <family val="2"/>
      </rPr>
      <t xml:space="preserve">งานรับน้ำหนักลงดิน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ฐานราก เสาเข็ม ขุดดินเฉพาะที่</t>
    </r>
  </si>
  <si>
    <r>
      <rPr>
        <sz val="9"/>
        <color rgb="FF000000"/>
        <rFont val="FreeSans"/>
        <family val="2"/>
      </rPr>
      <t xml:space="preserve">ฐานราก </t>
    </r>
    <r>
      <rPr>
        <sz val="9"/>
        <color rgb="FF000000"/>
        <rFont val="Tahoma"/>
        <family val="0"/>
        <charset val="1"/>
      </rPr>
      <t xml:space="preserve">Inverter station (E09), Concrete topping </t>
    </r>
    <r>
      <rPr>
        <sz val="9"/>
        <color rgb="FF000000"/>
        <rFont val="FreeSans"/>
        <family val="2"/>
      </rPr>
      <t xml:space="preserve">บนถัง</t>
    </r>
  </si>
  <si>
    <t xml:space="preserve">โครง เสา คาน บันได และโครงรองรับ</t>
  </si>
  <si>
    <r>
      <rPr>
        <sz val="9"/>
        <color rgb="FF000000"/>
        <rFont val="FreeSans"/>
        <family val="2"/>
      </rPr>
      <t xml:space="preserve">โครงรองรับแผง ฐานยึด บันได </t>
    </r>
    <r>
      <rPr>
        <sz val="9"/>
        <color rgb="FF000000"/>
        <rFont val="Tahoma"/>
        <family val="0"/>
        <charset val="1"/>
      </rPr>
      <t xml:space="preserve">C18, </t>
    </r>
    <r>
      <rPr>
        <sz val="9"/>
        <color rgb="FF000000"/>
        <rFont val="FreeSans"/>
        <family val="2"/>
      </rPr>
      <t xml:space="preserve">โครงเหล็กโรงเรือน</t>
    </r>
  </si>
  <si>
    <t xml:space="preserve">งานไม่รับน้ำหนัก งานกับอาคารเดิม</t>
  </si>
  <si>
    <r>
      <rPr>
        <sz val="9"/>
        <color rgb="FF000000"/>
        <rFont val="Tahoma"/>
        <family val="0"/>
        <charset val="1"/>
      </rPr>
      <t xml:space="preserve">Walkway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Lifeline </t>
    </r>
    <r>
      <rPr>
        <sz val="9"/>
        <color rgb="FF000000"/>
        <rFont val="FreeSans"/>
        <family val="2"/>
      </rPr>
      <t xml:space="preserve">ถาวร</t>
    </r>
  </si>
  <si>
    <t xml:space="preserve">ระบบไฟฟ้า เครื่องกล สื่อสาร ที่ทำให้ใช้งานได้ รวมทดสอบ</t>
  </si>
  <si>
    <r>
      <rPr>
        <sz val="9"/>
        <color rgb="FF000000"/>
        <rFont val="FreeSans"/>
        <family val="2"/>
      </rPr>
      <t xml:space="preserve">แผง </t>
    </r>
    <r>
      <rPr>
        <sz val="9"/>
        <color rgb="FF000000"/>
        <rFont val="Tahoma"/>
        <family val="0"/>
        <charset val="1"/>
      </rPr>
      <t xml:space="preserve">Inverter </t>
    </r>
    <r>
      <rPr>
        <sz val="9"/>
        <color rgb="FF000000"/>
        <rFont val="FreeSans"/>
        <family val="2"/>
      </rPr>
      <t xml:space="preserve">สาย ตู้ไฟ กันย้อน </t>
    </r>
    <r>
      <rPr>
        <sz val="9"/>
        <color rgb="FF000000"/>
        <rFont val="Tahoma"/>
        <family val="0"/>
        <charset val="1"/>
      </rPr>
      <t xml:space="preserve">Monitoring </t>
    </r>
    <r>
      <rPr>
        <sz val="9"/>
        <color rgb="FF000000"/>
        <rFont val="FreeSans"/>
        <family val="2"/>
      </rPr>
      <t xml:space="preserve">และการทดสอบระบบ</t>
    </r>
  </si>
  <si>
    <t xml:space="preserve">ระบายน้ำที่ให้บริการสิ่งก่อสร้างนี้</t>
  </si>
  <si>
    <r>
      <rPr>
        <sz val="9"/>
        <color rgb="FF000000"/>
        <rFont val="FreeSans"/>
        <family val="2"/>
      </rPr>
      <t xml:space="preserve">ไม่มีใน </t>
    </r>
    <r>
      <rPr>
        <sz val="9"/>
        <color rgb="FF000000"/>
        <rFont val="Tahoma"/>
        <family val="0"/>
        <charset val="1"/>
      </rPr>
      <t xml:space="preserve">WBS</t>
    </r>
  </si>
  <si>
    <t xml:space="preserve">งานนอกขอบเขตสิ่งก่อสร้างหลัก</t>
  </si>
  <si>
    <r>
      <rPr>
        <sz val="9"/>
        <color rgb="FF000000"/>
        <rFont val="FreeSans"/>
        <family val="2"/>
      </rPr>
      <t xml:space="preserve">ขุดร่อง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ท่อร้อยสาย </t>
    </r>
    <r>
      <rPr>
        <sz val="9"/>
        <color rgb="FF000000"/>
        <rFont val="Tahoma"/>
        <family val="0"/>
        <charset val="1"/>
      </rPr>
      <t xml:space="preserve">AC </t>
    </r>
    <r>
      <rPr>
        <sz val="9"/>
        <color rgb="FF000000"/>
        <rFont val="FreeSans"/>
        <family val="2"/>
      </rPr>
      <t xml:space="preserve">นอกอาคาร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ถ้าแยกราคาได้</t>
    </r>
    <r>
      <rPr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</si>
  <si>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บริหารหน้างาน สิ่งอำนวยความสะดวก </t>
    </r>
    <r>
      <rPr>
        <sz val="9"/>
        <color rgb="FF000000"/>
        <rFont val="Tahoma"/>
        <family val="0"/>
        <charset val="1"/>
      </rPr>
      <t xml:space="preserve">HSE QA </t>
    </r>
    <r>
      <rPr>
        <sz val="9"/>
        <color rgb="FF000000"/>
        <rFont val="FreeSans"/>
        <family val="2"/>
      </rPr>
      <t xml:space="preserve">ที่ใช้ร่วมทุกกลุ่ม</t>
    </r>
  </si>
  <si>
    <r>
      <rPr>
        <sz val="9"/>
        <color rgb="FF000000"/>
        <rFont val="FreeSans"/>
        <family val="2"/>
      </rPr>
      <t xml:space="preserve">แผน </t>
    </r>
    <r>
      <rPr>
        <sz val="9"/>
        <color rgb="FF000000"/>
        <rFont val="Tahoma"/>
        <family val="0"/>
        <charset val="1"/>
      </rPr>
      <t xml:space="preserve">PEP HSE ITP </t>
    </r>
    <r>
      <rPr>
        <sz val="9"/>
        <color rgb="FF000000"/>
        <rFont val="FreeSans"/>
        <family val="2"/>
      </rPr>
      <t xml:space="preserve">รายงาน </t>
    </r>
    <r>
      <rPr>
        <sz val="9"/>
        <color rgb="FF000000"/>
        <rFont val="Tahoma"/>
        <family val="0"/>
        <charset val="1"/>
      </rPr>
      <t xml:space="preserve">R1–R4 ICL </t>
    </r>
    <r>
      <rPr>
        <sz val="9"/>
        <color rgb="FF000000"/>
        <rFont val="FreeSans"/>
        <family val="2"/>
      </rPr>
      <t xml:space="preserve">ออกแบบโดยผู้รับเหมา </t>
    </r>
    <r>
      <rPr>
        <sz val="9"/>
        <color rgb="FF000000"/>
        <rFont val="Tahoma"/>
        <family val="0"/>
        <charset val="1"/>
      </rPr>
      <t xml:space="preserve">(design-build)</t>
    </r>
  </si>
  <si>
    <t xml:space="preserve">ปัจจัยที่ยังไม่แน่นอน</t>
  </si>
  <si>
    <r>
      <rPr>
        <sz val="9"/>
        <color rgb="FF000000"/>
        <rFont val="FreeSans"/>
        <family val="2"/>
      </rPr>
      <t xml:space="preserve">จากทะเบียนความเสี่ยงของ </t>
    </r>
    <r>
      <rPr>
        <sz val="9"/>
        <color rgb="FF000000"/>
        <rFont val="Tahoma"/>
        <family val="0"/>
        <charset val="1"/>
      </rPr>
      <t xml:space="preserve">Master Plan</t>
    </r>
  </si>
  <si>
    <t xml:space="preserve">VAT 7%</t>
  </si>
  <si>
    <r>
      <rPr>
        <sz val="9"/>
        <color rgb="FF000000"/>
        <rFont val="FreeSans"/>
        <family val="2"/>
      </rPr>
      <t xml:space="preserve">ไม่มี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ใช้พื้นที่ กปภ</t>
    </r>
    <r>
      <rPr>
        <sz val="9"/>
        <color rgb="FF000000"/>
        <rFont val="Tahoma"/>
        <family val="0"/>
        <charset val="1"/>
      </rPr>
      <t xml:space="preserve">.)</t>
    </r>
  </si>
  <si>
    <t xml:space="preserve">ผู้ที่ไม่ได้ว่าจ้างโดยผู้รับเหมา</t>
  </si>
  <si>
    <r>
      <rPr>
        <sz val="9"/>
        <color rgb="FF000000"/>
        <rFont val="FreeSans"/>
        <family val="2"/>
      </rPr>
      <t xml:space="preserve">วิศวกรควบคุมงาน </t>
    </r>
    <r>
      <rPr>
        <sz val="9"/>
        <color rgb="FF000000"/>
        <rFont val="Tahoma"/>
        <family val="0"/>
        <charset val="1"/>
      </rPr>
      <t xml:space="preserve">TC, </t>
    </r>
    <r>
      <rPr>
        <sz val="9"/>
        <color rgb="FF000000"/>
        <rFont val="FreeSans"/>
        <family val="2"/>
      </rPr>
      <t xml:space="preserve">ที่ปรึกษา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การตรวจรับของ กปภ</t>
    </r>
    <r>
      <rPr>
        <sz val="9"/>
        <color rgb="FF000000"/>
        <rFont val="Tahoma"/>
        <family val="0"/>
        <charset val="1"/>
      </rPr>
      <t xml:space="preserve">.</t>
    </r>
  </si>
  <si>
    <r>
      <rPr>
        <sz val="9"/>
        <color rgb="FF000000"/>
        <rFont val="FreeSans"/>
        <family val="2"/>
      </rPr>
      <t xml:space="preserve">ค่าเชื่อมต่อกับหน่วยงานรัฐ </t>
    </r>
    <r>
      <rPr>
        <sz val="9"/>
        <color rgb="FF000000"/>
        <rFont val="Tahoma"/>
        <family val="0"/>
        <charset val="1"/>
      </rPr>
      <t xml:space="preserve">/ </t>
    </r>
    <r>
      <rPr>
        <sz val="9"/>
        <color rgb="FF000000"/>
        <rFont val="FreeSans"/>
        <family val="2"/>
      </rPr>
      <t xml:space="preserve">การไฟฟ้า</t>
    </r>
  </si>
  <si>
    <r>
      <rPr>
        <sz val="9"/>
        <color rgb="FF000000"/>
        <rFont val="FreeSans"/>
        <family val="2"/>
      </rPr>
      <t xml:space="preserve">ค่าธรรมเนียมขนานไฟ กฟภ</t>
    </r>
    <r>
      <rPr>
        <sz val="9"/>
        <color rgb="FF000000"/>
        <rFont val="Tahoma"/>
        <family val="0"/>
        <charset val="1"/>
      </rPr>
      <t xml:space="preserve">., </t>
    </r>
    <r>
      <rPr>
        <sz val="9"/>
        <color rgb="FF000000"/>
        <rFont val="FreeSans"/>
        <family val="2"/>
      </rPr>
      <t xml:space="preserve">งานบนเสา </t>
    </r>
    <r>
      <rPr>
        <sz val="9"/>
        <color rgb="FF000000"/>
        <rFont val="Tahoma"/>
        <family val="0"/>
        <charset val="1"/>
      </rPr>
      <t xml:space="preserve">22 kV</t>
    </r>
  </si>
  <si>
    <t xml:space="preserve">ไม่มี</t>
  </si>
  <si>
    <t xml:space="preserve">ค่าใช้จ่ายอื่นที่สนับสนุนโครงการ</t>
  </si>
  <si>
    <r>
      <rPr>
        <sz val="9"/>
        <color rgb="FF000000"/>
        <rFont val="FreeSans"/>
        <family val="2"/>
      </rPr>
      <t xml:space="preserve">ใบอนุญาต อ</t>
    </r>
    <r>
      <rPr>
        <sz val="9"/>
        <color rgb="FF000000"/>
        <rFont val="Tahoma"/>
        <family val="0"/>
        <charset val="1"/>
      </rPr>
      <t xml:space="preserve">.1 </t>
    </r>
    <r>
      <rPr>
        <sz val="9"/>
        <color rgb="FF000000"/>
        <rFont val="FreeSans"/>
        <family val="2"/>
      </rPr>
      <t xml:space="preserve">พค</t>
    </r>
    <r>
      <rPr>
        <sz val="9"/>
        <color rgb="FF000000"/>
        <rFont val="Tahoma"/>
        <family val="0"/>
        <charset val="1"/>
      </rPr>
      <t xml:space="preserve">.2 </t>
    </r>
    <r>
      <rPr>
        <sz val="9"/>
        <color rgb="FF000000"/>
        <rFont val="FreeSans"/>
        <family val="2"/>
      </rPr>
      <t xml:space="preserve">กกพ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หนังสือดับไฟ </t>
    </r>
    <r>
      <rPr>
        <sz val="9"/>
        <color rgb="FF000000"/>
        <rFont val="Tahoma"/>
        <family val="0"/>
        <charset val="1"/>
      </rPr>
      <t xml:space="preserve">PAC </t>
    </r>
    <r>
      <rPr>
        <sz val="9"/>
        <color rgb="FF000000"/>
        <rFont val="FreeSans"/>
        <family val="2"/>
      </rPr>
      <t xml:space="preserve">เอกสารส่งมอบ</t>
    </r>
  </si>
  <si>
    <r>
      <rPr>
        <b val="true"/>
        <sz val="14"/>
        <color rgb="FF1F4E78"/>
        <rFont val="FreeSans"/>
        <family val="2"/>
      </rPr>
      <t xml:space="preserve">ต้นทุนตาม </t>
    </r>
    <r>
      <rPr>
        <b val="true"/>
        <sz val="14"/>
        <color rgb="FF1F4E78"/>
        <rFont val="Tahoma"/>
        <family val="0"/>
        <charset val="1"/>
      </rPr>
      <t xml:space="preserve">ICMS </t>
    </r>
    <r>
      <rPr>
        <b val="true"/>
        <sz val="14"/>
        <color rgb="FF1F4E78"/>
        <rFont val="FreeSans"/>
        <family val="2"/>
      </rPr>
      <t xml:space="preserve">ของโครงการ </t>
    </r>
    <r>
      <rPr>
        <b val="true"/>
        <sz val="14"/>
        <color rgb="FF1F4E78"/>
        <rFont val="Tahoma"/>
        <family val="0"/>
        <charset val="1"/>
      </rPr>
      <t xml:space="preserve">Solar Rooftop </t>
    </r>
    <r>
      <rPr>
        <b val="true"/>
        <sz val="14"/>
        <color rgb="FF1F4E78"/>
        <rFont val="FreeSans"/>
        <family val="2"/>
      </rPr>
      <t xml:space="preserve">กปภ</t>
    </r>
    <r>
      <rPr>
        <b val="true"/>
        <sz val="14"/>
        <color rgb="FF1F4E78"/>
        <rFont val="Tahoma"/>
        <family val="0"/>
        <charset val="1"/>
      </rPr>
      <t xml:space="preserve">. </t>
    </r>
    <r>
      <rPr>
        <b val="true"/>
        <sz val="14"/>
        <color rgb="FF1F4E78"/>
        <rFont val="FreeSans"/>
        <family val="2"/>
      </rPr>
      <t xml:space="preserve">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</si>
  <si>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sz val="9"/>
        <color rgb="FF595959"/>
        <rFont val="FreeSans"/>
        <family val="2"/>
      </rPr>
      <t xml:space="preserve">ไฟล์คู่กับ </t>
    </r>
    <r>
      <rPr>
        <sz val="9"/>
        <color rgb="FF595959"/>
        <rFont val="Tahoma"/>
        <family val="0"/>
        <charset val="1"/>
      </rPr>
      <t xml:space="preserve">Master Plan, ICMS </t>
    </r>
    <r>
      <rPr>
        <sz val="9"/>
        <color rgb="FF595959"/>
        <rFont val="FreeSans"/>
        <family val="2"/>
      </rPr>
      <t xml:space="preserve">ฉบับที่ </t>
    </r>
    <r>
      <rPr>
        <sz val="9"/>
        <color rgb="FF595959"/>
        <rFont val="Tahoma"/>
        <family val="0"/>
        <charset val="1"/>
      </rPr>
      <t xml:space="preserve">1 (ICMS Coalition), </t>
    </r>
    <r>
      <rPr>
        <sz val="9"/>
        <color rgb="FF595959"/>
        <rFont val="FreeSans"/>
        <family val="2"/>
      </rPr>
      <t xml:space="preserve">ใช้รหัส </t>
    </r>
    <r>
      <rPr>
        <sz val="9"/>
        <color rgb="FF595959"/>
        <rFont val="Tahoma"/>
        <family val="0"/>
        <charset val="1"/>
      </rPr>
      <t xml:space="preserve">WBS </t>
    </r>
    <r>
      <rPr>
        <sz val="9"/>
        <color rgb="FF595959"/>
        <rFont val="FreeSans"/>
        <family val="2"/>
      </rPr>
      <t xml:space="preserve">เดียวกับ </t>
    </r>
    <r>
      <rPr>
        <sz val="9"/>
        <color rgb="FF595959"/>
        <rFont val="Tahoma"/>
        <family val="0"/>
        <charset val="1"/>
      </rPr>
      <t xml:space="preserve">Master Plan</t>
    </r>
  </si>
  <si>
    <t xml:space="preserve">ทำไมมีไฟล์นี้</t>
  </si>
  <si>
    <r>
      <rPr>
        <sz val="9"/>
        <color rgb="FF000000"/>
        <rFont val="Tahoma"/>
        <family val="0"/>
        <charset val="1"/>
      </rPr>
      <t xml:space="preserve">Master Plan </t>
    </r>
    <r>
      <rPr>
        <sz val="9"/>
        <color rgb="FF000000"/>
        <rFont val="FreeSans"/>
        <family val="2"/>
      </rPr>
      <t xml:space="preserve">วัดความคืบหน้าด้วยน้ำหนักงาน </t>
    </r>
    <r>
      <rPr>
        <sz val="9"/>
        <color rgb="FF000000"/>
        <rFont val="Tahoma"/>
        <family val="0"/>
        <charset val="1"/>
      </rPr>
      <t xml:space="preserve">(%) </t>
    </r>
    <r>
      <rPr>
        <sz val="9"/>
        <color rgb="FF000000"/>
        <rFont val="FreeSans"/>
        <family val="2"/>
      </rPr>
      <t xml:space="preserve">ยังไม่มีมิติต้นทุน </t>
    </r>
    <r>
      <rPr>
        <sz val="9"/>
        <color rgb="FF000000"/>
        <rFont val="Tahoma"/>
        <family val="0"/>
        <charset val="1"/>
      </rPr>
      <t xml:space="preserve">DOE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NASA </t>
    </r>
    <r>
      <rPr>
        <sz val="9"/>
        <color rgb="FF000000"/>
        <rFont val="FreeSans"/>
        <family val="2"/>
      </rPr>
      <t xml:space="preserve">กำหนดให้ </t>
    </r>
    <r>
      <rPr>
        <sz val="9"/>
        <color rgb="FF000000"/>
        <rFont val="Tahoma"/>
        <family val="0"/>
        <charset val="1"/>
      </rPr>
      <t xml:space="preserve">WBS </t>
    </r>
    <r>
      <rPr>
        <sz val="9"/>
        <color rgb="FF000000"/>
        <rFont val="FreeSans"/>
        <family val="2"/>
      </rPr>
      <t xml:space="preserve">รวมขอบเขต เวลา และต้นทุนไว้ในโครงสร้างเดียว </t>
    </r>
    <r>
      <rPr>
        <sz val="9"/>
        <color rgb="FF000000"/>
        <rFont val="Tahoma"/>
        <family val="0"/>
        <charset val="1"/>
      </rPr>
      <t xml:space="preserve">ICMS </t>
    </r>
    <r>
      <rPr>
        <sz val="9"/>
        <color rgb="FF000000"/>
        <rFont val="FreeSans"/>
        <family val="2"/>
      </rPr>
      <t xml:space="preserve">กำหนดหมวดต้นทุนมาตรฐานเพื่อเทียบโครงการกันได้</t>
    </r>
  </si>
  <si>
    <t xml:space="preserve">หลักการ</t>
  </si>
  <si>
    <r>
      <rPr>
        <sz val="9"/>
        <color rgb="FF000000"/>
        <rFont val="FreeSans"/>
        <family val="2"/>
      </rPr>
      <t xml:space="preserve">ไม่สร้าง </t>
    </r>
    <r>
      <rPr>
        <sz val="9"/>
        <color rgb="FF000000"/>
        <rFont val="Tahoma"/>
        <family val="0"/>
        <charset val="1"/>
      </rPr>
      <t xml:space="preserve">WBS </t>
    </r>
    <r>
      <rPr>
        <sz val="9"/>
        <color rgb="FF000000"/>
        <rFont val="FreeSans"/>
        <family val="2"/>
      </rPr>
      <t xml:space="preserve">ใหม่ งานระดับ </t>
    </r>
    <r>
      <rPr>
        <sz val="9"/>
        <color rgb="FF000000"/>
        <rFont val="Tahoma"/>
        <family val="0"/>
        <charset val="1"/>
      </rPr>
      <t xml:space="preserve">3 </t>
    </r>
    <r>
      <rPr>
        <sz val="9"/>
        <color rgb="FF000000"/>
        <rFont val="FreeSans"/>
        <family val="2"/>
      </rPr>
      <t xml:space="preserve">ทุกรายการถูกจับคู่เข้า </t>
    </r>
    <r>
      <rPr>
        <sz val="9"/>
        <color rgb="FF000000"/>
        <rFont val="Tahoma"/>
        <family val="0"/>
        <charset val="1"/>
      </rPr>
      <t xml:space="preserve">ICMS Cost Group </t>
    </r>
    <r>
      <rPr>
        <sz val="9"/>
        <color rgb="FF000000"/>
        <rFont val="FreeSans"/>
        <family val="2"/>
      </rPr>
      <t xml:space="preserve">หนึ่งกลุ่ม ตามตัวอย่างที่ </t>
    </r>
    <r>
      <rPr>
        <sz val="9"/>
        <color rgb="FF000000"/>
        <rFont val="Tahoma"/>
        <family val="0"/>
        <charset val="1"/>
      </rPr>
      <t xml:space="preserve">1 </t>
    </r>
    <r>
      <rPr>
        <sz val="9"/>
        <color rgb="FF000000"/>
        <rFont val="FreeSans"/>
        <family val="2"/>
      </rPr>
      <t xml:space="preserve">ในคู่มือ </t>
    </r>
    <r>
      <rPr>
        <sz val="9"/>
        <color rgb="FF000000"/>
        <rFont val="Tahoma"/>
        <family val="0"/>
        <charset val="1"/>
      </rPr>
      <t xml:space="preserve">RICS (WBS by percentage </t>
    </r>
    <r>
      <rPr>
        <sz val="9"/>
        <color rgb="FF000000"/>
        <rFont val="FreeSans"/>
        <family val="2"/>
      </rPr>
      <t xml:space="preserve">แปลงเป็น </t>
    </r>
    <r>
      <rPr>
        <sz val="9"/>
        <color rgb="FF000000"/>
        <rFont val="Tahoma"/>
        <family val="0"/>
        <charset val="1"/>
      </rPr>
      <t xml:space="preserve">ICMS)</t>
    </r>
  </si>
  <si>
    <r>
      <rPr>
        <b val="true"/>
        <sz val="9"/>
        <color rgb="FF000000"/>
        <rFont val="Tahoma"/>
        <family val="0"/>
        <charset val="1"/>
      </rPr>
      <t xml:space="preserve">ICMS </t>
    </r>
    <r>
      <rPr>
        <b val="true"/>
        <sz val="9"/>
        <color rgb="FF000000"/>
        <rFont val="FreeSans"/>
        <family val="2"/>
      </rPr>
      <t xml:space="preserve">ระดับที่ใช้</t>
    </r>
  </si>
  <si>
    <r>
      <rPr>
        <sz val="9"/>
        <color rgb="FF000000"/>
        <rFont val="FreeSans"/>
        <family val="2"/>
      </rPr>
      <t xml:space="preserve">ระดับ </t>
    </r>
    <r>
      <rPr>
        <sz val="9"/>
        <color rgb="FF000000"/>
        <rFont val="Tahoma"/>
        <family val="0"/>
        <charset val="1"/>
      </rPr>
      <t xml:space="preserve">1 Project Category = Power-Generating Plants (solar power), </t>
    </r>
    <r>
      <rPr>
        <sz val="9"/>
        <color rgb="FF000000"/>
        <rFont val="FreeSans"/>
        <family val="2"/>
      </rPr>
      <t xml:space="preserve">ระดับ </t>
    </r>
    <r>
      <rPr>
        <sz val="9"/>
        <color rgb="FF000000"/>
        <rFont val="Tahoma"/>
        <family val="0"/>
        <charset val="1"/>
      </rPr>
      <t xml:space="preserve">2–3 </t>
    </r>
    <r>
      <rPr>
        <sz val="9"/>
        <color rgb="FF000000"/>
        <rFont val="FreeSans"/>
        <family val="2"/>
      </rPr>
      <t xml:space="preserve">บังคับตาม </t>
    </r>
    <r>
      <rPr>
        <sz val="9"/>
        <color rgb="FF000000"/>
        <rFont val="Tahoma"/>
        <family val="0"/>
        <charset val="1"/>
      </rPr>
      <t xml:space="preserve">ICMS </t>
    </r>
    <r>
      <rPr>
        <sz val="9"/>
        <color rgb="FF000000"/>
        <rFont val="FreeSans"/>
        <family val="2"/>
      </rPr>
      <t xml:space="preserve">ตาราง </t>
    </r>
    <r>
      <rPr>
        <sz val="9"/>
        <color rgb="FF000000"/>
        <rFont val="Tahoma"/>
        <family val="0"/>
        <charset val="1"/>
      </rPr>
      <t xml:space="preserve">1, </t>
    </r>
    <r>
      <rPr>
        <sz val="9"/>
        <color rgb="FF000000"/>
        <rFont val="FreeSans"/>
        <family val="2"/>
      </rPr>
      <t xml:space="preserve">ระดับ </t>
    </r>
    <r>
      <rPr>
        <sz val="9"/>
        <color rgb="FF000000"/>
        <rFont val="Tahoma"/>
        <family val="0"/>
        <charset val="1"/>
      </rPr>
      <t xml:space="preserve">4 </t>
    </r>
    <r>
      <rPr>
        <sz val="9"/>
        <color rgb="FF000000"/>
        <rFont val="FreeSans"/>
        <family val="2"/>
      </rPr>
      <t xml:space="preserve">ใช้รหัส </t>
    </r>
    <r>
      <rPr>
        <sz val="9"/>
        <color rgb="FF000000"/>
        <rFont val="Tahoma"/>
        <family val="0"/>
        <charset val="1"/>
      </rPr>
      <t xml:space="preserve">WBS </t>
    </r>
    <r>
      <rPr>
        <sz val="9"/>
        <color rgb="FF000000"/>
        <rFont val="FreeSans"/>
        <family val="2"/>
      </rPr>
      <t xml:space="preserve">ของเรา </t>
    </r>
    <r>
      <rPr>
        <sz val="9"/>
        <color rgb="FF000000"/>
        <rFont val="Tahoma"/>
        <family val="0"/>
        <charset val="1"/>
      </rPr>
      <t xml:space="preserve">(ICMS </t>
    </r>
    <r>
      <rPr>
        <sz val="9"/>
        <color rgb="FF000000"/>
        <rFont val="FreeSans"/>
        <family val="2"/>
      </rPr>
      <t xml:space="preserve">อนุญาตให้ใช้ </t>
    </r>
    <r>
      <rPr>
        <sz val="9"/>
        <color rgb="FF000000"/>
        <rFont val="Tahoma"/>
        <family val="0"/>
        <charset val="1"/>
      </rPr>
      <t xml:space="preserve">WBS </t>
    </r>
    <r>
      <rPr>
        <sz val="9"/>
        <color rgb="FF000000"/>
        <rFont val="FreeSans"/>
        <family val="2"/>
      </rPr>
      <t xml:space="preserve">ได้</t>
    </r>
    <r>
      <rPr>
        <sz val="9"/>
        <color rgb="FF000000"/>
        <rFont val="Tahoma"/>
        <family val="0"/>
        <charset val="1"/>
      </rPr>
      <t xml:space="preserve">)</t>
    </r>
  </si>
  <si>
    <r>
      <rPr>
        <b val="true"/>
        <sz val="9"/>
        <color rgb="FF000000"/>
        <rFont val="FreeSans"/>
        <family val="2"/>
      </rPr>
      <t xml:space="preserve">ชีต </t>
    </r>
    <r>
      <rPr>
        <b val="true"/>
        <sz val="9"/>
        <color rgb="FF000000"/>
        <rFont val="Tahoma"/>
        <family val="0"/>
        <charset val="1"/>
      </rPr>
      <t xml:space="preserve">ICMS </t>
    </r>
    <r>
      <rPr>
        <b val="true"/>
        <sz val="9"/>
        <color rgb="FF000000"/>
        <rFont val="FreeSans"/>
        <family val="2"/>
      </rPr>
      <t xml:space="preserve">หมวดต้นทุน</t>
    </r>
  </si>
  <si>
    <r>
      <rPr>
        <sz val="9"/>
        <color rgb="FF000000"/>
        <rFont val="FreeSans"/>
        <family val="2"/>
      </rPr>
      <t xml:space="preserve">หมวดต้นทุนระดับ </t>
    </r>
    <r>
      <rPr>
        <sz val="9"/>
        <color rgb="FF000000"/>
        <rFont val="Tahoma"/>
        <family val="0"/>
        <charset val="1"/>
      </rPr>
      <t xml:space="preserve">2–3 </t>
    </r>
    <r>
      <rPr>
        <sz val="9"/>
        <color rgb="FF000000"/>
        <rFont val="FreeSans"/>
        <family val="2"/>
      </rPr>
      <t xml:space="preserve">พร้อมขอบเขตภาษาไทย และงานในโครงการนี้ที่อยู่ในแต่ละกลุ่ม</t>
    </r>
  </si>
  <si>
    <r>
      <rPr>
        <b val="true"/>
        <sz val="9"/>
        <color rgb="FF000000"/>
        <rFont val="FreeSans"/>
        <family val="2"/>
      </rPr>
      <t xml:space="preserve">ชีต </t>
    </r>
    <r>
      <rPr>
        <b val="true"/>
        <sz val="9"/>
        <color rgb="FF000000"/>
        <rFont val="Tahoma"/>
        <family val="0"/>
        <charset val="1"/>
      </rPr>
      <t xml:space="preserve">ICMS WBS</t>
    </r>
  </si>
  <si>
    <r>
      <rPr>
        <sz val="9"/>
        <color rgb="FF000000"/>
        <rFont val="FreeSans"/>
        <family val="2"/>
      </rPr>
      <t xml:space="preserve">งาน </t>
    </r>
    <r>
      <rPr>
        <sz val="9"/>
        <color rgb="FF000000"/>
        <rFont val="Tahoma"/>
        <family val="0"/>
        <charset val="1"/>
      </rPr>
      <t xml:space="preserve">WBS </t>
    </r>
    <r>
      <rPr>
        <sz val="9"/>
        <color rgb="FF000000"/>
        <rFont val="FreeSans"/>
        <family val="2"/>
      </rPr>
      <t xml:space="preserve">ทุกรายการกับกลุ่ม </t>
    </r>
    <r>
      <rPr>
        <sz val="9"/>
        <color rgb="FF000000"/>
        <rFont val="Tahoma"/>
        <family val="0"/>
        <charset val="1"/>
      </rPr>
      <t xml:space="preserve">ICMS, </t>
    </r>
    <r>
      <rPr>
        <sz val="9"/>
        <color rgb="FF000000"/>
        <rFont val="FreeSans"/>
        <family val="2"/>
      </rPr>
      <t xml:space="preserve">ช่องเหลืองแก้ได้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รหัส </t>
    </r>
    <r>
      <rPr>
        <sz val="9"/>
        <color rgb="FF000000"/>
        <rFont val="Tahoma"/>
        <family val="0"/>
        <charset val="1"/>
      </rPr>
      <t xml:space="preserve">ICMS (</t>
    </r>
    <r>
      <rPr>
        <sz val="9"/>
        <color rgb="FF000000"/>
        <rFont val="FreeSans"/>
        <family val="2"/>
      </rPr>
      <t xml:space="preserve">เลือกจากรายการ</t>
    </r>
    <r>
      <rPr>
        <sz val="9"/>
        <color rgb="FF000000"/>
        <rFont val="Tahoma"/>
        <family val="0"/>
        <charset val="1"/>
      </rPr>
      <t xml:space="preserve">) </t>
    </r>
    <r>
      <rPr>
        <sz val="9"/>
        <color rgb="FF000000"/>
        <rFont val="FreeSans"/>
        <family val="2"/>
      </rPr>
      <t xml:space="preserve">และงบต่อสถานี</t>
    </r>
  </si>
  <si>
    <r>
      <rPr>
        <b val="true"/>
        <sz val="9"/>
        <color rgb="FF000000"/>
        <rFont val="FreeSans"/>
        <family val="2"/>
      </rPr>
      <t xml:space="preserve">ชีต </t>
    </r>
    <r>
      <rPr>
        <b val="true"/>
        <sz val="9"/>
        <color rgb="FF000000"/>
        <rFont val="Tahoma"/>
        <family val="0"/>
        <charset val="1"/>
      </rPr>
      <t xml:space="preserve">ICMS </t>
    </r>
    <r>
      <rPr>
        <b val="true"/>
        <sz val="9"/>
        <color rgb="FF000000"/>
        <rFont val="FreeSans"/>
        <family val="2"/>
      </rPr>
      <t xml:space="preserve">ข้อมูลสถานี</t>
    </r>
  </si>
  <si>
    <r>
      <rPr>
        <sz val="9"/>
        <color rgb="FF000000"/>
        <rFont val="Tahoma"/>
        <family val="0"/>
        <charset val="1"/>
      </rPr>
      <t xml:space="preserve">Project Attributes </t>
    </r>
    <r>
      <rPr>
        <sz val="9"/>
        <color rgb="FF000000"/>
        <rFont val="FreeSans"/>
        <family val="2"/>
      </rPr>
      <t xml:space="preserve">ตาม </t>
    </r>
    <r>
      <rPr>
        <sz val="9"/>
        <color rgb="FF000000"/>
        <rFont val="Tahoma"/>
        <family val="0"/>
        <charset val="1"/>
      </rPr>
      <t xml:space="preserve">Schedule 1 </t>
    </r>
    <r>
      <rPr>
        <sz val="9"/>
        <color rgb="FF000000"/>
        <rFont val="FreeSans"/>
        <family val="2"/>
      </rPr>
      <t xml:space="preserve">หัวข้อโรงไฟฟ้า รายสถานี</t>
    </r>
    <r>
      <rPr>
        <sz val="9"/>
        <color rgb="FF000000"/>
        <rFont val="Tahoma"/>
        <family val="0"/>
        <charset val="1"/>
      </rPr>
      <t xml:space="preserve">, ICMS </t>
    </r>
    <r>
      <rPr>
        <sz val="9"/>
        <color rgb="FF000000"/>
        <rFont val="FreeSans"/>
        <family val="2"/>
      </rPr>
      <t xml:space="preserve">ให้ใช้ </t>
    </r>
    <r>
      <rPr>
        <sz val="9"/>
        <color rgb="FF000000"/>
        <rFont val="Tahoma"/>
        <family val="0"/>
        <charset val="1"/>
      </rPr>
      <t xml:space="preserve">2 </t>
    </r>
    <r>
      <rPr>
        <sz val="9"/>
        <color rgb="FF000000"/>
        <rFont val="FreeSans"/>
        <family val="2"/>
      </rPr>
      <t xml:space="preserve">หน่วยวัด คือขนาด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พื้นที่แผง </t>
    </r>
    <r>
      <rPr>
        <sz val="9"/>
        <color rgb="FF000000"/>
        <rFont val="Tahoma"/>
        <family val="0"/>
        <charset val="1"/>
      </rPr>
      <t xml:space="preserve">m²) </t>
    </r>
    <r>
      <rPr>
        <sz val="9"/>
        <color rgb="FF000000"/>
        <rFont val="FreeSans"/>
        <family val="2"/>
      </rPr>
      <t xml:space="preserve">และกำลังผลิต </t>
    </r>
    <r>
      <rPr>
        <sz val="9"/>
        <color rgb="FF000000"/>
        <rFont val="Tahoma"/>
        <family val="0"/>
        <charset val="1"/>
      </rPr>
      <t xml:space="preserve">(kWp)</t>
    </r>
  </si>
  <si>
    <r>
      <rPr>
        <b val="true"/>
        <sz val="9"/>
        <color rgb="FF000000"/>
        <rFont val="FreeSans"/>
        <family val="2"/>
      </rPr>
      <t xml:space="preserve">ชีต </t>
    </r>
    <r>
      <rPr>
        <b val="true"/>
        <sz val="9"/>
        <color rgb="FF000000"/>
        <rFont val="Tahoma"/>
        <family val="0"/>
        <charset val="1"/>
      </rPr>
      <t xml:space="preserve">ICMS </t>
    </r>
    <r>
      <rPr>
        <b val="true"/>
        <sz val="9"/>
        <color rgb="FF000000"/>
        <rFont val="FreeSans"/>
        <family val="2"/>
      </rPr>
      <t xml:space="preserve">สรุปต้นทุน</t>
    </r>
  </si>
  <si>
    <r>
      <rPr>
        <sz val="9"/>
        <color rgb="FF000000"/>
        <rFont val="FreeSans"/>
        <family val="2"/>
      </rPr>
      <t xml:space="preserve">สรุปตามรูปแบบรายงาน </t>
    </r>
    <r>
      <rPr>
        <sz val="9"/>
        <color rgb="FF000000"/>
        <rFont val="Tahoma"/>
        <family val="0"/>
        <charset val="1"/>
      </rPr>
      <t xml:space="preserve">ICMS: </t>
    </r>
    <r>
      <rPr>
        <sz val="9"/>
        <color rgb="FF000000"/>
        <rFont val="FreeSans"/>
        <family val="2"/>
      </rPr>
      <t xml:space="preserve">งบรวม สัดส่วน บาท</t>
    </r>
    <r>
      <rPr>
        <sz val="9"/>
        <color rgb="FF000000"/>
        <rFont val="Tahoma"/>
        <family val="0"/>
        <charset val="1"/>
      </rPr>
      <t xml:space="preserve">/kWp </t>
    </r>
    <r>
      <rPr>
        <sz val="9"/>
        <color rgb="FF000000"/>
        <rFont val="FreeSans"/>
        <family val="2"/>
      </rPr>
      <t xml:space="preserve">บาท</t>
    </r>
    <r>
      <rPr>
        <sz val="9"/>
        <color rgb="FF000000"/>
        <rFont val="Tahoma"/>
        <family val="0"/>
        <charset val="1"/>
      </rPr>
      <t xml:space="preserve">/m² </t>
    </r>
    <r>
      <rPr>
        <sz val="9"/>
        <color rgb="FF000000"/>
        <rFont val="FreeSans"/>
        <family val="2"/>
      </rPr>
      <t xml:space="preserve">และสัดส่วนน้ำหนักงานของ </t>
    </r>
    <r>
      <rPr>
        <sz val="9"/>
        <color rgb="FF000000"/>
        <rFont val="Tahoma"/>
        <family val="0"/>
        <charset val="1"/>
      </rPr>
      <t xml:space="preserve">Master Plan </t>
    </r>
    <r>
      <rPr>
        <sz val="9"/>
        <color rgb="FF000000"/>
        <rFont val="FreeSans"/>
        <family val="2"/>
      </rPr>
      <t xml:space="preserve">ในแต่ละกลุ่ม</t>
    </r>
  </si>
  <si>
    <t xml:space="preserve">ช่องที่ยังว่าง</t>
  </si>
  <si>
    <r>
      <rPr>
        <sz val="9"/>
        <color rgb="FF000000"/>
        <rFont val="FreeSans"/>
        <family val="2"/>
      </rPr>
      <t xml:space="preserve">งบต่อสถานี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รอราคาตามสัญญา </t>
    </r>
    <r>
      <rPr>
        <sz val="9"/>
        <color rgb="FF000000"/>
        <rFont val="Tahoma"/>
        <family val="0"/>
        <charset val="1"/>
      </rPr>
      <t xml:space="preserve">/ BOQ, </t>
    </r>
    <r>
      <rPr>
        <sz val="9"/>
        <color rgb="FF000000"/>
        <rFont val="FreeSans"/>
        <family val="2"/>
      </rPr>
      <t xml:space="preserve">ความสูงจากระดับน้ำทะเล และวันที่ฐานราคา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กรอกเมื่อมีข้อมูล</t>
    </r>
  </si>
  <si>
    <t xml:space="preserve">ข้อควรระวัง</t>
  </si>
  <si>
    <r>
      <rPr>
        <sz val="9"/>
        <color rgb="FF000000"/>
        <rFont val="FreeSans"/>
        <family val="2"/>
      </rPr>
      <t xml:space="preserve">น้ำหนักงาน </t>
    </r>
    <r>
      <rPr>
        <sz val="9"/>
        <color rgb="FF000000"/>
        <rFont val="Tahoma"/>
        <family val="0"/>
        <charset val="1"/>
      </rPr>
      <t xml:space="preserve">(%) </t>
    </r>
    <r>
      <rPr>
        <sz val="9"/>
        <color rgb="FF000000"/>
        <rFont val="FreeSans"/>
        <family val="2"/>
      </rPr>
      <t xml:space="preserve">ใน </t>
    </r>
    <r>
      <rPr>
        <sz val="9"/>
        <color rgb="FF000000"/>
        <rFont val="Tahoma"/>
        <family val="0"/>
        <charset val="1"/>
      </rPr>
      <t xml:space="preserve">Master Plan </t>
    </r>
    <r>
      <rPr>
        <sz val="9"/>
        <color rgb="FF000000"/>
        <rFont val="FreeSans"/>
        <family val="2"/>
      </rPr>
      <t xml:space="preserve">คือสัดส่วนความพยายาม ไม่ใช่สัดส่วนต้นทุน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ใช้ดูภาพรวมได้ แต่อย่าใช้แทนงบ</t>
    </r>
  </si>
  <si>
    <t xml:space="preserve">แหล่งอ้างอิง</t>
  </si>
  <si>
    <r>
      <rPr>
        <sz val="9"/>
        <color rgb="FF000000"/>
        <rFont val="Tahoma"/>
        <family val="0"/>
        <charset val="1"/>
      </rPr>
      <t xml:space="preserve">ICMS 1st ed. Part 2 §2.2–2.4, Schedule 1, RICS ICMS Explained (2017) Appendix B, NASA WBS Handbook (2018) §3 WBS dictionary </t>
    </r>
    <r>
      <rPr>
        <sz val="9"/>
        <color rgb="FF000000"/>
        <rFont val="FreeSans"/>
        <family val="2"/>
      </rPr>
      <t xml:space="preserve">ข้อ </t>
    </r>
    <r>
      <rPr>
        <sz val="9"/>
        <color rgb="FF000000"/>
        <rFont val="Tahoma"/>
        <family val="0"/>
        <charset val="1"/>
      </rPr>
      <t xml:space="preserve">h, DOE WBS Guide (Rev E 2003) §1.0</t>
    </r>
  </si>
  <si>
    <r>
      <rPr>
        <b val="true"/>
        <sz val="14"/>
        <color rgb="FF1F4E78"/>
        <rFont val="FreeSans"/>
        <family val="2"/>
      </rPr>
      <t xml:space="preserve">บทเรียนระหว่างทำงาน </t>
    </r>
    <r>
      <rPr>
        <b val="true"/>
        <sz val="14"/>
        <color rgb="FF1F4E78"/>
        <rFont val="Tahoma"/>
        <family val="0"/>
        <charset val="1"/>
      </rPr>
      <t xml:space="preserve">(Lessons Learned) – </t>
    </r>
    <r>
      <rPr>
        <b val="true"/>
        <sz val="14"/>
        <color rgb="FF1F4E78"/>
        <rFont val="FreeSans"/>
        <family val="2"/>
      </rPr>
      <t xml:space="preserve">เรียนรู้แล้วเปลี่ยนวิธีทำ</t>
    </r>
  </si>
  <si>
    <r>
      <rPr>
        <i val="true"/>
        <sz val="9"/>
        <color rgb="FF595959"/>
        <rFont val="FreeSans"/>
        <family val="2"/>
      </rPr>
      <t xml:space="preserve">บันทึกทุกครั้งที่เจอปัญหาซ้ำหรือพบวิธีที่ดีกว่า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เกิดอะไร สาเหตุ และ ‘เปลี่ยนวิธีทำอย่างไร’ ให้ใช้กับทุกสถานี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ผู้รับเหมา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ทบทวนในประชุมรายสัปดาห์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บทเรียนที่ยังไม่นำไปใช้เกิน </t>
    </r>
    <r>
      <rPr>
        <i val="true"/>
        <sz val="9"/>
        <color rgb="FF595959"/>
        <rFont val="Tahoma"/>
        <family val="0"/>
        <charset val="1"/>
      </rPr>
      <t xml:space="preserve">14 </t>
    </r>
    <r>
      <rPr>
        <i val="true"/>
        <sz val="9"/>
        <color rgb="FF595959"/>
        <rFont val="FreeSans"/>
        <family val="2"/>
      </rPr>
      <t xml:space="preserve">วันขึ้นสีส้ม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แถวที่เติมไว้มาจากข้อมูลไฟล์ติดตามจริง</t>
    </r>
  </si>
  <si>
    <t xml:space="preserve">บทเรียนทั้งหมด</t>
  </si>
  <si>
    <t xml:space="preserve">นำไปใช้แล้ว</t>
  </si>
  <si>
    <t xml:space="preserve">ยังไม่นำไปใช้</t>
  </si>
  <si>
    <r>
      <rPr>
        <sz val="9"/>
        <color rgb="FF595959"/>
        <rFont val="FreeSans"/>
        <family val="2"/>
      </rPr>
      <t xml:space="preserve">ค้างเกิน </t>
    </r>
    <r>
      <rPr>
        <sz val="9"/>
        <color rgb="FF595959"/>
        <rFont val="Tahoma"/>
        <family val="0"/>
        <charset val="1"/>
      </rPr>
      <t xml:space="preserve">14 </t>
    </r>
    <r>
      <rPr>
        <sz val="9"/>
        <color rgb="FF595959"/>
        <rFont val="FreeSans"/>
        <family val="2"/>
      </rPr>
      <t xml:space="preserve">วัน</t>
    </r>
  </si>
  <si>
    <r>
      <rPr>
        <sz val="9"/>
        <color rgb="FF595959"/>
        <rFont val="FreeSans"/>
        <family val="2"/>
      </rPr>
      <t xml:space="preserve">เข้าใหม่ </t>
    </r>
    <r>
      <rPr>
        <sz val="9"/>
        <color rgb="FF595959"/>
        <rFont val="Tahoma"/>
        <family val="0"/>
        <charset val="1"/>
      </rPr>
      <t xml:space="preserve">4 </t>
    </r>
    <r>
      <rPr>
        <sz val="9"/>
        <color rgb="FF595959"/>
        <rFont val="FreeSans"/>
        <family val="2"/>
      </rPr>
      <t xml:space="preserve">สัปดาห์</t>
    </r>
  </si>
  <si>
    <t xml:space="preserve">สรุปตามหมวด</t>
  </si>
  <si>
    <r>
      <rPr>
        <b val="true"/>
        <sz val="9"/>
        <color rgb="FFFFFFFF"/>
        <rFont val="FreeSans"/>
        <family val="2"/>
      </rPr>
      <t xml:space="preserve">สถานี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กลุ่ม</t>
    </r>
  </si>
  <si>
    <t xml:space="preserve">เกิดอะไรขึ้น</t>
  </si>
  <si>
    <t xml:space="preserve">เปลี่ยนวิธีทำอย่างไร</t>
  </si>
  <si>
    <r>
      <rPr>
        <b val="true"/>
        <sz val="9"/>
        <color rgb="FFFFFFFF"/>
        <rFont val="FreeSans"/>
        <family val="2"/>
      </rPr>
      <t xml:space="preserve">อ้างอิง </t>
    </r>
    <r>
      <rPr>
        <b val="true"/>
        <sz val="9"/>
        <color rgb="FFFFFFFF"/>
        <rFont val="Tahoma"/>
        <family val="0"/>
        <charset val="1"/>
      </rPr>
      <t xml:space="preserve">(CR / </t>
    </r>
    <r>
      <rPr>
        <b val="true"/>
        <sz val="9"/>
        <color rgb="FFFFFFFF"/>
        <rFont val="FreeSans"/>
        <family val="2"/>
      </rPr>
      <t xml:space="preserve">ความเสี่ยง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</si>
  <si>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ผลหลังเปลี่ยน</t>
  </si>
  <si>
    <t xml:space="preserve">ทั้งหมด</t>
  </si>
  <si>
    <t xml:space="preserve">ใช้แล้ว</t>
  </si>
  <si>
    <r>
      <rPr>
        <sz val="9"/>
        <color rgb="FF0000FF"/>
        <rFont val="Tahoma"/>
        <family val="0"/>
        <charset val="1"/>
      </rPr>
      <t xml:space="preserve">8 </t>
    </r>
    <r>
      <rPr>
        <sz val="9"/>
        <color rgb="FF0000FF"/>
        <rFont val="FreeSans"/>
        <family val="2"/>
      </rPr>
      <t xml:space="preserve">สถานีต้องยื่นแก้ไข </t>
    </r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</rPr>
      <t xml:space="preserve">วันเดียวกัน </t>
    </r>
    <r>
      <rPr>
        <sz val="9"/>
        <color rgb="FF0000FF"/>
        <rFont val="Tahoma"/>
        <family val="0"/>
        <charset val="1"/>
      </rPr>
      <t xml:space="preserve">(P3-001, P4-005–008, P4-011–013)</t>
    </r>
  </si>
  <si>
    <t xml:space="preserve">ชุดเอกสารต้นแบบชุดเดียวกันมีจุดผิดร่วม</t>
  </si>
  <si>
    <r>
      <rPr>
        <sz val="9"/>
        <color rgb="FF0000FF"/>
        <rFont val="FreeSans"/>
        <family val="2"/>
      </rPr>
      <t xml:space="preserve">หาสาเหตุร่วมก่อนยื่นชุดถัดไป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แก้ต้นแบบแล้วตรวจสถานีที่ยังไม่ยื่นทั้งหมด</t>
    </r>
  </si>
  <si>
    <t xml:space="preserve">ทุกสถานีที่ยังไม่ยื่น</t>
  </si>
  <si>
    <t xml:space="preserve">เสนอ</t>
  </si>
  <si>
    <t xml:space="preserve">กระบวนการ</t>
  </si>
  <si>
    <t xml:space="preserve">P3-019, 021, 030</t>
  </si>
  <si>
    <r>
      <rPr>
        <sz val="9"/>
        <color rgb="FF0000FF"/>
        <rFont val="FreeSans"/>
        <family val="2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ขอให้แนบการตั้งค่า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</rPr>
      <t xml:space="preserve">แต่ละตัวตาม </t>
    </r>
    <r>
      <rPr>
        <sz val="9"/>
        <color rgb="FF0000FF"/>
        <rFont val="Tahoma"/>
        <family val="0"/>
        <charset val="1"/>
      </rPr>
      <t xml:space="preserve">PEA Grid Code </t>
    </r>
    <r>
      <rPr>
        <sz val="9"/>
        <color rgb="FF0000FF"/>
        <rFont val="FreeSans"/>
        <family val="2"/>
      </rPr>
      <t xml:space="preserve">ในหนังสือรับรองตนเอง ข้อ </t>
    </r>
    <r>
      <rPr>
        <sz val="9"/>
        <color rgb="FF0000FF"/>
        <rFont val="Tahoma"/>
        <family val="0"/>
        <charset val="1"/>
      </rPr>
      <t xml:space="preserve">4</t>
    </r>
  </si>
  <si>
    <r>
      <rPr>
        <sz val="9"/>
        <color rgb="FF0000FF"/>
        <rFont val="FreeSans"/>
        <family val="2"/>
      </rPr>
      <t xml:space="preserve">ชุดยื่นไม่มีหน้าค่าตั้ง </t>
    </r>
    <r>
      <rPr>
        <sz val="9"/>
        <color rgb="FF0000FF"/>
        <rFont val="Tahoma"/>
        <family val="0"/>
        <charset val="1"/>
      </rPr>
      <t xml:space="preserve">Grid Code (V/Hz reconnect)</t>
    </r>
  </si>
  <si>
    <r>
      <rPr>
        <sz val="9"/>
        <color rgb="FF0000FF"/>
        <rFont val="FreeSans"/>
        <family val="2"/>
      </rPr>
      <t xml:space="preserve">เพิ่มภาพหน้าจอค่าตั้ง </t>
    </r>
    <r>
      <rPr>
        <sz val="9"/>
        <color rgb="FF0000FF"/>
        <rFont val="Tahoma"/>
        <family val="0"/>
        <charset val="1"/>
      </rPr>
      <t xml:space="preserve">Grid Code </t>
    </r>
    <r>
      <rPr>
        <sz val="9"/>
        <color rgb="FF0000FF"/>
        <rFont val="FreeSans"/>
        <family val="2"/>
      </rPr>
      <t xml:space="preserve">ของ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</rPr>
      <t xml:space="preserve">ทุกตัวในเช็กลิสต์ยื่น </t>
    </r>
    <r>
      <rPr>
        <sz val="9"/>
        <color rgb="FF0000FF"/>
        <rFont val="Tahoma"/>
        <family val="0"/>
        <charset val="1"/>
      </rPr>
      <t xml:space="preserve">PPIM, </t>
    </r>
    <r>
      <rPr>
        <sz val="9"/>
        <color rgb="FF0000FF"/>
        <rFont val="FreeSans"/>
        <family val="2"/>
      </rPr>
      <t xml:space="preserve">ให้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ถ่ายตอน </t>
    </r>
    <r>
      <rPr>
        <sz val="9"/>
        <color rgb="FF0000FF"/>
        <rFont val="Tahoma"/>
        <family val="0"/>
        <charset val="1"/>
      </rPr>
      <t xml:space="preserve">Commissioning</t>
    </r>
  </si>
  <si>
    <r>
      <rPr>
        <sz val="9"/>
        <color rgb="FF0000FF"/>
        <rFont val="Tahoma"/>
        <family val="0"/>
        <charset val="1"/>
      </rPr>
      <t xml:space="preserve">Admin + </t>
    </r>
    <r>
      <rPr>
        <sz val="9"/>
        <color rgb="FF0000FF"/>
        <rFont val="FreeSans"/>
        <family val="2"/>
      </rPr>
      <t xml:space="preserve">ผรม</t>
    </r>
    <r>
      <rPr>
        <sz val="9"/>
        <color rgb="FF0000FF"/>
        <rFont val="Tahoma"/>
        <family val="0"/>
        <charset val="1"/>
      </rPr>
      <t xml:space="preserve">.</t>
    </r>
  </si>
  <si>
    <t xml:space="preserve">P4-039, 040, 042</t>
  </si>
  <si>
    <r>
      <rPr>
        <sz val="9"/>
        <color rgb="FF0000FF"/>
        <rFont val="FreeSans"/>
        <family val="2"/>
      </rPr>
      <t xml:space="preserve">แผน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นัดหมาย</t>
    </r>
  </si>
  <si>
    <r>
      <rPr>
        <sz val="9"/>
        <color rgb="FF0000FF"/>
        <rFont val="FreeSans"/>
        <family val="2"/>
      </rPr>
      <t xml:space="preserve">นัด </t>
    </r>
    <r>
      <rPr>
        <sz val="9"/>
        <color rgb="FF0000FF"/>
        <rFont val="Tahoma"/>
        <family val="0"/>
        <charset val="1"/>
      </rPr>
      <t xml:space="preserve">IEC 62446 </t>
    </r>
    <r>
      <rPr>
        <sz val="9"/>
        <color rgb="FF0000FF"/>
        <rFont val="FreeSans"/>
        <family val="2"/>
      </rPr>
      <t xml:space="preserve">วันที่ </t>
    </r>
    <r>
      <rPr>
        <sz val="9"/>
        <color rgb="FF0000FF"/>
        <rFont val="Tahoma"/>
        <family val="0"/>
        <charset val="1"/>
      </rPr>
      <t xml:space="preserve">23 </t>
    </r>
    <r>
      <rPr>
        <sz val="9"/>
        <color rgb="FF0000FF"/>
        <rFont val="FreeSans"/>
        <family val="2"/>
      </rPr>
      <t xml:space="preserve">ต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</rPr>
      <t xml:space="preserve">ค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ซึ่งเป็นวันหยุดราชการ</t>
    </r>
  </si>
  <si>
    <t xml:space="preserve">ไม่ได้เทียบตารางวันหยุดตอนนัด</t>
  </si>
  <si>
    <r>
      <rPr>
        <sz val="9"/>
        <color rgb="FF0000FF"/>
        <rFont val="FreeSans"/>
        <family val="2"/>
      </rPr>
      <t xml:space="preserve">ตรวจคอลัมน์ ⚠ ตรวจข้อมูลใน </t>
    </r>
    <r>
      <rPr>
        <sz val="9"/>
        <color rgb="FF0000FF"/>
        <rFont val="Tahoma"/>
        <family val="0"/>
        <charset val="1"/>
      </rPr>
      <t xml:space="preserve">Master Plan </t>
    </r>
    <r>
      <rPr>
        <sz val="9"/>
        <color rgb="FF0000FF"/>
        <rFont val="FreeSans"/>
        <family val="2"/>
      </rPr>
      <t xml:space="preserve">ก่อนยืนยันนัดทุกครั้ง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เลื่อน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นัดนี้</t>
    </r>
  </si>
  <si>
    <t xml:space="preserve">ทุกนัด</t>
  </si>
  <si>
    <t xml:space="preserve">กำลังทำ</t>
  </si>
  <si>
    <r>
      <rPr>
        <b val="true"/>
        <sz val="9"/>
        <rFont val="FreeSans"/>
        <family val="2"/>
      </rPr>
      <t xml:space="preserve">แผน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นัดหมาย</t>
    </r>
  </si>
  <si>
    <t xml:space="preserve">P3-006</t>
  </si>
  <si>
    <t xml:space="preserve">ข้อมูล</t>
  </si>
  <si>
    <r>
      <rPr>
        <sz val="9"/>
        <color rgb="FF0000FF"/>
        <rFont val="FreeSans"/>
        <family val="2"/>
      </rPr>
      <t xml:space="preserve">ไฟล์ติดตามมีปี </t>
    </r>
    <r>
      <rPr>
        <sz val="9"/>
        <color rgb="FF0000FF"/>
        <rFont val="Tahoma"/>
        <family val="0"/>
        <charset val="1"/>
      </rPr>
      <t xml:space="preserve">1969 </t>
    </r>
    <r>
      <rPr>
        <sz val="9"/>
        <color rgb="FF0000FF"/>
        <rFont val="FreeSans"/>
        <family val="2"/>
      </rPr>
      <t xml:space="preserve">และช่องอ้างอิงเสีย </t>
    </r>
    <r>
      <rPr>
        <sz val="9"/>
        <color rgb="FF0000FF"/>
        <rFont val="Tahoma"/>
        <family val="0"/>
        <charset val="1"/>
      </rPr>
      <t xml:space="preserve">(#REF) </t>
    </r>
    <r>
      <rPr>
        <sz val="9"/>
        <color rgb="FF0000FF"/>
        <rFont val="FreeSans"/>
        <family val="2"/>
      </rPr>
      <t xml:space="preserve">ของนครพนม</t>
    </r>
  </si>
  <si>
    <t xml:space="preserve">พิมพ์วันที่เองหลายไฟล์ ไม่มีการตรวจค่า</t>
  </si>
  <si>
    <r>
      <rPr>
        <sz val="9"/>
        <color rgb="FF0000FF"/>
        <rFont val="FreeSans"/>
        <family val="2"/>
      </rPr>
      <t xml:space="preserve">กรอกวันที่จริงที่ชีตอัปเดตรายสัปดาห์ที่เดียว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มีตรวจปี </t>
    </r>
    <r>
      <rPr>
        <sz val="9"/>
        <color rgb="FF0000FF"/>
        <rFont val="Tahoma"/>
        <family val="0"/>
        <charset val="1"/>
      </rPr>
      <t xml:space="preserve">2568–2571)</t>
    </r>
  </si>
  <si>
    <t xml:space="preserve">ชีตอัปเดตรายสัปดาห์ตรวจค่าแล้ว</t>
  </si>
  <si>
    <t xml:space="preserve">P3-013, P3-035</t>
  </si>
  <si>
    <r>
      <rPr>
        <sz val="9"/>
        <color rgb="FF0000FF"/>
        <rFont val="Tahoma"/>
        <family val="0"/>
        <charset val="1"/>
      </rPr>
      <t xml:space="preserve">IEC / </t>
    </r>
    <r>
      <rPr>
        <sz val="9"/>
        <color rgb="FF0000FF"/>
        <rFont val="FreeSans"/>
        <family val="2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ตรวจ มีวันที่ก่อนวันติดตั้ง</t>
    </r>
  </si>
  <si>
    <t xml:space="preserve">กรอกวันที่ผิดลำดับ หรือวันติดตั้งยังไม่อัปเดต</t>
  </si>
  <si>
    <r>
      <rPr>
        <sz val="9"/>
        <color rgb="FF0000FF"/>
        <rFont val="Tahoma"/>
        <family val="0"/>
        <charset val="1"/>
      </rPr>
      <t xml:space="preserve">Master Plan </t>
    </r>
    <r>
      <rPr>
        <sz val="9"/>
        <color rgb="FF0000FF"/>
        <rFont val="FreeSans"/>
        <family val="2"/>
      </rPr>
      <t xml:space="preserve">เตือนลำดับวันที่ผิดในคอลัมน์ ⚠ ตรวจข้อมูล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แก้ก่อนประชุม</t>
    </r>
  </si>
  <si>
    <t xml:space="preserve">มีคำเตือนอัตโนมัติ</t>
  </si>
  <si>
    <t xml:space="preserve">ความปลอดภัย</t>
  </si>
  <si>
    <t xml:space="preserve">เทคนิค</t>
  </si>
  <si>
    <t xml:space="preserve">สื่อสาร</t>
  </si>
  <si>
    <r>
      <rPr>
        <b val="true"/>
        <sz val="9"/>
        <rFont val="FreeSans"/>
        <family val="2"/>
      </rPr>
      <t xml:space="preserve">จัดซื้อ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สัญญา</t>
    </r>
  </si>
  <si>
    <r>
      <rPr>
        <b val="true"/>
        <sz val="14"/>
        <color rgb="FF1F4E78"/>
        <rFont val="FreeSans"/>
        <family val="2"/>
      </rPr>
      <t xml:space="preserve">แผนทีมรายสัปดาห์ – ผู้รับเหมา </t>
    </r>
    <r>
      <rPr>
        <b val="true"/>
        <sz val="14"/>
        <color rgb="FF1F4E78"/>
        <rFont val="Tahoma"/>
        <family val="0"/>
        <charset val="1"/>
      </rPr>
      <t xml:space="preserve">3 </t>
    </r>
    <r>
      <rPr>
        <b val="true"/>
        <sz val="14"/>
        <color rgb="FF1F4E78"/>
        <rFont val="FreeSans"/>
        <family val="2"/>
      </rPr>
      <t xml:space="preserve">ทีม </t>
    </r>
    <r>
      <rPr>
        <b val="true"/>
        <sz val="14"/>
        <color rgb="FF1F4E78"/>
        <rFont val="Tahoma"/>
        <family val="0"/>
        <charset val="1"/>
      </rPr>
      <t xml:space="preserve">+ </t>
    </r>
    <r>
      <rPr>
        <b val="true"/>
        <sz val="14"/>
        <color rgb="FF1F4E78"/>
        <rFont val="FreeSans"/>
        <family val="2"/>
      </rPr>
      <t xml:space="preserve">วิศวกรของเรา</t>
    </r>
  </si>
  <si>
    <r>
      <rPr>
        <i val="true"/>
        <sz val="9"/>
        <color rgb="FF595959"/>
        <rFont val="FreeSans"/>
        <family val="2"/>
      </rPr>
      <t xml:space="preserve">ตัวเลข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งานตามแผน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นัดที่ตกในสัปดาห์นั้น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แดง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เกินกำลังที่ตั้งในชีตสมมติฐาน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สัปดาห์แรก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สัปดาห์ของวันที่ข้อมูล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กำลังทีมเป็นค่าสมมติ แก้ได้ที่ชีตสมมติฐาน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ตารางทีมผู้รับเหมา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</rPr>
      <t xml:space="preserve">วิศวกร</t>
    </r>
    <r>
      <rPr>
        <i val="true"/>
        <sz val="9"/>
        <color rgb="FF595959"/>
        <rFont val="Tahoma"/>
        <family val="0"/>
        <charset val="1"/>
      </rPr>
      <t xml:space="preserve">)</t>
    </r>
  </si>
  <si>
    <t xml:space="preserve">MWp</t>
  </si>
  <si>
    <r>
      <rPr>
        <b val="true"/>
        <sz val="9"/>
        <color rgb="FFFFFFFF"/>
        <rFont val="FreeSans"/>
        <family val="2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</rPr>
      <t xml:space="preserve">ตรวจแล้ว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</si>
  <si>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แล้ว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</si>
  <si>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แล้ว</t>
    </r>
  </si>
  <si>
    <r>
      <rPr>
        <b val="true"/>
        <sz val="9"/>
        <color rgb="FFFFFFFF"/>
        <rFont val="FreeSans"/>
        <family val="2"/>
      </rPr>
      <t xml:space="preserve">ติดตั้งครบ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</si>
  <si>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</si>
  <si>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ส่งมอบงวดครบ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</si>
  <si>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</si>
  <si>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ทีม</t>
  </si>
  <si>
    <r>
      <rPr>
        <b val="true"/>
        <sz val="9"/>
        <color rgb="FFFFFFFF"/>
        <rFont val="FreeSans"/>
        <family val="2"/>
      </rPr>
      <t xml:space="preserve">กำลัง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</si>
  <si>
    <r>
      <rPr>
        <b val="true"/>
        <sz val="10"/>
        <color rgb="FFFFFFFF"/>
        <rFont val="FreeSans"/>
        <family val="2"/>
      </rPr>
      <t xml:space="preserve">ผู้รับเหมา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ทำงานติดตั้ง ทดสอบ </t>
    </r>
    <r>
      <rPr>
        <b val="true"/>
        <sz val="10"/>
        <color rgb="FFFFFFFF"/>
        <rFont val="Tahoma"/>
        <family val="0"/>
        <charset val="1"/>
      </rPr>
      <t xml:space="preserve">IEC </t>
    </r>
    <r>
      <rPr>
        <b val="true"/>
        <sz val="10"/>
        <color rgb="FFFFFFFF"/>
        <rFont val="FreeSans"/>
        <family val="2"/>
      </rPr>
      <t xml:space="preserve">และรายงานส่งมอบทั้งหมด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</si>
  <si>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ติดตั้งเสร็จ </t>
    </r>
    <r>
      <rPr>
        <sz val="9"/>
        <rFont val="Tahoma"/>
        <family val="0"/>
        <charset val="1"/>
      </rPr>
      <t xml:space="preserve">(kWp </t>
    </r>
    <r>
      <rPr>
        <sz val="9"/>
        <rFont val="FreeSans"/>
        <family val="2"/>
      </rPr>
      <t xml:space="preserve">ที่ปิดงานในสัปดาห์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</si>
  <si>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ทดสอบ </t>
    </r>
    <r>
      <rPr>
        <sz val="9"/>
        <rFont val="Tahoma"/>
        <family val="0"/>
        <charset val="1"/>
      </rPr>
      <t xml:space="preserve">IEC (</t>
    </r>
    <r>
      <rPr>
        <sz val="9"/>
        <rFont val="FreeSans"/>
        <family val="2"/>
      </rPr>
      <t xml:space="preserve">สถานี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</si>
  <si>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ส่งรายงานส่งมอบงวด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สถานี</t>
    </r>
    <r>
      <rPr>
        <sz val="9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</si>
  <si>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</rPr>
      <t xml:space="preserve">วิศวกรของเรา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</rPr>
      <t xml:space="preserve">นัด กฟภ</t>
    </r>
    <r>
      <rPr>
        <b val="true"/>
        <sz val="10"/>
        <color rgb="FFFFFFFF"/>
        <rFont val="Tahoma"/>
        <family val="0"/>
        <charset val="1"/>
      </rPr>
      <t xml:space="preserve">. </t>
    </r>
    <r>
      <rPr>
        <b val="true"/>
        <sz val="10"/>
        <color rgb="FFFFFFFF"/>
        <rFont val="FreeSans"/>
        <family val="2"/>
      </rPr>
      <t xml:space="preserve">เข้าตรวจ </t>
    </r>
    <r>
      <rPr>
        <b val="true"/>
        <sz val="10"/>
        <color rgb="FFFFFFFF"/>
        <rFont val="Tahoma"/>
        <family val="0"/>
        <charset val="1"/>
      </rPr>
      <t xml:space="preserve">+ First Sync)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</si>
  <si>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.04</t>
    </r>
  </si>
  <si>
    <r>
      <rPr>
        <sz val="9"/>
        <rFont val="FreeSans"/>
        <family val="2"/>
      </rPr>
      <t xml:space="preserve">นัด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เข้าตรวจ</t>
    </r>
  </si>
  <si>
    <t xml:space="preserve">First Sync / COD</t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</si>
  <si>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.06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</si>
  <si>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.20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</si>
  <si>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.02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</si>
  <si>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.10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</si>
  <si>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.05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</si>
  <si>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.11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</si>
  <si>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.14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</si>
  <si>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.09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</si>
  <si>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.12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</si>
  <si>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.19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</si>
  <si>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.17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</si>
  <si>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.15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</si>
  <si>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.08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</si>
  <si>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.18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</si>
  <si>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.01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</si>
  <si>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.07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</si>
  <si>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.13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</si>
  <si>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.03</t>
    </r>
  </si>
  <si>
    <r>
      <rPr>
        <b val="true"/>
        <sz val="10"/>
        <rFont val="FreeSans"/>
        <family val="2"/>
      </rPr>
      <t xml:space="preserve">วศ</t>
    </r>
    <r>
      <rPr>
        <b val="true"/>
        <sz val="10"/>
        <rFont val="Tahoma"/>
        <family val="0"/>
        <charset val="1"/>
      </rPr>
      <t xml:space="preserve">.16</t>
    </r>
  </si>
  <si>
    <r>
      <rPr>
        <b val="true"/>
        <sz val="13"/>
        <rFont val="FreeSans"/>
        <family val="2"/>
      </rPr>
      <t xml:space="preserve">ภาระงานตามแผนรายสัปดาห์ </t>
    </r>
    <r>
      <rPr>
        <b val="true"/>
        <sz val="13"/>
        <rFont val="Tahoma"/>
        <family val="0"/>
        <charset val="1"/>
      </rPr>
      <t xml:space="preserve">(</t>
    </r>
    <r>
      <rPr>
        <b val="true"/>
        <sz val="13"/>
        <rFont val="FreeSans"/>
        <family val="2"/>
      </rPr>
      <t xml:space="preserve">ตรวจกำลังคนและคิว กฟภ</t>
    </r>
    <r>
      <rPr>
        <b val="true"/>
        <sz val="13"/>
        <rFont val="Tahoma"/>
        <family val="0"/>
        <charset val="1"/>
      </rPr>
      <t xml:space="preserve">.)</t>
    </r>
  </si>
  <si>
    <r>
      <rPr>
        <i val="true"/>
        <sz val="9"/>
        <color rgb="FF595959"/>
        <rFont val="FreeSans"/>
        <family val="2"/>
      </rPr>
      <t xml:space="preserve">แดง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เกินกำลังตรวจของเขตนั้น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ตารางรายเขตในชีตสมมติฐาน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</si>
  <si>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 </t>
    </r>
    <r>
      <rPr>
        <b val="true"/>
        <sz val="9"/>
        <color rgb="FFFFFFFF"/>
        <rFont val="FreeSans"/>
        <family val="2"/>
      </rPr>
      <t xml:space="preserve">เข้าตรวจ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 </t>
    </r>
    <r>
      <rPr>
        <b val="true"/>
        <sz val="9"/>
        <color rgb="FFFFFFFF"/>
        <rFont val="FreeSans"/>
        <family val="2"/>
      </rPr>
      <t xml:space="preserve">แยกตามเขต</t>
    </r>
  </si>
  <si>
    <t xml:space="preserve">IEC</t>
  </si>
  <si>
    <t xml:space="preserve">COD</t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</si>
  <si>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.01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</si>
  <si>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.02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</si>
  <si>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.03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</si>
  <si>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.04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</si>
  <si>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.05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</si>
  <si>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.06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</si>
  <si>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.07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</si>
  <si>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.08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</si>
  <si>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.09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</si>
  <si>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.10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</si>
  <si>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.11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</si>
  <si>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.12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</si>
  <si>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.13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</si>
  <si>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.14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</si>
  <si>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.15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</si>
  <si>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.16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</si>
  <si>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.17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</si>
  <si>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.18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</si>
  <si>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.19</t>
    </r>
  </si>
  <si>
    <r>
      <rPr>
        <b val="true"/>
        <sz val="9"/>
        <color rgb="FFFFFFFF"/>
        <rFont val="FreeSans"/>
        <family val="2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.20</t>
    </r>
  </si>
  <si>
    <r>
      <rPr>
        <b val="true"/>
        <sz val="14"/>
        <color rgb="FF1F4E78"/>
        <rFont val="FreeSans"/>
        <family val="2"/>
      </rPr>
      <t xml:space="preserve">แผนกำลังคน</t>
    </r>
    <r>
      <rPr>
        <b val="true"/>
        <sz val="14"/>
        <color rgb="FF1F4E78"/>
        <rFont val="Tahoma"/>
        <family val="0"/>
        <charset val="1"/>
      </rPr>
      <t xml:space="preserve">: </t>
    </r>
    <r>
      <rPr>
        <b val="true"/>
        <sz val="14"/>
        <color rgb="FF1F4E78"/>
        <rFont val="FreeSans"/>
        <family val="2"/>
      </rPr>
      <t xml:space="preserve">คน</t>
    </r>
    <r>
      <rPr>
        <b val="true"/>
        <sz val="14"/>
        <color rgb="FF1F4E78"/>
        <rFont val="Tahoma"/>
        <family val="0"/>
        <charset val="1"/>
      </rPr>
      <t xml:space="preserve">-</t>
    </r>
    <r>
      <rPr>
        <b val="true"/>
        <sz val="14"/>
        <color rgb="FF1F4E78"/>
        <rFont val="FreeSans"/>
        <family val="2"/>
      </rPr>
      <t xml:space="preserve">วันและจำนวนทีมที่ต้องใช้ ตามแผนติดตั้ง</t>
    </r>
  </si>
  <si>
    <r>
      <rPr>
        <sz val="9"/>
        <color rgb="FF595959"/>
        <rFont val="FreeSans"/>
        <family val="2"/>
      </rPr>
      <t xml:space="preserve">คน</t>
    </r>
    <r>
      <rPr>
        <sz val="9"/>
        <color rgb="FF595959"/>
        <rFont val="Tahoma"/>
        <family val="0"/>
        <charset val="1"/>
      </rPr>
      <t xml:space="preserve">-</t>
    </r>
    <r>
      <rPr>
        <sz val="9"/>
        <color rgb="FF595959"/>
        <rFont val="FreeSans"/>
        <family val="2"/>
      </rPr>
      <t xml:space="preserve">วัน </t>
    </r>
    <r>
      <rPr>
        <sz val="9"/>
        <color rgb="FF595959"/>
        <rFont val="Tahoma"/>
        <family val="0"/>
        <charset val="1"/>
      </rPr>
      <t xml:space="preserve">= </t>
    </r>
    <r>
      <rPr>
        <sz val="9"/>
        <color rgb="FF595959"/>
        <rFont val="FreeSans"/>
        <family val="2"/>
      </rPr>
      <t xml:space="preserve">คน</t>
    </r>
    <r>
      <rPr>
        <sz val="9"/>
        <color rgb="FF595959"/>
        <rFont val="Tahoma"/>
        <family val="0"/>
        <charset val="1"/>
      </rPr>
      <t xml:space="preserve">/</t>
    </r>
    <r>
      <rPr>
        <sz val="9"/>
        <color rgb="FF595959"/>
        <rFont val="FreeSans"/>
        <family val="2"/>
      </rPr>
      <t xml:space="preserve">ทีม </t>
    </r>
    <r>
      <rPr>
        <sz val="9"/>
        <color rgb="FF595959"/>
        <rFont val="Tahoma"/>
        <family val="0"/>
        <charset val="1"/>
      </rPr>
      <t xml:space="preserve">× (</t>
    </r>
    <r>
      <rPr>
        <sz val="9"/>
        <color rgb="FF595959"/>
        <rFont val="FreeSans"/>
        <family val="2"/>
      </rPr>
      <t xml:space="preserve">ปริมาณ </t>
    </r>
    <r>
      <rPr>
        <sz val="9"/>
        <color rgb="FF595959"/>
        <rFont val="Tahoma"/>
        <family val="0"/>
        <charset val="1"/>
      </rPr>
      <t xml:space="preserve">÷ </t>
    </r>
    <r>
      <rPr>
        <sz val="9"/>
        <color rgb="FF595959"/>
        <rFont val="FreeSans"/>
        <family val="2"/>
      </rPr>
      <t xml:space="preserve">ผลิตภาพ </t>
    </r>
    <r>
      <rPr>
        <sz val="9"/>
        <color rgb="FF595959"/>
        <rFont val="Tahoma"/>
        <family val="0"/>
        <charset val="1"/>
      </rPr>
      <t xml:space="preserve">+ </t>
    </r>
    <r>
      <rPr>
        <sz val="9"/>
        <color rgb="FF595959"/>
        <rFont val="FreeSans"/>
        <family val="2"/>
      </rPr>
      <t xml:space="preserve">วันคงที่</t>
    </r>
    <r>
      <rPr>
        <sz val="9"/>
        <color rgb="FF595959"/>
        <rFont val="Tahoma"/>
        <family val="0"/>
        <charset val="1"/>
      </rPr>
      <t xml:space="preserve">) </t>
    </r>
    <r>
      <rPr>
        <sz val="9"/>
        <color rgb="FF595959"/>
        <rFont val="FreeSans"/>
        <family val="2"/>
      </rPr>
      <t xml:space="preserve">ตาม </t>
    </r>
    <r>
      <rPr>
        <sz val="9"/>
        <color rgb="FF595959"/>
        <rFont val="Tahoma"/>
        <family val="0"/>
        <charset val="1"/>
      </rPr>
      <t xml:space="preserve">PMBOK §9.2, </t>
    </r>
    <r>
      <rPr>
        <sz val="9"/>
        <color rgb="FF595959"/>
        <rFont val="FreeSans"/>
        <family val="2"/>
      </rPr>
      <t xml:space="preserve">คิดเฉพาะงานที่เหลือ </t>
    </r>
    <r>
      <rPr>
        <sz val="9"/>
        <color rgb="FF595959"/>
        <rFont val="Tahoma"/>
        <family val="0"/>
        <charset val="1"/>
      </rPr>
      <t xml:space="preserve">(× (1 − % </t>
    </r>
    <r>
      <rPr>
        <sz val="9"/>
        <color rgb="FF595959"/>
        <rFont val="FreeSans"/>
        <family val="2"/>
      </rPr>
      <t xml:space="preserve">เสร็จ</t>
    </r>
    <r>
      <rPr>
        <sz val="9"/>
        <color rgb="FF595959"/>
        <rFont val="Tahoma"/>
        <family val="0"/>
        <charset val="1"/>
      </rPr>
      <t xml:space="preserve">)) </t>
    </r>
    <r>
      <rPr>
        <sz val="9"/>
        <color rgb="FF595959"/>
        <rFont val="FreeSans"/>
        <family val="2"/>
      </rPr>
      <t xml:space="preserve">กระจายตามวันทำงานจากวันที่ข้อมูลถึงวันเสร็จคาดการณ์ในชีตสถานี</t>
    </r>
    <r>
      <rPr>
        <sz val="9"/>
        <color rgb="FF595959"/>
        <rFont val="Tahoma"/>
        <family val="0"/>
        <charset val="1"/>
      </rPr>
      <t xml:space="preserve">, </t>
    </r>
    <r>
      <rPr>
        <sz val="9"/>
        <color rgb="FF595959"/>
        <rFont val="FreeSans"/>
        <family val="2"/>
      </rPr>
      <t xml:space="preserve">ช่องเหลืองเป็นค่าตั้งต้น ปรับตามตัวเลขผู้รับเหมาและจำนวนคนจริงในรายงาน </t>
    </r>
    <r>
      <rPr>
        <sz val="9"/>
        <color rgb="FF595959"/>
        <rFont val="Tahoma"/>
        <family val="0"/>
        <charset val="1"/>
      </rPr>
      <t xml:space="preserve">R2</t>
    </r>
  </si>
  <si>
    <r>
      <rPr>
        <b val="true"/>
        <sz val="9"/>
        <color rgb="FFFFFFFF"/>
        <rFont val="Tahoma"/>
        <family val="0"/>
        <charset val="1"/>
      </rPr>
      <t xml:space="preserve">WBS (</t>
    </r>
    <r>
      <rPr>
        <b val="true"/>
        <sz val="9"/>
        <color rgb="FFFFFFFF"/>
        <rFont val="FreeSans"/>
        <family val="2"/>
      </rPr>
      <t xml:space="preserve">ช่วงเวลา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</si>
  <si>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ทักษะ</t>
  </si>
  <si>
    <t xml:space="preserve">ตัวขับ</t>
  </si>
  <si>
    <r>
      <rPr>
        <b val="true"/>
        <sz val="9"/>
        <color rgb="FFFFFFFF"/>
        <rFont val="FreeSans"/>
        <family val="2"/>
      </rPr>
      <t xml:space="preserve">คน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ทีม</t>
    </r>
  </si>
  <si>
    <r>
      <rPr>
        <b val="true"/>
        <sz val="9"/>
        <color rgb="FFFFFFFF"/>
        <rFont val="FreeSans"/>
        <family val="2"/>
      </rPr>
      <t xml:space="preserve">ผลิตภาพ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ทีม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วัน</t>
    </r>
  </si>
  <si>
    <r>
      <rPr>
        <b val="true"/>
        <sz val="9"/>
        <color rgb="FFFFFFFF"/>
        <rFont val="FreeSans"/>
        <family val="2"/>
      </rPr>
      <t xml:space="preserve">วันคงที่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สถานี</t>
    </r>
  </si>
  <si>
    <r>
      <rPr>
        <sz val="9"/>
        <color rgb="FF000000"/>
        <rFont val="FreeSans"/>
        <family val="2"/>
      </rPr>
      <t xml:space="preserve">โครงสร้างรองรับแผง</t>
    </r>
    <r>
      <rPr>
        <sz val="9"/>
        <color rgb="FF000000"/>
        <rFont val="Tahoma"/>
        <family val="0"/>
        <charset val="1"/>
      </rPr>
      <t xml:space="preserve">, Walkway, </t>
    </r>
    <r>
      <rPr>
        <sz val="9"/>
        <color rgb="FF000000"/>
        <rFont val="FreeSans"/>
        <family val="2"/>
      </rPr>
      <t xml:space="preserve">บันได</t>
    </r>
  </si>
  <si>
    <t xml:space="preserve">ช่างโครงสร้าง</t>
  </si>
  <si>
    <r>
      <rPr>
        <sz val="9"/>
        <color rgb="FF000000"/>
        <rFont val="Tahoma"/>
        <family val="0"/>
        <charset val="1"/>
      </rPr>
      <t xml:space="preserve">kWp × </t>
    </r>
    <r>
      <rPr>
        <sz val="9"/>
        <color rgb="FF000000"/>
        <rFont val="FreeSans"/>
        <family val="2"/>
      </rPr>
      <t xml:space="preserve">ภาระประเภทหน้างาน</t>
    </r>
  </si>
  <si>
    <r>
      <rPr>
        <sz val="9"/>
        <color rgb="FF000000"/>
        <rFont val="FreeSans"/>
        <family val="2"/>
      </rPr>
      <t xml:space="preserve">ภาระ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ชีตจุดติดตั้ง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ลอนคู่ </t>
    </r>
    <r>
      <rPr>
        <sz val="9"/>
        <color rgb="FF000000"/>
        <rFont val="Tahoma"/>
        <family val="0"/>
        <charset val="1"/>
      </rPr>
      <t xml:space="preserve">1.1, </t>
    </r>
    <r>
      <rPr>
        <sz val="9"/>
        <color rgb="FF000000"/>
        <rFont val="FreeSans"/>
        <family val="2"/>
      </rPr>
      <t xml:space="preserve">ถังน้ำใส </t>
    </r>
    <r>
      <rPr>
        <sz val="9"/>
        <color rgb="FF000000"/>
        <rFont val="Tahoma"/>
        <family val="0"/>
        <charset val="1"/>
      </rPr>
      <t xml:space="preserve">1.2, </t>
    </r>
    <r>
      <rPr>
        <sz val="9"/>
        <color rgb="FF000000"/>
        <rFont val="FreeSans"/>
        <family val="2"/>
      </rPr>
      <t xml:space="preserve">ถังดินกลบ </t>
    </r>
    <r>
      <rPr>
        <sz val="9"/>
        <color rgb="FF000000"/>
        <rFont val="Tahoma"/>
        <family val="0"/>
        <charset val="1"/>
      </rPr>
      <t xml:space="preserve">1.6, Carport 3.0)</t>
    </r>
  </si>
  <si>
    <r>
      <rPr>
        <sz val="9"/>
        <color rgb="FF000000"/>
        <rFont val="FreeSans"/>
        <family val="2"/>
      </rPr>
      <t xml:space="preserve">ระบบ </t>
    </r>
    <r>
      <rPr>
        <sz val="9"/>
        <color rgb="FF000000"/>
        <rFont val="Tahoma"/>
        <family val="0"/>
        <charset val="1"/>
      </rPr>
      <t xml:space="preserve">DC, </t>
    </r>
    <r>
      <rPr>
        <sz val="9"/>
        <color rgb="FF000000"/>
        <rFont val="FreeSans"/>
        <family val="2"/>
      </rPr>
      <t xml:space="preserve">รางสาย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ตู้ </t>
    </r>
    <r>
      <rPr>
        <sz val="9"/>
        <color rgb="FF000000"/>
        <rFont val="Tahoma"/>
        <family val="0"/>
        <charset val="1"/>
      </rPr>
      <t xml:space="preserve">DC-DB</t>
    </r>
  </si>
  <si>
    <t xml:space="preserve">ช่างไฟฟ้า</t>
  </si>
  <si>
    <r>
      <rPr>
        <sz val="9"/>
        <color rgb="FF000000"/>
        <rFont val="FreeSans"/>
        <family val="2"/>
      </rPr>
      <t xml:space="preserve">ยกและติดตั้งแผง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ต่อ </t>
    </r>
    <r>
      <rPr>
        <sz val="9"/>
        <color rgb="FF000000"/>
        <rFont val="Tahoma"/>
        <family val="0"/>
        <charset val="1"/>
      </rPr>
      <t xml:space="preserve">String</t>
    </r>
  </si>
  <si>
    <t xml:space="preserve">รวมยกแผงขึ้นหลังคา</t>
  </si>
  <si>
    <r>
      <rPr>
        <sz val="9"/>
        <color rgb="FF000000"/>
        <rFont val="FreeSans"/>
        <family val="2"/>
      </rPr>
      <t xml:space="preserve">ตู้ </t>
    </r>
    <r>
      <rPr>
        <sz val="9"/>
        <color rgb="FF000000"/>
        <rFont val="Tahoma"/>
        <family val="0"/>
        <charset val="1"/>
      </rPr>
      <t xml:space="preserve">FTS-DB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E-Stop</t>
    </r>
  </si>
  <si>
    <t xml:space="preserve">2.5a</t>
  </si>
  <si>
    <r>
      <rPr>
        <sz val="9"/>
        <color rgb="FF000000"/>
        <rFont val="FreeSans"/>
        <family val="2"/>
      </rPr>
      <t xml:space="preserve">สร้าง </t>
    </r>
    <r>
      <rPr>
        <sz val="9"/>
        <color rgb="FF000000"/>
        <rFont val="Tahoma"/>
        <family val="0"/>
        <charset val="1"/>
      </rPr>
      <t xml:space="preserve">Inverter station (E09)</t>
    </r>
  </si>
  <si>
    <t xml:space="preserve">ช่างโยธา</t>
  </si>
  <si>
    <r>
      <rPr>
        <sz val="9"/>
        <color rgb="FF000000"/>
        <rFont val="FreeSans"/>
        <family val="2"/>
      </rPr>
      <t xml:space="preserve">เฉพาะแบบ สร้างใหม่ </t>
    </r>
    <r>
      <rPr>
        <sz val="9"/>
        <color rgb="FF000000"/>
        <rFont val="Tahoma"/>
        <family val="0"/>
        <charset val="1"/>
      </rPr>
      <t xml:space="preserve">(E09)</t>
    </r>
  </si>
  <si>
    <r>
      <rPr>
        <sz val="9"/>
        <color rgb="FF000000"/>
        <rFont val="FreeSans"/>
        <family val="2"/>
      </rPr>
      <t xml:space="preserve">ฐานราก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บ่มคอนกรีต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โครงเหล็ก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ชีต </t>
    </r>
    <r>
      <rPr>
        <sz val="9"/>
        <color rgb="FF000000"/>
        <rFont val="Tahoma"/>
        <family val="0"/>
        <charset val="1"/>
      </rPr>
      <t xml:space="preserve">Inverter station)</t>
    </r>
  </si>
  <si>
    <t xml:space="preserve">2.5b</t>
  </si>
  <si>
    <r>
      <rPr>
        <sz val="9"/>
        <color rgb="FF000000"/>
        <rFont val="FreeSans"/>
        <family val="2"/>
      </rPr>
      <t xml:space="preserve">ติดตั้ง </t>
    </r>
    <r>
      <rPr>
        <sz val="9"/>
        <color rgb="FF000000"/>
        <rFont val="Tahoma"/>
        <family val="0"/>
        <charset val="1"/>
      </rPr>
      <t xml:space="preserve">Inverter </t>
    </r>
    <r>
      <rPr>
        <sz val="9"/>
        <color rgb="FF000000"/>
        <rFont val="FreeSans"/>
        <family val="2"/>
      </rPr>
      <t xml:space="preserve">และสาย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</si>
  <si>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FreeSans"/>
        <family val="2"/>
      </rPr>
      <t xml:space="preserve">จำนวน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</si>
  <si>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FreeSans"/>
        <family val="2"/>
      </rPr>
      <t xml:space="preserve">จำนวน </t>
    </r>
    <r>
      <rPr>
        <sz val="9"/>
        <color rgb="FF000000"/>
        <rFont val="Tahoma"/>
        <family val="0"/>
        <charset val="1"/>
      </rPr>
      <t xml:space="preserve">Inverter: </t>
    </r>
    <r>
      <rPr>
        <sz val="9"/>
        <color rgb="FF000000"/>
        <rFont val="FreeSans"/>
        <family val="2"/>
      </rPr>
      <t xml:space="preserve">ชีต </t>
    </r>
    <r>
      <rPr>
        <sz val="9"/>
        <color rgb="FF000000"/>
        <rFont val="Tahoma"/>
        <family val="0"/>
        <charset val="1"/>
      </rPr>
      <t xml:space="preserve">Inverter station</t>
    </r>
  </si>
  <si>
    <r>
      <rPr>
        <sz val="9"/>
        <color rgb="FF000000"/>
        <rFont val="FreeSans"/>
        <family val="2"/>
      </rPr>
      <t xml:space="preserve">แนวสาย </t>
    </r>
    <r>
      <rPr>
        <sz val="9"/>
        <color rgb="FF000000"/>
        <rFont val="Tahoma"/>
        <family val="0"/>
        <charset val="1"/>
      </rPr>
      <t xml:space="preserve">AC, </t>
    </r>
    <r>
      <rPr>
        <sz val="9"/>
        <color rgb="FF000000"/>
        <rFont val="FreeSans"/>
        <family val="2"/>
      </rPr>
      <t xml:space="preserve">จุดเชื่อม</t>
    </r>
    <r>
      <rPr>
        <sz val="9"/>
        <color rgb="FF000000"/>
        <rFont val="Tahoma"/>
        <family val="0"/>
        <charset val="1"/>
      </rPr>
      <t xml:space="preserve">, </t>
    </r>
    <r>
      <rPr>
        <sz val="9"/>
        <color rgb="FF000000"/>
        <rFont val="FreeSans"/>
        <family val="2"/>
      </rPr>
      <t xml:space="preserve">ระบบดิน</t>
    </r>
  </si>
  <si>
    <r>
      <rPr>
        <sz val="9"/>
        <color rgb="FF000000"/>
        <rFont val="FreeSans"/>
        <family val="2"/>
      </rPr>
      <t xml:space="preserve">ตู้ </t>
    </r>
    <r>
      <rPr>
        <sz val="9"/>
        <color rgb="FF000000"/>
        <rFont val="Tahoma"/>
        <family val="0"/>
        <charset val="1"/>
      </rPr>
      <t xml:space="preserve">AC-DB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METER-DB</t>
    </r>
  </si>
  <si>
    <t xml:space="preserve">2.8H</t>
  </si>
  <si>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HV (</t>
    </r>
    <r>
      <rPr>
        <sz val="9"/>
        <color rgb="FF000000"/>
        <rFont val="FreeSans"/>
        <family val="2"/>
      </rPr>
      <t xml:space="preserve">งานเสา </t>
    </r>
    <r>
      <rPr>
        <sz val="9"/>
        <color rgb="FF000000"/>
        <rFont val="Tahoma"/>
        <family val="0"/>
        <charset val="1"/>
      </rPr>
      <t xml:space="preserve">22 kV + PQM)</t>
    </r>
  </si>
  <si>
    <t xml:space="preserve">ช่างไฟฟ้าแรงสูง</t>
  </si>
  <si>
    <r>
      <rPr>
        <sz val="9"/>
        <color rgb="FF000000"/>
        <rFont val="FreeSans"/>
        <family val="2"/>
      </rPr>
      <t xml:space="preserve">สถานีกันย้อน </t>
    </r>
    <r>
      <rPr>
        <sz val="9"/>
        <color rgb="FF000000"/>
        <rFont val="Tahoma"/>
        <family val="0"/>
        <charset val="1"/>
      </rPr>
      <t xml:space="preserve">HV</t>
    </r>
  </si>
  <si>
    <r>
      <rPr>
        <sz val="9"/>
        <color rgb="FF000000"/>
        <rFont val="FreeSans"/>
        <family val="2"/>
      </rPr>
      <t xml:space="preserve">ทำตามนัดดับไฟ กฟภ</t>
    </r>
    <r>
      <rPr>
        <sz val="9"/>
        <color rgb="FF000000"/>
        <rFont val="Tahoma"/>
        <family val="0"/>
        <charset val="1"/>
      </rPr>
      <t xml:space="preserve">.</t>
    </r>
  </si>
  <si>
    <t xml:space="preserve">2.8L</t>
  </si>
  <si>
    <r>
      <rPr>
        <sz val="9"/>
        <color rgb="FF000000"/>
        <rFont val="FreeSans"/>
        <family val="2"/>
      </rPr>
      <t xml:space="preserve">กันย้อน </t>
    </r>
    <r>
      <rPr>
        <sz val="9"/>
        <color rgb="FF000000"/>
        <rFont val="Tahoma"/>
        <family val="0"/>
        <charset val="1"/>
      </rPr>
      <t xml:space="preserve">LV (CT + SEM)</t>
    </r>
  </si>
  <si>
    <r>
      <rPr>
        <sz val="9"/>
        <color rgb="FF000000"/>
        <rFont val="FreeSans"/>
        <family val="2"/>
      </rPr>
      <t xml:space="preserve">สถานีกันย้อน </t>
    </r>
    <r>
      <rPr>
        <sz val="9"/>
        <color rgb="FF000000"/>
        <rFont val="Tahoma"/>
        <family val="0"/>
        <charset val="1"/>
      </rPr>
      <t xml:space="preserve">LV</t>
    </r>
  </si>
  <si>
    <r>
      <rPr>
        <sz val="9"/>
        <color rgb="FF000000"/>
        <rFont val="FreeSans"/>
        <family val="2"/>
      </rPr>
      <t xml:space="preserve">ทดสอบ </t>
    </r>
    <r>
      <rPr>
        <sz val="9"/>
        <color rgb="FF000000"/>
        <rFont val="Tahoma"/>
        <family val="0"/>
        <charset val="1"/>
      </rPr>
      <t xml:space="preserve">IEC 62446 </t>
    </r>
    <r>
      <rPr>
        <sz val="9"/>
        <color rgb="FF000000"/>
        <rFont val="FreeSans"/>
        <family val="2"/>
      </rPr>
      <t xml:space="preserve">และ </t>
    </r>
    <r>
      <rPr>
        <sz val="9"/>
        <color rgb="FF000000"/>
        <rFont val="Tahoma"/>
        <family val="0"/>
        <charset val="1"/>
      </rPr>
      <t xml:space="preserve">Start-up</t>
    </r>
  </si>
  <si>
    <t xml:space="preserve">ทีมทดสอบ</t>
  </si>
  <si>
    <r>
      <rPr>
        <sz val="9"/>
        <color rgb="FF000000"/>
        <rFont val="Tahoma"/>
        <family val="0"/>
        <charset val="1"/>
      </rPr>
      <t xml:space="preserve">2 </t>
    </r>
    <r>
      <rPr>
        <sz val="9"/>
        <color rgb="FF000000"/>
        <rFont val="FreeSans"/>
        <family val="2"/>
      </rPr>
      <t xml:space="preserve">วัน </t>
    </r>
    <r>
      <rPr>
        <sz val="9"/>
        <color rgb="FF000000"/>
        <rFont val="Tahoma"/>
        <family val="0"/>
        <charset val="1"/>
      </rPr>
      <t xml:space="preserve">+ 1 </t>
    </r>
    <r>
      <rPr>
        <sz val="9"/>
        <color rgb="FF000000"/>
        <rFont val="FreeSans"/>
        <family val="2"/>
      </rPr>
      <t xml:space="preserve">วันต่อ </t>
    </r>
    <r>
      <rPr>
        <sz val="9"/>
        <color rgb="FF000000"/>
        <rFont val="Tahoma"/>
        <family val="0"/>
        <charset val="1"/>
      </rPr>
      <t xml:space="preserve">100 kWp</t>
    </r>
  </si>
  <si>
    <t xml:space="preserve">คุม</t>
  </si>
  <si>
    <t xml:space="preserve">2.1–3.1</t>
  </si>
  <si>
    <r>
      <rPr>
        <sz val="9"/>
        <color rgb="FF000000"/>
        <rFont val="FreeSans"/>
        <family val="2"/>
      </rPr>
      <t xml:space="preserve">หัวหน้างาน </t>
    </r>
    <r>
      <rPr>
        <sz val="9"/>
        <color rgb="FF000000"/>
        <rFont val="Tahoma"/>
        <family val="0"/>
        <charset val="1"/>
      </rPr>
      <t xml:space="preserve">+ </t>
    </r>
    <r>
      <rPr>
        <sz val="9"/>
        <color rgb="FF000000"/>
        <rFont val="FreeSans"/>
        <family val="2"/>
      </rPr>
      <t xml:space="preserve">จป</t>
    </r>
    <r>
      <rPr>
        <sz val="9"/>
        <color rgb="FF000000"/>
        <rFont val="Tahoma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หัวหน้างาน</t>
    </r>
  </si>
  <si>
    <t xml:space="preserve">คุมงาน</t>
  </si>
  <si>
    <t xml:space="preserve">ทุกวันที่มีงานติดตั้ง</t>
  </si>
  <si>
    <r>
      <rPr>
        <sz val="9"/>
        <color rgb="FF000000"/>
        <rFont val="Tahoma"/>
        <family val="0"/>
        <charset val="1"/>
      </rPr>
      <t xml:space="preserve">1 </t>
    </r>
    <r>
      <rPr>
        <sz val="9"/>
        <color rgb="FF000000"/>
        <rFont val="FreeSans"/>
        <family val="2"/>
      </rPr>
      <t xml:space="preserve">คนต่อหน้างานที่กำลังทำงาน</t>
    </r>
  </si>
  <si>
    <r>
      <rPr>
        <i val="true"/>
        <sz val="8"/>
        <color rgb="FFC00000"/>
        <rFont val="FreeSans"/>
        <family val="2"/>
      </rPr>
      <t xml:space="preserve">ค่าตั้งต้นจากประสบการณ์งาน </t>
    </r>
    <r>
      <rPr>
        <i val="true"/>
        <sz val="8"/>
        <color rgb="FFC00000"/>
        <rFont val="Tahoma"/>
        <family val="0"/>
        <charset val="1"/>
      </rPr>
      <t xml:space="preserve">Solar rooftop </t>
    </r>
    <r>
      <rPr>
        <i val="true"/>
        <sz val="8"/>
        <color rgb="FFC00000"/>
        <rFont val="FreeSans"/>
        <family val="2"/>
      </rPr>
      <t xml:space="preserve">ทั่วไป ยังไม่ใช่ตัวเลขของผู้รับเหมาในโครงการนี้</t>
    </r>
    <r>
      <rPr>
        <i val="true"/>
        <sz val="8"/>
        <color rgb="FFC00000"/>
        <rFont val="Tahoma"/>
        <family val="0"/>
        <charset val="1"/>
      </rPr>
      <t xml:space="preserve">: </t>
    </r>
    <r>
      <rPr>
        <i val="true"/>
        <sz val="8"/>
        <color rgb="FFC00000"/>
        <rFont val="FreeSans"/>
        <family val="2"/>
      </rPr>
      <t xml:space="preserve">ยืนยันกับผู้รับเหมาก่อนใช้วางทีมจริง</t>
    </r>
  </si>
  <si>
    <r>
      <rPr>
        <b val="true"/>
        <sz val="11"/>
        <color rgb="FF1F4E78"/>
        <rFont val="FreeSans"/>
        <family val="2"/>
      </rPr>
      <t xml:space="preserve">สรุปรายสัปดาห์</t>
    </r>
    <r>
      <rPr>
        <b val="true"/>
        <sz val="11"/>
        <color rgb="FF1F4E78"/>
        <rFont val="Tahoma"/>
        <family val="0"/>
        <charset val="1"/>
      </rPr>
      <t xml:space="preserve">: </t>
    </r>
    <r>
      <rPr>
        <b val="true"/>
        <sz val="11"/>
        <color rgb="FF1F4E78"/>
        <rFont val="FreeSans"/>
        <family val="2"/>
      </rPr>
      <t xml:space="preserve">คนเฉลี่ยต่อวันทำงาน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</rPr>
      <t xml:space="preserve">คน</t>
    </r>
    <r>
      <rPr>
        <b val="true"/>
        <sz val="11"/>
        <color rgb="FF1F4E78"/>
        <rFont val="Tahoma"/>
        <family val="0"/>
        <charset val="1"/>
      </rPr>
      <t xml:space="preserve">-</t>
    </r>
    <r>
      <rPr>
        <b val="true"/>
        <sz val="11"/>
        <color rgb="FF1F4E78"/>
        <rFont val="FreeSans"/>
        <family val="2"/>
      </rPr>
      <t xml:space="preserve">วัน </t>
    </r>
    <r>
      <rPr>
        <b val="true"/>
        <sz val="11"/>
        <color rgb="FF1F4E78"/>
        <rFont val="Tahoma"/>
        <family val="0"/>
        <charset val="1"/>
      </rPr>
      <t xml:space="preserve">÷ </t>
    </r>
    <r>
      <rPr>
        <b val="true"/>
        <sz val="11"/>
        <color rgb="FF1F4E78"/>
        <rFont val="FreeSans"/>
        <family val="2"/>
      </rPr>
      <t xml:space="preserve">วันทำงานของสัปดาห์</t>
    </r>
    <r>
      <rPr>
        <b val="true"/>
        <sz val="11"/>
        <color rgb="FF1F4E78"/>
        <rFont val="Tahoma"/>
        <family val="0"/>
        <charset val="1"/>
      </rPr>
      <t xml:space="preserve">)</t>
    </r>
  </si>
  <si>
    <t xml:space="preserve">แถว</t>
  </si>
  <si>
    <t xml:space="preserve">สูงสุด</t>
  </si>
  <si>
    <r>
      <rPr>
        <b val="true"/>
        <sz val="9"/>
        <color rgb="FF000000"/>
        <rFont val="FreeSans"/>
        <family val="2"/>
      </rPr>
      <t xml:space="preserve">รวมทุกผู้รับเหมา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คน </t>
    </r>
    <r>
      <rPr>
        <b val="true"/>
        <sz val="9"/>
        <color rgb="FF000000"/>
        <rFont val="Tahoma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วัน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</si>
  <si>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01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</si>
  <si>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02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</si>
  <si>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03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</si>
  <si>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04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</si>
  <si>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05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</si>
  <si>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06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</si>
  <si>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07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</si>
  <si>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08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</si>
  <si>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09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</si>
  <si>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10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</si>
  <si>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11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</si>
  <si>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12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</si>
  <si>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13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</si>
  <si>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14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</si>
  <si>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15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</si>
  <si>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16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</si>
  <si>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17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</si>
  <si>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18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</si>
  <si>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19</t>
    </r>
  </si>
  <si>
    <r>
      <rPr>
        <sz val="9"/>
        <color rgb="FF000000"/>
        <rFont val="FreeSans"/>
        <family val="2"/>
      </rPr>
      <t xml:space="preserve">ผรม</t>
    </r>
    <r>
      <rPr>
        <sz val="9"/>
        <color rgb="FF000000"/>
        <rFont val="Tahoma"/>
        <family val="0"/>
        <charset val="1"/>
      </rPr>
      <t xml:space="preserve">. 20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</si>
  <si>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ช่างโครงสร้าง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</si>
  <si>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ช่างไฟฟ้า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</si>
  <si>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ช่างโยธา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</si>
  <si>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ช่างไฟฟ้าแรงสูง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</si>
  <si>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ทีมทดสอบ</t>
    </r>
  </si>
  <si>
    <r>
      <rPr>
        <sz val="9"/>
        <color rgb="FF000000"/>
        <rFont val="FreeSans"/>
        <family val="2"/>
      </rPr>
      <t xml:space="preserve">ทักษะ</t>
    </r>
    <r>
      <rPr>
        <sz val="9"/>
        <color rgb="FF000000"/>
        <rFont val="Tahoma"/>
        <family val="0"/>
        <charset val="1"/>
      </rPr>
      <t xml:space="preserve">: </t>
    </r>
    <r>
      <rPr>
        <sz val="9"/>
        <color rgb="FF000000"/>
        <rFont val="FreeSans"/>
        <family val="2"/>
      </rPr>
      <t xml:space="preserve">คุมงาน</t>
    </r>
  </si>
  <si>
    <r>
      <rPr>
        <b val="true"/>
        <sz val="9"/>
        <color rgb="FF000000"/>
        <rFont val="FreeSans"/>
        <family val="2"/>
      </rPr>
      <t xml:space="preserve">จำนวนทีมพร้อมกัน </t>
    </r>
    <r>
      <rPr>
        <b val="true"/>
        <sz val="9"/>
        <color rgb="FF000000"/>
        <rFont val="Tahoma"/>
        <family val="0"/>
        <charset val="1"/>
      </rPr>
      <t xml:space="preserve">(</t>
    </r>
    <r>
      <rPr>
        <b val="true"/>
        <sz val="9"/>
        <color rgb="FF000000"/>
        <rFont val="FreeSans"/>
        <family val="2"/>
      </rPr>
      <t xml:space="preserve">รวม</t>
    </r>
    <r>
      <rPr>
        <b val="true"/>
        <sz val="9"/>
        <color rgb="FF000000"/>
        <rFont val="Tahoma"/>
        <family val="0"/>
        <charset val="1"/>
      </rPr>
      <t xml:space="preserve">)</t>
    </r>
  </si>
  <si>
    <r>
      <rPr>
        <i val="true"/>
        <sz val="8"/>
        <color rgb="FF595959"/>
        <rFont val="FreeSans"/>
        <family val="2"/>
      </rPr>
      <t xml:space="preserve">กรอบแดง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(ASOF), </t>
    </r>
    <r>
      <rPr>
        <i val="true"/>
        <sz val="8"/>
        <color rgb="FF595959"/>
        <rFont val="FreeSans"/>
        <family val="2"/>
      </rPr>
      <t xml:space="preserve">ทีมพร้อมกัน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จำนวนทีมของงานที่มีคน</t>
    </r>
    <r>
      <rPr>
        <i val="true"/>
        <sz val="8"/>
        <color rgb="FF595959"/>
        <rFont val="Tahoma"/>
        <family val="0"/>
        <charset val="1"/>
      </rPr>
      <t xml:space="preserve">-</t>
    </r>
    <r>
      <rPr>
        <i val="true"/>
        <sz val="8"/>
        <color rgb="FF595959"/>
        <rFont val="FreeSans"/>
        <family val="2"/>
      </rPr>
      <t xml:space="preserve">วันในสัปดาห์นั้น</t>
    </r>
  </si>
  <si>
    <r>
      <rPr>
        <b val="true"/>
        <sz val="11"/>
        <color rgb="FF1F4E78"/>
        <rFont val="FreeSans"/>
        <family val="2"/>
      </rPr>
      <t xml:space="preserve">รายละเอียดรายสถานี</t>
    </r>
    <r>
      <rPr>
        <b val="true"/>
        <sz val="11"/>
        <color rgb="FF1F4E78"/>
        <rFont val="Tahoma"/>
        <family val="0"/>
        <charset val="1"/>
      </rPr>
      <t xml:space="preserve">: </t>
    </r>
    <r>
      <rPr>
        <b val="true"/>
        <sz val="11"/>
        <color rgb="FF1F4E78"/>
        <rFont val="FreeSans"/>
        <family val="2"/>
      </rPr>
      <t xml:space="preserve">คน</t>
    </r>
    <r>
      <rPr>
        <b val="true"/>
        <sz val="11"/>
        <color rgb="FF1F4E78"/>
        <rFont val="Tahoma"/>
        <family val="0"/>
        <charset val="1"/>
      </rPr>
      <t xml:space="preserve">-</t>
    </r>
    <r>
      <rPr>
        <b val="true"/>
        <sz val="11"/>
        <color rgb="FF1F4E78"/>
        <rFont val="FreeSans"/>
        <family val="2"/>
      </rPr>
      <t xml:space="preserve">วันต่อสัปดาห์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</rPr>
      <t xml:space="preserve">กด </t>
    </r>
    <r>
      <rPr>
        <b val="true"/>
        <sz val="11"/>
        <color rgb="FF1F4E78"/>
        <rFont val="Tahoma"/>
        <family val="0"/>
        <charset val="1"/>
      </rPr>
      <t xml:space="preserve">+ </t>
    </r>
    <r>
      <rPr>
        <b val="true"/>
        <sz val="11"/>
        <color rgb="FF1F4E78"/>
        <rFont val="FreeSans"/>
        <family val="2"/>
      </rPr>
      <t xml:space="preserve">ทางซ้ายเพื่อเปิด</t>
    </r>
    <r>
      <rPr>
        <b val="true"/>
        <sz val="11"/>
        <color rgb="FF1F4E78"/>
        <rFont val="Tahoma"/>
        <family val="0"/>
        <charset val="1"/>
      </rPr>
      <t xml:space="preserve">)</t>
    </r>
  </si>
  <si>
    <t xml:space="preserve">ปริมาณ</t>
  </si>
  <si>
    <t xml:space="preserve">หน่วย</t>
  </si>
  <si>
    <r>
      <rPr>
        <b val="true"/>
        <sz val="9"/>
        <color rgb="FFFFFFFF"/>
        <rFont val="FreeSans"/>
        <family val="2"/>
      </rPr>
      <t xml:space="preserve">คน</t>
    </r>
    <r>
      <rPr>
        <b val="true"/>
        <sz val="9"/>
        <color rgb="FFFFFFFF"/>
        <rFont val="Tahoma"/>
        <family val="0"/>
        <charset val="1"/>
      </rPr>
      <t xml:space="preserve">-</t>
    </r>
    <r>
      <rPr>
        <b val="true"/>
        <sz val="9"/>
        <color rgb="FFFFFFFF"/>
        <rFont val="FreeSans"/>
        <family val="2"/>
      </rPr>
      <t xml:space="preserve">วัน</t>
    </r>
  </si>
  <si>
    <r>
      <rPr>
        <b val="true"/>
        <sz val="9"/>
        <color rgb="FFFFFFFF"/>
        <rFont val="FreeSans"/>
        <family val="2"/>
      </rPr>
      <t xml:space="preserve">เริ่ม </t>
    </r>
    <r>
      <rPr>
        <b val="true"/>
        <sz val="9"/>
        <color rgb="FFFFFFFF"/>
        <rFont val="Tahoma"/>
        <family val="0"/>
        <charset val="1"/>
      </rPr>
      <t xml:space="preserve">(Forecast)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</si>
  <si>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(Forecast)</t>
    </r>
  </si>
  <si>
    <t xml:space="preserve">วันทำงาน</t>
  </si>
  <si>
    <t xml:space="preserve">ทีมที่ต้องใช้</t>
  </si>
  <si>
    <r>
      <rPr>
        <b val="true"/>
        <sz val="9"/>
        <color rgb="FFFFFFFF"/>
        <rFont val="FreeSans"/>
        <family val="2"/>
      </rPr>
      <t xml:space="preserve">คน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วัน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งานที่เหลือ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</si>
  <si>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8"/>
        <color rgb="FF000000"/>
        <rFont val="FreeSans"/>
        <family val="2"/>
      </rPr>
      <t xml:space="preserve">โครงสร้างรองรับแผง</t>
    </r>
    <r>
      <rPr>
        <sz val="8"/>
        <color rgb="FF000000"/>
        <rFont val="Tahoma"/>
        <family val="0"/>
        <charset val="1"/>
      </rPr>
      <t xml:space="preserve">, Walkway, </t>
    </r>
    <r>
      <rPr>
        <sz val="8"/>
        <color rgb="FF000000"/>
        <rFont val="FreeSans"/>
        <family val="2"/>
      </rPr>
      <t xml:space="preserve">บันได</t>
    </r>
  </si>
  <si>
    <r>
      <rPr>
        <sz val="8"/>
        <color rgb="FF000000"/>
        <rFont val="Tahoma"/>
        <family val="0"/>
        <charset val="1"/>
      </rPr>
      <t xml:space="preserve">kWp×</t>
    </r>
    <r>
      <rPr>
        <sz val="8"/>
        <color rgb="FF000000"/>
        <rFont val="FreeSans"/>
        <family val="2"/>
      </rPr>
      <t xml:space="preserve">ภาระ</t>
    </r>
  </si>
  <si>
    <r>
      <rPr>
        <sz val="8"/>
        <color rgb="FF000000"/>
        <rFont val="FreeSans"/>
        <family val="2"/>
      </rPr>
      <t xml:space="preserve">ระบบ </t>
    </r>
    <r>
      <rPr>
        <sz val="8"/>
        <color rgb="FF000000"/>
        <rFont val="Tahoma"/>
        <family val="0"/>
        <charset val="1"/>
      </rPr>
      <t xml:space="preserve">DC, </t>
    </r>
    <r>
      <rPr>
        <sz val="8"/>
        <color rgb="FF000000"/>
        <rFont val="FreeSans"/>
        <family val="2"/>
      </rPr>
      <t xml:space="preserve">รางสาย</t>
    </r>
    <r>
      <rPr>
        <sz val="8"/>
        <color rgb="FF000000"/>
        <rFont val="Tahoma"/>
        <family val="0"/>
        <charset val="1"/>
      </rPr>
      <t xml:space="preserve">, </t>
    </r>
    <r>
      <rPr>
        <sz val="8"/>
        <color rgb="FF000000"/>
        <rFont val="FreeSans"/>
        <family val="2"/>
      </rPr>
      <t xml:space="preserve">ตู้ </t>
    </r>
    <r>
      <rPr>
        <sz val="8"/>
        <color rgb="FF000000"/>
        <rFont val="Tahoma"/>
        <family val="0"/>
        <charset val="1"/>
      </rPr>
      <t xml:space="preserve">DC-DB</t>
    </r>
  </si>
  <si>
    <r>
      <rPr>
        <sz val="8"/>
        <color rgb="FF000000"/>
        <rFont val="FreeSans"/>
        <family val="2"/>
      </rPr>
      <t xml:space="preserve">ยกและติดตั้งแผง</t>
    </r>
    <r>
      <rPr>
        <sz val="8"/>
        <color rgb="FF000000"/>
        <rFont val="Tahoma"/>
        <family val="0"/>
        <charset val="1"/>
      </rPr>
      <t xml:space="preserve">, </t>
    </r>
    <r>
      <rPr>
        <sz val="8"/>
        <color rgb="FF000000"/>
        <rFont val="FreeSans"/>
        <family val="2"/>
      </rPr>
      <t xml:space="preserve">ต่อ </t>
    </r>
    <r>
      <rPr>
        <sz val="8"/>
        <color rgb="FF000000"/>
        <rFont val="Tahoma"/>
        <family val="0"/>
        <charset val="1"/>
      </rPr>
      <t xml:space="preserve">String</t>
    </r>
  </si>
  <si>
    <r>
      <rPr>
        <sz val="8"/>
        <color rgb="FF000000"/>
        <rFont val="FreeSans"/>
        <family val="2"/>
      </rPr>
      <t xml:space="preserve">ตู้ </t>
    </r>
    <r>
      <rPr>
        <sz val="8"/>
        <color rgb="FF000000"/>
        <rFont val="Tahoma"/>
        <family val="0"/>
        <charset val="1"/>
      </rPr>
      <t xml:space="preserve">FTS-DB </t>
    </r>
    <r>
      <rPr>
        <sz val="8"/>
        <color rgb="FF000000"/>
        <rFont val="FreeSans"/>
        <family val="2"/>
      </rPr>
      <t xml:space="preserve">และ </t>
    </r>
    <r>
      <rPr>
        <sz val="8"/>
        <color rgb="FF000000"/>
        <rFont val="Tahoma"/>
        <family val="0"/>
        <charset val="1"/>
      </rPr>
      <t xml:space="preserve">E-Stop</t>
    </r>
  </si>
  <si>
    <r>
      <rPr>
        <sz val="8"/>
        <color rgb="FF000000"/>
        <rFont val="FreeSans"/>
        <family val="2"/>
      </rPr>
      <t xml:space="preserve">สร้าง </t>
    </r>
    <r>
      <rPr>
        <sz val="8"/>
        <color rgb="FF000000"/>
        <rFont val="Tahoma"/>
        <family val="0"/>
        <charset val="1"/>
      </rPr>
      <t xml:space="preserve">Inverter station (E09)</t>
    </r>
  </si>
  <si>
    <r>
      <rPr>
        <sz val="8"/>
        <color rgb="FF000000"/>
        <rFont val="FreeSans"/>
        <family val="2"/>
      </rPr>
      <t xml:space="preserve">ติดตั้ง </t>
    </r>
    <r>
      <rPr>
        <sz val="8"/>
        <color rgb="FF000000"/>
        <rFont val="Tahoma"/>
        <family val="0"/>
        <charset val="1"/>
      </rPr>
      <t xml:space="preserve">Inverter </t>
    </r>
    <r>
      <rPr>
        <sz val="8"/>
        <color rgb="FF000000"/>
        <rFont val="FreeSans"/>
        <family val="2"/>
      </rPr>
      <t xml:space="preserve">และสาย </t>
    </r>
    <r>
      <rPr>
        <sz val="8"/>
        <color rgb="FF000000"/>
        <rFont val="Tahoma"/>
        <family val="0"/>
        <charset val="1"/>
      </rPr>
      <t xml:space="preserve">AC</t>
    </r>
  </si>
  <si>
    <t xml:space="preserve">เครื่อง</t>
  </si>
  <si>
    <r>
      <rPr>
        <sz val="8"/>
        <color rgb="FF000000"/>
        <rFont val="FreeSans"/>
        <family val="2"/>
      </rPr>
      <t xml:space="preserve">แนวสาย </t>
    </r>
    <r>
      <rPr>
        <sz val="8"/>
        <color rgb="FF000000"/>
        <rFont val="Tahoma"/>
        <family val="0"/>
        <charset val="1"/>
      </rPr>
      <t xml:space="preserve">AC, </t>
    </r>
    <r>
      <rPr>
        <sz val="8"/>
        <color rgb="FF000000"/>
        <rFont val="FreeSans"/>
        <family val="2"/>
      </rPr>
      <t xml:space="preserve">จุดเชื่อม</t>
    </r>
    <r>
      <rPr>
        <sz val="8"/>
        <color rgb="FF000000"/>
        <rFont val="Tahoma"/>
        <family val="0"/>
        <charset val="1"/>
      </rPr>
      <t xml:space="preserve">, </t>
    </r>
    <r>
      <rPr>
        <sz val="8"/>
        <color rgb="FF000000"/>
        <rFont val="FreeSans"/>
        <family val="2"/>
      </rPr>
      <t xml:space="preserve">ระบบดิน</t>
    </r>
  </si>
  <si>
    <r>
      <rPr>
        <sz val="8"/>
        <color rgb="FF000000"/>
        <rFont val="FreeSans"/>
        <family val="2"/>
      </rPr>
      <t xml:space="preserve">ตู้ </t>
    </r>
    <r>
      <rPr>
        <sz val="8"/>
        <color rgb="FF000000"/>
        <rFont val="Tahoma"/>
        <family val="0"/>
        <charset val="1"/>
      </rPr>
      <t xml:space="preserve">AC-DB </t>
    </r>
    <r>
      <rPr>
        <sz val="8"/>
        <color rgb="FF000000"/>
        <rFont val="FreeSans"/>
        <family val="2"/>
      </rPr>
      <t xml:space="preserve">และ </t>
    </r>
    <r>
      <rPr>
        <sz val="8"/>
        <color rgb="FF000000"/>
        <rFont val="Tahoma"/>
        <family val="0"/>
        <charset val="1"/>
      </rPr>
      <t xml:space="preserve">METER-DB</t>
    </r>
  </si>
  <si>
    <r>
      <rPr>
        <sz val="8"/>
        <color rgb="FF000000"/>
        <rFont val="FreeSans"/>
        <family val="2"/>
      </rPr>
      <t xml:space="preserve">กันย้อน </t>
    </r>
    <r>
      <rPr>
        <sz val="8"/>
        <color rgb="FF000000"/>
        <rFont val="Tahoma"/>
        <family val="0"/>
        <charset val="1"/>
      </rPr>
      <t xml:space="preserve">HV (</t>
    </r>
    <r>
      <rPr>
        <sz val="8"/>
        <color rgb="FF000000"/>
        <rFont val="FreeSans"/>
        <family val="2"/>
      </rPr>
      <t xml:space="preserve">งานเสา </t>
    </r>
    <r>
      <rPr>
        <sz val="8"/>
        <color rgb="FF000000"/>
        <rFont val="Tahoma"/>
        <family val="0"/>
        <charset val="1"/>
      </rPr>
      <t xml:space="preserve">22 kV + PQM)</t>
    </r>
  </si>
  <si>
    <r>
      <rPr>
        <sz val="8"/>
        <color rgb="FF000000"/>
        <rFont val="FreeSans"/>
        <family val="2"/>
      </rPr>
      <t xml:space="preserve">ทดสอบ </t>
    </r>
    <r>
      <rPr>
        <sz val="8"/>
        <color rgb="FF000000"/>
        <rFont val="Tahoma"/>
        <family val="0"/>
        <charset val="1"/>
      </rPr>
      <t xml:space="preserve">IEC 62446 </t>
    </r>
    <r>
      <rPr>
        <sz val="8"/>
        <color rgb="FF000000"/>
        <rFont val="FreeSans"/>
        <family val="2"/>
      </rPr>
      <t xml:space="preserve">และ </t>
    </r>
    <r>
      <rPr>
        <sz val="8"/>
        <color rgb="FF000000"/>
        <rFont val="Tahoma"/>
        <family val="0"/>
        <charset val="1"/>
      </rPr>
      <t xml:space="preserve">Start-up</t>
    </r>
  </si>
  <si>
    <r>
      <rPr>
        <sz val="8"/>
        <color rgb="FF000000"/>
        <rFont val="FreeSans"/>
        <family val="2"/>
      </rPr>
      <t xml:space="preserve">หัวหน้างาน </t>
    </r>
    <r>
      <rPr>
        <sz val="8"/>
        <color rgb="FF000000"/>
        <rFont val="Tahoma"/>
        <family val="0"/>
        <charset val="1"/>
      </rPr>
      <t xml:space="preserve">+ </t>
    </r>
    <r>
      <rPr>
        <sz val="8"/>
        <color rgb="FF000000"/>
        <rFont val="FreeSans"/>
        <family val="2"/>
      </rPr>
      <t xml:space="preserve">จป</t>
    </r>
    <r>
      <rPr>
        <sz val="8"/>
        <color rgb="FF000000"/>
        <rFont val="Tahoma"/>
        <family val="0"/>
        <charset val="1"/>
      </rPr>
      <t xml:space="preserve">. </t>
    </r>
    <r>
      <rPr>
        <sz val="8"/>
        <color rgb="FF000000"/>
        <rFont val="FreeSans"/>
        <family val="2"/>
      </rPr>
      <t xml:space="preserve">หัวหน้างาน</t>
    </r>
  </si>
  <si>
    <r>
      <rPr>
        <sz val="8"/>
        <color rgb="FF000000"/>
        <rFont val="FreeSans"/>
        <family val="2"/>
      </rPr>
      <t xml:space="preserve">กันย้อน </t>
    </r>
    <r>
      <rPr>
        <sz val="8"/>
        <color rgb="FF000000"/>
        <rFont val="Tahoma"/>
        <family val="0"/>
        <charset val="1"/>
      </rPr>
      <t xml:space="preserve">LV (CT + SEM)</t>
    </r>
  </si>
  <si>
    <t xml:space="preserve">สรุปรายรอบส่งมอบ</t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</si>
  <si>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คาดการณ์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ช้าสุด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</si>
  <si>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ส่งมอบงวดช้าสุด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</si>
  <si>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รอบ </t>
    </r>
    <r>
      <rPr>
        <sz val="10"/>
        <rFont val="Tahoma"/>
        <family val="0"/>
        <charset val="1"/>
      </rPr>
      <t xml:space="preserve">9</t>
    </r>
  </si>
  <si>
    <t xml:space="preserve">ประวัติสรุปทั้งเฟส</t>
  </si>
  <si>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แถวต่อการบันทึก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</rPr>
      <t xml:space="preserve">เลื่อนจากครั้งก่อน’ บวก </t>
    </r>
    <r>
      <rPr>
        <i val="true"/>
        <sz val="9"/>
        <color rgb="FF595959"/>
        <rFont val="Tahoma"/>
        <family val="0"/>
        <charset val="1"/>
      </rPr>
      <t xml:space="preserve">= COD </t>
    </r>
    <r>
      <rPr>
        <i val="true"/>
        <sz val="9"/>
        <color rgb="FF595959"/>
        <rFont val="FreeSans"/>
        <family val="2"/>
      </rPr>
      <t xml:space="preserve">ทั้งเฟสถอยออกไป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กราฟด้านขวาอัปเดตเองเมื่อมีแถวใหม่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</si>
  <si>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ทั้งเฟส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</si>
  <si>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เลื่อนจากครั้งก่อน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</si>
  <si>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ถ่วง </t>
    </r>
    <r>
      <rPr>
        <b val="true"/>
        <sz val="9"/>
        <color rgb="FFFFFFFF"/>
        <rFont val="Tahoma"/>
        <family val="0"/>
        <charset val="1"/>
      </rPr>
      <t xml:space="preserve">kWp)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</si>
  <si>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ถ่วง </t>
    </r>
    <r>
      <rPr>
        <b val="true"/>
        <sz val="9"/>
        <color rgb="FFFFFFFF"/>
        <rFont val="Tahoma"/>
        <family val="0"/>
        <charset val="1"/>
      </rPr>
      <t xml:space="preserve">kWp)</t>
    </r>
  </si>
  <si>
    <r>
      <rPr>
        <b val="true"/>
        <sz val="9"/>
        <color rgb="FFFFFFFF"/>
        <rFont val="Tahoma"/>
        <family val="0"/>
        <charset val="1"/>
      </rPr>
      <t xml:space="preserve">Milestone </t>
    </r>
    <r>
      <rPr>
        <b val="true"/>
        <sz val="9"/>
        <color rgb="FFFFFFFF"/>
        <rFont val="FreeSans"/>
        <family val="2"/>
      </rPr>
      <t xml:space="preserve">ทั้งหมด</t>
    </r>
  </si>
  <si>
    <r>
      <rPr>
        <b val="true"/>
        <sz val="9"/>
        <color rgb="FFFFFFFF"/>
        <rFont val="FreeSans"/>
        <family val="2"/>
      </rPr>
      <t xml:space="preserve">สถานี </t>
    </r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</t>
    </r>
  </si>
  <si>
    <t xml:space="preserve">ความเสี่ยงระดับสูง</t>
  </si>
  <si>
    <r>
      <rPr>
        <b val="true"/>
        <sz val="9"/>
        <color rgb="FFFFFFFF"/>
        <rFont val="Tahoma"/>
        <family val="0"/>
        <charset val="1"/>
      </rPr>
      <t xml:space="preserve">KRI </t>
    </r>
    <r>
      <rPr>
        <b val="true"/>
        <sz val="9"/>
        <color rgb="FFFFFFFF"/>
        <rFont val="FreeSans"/>
        <family val="2"/>
      </rPr>
      <t xml:space="preserve">เกินเกณฑ์</t>
    </r>
  </si>
  <si>
    <t xml:space="preserve">การเปลี่ยนแปลงรออนุมัติ</t>
  </si>
  <si>
    <r>
      <rPr>
        <b val="true"/>
        <sz val="14"/>
        <color rgb="FF1F4E78"/>
        <rFont val="Tahoma"/>
        <family val="0"/>
        <charset val="1"/>
      </rPr>
      <t xml:space="preserve">WBS Dictionary – </t>
    </r>
    <r>
      <rPr>
        <b val="true"/>
        <sz val="14"/>
        <color rgb="FF1F4E78"/>
        <rFont val="FreeSans"/>
        <family val="2"/>
      </rPr>
      <t xml:space="preserve">โครงการ </t>
    </r>
    <r>
      <rPr>
        <b val="true"/>
        <sz val="14"/>
        <color rgb="FF1F4E78"/>
        <rFont val="Tahoma"/>
        <family val="0"/>
        <charset val="1"/>
      </rPr>
      <t xml:space="preserve">Solar Rooftop </t>
    </r>
    <r>
      <rPr>
        <b val="true"/>
        <sz val="14"/>
        <color rgb="FF1F4E78"/>
        <rFont val="FreeSans"/>
        <family val="2"/>
      </rPr>
      <t xml:space="preserve">กปภ</t>
    </r>
    <r>
      <rPr>
        <b val="true"/>
        <sz val="14"/>
        <color rgb="FF1F4E78"/>
        <rFont val="Tahoma"/>
        <family val="0"/>
        <charset val="1"/>
      </rPr>
      <t xml:space="preserve">. (</t>
    </r>
    <r>
      <rPr>
        <b val="true"/>
        <sz val="14"/>
        <color rgb="FF1F4E78"/>
        <rFont val="FreeSans"/>
        <family val="2"/>
      </rPr>
      <t xml:space="preserve">ใช้ร่วมกับแอป </t>
    </r>
    <r>
      <rPr>
        <b val="true"/>
        <sz val="14"/>
        <color rgb="FF1F4E78"/>
        <rFont val="Tahoma"/>
        <family val="0"/>
        <charset val="1"/>
      </rPr>
      <t xml:space="preserve">TCRoof)</t>
    </r>
  </si>
  <si>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 </t>
    </r>
    <r>
      <rPr>
        <i val="true"/>
        <sz val="9"/>
        <color rgb="FF595959"/>
        <rFont val="Tahoma"/>
        <family val="0"/>
        <charset val="1"/>
      </rPr>
      <t xml:space="preserve">= 1 </t>
    </r>
    <r>
      <rPr>
        <i val="true"/>
        <sz val="9"/>
        <color rgb="FF595959"/>
        <rFont val="FreeSans"/>
        <family val="2"/>
      </rPr>
      <t xml:space="preserve">รายการ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2 = </t>
    </r>
    <r>
      <rPr>
        <i val="true"/>
        <sz val="9"/>
        <color rgb="FF595959"/>
        <rFont val="FreeSans"/>
        <family val="2"/>
      </rPr>
      <t xml:space="preserve">งานในแผนงาน </t>
    </r>
    <r>
      <rPr>
        <i val="true"/>
        <sz val="9"/>
        <color rgb="FF595959"/>
        <rFont val="Tahoma"/>
        <family val="0"/>
        <charset val="1"/>
      </rPr>
      <t xml:space="preserve">MP (</t>
    </r>
    <r>
      <rPr>
        <i val="true"/>
        <sz val="9"/>
        <color rgb="FF595959"/>
        <rFont val="FreeSans"/>
        <family val="2"/>
      </rPr>
      <t xml:space="preserve">น้ำหนักรวม </t>
    </r>
    <r>
      <rPr>
        <i val="true"/>
        <sz val="9"/>
        <color rgb="FF595959"/>
        <rFont val="Tahoma"/>
        <family val="0"/>
        <charset val="1"/>
      </rPr>
      <t xml:space="preserve">100, </t>
    </r>
    <r>
      <rPr>
        <i val="true"/>
        <sz val="9"/>
        <color rgb="FF595959"/>
        <rFont val="FreeSans"/>
        <family val="2"/>
      </rPr>
      <t xml:space="preserve">ตรงกับ </t>
    </r>
    <r>
      <rPr>
        <i val="true"/>
        <sz val="9"/>
        <color rgb="FF595959"/>
        <rFont val="Tahoma"/>
        <family val="0"/>
        <charset val="1"/>
      </rPr>
      <t xml:space="preserve">MasterSchedule.Task), </t>
    </r>
    <r>
      <rPr>
        <i val="true"/>
        <sz val="9"/>
        <color rgb="FF595959"/>
        <rFont val="FreeSans"/>
        <family val="2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3 = </t>
    </r>
    <r>
      <rPr>
        <i val="true"/>
        <sz val="9"/>
        <color rgb="FF595959"/>
        <rFont val="FreeSans"/>
        <family val="2"/>
      </rPr>
      <t xml:space="preserve">งานย่อย </t>
    </r>
    <r>
      <rPr>
        <i val="true"/>
        <sz val="9"/>
        <color rgb="FF595959"/>
        <rFont val="Tahoma"/>
        <family val="0"/>
        <charset val="1"/>
      </rPr>
      <t xml:space="preserve">/ Work package (</t>
    </r>
    <r>
      <rPr>
        <i val="true"/>
        <sz val="9"/>
        <color rgb="FF595959"/>
        <rFont val="FreeSans"/>
        <family val="2"/>
      </rPr>
      <t xml:space="preserve">ผลรวมเท่างานแม่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ใช้กับ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ทุกสถานี </t>
    </r>
    <r>
      <rPr>
        <i val="true"/>
        <sz val="9"/>
        <color rgb="FF595959"/>
        <rFont val="Tahoma"/>
        <family val="0"/>
        <charset val="1"/>
      </rPr>
      <t xml:space="preserve">/ HV / LV / </t>
    </r>
    <r>
      <rPr>
        <i val="true"/>
        <sz val="9"/>
        <color rgb="FF595959"/>
        <rFont val="FreeSans"/>
        <family val="2"/>
      </rPr>
      <t xml:space="preserve">พค</t>
    </r>
    <r>
      <rPr>
        <i val="true"/>
        <sz val="9"/>
        <color rgb="FF595959"/>
        <rFont val="Tahoma"/>
        <family val="0"/>
        <charset val="1"/>
      </rPr>
      <t xml:space="preserve">.2 (Inverter ≥ 200 kVA), ‘</t>
    </r>
    <r>
      <rPr>
        <i val="true"/>
        <sz val="9"/>
        <color rgb="FF595959"/>
        <rFont val="FreeSans"/>
        <family val="2"/>
      </rPr>
      <t xml:space="preserve">น้ำหนัก ≥ </t>
    </r>
    <r>
      <rPr>
        <i val="true"/>
        <sz val="9"/>
        <color rgb="FF595959"/>
        <rFont val="Tahoma"/>
        <family val="0"/>
        <charset val="1"/>
      </rPr>
      <t xml:space="preserve">200 kVA’ = </t>
    </r>
    <r>
      <rPr>
        <i val="true"/>
        <sz val="9"/>
        <color rgb="FF595959"/>
        <rFont val="FreeSans"/>
        <family val="2"/>
      </rPr>
      <t xml:space="preserve">น้ำหนักเมื่อ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</rPr>
      <t xml:space="preserve">ตั้งแต่ </t>
    </r>
    <r>
      <rPr>
        <i val="true"/>
        <sz val="9"/>
        <color rgb="FF595959"/>
        <rFont val="Tahoma"/>
        <family val="0"/>
        <charset val="1"/>
      </rPr>
      <t xml:space="preserve">200 kVA, </t>
    </r>
    <r>
      <rPr>
        <i val="true"/>
        <sz val="9"/>
        <color rgb="FF595959"/>
        <rFont val="FreeSans"/>
        <family val="2"/>
      </rPr>
      <t xml:space="preserve">ชนิด ‘หมุด’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เหตุการณ์ </t>
    </r>
    <r>
      <rPr>
        <i val="true"/>
        <sz val="9"/>
        <color rgb="FF595959"/>
        <rFont val="Tahoma"/>
        <family val="0"/>
        <charset val="1"/>
      </rPr>
      <t xml:space="preserve">(◆) </t>
    </r>
    <r>
      <rPr>
        <i val="true"/>
        <sz val="9"/>
        <color rgb="FF595959"/>
        <rFont val="FreeSans"/>
        <family val="2"/>
      </rPr>
      <t xml:space="preserve">ไม่ใช่ผลงาน</t>
    </r>
    <r>
      <rPr>
        <i val="true"/>
        <sz val="9"/>
        <color rgb="FF595959"/>
        <rFont val="Tahoma"/>
        <family val="0"/>
        <charset val="1"/>
      </rPr>
      <t xml:space="preserve">, A = </t>
    </r>
    <r>
      <rPr>
        <i val="true"/>
        <sz val="9"/>
        <color rgb="FF595959"/>
        <rFont val="FreeSans"/>
        <family val="2"/>
      </rPr>
      <t xml:space="preserve">คนในโครงการ หน่วยงานภายนอกอยู่ช่องถัดไป</t>
    </r>
  </si>
  <si>
    <r>
      <rPr>
        <b val="true"/>
        <sz val="9"/>
        <color rgb="FFC00000"/>
        <rFont val="FreeSans"/>
        <family val="2"/>
      </rPr>
      <t xml:space="preserve">เอกสารควบคุม</t>
    </r>
    <r>
      <rPr>
        <b val="true"/>
        <sz val="9"/>
        <color rgb="FFC00000"/>
        <rFont val="Tahoma"/>
        <family val="0"/>
        <charset val="1"/>
      </rPr>
      <t xml:space="preserve">, </t>
    </r>
    <r>
      <rPr>
        <b val="true"/>
        <sz val="9"/>
        <color rgb="FFC00000"/>
        <rFont val="FreeSans"/>
        <family val="2"/>
      </rPr>
      <t xml:space="preserve">ฉบับปัจจุบัน </t>
    </r>
    <r>
      <rPr>
        <b val="true"/>
        <sz val="9"/>
        <color rgb="FFC00000"/>
        <rFont val="Tahoma"/>
        <family val="0"/>
        <charset val="1"/>
      </rPr>
      <t xml:space="preserve">REV 10 (23/10/2026), </t>
    </r>
    <r>
      <rPr>
        <b val="true"/>
        <sz val="9"/>
        <color rgb="FFC00000"/>
        <rFont val="FreeSans"/>
        <family val="2"/>
      </rPr>
      <t xml:space="preserve">แก้ไข </t>
    </r>
    <r>
      <rPr>
        <b val="true"/>
        <sz val="9"/>
        <color rgb="FFC00000"/>
        <rFont val="Tahoma"/>
        <family val="0"/>
        <charset val="1"/>
      </rPr>
      <t xml:space="preserve">WBS </t>
    </r>
    <r>
      <rPr>
        <b val="true"/>
        <sz val="9"/>
        <color rgb="FFC00000"/>
        <rFont val="FreeSans"/>
        <family val="2"/>
      </rPr>
      <t xml:space="preserve">ต้องบันทึกเหตุผลและให้ </t>
    </r>
    <r>
      <rPr>
        <b val="true"/>
        <sz val="9"/>
        <color rgb="FFC00000"/>
        <rFont val="Tahoma"/>
        <family val="0"/>
        <charset val="1"/>
      </rPr>
      <t xml:space="preserve">PM </t>
    </r>
    <r>
      <rPr>
        <b val="true"/>
        <sz val="9"/>
        <color rgb="FFC00000"/>
        <rFont val="FreeSans"/>
        <family val="2"/>
      </rPr>
      <t xml:space="preserve">อนุมัติ </t>
    </r>
    <r>
      <rPr>
        <b val="true"/>
        <sz val="9"/>
        <color rgb="FFC00000"/>
        <rFont val="Tahoma"/>
        <family val="0"/>
        <charset val="1"/>
      </rPr>
      <t xml:space="preserve">(</t>
    </r>
    <r>
      <rPr>
        <b val="true"/>
        <sz val="9"/>
        <color rgb="FFC00000"/>
        <rFont val="FreeSans"/>
        <family val="2"/>
      </rPr>
      <t xml:space="preserve">ตารางขวาสุด</t>
    </r>
    <r>
      <rPr>
        <b val="true"/>
        <sz val="9"/>
        <color rgb="FFC00000"/>
        <rFont val="Tahoma"/>
        <family val="0"/>
        <charset val="1"/>
      </rPr>
      <t xml:space="preserve">)</t>
    </r>
  </si>
  <si>
    <t xml:space="preserve">ชนิด</t>
  </si>
  <si>
    <r>
      <rPr>
        <b val="true"/>
        <sz val="9"/>
        <color rgb="FFFFFFFF"/>
        <rFont val="FreeSans"/>
        <family val="2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MP</t>
    </r>
  </si>
  <si>
    <r>
      <rPr>
        <b val="true"/>
        <sz val="9"/>
        <color rgb="FFFFFFFF"/>
        <rFont val="FreeSans"/>
        <family val="2"/>
      </rPr>
      <t xml:space="preserve">น้ำหนัก ≥ </t>
    </r>
    <r>
      <rPr>
        <b val="true"/>
        <sz val="9"/>
        <color rgb="FFFFFFFF"/>
        <rFont val="Tahoma"/>
        <family val="0"/>
        <charset val="1"/>
      </rPr>
      <t xml:space="preserve">200 kVA</t>
    </r>
  </si>
  <si>
    <r>
      <rPr>
        <b val="true"/>
        <sz val="9"/>
        <color rgb="FFFFFFFF"/>
        <rFont val="FreeSans"/>
        <family val="2"/>
      </rPr>
      <t xml:space="preserve">ไม่รวม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อยู่ที่ </t>
    </r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อื่น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</si>
  <si>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เกณฑ์เสร็จ </t>
    </r>
    <r>
      <rPr>
        <b val="true"/>
        <sz val="9"/>
        <color rgb="FFFFFFFF"/>
        <rFont val="Tahoma"/>
        <family val="0"/>
        <charset val="1"/>
      </rPr>
      <t xml:space="preserve">/ Deliverable</t>
    </r>
  </si>
  <si>
    <t xml:space="preserve">Rules of credit</t>
  </si>
  <si>
    <r>
      <rPr>
        <b val="true"/>
        <sz val="9"/>
        <color rgb="FFFFFFFF"/>
        <rFont val="FreeSans"/>
        <family val="2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เอกสาร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</si>
  <si>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บันทึก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ยืนยันในแอป </t>
    </r>
    <r>
      <rPr>
        <b val="true"/>
        <sz val="9"/>
        <color rgb="FFFFFFFF"/>
        <rFont val="Tahoma"/>
        <family val="0"/>
        <charset val="1"/>
      </rPr>
      <t xml:space="preserve">TCRoof</t>
    </r>
  </si>
  <si>
    <r>
      <rPr>
        <b val="true"/>
        <sz val="9"/>
        <color rgb="FFFFFFFF"/>
        <rFont val="FreeSans"/>
        <family val="2"/>
      </rPr>
      <t xml:space="preserve">ผู้ทำ </t>
    </r>
    <r>
      <rPr>
        <b val="true"/>
        <sz val="9"/>
        <color rgb="FFFFFFFF"/>
        <rFont val="Tahoma"/>
        <family val="0"/>
        <charset val="1"/>
      </rPr>
      <t xml:space="preserve">(R)</t>
    </r>
  </si>
  <si>
    <r>
      <rPr>
        <b val="true"/>
        <sz val="9"/>
        <color rgb="FFFFFFFF"/>
        <rFont val="FreeSans"/>
        <family val="2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(A)</t>
    </r>
  </si>
  <si>
    <r>
      <rPr>
        <b val="true"/>
        <sz val="9"/>
        <color rgb="FFFFFFFF"/>
        <rFont val="FreeSans"/>
        <family val="2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รับมอบ ภายนอก</t>
    </r>
  </si>
  <si>
    <t xml:space="preserve">ก่อนหน้า</t>
  </si>
  <si>
    <r>
      <rPr>
        <b val="true"/>
        <sz val="9"/>
        <color rgb="FFFFFFFF"/>
        <rFont val="FreeSans"/>
        <family val="2"/>
      </rPr>
      <t xml:space="preserve">มาตรฐาน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อ้างอิง</t>
    </r>
  </si>
  <si>
    <r>
      <rPr>
        <b val="true"/>
        <sz val="9"/>
        <color rgb="FFFFFFFF"/>
        <rFont val="FreeSans"/>
        <family val="2"/>
      </rPr>
      <t xml:space="preserve">แบบมาตรฐาน กปภ</t>
    </r>
    <r>
      <rPr>
        <b val="true"/>
        <sz val="9"/>
        <color rgb="FFFFFFFF"/>
        <rFont val="Tahoma"/>
        <family val="0"/>
        <charset val="1"/>
      </rPr>
      <t xml:space="preserve">. (</t>
    </r>
    <r>
      <rPr>
        <b val="true"/>
        <sz val="9"/>
        <color rgb="FFFFFFFF"/>
        <rFont val="FreeSans"/>
        <family val="2"/>
      </rPr>
      <t xml:space="preserve">ชีต ‘แบบมาตรฐาน’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</si>
  <si>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MP Task (</t>
    </r>
    <r>
      <rPr>
        <b val="true"/>
        <sz val="9"/>
        <color rgb="FFFFFFFF"/>
        <rFont val="FreeSans"/>
        <family val="2"/>
      </rPr>
      <t xml:space="preserve">แอป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</si>
  <si>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ช่องในชีตอัปเดต</t>
  </si>
  <si>
    <r>
      <rPr>
        <b val="true"/>
        <sz val="9"/>
        <color rgb="FFFFFFFF"/>
        <rFont val="FreeSans"/>
        <family val="2"/>
      </rPr>
      <t xml:space="preserve">เทียบ </t>
    </r>
    <r>
      <rPr>
        <b val="true"/>
        <sz val="9"/>
        <color rgb="FFFFFFFF"/>
        <rFont val="Tahoma"/>
        <family val="0"/>
        <charset val="1"/>
      </rPr>
      <t xml:space="preserve">DOE WBS Handbook</t>
    </r>
  </si>
  <si>
    <t xml:space="preserve">⚠ ตรวจ</t>
  </si>
  <si>
    <t xml:space="preserve">ฉบับ</t>
  </si>
  <si>
    <t xml:space="preserve">การเปลี่ยนแปลง</t>
  </si>
  <si>
    <r>
      <rPr>
        <b val="true"/>
        <sz val="9"/>
        <color rgb="FFFFFFFF"/>
        <rFont val="FreeSans"/>
        <family val="2"/>
      </rPr>
      <t xml:space="preserve">อนุมัติโดย </t>
    </r>
    <r>
      <rPr>
        <b val="true"/>
        <sz val="9"/>
        <color rgb="FFFFFFFF"/>
        <rFont val="Tahoma"/>
        <family val="0"/>
        <charset val="1"/>
      </rPr>
      <t xml:space="preserve">(PM)</t>
    </r>
  </si>
  <si>
    <r>
      <rPr>
        <b val="true"/>
        <sz val="9"/>
        <rFont val="Tahoma"/>
        <family val="0"/>
        <charset val="1"/>
      </rPr>
      <t xml:space="preserve">Project Controls, HSE </t>
    </r>
    <r>
      <rPr>
        <b val="true"/>
        <sz val="9"/>
        <rFont val="FreeSans"/>
        <family val="2"/>
      </rPr>
      <t xml:space="preserve">และ </t>
    </r>
    <r>
      <rPr>
        <b val="true"/>
        <sz val="9"/>
        <rFont val="Tahoma"/>
        <family val="0"/>
        <charset val="1"/>
      </rPr>
      <t xml:space="preserve">Quality</t>
    </r>
  </si>
  <si>
    <r>
      <rPr>
        <b val="true"/>
        <sz val="9"/>
        <rFont val="FreeSans"/>
        <family val="2"/>
      </rPr>
      <t xml:space="preserve">งานบริหารโครงการตลอดอายุงาน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</rPr>
      <t xml:space="preserve">แผน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ความปลอดภัย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คุณภาพ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เอกสาร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รายงาน</t>
    </r>
  </si>
  <si>
    <r>
      <rPr>
        <b val="true"/>
        <sz val="9"/>
        <rFont val="FreeSans"/>
        <family val="2"/>
      </rPr>
      <t xml:space="preserve">งานแก้ไข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ทดสอบซ้ำ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นับในงานเดิม ไม่แยกเป็นรายการ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งานออกแบบ </t>
    </r>
    <r>
      <rPr>
        <b val="true"/>
        <sz val="9"/>
        <rFont val="Tahoma"/>
        <family val="0"/>
        <charset val="1"/>
      </rPr>
      <t xml:space="preserve">(1.2), </t>
    </r>
    <r>
      <rPr>
        <b val="true"/>
        <sz val="9"/>
        <rFont val="FreeSans"/>
        <family val="2"/>
      </rPr>
      <t xml:space="preserve">การประชุม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เดินทาง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อยู่ในงานที่เกี่ยวข้อง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</si>
  <si>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ทุกข้อย่อยปิดก่อน </t>
    </r>
    <r>
      <rPr>
        <b val="true"/>
        <sz val="9"/>
        <rFont val="Tahoma"/>
        <family val="0"/>
        <charset val="1"/>
      </rPr>
      <t xml:space="preserve">PAC</t>
    </r>
  </si>
  <si>
    <t xml:space="preserve">Level of effort</t>
  </si>
  <si>
    <r>
      <rPr>
        <b val="true"/>
        <sz val="9"/>
        <rFont val="FreeSans"/>
        <family val="2"/>
      </rPr>
      <t xml:space="preserve">วศ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</si>
  <si>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Tahoma"/>
        <family val="0"/>
        <charset val="1"/>
      </rPr>
      <t xml:space="preserve">0.1 </t>
    </r>
    <r>
      <rPr>
        <b val="true"/>
        <sz val="9"/>
        <rFont val="FreeSans"/>
        <family val="2"/>
      </rPr>
      <t xml:space="preserve">บริหาร</t>
    </r>
    <r>
      <rPr>
        <b val="true"/>
        <sz val="9"/>
        <rFont val="Tahoma"/>
        <family val="0"/>
        <charset val="1"/>
      </rPr>
      <t xml:space="preserve">/HSE/QA</t>
    </r>
  </si>
  <si>
    <t xml:space="preserve">L2.4 Cost &amp; Schedule Mgmt, L2.6 ES&amp;H, L1.5 Configuration Mgmt</t>
  </si>
  <si>
    <t xml:space="preserve">REV 00</t>
  </si>
  <si>
    <r>
      <rPr>
        <sz val="9"/>
        <color rgb="FF0000FF"/>
        <rFont val="FreeSans"/>
        <family val="2"/>
      </rPr>
      <t xml:space="preserve">สร้าง </t>
    </r>
    <r>
      <rPr>
        <sz val="9"/>
        <color rgb="FF0000FF"/>
        <rFont val="Tahoma"/>
        <family val="0"/>
        <charset val="1"/>
      </rPr>
      <t xml:space="preserve">WBS Dictionary 119 </t>
    </r>
    <r>
      <rPr>
        <sz val="9"/>
        <color rgb="FF0000FF"/>
        <rFont val="FreeSans"/>
        <family val="2"/>
      </rPr>
      <t xml:space="preserve">รายการ ตามเลขแผนงาน </t>
    </r>
    <r>
      <rPr>
        <sz val="9"/>
        <color rgb="FF0000FF"/>
        <rFont val="Tahoma"/>
        <family val="0"/>
        <charset val="1"/>
      </rPr>
      <t xml:space="preserve">MP (TCRoof), 100% rule, R/A, </t>
    </r>
    <r>
      <rPr>
        <sz val="9"/>
        <color rgb="FF0000FF"/>
        <rFont val="FreeSans"/>
        <family val="2"/>
      </rPr>
      <t xml:space="preserve">เกณฑ์เสร็จ</t>
    </r>
  </si>
  <si>
    <r>
      <rPr>
        <sz val="9"/>
        <rFont val="FreeSans"/>
        <family val="2"/>
      </rPr>
      <t xml:space="preserve">แผนบริหารโครงการ </t>
    </r>
    <r>
      <rPr>
        <sz val="9"/>
        <rFont val="Tahoma"/>
        <family val="0"/>
        <charset val="1"/>
      </rPr>
      <t xml:space="preserve">(PEP) + Baseline</t>
    </r>
  </si>
  <si>
    <r>
      <rPr>
        <sz val="9"/>
        <rFont val="Tahoma"/>
        <family val="0"/>
        <charset val="1"/>
      </rPr>
      <t xml:space="preserve">PEP / Baseline schedule + Rules of credit (</t>
    </r>
    <r>
      <rPr>
        <sz val="9"/>
        <rFont val="FreeSans"/>
        <family val="2"/>
      </rPr>
      <t xml:space="preserve">ขออนุมัติ </t>
    </r>
    <r>
      <rPr>
        <sz val="9"/>
        <rFont val="Tahoma"/>
        <family val="0"/>
        <charset val="1"/>
      </rPr>
      <t xml:space="preserve">Baseline)</t>
    </r>
  </si>
  <si>
    <r>
      <rPr>
        <sz val="9"/>
        <rFont val="FreeSans"/>
        <family val="2"/>
      </rPr>
      <t xml:space="preserve">ผู้ว่าจ้างอนุมัติ </t>
    </r>
    <r>
      <rPr>
        <sz val="9"/>
        <rFont val="Tahoma"/>
        <family val="0"/>
        <charset val="1"/>
      </rPr>
      <t xml:space="preserve">Baseline </t>
    </r>
    <r>
      <rPr>
        <sz val="9"/>
        <rFont val="FreeSans"/>
        <family val="2"/>
      </rPr>
      <t xml:space="preserve">ก่อนเริ่มรายงาน </t>
    </r>
    <r>
      <rPr>
        <sz val="9"/>
        <rFont val="Tahoma"/>
        <family val="0"/>
        <charset val="1"/>
      </rPr>
      <t xml:space="preserve">S-Curve</t>
    </r>
  </si>
  <si>
    <r>
      <rPr>
        <sz val="9"/>
        <rFont val="FreeSans"/>
        <family val="2"/>
      </rPr>
      <t xml:space="preserve">ร่าง </t>
    </r>
    <r>
      <rPr>
        <sz val="9"/>
        <rFont val="Tahoma"/>
        <family val="0"/>
        <charset val="1"/>
      </rPr>
      <t xml:space="preserve">10% → </t>
    </r>
    <r>
      <rPr>
        <sz val="9"/>
        <rFont val="FreeSans"/>
        <family val="2"/>
      </rPr>
      <t xml:space="preserve">ยื่น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</rPr>
      <t xml:space="preserve">อนุมัติ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</si>
  <si>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</rPr>
      <t xml:space="preserve">แผนงาน </t>
    </r>
    <r>
      <rPr>
        <sz val="9"/>
        <rFont val="Tahoma"/>
        <family val="0"/>
        <charset val="1"/>
      </rPr>
      <t xml:space="preserve">MP › </t>
    </r>
    <r>
      <rPr>
        <sz val="9"/>
        <rFont val="FreeSans"/>
        <family val="2"/>
      </rPr>
      <t xml:space="preserve">ตั้งค่าแผน </t>
    </r>
    <r>
      <rPr>
        <sz val="9"/>
        <rFont val="Tahoma"/>
        <family val="0"/>
        <charset val="1"/>
      </rPr>
      <t xml:space="preserve">(MasterSchedule.Input.baseline)</t>
    </r>
  </si>
  <si>
    <r>
      <rPr>
        <sz val="9"/>
        <rFont val="FreeSans"/>
        <family val="2"/>
      </rPr>
      <t xml:space="preserve">วศ</t>
    </r>
    <r>
      <rPr>
        <sz val="9"/>
        <rFont val="Tahoma"/>
        <family val="0"/>
        <charset val="1"/>
      </rPr>
      <t xml:space="preserve">.</t>
    </r>
  </si>
  <si>
    <t xml:space="preserve">PMI WBS Practice Std; ISO 21511; EIA-748</t>
  </si>
  <si>
    <r>
      <rPr>
        <sz val="9"/>
        <rFont val="Tahoma"/>
        <family val="0"/>
        <charset val="1"/>
      </rPr>
      <t xml:space="preserve">S / Y </t>
    </r>
    <r>
      <rPr>
        <sz val="9"/>
        <rFont val="FreeSans"/>
        <family val="2"/>
      </rPr>
      <t xml:space="preserve">ที่ชีตอัปเดตงาน </t>
    </r>
    <r>
      <rPr>
        <sz val="9"/>
        <rFont val="Tahoma"/>
        <family val="0"/>
        <charset val="1"/>
      </rPr>
      <t xml:space="preserve">WBS</t>
    </r>
  </si>
  <si>
    <t xml:space="preserve">REV 01</t>
  </si>
  <si>
    <r>
      <rPr>
        <sz val="9"/>
        <color rgb="FF0000FF"/>
        <rFont val="FreeSans"/>
        <family val="2"/>
      </rPr>
      <t xml:space="preserve">เพิ่มช่อง ‘ไม่รวม’ 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และเทียบ </t>
    </r>
    <r>
      <rPr>
        <sz val="9"/>
        <color rgb="FF0000FF"/>
        <rFont val="Tahoma"/>
        <family val="0"/>
        <charset val="1"/>
      </rPr>
      <t xml:space="preserve">DOE WBS Handbook, </t>
    </r>
    <r>
      <rPr>
        <sz val="9"/>
        <color rgb="FF0000FF"/>
        <rFont val="FreeSans"/>
        <family val="2"/>
      </rPr>
      <t xml:space="preserve">งานแก้ซ้ำนับในงานเดิม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เพิ่มชีต </t>
    </r>
    <r>
      <rPr>
        <sz val="9"/>
        <color rgb="FF0000FF"/>
        <rFont val="Tahoma"/>
        <family val="0"/>
        <charset val="1"/>
      </rPr>
      <t xml:space="preserve">RAM</t>
    </r>
  </si>
  <si>
    <r>
      <rPr>
        <sz val="9"/>
        <rFont val="FreeSans"/>
        <family val="2"/>
      </rPr>
      <t xml:space="preserve">แผนความปลอดภัย </t>
    </r>
    <r>
      <rPr>
        <sz val="9"/>
        <rFont val="Tahoma"/>
        <family val="0"/>
        <charset val="1"/>
      </rPr>
      <t xml:space="preserve">(HSE Plan, JSA, Permit-to-Work)</t>
    </r>
  </si>
  <si>
    <r>
      <rPr>
        <sz val="9"/>
        <rFont val="Tahoma"/>
        <family val="0"/>
        <charset val="1"/>
      </rPr>
      <t xml:space="preserve">HSE Plan + JSA / Method statement + Permit-to-Work (</t>
    </r>
    <r>
      <rPr>
        <sz val="9"/>
        <rFont val="FreeSans"/>
        <family val="2"/>
      </rPr>
      <t xml:space="preserve">งานที่สูง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งานไฟฟ้า</t>
    </r>
    <r>
      <rPr>
        <sz val="9"/>
        <rFont val="Tahoma"/>
        <family val="0"/>
        <charset val="1"/>
      </rPr>
      <t xml:space="preserve">) + Rescue &amp; Lifting plan</t>
    </r>
  </si>
  <si>
    <r>
      <rPr>
        <sz val="9"/>
        <rFont val="FreeSans"/>
        <family val="2"/>
      </rPr>
      <t xml:space="preserve">แผน </t>
    </r>
    <r>
      <rPr>
        <sz val="9"/>
        <rFont val="Tahoma"/>
        <family val="0"/>
        <charset val="1"/>
      </rPr>
      <t xml:space="preserve">HSE </t>
    </r>
    <r>
      <rPr>
        <sz val="9"/>
        <rFont val="FreeSans"/>
        <family val="2"/>
      </rPr>
      <t xml:space="preserve">อนุมัติก่อนเข้าพื้นที่</t>
    </r>
  </si>
  <si>
    <t xml:space="preserve">SolarPower Europe EPC Guidelines (H&amp;S)</t>
  </si>
  <si>
    <t xml:space="preserve">REV 02</t>
  </si>
  <si>
    <r>
      <rPr>
        <sz val="9"/>
        <color rgb="FF0000FF"/>
        <rFont val="FreeSans"/>
        <family val="2"/>
      </rPr>
      <t xml:space="preserve">แม่แบบงานย่อย </t>
    </r>
    <r>
      <rPr>
        <sz val="9"/>
        <color rgb="FF0000FF"/>
        <rFont val="Tahoma"/>
        <family val="0"/>
        <charset val="1"/>
      </rPr>
      <t xml:space="preserve">2.1 </t>
    </r>
    <r>
      <rPr>
        <sz val="9"/>
        <color rgb="FF0000FF"/>
        <rFont val="FreeSans"/>
        <family val="2"/>
      </rPr>
      <t xml:space="preserve">ตามประเภทจุดติดตั้ง </t>
    </r>
    <r>
      <rPr>
        <sz val="9"/>
        <color rgb="FF0000FF"/>
        <rFont val="Tahoma"/>
        <family val="0"/>
        <charset val="1"/>
      </rPr>
      <t xml:space="preserve">4 </t>
    </r>
    <r>
      <rPr>
        <sz val="9"/>
        <color rgb="FF0000FF"/>
        <rFont val="FreeSans"/>
        <family val="2"/>
      </rPr>
      <t xml:space="preserve">แบบ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หลังคา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ถังน้ำใส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ถังดินกลบ </t>
    </r>
    <r>
      <rPr>
        <sz val="9"/>
        <color rgb="FF0000FF"/>
        <rFont val="Tahoma"/>
        <family val="0"/>
        <charset val="1"/>
      </rPr>
      <t xml:space="preserve">/ Carport) + </t>
    </r>
    <r>
      <rPr>
        <sz val="9"/>
        <color rgb="FF0000FF"/>
        <rFont val="FreeSans"/>
        <family val="2"/>
      </rPr>
      <t xml:space="preserve">ชีตจุดติดตั้ง</t>
    </r>
  </si>
  <si>
    <r>
      <rPr>
        <sz val="9"/>
        <rFont val="FreeSans"/>
        <family val="2"/>
      </rPr>
      <t xml:space="preserve">แผนคุณภาพ </t>
    </r>
    <r>
      <rPr>
        <sz val="9"/>
        <rFont val="Tahoma"/>
        <family val="0"/>
        <charset val="1"/>
      </rPr>
      <t xml:space="preserve">(PQP) + </t>
    </r>
    <r>
      <rPr>
        <sz val="9"/>
        <rFont val="FreeSans"/>
        <family val="2"/>
      </rPr>
      <t xml:space="preserve">แผนตรวจทดสอบ </t>
    </r>
    <r>
      <rPr>
        <sz val="9"/>
        <rFont val="Tahoma"/>
        <family val="0"/>
        <charset val="1"/>
      </rPr>
      <t xml:space="preserve">(ITP)</t>
    </r>
  </si>
  <si>
    <r>
      <rPr>
        <sz val="9"/>
        <rFont val="Tahoma"/>
        <family val="0"/>
        <charset val="1"/>
      </rPr>
      <t xml:space="preserve">Project Quality Plan + ITP (</t>
    </r>
    <r>
      <rPr>
        <sz val="9"/>
        <rFont val="FreeSans"/>
        <family val="2"/>
      </rPr>
      <t xml:space="preserve">โครงสร้าง</t>
    </r>
    <r>
      <rPr>
        <sz val="9"/>
        <rFont val="Tahoma"/>
        <family val="0"/>
        <charset val="1"/>
      </rPr>
      <t xml:space="preserve">, DC, AC, MV, Grounding, Monitoring)</t>
    </r>
  </si>
  <si>
    <r>
      <rPr>
        <sz val="9"/>
        <rFont val="Tahoma"/>
        <family val="0"/>
        <charset val="1"/>
      </rPr>
      <t xml:space="preserve">ITP </t>
    </r>
    <r>
      <rPr>
        <sz val="9"/>
        <rFont val="FreeSans"/>
        <family val="2"/>
      </rPr>
      <t xml:space="preserve">อนุมัติ ใช้เป็นเกณฑ์ตรวจรับทุกงาน</t>
    </r>
  </si>
  <si>
    <r>
      <rPr>
        <sz val="9"/>
        <rFont val="FreeSans"/>
        <family val="2"/>
      </rPr>
      <t xml:space="preserve">ใบตรวจรับงาน </t>
    </r>
    <r>
      <rPr>
        <sz val="9"/>
        <rFont val="Tahoma"/>
        <family val="0"/>
        <charset val="1"/>
      </rPr>
      <t xml:space="preserve">(ICL)</t>
    </r>
  </si>
  <si>
    <t xml:space="preserve">REV 03</t>
  </si>
  <si>
    <r>
      <rPr>
        <sz val="9"/>
        <color rgb="FF0000FF"/>
        <rFont val="Tahoma"/>
        <family val="0"/>
        <charset val="1"/>
      </rPr>
      <t xml:space="preserve">2.1.2 </t>
    </r>
    <r>
      <rPr>
        <sz val="9"/>
        <color rgb="FF0000FF"/>
        <rFont val="FreeSans"/>
        <family val="2"/>
      </rPr>
      <t xml:space="preserve">บันไดเซอร์วิสถาวรมีกรงตามแบบ กปภ</t>
    </r>
    <r>
      <rPr>
        <sz val="9"/>
        <color rgb="FF0000FF"/>
        <rFont val="Tahoma"/>
        <family val="0"/>
        <charset val="1"/>
      </rPr>
      <t xml:space="preserve">. PEA-EMD-03-2024C18 </t>
    </r>
    <r>
      <rPr>
        <sz val="9"/>
        <color rgb="FF0000FF"/>
        <rFont val="FreeSans"/>
        <family val="2"/>
      </rPr>
      <t xml:space="preserve">เมื่อสูงตั้งแต่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ม</t>
    </r>
    <r>
      <rPr>
        <sz val="9"/>
        <color rgb="FF0000FF"/>
        <rFont val="Tahoma"/>
        <family val="0"/>
        <charset val="1"/>
      </rPr>
      <t xml:space="preserve">. (≤ 8 </t>
    </r>
    <r>
      <rPr>
        <sz val="9"/>
        <color rgb="FF0000FF"/>
        <rFont val="FreeSans"/>
        <family val="2"/>
      </rPr>
      <t xml:space="preserve">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ช่วงเดียว</t>
    </r>
    <r>
      <rPr>
        <sz val="9"/>
        <color rgb="FF0000FF"/>
        <rFont val="Tahoma"/>
        <family val="0"/>
        <charset val="1"/>
      </rPr>
      <t xml:space="preserve">, &gt; 8 </t>
    </r>
    <r>
      <rPr>
        <sz val="9"/>
        <color rgb="FF0000FF"/>
        <rFont val="FreeSans"/>
        <family val="2"/>
      </rPr>
      <t xml:space="preserve">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มีชานพัก</t>
    </r>
    <r>
      <rPr>
        <sz val="9"/>
        <color rgb="FF0000FF"/>
        <rFont val="Tahoma"/>
        <family val="0"/>
        <charset val="1"/>
      </rPr>
      <t xml:space="preserve">), </t>
    </r>
    <r>
      <rPr>
        <sz val="9"/>
        <color rgb="FF0000FF"/>
        <rFont val="FreeSans"/>
        <family val="2"/>
      </rPr>
      <t xml:space="preserve">น้ำหนัก </t>
    </r>
    <r>
      <rPr>
        <sz val="9"/>
        <color rgb="FF0000FF"/>
        <rFont val="Tahoma"/>
        <family val="0"/>
        <charset val="1"/>
      </rPr>
      <t xml:space="preserve">2.1.2 1.5→2.5, 2.1.4 8→7, </t>
    </r>
    <r>
      <rPr>
        <sz val="9"/>
        <color rgb="FF0000FF"/>
        <rFont val="FreeSans"/>
        <family val="2"/>
      </rPr>
      <t xml:space="preserve">หลังคา</t>
    </r>
    <r>
      <rPr>
        <sz val="9"/>
        <color rgb="FF0000FF"/>
        <rFont val="Tahoma"/>
        <family val="0"/>
        <charset val="1"/>
      </rPr>
      <t xml:space="preserve">: </t>
    </r>
    <r>
      <rPr>
        <sz val="9"/>
        <color rgb="FF0000FF"/>
        <rFont val="FreeSans"/>
        <family val="2"/>
      </rPr>
      <t xml:space="preserve">ขั้น </t>
    </r>
    <r>
      <rPr>
        <sz val="9"/>
        <color rgb="FF0000FF"/>
        <rFont val="Tahoma"/>
        <family val="0"/>
        <charset val="1"/>
      </rPr>
      <t xml:space="preserve">2 10→15%, </t>
    </r>
    <r>
      <rPr>
        <sz val="9"/>
        <color rgb="FF0000FF"/>
        <rFont val="FreeSans"/>
        <family val="2"/>
      </rPr>
      <t xml:space="preserve">ขั้น </t>
    </r>
    <r>
      <rPr>
        <sz val="9"/>
        <color rgb="FF0000FF"/>
        <rFont val="Tahoma"/>
        <family val="0"/>
        <charset val="1"/>
      </rPr>
      <t xml:space="preserve">4 30→25%, </t>
    </r>
    <r>
      <rPr>
        <sz val="9"/>
        <color rgb="FF0000FF"/>
        <rFont val="FreeSans"/>
        <family val="2"/>
      </rPr>
      <t xml:space="preserve">ช่องความสูง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บันไดในจุดติดตั้ง</t>
    </r>
  </si>
  <si>
    <r>
      <rPr>
        <sz val="9"/>
        <rFont val="FreeSans"/>
        <family val="2"/>
      </rPr>
      <t xml:space="preserve">เอกสารขออนุมัติวัสดุ </t>
    </r>
    <r>
      <rPr>
        <sz val="9"/>
        <rFont val="Tahoma"/>
        <family val="0"/>
        <charset val="1"/>
      </rPr>
      <t xml:space="preserve">(Material submittal)</t>
    </r>
  </si>
  <si>
    <r>
      <rPr>
        <sz val="9"/>
        <rFont val="Tahoma"/>
        <family val="0"/>
        <charset val="1"/>
      </rPr>
      <t xml:space="preserve">Material submittals (Module, Inverter, </t>
    </r>
    <r>
      <rPr>
        <sz val="9"/>
        <rFont val="FreeSans"/>
        <family val="2"/>
      </rPr>
      <t xml:space="preserve">ตู้ไฟ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สาย</t>
    </r>
    <r>
      <rPr>
        <sz val="9"/>
        <rFont val="Tahoma"/>
        <family val="0"/>
        <charset val="1"/>
      </rPr>
      <t xml:space="preserve">, Racking, CT/VT)</t>
    </r>
  </si>
  <si>
    <r>
      <rPr>
        <sz val="9"/>
        <rFont val="Tahoma"/>
        <family val="0"/>
        <charset val="1"/>
      </rPr>
      <t xml:space="preserve">Datasheet </t>
    </r>
    <r>
      <rPr>
        <sz val="9"/>
        <rFont val="FreeSans"/>
        <family val="2"/>
      </rPr>
      <t xml:space="preserve">แผง</t>
    </r>
    <r>
      <rPr>
        <sz val="9"/>
        <rFont val="Tahoma"/>
        <family val="0"/>
        <charset val="1"/>
      </rPr>
      <t xml:space="preserve">, Datasheet Inverter, Datasheet </t>
    </r>
    <r>
      <rPr>
        <sz val="9"/>
        <rFont val="FreeSans"/>
        <family val="2"/>
      </rPr>
      <t xml:space="preserve">อุปกรณ์อื่น</t>
    </r>
  </si>
  <si>
    <t xml:space="preserve">IEC 61215/61730; IEC 62109-1/-2</t>
  </si>
  <si>
    <t xml:space="preserve">REV 04</t>
  </si>
  <si>
    <r>
      <rPr>
        <sz val="9"/>
        <color rgb="FF0000FF"/>
        <rFont val="FreeSans"/>
        <family val="2"/>
      </rPr>
      <t xml:space="preserve">อ้างแบบมาตรฐาน กปภ</t>
    </r>
    <r>
      <rPr>
        <sz val="9"/>
        <color rgb="FF0000FF"/>
        <rFont val="Tahoma"/>
        <family val="0"/>
        <charset val="1"/>
      </rPr>
      <t xml:space="preserve">. 12 </t>
    </r>
    <r>
      <rPr>
        <sz val="9"/>
        <color rgb="FF0000FF"/>
        <rFont val="FreeSans"/>
        <family val="2"/>
      </rPr>
      <t xml:space="preserve">แบบ </t>
    </r>
    <r>
      <rPr>
        <sz val="9"/>
        <color rgb="FF0000FF"/>
        <rFont val="Tahoma"/>
        <family val="0"/>
        <charset val="1"/>
      </rPr>
      <t xml:space="preserve">(C09, C15–C18, STEEL SUPPORT, E10, E11, E13, E16–E18) </t>
    </r>
    <r>
      <rPr>
        <sz val="9"/>
        <color rgb="FF0000FF"/>
        <rFont val="FreeSans"/>
        <family val="2"/>
      </rPr>
      <t xml:space="preserve">ต่อ </t>
    </r>
    <r>
      <rPr>
        <sz val="9"/>
        <color rgb="FF0000FF"/>
        <rFont val="Tahoma"/>
        <family val="0"/>
        <charset val="1"/>
      </rPr>
      <t xml:space="preserve">WBS + </t>
    </r>
    <r>
      <rPr>
        <sz val="9"/>
        <color rgb="FF0000FF"/>
        <rFont val="FreeSans"/>
        <family val="2"/>
      </rPr>
      <t xml:space="preserve">ชีตแบบมาตรฐาน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สเปกหลัก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จุดตรวจ </t>
    </r>
    <r>
      <rPr>
        <sz val="9"/>
        <color rgb="FF0000FF"/>
        <rFont val="Tahoma"/>
        <family val="0"/>
        <charset val="1"/>
      </rPr>
      <t xml:space="preserve">ICL), </t>
    </r>
    <r>
      <rPr>
        <sz val="9"/>
        <color rgb="FF0000FF"/>
        <rFont val="FreeSans"/>
        <family val="2"/>
      </rPr>
      <t xml:space="preserve">แม่แบบหลังคา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ถังน้ำใสระบุเลขแบบและแรงขัน</t>
    </r>
  </si>
  <si>
    <r>
      <rPr>
        <sz val="9"/>
        <rFont val="FreeSans"/>
        <family val="2"/>
      </rPr>
      <t xml:space="preserve">รายงานประจำ </t>
    </r>
    <r>
      <rPr>
        <sz val="9"/>
        <rFont val="Tahoma"/>
        <family val="0"/>
        <charset val="1"/>
      </rPr>
      <t xml:space="preserve">R1–R4</t>
    </r>
  </si>
  <si>
    <r>
      <rPr>
        <sz val="9"/>
        <rFont val="FreeSans"/>
        <family val="2"/>
      </rPr>
      <t xml:space="preserve">รายงานประจำ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</rPr>
      <t xml:space="preserve">ขออนุญาตทำงาน</t>
    </r>
    <r>
      <rPr>
        <sz val="9"/>
        <rFont val="Tahoma"/>
        <family val="0"/>
        <charset val="1"/>
      </rPr>
      <t xml:space="preserve">, R2 </t>
    </r>
    <r>
      <rPr>
        <sz val="9"/>
        <rFont val="FreeSans"/>
        <family val="2"/>
      </rPr>
      <t xml:space="preserve">รายวัน</t>
    </r>
    <r>
      <rPr>
        <sz val="9"/>
        <rFont val="Tahoma"/>
        <family val="0"/>
        <charset val="1"/>
      </rPr>
      <t xml:space="preserve">, R3 </t>
    </r>
    <r>
      <rPr>
        <sz val="9"/>
        <rFont val="FreeSans"/>
        <family val="2"/>
      </rPr>
      <t xml:space="preserve">สัปดาห์</t>
    </r>
    <r>
      <rPr>
        <sz val="9"/>
        <rFont val="Tahoma"/>
        <family val="0"/>
        <charset val="1"/>
      </rPr>
      <t xml:space="preserve">, R4 </t>
    </r>
    <r>
      <rPr>
        <sz val="9"/>
        <rFont val="FreeSans"/>
        <family val="2"/>
      </rPr>
      <t xml:space="preserve">เดือน</t>
    </r>
  </si>
  <si>
    <r>
      <rPr>
        <sz val="9"/>
        <rFont val="FreeSans"/>
        <family val="2"/>
      </rPr>
      <t xml:space="preserve">ส่งตรงเวลาทุกงวด</t>
    </r>
    <r>
      <rPr>
        <sz val="9"/>
        <rFont val="Tahoma"/>
        <family val="0"/>
        <charset val="1"/>
      </rPr>
      <t xml:space="preserve">, R2 </t>
    </r>
    <r>
      <rPr>
        <sz val="9"/>
        <rFont val="FreeSans"/>
        <family val="2"/>
      </rPr>
      <t xml:space="preserve">ลงนามรับทราบโดยวิศวกร</t>
    </r>
  </si>
  <si>
    <r>
      <rPr>
        <sz val="9"/>
        <rFont val="FreeSans"/>
        <family val="2"/>
      </rPr>
      <t xml:space="preserve">รายงานประจำ </t>
    </r>
    <r>
      <rPr>
        <sz val="9"/>
        <rFont val="Tahoma"/>
        <family val="0"/>
        <charset val="1"/>
      </rPr>
      <t xml:space="preserve">(RoutineReport), R2 </t>
    </r>
    <r>
      <rPr>
        <sz val="9"/>
        <rFont val="FreeSans"/>
        <family val="2"/>
      </rPr>
      <t xml:space="preserve">ที่ลงนามเท่านั้นขยับแผน </t>
    </r>
    <r>
      <rPr>
        <sz val="9"/>
        <rFont val="Tahoma"/>
        <family val="0"/>
        <charset val="1"/>
      </rPr>
      <t xml:space="preserve">MP</t>
    </r>
  </si>
  <si>
    <t xml:space="preserve">REV 05</t>
  </si>
  <si>
    <r>
      <rPr>
        <sz val="9"/>
        <color rgb="FF0000FF"/>
        <rFont val="FreeSans"/>
        <family val="2"/>
      </rPr>
      <t xml:space="preserve">แยกหลังคาลอนคู่ </t>
    </r>
    <r>
      <rPr>
        <sz val="9"/>
        <color rgb="FF0000FF"/>
        <rFont val="Tahoma"/>
        <family val="0"/>
        <charset val="1"/>
      </rPr>
      <t xml:space="preserve">(C09) / </t>
    </r>
    <r>
      <rPr>
        <sz val="9"/>
        <color rgb="FF0000FF"/>
        <rFont val="FreeSans"/>
        <family val="2"/>
      </rPr>
      <t xml:space="preserve">เมทัลชีท </t>
    </r>
    <r>
      <rPr>
        <sz val="9"/>
        <color rgb="FF0000FF"/>
        <rFont val="Tahoma"/>
        <family val="0"/>
        <charset val="1"/>
      </rPr>
      <t xml:space="preserve">(C17) </t>
    </r>
    <r>
      <rPr>
        <sz val="9"/>
        <color rgb="FF0000FF"/>
        <rFont val="FreeSans"/>
        <family val="2"/>
      </rPr>
      <t xml:space="preserve">ตาม </t>
    </r>
    <r>
      <rPr>
        <sz val="9"/>
        <color rgb="FF0000FF"/>
        <rFont val="Tahoma"/>
        <family val="0"/>
        <charset val="1"/>
      </rPr>
      <t xml:space="preserve">PMI 4.6.2, </t>
    </r>
    <r>
      <rPr>
        <sz val="9"/>
        <color rgb="FF0000FF"/>
        <rFont val="FreeSans"/>
        <family val="2"/>
      </rPr>
      <t xml:space="preserve">เกณฑ์เสร็จระดับ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ครบทุกงาน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งานติดตั้งระดับ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มีแบบ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มาตรฐานอ้างอิงครบ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ตรวจคุณภาพ </t>
    </r>
    <r>
      <rPr>
        <sz val="9"/>
        <color rgb="FF0000FF"/>
        <rFont val="Tahoma"/>
        <family val="0"/>
        <charset val="1"/>
      </rPr>
      <t xml:space="preserve">WBS </t>
    </r>
    <r>
      <rPr>
        <sz val="9"/>
        <color rgb="FF0000FF"/>
        <rFont val="FreeSans"/>
        <family val="2"/>
      </rPr>
      <t xml:space="preserve">อัตโนมัติ</t>
    </r>
  </si>
  <si>
    <r>
      <rPr>
        <sz val="9"/>
        <rFont val="FreeSans"/>
        <family val="2"/>
      </rPr>
      <t xml:space="preserve">การตรวจ </t>
    </r>
    <r>
      <rPr>
        <sz val="9"/>
        <rFont val="Tahoma"/>
        <family val="0"/>
        <charset val="1"/>
      </rPr>
      <t xml:space="preserve">HSE / NCR / Punch list </t>
    </r>
    <r>
      <rPr>
        <sz val="9"/>
        <rFont val="FreeSans"/>
        <family val="2"/>
      </rPr>
      <t xml:space="preserve">หน้างาน</t>
    </r>
  </si>
  <si>
    <r>
      <rPr>
        <sz val="9"/>
        <rFont val="FreeSans"/>
        <family val="2"/>
      </rPr>
      <t xml:space="preserve">ตรวจ </t>
    </r>
    <r>
      <rPr>
        <sz val="9"/>
        <rFont val="Tahoma"/>
        <family val="0"/>
        <charset val="1"/>
      </rPr>
      <t xml:space="preserve">HSE </t>
    </r>
    <r>
      <rPr>
        <sz val="9"/>
        <rFont val="FreeSans"/>
        <family val="2"/>
      </rPr>
      <t xml:space="preserve">หน้างาน </t>
    </r>
    <r>
      <rPr>
        <sz val="9"/>
        <rFont val="Tahoma"/>
        <family val="0"/>
        <charset val="1"/>
      </rPr>
      <t xml:space="preserve">/ NCR / </t>
    </r>
    <r>
      <rPr>
        <sz val="9"/>
        <rFont val="FreeSans"/>
        <family val="2"/>
      </rPr>
      <t xml:space="preserve">ติดตาม </t>
    </r>
    <r>
      <rPr>
        <sz val="9"/>
        <rFont val="Tahoma"/>
        <family val="0"/>
        <charset val="1"/>
      </rPr>
      <t xml:space="preserve">Punch list</t>
    </r>
  </si>
  <si>
    <r>
      <rPr>
        <sz val="9"/>
        <rFont val="Tahoma"/>
        <family val="0"/>
        <charset val="1"/>
      </rPr>
      <t xml:space="preserve">NCR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Punch list </t>
    </r>
    <r>
      <rPr>
        <sz val="9"/>
        <rFont val="FreeSans"/>
        <family val="2"/>
      </rPr>
      <t xml:space="preserve">ปิดครบก่อน </t>
    </r>
    <r>
      <rPr>
        <sz val="9"/>
        <rFont val="Tahoma"/>
        <family val="0"/>
        <charset val="1"/>
      </rPr>
      <t xml:space="preserve">PAC</t>
    </r>
  </si>
  <si>
    <t xml:space="preserve">Punch List</t>
  </si>
  <si>
    <r>
      <rPr>
        <sz val="9"/>
        <rFont val="Tahoma"/>
        <family val="0"/>
        <charset val="1"/>
      </rPr>
      <t xml:space="preserve">Punch list </t>
    </r>
    <r>
      <rPr>
        <sz val="9"/>
        <rFont val="FreeSans"/>
        <family val="2"/>
      </rPr>
      <t xml:space="preserve">ในแอป</t>
    </r>
  </si>
  <si>
    <t xml:space="preserve">REV 06</t>
  </si>
  <si>
    <r>
      <rPr>
        <sz val="9"/>
        <color rgb="FF0000FF"/>
        <rFont val="Tahoma"/>
        <family val="0"/>
        <charset val="1"/>
      </rPr>
      <t xml:space="preserve">Part 2 </t>
    </r>
    <r>
      <rPr>
        <sz val="9"/>
        <color rgb="FF0000FF"/>
        <rFont val="FreeSans"/>
        <family val="2"/>
      </rPr>
      <t xml:space="preserve">ตามคู่มือ</t>
    </r>
    <r>
      <rPr>
        <sz val="9"/>
        <color rgb="FF0000FF"/>
        <rFont val="Tahoma"/>
        <family val="0"/>
        <charset val="1"/>
      </rPr>
      <t xml:space="preserve">: 2.6.2 </t>
    </r>
    <r>
      <rPr>
        <sz val="9"/>
        <color rgb="FF0000FF"/>
        <rFont val="FreeSans"/>
        <family val="2"/>
      </rPr>
      <t xml:space="preserve">เตรียม </t>
    </r>
    <r>
      <rPr>
        <sz val="9"/>
        <color rgb="FF0000FF"/>
        <rFont val="Tahoma"/>
        <family val="0"/>
        <charset val="1"/>
      </rPr>
      <t xml:space="preserve">Breaker (</t>
    </r>
    <r>
      <rPr>
        <sz val="9"/>
        <color rgb="FF0000FF"/>
        <rFont val="FreeSans"/>
        <family val="2"/>
      </rPr>
      <t xml:space="preserve">เชื่อมจริงใน </t>
    </r>
    <r>
      <rPr>
        <sz val="9"/>
        <color rgb="FF0000FF"/>
        <rFont val="Tahoma"/>
        <family val="0"/>
        <charset val="1"/>
      </rPr>
      <t xml:space="preserve">2.M), 2.2.5 </t>
    </r>
    <r>
      <rPr>
        <sz val="9"/>
        <color rgb="FF0000FF"/>
        <rFont val="FreeSans"/>
        <family val="2"/>
      </rPr>
      <t xml:space="preserve">เป็น </t>
    </r>
    <r>
      <rPr>
        <sz val="9"/>
        <color rgb="FF0000FF"/>
        <rFont val="Tahoma"/>
        <family val="0"/>
        <charset val="1"/>
      </rPr>
      <t xml:space="preserve">ICL </t>
    </r>
    <r>
      <rPr>
        <sz val="9"/>
        <color rgb="FF0000FF"/>
        <rFont val="FreeSans"/>
        <family val="2"/>
      </rPr>
      <t xml:space="preserve">ระบบ </t>
    </r>
    <r>
      <rPr>
        <sz val="9"/>
        <color rgb="FF0000FF"/>
        <rFont val="Tahoma"/>
        <family val="0"/>
        <charset val="1"/>
      </rPr>
      <t xml:space="preserve">DC (</t>
    </r>
    <r>
      <rPr>
        <sz val="9"/>
        <color rgb="FF0000FF"/>
        <rFont val="FreeSans"/>
        <family val="2"/>
      </rPr>
      <t xml:space="preserve">ทดสอบทางการที่ </t>
    </r>
    <r>
      <rPr>
        <sz val="9"/>
        <color rgb="FF0000FF"/>
        <rFont val="Tahoma"/>
        <family val="0"/>
        <charset val="1"/>
      </rPr>
      <t xml:space="preserve">3.1.2), </t>
    </r>
    <r>
      <rPr>
        <sz val="9"/>
        <color rgb="FF0000FF"/>
        <rFont val="FreeSans"/>
        <family val="2"/>
      </rPr>
      <t xml:space="preserve">เพิ่ม </t>
    </r>
    <r>
      <rPr>
        <sz val="9"/>
        <color rgb="FF0000FF"/>
        <rFont val="Tahoma"/>
        <family val="0"/>
        <charset val="1"/>
      </rPr>
      <t xml:space="preserve">ICL 2.5.4 / 2.6.5 / 2.7.3 / 2.8.5, </t>
    </r>
    <r>
      <rPr>
        <sz val="9"/>
        <color rgb="FF0000FF"/>
        <rFont val="FreeSans"/>
        <family val="2"/>
      </rPr>
      <t xml:space="preserve">เพิ่ม </t>
    </r>
    <r>
      <rPr>
        <sz val="9"/>
        <color rgb="FF0000FF"/>
        <rFont val="Tahoma"/>
        <family val="0"/>
        <charset val="1"/>
      </rPr>
      <t xml:space="preserve">2.9.3 Weather station, 2.6.1 </t>
    </r>
    <r>
      <rPr>
        <sz val="9"/>
        <color rgb="FF0000FF"/>
        <rFont val="FreeSans"/>
        <family val="2"/>
      </rPr>
      <t xml:space="preserve">รวมท่อ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</rPr>
      <t xml:space="preserve">รางสาย </t>
    </r>
    <r>
      <rPr>
        <sz val="9"/>
        <color rgb="FF0000FF"/>
        <rFont val="Tahoma"/>
        <family val="0"/>
        <charset val="1"/>
      </rPr>
      <t xml:space="preserve">AC, Rules of credit 2.1–2.3 </t>
    </r>
    <r>
      <rPr>
        <sz val="9"/>
        <color rgb="FF0000FF"/>
        <rFont val="FreeSans"/>
        <family val="2"/>
      </rPr>
      <t xml:space="preserve">ตามจุดติดตั้ง</t>
    </r>
    <r>
      <rPr>
        <sz val="9"/>
        <color rgb="FF0000FF"/>
        <rFont val="Tahoma"/>
        <family val="0"/>
        <charset val="1"/>
      </rPr>
      <t xml:space="preserve">, 2.5.2 </t>
    </r>
    <r>
      <rPr>
        <sz val="9"/>
        <color rgb="FF0000FF"/>
        <rFont val="FreeSans"/>
        <family val="2"/>
      </rPr>
      <t xml:space="preserve">ตามจำนวน </t>
    </r>
    <r>
      <rPr>
        <sz val="9"/>
        <color rgb="FF0000FF"/>
        <rFont val="Tahoma"/>
        <family val="0"/>
        <charset val="1"/>
      </rPr>
      <t xml:space="preserve">Inverter, 2.8.1 / 2.M </t>
    </r>
    <r>
      <rPr>
        <sz val="9"/>
        <color rgb="FF0000FF"/>
        <rFont val="FreeSans"/>
        <family val="2"/>
      </rPr>
      <t xml:space="preserve">เป็นหมุด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ชื่อ </t>
    </r>
    <r>
      <rPr>
        <sz val="9"/>
        <color rgb="FF0000FF"/>
        <rFont val="Tahoma"/>
        <family val="0"/>
        <charset val="1"/>
      </rPr>
      <t xml:space="preserve">2.3.1, 2.8.2</t>
    </r>
  </si>
  <si>
    <r>
      <rPr>
        <b val="true"/>
        <sz val="9"/>
        <rFont val="FreeSans"/>
        <family val="2"/>
      </rPr>
      <t xml:space="preserve">จัดหาและรับอุปกรณ์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หนังสือส่งแผง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ตรวจรับของ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</si>
  <si>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ออกหนังสือ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ใบเบิกโอน แผงและอุปกรณ์ถึงหน้างาน ตรวจรับครบ</t>
    </r>
  </si>
  <si>
    <r>
      <rPr>
        <b val="true"/>
        <sz val="9"/>
        <rFont val="FreeSans"/>
        <family val="2"/>
      </rPr>
      <t xml:space="preserve">การยกขึ้นหลังคาและติดตั้ง </t>
    </r>
    <r>
      <rPr>
        <b val="true"/>
        <sz val="9"/>
        <rFont val="Tahoma"/>
        <family val="0"/>
        <charset val="1"/>
      </rPr>
      <t xml:space="preserve">(2.1–2.9), </t>
    </r>
    <r>
      <rPr>
        <b val="true"/>
        <sz val="9"/>
        <rFont val="FreeSans"/>
        <family val="2"/>
      </rPr>
      <t xml:space="preserve">การทดสอบหน้างาน </t>
    </r>
    <r>
      <rPr>
        <b val="true"/>
        <sz val="9"/>
        <rFont val="Tahoma"/>
        <family val="0"/>
        <charset val="1"/>
      </rPr>
      <t xml:space="preserve">(3.1)</t>
    </r>
  </si>
  <si>
    <r>
      <rPr>
        <b val="true"/>
        <sz val="9"/>
        <rFont val="FreeSans"/>
        <family val="2"/>
      </rPr>
      <t xml:space="preserve">อุปกรณ์ครบตาม </t>
    </r>
    <r>
      <rPr>
        <b val="true"/>
        <sz val="9"/>
        <rFont val="Tahoma"/>
        <family val="0"/>
        <charset val="1"/>
      </rPr>
      <t xml:space="preserve">BOM </t>
    </r>
    <r>
      <rPr>
        <b val="true"/>
        <sz val="9"/>
        <rFont val="FreeSans"/>
        <family val="2"/>
      </rPr>
      <t xml:space="preserve">และสแกน </t>
    </r>
    <r>
      <rPr>
        <b val="true"/>
        <sz val="9"/>
        <rFont val="Tahoma"/>
        <family val="0"/>
        <charset val="1"/>
      </rPr>
      <t xml:space="preserve">S/N </t>
    </r>
    <r>
      <rPr>
        <b val="true"/>
        <sz val="9"/>
        <rFont val="FreeSans"/>
        <family val="2"/>
      </rPr>
      <t xml:space="preserve">แล้ว</t>
    </r>
  </si>
  <si>
    <r>
      <rPr>
        <b val="true"/>
        <sz val="9"/>
        <rFont val="Tahoma"/>
        <family val="0"/>
        <charset val="1"/>
      </rPr>
      <t xml:space="preserve">0.2 </t>
    </r>
    <r>
      <rPr>
        <b val="true"/>
        <sz val="9"/>
        <rFont val="FreeSans"/>
        <family val="2"/>
      </rPr>
      <t xml:space="preserve">รับแผง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อุปกรณ์</t>
    </r>
  </si>
  <si>
    <t xml:space="preserve">L2.3 Contracts &amp; Procurement Mgmt</t>
  </si>
  <si>
    <t xml:space="preserve">REV 07</t>
  </si>
  <si>
    <r>
      <rPr>
        <sz val="9"/>
        <color rgb="FF0000FF"/>
        <rFont val="Tahoma"/>
        <family val="0"/>
        <charset val="1"/>
      </rPr>
      <t xml:space="preserve">2.5.1 Inverter station </t>
    </r>
    <r>
      <rPr>
        <sz val="9"/>
        <color rgb="FF0000FF"/>
        <rFont val="FreeSans"/>
        <family val="2"/>
      </rPr>
      <t xml:space="preserve">แยก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รูปแบบ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สร้างใหม่ตามแบบ </t>
    </r>
    <r>
      <rPr>
        <sz val="9"/>
        <color rgb="FF0000FF"/>
        <rFont val="Tahoma"/>
        <family val="0"/>
        <charset val="1"/>
      </rPr>
      <t xml:space="preserve">E09 / </t>
    </r>
    <r>
      <rPr>
        <sz val="9"/>
        <color rgb="FF0000FF"/>
        <rFont val="FreeSans"/>
        <family val="2"/>
      </rPr>
      <t xml:space="preserve">ในอาคารเดิม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บนหลังคาถังน้ำใส</t>
    </r>
    <r>
      <rPr>
        <sz val="9"/>
        <color rgb="FF0000FF"/>
        <rFont val="Tahoma"/>
        <family val="0"/>
        <charset val="1"/>
      </rPr>
      <t xml:space="preserve">) 6 </t>
    </r>
    <r>
      <rPr>
        <sz val="9"/>
        <color rgb="FF0000FF"/>
        <rFont val="FreeSans"/>
        <family val="2"/>
      </rPr>
      <t xml:space="preserve">ขั้น เลือกในชีตสถานี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ติ๊กรายขั้นนับเข้า </t>
    </r>
    <r>
      <rPr>
        <sz val="9"/>
        <color rgb="FF0000FF"/>
        <rFont val="Tahoma"/>
        <family val="0"/>
        <charset val="1"/>
      </rPr>
      <t xml:space="preserve">% </t>
    </r>
    <r>
      <rPr>
        <sz val="9"/>
        <color rgb="FF0000FF"/>
        <rFont val="FreeSans"/>
        <family val="2"/>
      </rPr>
      <t xml:space="preserve">งาน </t>
    </r>
    <r>
      <rPr>
        <sz val="9"/>
        <color rgb="FF0000FF"/>
        <rFont val="Tahoma"/>
        <family val="0"/>
        <charset val="1"/>
      </rPr>
      <t xml:space="preserve">2.5, </t>
    </r>
    <r>
      <rPr>
        <sz val="9"/>
        <color rgb="FF0000FF"/>
        <rFont val="FreeSans"/>
        <family val="2"/>
      </rPr>
      <t xml:space="preserve">เพิ่มแบบ </t>
    </r>
    <r>
      <rPr>
        <sz val="9"/>
        <color rgb="FF0000FF"/>
        <rFont val="Tahoma"/>
        <family val="0"/>
        <charset val="1"/>
      </rPr>
      <t xml:space="preserve">E09</t>
    </r>
  </si>
  <si>
    <r>
      <rPr>
        <sz val="9"/>
        <rFont val="FreeSans"/>
        <family val="2"/>
      </rPr>
      <t xml:space="preserve">หนังสือส่งแผง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ใบเบิกจากคลัง</t>
    </r>
  </si>
  <si>
    <r>
      <rPr>
        <sz val="9"/>
        <rFont val="FreeSans"/>
        <family val="2"/>
      </rPr>
      <t xml:space="preserve">ออกหนังสือส่งแผง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ใบเบิก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ใบโอนจากคลังโครงการ</t>
    </r>
  </si>
  <si>
    <r>
      <rPr>
        <sz val="9"/>
        <rFont val="FreeSans"/>
        <family val="2"/>
      </rPr>
      <t xml:space="preserve">มีเลขที่หนังสือ </t>
    </r>
    <r>
      <rPr>
        <sz val="9"/>
        <rFont val="Tahoma"/>
        <family val="0"/>
        <charset val="1"/>
      </rPr>
      <t xml:space="preserve">(TC-PML-…)</t>
    </r>
  </si>
  <si>
    <t xml:space="preserve">REV 08</t>
  </si>
  <si>
    <r>
      <rPr>
        <sz val="9"/>
        <color rgb="FF0000FF"/>
        <rFont val="FreeSans"/>
        <family val="2"/>
      </rPr>
      <t xml:space="preserve">ตามคู่มือ </t>
    </r>
    <r>
      <rPr>
        <sz val="9"/>
        <color rgb="FF0000FF"/>
        <rFont val="Tahoma"/>
        <family val="0"/>
        <charset val="1"/>
      </rPr>
      <t xml:space="preserve">(PMI WBS Std, NASA, DOE, PMBOK 6, Verzuh): </t>
    </r>
    <r>
      <rPr>
        <sz val="9"/>
        <color rgb="FF0000FF"/>
        <rFont val="FreeSans"/>
        <family val="2"/>
      </rPr>
      <t xml:space="preserve">งานยาว </t>
    </r>
    <r>
      <rPr>
        <sz val="9"/>
        <color rgb="FF0000FF"/>
        <rFont val="Tahoma"/>
        <family val="0"/>
        <charset val="1"/>
      </rPr>
      <t xml:space="preserve">50/50 (S = </t>
    </r>
    <r>
      <rPr>
        <sz val="9"/>
        <color rgb="FF0000FF"/>
        <rFont val="FreeSans"/>
        <family val="2"/>
      </rPr>
      <t xml:space="preserve">เริ่ม</t>
    </r>
    <r>
      <rPr>
        <sz val="9"/>
        <color rgb="FF0000FF"/>
        <rFont val="Tahoma"/>
        <family val="0"/>
        <charset val="1"/>
      </rPr>
      <t xml:space="preserve">), </t>
    </r>
    <r>
      <rPr>
        <sz val="9"/>
        <color rgb="FF0000FF"/>
        <rFont val="FreeSans"/>
        <family val="2"/>
      </rPr>
      <t xml:space="preserve">เกณฑ์เสร็จงานติดตั้งระดับ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ครบ</t>
    </r>
    <r>
      <rPr>
        <sz val="9"/>
        <color rgb="FF0000FF"/>
        <rFont val="Tahoma"/>
        <family val="0"/>
        <charset val="1"/>
      </rPr>
      <t xml:space="preserve">, ICL = </t>
    </r>
    <r>
      <rPr>
        <sz val="9"/>
        <color rgb="FF0000FF"/>
        <rFont val="FreeSans"/>
        <family val="2"/>
      </rPr>
      <t xml:space="preserve">ตรวจคุณภาพ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ทำ วศ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อนุมัติ</t>
    </r>
    <r>
      <rPr>
        <sz val="9"/>
        <color rgb="FF0000FF"/>
        <rFont val="Tahoma"/>
        <family val="0"/>
        <charset val="1"/>
      </rPr>
      <t xml:space="preserve">) </t>
    </r>
    <r>
      <rPr>
        <sz val="9"/>
        <color rgb="FF0000FF"/>
        <rFont val="FreeSans"/>
        <family val="2"/>
      </rPr>
      <t xml:space="preserve">กปภ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รับมอบที่ </t>
    </r>
    <r>
      <rPr>
        <sz val="9"/>
        <color rgb="FF0000FF"/>
        <rFont val="Tahoma"/>
        <family val="0"/>
        <charset val="1"/>
      </rPr>
      <t xml:space="preserve">3.1.7, </t>
    </r>
    <r>
      <rPr>
        <sz val="9"/>
        <color rgb="FF0000FF"/>
        <rFont val="FreeSans"/>
        <family val="2"/>
      </rPr>
      <t xml:space="preserve">หมุด ◆ </t>
    </r>
    <r>
      <rPr>
        <sz val="9"/>
        <color rgb="FF0000FF"/>
        <rFont val="Tahoma"/>
        <family val="0"/>
        <charset val="1"/>
      </rPr>
      <t xml:space="preserve">1.5.3 / 1.7.3 / 1.7.6 / 2.8.1 / 3.1.7, </t>
    </r>
    <r>
      <rPr>
        <sz val="9"/>
        <color rgb="FF0000FF"/>
        <rFont val="FreeSans"/>
        <family val="2"/>
      </rPr>
      <t xml:space="preserve">น้ำหนัก ≥ </t>
    </r>
    <r>
      <rPr>
        <sz val="9"/>
        <color rgb="FF0000FF"/>
        <rFont val="Tahoma"/>
        <family val="0"/>
        <charset val="1"/>
      </rPr>
      <t xml:space="preserve">200 kVA </t>
    </r>
    <r>
      <rPr>
        <sz val="9"/>
        <color rgb="FF0000FF"/>
        <rFont val="FreeSans"/>
        <family val="2"/>
      </rPr>
      <t xml:space="preserve">ครบ </t>
    </r>
    <r>
      <rPr>
        <sz val="9"/>
        <color rgb="FF0000FF"/>
        <rFont val="Tahoma"/>
        <family val="0"/>
        <charset val="1"/>
      </rPr>
      <t xml:space="preserve">100%, </t>
    </r>
    <r>
      <rPr>
        <sz val="9"/>
        <color rgb="FF0000FF"/>
        <rFont val="FreeSans"/>
        <family val="2"/>
      </rPr>
      <t xml:space="preserve">รหัส </t>
    </r>
    <r>
      <rPr>
        <sz val="9"/>
        <color rgb="FF0000FF"/>
        <rFont val="Tahoma"/>
        <family val="0"/>
        <charset val="1"/>
      </rPr>
      <t xml:space="preserve">2.M → 2.10, 2.8.2L → 2.8.6, </t>
    </r>
    <r>
      <rPr>
        <sz val="9"/>
        <color rgb="FF0000FF"/>
        <rFont val="FreeSans"/>
        <family val="2"/>
      </rPr>
      <t xml:space="preserve">แม่แบบถังดินกลบ </t>
    </r>
    <r>
      <rPr>
        <sz val="9"/>
        <color rgb="FF0000FF"/>
        <rFont val="Tahoma"/>
        <family val="0"/>
        <charset val="1"/>
      </rPr>
      <t xml:space="preserve">/ Carport </t>
    </r>
    <r>
      <rPr>
        <sz val="9"/>
        <color rgb="FF0000FF"/>
        <rFont val="FreeSans"/>
        <family val="2"/>
      </rPr>
      <t xml:space="preserve">ขั้น </t>
    </r>
    <r>
      <rPr>
        <sz val="9"/>
        <color rgb="FF0000FF"/>
        <rFont val="Tahoma"/>
        <family val="0"/>
        <charset val="1"/>
      </rPr>
      <t xml:space="preserve">2 = </t>
    </r>
    <r>
      <rPr>
        <sz val="9"/>
        <color rgb="FF0000FF"/>
        <rFont val="FreeSans"/>
        <family val="2"/>
      </rPr>
      <t xml:space="preserve">ความปลอดภัย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ตัดงานซ้ำ </t>
    </r>
    <r>
      <rPr>
        <sz val="9"/>
        <color rgb="FF0000FF"/>
        <rFont val="Tahoma"/>
        <family val="0"/>
        <charset val="1"/>
      </rPr>
      <t xml:space="preserve">As-built / </t>
    </r>
    <r>
      <rPr>
        <sz val="9"/>
        <color rgb="FF0000FF"/>
        <rFont val="FreeSans"/>
        <family val="2"/>
      </rPr>
      <t xml:space="preserve">รางสาย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</si>
  <si>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FAT Inverter / </t>
    </r>
    <r>
      <rPr>
        <sz val="9"/>
        <rFont val="FreeSans"/>
        <family val="2"/>
      </rPr>
      <t xml:space="preserve">ตู้ไฟ </t>
    </r>
    <r>
      <rPr>
        <sz val="9"/>
        <rFont val="Tahoma"/>
        <family val="0"/>
        <charset val="1"/>
      </rPr>
      <t xml:space="preserve">(+ CT/VT 22 kV)</t>
    </r>
  </si>
  <si>
    <r>
      <rPr>
        <sz val="9"/>
        <rFont val="Tahoma"/>
        <family val="0"/>
        <charset val="1"/>
      </rPr>
      <t xml:space="preserve">FAT / Pre-shipment: Inverter, </t>
    </r>
    <r>
      <rPr>
        <sz val="9"/>
        <rFont val="FreeSans"/>
        <family val="2"/>
      </rPr>
      <t xml:space="preserve">ตู้ไฟ </t>
    </r>
    <r>
      <rPr>
        <sz val="9"/>
        <rFont val="Tahoma"/>
        <family val="0"/>
        <charset val="1"/>
      </rPr>
      <t xml:space="preserve">(+ CT/VT 22 kV </t>
    </r>
    <r>
      <rPr>
        <sz val="9"/>
        <rFont val="FreeSans"/>
        <family val="2"/>
      </rPr>
      <t xml:space="preserve">ถ้า </t>
    </r>
    <r>
      <rPr>
        <sz val="9"/>
        <rFont val="Tahoma"/>
        <family val="0"/>
        <charset val="1"/>
      </rPr>
      <t xml:space="preserve">HV)</t>
    </r>
  </si>
  <si>
    <r>
      <rPr>
        <sz val="9"/>
        <rFont val="FreeSans"/>
        <family val="2"/>
      </rPr>
      <t xml:space="preserve">ใบรับรอง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FAT </t>
    </r>
    <r>
      <rPr>
        <sz val="9"/>
        <rFont val="FreeSans"/>
        <family val="2"/>
      </rPr>
      <t xml:space="preserve">แนบในเอกสารสถานี</t>
    </r>
  </si>
  <si>
    <t xml:space="preserve">REV 09</t>
  </si>
  <si>
    <r>
      <rPr>
        <sz val="9"/>
        <color rgb="FF0000FF"/>
        <rFont val="FreeSans"/>
        <family val="2"/>
      </rPr>
      <t xml:space="preserve">ตรวจ </t>
    </r>
    <r>
      <rPr>
        <sz val="9"/>
        <color rgb="FF0000FF"/>
        <rFont val="Tahoma"/>
        <family val="0"/>
        <charset val="1"/>
      </rPr>
      <t xml:space="preserve">Dictionary </t>
    </r>
    <r>
      <rPr>
        <sz val="9"/>
        <color rgb="FF0000FF"/>
        <rFont val="FreeSans"/>
        <family val="2"/>
      </rPr>
      <t xml:space="preserve">ซ้ำ</t>
    </r>
    <r>
      <rPr>
        <sz val="9"/>
        <color rgb="FF0000FF"/>
        <rFont val="Tahoma"/>
        <family val="0"/>
        <charset val="1"/>
      </rPr>
      <t xml:space="preserve">: </t>
    </r>
    <r>
      <rPr>
        <sz val="9"/>
        <color rgb="FF0000FF"/>
        <rFont val="FreeSans"/>
        <family val="2"/>
      </rPr>
      <t xml:space="preserve">เกณฑ์เสร็จระดับ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ครบทุก </t>
    </r>
    <r>
      <rPr>
        <sz val="9"/>
        <color rgb="FF0000FF"/>
        <rFont val="Tahoma"/>
        <family val="0"/>
        <charset val="1"/>
      </rPr>
      <t xml:space="preserve">Part, </t>
    </r>
    <r>
      <rPr>
        <sz val="9"/>
        <color rgb="FF0000FF"/>
        <rFont val="FreeSans"/>
        <family val="2"/>
      </rPr>
      <t xml:space="preserve">ผู้อนุมัติ </t>
    </r>
    <r>
      <rPr>
        <sz val="9"/>
        <color rgb="FF0000FF"/>
        <rFont val="Tahoma"/>
        <family val="0"/>
        <charset val="1"/>
      </rPr>
      <t xml:space="preserve">(A) </t>
    </r>
    <r>
      <rPr>
        <sz val="9"/>
        <color rgb="FF0000FF"/>
        <rFont val="FreeSans"/>
        <family val="2"/>
      </rPr>
      <t xml:space="preserve">เป็นคนในโครงการ หน่วยงานภายนอกย้ายไปช่อง ‘อนุมัติ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</rPr>
      <t xml:space="preserve">รับมอบ ภายนอก’</t>
    </r>
    <r>
      <rPr>
        <sz val="9"/>
        <color rgb="FF0000FF"/>
        <rFont val="Tahoma"/>
        <family val="0"/>
        <charset val="1"/>
      </rPr>
      <t xml:space="preserve">, 1.5.4 </t>
    </r>
    <r>
      <rPr>
        <sz val="9"/>
        <color rgb="FF0000FF"/>
        <rFont val="FreeSans"/>
        <family val="2"/>
      </rPr>
      <t xml:space="preserve">เป็นผลงาน ‘ใบอนุญาต พค</t>
    </r>
    <r>
      <rPr>
        <sz val="9"/>
        <color rgb="FF0000FF"/>
        <rFont val="Tahoma"/>
        <family val="0"/>
        <charset val="1"/>
      </rPr>
      <t xml:space="preserve">.2’, </t>
    </r>
    <r>
      <rPr>
        <sz val="9"/>
        <color rgb="FF0000FF"/>
        <rFont val="FreeSans"/>
        <family val="2"/>
      </rPr>
      <t xml:space="preserve">แก้อ้างอิง </t>
    </r>
    <r>
      <rPr>
        <sz val="9"/>
        <color rgb="FF0000FF"/>
        <rFont val="Tahoma"/>
        <family val="0"/>
        <charset val="1"/>
      </rPr>
      <t xml:space="preserve">2.M </t>
    </r>
    <r>
      <rPr>
        <sz val="9"/>
        <color rgb="FF0000FF"/>
        <rFont val="FreeSans"/>
        <family val="2"/>
      </rPr>
      <t xml:space="preserve">ที่ค้าง</t>
    </r>
  </si>
  <si>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Inverter </t>
    </r>
    <r>
      <rPr>
        <sz val="9"/>
        <rFont val="FreeSans"/>
        <family val="2"/>
      </rPr>
      <t xml:space="preserve">ถึงหน้างาน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ตรวจรับ </t>
    </r>
    <r>
      <rPr>
        <sz val="9"/>
        <rFont val="Tahoma"/>
        <family val="0"/>
        <charset val="1"/>
      </rPr>
      <t xml:space="preserve">+ S/N)</t>
    </r>
  </si>
  <si>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Inverter </t>
    </r>
    <r>
      <rPr>
        <sz val="9"/>
        <rFont val="FreeSans"/>
        <family val="2"/>
      </rPr>
      <t xml:space="preserve">ถึงหน้างาน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ตรวจรับ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</si>
  <si>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FreeSans"/>
        <family val="2"/>
      </rPr>
      <t xml:space="preserve">จำนวนตรง </t>
    </r>
    <r>
      <rPr>
        <sz val="9"/>
        <rFont val="Tahoma"/>
        <family val="0"/>
        <charset val="1"/>
      </rPr>
      <t xml:space="preserve">BOM, </t>
    </r>
    <r>
      <rPr>
        <sz val="9"/>
        <rFont val="FreeSans"/>
        <family val="2"/>
      </rPr>
      <t xml:space="preserve">ไม่มีชำรุด</t>
    </r>
    <r>
      <rPr>
        <sz val="9"/>
        <rFont val="Tahoma"/>
        <family val="0"/>
        <charset val="1"/>
      </rPr>
      <t xml:space="preserve">, S/N </t>
    </r>
    <r>
      <rPr>
        <sz val="9"/>
        <rFont val="FreeSans"/>
        <family val="2"/>
      </rPr>
      <t xml:space="preserve">เข้าแอป</t>
    </r>
  </si>
  <si>
    <r>
      <rPr>
        <sz val="9"/>
        <rFont val="FreeSans"/>
        <family val="2"/>
      </rPr>
      <t xml:space="preserve">แผงที่หน้างาน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 </t>
    </r>
    <r>
      <rPr>
        <sz val="9"/>
        <rFont val="Tahoma"/>
        <family val="0"/>
        <charset val="1"/>
      </rPr>
      <t xml:space="preserve">S/N</t>
    </r>
  </si>
  <si>
    <r>
      <rPr>
        <sz val="9"/>
        <rFont val="FreeSans"/>
        <family val="2"/>
      </rPr>
      <t xml:space="preserve">สแกนอุปกรณ์ </t>
    </r>
    <r>
      <rPr>
        <sz val="9"/>
        <rFont val="Tahoma"/>
        <family val="0"/>
        <charset val="1"/>
      </rPr>
      <t xml:space="preserve">(Device scan)</t>
    </r>
  </si>
  <si>
    <t xml:space="preserve">REV 10</t>
  </si>
  <si>
    <r>
      <rPr>
        <sz val="9"/>
        <color rgb="FF0000FF"/>
        <rFont val="FreeSans"/>
        <family val="2"/>
      </rPr>
      <t xml:space="preserve">ชื่อกิจกรรมระดับ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</rPr>
      <t xml:space="preserve">เป็นชื่อผลงานแบบที่วิศวกรหน้างานใช้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</rPr>
      <t xml:space="preserve">สั้น ≤ </t>
    </r>
    <r>
      <rPr>
        <sz val="9"/>
        <color rgb="FF0000FF"/>
        <rFont val="Tahoma"/>
        <family val="0"/>
        <charset val="1"/>
      </rPr>
      <t xml:space="preserve">50 </t>
    </r>
    <r>
      <rPr>
        <sz val="9"/>
        <color rgb="FF0000FF"/>
        <rFont val="FreeSans"/>
        <family val="2"/>
      </rPr>
      <t xml:space="preserve">ตัวอักษร</t>
    </r>
    <r>
      <rPr>
        <sz val="9"/>
        <color rgb="FF0000FF"/>
        <rFont val="Tahoma"/>
        <family val="0"/>
        <charset val="1"/>
      </rPr>
      <t xml:space="preserve">), </t>
    </r>
    <r>
      <rPr>
        <sz val="9"/>
        <color rgb="FF0000FF"/>
        <rFont val="FreeSans"/>
        <family val="2"/>
      </rPr>
      <t xml:space="preserve">คำอธิบายเดิมย้ายไปช่องขอบเขต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</rPr>
      <t xml:space="preserve">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</rPr>
      <t xml:space="preserve">คงตามแม่แบบผู้ว่าจ้าง</t>
    </r>
  </si>
  <si>
    <r>
      <rPr>
        <sz val="9"/>
        <rFont val="FreeSans"/>
        <family val="2"/>
      </rPr>
      <t xml:space="preserve">โครงยึด </t>
    </r>
    <r>
      <rPr>
        <sz val="9"/>
        <rFont val="Tahoma"/>
        <family val="0"/>
        <charset val="1"/>
      </rPr>
      <t xml:space="preserve">+ Walkway </t>
    </r>
    <r>
      <rPr>
        <sz val="9"/>
        <rFont val="FreeSans"/>
        <family val="2"/>
      </rPr>
      <t xml:space="preserve">ถึงหน้างาน</t>
    </r>
  </si>
  <si>
    <r>
      <rPr>
        <sz val="9"/>
        <rFont val="FreeSans"/>
        <family val="2"/>
      </rPr>
      <t xml:space="preserve">โครงยึด </t>
    </r>
    <r>
      <rPr>
        <sz val="9"/>
        <rFont val="Tahoma"/>
        <family val="0"/>
        <charset val="1"/>
      </rPr>
      <t xml:space="preserve">(Rail, Hanger bolt / </t>
    </r>
    <r>
      <rPr>
        <sz val="9"/>
        <rFont val="FreeSans"/>
        <family val="2"/>
      </rPr>
      <t xml:space="preserve">โครงยึดพุก</t>
    </r>
    <r>
      <rPr>
        <sz val="9"/>
        <rFont val="Tahoma"/>
        <family val="0"/>
        <charset val="1"/>
      </rPr>
      <t xml:space="preserve">) + Walkway </t>
    </r>
    <r>
      <rPr>
        <sz val="9"/>
        <rFont val="FreeSans"/>
        <family val="2"/>
      </rPr>
      <t xml:space="preserve">ถึงหน้างาน</t>
    </r>
  </si>
  <si>
    <r>
      <rPr>
        <sz val="9"/>
        <rFont val="FreeSans"/>
        <family val="2"/>
      </rPr>
      <t xml:space="preserve">ตรวจรับตาม </t>
    </r>
    <r>
      <rPr>
        <sz val="9"/>
        <rFont val="Tahoma"/>
        <family val="0"/>
        <charset val="1"/>
      </rPr>
      <t xml:space="preserve">shop drawing</t>
    </r>
  </si>
  <si>
    <r>
      <rPr>
        <sz val="9"/>
        <rFont val="FreeSans"/>
        <family val="2"/>
      </rPr>
      <t xml:space="preserve">สายไฟ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รางสาย ถึงหน้างาน</t>
    </r>
  </si>
  <si>
    <r>
      <rPr>
        <sz val="9"/>
        <rFont val="FreeSans"/>
        <family val="2"/>
      </rPr>
      <t xml:space="preserve">สายไฟ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รางสาย </t>
    </r>
    <r>
      <rPr>
        <sz val="9"/>
        <rFont val="Tahoma"/>
        <family val="0"/>
        <charset val="1"/>
      </rPr>
      <t xml:space="preserve">/ Cable ladder </t>
    </r>
    <r>
      <rPr>
        <sz val="9"/>
        <rFont val="FreeSans"/>
        <family val="2"/>
      </rPr>
      <t xml:space="preserve">ถึงหน้างาน</t>
    </r>
  </si>
  <si>
    <r>
      <rPr>
        <sz val="9"/>
        <rFont val="FreeSans"/>
        <family val="2"/>
      </rPr>
      <t xml:space="preserve">ตรวจรับขนาด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ยี่ห้อตาม </t>
    </r>
    <r>
      <rPr>
        <sz val="9"/>
        <rFont val="Tahoma"/>
        <family val="0"/>
        <charset val="1"/>
      </rPr>
      <t xml:space="preserve">submittal</t>
    </r>
  </si>
  <si>
    <r>
      <rPr>
        <sz val="9"/>
        <rFont val="FreeSans"/>
        <family val="2"/>
      </rPr>
      <t xml:space="preserve">ตู้ไฟ </t>
    </r>
    <r>
      <rPr>
        <sz val="9"/>
        <rFont val="Tahoma"/>
        <family val="0"/>
        <charset val="1"/>
      </rPr>
      <t xml:space="preserve">FTS / DC / AC / METER / PQM / SEM </t>
    </r>
    <r>
      <rPr>
        <sz val="9"/>
        <rFont val="FreeSans"/>
        <family val="2"/>
      </rPr>
      <t xml:space="preserve">ถึงหน้างาน</t>
    </r>
  </si>
  <si>
    <r>
      <rPr>
        <sz val="9"/>
        <rFont val="FreeSans"/>
        <family val="2"/>
      </rPr>
      <t xml:space="preserve">ตรวจรับภายในตู้ตามแบบ </t>
    </r>
    <r>
      <rPr>
        <sz val="9"/>
        <rFont val="Tahoma"/>
        <family val="0"/>
        <charset val="1"/>
      </rPr>
      <t xml:space="preserve">SLD</t>
    </r>
  </si>
  <si>
    <r>
      <rPr>
        <sz val="9"/>
        <rFont val="FreeSans"/>
        <family val="2"/>
      </rPr>
      <t xml:space="preserve">อุปกรณ์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</rPr>
      <t xml:space="preserve">ถึงหน้างาน </t>
    </r>
    <r>
      <rPr>
        <sz val="9"/>
        <rFont val="Tahoma"/>
        <family val="0"/>
        <charset val="1"/>
      </rPr>
      <t xml:space="preserve">(VT / CT </t>
    </r>
    <r>
      <rPr>
        <sz val="9"/>
        <rFont val="FreeSans"/>
        <family val="2"/>
      </rPr>
      <t xml:space="preserve">ผ่านทดสอบ 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</si>
  <si>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อุปกรณ์ </t>
    </r>
    <r>
      <rPr>
        <sz val="9"/>
        <rFont val="Tahoma"/>
        <family val="0"/>
        <charset val="1"/>
      </rPr>
      <t xml:space="preserve">22 kV (VT, CT, DOF, LA, Crossarm) </t>
    </r>
    <r>
      <rPr>
        <sz val="9"/>
        <rFont val="FreeSans"/>
        <family val="2"/>
      </rPr>
      <t xml:space="preserve">ถึงหน้างาน </t>
    </r>
    <r>
      <rPr>
        <sz val="9"/>
        <rFont val="Tahoma"/>
        <family val="0"/>
        <charset val="1"/>
      </rPr>
      <t xml:space="preserve">[CT/VT </t>
    </r>
    <r>
      <rPr>
        <sz val="9"/>
        <rFont val="FreeSans"/>
        <family val="2"/>
      </rPr>
      <t xml:space="preserve">ผ่านการทดสอบตามที่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กำหนด</t>
    </r>
    <r>
      <rPr>
        <sz val="9"/>
        <rFont val="Tahoma"/>
        <family val="0"/>
        <charset val="1"/>
      </rPr>
      <t xml:space="preserve">]</t>
    </r>
  </si>
  <si>
    <r>
      <rPr>
        <sz val="9"/>
        <rFont val="FreeSans"/>
        <family val="2"/>
      </rPr>
      <t xml:space="preserve">มีผลทดสอบ </t>
    </r>
    <r>
      <rPr>
        <sz val="9"/>
        <rFont val="Tahoma"/>
        <family val="0"/>
        <charset val="1"/>
      </rPr>
      <t xml:space="preserve">CT/VT</t>
    </r>
  </si>
  <si>
    <r>
      <rPr>
        <sz val="9"/>
        <rFont val="FreeSans"/>
        <family val="2"/>
      </rPr>
      <t xml:space="preserve">มิเตอร์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อุปกรณ์สื่อสาร ถึงหน้างาน</t>
    </r>
  </si>
  <si>
    <r>
      <rPr>
        <sz val="9"/>
        <rFont val="FreeSans"/>
        <family val="2"/>
      </rPr>
      <t xml:space="preserve">มิเตอร์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สื่อสาร </t>
    </r>
    <r>
      <rPr>
        <sz val="9"/>
        <rFont val="Tahoma"/>
        <family val="0"/>
        <charset val="1"/>
      </rPr>
      <t xml:space="preserve">(Revenue meter, PQM, VPN, Fiber) </t>
    </r>
    <r>
      <rPr>
        <sz val="9"/>
        <rFont val="FreeSans"/>
        <family val="2"/>
      </rPr>
      <t xml:space="preserve">ถึงหน้างาน</t>
    </r>
  </si>
  <si>
    <r>
      <rPr>
        <b val="true"/>
        <sz val="9"/>
        <rFont val="FreeSans"/>
        <family val="2"/>
      </rPr>
      <t xml:space="preserve">นัดดับไฟกับ กปภ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</rPr>
      <t xml:space="preserve">สาขา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และ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ถ้างานด้าน </t>
    </r>
    <r>
      <rPr>
        <b val="true"/>
        <sz val="9"/>
        <rFont val="Tahoma"/>
        <family val="0"/>
        <charset val="1"/>
      </rPr>
      <t xml:space="preserve">HV) </t>
    </r>
    <r>
      <rPr>
        <b val="true"/>
        <sz val="9"/>
        <rFont val="FreeSans"/>
        <family val="2"/>
      </rPr>
      <t xml:space="preserve">เพื่อเชื่อมระบบ</t>
    </r>
  </si>
  <si>
    <r>
      <rPr>
        <b val="true"/>
        <sz val="9"/>
        <rFont val="FreeSans"/>
        <family val="2"/>
      </rPr>
      <t xml:space="preserve">การดับไฟจริงและงานเชื่อมจุดต่อ </t>
    </r>
    <r>
      <rPr>
        <b val="true"/>
        <sz val="9"/>
        <rFont val="Tahoma"/>
        <family val="0"/>
        <charset val="1"/>
      </rPr>
      <t xml:space="preserve">(2.10), </t>
    </r>
    <r>
      <rPr>
        <b val="true"/>
        <sz val="9"/>
        <rFont val="FreeSans"/>
        <family val="2"/>
      </rPr>
      <t xml:space="preserve">การประสาน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ด้าน </t>
    </r>
    <r>
      <rPr>
        <b val="true"/>
        <sz val="9"/>
        <rFont val="Tahoma"/>
        <family val="0"/>
        <charset val="1"/>
      </rPr>
      <t xml:space="preserve">22 kV (2.8.1)</t>
    </r>
  </si>
  <si>
    <r>
      <rPr>
        <b val="true"/>
        <sz val="9"/>
        <rFont val="FreeSans"/>
        <family val="2"/>
      </rPr>
      <t xml:space="preserve">มีเลขที่หนังสือ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วันดับไฟที่ยืนยันแล้ว</t>
    </r>
  </si>
  <si>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</si>
  <si>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Tahoma"/>
        <family val="0"/>
        <charset val="1"/>
      </rPr>
      <t xml:space="preserve">0.3 </t>
    </r>
    <r>
      <rPr>
        <b val="true"/>
        <sz val="9"/>
        <rFont val="FreeSans"/>
        <family val="2"/>
      </rPr>
      <t xml:space="preserve">หนังสือขอดับไฟ</t>
    </r>
  </si>
  <si>
    <t xml:space="preserve">L2.1 Technical Management</t>
  </si>
  <si>
    <r>
      <rPr>
        <sz val="9"/>
        <rFont val="FreeSans"/>
        <family val="2"/>
      </rPr>
      <t xml:space="preserve">ร่างหนังสือแจ้งดับไฟ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เลือกช่วงไม่กระทบการสูบจ่ายน้ำ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</si>
  <si>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ร่างหนังสือ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ช่วงดับไฟที่ไม่กระทบการสูบจ่ายน้ำ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สาขายืนยัน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</si>
  <si>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เอกสารสถานี › ร่างหนังสือแจ้งดับไฟ </t>
    </r>
    <r>
      <rPr>
        <sz val="9"/>
        <rFont val="Tahoma"/>
        <family val="0"/>
        <charset val="1"/>
      </rPr>
      <t xml:space="preserve">(OutageLetterSheet)</t>
    </r>
  </si>
  <si>
    <r>
      <rPr>
        <i val="true"/>
        <sz val="8"/>
        <color rgb="FF595959"/>
        <rFont val="FreeSans"/>
        <family val="2"/>
      </rPr>
      <t xml:space="preserve">ฉบับที่ยังไม่มีผู้อนุมัติ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</rPr>
      <t xml:space="preserve">ร่าง ใช้อ้างอิงได้แต่ยังไม่ใช่ </t>
    </r>
    <r>
      <rPr>
        <i val="true"/>
        <sz val="8"/>
        <color rgb="FF595959"/>
        <rFont val="Tahoma"/>
        <family val="0"/>
        <charset val="1"/>
      </rPr>
      <t xml:space="preserve">Baseline</t>
    </r>
  </si>
  <si>
    <r>
      <rPr>
        <sz val="9"/>
        <rFont val="FreeSans"/>
        <family val="2"/>
      </rPr>
      <t xml:space="preserve">หนังสือแจ้งดับไฟ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ส่งล่วงหน้า ≥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</si>
  <si>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ส่งหนังสือ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บันทึกเลขที่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ล่วงหน้า ≥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</si>
  <si>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เลขที่ </t>
    </r>
    <r>
      <rPr>
        <sz val="9"/>
        <rFont val="Tahoma"/>
        <family val="0"/>
        <charset val="1"/>
      </rPr>
      <t xml:space="preserve">TC-PML-… </t>
    </r>
    <r>
      <rPr>
        <sz val="9"/>
        <rFont val="FreeSans"/>
        <family val="2"/>
      </rPr>
      <t xml:space="preserve">และวันส่ง</t>
    </r>
  </si>
  <si>
    <r>
      <rPr>
        <sz val="9"/>
        <rFont val="FreeSans"/>
        <family val="2"/>
      </rPr>
      <t xml:space="preserve">วันดับไฟที่ยืนยันแล้ว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สาขา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</si>
  <si>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ยืนยันวันดับไฟกับ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สาขา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ขอ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ดับไฟ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เข้าทำงานเสา </t>
    </r>
    <r>
      <rPr>
        <sz val="9"/>
        <rFont val="Tahoma"/>
        <family val="0"/>
        <charset val="1"/>
      </rPr>
      <t xml:space="preserve">22 kV (</t>
    </r>
    <r>
      <rPr>
        <sz val="9"/>
        <rFont val="FreeSans"/>
        <family val="2"/>
      </rPr>
      <t xml:space="preserve">ล่วงหน้า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</si>
  <si>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วันดับไฟยืนยันเป็นลายลักษณ์อักษร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สาขา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ถ้า </t>
    </r>
    <r>
      <rPr>
        <sz val="9"/>
        <rFont val="Tahoma"/>
        <family val="0"/>
        <charset val="1"/>
      </rPr>
      <t xml:space="preserve">HV)</t>
    </r>
  </si>
  <si>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</si>
  <si>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b val="true"/>
        <sz val="11"/>
        <color rgb="FF1F4E78"/>
        <rFont val="FreeSans"/>
        <family val="2"/>
      </rPr>
      <t xml:space="preserve">ตรวจคุณภาพ </t>
    </r>
    <r>
      <rPr>
        <b val="true"/>
        <sz val="11"/>
        <color rgb="FF1F4E78"/>
        <rFont val="Tahoma"/>
        <family val="0"/>
        <charset val="1"/>
      </rPr>
      <t xml:space="preserve">WBS (</t>
    </r>
    <r>
      <rPr>
        <b val="true"/>
        <sz val="11"/>
        <color rgb="FF1F4E78"/>
        <rFont val="FreeSans"/>
        <family val="2"/>
      </rPr>
      <t xml:space="preserve">คำนวณเอง</t>
    </r>
    <r>
      <rPr>
        <b val="true"/>
        <sz val="11"/>
        <color rgb="FF1F4E78"/>
        <rFont val="Tahoma"/>
        <family val="0"/>
        <charset val="1"/>
      </rPr>
      <t xml:space="preserve">, ✓ = </t>
    </r>
    <r>
      <rPr>
        <b val="true"/>
        <sz val="11"/>
        <color rgb="FF1F4E78"/>
        <rFont val="FreeSans"/>
        <family val="2"/>
      </rPr>
      <t xml:space="preserve">ผ่าน</t>
    </r>
    <r>
      <rPr>
        <b val="true"/>
        <sz val="11"/>
        <color rgb="FF1F4E78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</si>
  <si>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การส่งมอบพื้นที่และ </t>
    </r>
    <r>
      <rPr>
        <b val="true"/>
        <sz val="9"/>
        <rFont val="Tahoma"/>
        <family val="0"/>
        <charset val="1"/>
      </rPr>
      <t xml:space="preserve">Mobilization (1.3), </t>
    </r>
    <r>
      <rPr>
        <b val="true"/>
        <sz val="9"/>
        <rFont val="FreeSans"/>
        <family val="2"/>
      </rPr>
      <t xml:space="preserve">แบบวิศวกรรม </t>
    </r>
    <r>
      <rPr>
        <b val="true"/>
        <sz val="9"/>
        <rFont val="Tahoma"/>
        <family val="0"/>
        <charset val="1"/>
      </rPr>
      <t xml:space="preserve">(1.2)</t>
    </r>
  </si>
  <si>
    <r>
      <rPr>
        <b val="true"/>
        <sz val="9"/>
        <rFont val="FreeSans"/>
        <family val="2"/>
      </rPr>
      <t xml:space="preserve">ประชุมเปิดงานมีบันทึก </t>
    </r>
    <r>
      <rPr>
        <b val="true"/>
        <sz val="9"/>
        <rFont val="Tahoma"/>
        <family val="0"/>
        <charset val="1"/>
      </rPr>
      <t xml:space="preserve">(MOM)</t>
    </r>
  </si>
  <si>
    <t xml:space="preserve">kickoff</t>
  </si>
  <si>
    <t xml:space="preserve">ข้อตรวจ</t>
  </si>
  <si>
    <t xml:space="preserve">ไม่ผ่าน</t>
  </si>
  <si>
    <r>
      <rPr>
        <sz val="9"/>
        <rFont val="FreeSans"/>
        <family val="2"/>
      </rPr>
      <t xml:space="preserve">บันทึกประชุม </t>
    </r>
    <r>
      <rPr>
        <sz val="9"/>
        <rFont val="Tahoma"/>
        <family val="0"/>
        <charset val="1"/>
      </rPr>
      <t xml:space="preserve">Kick off</t>
    </r>
  </si>
  <si>
    <r>
      <rPr>
        <sz val="9"/>
        <rFont val="FreeSans"/>
        <family val="2"/>
      </rPr>
      <t xml:space="preserve">ประชุม </t>
    </r>
    <r>
      <rPr>
        <sz val="9"/>
        <rFont val="Tahoma"/>
        <family val="0"/>
        <charset val="1"/>
      </rPr>
      <t xml:space="preserve">Kick off </t>
    </r>
    <r>
      <rPr>
        <sz val="9"/>
        <rFont val="FreeSans"/>
        <family val="2"/>
      </rPr>
      <t xml:space="preserve">กับ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สาขา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ผู้รับเหมา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บันทึกการประชุม</t>
    </r>
  </si>
  <si>
    <r>
      <rPr>
        <sz val="9"/>
        <rFont val="FreeSans"/>
        <family val="2"/>
      </rPr>
      <t xml:space="preserve">บันทึกการประชุม </t>
    </r>
    <r>
      <rPr>
        <sz val="9"/>
        <rFont val="Tahoma"/>
        <family val="0"/>
        <charset val="1"/>
      </rPr>
      <t xml:space="preserve">(MOM) </t>
    </r>
    <r>
      <rPr>
        <sz val="9"/>
        <rFont val="FreeSans"/>
        <family val="2"/>
      </rPr>
      <t xml:space="preserve">ลงนามผู้เข้าร่วม</t>
    </r>
  </si>
  <si>
    <r>
      <rPr>
        <sz val="9"/>
        <rFont val="FreeSans"/>
        <family val="2"/>
      </rPr>
      <t xml:space="preserve">รหัส </t>
    </r>
    <r>
      <rPr>
        <sz val="9"/>
        <rFont val="Tahoma"/>
        <family val="0"/>
        <charset val="1"/>
      </rPr>
      <t xml:space="preserve">WBS </t>
    </r>
    <r>
      <rPr>
        <sz val="9"/>
        <rFont val="FreeSans"/>
        <family val="2"/>
      </rPr>
      <t xml:space="preserve">ไม่ซ้ำ</t>
    </r>
  </si>
  <si>
    <r>
      <rPr>
        <sz val="8"/>
        <color rgb="FF595959"/>
        <rFont val="Tahoma"/>
        <family val="0"/>
        <charset val="1"/>
      </rPr>
      <t xml:space="preserve">PMI 4.3, </t>
    </r>
    <r>
      <rPr>
        <sz val="8"/>
        <color rgb="FF595959"/>
        <rFont val="FreeSans"/>
        <family val="2"/>
      </rPr>
      <t xml:space="preserve">รหัสบอกลำดับชั้น ไม่ซ้ำ</t>
    </r>
  </si>
  <si>
    <r>
      <rPr>
        <sz val="9"/>
        <rFont val="FreeSans"/>
        <family val="2"/>
      </rPr>
      <t xml:space="preserve">งาน </t>
    </r>
    <r>
      <rPr>
        <sz val="9"/>
        <rFont val="Tahoma"/>
        <family val="0"/>
        <charset val="1"/>
      </rPr>
      <t xml:space="preserve">PWA </t>
    </r>
    <r>
      <rPr>
        <sz val="9"/>
        <rFont val="FreeSans"/>
        <family val="2"/>
      </rPr>
      <t xml:space="preserve">ในแอป </t>
    </r>
    <r>
      <rPr>
        <sz val="9"/>
        <rFont val="Tahoma"/>
        <family val="0"/>
        <charset val="1"/>
      </rPr>
      <t xml:space="preserve">TCRoof</t>
    </r>
  </si>
  <si>
    <r>
      <rPr>
        <sz val="9"/>
        <rFont val="FreeSans"/>
        <family val="2"/>
      </rPr>
      <t xml:space="preserve">ตั้งงานในแอป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งาน </t>
    </r>
    <r>
      <rPr>
        <sz val="9"/>
        <rFont val="Tahoma"/>
        <family val="0"/>
        <charset val="1"/>
      </rPr>
      <t xml:space="preserve">PWA, </t>
    </r>
    <r>
      <rPr>
        <sz val="9"/>
        <rFont val="FreeSans"/>
        <family val="2"/>
      </rPr>
      <t xml:space="preserve">เลข </t>
    </r>
    <r>
      <rPr>
        <sz val="9"/>
        <rFont val="Tahoma"/>
        <family val="0"/>
        <charset val="1"/>
      </rPr>
      <t xml:space="preserve">MP, </t>
    </r>
    <r>
      <rPr>
        <sz val="9"/>
        <rFont val="FreeSans"/>
        <family val="2"/>
      </rPr>
      <t xml:space="preserve">ขนาด </t>
    </r>
    <r>
      <rPr>
        <sz val="9"/>
        <rFont val="Tahoma"/>
        <family val="0"/>
        <charset val="1"/>
      </rPr>
      <t xml:space="preserve">Inverter (≥ 200 kVA), </t>
    </r>
    <r>
      <rPr>
        <sz val="9"/>
        <rFont val="FreeSans"/>
        <family val="2"/>
      </rPr>
      <t xml:space="preserve">ผู้รับเหมา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ทีม</t>
    </r>
  </si>
  <si>
    <r>
      <rPr>
        <sz val="9"/>
        <rFont val="FreeSans"/>
        <family val="2"/>
      </rPr>
      <t xml:space="preserve">งานในแอปครบ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งาน </t>
    </r>
    <r>
      <rPr>
        <sz val="9"/>
        <rFont val="Tahoma"/>
        <family val="0"/>
        <charset val="1"/>
      </rPr>
      <t xml:space="preserve">PWA, </t>
    </r>
    <r>
      <rPr>
        <sz val="9"/>
        <rFont val="FreeSans"/>
        <family val="2"/>
      </rPr>
      <t xml:space="preserve">เลข </t>
    </r>
    <r>
      <rPr>
        <sz val="9"/>
        <rFont val="Tahoma"/>
        <family val="0"/>
        <charset val="1"/>
      </rPr>
      <t xml:space="preserve">MP, </t>
    </r>
    <r>
      <rPr>
        <sz val="9"/>
        <rFont val="FreeSans"/>
        <family val="2"/>
      </rPr>
      <t xml:space="preserve">ขนาด </t>
    </r>
    <r>
      <rPr>
        <sz val="9"/>
        <rFont val="Tahoma"/>
        <family val="0"/>
        <charset val="1"/>
      </rPr>
      <t xml:space="preserve">Inverter, </t>
    </r>
    <r>
      <rPr>
        <sz val="9"/>
        <rFont val="FreeSans"/>
        <family val="2"/>
      </rPr>
      <t xml:space="preserve">ผู้รับเหมา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ทีม</t>
    </r>
  </si>
  <si>
    <r>
      <rPr>
        <sz val="9"/>
        <rFont val="FreeSans"/>
        <family val="2"/>
      </rPr>
      <t xml:space="preserve">สร้างงาน › โมดูล กปภ</t>
    </r>
    <r>
      <rPr>
        <sz val="9"/>
        <rFont val="Tahoma"/>
        <family val="0"/>
        <charset val="1"/>
      </rPr>
      <t xml:space="preserve">., JobAccessCard</t>
    </r>
  </si>
  <si>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รวม </t>
    </r>
    <r>
      <rPr>
        <sz val="9"/>
        <rFont val="Tahoma"/>
        <family val="0"/>
        <charset val="1"/>
      </rPr>
      <t xml:space="preserve">100 (MP)</t>
    </r>
  </si>
  <si>
    <t xml:space="preserve">100% rule</t>
  </si>
  <si>
    <r>
      <rPr>
        <sz val="9"/>
        <rFont val="FreeSans"/>
        <family val="2"/>
      </rPr>
      <t xml:space="preserve">แบบสำรวจหน้างาน </t>
    </r>
    <r>
      <rPr>
        <sz val="9"/>
        <rFont val="Tahoma"/>
        <family val="0"/>
        <charset val="1"/>
      </rPr>
      <t xml:space="preserve">A1–E1 (REV 00)</t>
    </r>
  </si>
  <si>
    <r>
      <rPr>
        <sz val="9"/>
        <rFont val="FreeSans"/>
        <family val="2"/>
      </rPr>
      <t xml:space="preserve">สำรวจ </t>
    </r>
    <r>
      <rPr>
        <sz val="9"/>
        <rFont val="Tahoma"/>
        <family val="0"/>
        <charset val="1"/>
      </rPr>
      <t xml:space="preserve">A1–E1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iPad/iPhone, </t>
    </r>
    <r>
      <rPr>
        <sz val="9"/>
        <rFont val="FreeSans"/>
        <family val="2"/>
      </rPr>
      <t xml:space="preserve">ลงนาม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ฝ่าย → </t>
    </r>
    <r>
      <rPr>
        <sz val="9"/>
        <rFont val="Tahoma"/>
        <family val="0"/>
        <charset val="1"/>
      </rPr>
      <t xml:space="preserve">REV 00</t>
    </r>
  </si>
  <si>
    <r>
      <rPr>
        <sz val="9"/>
        <rFont val="FreeSans"/>
        <family val="2"/>
      </rPr>
      <t xml:space="preserve">แบบสำรวจ </t>
    </r>
    <r>
      <rPr>
        <sz val="9"/>
        <rFont val="Tahoma"/>
        <family val="0"/>
        <charset val="1"/>
      </rPr>
      <t xml:space="preserve">A1–E1 </t>
    </r>
    <r>
      <rPr>
        <sz val="9"/>
        <rFont val="FreeSans"/>
        <family val="2"/>
      </rPr>
      <t xml:space="preserve">ลงนาม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ฝ่าย ออก </t>
    </r>
    <r>
      <rPr>
        <sz val="9"/>
        <rFont val="Tahoma"/>
        <family val="0"/>
        <charset val="1"/>
      </rPr>
      <t xml:space="preserve">REV 00</t>
    </r>
  </si>
  <si>
    <t xml:space="preserve">แผนผังที่ตั้ง</t>
  </si>
  <si>
    <r>
      <rPr>
        <sz val="9"/>
        <rFont val="FreeSans"/>
        <family val="2"/>
      </rPr>
      <t xml:space="preserve">แบบสำรวจ </t>
    </r>
    <r>
      <rPr>
        <sz val="9"/>
        <rFont val="Tahoma"/>
        <family val="0"/>
        <charset val="1"/>
      </rPr>
      <t xml:space="preserve">(Survey) › </t>
    </r>
    <r>
      <rPr>
        <sz val="9"/>
        <rFont val="FreeSans"/>
        <family val="2"/>
      </rPr>
      <t xml:space="preserve">ออก </t>
    </r>
    <r>
      <rPr>
        <sz val="9"/>
        <rFont val="Tahoma"/>
        <family val="0"/>
        <charset val="1"/>
      </rPr>
      <t xml:space="preserve">REV 00</t>
    </r>
  </si>
  <si>
    <t xml:space="preserve">งานย่อยรวมเท่างานแม่</t>
  </si>
  <si>
    <r>
      <rPr>
        <sz val="8"/>
        <color rgb="FF595959"/>
        <rFont val="Tahoma"/>
        <family val="0"/>
        <charset val="1"/>
      </rPr>
      <t xml:space="preserve">100% rule (NASA §3.4.4), HV / LV </t>
    </r>
    <r>
      <rPr>
        <sz val="8"/>
        <color rgb="FF595959"/>
        <rFont val="FreeSans"/>
        <family val="2"/>
      </rPr>
      <t xml:space="preserve">คิดแยก</t>
    </r>
  </si>
  <si>
    <r>
      <rPr>
        <b val="true"/>
        <sz val="9"/>
        <rFont val="Tahoma"/>
        <family val="0"/>
        <charset val="1"/>
      </rPr>
      <t xml:space="preserve">As-built </t>
    </r>
    <r>
      <rPr>
        <b val="true"/>
        <sz val="9"/>
        <rFont val="FreeSans"/>
        <family val="2"/>
      </rPr>
      <t xml:space="preserve">หลังติดตั้ง </t>
    </r>
    <r>
      <rPr>
        <b val="true"/>
        <sz val="9"/>
        <rFont val="Tahoma"/>
        <family val="0"/>
        <charset val="1"/>
      </rPr>
      <t xml:space="preserve">(3.1.8), </t>
    </r>
    <r>
      <rPr>
        <b val="true"/>
        <sz val="9"/>
        <rFont val="FreeSans"/>
        <family val="2"/>
      </rPr>
      <t xml:space="preserve">ชุดเอกสารยื่น </t>
    </r>
    <r>
      <rPr>
        <b val="true"/>
        <sz val="9"/>
        <rFont val="Tahoma"/>
        <family val="0"/>
        <charset val="1"/>
      </rPr>
      <t xml:space="preserve">PPIM (1.7.1), </t>
    </r>
    <r>
      <rPr>
        <b val="true"/>
        <sz val="9"/>
        <rFont val="FreeSans"/>
        <family val="2"/>
      </rPr>
      <t xml:space="preserve">ชุดยื่นเทศบาล </t>
    </r>
    <r>
      <rPr>
        <b val="true"/>
        <sz val="9"/>
        <rFont val="Tahoma"/>
        <family val="0"/>
        <charset val="1"/>
      </rPr>
      <t xml:space="preserve">(1.4.2) — </t>
    </r>
    <r>
      <rPr>
        <b val="true"/>
        <sz val="9"/>
        <rFont val="FreeSans"/>
        <family val="2"/>
      </rPr>
      <t xml:space="preserve">ใช้แบบจาก </t>
    </r>
    <r>
      <rPr>
        <b val="true"/>
        <sz val="9"/>
        <rFont val="Tahoma"/>
        <family val="0"/>
        <charset val="1"/>
      </rPr>
      <t xml:space="preserve">1.2 </t>
    </r>
    <r>
      <rPr>
        <b val="true"/>
        <sz val="9"/>
        <rFont val="FreeSans"/>
        <family val="2"/>
      </rPr>
      <t xml:space="preserve">แต่จัดทำในงานนั้น</t>
    </r>
  </si>
  <si>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อนุมัติแบบ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หรือแก้เป็น </t>
    </r>
    <r>
      <rPr>
        <b val="true"/>
        <sz val="9"/>
        <rFont val="Tahoma"/>
        <family val="0"/>
        <charset val="1"/>
      </rPr>
      <t xml:space="preserve">REV </t>
    </r>
    <r>
      <rPr>
        <b val="true"/>
        <sz val="9"/>
        <rFont val="FreeSans"/>
        <family val="2"/>
      </rPr>
      <t xml:space="preserve">ถัดไปแล้วอนุมัติ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</si>
  <si>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SLD + </t>
    </r>
    <r>
      <rPr>
        <b val="true"/>
        <sz val="9"/>
        <rFont val="FreeSans"/>
        <family val="2"/>
      </rPr>
      <t xml:space="preserve">เอกสารวิศวกรไฟฟ้า</t>
    </r>
    <r>
      <rPr>
        <b val="true"/>
        <sz val="9"/>
        <rFont val="Tahoma"/>
        <family val="0"/>
        <charset val="1"/>
      </rPr>
      <t xml:space="preserve">, Layout </t>
    </r>
    <r>
      <rPr>
        <b val="true"/>
        <sz val="9"/>
        <rFont val="FreeSans"/>
        <family val="2"/>
      </rPr>
      <t xml:space="preserve">วิศวกรรับรอง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รายการคำนวณไฟฟ้า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แบบ </t>
    </r>
    <r>
      <rPr>
        <b val="true"/>
        <sz val="9"/>
        <rFont val="Tahoma"/>
        <family val="0"/>
        <charset val="1"/>
      </rPr>
      <t xml:space="preserve">Forcon, </t>
    </r>
    <r>
      <rPr>
        <b val="true"/>
        <sz val="9"/>
        <rFont val="FreeSans"/>
        <family val="2"/>
      </rPr>
      <t xml:space="preserve">รายการคำนวณโยธา</t>
    </r>
  </si>
  <si>
    <t xml:space="preserve">engineering</t>
  </si>
  <si>
    <t xml:space="preserve">L1.1 System Definition and Design</t>
  </si>
  <si>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มีเกณฑ์เสร็จ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</si>
  <si>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</rPr>
      <t xml:space="preserve">เกณฑ์วัดความคืบหน้าชัดเจน</t>
    </r>
  </si>
  <si>
    <r>
      <rPr>
        <sz val="9"/>
        <rFont val="Tahoma"/>
        <family val="0"/>
        <charset val="1"/>
      </rPr>
      <t xml:space="preserve">SLD + Layout + String sizing (</t>
    </r>
    <r>
      <rPr>
        <sz val="9"/>
        <rFont val="FreeSans"/>
        <family val="2"/>
      </rPr>
      <t xml:space="preserve">วิศวกรลงนาม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</si>
  <si>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SLD + Layout + String sizing </t>
    </r>
    <r>
      <rPr>
        <sz val="9"/>
        <rFont val="FreeSans"/>
        <family val="2"/>
      </rPr>
      <t xml:space="preserve">ลงนามวิศวกร</t>
    </r>
  </si>
  <si>
    <r>
      <rPr>
        <sz val="9"/>
        <rFont val="Tahoma"/>
        <family val="0"/>
        <charset val="1"/>
      </rPr>
      <t xml:space="preserve">SLD + </t>
    </r>
    <r>
      <rPr>
        <sz val="9"/>
        <rFont val="FreeSans"/>
        <family val="2"/>
      </rPr>
      <t xml:space="preserve">เอกสารวิศวกรไฟฟ้า</t>
    </r>
    <r>
      <rPr>
        <sz val="9"/>
        <rFont val="Tahoma"/>
        <family val="0"/>
        <charset val="1"/>
      </rPr>
      <t xml:space="preserve">, Layout </t>
    </r>
    <r>
      <rPr>
        <sz val="9"/>
        <rFont val="FreeSans"/>
        <family val="2"/>
      </rPr>
      <t xml:space="preserve">วิศวกรรับรอง</t>
    </r>
  </si>
  <si>
    <r>
      <rPr>
        <sz val="9"/>
        <rFont val="Tahoma"/>
        <family val="0"/>
        <charset val="1"/>
      </rPr>
      <t xml:space="preserve">IEC 62548-1; IEC 60364-7-712;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</si>
  <si>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ระบุ ‘ไม่รวม’</t>
    </r>
  </si>
  <si>
    <r>
      <rPr>
        <sz val="8"/>
        <color rgb="FF595959"/>
        <rFont val="Tahoma"/>
        <family val="0"/>
        <charset val="1"/>
      </rPr>
      <t xml:space="preserve">PMI 4.3 </t>
    </r>
    <r>
      <rPr>
        <sz val="8"/>
        <color rgb="FF595959"/>
        <rFont val="FreeSans"/>
        <family val="2"/>
      </rPr>
      <t xml:space="preserve">ไม่ทำงานซ้ำซ้อน </t>
    </r>
    <r>
      <rPr>
        <sz val="8"/>
        <color rgb="FF595959"/>
        <rFont val="Tahoma"/>
        <family val="0"/>
        <charset val="1"/>
      </rPr>
      <t xml:space="preserve">(DOE §3.6)</t>
    </r>
  </si>
  <si>
    <r>
      <rPr>
        <sz val="9"/>
        <rFont val="FreeSans"/>
        <family val="2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โครงสร้าง</t>
    </r>
  </si>
  <si>
    <r>
      <rPr>
        <sz val="9"/>
        <rFont val="FreeSans"/>
        <family val="2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โยธา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น้ำหนักหลังคา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ฐานยึด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</si>
  <si>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โยธาลงนาม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มีผลน้ำหนักบนหลังคา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</si>
  <si>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รายการคำนวณไฟฟ้า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รายการคำนวณโยธา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แบบ </t>
    </r>
    <r>
      <rPr>
        <sz val="9"/>
        <rFont val="Tahoma"/>
        <family val="0"/>
        <charset val="1"/>
      </rPr>
      <t xml:space="preserve">Forcon</t>
    </r>
  </si>
  <si>
    <r>
      <rPr>
        <sz val="9"/>
        <rFont val="FreeSans"/>
        <family val="2"/>
      </rPr>
      <t xml:space="preserve">ทุกรายการมีผู้ทำ </t>
    </r>
    <r>
      <rPr>
        <sz val="9"/>
        <rFont val="Tahoma"/>
        <family val="0"/>
        <charset val="1"/>
      </rPr>
      <t xml:space="preserve">(R) </t>
    </r>
    <r>
      <rPr>
        <sz val="9"/>
        <rFont val="FreeSans"/>
        <family val="2"/>
      </rPr>
      <t xml:space="preserve">และผู้อนุมัติ </t>
    </r>
    <r>
      <rPr>
        <sz val="9"/>
        <rFont val="Tahoma"/>
        <family val="0"/>
        <charset val="1"/>
      </rPr>
      <t xml:space="preserve">(A)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</si>
  <si>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</rPr>
      <t xml:space="preserve">ผู้รับผิดชอบหลัก </t>
    </r>
    <r>
      <rPr>
        <sz val="8"/>
        <color rgb="FF595959"/>
        <rFont val="Tahoma"/>
        <family val="0"/>
        <charset val="1"/>
      </rPr>
      <t xml:space="preserve">1 </t>
    </r>
    <r>
      <rPr>
        <sz val="8"/>
        <color rgb="FF595959"/>
        <rFont val="FreeSans"/>
        <family val="2"/>
      </rPr>
      <t xml:space="preserve">ราย</t>
    </r>
  </si>
  <si>
    <r>
      <rPr>
        <sz val="9"/>
        <rFont val="FreeSans"/>
        <family val="2"/>
      </rPr>
      <t xml:space="preserve">ค่าตั้ง </t>
    </r>
    <r>
      <rPr>
        <sz val="9"/>
        <rFont val="Tahoma"/>
        <family val="0"/>
        <charset val="1"/>
      </rPr>
      <t xml:space="preserve">Protection / Zero export</t>
    </r>
  </si>
  <si>
    <t xml:space="preserve">Protection + Zero Export / Reverse power setting</t>
  </si>
  <si>
    <r>
      <rPr>
        <sz val="9"/>
        <rFont val="FreeSans"/>
        <family val="2"/>
      </rPr>
      <t xml:space="preserve">ตารางค่าตั้ง </t>
    </r>
    <r>
      <rPr>
        <sz val="9"/>
        <rFont val="Tahoma"/>
        <family val="0"/>
        <charset val="1"/>
      </rPr>
      <t xml:space="preserve">Protection / Zero export </t>
    </r>
    <r>
      <rPr>
        <sz val="9"/>
        <rFont val="FreeSans"/>
        <family val="2"/>
      </rPr>
      <t xml:space="preserve">ลงนาม</t>
    </r>
  </si>
  <si>
    <r>
      <rPr>
        <sz val="9"/>
        <rFont val="FreeSans"/>
        <family val="2"/>
      </rPr>
      <t xml:space="preserve">ระเบียบ กฟภ</t>
    </r>
    <r>
      <rPr>
        <sz val="9"/>
        <rFont val="Tahoma"/>
        <family val="0"/>
        <charset val="1"/>
      </rPr>
      <t xml:space="preserve">. 2559 </t>
    </r>
    <r>
      <rPr>
        <sz val="9"/>
        <rFont val="FreeSans"/>
        <family val="2"/>
      </rPr>
      <t xml:space="preserve">ข้อ </t>
    </r>
    <r>
      <rPr>
        <sz val="9"/>
        <rFont val="Tahoma"/>
        <family val="0"/>
        <charset val="1"/>
      </rPr>
      <t xml:space="preserve">7.1.8, 7.1.15</t>
    </r>
  </si>
  <si>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มีเกณฑ์เสร็จ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ไม่รวมหมุด</t>
    </r>
    <r>
      <rPr>
        <sz val="9"/>
        <rFont val="Tahoma"/>
        <family val="0"/>
        <charset val="1"/>
      </rPr>
      <t xml:space="preserve">)</t>
    </r>
  </si>
  <si>
    <r>
      <rPr>
        <sz val="8"/>
        <color rgb="FF595959"/>
        <rFont val="Tahoma"/>
        <family val="0"/>
        <charset val="1"/>
      </rPr>
      <t xml:space="preserve">PMI 4.6.2, Verzuh </t>
    </r>
    <r>
      <rPr>
        <sz val="8"/>
        <color rgb="FF595959"/>
        <rFont val="FreeSans"/>
        <family val="2"/>
      </rPr>
      <t xml:space="preserve">เกณฑ์เสร็จ</t>
    </r>
  </si>
  <si>
    <r>
      <rPr>
        <sz val="9"/>
        <rFont val="FreeSans"/>
        <family val="2"/>
      </rPr>
      <t xml:space="preserve">แบบที่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อนุมัติ </t>
    </r>
    <r>
      <rPr>
        <sz val="9"/>
        <rFont val="Tahoma"/>
        <family val="0"/>
        <charset val="1"/>
      </rPr>
      <t xml:space="preserve">(REV </t>
    </r>
    <r>
      <rPr>
        <sz val="9"/>
        <rFont val="FreeSans"/>
        <family val="2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</si>
  <si>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ส่ง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อนุมัติ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แก้ตามความเห็น </t>
    </r>
    <r>
      <rPr>
        <sz val="9"/>
        <rFont val="Tahoma"/>
        <family val="0"/>
        <charset val="1"/>
      </rPr>
      <t xml:space="preserve">(REV 01…)</t>
    </r>
  </si>
  <si>
    <r>
      <rPr>
        <sz val="9"/>
        <rFont val="FreeSans"/>
        <family val="2"/>
      </rPr>
      <t xml:space="preserve">หนังสืออนุมัติแบบจาก กปภ</t>
    </r>
    <r>
      <rPr>
        <sz val="9"/>
        <rFont val="Tahoma"/>
        <family val="0"/>
        <charset val="1"/>
      </rPr>
      <t xml:space="preserve">. (REV </t>
    </r>
    <r>
      <rPr>
        <sz val="9"/>
        <rFont val="FreeSans"/>
        <family val="2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</si>
  <si>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ส่ง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</rPr>
      <t xml:space="preserve">อนุมัติ </t>
    </r>
    <r>
      <rPr>
        <sz val="9"/>
        <rFont val="Tahoma"/>
        <family val="0"/>
        <charset val="1"/>
      </rPr>
      <t xml:space="preserve">100%</t>
    </r>
  </si>
  <si>
    <r>
      <rPr>
        <sz val="9"/>
        <rFont val="Tahoma"/>
        <family val="0"/>
        <charset val="1"/>
      </rPr>
      <t xml:space="preserve">REV </t>
    </r>
    <r>
      <rPr>
        <sz val="9"/>
        <rFont val="FreeSans"/>
        <family val="2"/>
      </rPr>
      <t xml:space="preserve">และรายการแก้ไข</t>
    </r>
  </si>
  <si>
    <r>
      <rPr>
        <sz val="9"/>
        <rFont val="FreeSans"/>
        <family val="2"/>
      </rPr>
      <t xml:space="preserve">ผู้อนุมัติ </t>
    </r>
    <r>
      <rPr>
        <sz val="9"/>
        <rFont val="Tahoma"/>
        <family val="0"/>
        <charset val="1"/>
      </rPr>
      <t xml:space="preserve">(A) </t>
    </r>
    <r>
      <rPr>
        <sz val="9"/>
        <rFont val="FreeSans"/>
        <family val="2"/>
      </rPr>
      <t xml:space="preserve">เป็นคนในโครงการ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</si>
  <si>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</rPr>
      <t xml:space="preserve">ผู้รับผิดชอบหลัก </t>
    </r>
    <r>
      <rPr>
        <sz val="8"/>
        <color rgb="FF595959"/>
        <rFont val="Tahoma"/>
        <family val="0"/>
        <charset val="1"/>
      </rPr>
      <t xml:space="preserve">1 </t>
    </r>
    <r>
      <rPr>
        <sz val="8"/>
        <color rgb="FF595959"/>
        <rFont val="FreeSans"/>
        <family val="2"/>
      </rPr>
      <t xml:space="preserve">ราย</t>
    </r>
    <r>
      <rPr>
        <sz val="8"/>
        <color rgb="FF595959"/>
        <rFont val="Tahoma"/>
        <family val="0"/>
        <charset val="1"/>
      </rPr>
      <t xml:space="preserve">, </t>
    </r>
    <r>
      <rPr>
        <sz val="8"/>
        <color rgb="FF595959"/>
        <rFont val="FreeSans"/>
        <family val="2"/>
      </rPr>
      <t xml:space="preserve">ภายนอกอยู่ช่อง ‘อนุมัติ </t>
    </r>
    <r>
      <rPr>
        <sz val="8"/>
        <color rgb="FF595959"/>
        <rFont val="Tahoma"/>
        <family val="0"/>
        <charset val="1"/>
      </rPr>
      <t xml:space="preserve">/ </t>
    </r>
    <r>
      <rPr>
        <sz val="8"/>
        <color rgb="FF595959"/>
        <rFont val="FreeSans"/>
        <family val="2"/>
      </rPr>
      <t xml:space="preserve">รับมอบ ภายนอก’</t>
    </r>
  </si>
  <si>
    <r>
      <rPr>
        <b val="true"/>
        <sz val="9"/>
        <rFont val="FreeSans"/>
        <family val="2"/>
      </rPr>
      <t xml:space="preserve">งานติดตั้งทุกรายการ </t>
    </r>
    <r>
      <rPr>
        <b val="true"/>
        <sz val="9"/>
        <rFont val="Tahoma"/>
        <family val="0"/>
        <charset val="1"/>
      </rPr>
      <t xml:space="preserve">(2.x), </t>
    </r>
    <r>
      <rPr>
        <b val="true"/>
        <sz val="9"/>
        <rFont val="FreeSans"/>
        <family val="2"/>
      </rPr>
      <t xml:space="preserve">หนังสือแจ้งดับไฟ </t>
    </r>
    <r>
      <rPr>
        <b val="true"/>
        <sz val="9"/>
        <rFont val="Tahoma"/>
        <family val="0"/>
        <charset val="1"/>
      </rPr>
      <t xml:space="preserve">(0.3)</t>
    </r>
  </si>
  <si>
    <t xml:space="preserve">บันทึกส่งมอบพื้นที่ลงนาม</t>
  </si>
  <si>
    <t xml:space="preserve">siteHandover</t>
  </si>
  <si>
    <r>
      <rPr>
        <b val="true"/>
        <sz val="9"/>
        <rFont val="Tahoma"/>
        <family val="0"/>
        <charset val="1"/>
      </rPr>
      <t xml:space="preserve">1.3 </t>
    </r>
    <r>
      <rPr>
        <b val="true"/>
        <sz val="9"/>
        <rFont val="FreeSans"/>
        <family val="2"/>
      </rPr>
      <t xml:space="preserve">ส่งมอบพื้นที่</t>
    </r>
  </si>
  <si>
    <t xml:space="preserve">L3.2 Support Facilities</t>
  </si>
  <si>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มี </t>
    </r>
    <r>
      <rPr>
        <sz val="9"/>
        <rFont val="Tahoma"/>
        <family val="0"/>
        <charset val="1"/>
      </rPr>
      <t xml:space="preserve">Rules of credit</t>
    </r>
  </si>
  <si>
    <r>
      <rPr>
        <sz val="8"/>
        <color rgb="FF595959"/>
        <rFont val="Tahoma"/>
        <family val="0"/>
        <charset val="1"/>
      </rPr>
      <t xml:space="preserve">PMI 4.4 </t>
    </r>
    <r>
      <rPr>
        <sz val="8"/>
        <color rgb="FF595959"/>
        <rFont val="FreeSans"/>
        <family val="2"/>
      </rPr>
      <t xml:space="preserve">วัดผลงานจริง</t>
    </r>
  </si>
  <si>
    <r>
      <rPr>
        <sz val="9"/>
        <rFont val="FreeSans"/>
        <family val="2"/>
      </rPr>
      <t xml:space="preserve">บันทึกส่งมอบพื้นที่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สาขา ลงนาม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</si>
  <si>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บันทึกส่งมอบพื้นที่ลงนาม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สาขา</t>
    </r>
  </si>
  <si>
    <r>
      <rPr>
        <sz val="9"/>
        <rFont val="FreeSans"/>
        <family val="2"/>
      </rPr>
      <t xml:space="preserve">งานติดตั้งระดับ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มีแบบ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มาตรฐานอ้างอิง</t>
    </r>
  </si>
  <si>
    <r>
      <rPr>
        <sz val="8"/>
        <color rgb="FF595959"/>
        <rFont val="Tahoma"/>
        <family val="0"/>
        <charset val="1"/>
      </rPr>
      <t xml:space="preserve">NASA §3.4.4 f spec / drawing </t>
    </r>
    <r>
      <rPr>
        <sz val="8"/>
        <color rgb="FF595959"/>
        <rFont val="FreeSans"/>
        <family val="2"/>
      </rPr>
      <t xml:space="preserve">ต่อ </t>
    </r>
    <r>
      <rPr>
        <sz val="8"/>
        <color rgb="FF595959"/>
        <rFont val="Tahoma"/>
        <family val="0"/>
        <charset val="1"/>
      </rPr>
      <t xml:space="preserve">element</t>
    </r>
  </si>
  <si>
    <r>
      <rPr>
        <sz val="9"/>
        <rFont val="FreeSans"/>
        <family val="2"/>
      </rPr>
      <t xml:space="preserve">สิ่งอำนวยความสะดวกหน้างาน </t>
    </r>
    <r>
      <rPr>
        <sz val="9"/>
        <rFont val="Tahoma"/>
        <family val="0"/>
        <charset val="1"/>
      </rPr>
      <t xml:space="preserve">(Mobilization)</t>
    </r>
  </si>
  <si>
    <r>
      <rPr>
        <sz val="9"/>
        <rFont val="Tahoma"/>
        <family val="0"/>
        <charset val="1"/>
      </rPr>
      <t xml:space="preserve">Mobilization: Site office, </t>
    </r>
    <r>
      <rPr>
        <sz val="9"/>
        <rFont val="FreeSans"/>
        <family val="2"/>
      </rPr>
      <t xml:space="preserve">ไฟ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น้ำชั่วคราว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กองวัสดุ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ป้ายความปลอดภัย</t>
    </r>
  </si>
  <si>
    <r>
      <rPr>
        <sz val="9"/>
        <rFont val="Tahoma"/>
        <family val="0"/>
        <charset val="1"/>
      </rPr>
      <t xml:space="preserve">Site office / </t>
    </r>
    <r>
      <rPr>
        <sz val="9"/>
        <rFont val="FreeSans"/>
        <family val="2"/>
      </rPr>
      <t xml:space="preserve">ไฟ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น้ำชั่วคราว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กองวัสดุ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ป้ายพร้อม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รูปถ่าย</t>
    </r>
  </si>
  <si>
    <t xml:space="preserve">พื้นที่กองวัสดุ</t>
  </si>
  <si>
    <r>
      <rPr>
        <sz val="9"/>
        <rFont val="FreeSans"/>
        <family val="2"/>
      </rPr>
      <t xml:space="preserve">แม่แบบจุดติดตั้งรวม </t>
    </r>
    <r>
      <rPr>
        <sz val="9"/>
        <rFont val="Tahoma"/>
        <family val="0"/>
        <charset val="1"/>
      </rPr>
      <t xml:space="preserve">100 </t>
    </r>
    <r>
      <rPr>
        <sz val="9"/>
        <rFont val="FreeSans"/>
        <family val="2"/>
      </rPr>
      <t xml:space="preserve">ทุกประเภท</t>
    </r>
  </si>
  <si>
    <t xml:space="preserve">DOE §3.4 building block</t>
  </si>
  <si>
    <r>
      <rPr>
        <sz val="9"/>
        <rFont val="FreeSans"/>
        <family val="2"/>
      </rPr>
      <t xml:space="preserve">คำขอปฏิบัติงาน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</rPr>
      <t xml:space="preserve">ฉบับแรก</t>
    </r>
  </si>
  <si>
    <r>
      <rPr>
        <sz val="9"/>
        <rFont val="FreeSans"/>
        <family val="2"/>
      </rPr>
      <t xml:space="preserve">คำขอปฏิบัติงานรายสัปดาห์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</rPr>
      <t xml:space="preserve">ฉบับแรก</t>
    </r>
    <r>
      <rPr>
        <sz val="9"/>
        <rFont val="Tahoma"/>
        <family val="0"/>
        <charset val="1"/>
      </rPr>
      <t xml:space="preserve">, Inspector </t>
    </r>
    <r>
      <rPr>
        <sz val="9"/>
        <rFont val="FreeSans"/>
        <family val="2"/>
      </rPr>
      <t xml:space="preserve">อนุมัติ</t>
    </r>
  </si>
  <si>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</rPr>
      <t xml:space="preserve">ฉบับแรกอนุมัติโดย </t>
    </r>
    <r>
      <rPr>
        <sz val="9"/>
        <rFont val="Tahoma"/>
        <family val="0"/>
        <charset val="1"/>
      </rPr>
      <t xml:space="preserve">Inspector</t>
    </r>
  </si>
  <si>
    <r>
      <rPr>
        <sz val="9"/>
        <rFont val="Tahoma"/>
        <family val="0"/>
        <charset val="1"/>
      </rPr>
      <t xml:space="preserve">R1 (WeeklyRequest) › </t>
    </r>
    <r>
      <rPr>
        <sz val="9"/>
        <rFont val="FreeSans"/>
        <family val="2"/>
      </rPr>
      <t xml:space="preserve">ส่งขออนุมัติ</t>
    </r>
  </si>
  <si>
    <r>
      <rPr>
        <sz val="9"/>
        <rFont val="FreeSans"/>
        <family val="2"/>
      </rPr>
      <t xml:space="preserve">แม่แบบ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</rPr>
      <t xml:space="preserve">รวม </t>
    </r>
    <r>
      <rPr>
        <sz val="9"/>
        <rFont val="Tahoma"/>
        <family val="0"/>
        <charset val="1"/>
      </rPr>
      <t xml:space="preserve">100</t>
    </r>
  </si>
  <si>
    <t xml:space="preserve">DOE §3.4 building block (2.5.1)</t>
  </si>
  <si>
    <r>
      <rPr>
        <b val="true"/>
        <sz val="9"/>
        <rFont val="FreeSans"/>
        <family val="2"/>
      </rPr>
      <t xml:space="preserve">ขออนุญาตดัดแปลงอาคาร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อ</t>
    </r>
    <r>
      <rPr>
        <b val="true"/>
        <sz val="9"/>
        <rFont val="Tahoma"/>
        <family val="0"/>
        <charset val="1"/>
      </rPr>
      <t xml:space="preserve">.1) / </t>
    </r>
    <r>
      <rPr>
        <b val="true"/>
        <sz val="9"/>
        <rFont val="FreeSans"/>
        <family val="2"/>
      </rPr>
      <t xml:space="preserve">แจ้งเทศบาลตามกฎกระทรวงยกเว้น</t>
    </r>
  </si>
  <si>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1.5 (1 </t>
    </r>
    <r>
      <rPr>
        <b val="true"/>
        <sz val="9"/>
        <rFont val="FreeSans"/>
        <family val="2"/>
      </rPr>
      <t xml:space="preserve">ถ้า </t>
    </r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</rPr>
      <t xml:space="preserve">ตั้งแต่ </t>
    </r>
    <r>
      <rPr>
        <b val="true"/>
        <sz val="9"/>
        <rFont val="Tahoma"/>
        <family val="0"/>
        <charset val="1"/>
      </rPr>
      <t xml:space="preserve">200 kVA)</t>
    </r>
  </si>
  <si>
    <r>
      <rPr>
        <b val="true"/>
        <sz val="9"/>
        <rFont val="FreeSans"/>
        <family val="2"/>
      </rPr>
      <t xml:space="preserve">การออกแบบและคำนวณโยธา </t>
    </r>
    <r>
      <rPr>
        <b val="true"/>
        <sz val="9"/>
        <rFont val="Tahoma"/>
        <family val="0"/>
        <charset val="1"/>
      </rPr>
      <t xml:space="preserve">(1.2.2) — 1.4 </t>
    </r>
    <r>
      <rPr>
        <b val="true"/>
        <sz val="9"/>
        <rFont val="FreeSans"/>
        <family val="2"/>
      </rPr>
      <t xml:space="preserve">นำผลไปยื่นเท่านั้น</t>
    </r>
  </si>
  <si>
    <r>
      <rPr>
        <b val="true"/>
        <sz val="9"/>
        <rFont val="FreeSans"/>
        <family val="2"/>
      </rPr>
      <t xml:space="preserve">ได้ อ</t>
    </r>
    <r>
      <rPr>
        <b val="true"/>
        <sz val="9"/>
        <rFont val="Tahoma"/>
        <family val="0"/>
        <charset val="1"/>
      </rPr>
      <t xml:space="preserve">.1 </t>
    </r>
    <r>
      <rPr>
        <b val="true"/>
        <sz val="9"/>
        <rFont val="FreeSans"/>
        <family val="2"/>
      </rPr>
      <t xml:space="preserve">หรือหนังสือรับแจ้งจากเทศบาล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อบต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</si>
  <si>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</rPr>
      <t xml:space="preserve">คำขอ ข</t>
    </r>
    <r>
      <rPr>
        <b val="true"/>
        <sz val="9"/>
        <rFont val="Tahoma"/>
        <family val="0"/>
        <charset val="1"/>
      </rPr>
      <t xml:space="preserve">.1 + </t>
    </r>
    <r>
      <rPr>
        <b val="true"/>
        <sz val="9"/>
        <rFont val="FreeSans"/>
        <family val="2"/>
      </rPr>
      <t xml:space="preserve">หนังสือนำส่ง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หนังสือแจ้งเทศบาล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ยกเว้น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อ</t>
    </r>
    <r>
      <rPr>
        <b val="true"/>
        <sz val="9"/>
        <rFont val="Tahoma"/>
        <family val="0"/>
        <charset val="1"/>
      </rPr>
      <t xml:space="preserve">.1, </t>
    </r>
    <r>
      <rPr>
        <b val="true"/>
        <sz val="9"/>
        <rFont val="FreeSans"/>
        <family val="2"/>
      </rPr>
      <t xml:space="preserve">แบบ </t>
    </r>
    <r>
      <rPr>
        <b val="true"/>
        <sz val="9"/>
        <rFont val="Tahoma"/>
        <family val="0"/>
        <charset val="1"/>
      </rPr>
      <t xml:space="preserve">Forcon, </t>
    </r>
    <r>
      <rPr>
        <b val="true"/>
        <sz val="9"/>
        <rFont val="FreeSans"/>
        <family val="2"/>
      </rPr>
      <t xml:space="preserve">รายการคำนวณโยธา</t>
    </r>
  </si>
  <si>
    <t xml:space="preserve">buildingPermit</t>
  </si>
  <si>
    <r>
      <rPr>
        <b val="true"/>
        <sz val="9"/>
        <rFont val="Tahoma"/>
        <family val="0"/>
        <charset val="1"/>
      </rPr>
      <t xml:space="preserve">1.4 </t>
    </r>
    <r>
      <rPr>
        <b val="true"/>
        <sz val="9"/>
        <rFont val="FreeSans"/>
        <family val="2"/>
      </rPr>
      <t xml:space="preserve">อ</t>
    </r>
    <r>
      <rPr>
        <b val="true"/>
        <sz val="9"/>
        <rFont val="Tahoma"/>
        <family val="0"/>
        <charset val="1"/>
      </rPr>
      <t xml:space="preserve">.1 / </t>
    </r>
    <r>
      <rPr>
        <b val="true"/>
        <sz val="9"/>
        <rFont val="FreeSans"/>
        <family val="2"/>
      </rPr>
      <t xml:space="preserve">เทศบาล</t>
    </r>
  </si>
  <si>
    <t xml:space="preserve">L2.5 Legal &amp; Regulatory</t>
  </si>
  <si>
    <t xml:space="preserve">ฉบับล่าสุดอนุมัติแล้ว</t>
  </si>
  <si>
    <r>
      <rPr>
        <sz val="8"/>
        <color rgb="FF595959"/>
        <rFont val="Tahoma"/>
        <family val="0"/>
        <charset val="1"/>
      </rPr>
      <t xml:space="preserve">NASA §3.3.6 </t>
    </r>
    <r>
      <rPr>
        <sz val="8"/>
        <color rgb="FF595959"/>
        <rFont val="FreeSans"/>
        <family val="2"/>
      </rPr>
      <t xml:space="preserve">เอกสารควบคุม</t>
    </r>
  </si>
  <si>
    <r>
      <rPr>
        <sz val="9"/>
        <rFont val="FreeSans"/>
        <family val="2"/>
      </rPr>
      <t xml:space="preserve">ผลตรวจน้ำหนักบนหลังคา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เลือก 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</rPr>
      <t xml:space="preserve">แจ้ง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</si>
  <si>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ตรวจน้ำหนักบนหลังคา </t>
    </r>
    <r>
      <rPr>
        <sz val="9"/>
        <rFont val="Tahoma"/>
        <family val="0"/>
        <charset val="1"/>
      </rPr>
      <t xml:space="preserve">(&gt; 20 </t>
    </r>
    <r>
      <rPr>
        <sz val="9"/>
        <rFont val="FreeSans"/>
        <family val="2"/>
      </rPr>
      <t xml:space="preserve">กก</t>
    </r>
    <r>
      <rPr>
        <sz val="9"/>
        <rFont val="Tahoma"/>
        <family val="0"/>
        <charset val="1"/>
      </rPr>
      <t xml:space="preserve">./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</rPr>
      <t xml:space="preserve">ต้องขอ อ</t>
    </r>
    <r>
      <rPr>
        <sz val="9"/>
        <rFont val="Tahoma"/>
        <family val="0"/>
        <charset val="1"/>
      </rPr>
      <t xml:space="preserve">.1), </t>
    </r>
    <r>
      <rPr>
        <sz val="9"/>
        <rFont val="FreeSans"/>
        <family val="2"/>
      </rPr>
      <t xml:space="preserve">เลือก </t>
    </r>
    <r>
      <rPr>
        <sz val="9"/>
        <rFont val="Tahoma"/>
        <family val="0"/>
        <charset val="1"/>
      </rPr>
      <t xml:space="preserve">permit / notify</t>
    </r>
  </si>
  <si>
    <r>
      <rPr>
        <sz val="9"/>
        <rFont val="FreeSans"/>
        <family val="2"/>
      </rPr>
      <t xml:space="preserve">ผลคำนวณน้ำหนักบนหลังคา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เลือกขอ อ</t>
    </r>
    <r>
      <rPr>
        <sz val="9"/>
        <rFont val="Tahoma"/>
        <family val="0"/>
        <charset val="1"/>
      </rPr>
      <t xml:space="preserve">.1 </t>
    </r>
    <r>
      <rPr>
        <sz val="9"/>
        <rFont val="FreeSans"/>
        <family val="2"/>
      </rPr>
      <t xml:space="preserve">หรือแจ้ง</t>
    </r>
  </si>
  <si>
    <r>
      <rPr>
        <sz val="9"/>
        <rFont val="FreeSans"/>
        <family val="2"/>
      </rPr>
      <t xml:space="preserve">ชุดเอกสารขออนุญาต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แจ้งเทศบาล</t>
    </r>
  </si>
  <si>
    <r>
      <rPr>
        <sz val="9"/>
        <rFont val="FreeSans"/>
        <family val="2"/>
      </rPr>
      <t xml:space="preserve">เตรียมชุดเอกสาร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คำขอ ข</t>
    </r>
    <r>
      <rPr>
        <sz val="9"/>
        <rFont val="Tahoma"/>
        <family val="0"/>
        <charset val="1"/>
      </rPr>
      <t xml:space="preserve">.1 </t>
    </r>
    <r>
      <rPr>
        <sz val="9"/>
        <rFont val="FreeSans"/>
        <family val="2"/>
      </rPr>
      <t xml:space="preserve">หรือหนังสือแจ้ง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มอบอำนาจ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แบบ </t>
    </r>
    <r>
      <rPr>
        <sz val="9"/>
        <rFont val="Tahoma"/>
        <family val="0"/>
        <charset val="1"/>
      </rPr>
      <t xml:space="preserve">Forcon + </t>
    </r>
    <r>
      <rPr>
        <sz val="9"/>
        <rFont val="FreeSans"/>
        <family val="2"/>
      </rPr>
      <t xml:space="preserve">รายการคำนวณโยธา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กว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</si>
  <si>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ชุดเอกสารครบตามรายการของเทศบาล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อบต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</si>
  <si>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คำขอ ข</t>
    </r>
    <r>
      <rPr>
        <sz val="9"/>
        <rFont val="Tahoma"/>
        <family val="0"/>
        <charset val="1"/>
      </rPr>
      <t xml:space="preserve">.1 + </t>
    </r>
    <r>
      <rPr>
        <sz val="9"/>
        <rFont val="FreeSans"/>
        <family val="2"/>
      </rPr>
      <t xml:space="preserve">หนังสือนำส่ง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หนังสือแจ้งเทศบาล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ยกเว้น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หนังสือมอบอำนาจ</t>
    </r>
  </si>
  <si>
    <t xml:space="preserve">เอกสารสถานี › ชุดอาคาร</t>
  </si>
  <si>
    <r>
      <rPr>
        <i val="true"/>
        <sz val="8"/>
        <color rgb="FF595959"/>
        <rFont val="FreeSans"/>
        <family val="2"/>
      </rPr>
      <t xml:space="preserve">แตกงานต่อเมื่อ </t>
    </r>
    <r>
      <rPr>
        <i val="true"/>
        <sz val="8"/>
        <color rgb="FF595959"/>
        <rFont val="Tahoma"/>
        <family val="0"/>
        <charset val="1"/>
      </rPr>
      <t xml:space="preserve">(PMI 4.6.2): </t>
    </r>
    <r>
      <rPr>
        <i val="true"/>
        <sz val="8"/>
        <color rgb="FF595959"/>
        <rFont val="FreeSans"/>
        <family val="2"/>
      </rPr>
      <t xml:space="preserve">งานเดียวมีหลายวิธีทำหรือหลายผลงาน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มีจุดตรวจรับก่อนจบงาน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ผู้รับผิดชอบหลายราย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ต้องรู้เวลา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ต้นทุนภายในงาน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มีความเสี่ยงเฉพาะส่วน</t>
    </r>
  </si>
  <si>
    <r>
      <rPr>
        <sz val="9"/>
        <rFont val="FreeSans"/>
        <family val="2"/>
      </rPr>
      <t xml:space="preserve">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</rPr>
      <t xml:space="preserve">หนังสือรับแจ้งเทศบาล</t>
    </r>
  </si>
  <si>
    <r>
      <rPr>
        <sz val="9"/>
        <rFont val="FreeSans"/>
        <family val="2"/>
      </rPr>
      <t xml:space="preserve">ยื่นเทศบาล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อบต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ได้รับ 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</rPr>
      <t xml:space="preserve">หนังสือรับแจ้ง</t>
    </r>
  </si>
  <si>
    <r>
      <rPr>
        <sz val="9"/>
        <rFont val="FreeSans"/>
        <family val="2"/>
      </rPr>
      <t xml:space="preserve">ใบรับคำขอ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ยื่น</t>
    </r>
    <r>
      <rPr>
        <sz val="9"/>
        <rFont val="Tahoma"/>
        <family val="0"/>
        <charset val="1"/>
      </rPr>
      <t xml:space="preserve">) → </t>
    </r>
    <r>
      <rPr>
        <sz val="9"/>
        <rFont val="FreeSans"/>
        <family val="2"/>
      </rPr>
      <t xml:space="preserve">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</rPr>
      <t xml:space="preserve">หนังสือรับแจ้ง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ได้รับ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</si>
  <si>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ยื่น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</rPr>
      <t xml:space="preserve">ได้รับ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</si>
  <si>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</rPr>
      <t xml:space="preserve">อ</t>
    </r>
    <r>
      <rPr>
        <sz val="9"/>
        <rFont val="Tahoma"/>
        <family val="0"/>
        <charset val="1"/>
      </rPr>
      <t xml:space="preserve">.1</t>
    </r>
  </si>
  <si>
    <r>
      <rPr>
        <i val="true"/>
        <sz val="8"/>
        <color rgb="FF595959"/>
        <rFont val="FreeSans"/>
        <family val="2"/>
      </rPr>
      <t xml:space="preserve">ตัวอย่างที่ใช้แล้ว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หลังคาแยกลอนคู่ </t>
    </r>
    <r>
      <rPr>
        <i val="true"/>
        <sz val="8"/>
        <color rgb="FF595959"/>
        <rFont val="Tahoma"/>
        <family val="0"/>
        <charset val="1"/>
      </rPr>
      <t xml:space="preserve">(C09 </t>
    </r>
    <r>
      <rPr>
        <i val="true"/>
        <sz val="8"/>
        <color rgb="FF595959"/>
        <rFont val="FreeSans"/>
        <family val="2"/>
      </rPr>
      <t xml:space="preserve">เจาะยึดแป</t>
    </r>
    <r>
      <rPr>
        <i val="true"/>
        <sz val="8"/>
        <color rgb="FF595959"/>
        <rFont val="Tahoma"/>
        <family val="0"/>
        <charset val="1"/>
      </rPr>
      <t xml:space="preserve">) / </t>
    </r>
    <r>
      <rPr>
        <i val="true"/>
        <sz val="8"/>
        <color rgb="FF595959"/>
        <rFont val="FreeSans"/>
        <family val="2"/>
      </rPr>
      <t xml:space="preserve">เมทัลชีท </t>
    </r>
    <r>
      <rPr>
        <i val="true"/>
        <sz val="8"/>
        <color rgb="FF595959"/>
        <rFont val="Tahoma"/>
        <family val="0"/>
        <charset val="1"/>
      </rPr>
      <t xml:space="preserve">(C17 Kliplok) </t>
    </r>
    <r>
      <rPr>
        <i val="true"/>
        <sz val="8"/>
        <color rgb="FF595959"/>
        <rFont val="FreeSans"/>
        <family val="2"/>
      </rPr>
      <t xml:space="preserve">เพราะวิธีทำและจุดตรวจต่างกัน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ถังดินกลบมี </t>
    </r>
    <r>
      <rPr>
        <i val="true"/>
        <sz val="8"/>
        <color rgb="FF595959"/>
        <rFont val="Tahoma"/>
        <family val="0"/>
        <charset val="1"/>
      </rPr>
      <t xml:space="preserve">hold point </t>
    </r>
    <r>
      <rPr>
        <i val="true"/>
        <sz val="8"/>
        <color rgb="FF595959"/>
        <rFont val="FreeSans"/>
        <family val="2"/>
      </rPr>
      <t xml:space="preserve">ก่อนกลบดิน</t>
    </r>
  </si>
  <si>
    <r>
      <rPr>
        <b val="true"/>
        <sz val="9"/>
        <rFont val="FreeSans"/>
        <family val="2"/>
      </rPr>
      <t xml:space="preserve">ยื่นขอใบอนุญาต พค</t>
    </r>
    <r>
      <rPr>
        <b val="true"/>
        <sz val="9"/>
        <rFont val="Tahoma"/>
        <family val="0"/>
        <charset val="1"/>
      </rPr>
      <t xml:space="preserve">.2 (Inverter ≥ 200 kVA)</t>
    </r>
  </si>
  <si>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เมื่อตั้งแต่ </t>
    </r>
    <r>
      <rPr>
        <b val="true"/>
        <sz val="9"/>
        <rFont val="Tahoma"/>
        <family val="0"/>
        <charset val="1"/>
      </rPr>
      <t xml:space="preserve">200 kVA (0 </t>
    </r>
    <r>
      <rPr>
        <b val="true"/>
        <sz val="9"/>
        <rFont val="FreeSans"/>
        <family val="2"/>
      </rPr>
      <t xml:space="preserve">ถ้าต่ำกว่า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</si>
  <si>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การขอขนานไฟ กฟภ</t>
    </r>
    <r>
      <rPr>
        <b val="true"/>
        <sz val="9"/>
        <rFont val="Tahoma"/>
        <family val="0"/>
        <charset val="1"/>
      </rPr>
      <t xml:space="preserve">. (1.7), </t>
    </r>
    <r>
      <rPr>
        <b val="true"/>
        <sz val="9"/>
        <rFont val="FreeSans"/>
        <family val="2"/>
      </rPr>
      <t xml:space="preserve">การแจ้งยกเว้น กกพ</t>
    </r>
    <r>
      <rPr>
        <b val="true"/>
        <sz val="9"/>
        <rFont val="Tahoma"/>
        <family val="0"/>
        <charset val="1"/>
      </rPr>
      <t xml:space="preserve">. (1.6)</t>
    </r>
  </si>
  <si>
    <r>
      <rPr>
        <b val="true"/>
        <sz val="9"/>
        <rFont val="FreeSans"/>
        <family val="2"/>
      </rPr>
      <t xml:space="preserve">ยื่นคำขอครบตาม </t>
    </r>
    <r>
      <rPr>
        <b val="true"/>
        <sz val="9"/>
        <rFont val="Tahoma"/>
        <family val="0"/>
        <charset val="1"/>
      </rPr>
      <t xml:space="preserve">Check list </t>
    </r>
    <r>
      <rPr>
        <b val="true"/>
        <sz val="9"/>
        <rFont val="FreeSans"/>
        <family val="2"/>
      </rPr>
      <t xml:space="preserve">กกพ</t>
    </r>
    <r>
      <rPr>
        <b val="true"/>
        <sz val="9"/>
        <rFont val="Tahoma"/>
        <family val="0"/>
        <charset val="1"/>
      </rPr>
      <t xml:space="preserve">. 23 </t>
    </r>
    <r>
      <rPr>
        <b val="true"/>
        <sz val="9"/>
        <rFont val="FreeSans"/>
        <family val="2"/>
      </rPr>
      <t xml:space="preserve">ข้อ</t>
    </r>
  </si>
  <si>
    <r>
      <rPr>
        <b val="true"/>
        <sz val="9"/>
        <rFont val="Tahoma"/>
        <family val="0"/>
        <charset val="1"/>
      </rPr>
      <t xml:space="preserve">Check list </t>
    </r>
    <r>
      <rPr>
        <b val="true"/>
        <sz val="9"/>
        <rFont val="FreeSans"/>
        <family val="2"/>
      </rPr>
      <t xml:space="preserve">พค</t>
    </r>
    <r>
      <rPr>
        <b val="true"/>
        <sz val="9"/>
        <rFont val="Tahoma"/>
        <family val="0"/>
        <charset val="1"/>
      </rPr>
      <t xml:space="preserve">.2, </t>
    </r>
    <r>
      <rPr>
        <b val="true"/>
        <sz val="9"/>
        <rFont val="FreeSans"/>
        <family val="2"/>
      </rPr>
      <t xml:space="preserve">แบบ พค</t>
    </r>
    <r>
      <rPr>
        <b val="true"/>
        <sz val="9"/>
        <rFont val="Tahoma"/>
        <family val="0"/>
        <charset val="1"/>
      </rPr>
      <t xml:space="preserve">.1, </t>
    </r>
    <r>
      <rPr>
        <b val="true"/>
        <sz val="9"/>
        <rFont val="FreeSans"/>
        <family val="2"/>
      </rPr>
      <t xml:space="preserve">แบบตรวจสอบระบบ ส่วน </t>
    </r>
    <r>
      <rPr>
        <b val="true"/>
        <sz val="9"/>
        <rFont val="Tahoma"/>
        <family val="0"/>
        <charset val="1"/>
      </rPr>
      <t xml:space="preserve">1–3, </t>
    </r>
    <r>
      <rPr>
        <b val="true"/>
        <sz val="9"/>
        <rFont val="FreeSans"/>
        <family val="2"/>
      </rPr>
      <t xml:space="preserve">หนังสือแจ้งความพร้อมเข้าตรวจ</t>
    </r>
  </si>
  <si>
    <t xml:space="preserve">pk2</t>
  </si>
  <si>
    <r>
      <rPr>
        <b val="true"/>
        <sz val="9"/>
        <rFont val="Tahoma"/>
        <family val="0"/>
        <charset val="1"/>
      </rPr>
      <t xml:space="preserve">1.5 </t>
    </r>
    <r>
      <rPr>
        <b val="true"/>
        <sz val="9"/>
        <rFont val="FreeSans"/>
        <family val="2"/>
      </rPr>
      <t xml:space="preserve">ยื่น พค</t>
    </r>
    <r>
      <rPr>
        <b val="true"/>
        <sz val="9"/>
        <rFont val="Tahoma"/>
        <family val="0"/>
        <charset val="1"/>
      </rPr>
      <t xml:space="preserve">.2</t>
    </r>
  </si>
  <si>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</rPr>
      <t xml:space="preserve">พค</t>
    </r>
    <r>
      <rPr>
        <sz val="9"/>
        <rFont val="Tahoma"/>
        <family val="0"/>
        <charset val="1"/>
      </rPr>
      <t xml:space="preserve">.2 (23 </t>
    </r>
    <r>
      <rPr>
        <sz val="9"/>
        <rFont val="FreeSans"/>
        <family val="2"/>
      </rPr>
      <t xml:space="preserve">ข้อ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</si>
  <si>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</rPr>
      <t xml:space="preserve">พค</t>
    </r>
    <r>
      <rPr>
        <sz val="9"/>
        <rFont val="Tahoma"/>
        <family val="0"/>
        <charset val="1"/>
      </rPr>
      <t xml:space="preserve">.2 </t>
    </r>
    <r>
      <rPr>
        <sz val="9"/>
        <rFont val="FreeSans"/>
        <family val="2"/>
      </rPr>
      <t xml:space="preserve">ก่อนยื่น </t>
    </r>
    <r>
      <rPr>
        <sz val="9"/>
        <rFont val="Tahoma"/>
        <family val="0"/>
        <charset val="1"/>
      </rPr>
      <t xml:space="preserve">(23 </t>
    </r>
    <r>
      <rPr>
        <sz val="9"/>
        <rFont val="FreeSans"/>
        <family val="2"/>
      </rPr>
      <t xml:space="preserve">ข้อ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ติ๊กจากเอกสารสถานี</t>
    </r>
  </si>
  <si>
    <r>
      <rPr>
        <sz val="9"/>
        <rFont val="Tahoma"/>
        <family val="0"/>
        <charset val="1"/>
      </rPr>
      <t xml:space="preserve">Check list 23 </t>
    </r>
    <r>
      <rPr>
        <sz val="9"/>
        <rFont val="FreeSans"/>
        <family val="2"/>
      </rPr>
      <t xml:space="preserve">ข้อครบ</t>
    </r>
  </si>
  <si>
    <r>
      <rPr>
        <sz val="9"/>
        <rFont val="FreeSans"/>
        <family val="2"/>
      </rPr>
      <t xml:space="preserve">เอกสารสถานี › </t>
    </r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</rPr>
      <t xml:space="preserve">พค</t>
    </r>
    <r>
      <rPr>
        <sz val="9"/>
        <rFont val="Tahoma"/>
        <family val="0"/>
        <charset val="1"/>
      </rPr>
      <t xml:space="preserve">.2</t>
    </r>
  </si>
  <si>
    <r>
      <rPr>
        <sz val="9"/>
        <rFont val="FreeSans"/>
        <family val="2"/>
      </rPr>
      <t xml:space="preserve">คำขอ พค</t>
    </r>
    <r>
      <rPr>
        <sz val="9"/>
        <rFont val="Tahoma"/>
        <family val="0"/>
        <charset val="1"/>
      </rPr>
      <t xml:space="preserve">.2 </t>
    </r>
    <r>
      <rPr>
        <sz val="9"/>
        <rFont val="FreeSans"/>
        <family val="2"/>
      </rPr>
      <t xml:space="preserve">ที่ยื่นแล้ว</t>
    </r>
  </si>
  <si>
    <r>
      <rPr>
        <sz val="9"/>
        <rFont val="FreeSans"/>
        <family val="2"/>
      </rPr>
      <t xml:space="preserve">ลงนามเอกสาร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.) + </t>
    </r>
    <r>
      <rPr>
        <sz val="9"/>
        <rFont val="FreeSans"/>
        <family val="2"/>
      </rPr>
      <t xml:space="preserve">ยื่นคำขอ</t>
    </r>
    <r>
      <rPr>
        <sz val="9"/>
        <rFont val="Tahoma"/>
        <family val="0"/>
        <charset val="1"/>
      </rPr>
      <t xml:space="preserve">, QR Code</t>
    </r>
  </si>
  <si>
    <r>
      <rPr>
        <sz val="9"/>
        <rFont val="FreeSans"/>
        <family val="2"/>
      </rPr>
      <t xml:space="preserve">เอกสารลงนาม กปภ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</rPr>
      <t xml:space="preserve">หลักฐานการยื่น </t>
    </r>
    <r>
      <rPr>
        <sz val="9"/>
        <rFont val="Tahoma"/>
        <family val="0"/>
        <charset val="1"/>
      </rPr>
      <t xml:space="preserve">(QR Code)</t>
    </r>
  </si>
  <si>
    <r>
      <rPr>
        <sz val="9"/>
        <rFont val="Tahoma"/>
        <family val="0"/>
        <charset val="1"/>
      </rPr>
      <t xml:space="preserve">QR Code </t>
    </r>
    <r>
      <rPr>
        <sz val="9"/>
        <rFont val="FreeSans"/>
        <family val="2"/>
      </rPr>
      <t xml:space="preserve">คำขอ กกพ</t>
    </r>
    <r>
      <rPr>
        <sz val="9"/>
        <rFont val="Tahoma"/>
        <family val="0"/>
        <charset val="1"/>
      </rPr>
      <t xml:space="preserve">.</t>
    </r>
  </si>
  <si>
    <t xml:space="preserve">หมุด</t>
  </si>
  <si>
    <r>
      <rPr>
        <sz val="9"/>
        <rFont val="FreeSans"/>
        <family val="2"/>
      </rPr>
      <t xml:space="preserve">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</si>
  <si>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พพ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ให้ความเห็น </t>
    </r>
    <r>
      <rPr>
        <sz val="9"/>
        <rFont val="Tahoma"/>
        <family val="0"/>
        <charset val="1"/>
      </rPr>
      <t xml:space="preserve">(≤ 30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</si>
  <si>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Milestone (</t>
    </r>
    <r>
      <rPr>
        <sz val="9"/>
        <rFont val="FreeSans"/>
        <family val="2"/>
      </rPr>
      <t xml:space="preserve">ไม่มีน้ำหนัก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</si>
  <si>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พพ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</si>
  <si>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ลำดับ กกพ</t>
    </r>
    <r>
      <rPr>
        <sz val="9"/>
        <rFont val="Tahoma"/>
        <family val="0"/>
        <charset val="1"/>
      </rPr>
      <t xml:space="preserve">. (ERCFlow)</t>
    </r>
  </si>
  <si>
    <r>
      <rPr>
        <sz val="9"/>
        <rFont val="Tahoma"/>
        <family val="0"/>
        <charset val="1"/>
      </rPr>
      <t xml:space="preserve">1.5.3 </t>
    </r>
    <r>
      <rPr>
        <sz val="9"/>
        <rFont val="FreeSans"/>
        <family val="2"/>
      </rPr>
      <t xml:space="preserve">พพ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ความเห็น</t>
    </r>
  </si>
  <si>
    <r>
      <rPr>
        <sz val="9"/>
        <rFont val="FreeSans"/>
        <family val="2"/>
      </rPr>
      <t xml:space="preserve">ใบอนุญาต พค</t>
    </r>
    <r>
      <rPr>
        <sz val="9"/>
        <rFont val="Tahoma"/>
        <family val="0"/>
        <charset val="1"/>
      </rPr>
      <t xml:space="preserve">.2 + </t>
    </r>
    <r>
      <rPr>
        <sz val="9"/>
        <rFont val="FreeSans"/>
        <family val="2"/>
      </rPr>
      <t xml:space="preserve">บันทึกวันหมดอายุ</t>
    </r>
  </si>
  <si>
    <r>
      <rPr>
        <sz val="9"/>
        <rFont val="FreeSans"/>
        <family val="2"/>
      </rPr>
      <t xml:space="preserve">ใบอนุญาต พค</t>
    </r>
    <r>
      <rPr>
        <sz val="9"/>
        <rFont val="Tahoma"/>
        <family val="0"/>
        <charset val="1"/>
      </rPr>
      <t xml:space="preserve">.2 + </t>
    </r>
    <r>
      <rPr>
        <sz val="9"/>
        <rFont val="FreeSans"/>
        <family val="2"/>
      </rPr>
      <t xml:space="preserve">วันหมดอายุบันทึกในแอป</t>
    </r>
  </si>
  <si>
    <r>
      <rPr>
        <sz val="9"/>
        <rFont val="FreeSans"/>
        <family val="2"/>
      </rPr>
      <t xml:space="preserve">เอกสารสถานี </t>
    </r>
    <r>
      <rPr>
        <sz val="9"/>
        <rFont val="Tahoma"/>
        <family val="0"/>
        <charset val="1"/>
      </rPr>
      <t xml:space="preserve">(expiresAt)</t>
    </r>
  </si>
  <si>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</t>
    </r>
  </si>
  <si>
    <r>
      <rPr>
        <b val="true"/>
        <sz val="9"/>
        <rFont val="Tahoma"/>
        <family val="0"/>
        <charset val="1"/>
      </rPr>
      <t xml:space="preserve">COP / </t>
    </r>
    <r>
      <rPr>
        <b val="true"/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กกพ</t>
    </r>
    <r>
      <rPr>
        <b val="true"/>
        <sz val="9"/>
        <rFont val="Tahoma"/>
        <family val="0"/>
        <charset val="1"/>
      </rPr>
      <t xml:space="preserve">.)</t>
    </r>
  </si>
  <si>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 </t>
    </r>
    <r>
      <rPr>
        <b val="true"/>
        <sz val="9"/>
        <rFont val="FreeSans"/>
        <family val="2"/>
      </rPr>
      <t xml:space="preserve">ตามแผนงาน </t>
    </r>
    <r>
      <rPr>
        <b val="true"/>
        <sz val="9"/>
        <rFont val="Tahoma"/>
        <family val="0"/>
        <charset val="1"/>
      </rPr>
      <t xml:space="preserve">MP, </t>
    </r>
    <r>
      <rPr>
        <b val="true"/>
        <sz val="9"/>
        <rFont val="FreeSans"/>
        <family val="2"/>
      </rPr>
      <t xml:space="preserve">ยกเว้นใบอนุญาตเมื่อ </t>
    </r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</rPr>
      <t xml:space="preserve">รวม </t>
    </r>
    <r>
      <rPr>
        <b val="true"/>
        <sz val="9"/>
        <rFont val="Tahoma"/>
        <family val="0"/>
        <charset val="1"/>
      </rPr>
      <t xml:space="preserve">&lt; 1,000 kW</t>
    </r>
  </si>
  <si>
    <r>
      <rPr>
        <b val="true"/>
        <sz val="9"/>
        <rFont val="FreeSans"/>
        <family val="2"/>
      </rPr>
      <t xml:space="preserve">ใบอนุญาต พค</t>
    </r>
    <r>
      <rPr>
        <b val="true"/>
        <sz val="9"/>
        <rFont val="Tahoma"/>
        <family val="0"/>
        <charset val="1"/>
      </rPr>
      <t xml:space="preserve">.2 (1.5), </t>
    </r>
    <r>
      <rPr>
        <b val="true"/>
        <sz val="9"/>
        <rFont val="FreeSans"/>
        <family val="2"/>
      </rPr>
      <t xml:space="preserve">การขอขนานไฟ </t>
    </r>
    <r>
      <rPr>
        <b val="true"/>
        <sz val="9"/>
        <rFont val="Tahoma"/>
        <family val="0"/>
        <charset val="1"/>
      </rPr>
      <t xml:space="preserve">(1.7)</t>
    </r>
  </si>
  <si>
    <r>
      <rPr>
        <b val="true"/>
        <sz val="9"/>
        <rFont val="FreeSans"/>
        <family val="2"/>
      </rPr>
      <t xml:space="preserve">ประกาศรายชื่อบนเว็บ กกพ</t>
    </r>
    <r>
      <rPr>
        <b val="true"/>
        <sz val="9"/>
        <rFont val="Tahoma"/>
        <family val="0"/>
        <charset val="1"/>
      </rPr>
      <t xml:space="preserve">. / </t>
    </r>
    <r>
      <rPr>
        <b val="true"/>
        <sz val="9"/>
        <rFont val="FreeSans"/>
        <family val="2"/>
      </rPr>
      <t xml:space="preserve">แจ้งผลการแจ้งยกเว้น</t>
    </r>
  </si>
  <si>
    <r>
      <rPr>
        <b val="true"/>
        <sz val="9"/>
        <rFont val="FreeSans"/>
        <family val="2"/>
      </rPr>
      <t xml:space="preserve">ลำดับ กกพ</t>
    </r>
    <r>
      <rPr>
        <b val="true"/>
        <sz val="9"/>
        <rFont val="Tahoma"/>
        <family val="0"/>
        <charset val="1"/>
      </rPr>
      <t xml:space="preserve">. (ERCFlow)</t>
    </r>
  </si>
  <si>
    <r>
      <rPr>
        <b val="true"/>
        <sz val="9"/>
        <rFont val="FreeSans"/>
        <family val="2"/>
      </rPr>
      <t xml:space="preserve">กกพ</t>
    </r>
    <r>
      <rPr>
        <b val="true"/>
        <sz val="9"/>
        <rFont val="Tahoma"/>
        <family val="0"/>
        <charset val="1"/>
      </rPr>
      <t xml:space="preserve">.</t>
    </r>
  </si>
  <si>
    <t xml:space="preserve">cop</t>
  </si>
  <si>
    <r>
      <rPr>
        <b val="true"/>
        <sz val="9"/>
        <rFont val="Tahoma"/>
        <family val="0"/>
        <charset val="1"/>
      </rPr>
      <t xml:space="preserve">1.6 COP / </t>
    </r>
    <r>
      <rPr>
        <b val="true"/>
        <sz val="9"/>
        <rFont val="FreeSans"/>
        <family val="2"/>
      </rPr>
      <t xml:space="preserve">แจ้ง กกพ</t>
    </r>
    <r>
      <rPr>
        <b val="true"/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</si>
  <si>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ผลตรวจเกณฑ์ยกเว้น กกพ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</si>
  <si>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ตรวจเกณฑ์ยกเว้น </t>
    </r>
    <r>
      <rPr>
        <sz val="9"/>
        <rFont val="Tahoma"/>
        <family val="0"/>
        <charset val="1"/>
      </rPr>
      <t xml:space="preserve">(&lt; 1,000 kW), </t>
    </r>
    <r>
      <rPr>
        <sz val="9"/>
        <rFont val="FreeSans"/>
        <family val="2"/>
      </rPr>
      <t xml:space="preserve">ช่องทางแจ้ง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ส่งให้ หรือแจ้งเอง ≥ </t>
    </r>
    <r>
      <rPr>
        <sz val="9"/>
        <rFont val="Tahoma"/>
        <family val="0"/>
        <charset val="1"/>
      </rPr>
      <t xml:space="preserve">200 kVA)</t>
    </r>
  </si>
  <si>
    <r>
      <rPr>
        <sz val="9"/>
        <rFont val="FreeSans"/>
        <family val="2"/>
      </rPr>
      <t xml:space="preserve">ผลตรวจเกณฑ์ยกเว้น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ช่องทางแจ้งที่เลือก</t>
    </r>
  </si>
  <si>
    <r>
      <rPr>
        <sz val="9"/>
        <rFont val="FreeSans"/>
        <family val="2"/>
      </rPr>
      <t xml:space="preserve">หลักฐานแจ้งยกเว้น กกพ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</si>
  <si>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แจ้ง กกพ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บันทึกผลการแจ้งยกเว้น</t>
    </r>
  </si>
  <si>
    <r>
      <rPr>
        <sz val="9"/>
        <rFont val="FreeSans"/>
        <family val="2"/>
      </rPr>
      <t xml:space="preserve">หลักฐานการแจ้ง กกพ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</rPr>
      <t xml:space="preserve">ชื่อบนเว็บ กกพ</t>
    </r>
    <r>
      <rPr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</si>
  <si>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</rPr>
      <t xml:space="preserve">ยื่นขอขนานไฟ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กฟภ</t>
    </r>
    <r>
      <rPr>
        <b val="true"/>
        <sz val="9"/>
        <rFont val="Tahoma"/>
        <family val="0"/>
        <charset val="1"/>
      </rPr>
      <t xml:space="preserve">.)</t>
    </r>
  </si>
  <si>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1.5 (1 </t>
    </r>
    <r>
      <rPr>
        <b val="true"/>
        <sz val="9"/>
        <rFont val="FreeSans"/>
        <family val="2"/>
      </rPr>
      <t xml:space="preserve">ถ้าตั้งแต่ </t>
    </r>
    <r>
      <rPr>
        <b val="true"/>
        <sz val="9"/>
        <rFont val="Tahoma"/>
        <family val="0"/>
        <charset val="1"/>
      </rPr>
      <t xml:space="preserve">200 kVA), 2 </t>
    </r>
    <r>
      <rPr>
        <b val="true"/>
        <sz val="9"/>
        <rFont val="FreeSans"/>
        <family val="2"/>
      </rPr>
      <t xml:space="preserve">ช่วงตามระเบียบ กฟภ</t>
    </r>
    <r>
      <rPr>
        <b val="true"/>
        <sz val="9"/>
        <rFont val="Tahoma"/>
        <family val="0"/>
        <charset val="1"/>
      </rPr>
      <t xml:space="preserve">.: </t>
    </r>
    <r>
      <rPr>
        <b val="true"/>
        <sz val="9"/>
        <rFont val="FreeSans"/>
        <family val="2"/>
      </rPr>
      <t xml:space="preserve">ผลพิจารณาแบบ ≤ </t>
    </r>
    <r>
      <rPr>
        <b val="true"/>
        <sz val="9"/>
        <rFont val="Tahoma"/>
        <family val="0"/>
        <charset val="1"/>
      </rPr>
      <t xml:space="preserve">15 </t>
    </r>
    <r>
      <rPr>
        <b val="true"/>
        <sz val="9"/>
        <rFont val="FreeSans"/>
        <family val="2"/>
      </rPr>
      <t xml:space="preserve">วันทำการ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ผลตรวจระบบ ≤ </t>
    </r>
    <r>
      <rPr>
        <b val="true"/>
        <sz val="9"/>
        <rFont val="Tahoma"/>
        <family val="0"/>
        <charset val="1"/>
      </rPr>
      <t xml:space="preserve">30 </t>
    </r>
    <r>
      <rPr>
        <b val="true"/>
        <sz val="9"/>
        <rFont val="FreeSans"/>
        <family val="2"/>
      </rPr>
      <t xml:space="preserve">วันทำการ</t>
    </r>
  </si>
  <si>
    <r>
      <rPr>
        <b val="true"/>
        <sz val="9"/>
        <rFont val="FreeSans"/>
        <family val="2"/>
      </rPr>
      <t xml:space="preserve">การทดสอบ </t>
    </r>
    <r>
      <rPr>
        <b val="true"/>
        <sz val="9"/>
        <rFont val="Tahoma"/>
        <family val="0"/>
        <charset val="1"/>
      </rPr>
      <t xml:space="preserve">IEC 62446 (3.1 — </t>
    </r>
    <r>
      <rPr>
        <b val="true"/>
        <sz val="9"/>
        <rFont val="FreeSans"/>
        <family val="2"/>
      </rPr>
      <t xml:space="preserve">ใช้ผลประกอบการยื่นช่วงท้าย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ดับไฟเชื่อมระบบ </t>
    </r>
    <r>
      <rPr>
        <b val="true"/>
        <sz val="9"/>
        <rFont val="Tahoma"/>
        <family val="0"/>
        <charset val="1"/>
      </rPr>
      <t xml:space="preserve">(2.10), </t>
    </r>
    <r>
      <rPr>
        <b val="true"/>
        <sz val="9"/>
        <rFont val="FreeSans"/>
        <family val="2"/>
      </rPr>
      <t xml:space="preserve">การแก้ไขเอกสารนับใน </t>
    </r>
    <r>
      <rPr>
        <b val="true"/>
        <sz val="9"/>
        <rFont val="Tahoma"/>
        <family val="0"/>
        <charset val="1"/>
      </rPr>
      <t xml:space="preserve">1.7 </t>
    </r>
    <r>
      <rPr>
        <b val="true"/>
        <sz val="9"/>
        <rFont val="FreeSans"/>
        <family val="2"/>
      </rPr>
      <t xml:space="preserve">ไม่แยกรายการ</t>
    </r>
  </si>
  <si>
    <r>
      <rPr>
        <b val="true"/>
        <sz val="9"/>
        <rFont val="FreeSans"/>
        <family val="2"/>
      </rPr>
      <t xml:space="preserve">ขนานไฟ </t>
    </r>
    <r>
      <rPr>
        <b val="true"/>
        <sz val="9"/>
        <rFont val="Tahoma"/>
        <family val="0"/>
        <charset val="1"/>
      </rPr>
      <t xml:space="preserve">(COD) – First Sync</t>
    </r>
  </si>
  <si>
    <r>
      <rPr>
        <b val="true"/>
        <sz val="9"/>
        <rFont val="FreeSans"/>
        <family val="2"/>
      </rPr>
      <t xml:space="preserve">ใบแจ้งค่าไฟ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พ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</rPr>
      <t xml:space="preserve">ร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</rPr>
      <t xml:space="preserve">บ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</rPr>
      <t xml:space="preserve">จัดตั้ง กปภ</t>
    </r>
    <r>
      <rPr>
        <b val="true"/>
        <sz val="9"/>
        <rFont val="Tahoma"/>
        <family val="0"/>
        <charset val="1"/>
      </rPr>
      <t xml:space="preserve">., </t>
    </r>
    <r>
      <rPr>
        <b val="true"/>
        <sz val="9"/>
        <rFont val="FreeSans"/>
        <family val="2"/>
      </rPr>
      <t xml:space="preserve">แผนผังที่ตั้ง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รายงานภาพถ่ายติดตั้ง</t>
    </r>
    <r>
      <rPr>
        <b val="true"/>
        <sz val="9"/>
        <rFont val="Tahoma"/>
        <family val="0"/>
        <charset val="1"/>
      </rPr>
      <t xml:space="preserve">, Datasheet </t>
    </r>
    <r>
      <rPr>
        <b val="true"/>
        <sz val="9"/>
        <rFont val="FreeSans"/>
        <family val="2"/>
      </rPr>
      <t xml:space="preserve">อุปกรณ์อื่น</t>
    </r>
    <r>
      <rPr>
        <b val="true"/>
        <sz val="9"/>
        <rFont val="Tahoma"/>
        <family val="0"/>
        <charset val="1"/>
      </rPr>
      <t xml:space="preserve">, SLD + </t>
    </r>
    <r>
      <rPr>
        <b val="true"/>
        <sz val="9"/>
        <rFont val="FreeSans"/>
        <family val="2"/>
      </rPr>
      <t xml:space="preserve">เอกสารวิศวกรไฟฟ้า</t>
    </r>
    <r>
      <rPr>
        <b val="true"/>
        <sz val="9"/>
        <rFont val="Tahoma"/>
        <family val="0"/>
        <charset val="1"/>
      </rPr>
      <t xml:space="preserve">, Datasheet </t>
    </r>
    <r>
      <rPr>
        <b val="true"/>
        <sz val="9"/>
        <rFont val="FreeSans"/>
        <family val="2"/>
      </rPr>
      <t xml:space="preserve">แผง</t>
    </r>
    <r>
      <rPr>
        <b val="true"/>
        <sz val="9"/>
        <rFont val="Tahoma"/>
        <family val="0"/>
        <charset val="1"/>
      </rPr>
      <t xml:space="preserve">, Datasheet Inverter, </t>
    </r>
    <r>
      <rPr>
        <b val="true"/>
        <sz val="9"/>
        <rFont val="FreeSans"/>
        <family val="2"/>
      </rPr>
      <t xml:space="preserve">คำสั่ง กปภ</t>
    </r>
    <r>
      <rPr>
        <b val="true"/>
        <sz val="9"/>
        <rFont val="Tahoma"/>
        <family val="0"/>
        <charset val="1"/>
      </rPr>
      <t xml:space="preserve">. (</t>
    </r>
    <r>
      <rPr>
        <b val="true"/>
        <sz val="9"/>
        <rFont val="FreeSans"/>
        <family val="2"/>
      </rPr>
      <t xml:space="preserve">มอบอำนาจ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เอกสารผู้มอบอำนาจ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เอกสารผู้รับมอบอำนาจ</t>
    </r>
  </si>
  <si>
    <t xml:space="preserve">gridConnection</t>
  </si>
  <si>
    <r>
      <rPr>
        <sz val="9"/>
        <rFont val="FreeSans"/>
        <family val="2"/>
      </rPr>
      <t xml:space="preserve">คำขอขนานไฟ </t>
    </r>
    <r>
      <rPr>
        <sz val="9"/>
        <rFont val="Tahoma"/>
        <family val="0"/>
        <charset val="1"/>
      </rPr>
      <t xml:space="preserve">PPIM (</t>
    </r>
    <r>
      <rPr>
        <sz val="9"/>
        <rFont val="FreeSans"/>
        <family val="2"/>
      </rPr>
      <t xml:space="preserve">ชุด </t>
    </r>
    <r>
      <rPr>
        <sz val="9"/>
        <rFont val="Tahoma"/>
        <family val="0"/>
        <charset val="1"/>
      </rPr>
      <t xml:space="preserve">11 </t>
    </r>
    <r>
      <rPr>
        <sz val="9"/>
        <rFont val="FreeSans"/>
        <family val="2"/>
      </rPr>
      <t xml:space="preserve">ไฟล์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</si>
  <si>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ขนานไฟ ช่วงแรก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ยื่นคำขอผ่าน </t>
    </r>
    <r>
      <rPr>
        <sz val="9"/>
        <rFont val="Tahoma"/>
        <family val="0"/>
        <charset val="1"/>
      </rPr>
      <t xml:space="preserve">PPIM (</t>
    </r>
    <r>
      <rPr>
        <sz val="9"/>
        <rFont val="FreeSans"/>
        <family val="2"/>
      </rPr>
      <t xml:space="preserve">ชุด </t>
    </r>
    <r>
      <rPr>
        <sz val="9"/>
        <rFont val="Tahoma"/>
        <family val="0"/>
        <charset val="1"/>
      </rPr>
      <t xml:space="preserve">11 </t>
    </r>
    <r>
      <rPr>
        <sz val="9"/>
        <rFont val="FreeSans"/>
        <family val="2"/>
      </rPr>
      <t xml:space="preserve">ไฟล์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</si>
  <si>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ได้เลขคำขอ </t>
    </r>
    <r>
      <rPr>
        <sz val="9"/>
        <rFont val="Tahoma"/>
        <family val="0"/>
        <charset val="1"/>
      </rPr>
      <t xml:space="preserve">PPIM</t>
    </r>
  </si>
  <si>
    <t xml:space="preserve">เอกสารสถานี › ชุดขนานไฟ</t>
  </si>
  <si>
    <r>
      <rPr>
        <sz val="9"/>
        <rFont val="Tahoma"/>
        <family val="0"/>
        <charset val="1"/>
      </rPr>
      <t xml:space="preserve">1.7.1 </t>
    </r>
    <r>
      <rPr>
        <sz val="9"/>
        <rFont val="FreeSans"/>
        <family val="2"/>
      </rPr>
      <t xml:space="preserve">ยื่น </t>
    </r>
    <r>
      <rPr>
        <sz val="9"/>
        <rFont val="Tahoma"/>
        <family val="0"/>
        <charset val="1"/>
      </rPr>
      <t xml:space="preserve">PPIM</t>
    </r>
  </si>
  <si>
    <r>
      <rPr>
        <sz val="9"/>
        <rFont val="FreeSans"/>
        <family val="2"/>
      </rPr>
      <t xml:space="preserve">คำขอฉบับแก้ไข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ยื่นใหม่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</si>
  <si>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แก้ไขเอกสาร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ยื่นใหม่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</si>
  <si>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เลขคำขอ </t>
    </r>
    <r>
      <rPr>
        <sz val="9"/>
        <rFont val="Tahoma"/>
        <family val="0"/>
        <charset val="1"/>
      </rPr>
      <t xml:space="preserve">PPIM </t>
    </r>
    <r>
      <rPr>
        <sz val="9"/>
        <rFont val="FreeSans"/>
        <family val="2"/>
      </rPr>
      <t xml:space="preserve">ฉบับแก้ล่าสุด</t>
    </r>
  </si>
  <si>
    <r>
      <rPr>
        <sz val="9"/>
        <rFont val="Tahoma"/>
        <family val="0"/>
        <charset val="1"/>
      </rPr>
      <t xml:space="preserve">1.7.2 </t>
    </r>
    <r>
      <rPr>
        <sz val="9"/>
        <rFont val="FreeSans"/>
        <family val="2"/>
      </rPr>
      <t xml:space="preserve">ยื่นแก้ไขล่าสุด</t>
    </r>
  </si>
  <si>
    <r>
      <rPr>
        <sz val="9"/>
        <rFont val="FreeSans"/>
        <family val="2"/>
      </rPr>
      <t xml:space="preserve">ผลพิจารณาแบบ กฟภ</t>
    </r>
    <r>
      <rPr>
        <sz val="9"/>
        <rFont val="Tahoma"/>
        <family val="0"/>
        <charset val="1"/>
      </rPr>
      <t xml:space="preserve">. (≤ 15 </t>
    </r>
    <r>
      <rPr>
        <sz val="9"/>
        <rFont val="FreeSans"/>
        <family val="2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</si>
  <si>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ผลพิจารณาแบบ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อนุมัติ </t>
    </r>
    <r>
      <rPr>
        <sz val="9"/>
        <rFont val="Tahoma"/>
        <family val="0"/>
        <charset val="1"/>
      </rPr>
      <t xml:space="preserve">(≤ 15 </t>
    </r>
    <r>
      <rPr>
        <sz val="9"/>
        <rFont val="FreeSans"/>
        <family val="2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</si>
  <si>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ระเบียบ กฟภ</t>
    </r>
    <r>
      <rPr>
        <sz val="9"/>
        <rFont val="Tahoma"/>
        <family val="0"/>
        <charset val="1"/>
      </rPr>
      <t xml:space="preserve">. 2559 </t>
    </r>
    <r>
      <rPr>
        <sz val="9"/>
        <rFont val="FreeSans"/>
        <family val="2"/>
      </rPr>
      <t xml:space="preserve">ข้อ </t>
    </r>
    <r>
      <rPr>
        <sz val="9"/>
        <rFont val="Tahoma"/>
        <family val="0"/>
        <charset val="1"/>
      </rPr>
      <t xml:space="preserve">5.2</t>
    </r>
  </si>
  <si>
    <r>
      <rPr>
        <sz val="9"/>
        <rFont val="Tahoma"/>
        <family val="0"/>
        <charset val="1"/>
      </rPr>
      <t xml:space="preserve">1.7.3 </t>
    </r>
    <r>
      <rPr>
        <sz val="9"/>
        <rFont val="FreeSans"/>
        <family val="2"/>
      </rPr>
      <t xml:space="preserve">ผลพิจารณาแบบ</t>
    </r>
  </si>
  <si>
    <r>
      <rPr>
        <sz val="9"/>
        <rFont val="FreeSans"/>
        <family val="2"/>
      </rPr>
      <t xml:space="preserve">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สัญญาเชื่อมต่อ</t>
    </r>
  </si>
  <si>
    <r>
      <rPr>
        <sz val="9"/>
        <rFont val="FreeSans"/>
        <family val="2"/>
      </rPr>
      <t xml:space="preserve">ชำระค่าธรรมเนียม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ทำสัญญาเชื่อมต่อ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ภายในวันครบกำหนดในใบแจ้ง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</si>
  <si>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ใบเสร็จค่าธรรมเนียม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สัญญาเชื่อมต่อลงนาม</t>
    </r>
  </si>
  <si>
    <r>
      <rPr>
        <sz val="9"/>
        <rFont val="Tahoma"/>
        <family val="0"/>
        <charset val="1"/>
      </rPr>
      <t xml:space="preserve">1.7.4 </t>
    </r>
    <r>
      <rPr>
        <sz val="9"/>
        <rFont val="FreeSans"/>
        <family val="2"/>
      </rPr>
      <t xml:space="preserve">ชำระค่าธรรมเนียม</t>
    </r>
  </si>
  <si>
    <r>
      <rPr>
        <sz val="9"/>
        <rFont val="FreeSans"/>
        <family val="2"/>
      </rPr>
      <t xml:space="preserve">แบบรับรองการติดตั้ง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คำขอตรวจระบบ</t>
    </r>
  </si>
  <si>
    <r>
      <rPr>
        <sz val="9"/>
        <rFont val="FreeSans"/>
        <family val="2"/>
      </rPr>
      <t xml:space="preserve">ขนานไฟ ช่วงท้าย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แบบรับรองการติดตั้ง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ขอ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ตรวจระบบ</t>
    </r>
  </si>
  <si>
    <r>
      <rPr>
        <sz val="9"/>
        <rFont val="FreeSans"/>
        <family val="2"/>
      </rPr>
      <t xml:space="preserve">สถานะ </t>
    </r>
    <r>
      <rPr>
        <sz val="9"/>
        <rFont val="Tahoma"/>
        <family val="0"/>
        <charset val="1"/>
      </rPr>
      <t xml:space="preserve">PPIM = </t>
    </r>
    <r>
      <rPr>
        <sz val="9"/>
        <rFont val="FreeSans"/>
        <family val="2"/>
      </rPr>
      <t xml:space="preserve">รอตรวจสอบระบบผลิตไฟฟ้า</t>
    </r>
  </si>
  <si>
    <r>
      <rPr>
        <sz val="9"/>
        <rFont val="Tahoma"/>
        <family val="0"/>
        <charset val="1"/>
      </rPr>
      <t xml:space="preserve">3.1 </t>
    </r>
    <r>
      <rPr>
        <sz val="9"/>
        <rFont val="FreeSans"/>
        <family val="2"/>
      </rPr>
      <t xml:space="preserve">ทดสอบ </t>
    </r>
    <r>
      <rPr>
        <sz val="9"/>
        <rFont val="Tahoma"/>
        <family val="0"/>
        <charset val="1"/>
      </rPr>
      <t xml:space="preserve">IEC, 3.1.7 </t>
    </r>
    <r>
      <rPr>
        <sz val="9"/>
        <rFont val="FreeSans"/>
        <family val="2"/>
      </rPr>
      <t xml:space="preserve">ตรวจรับ</t>
    </r>
    <r>
      <rPr>
        <sz val="9"/>
        <rFont val="Tahoma"/>
        <family val="0"/>
        <charset val="1"/>
      </rPr>
      <t xml:space="preserve">, 1.7.4 </t>
    </r>
    <r>
      <rPr>
        <sz val="9"/>
        <rFont val="FreeSans"/>
        <family val="2"/>
      </rPr>
      <t xml:space="preserve">ค่าธรรมเนียม</t>
    </r>
    <r>
      <rPr>
        <sz val="9"/>
        <rFont val="Tahoma"/>
        <family val="0"/>
        <charset val="1"/>
      </rPr>
      <t xml:space="preserve">, 1.5.3 </t>
    </r>
    <r>
      <rPr>
        <sz val="9"/>
        <rFont val="FreeSans"/>
        <family val="2"/>
      </rPr>
      <t xml:space="preserve">พค</t>
    </r>
    <r>
      <rPr>
        <sz val="9"/>
        <rFont val="Tahoma"/>
        <family val="0"/>
        <charset val="1"/>
      </rPr>
      <t xml:space="preserve">.2</t>
    </r>
  </si>
  <si>
    <r>
      <rPr>
        <sz val="9"/>
        <rFont val="Tahoma"/>
        <family val="0"/>
        <charset val="1"/>
      </rPr>
      <t xml:space="preserve">1.7.5 </t>
    </r>
    <r>
      <rPr>
        <sz val="9"/>
        <rFont val="FreeSans"/>
        <family val="2"/>
      </rPr>
      <t xml:space="preserve">ขอตรวจระบบ</t>
    </r>
  </si>
  <si>
    <r>
      <rPr>
        <sz val="9"/>
        <rFont val="FreeSans"/>
        <family val="2"/>
      </rPr>
      <t xml:space="preserve">ผลตรวจระบบ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วันขนานไฟ </t>
    </r>
    <r>
      <rPr>
        <sz val="9"/>
        <rFont val="Tahoma"/>
        <family val="0"/>
        <charset val="1"/>
      </rPr>
      <t xml:space="preserve">COD (≤ 30 </t>
    </r>
    <r>
      <rPr>
        <sz val="9"/>
        <rFont val="FreeSans"/>
        <family val="2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</si>
  <si>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ผลตรวจระบบ → ขนานไฟ </t>
    </r>
    <r>
      <rPr>
        <sz val="9"/>
        <rFont val="Tahoma"/>
        <family val="0"/>
        <charset val="1"/>
      </rPr>
      <t xml:space="preserve">(COD) (≤ 30 </t>
    </r>
    <r>
      <rPr>
        <sz val="9"/>
        <rFont val="FreeSans"/>
        <family val="2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</si>
  <si>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หนังสือพิจารณาการเชื่อมต่อ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วัน </t>
    </r>
    <r>
      <rPr>
        <sz val="9"/>
        <rFont val="Tahoma"/>
        <family val="0"/>
        <charset val="1"/>
      </rPr>
      <t xml:space="preserve">First Sync</t>
    </r>
  </si>
  <si>
    <r>
      <rPr>
        <sz val="9"/>
        <rFont val="FreeSans"/>
        <family val="2"/>
      </rPr>
      <t xml:space="preserve">ข้อกำหนดการใช้บริการ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ปฏิบัติการ กฟภ</t>
    </r>
    <r>
      <rPr>
        <sz val="9"/>
        <rFont val="Tahoma"/>
        <family val="0"/>
        <charset val="1"/>
      </rPr>
      <t xml:space="preserve">. 2569 (Grid Code </t>
    </r>
    <r>
      <rPr>
        <sz val="9"/>
        <rFont val="FreeSans"/>
        <family val="2"/>
      </rPr>
      <t xml:space="preserve">ใหม่เมื่อยื่นหลัง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ธ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ค</t>
    </r>
    <r>
      <rPr>
        <sz val="9"/>
        <rFont val="Tahoma"/>
        <family val="0"/>
        <charset val="1"/>
      </rPr>
      <t xml:space="preserve">. 2569)</t>
    </r>
  </si>
  <si>
    <r>
      <rPr>
        <sz val="9"/>
        <rFont val="Tahoma"/>
        <family val="0"/>
        <charset val="1"/>
      </rPr>
      <t xml:space="preserve">1.7.6 </t>
    </r>
    <r>
      <rPr>
        <sz val="9"/>
        <rFont val="FreeSans"/>
        <family val="2"/>
      </rPr>
      <t xml:space="preserve">ขนานไฟ </t>
    </r>
    <r>
      <rPr>
        <sz val="9"/>
        <rFont val="Tahoma"/>
        <family val="0"/>
        <charset val="1"/>
      </rPr>
      <t xml:space="preserve">COD</t>
    </r>
  </si>
  <si>
    <r>
      <rPr>
        <b val="true"/>
        <sz val="9"/>
        <rFont val="FreeSans"/>
        <family val="2"/>
      </rPr>
      <t xml:space="preserve">ติดตั้งโครงสร้างรองรับแผง และ </t>
    </r>
    <r>
      <rPr>
        <b val="true"/>
        <sz val="9"/>
        <rFont val="Tahoma"/>
        <family val="0"/>
        <charset val="1"/>
      </rPr>
      <t xml:space="preserve">Walkway</t>
    </r>
  </si>
  <si>
    <r>
      <rPr>
        <b val="true"/>
        <sz val="9"/>
        <rFont val="FreeSans"/>
        <family val="2"/>
      </rPr>
      <t xml:space="preserve">การยึดแผง </t>
    </r>
    <r>
      <rPr>
        <b val="true"/>
        <sz val="9"/>
        <rFont val="Tahoma"/>
        <family val="0"/>
        <charset val="1"/>
      </rPr>
      <t xml:space="preserve">(2.3.2), </t>
    </r>
    <r>
      <rPr>
        <b val="true"/>
        <sz val="9"/>
        <rFont val="FreeSans"/>
        <family val="2"/>
      </rPr>
      <t xml:space="preserve">รางเดินสาย </t>
    </r>
    <r>
      <rPr>
        <b val="true"/>
        <sz val="9"/>
        <rFont val="Tahoma"/>
        <family val="0"/>
        <charset val="1"/>
      </rPr>
      <t xml:space="preserve">DC (2.2.1), Bonding </t>
    </r>
    <r>
      <rPr>
        <b val="true"/>
        <sz val="9"/>
        <rFont val="FreeSans"/>
        <family val="2"/>
      </rPr>
      <t xml:space="preserve">โครง </t>
    </r>
    <r>
      <rPr>
        <b val="true"/>
        <sz val="9"/>
        <rFont val="Tahoma"/>
        <family val="0"/>
        <charset val="1"/>
      </rPr>
      <t xml:space="preserve">(2.2.4), </t>
    </r>
    <r>
      <rPr>
        <b val="true"/>
        <sz val="9"/>
        <rFont val="FreeSans"/>
        <family val="2"/>
      </rPr>
      <t xml:space="preserve">ซ่อมหลังคาเดิมนอกจุดยึด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นอกสัญญา เว้นแต่ระบุ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</si>
  <si>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ตรวจรับโครงสร้าง </t>
    </r>
    <r>
      <rPr>
        <b val="true"/>
        <sz val="9"/>
        <rFont val="Tahoma"/>
        <family val="0"/>
        <charset val="1"/>
      </rPr>
      <t xml:space="preserve">(ICL) </t>
    </r>
    <r>
      <rPr>
        <b val="true"/>
        <sz val="9"/>
        <rFont val="FreeSans"/>
        <family val="2"/>
      </rPr>
      <t xml:space="preserve">ผ่าน</t>
    </r>
  </si>
  <si>
    <r>
      <rPr>
        <b val="true"/>
        <sz val="9"/>
        <rFont val="FreeSans"/>
        <family val="2"/>
      </rPr>
      <t xml:space="preserve">ระบุจุดติดตั้งแล้ว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</rPr>
      <t xml:space="preserve">ถ่วง </t>
    </r>
    <r>
      <rPr>
        <b val="true"/>
        <sz val="9"/>
        <rFont val="Tahoma"/>
        <family val="0"/>
        <charset val="1"/>
      </rPr>
      <t xml:space="preserve">kWp × </t>
    </r>
    <r>
      <rPr>
        <b val="true"/>
        <sz val="9"/>
        <rFont val="FreeSans"/>
        <family val="2"/>
      </rPr>
      <t xml:space="preserve">ขั้นที่ติ๊กรายจุด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ชีตจุดติดตั้ง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ยังไม่ระบุ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</rPr>
      <t xml:space="preserve">ถ่วงน้ำหนักงานย่อยที่ติ๊ก </t>
    </r>
    <r>
      <rPr>
        <b val="true"/>
        <sz val="9"/>
        <rFont val="Tahoma"/>
        <family val="0"/>
        <charset val="1"/>
      </rPr>
      <t xml:space="preserve">Y</t>
    </r>
  </si>
  <si>
    <r>
      <rPr>
        <b val="true"/>
        <sz val="9"/>
        <rFont val="FreeSans"/>
        <family val="2"/>
      </rPr>
      <t xml:space="preserve">หลังคา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โครงสร้างรองรับ</t>
    </r>
  </si>
  <si>
    <r>
      <rPr>
        <b val="true"/>
        <sz val="9"/>
        <rFont val="Tahoma"/>
        <family val="0"/>
        <charset val="1"/>
      </rPr>
      <t xml:space="preserve">R2 %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2.1, </t>
    </r>
    <r>
      <rPr>
        <b val="true"/>
        <sz val="9"/>
        <rFont val="FreeSans"/>
        <family val="2"/>
      </rPr>
      <t xml:space="preserve">ใบตรวจรับงาน</t>
    </r>
  </si>
  <si>
    <r>
      <rPr>
        <b val="true"/>
        <sz val="9"/>
        <rFont val="Tahoma"/>
        <family val="0"/>
        <charset val="1"/>
      </rPr>
      <t xml:space="preserve">C09 (</t>
    </r>
    <r>
      <rPr>
        <b val="true"/>
        <sz val="9"/>
        <rFont val="FreeSans"/>
        <family val="2"/>
      </rPr>
      <t xml:space="preserve">หลังคาลอนคู่</t>
    </r>
    <r>
      <rPr>
        <b val="true"/>
        <sz val="9"/>
        <rFont val="Tahoma"/>
        <family val="0"/>
        <charset val="1"/>
      </rPr>
      <t xml:space="preserve">), C15 (</t>
    </r>
    <r>
      <rPr>
        <b val="true"/>
        <sz val="9"/>
        <rFont val="FreeSans"/>
        <family val="2"/>
      </rPr>
      <t xml:space="preserve">ถังน้ำใส</t>
    </r>
    <r>
      <rPr>
        <b val="true"/>
        <sz val="9"/>
        <rFont val="Tahoma"/>
        <family val="0"/>
        <charset val="1"/>
      </rPr>
      <t xml:space="preserve">), C16 (</t>
    </r>
    <r>
      <rPr>
        <b val="true"/>
        <sz val="9"/>
        <rFont val="FreeSans"/>
        <family val="2"/>
      </rPr>
      <t xml:space="preserve">หลังคา</t>
    </r>
    <r>
      <rPr>
        <b val="true"/>
        <sz val="9"/>
        <rFont val="Tahoma"/>
        <family val="0"/>
        <charset val="1"/>
      </rPr>
      <t xml:space="preserve">), C17 (</t>
    </r>
    <r>
      <rPr>
        <b val="true"/>
        <sz val="9"/>
        <rFont val="FreeSans"/>
        <family val="2"/>
      </rPr>
      <t xml:space="preserve">หลังคาเมทัลชีท</t>
    </r>
    <r>
      <rPr>
        <b val="true"/>
        <sz val="9"/>
        <rFont val="Tahoma"/>
        <family val="0"/>
        <charset val="1"/>
      </rPr>
      <t xml:space="preserve">), C18 (</t>
    </r>
    <r>
      <rPr>
        <b val="true"/>
        <sz val="9"/>
        <rFont val="FreeSans"/>
        <family val="2"/>
      </rPr>
      <t xml:space="preserve">สูง ≥ </t>
    </r>
    <r>
      <rPr>
        <b val="true"/>
        <sz val="9"/>
        <rFont val="Tahoma"/>
        <family val="0"/>
        <charset val="1"/>
      </rPr>
      <t xml:space="preserve">3 </t>
    </r>
    <r>
      <rPr>
        <b val="true"/>
        <sz val="9"/>
        <rFont val="FreeSans"/>
        <family val="2"/>
      </rPr>
      <t xml:space="preserve">ม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ไม่มีบันได</t>
    </r>
    <r>
      <rPr>
        <b val="true"/>
        <sz val="9"/>
        <rFont val="Tahoma"/>
        <family val="0"/>
        <charset val="1"/>
      </rPr>
      <t xml:space="preserve">), STEEL SUPPORT (</t>
    </r>
    <r>
      <rPr>
        <b val="true"/>
        <sz val="9"/>
        <rFont val="FreeSans"/>
        <family val="2"/>
      </rPr>
      <t xml:space="preserve">ถังดินกลบ</t>
    </r>
    <r>
      <rPr>
        <b val="true"/>
        <sz val="9"/>
        <rFont val="Tahoma"/>
        <family val="0"/>
        <charset val="1"/>
      </rPr>
      <t xml:space="preserve">)</t>
    </r>
  </si>
  <si>
    <t xml:space="preserve">structure</t>
  </si>
  <si>
    <r>
      <rPr>
        <b val="true"/>
        <sz val="9"/>
        <rFont val="Tahoma"/>
        <family val="0"/>
        <charset val="1"/>
      </rPr>
      <t xml:space="preserve">2.1 </t>
    </r>
    <r>
      <rPr>
        <b val="true"/>
        <sz val="9"/>
        <rFont val="FreeSans"/>
        <family val="2"/>
      </rPr>
      <t xml:space="preserve">โครงสร้าง</t>
    </r>
    <r>
      <rPr>
        <b val="true"/>
        <sz val="9"/>
        <rFont val="Tahoma"/>
        <family val="0"/>
        <charset val="1"/>
      </rPr>
      <t xml:space="preserve">+Walkway</t>
    </r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</si>
  <si>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</rPr>
      <t xml:space="preserve">โครงสร้าง</t>
    </r>
  </si>
  <si>
    <r>
      <rPr>
        <sz val="9"/>
        <rFont val="FreeSans"/>
        <family val="2"/>
      </rPr>
      <t xml:space="preserve">ผังจุดยึด </t>
    </r>
    <r>
      <rPr>
        <sz val="9"/>
        <rFont val="Tahoma"/>
        <family val="0"/>
        <charset val="1"/>
      </rPr>
      <t xml:space="preserve">(Mark </t>
    </r>
    <r>
      <rPr>
        <sz val="9"/>
        <rFont val="FreeSans"/>
        <family val="2"/>
      </rPr>
      <t xml:space="preserve">ตาม </t>
    </r>
    <r>
      <rPr>
        <sz val="9"/>
        <rFont val="Tahoma"/>
        <family val="0"/>
        <charset val="1"/>
      </rPr>
      <t xml:space="preserve">shop drawing)</t>
    </r>
  </si>
  <si>
    <r>
      <rPr>
        <sz val="9"/>
        <rFont val="FreeSans"/>
        <family val="2"/>
      </rPr>
      <t xml:space="preserve">ตรวจสภาพหลังคา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</rPr>
      <t xml:space="preserve">จุดยึดตาม </t>
    </r>
    <r>
      <rPr>
        <sz val="9"/>
        <rFont val="Tahoma"/>
        <family val="0"/>
        <charset val="1"/>
      </rPr>
      <t xml:space="preserve">shop drawing</t>
    </r>
  </si>
  <si>
    <r>
      <rPr>
        <sz val="9"/>
        <rFont val="FreeSans"/>
        <family val="2"/>
      </rPr>
      <t xml:space="preserve">ผังจุดยึด </t>
    </r>
    <r>
      <rPr>
        <sz val="9"/>
        <rFont val="Tahoma"/>
        <family val="0"/>
        <charset val="1"/>
      </rPr>
      <t xml:space="preserve">/ Mark </t>
    </r>
    <r>
      <rPr>
        <sz val="9"/>
        <rFont val="FreeSans"/>
        <family val="2"/>
      </rPr>
      <t xml:space="preserve">ครบตาม </t>
    </r>
    <r>
      <rPr>
        <sz val="9"/>
        <rFont val="Tahoma"/>
        <family val="0"/>
        <charset val="1"/>
      </rPr>
      <t xml:space="preserve">shop drawing + </t>
    </r>
    <r>
      <rPr>
        <sz val="9"/>
        <rFont val="FreeSans"/>
        <family val="2"/>
      </rPr>
      <t xml:space="preserve">รูปถ่าย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</si>
  <si>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</rPr>
      <t xml:space="preserve">หลังคาลอนคู่</t>
    </r>
    <r>
      <rPr>
        <sz val="9"/>
        <rFont val="Tahoma"/>
        <family val="0"/>
        <charset val="1"/>
      </rPr>
      <t xml:space="preserve">), C15 (</t>
    </r>
    <r>
      <rPr>
        <sz val="9"/>
        <rFont val="FreeSans"/>
        <family val="2"/>
      </rPr>
      <t xml:space="preserve">ถังน้ำใส</t>
    </r>
    <r>
      <rPr>
        <sz val="9"/>
        <rFont val="Tahoma"/>
        <family val="0"/>
        <charset val="1"/>
      </rPr>
      <t xml:space="preserve">), STEEL SUPPORT (</t>
    </r>
    <r>
      <rPr>
        <sz val="9"/>
        <rFont val="FreeSans"/>
        <family val="2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</si>
  <si>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บันไดเซอร์วิส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ทางขึ้นลง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</rPr>
      <t xml:space="preserve">ชั่วคราว</t>
    </r>
  </si>
  <si>
    <r>
      <rPr>
        <sz val="9"/>
        <rFont val="FreeSans"/>
        <family val="2"/>
      </rPr>
      <t xml:space="preserve">จุดที่ต้องปีนขึ้นสูงตั้งแต่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และยังไม่มีบันไดถาวร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บันไดเหล็กมีกรงยึดผนัง ส่งมอบให้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ใช้บำรุงรักษาต่อ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สูง ≤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ช่วงเดียว</t>
    </r>
    <r>
      <rPr>
        <sz val="9"/>
        <rFont val="Tahoma"/>
        <family val="0"/>
        <charset val="1"/>
      </rPr>
      <t xml:space="preserve">, &gt; 8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2 </t>
    </r>
    <r>
      <rPr>
        <sz val="9"/>
        <rFont val="FreeSans"/>
        <family val="2"/>
      </rPr>
      <t xml:space="preserve">ช่วง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ชานพัก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จุดอื่น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จุดขึ้นลงชั่วคราว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นั่งร้าน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บันไดยึด</t>
    </r>
    <r>
      <rPr>
        <sz val="9"/>
        <rFont val="Tahoma"/>
        <family val="0"/>
        <charset val="1"/>
      </rPr>
      <t xml:space="preserve">) + Lifeline</t>
    </r>
  </si>
  <si>
    <r>
      <rPr>
        <sz val="9"/>
        <rFont val="FreeSans"/>
        <family val="2"/>
      </rPr>
      <t xml:space="preserve">บันไดตรวจรับแล้ว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ยึดผนังครบ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กรงต่อเนื่อง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ทาสีกันสนิม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ก่อนใช้ขึ้นลง</t>
    </r>
  </si>
  <si>
    <r>
      <rPr>
        <sz val="9"/>
        <rFont val="FreeSans"/>
        <family val="2"/>
      </rPr>
      <t xml:space="preserve">แบบ กปภ</t>
    </r>
    <r>
      <rPr>
        <sz val="9"/>
        <rFont val="Tahoma"/>
        <family val="0"/>
        <charset val="1"/>
      </rPr>
      <t xml:space="preserve">. ‘</t>
    </r>
    <r>
      <rPr>
        <sz val="9"/>
        <rFont val="FreeSans"/>
        <family val="2"/>
      </rPr>
      <t xml:space="preserve">แบบการติดตั้งบันไดเซอร์วิส’ </t>
    </r>
    <r>
      <rPr>
        <sz val="9"/>
        <rFont val="Tahoma"/>
        <family val="0"/>
        <charset val="1"/>
      </rPr>
      <t xml:space="preserve">PEA-EMD-03-2024C18 </t>
    </r>
    <r>
      <rPr>
        <sz val="9"/>
        <rFont val="FreeSans"/>
        <family val="2"/>
      </rPr>
      <t xml:space="preserve">แผ่น </t>
    </r>
    <r>
      <rPr>
        <sz val="9"/>
        <rFont val="Tahoma"/>
        <family val="0"/>
        <charset val="1"/>
      </rPr>
      <t xml:space="preserve">1–2</t>
    </r>
  </si>
  <si>
    <r>
      <rPr>
        <sz val="9"/>
        <rFont val="Tahoma"/>
        <family val="0"/>
        <charset val="1"/>
      </rPr>
      <t xml:space="preserve">C18 (</t>
    </r>
    <r>
      <rPr>
        <sz val="9"/>
        <rFont val="FreeSans"/>
        <family val="2"/>
      </rPr>
      <t xml:space="preserve">สูง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ไม่มีบันได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</si>
  <si>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ฐานยึดโครงสร้าง </t>
    </r>
    <r>
      <rPr>
        <sz val="9"/>
        <rFont val="Tahoma"/>
        <family val="0"/>
        <charset val="1"/>
      </rPr>
      <t xml:space="preserve">(Hanger bolt / Kliplok / </t>
    </r>
    <r>
      <rPr>
        <sz val="9"/>
        <rFont val="FreeSans"/>
        <family val="2"/>
      </rPr>
      <t xml:space="preserve">พุก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</si>
  <si>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เตรียมฐานยึด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กันซึม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ฐานคอนกรีต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พุก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หลังคา คสล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</rPr>
      <t xml:space="preserve">หรือ </t>
    </r>
    <r>
      <rPr>
        <sz val="9"/>
        <rFont val="Tahoma"/>
        <family val="0"/>
        <charset val="1"/>
      </rPr>
      <t xml:space="preserve">Hanger bolt / Clamp (</t>
    </r>
    <r>
      <rPr>
        <sz val="9"/>
        <rFont val="FreeSans"/>
        <family val="2"/>
      </rPr>
      <t xml:space="preserve">หลังคาลอน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เมทัลชีท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</si>
  <si>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ฐานยึดครบทุกจุด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กันซึม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ฐานคอนกรีตบ่มครบ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ถ้ามี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รูปถ่าย</t>
    </r>
  </si>
  <si>
    <r>
      <rPr>
        <sz val="9"/>
        <rFont val="Tahoma"/>
        <family val="0"/>
        <charset val="1"/>
      </rPr>
      <t xml:space="preserve">50/50 (S = </t>
    </r>
    <r>
      <rPr>
        <sz val="9"/>
        <rFont val="FreeSans"/>
        <family val="2"/>
      </rPr>
      <t xml:space="preserve">เริ่ม</t>
    </r>
    <r>
      <rPr>
        <sz val="9"/>
        <rFont val="Tahoma"/>
        <family val="0"/>
        <charset val="1"/>
      </rPr>
      <t xml:space="preserve">, Y = </t>
    </r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ระบุจุดติดตั้งแล้ว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ตามจุด</t>
    </r>
  </si>
  <si>
    <r>
      <rPr>
        <sz val="9"/>
        <rFont val="FreeSans"/>
        <family val="2"/>
      </rPr>
      <t xml:space="preserve">รายการคำนวณโยธา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รอบ่มคอนกรีต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</si>
  <si>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</rPr>
      <t xml:space="preserve">หลังคาลอนคู่</t>
    </r>
    <r>
      <rPr>
        <sz val="9"/>
        <rFont val="Tahoma"/>
        <family val="0"/>
        <charset val="1"/>
      </rPr>
      <t xml:space="preserve">), C15 (</t>
    </r>
    <r>
      <rPr>
        <sz val="9"/>
        <rFont val="FreeSans"/>
        <family val="2"/>
      </rPr>
      <t xml:space="preserve">ถังน้ำใส</t>
    </r>
    <r>
      <rPr>
        <sz val="9"/>
        <rFont val="Tahoma"/>
        <family val="0"/>
        <charset val="1"/>
      </rPr>
      <t xml:space="preserve">), C17 (</t>
    </r>
    <r>
      <rPr>
        <sz val="9"/>
        <rFont val="FreeSans"/>
        <family val="2"/>
      </rPr>
      <t xml:space="preserve">หลังคาเมทัลชีท</t>
    </r>
    <r>
      <rPr>
        <sz val="9"/>
        <rFont val="Tahoma"/>
        <family val="0"/>
        <charset val="1"/>
      </rPr>
      <t xml:space="preserve">), STEEL SUPPORT (</t>
    </r>
    <r>
      <rPr>
        <sz val="9"/>
        <rFont val="FreeSans"/>
        <family val="2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</si>
  <si>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โครง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</rPr>
      <t xml:space="preserve">อลูมิเนียม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ขันตามแรงบิด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</si>
  <si>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ติดตั้ง </t>
    </r>
    <r>
      <rPr>
        <sz val="9"/>
        <rFont val="Tahoma"/>
        <family val="0"/>
        <charset val="1"/>
      </rPr>
      <t xml:space="preserve">Rail / </t>
    </r>
    <r>
      <rPr>
        <sz val="9"/>
        <rFont val="FreeSans"/>
        <family val="2"/>
      </rPr>
      <t xml:space="preserve">โครงอลูมิเนียม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ตรวจแรงขัน </t>
    </r>
    <r>
      <rPr>
        <sz val="9"/>
        <rFont val="Tahoma"/>
        <family val="0"/>
        <charset val="1"/>
      </rPr>
      <t xml:space="preserve">(torque)</t>
    </r>
  </si>
  <si>
    <r>
      <rPr>
        <sz val="9"/>
        <rFont val="Tahoma"/>
        <family val="0"/>
        <charset val="1"/>
      </rPr>
      <t xml:space="preserve">Rail / </t>
    </r>
    <r>
      <rPr>
        <sz val="9"/>
        <rFont val="FreeSans"/>
        <family val="2"/>
      </rPr>
      <t xml:space="preserve">โครงครบ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บันทึกแรงขัน </t>
    </r>
    <r>
      <rPr>
        <sz val="9"/>
        <rFont val="Tahoma"/>
        <family val="0"/>
        <charset val="1"/>
      </rPr>
      <t xml:space="preserve">(M8 12, M10 21 N·m)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</si>
  <si>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</rPr>
      <t xml:space="preserve">หลังคาลอนคู่</t>
    </r>
    <r>
      <rPr>
        <sz val="9"/>
        <rFont val="Tahoma"/>
        <family val="0"/>
        <charset val="1"/>
      </rPr>
      <t xml:space="preserve">), C15 (</t>
    </r>
    <r>
      <rPr>
        <sz val="9"/>
        <rFont val="FreeSans"/>
        <family val="2"/>
      </rPr>
      <t xml:space="preserve">ถังน้ำใส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</si>
  <si>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Walkway HDG + Lifeline </t>
    </r>
    <r>
      <rPr>
        <sz val="9"/>
        <rFont val="FreeSans"/>
        <family val="2"/>
      </rPr>
      <t xml:space="preserve">ถาวร</t>
    </r>
  </si>
  <si>
    <r>
      <rPr>
        <sz val="9"/>
        <rFont val="Tahoma"/>
        <family val="0"/>
        <charset val="1"/>
      </rPr>
      <t xml:space="preserve">Walkway </t>
    </r>
    <r>
      <rPr>
        <sz val="9"/>
        <rFont val="FreeSans"/>
        <family val="2"/>
      </rPr>
      <t xml:space="preserve">ยึดครบ ไม่โยก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</rPr>
      <t xml:space="preserve">ตึง </t>
    </r>
    <r>
      <rPr>
        <sz val="9"/>
        <rFont val="Tahoma"/>
        <family val="0"/>
        <charset val="1"/>
      </rPr>
      <t xml:space="preserve">clips </t>
    </r>
    <r>
      <rPr>
        <sz val="9"/>
        <rFont val="FreeSans"/>
        <family val="2"/>
      </rPr>
      <t xml:space="preserve">ครบสองปลาย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</si>
  <si>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</rPr>
      <t xml:space="preserve">หลังคา</t>
    </r>
    <r>
      <rPr>
        <sz val="9"/>
        <rFont val="Tahoma"/>
        <family val="0"/>
        <charset val="1"/>
      </rPr>
      <t xml:space="preserve">), STEEL SUPPORT (</t>
    </r>
    <r>
      <rPr>
        <sz val="9"/>
        <rFont val="FreeSans"/>
        <family val="2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</si>
  <si>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ท่อน้ำล้างแผง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ก๊อก</t>
    </r>
  </si>
  <si>
    <r>
      <rPr>
        <sz val="9"/>
        <rFont val="FreeSans"/>
        <family val="2"/>
      </rPr>
      <t xml:space="preserve">ท่อน้ำ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ก๊อกล้างแผง</t>
    </r>
  </si>
  <si>
    <r>
      <rPr>
        <sz val="9"/>
        <rFont val="FreeSans"/>
        <family val="2"/>
      </rPr>
      <t xml:space="preserve">ท่อน้ำ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ก๊อกครบ ทดสอบไม่รั่ว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</si>
  <si>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</rPr>
      <t xml:space="preserve">หลังคา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</si>
  <si>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</si>
  <si>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รูปถ่าย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ตรวจคุณภาพ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รับมอบที่ </t>
    </r>
    <r>
      <rPr>
        <sz val="9"/>
        <rFont val="Tahoma"/>
        <family val="0"/>
        <charset val="1"/>
      </rPr>
      <t xml:space="preserve">3.1.7)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</si>
  <si>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โครงสร้างลงนาม วศ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ทุกจุดติดตั้ง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</si>
  <si>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</rPr>
      <t xml:space="preserve">หลังคาลอนคู่</t>
    </r>
    <r>
      <rPr>
        <sz val="9"/>
        <rFont val="Tahoma"/>
        <family val="0"/>
        <charset val="1"/>
      </rPr>
      <t xml:space="preserve">), C15 (</t>
    </r>
    <r>
      <rPr>
        <sz val="9"/>
        <rFont val="FreeSans"/>
        <family val="2"/>
      </rPr>
      <t xml:space="preserve">ถังน้ำใส</t>
    </r>
    <r>
      <rPr>
        <sz val="9"/>
        <rFont val="Tahoma"/>
        <family val="0"/>
        <charset val="1"/>
      </rPr>
      <t xml:space="preserve">), C16 (</t>
    </r>
    <r>
      <rPr>
        <sz val="9"/>
        <rFont val="FreeSans"/>
        <family val="2"/>
      </rPr>
      <t xml:space="preserve">หลังคา</t>
    </r>
    <r>
      <rPr>
        <sz val="9"/>
        <rFont val="Tahoma"/>
        <family val="0"/>
        <charset val="1"/>
      </rPr>
      <t xml:space="preserve">), C17 (</t>
    </r>
    <r>
      <rPr>
        <sz val="9"/>
        <rFont val="FreeSans"/>
        <family val="2"/>
      </rPr>
      <t xml:space="preserve">หลังคาเมทัลชีท</t>
    </r>
    <r>
      <rPr>
        <sz val="9"/>
        <rFont val="Tahoma"/>
        <family val="0"/>
        <charset val="1"/>
      </rPr>
      <t xml:space="preserve">), STEEL SUPPORT (</t>
    </r>
    <r>
      <rPr>
        <sz val="9"/>
        <rFont val="FreeSans"/>
        <family val="2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</si>
  <si>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ติดตั้งอุปกรณ์ไฟฟ้าด้าน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</si>
  <si>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FreeSans"/>
        <family val="2"/>
      </rPr>
      <t xml:space="preserve">สายด้าน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</rPr>
      <t xml:space="preserve">หลัง </t>
    </r>
    <r>
      <rPr>
        <b val="true"/>
        <sz val="9"/>
        <rFont val="Tahoma"/>
        <family val="0"/>
        <charset val="1"/>
      </rPr>
      <t xml:space="preserve">Inverter (2.5.3, 2.6), </t>
    </r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FTS / Rapid shutdown (2.4), </t>
    </r>
    <r>
      <rPr>
        <b val="true"/>
        <sz val="9"/>
        <rFont val="FreeSans"/>
        <family val="2"/>
      </rPr>
      <t xml:space="preserve">การทดสอบ </t>
    </r>
    <r>
      <rPr>
        <b val="true"/>
        <sz val="9"/>
        <rFont val="Tahoma"/>
        <family val="0"/>
        <charset val="1"/>
      </rPr>
      <t xml:space="preserve">IEC </t>
    </r>
    <r>
      <rPr>
        <b val="true"/>
        <sz val="9"/>
        <rFont val="FreeSans"/>
        <family val="2"/>
      </rPr>
      <t xml:space="preserve">ราย </t>
    </r>
    <r>
      <rPr>
        <b val="true"/>
        <sz val="9"/>
        <rFont val="Tahoma"/>
        <family val="0"/>
        <charset val="1"/>
      </rPr>
      <t xml:space="preserve">String (3.1.2)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</si>
  <si>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DC-DB </t>
    </r>
    <r>
      <rPr>
        <b val="true"/>
        <sz val="9"/>
        <rFont val="FreeSans"/>
        <family val="2"/>
      </rPr>
      <t xml:space="preserve">ครบตาม </t>
    </r>
    <r>
      <rPr>
        <b val="true"/>
        <sz val="9"/>
        <rFont val="Tahoma"/>
        <family val="0"/>
        <charset val="1"/>
      </rPr>
      <t xml:space="preserve">E10 + Polarity/Continuity </t>
    </r>
    <r>
      <rPr>
        <b val="true"/>
        <sz val="9"/>
        <rFont val="FreeSans"/>
        <family val="2"/>
      </rPr>
      <t xml:space="preserve">ผ่าน </t>
    </r>
    <r>
      <rPr>
        <b val="true"/>
        <sz val="9"/>
        <rFont val="Tahoma"/>
        <family val="0"/>
        <charset val="1"/>
      </rPr>
      <t xml:space="preserve">(2.2.5) + ICL </t>
    </r>
    <r>
      <rPr>
        <b val="true"/>
        <sz val="9"/>
        <rFont val="FreeSans"/>
        <family val="2"/>
      </rPr>
      <t xml:space="preserve">ระบบ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</si>
  <si>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DC </t>
    </r>
    <r>
      <rPr>
        <b val="true"/>
        <sz val="9"/>
        <rFont val="FreeSans"/>
        <family val="2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นอก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กราวด์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</si>
  <si>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Tahoma"/>
        <family val="0"/>
        <charset val="1"/>
      </rPr>
      <t xml:space="preserve">C15 (</t>
    </r>
    <r>
      <rPr>
        <b val="true"/>
        <sz val="9"/>
        <rFont val="FreeSans"/>
        <family val="2"/>
      </rPr>
      <t xml:space="preserve">ถังน้ำใส</t>
    </r>
    <r>
      <rPr>
        <b val="true"/>
        <sz val="9"/>
        <rFont val="Tahoma"/>
        <family val="0"/>
        <charset val="1"/>
      </rPr>
      <t xml:space="preserve">), C16 (</t>
    </r>
    <r>
      <rPr>
        <b val="true"/>
        <sz val="9"/>
        <rFont val="FreeSans"/>
        <family val="2"/>
      </rPr>
      <t xml:space="preserve">หลังคา</t>
    </r>
    <r>
      <rPr>
        <b val="true"/>
        <sz val="9"/>
        <rFont val="Tahoma"/>
        <family val="0"/>
        <charset val="1"/>
      </rPr>
      <t xml:space="preserve">), C17 (</t>
    </r>
    <r>
      <rPr>
        <b val="true"/>
        <sz val="9"/>
        <rFont val="FreeSans"/>
        <family val="2"/>
      </rPr>
      <t xml:space="preserve">หลังคาเมทัลชีท</t>
    </r>
    <r>
      <rPr>
        <b val="true"/>
        <sz val="9"/>
        <rFont val="Tahoma"/>
        <family val="0"/>
        <charset val="1"/>
      </rPr>
      <t xml:space="preserve">), E10</t>
    </r>
  </si>
  <si>
    <t xml:space="preserve">dcSide</t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</si>
  <si>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DC</t>
    </r>
  </si>
  <si>
    <r>
      <rPr>
        <sz val="9"/>
        <rFont val="FreeSans"/>
        <family val="2"/>
      </rPr>
      <t xml:space="preserve">รางเดินสาย </t>
    </r>
    <r>
      <rPr>
        <sz val="9"/>
        <rFont val="Tahoma"/>
        <family val="0"/>
        <charset val="1"/>
      </rPr>
      <t xml:space="preserve">DC (Tray / Steel support)</t>
    </r>
  </si>
  <si>
    <r>
      <rPr>
        <sz val="9"/>
        <rFont val="FreeSans"/>
        <family val="2"/>
      </rPr>
      <t xml:space="preserve">รางเดินสาย </t>
    </r>
    <r>
      <rPr>
        <sz val="9"/>
        <rFont val="Tahoma"/>
        <family val="0"/>
        <charset val="1"/>
      </rPr>
      <t xml:space="preserve">Tray / Pipe rack / Steel support</t>
    </r>
  </si>
  <si>
    <r>
      <rPr>
        <sz val="9"/>
        <rFont val="Tahoma"/>
        <family val="0"/>
        <charset val="1"/>
      </rPr>
      <t xml:space="preserve">Tray / </t>
    </r>
    <r>
      <rPr>
        <sz val="9"/>
        <rFont val="FreeSans"/>
        <family val="2"/>
      </rPr>
      <t xml:space="preserve">รางครบตามแนว มีฝาครบ </t>
    </r>
    <r>
      <rPr>
        <sz val="9"/>
        <rFont val="Tahoma"/>
        <family val="0"/>
        <charset val="1"/>
      </rPr>
      <t xml:space="preserve">+ Hold-down clamp </t>
    </r>
    <r>
      <rPr>
        <sz val="9"/>
        <rFont val="FreeSans"/>
        <family val="2"/>
      </rPr>
      <t xml:space="preserve">ทุกจุด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</si>
  <si>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</rPr>
      <t xml:space="preserve">หลังคา</t>
    </r>
    <r>
      <rPr>
        <sz val="9"/>
        <rFont val="Tahoma"/>
        <family val="0"/>
        <charset val="1"/>
      </rPr>
      <t xml:space="preserve">), C17 (</t>
    </r>
    <r>
      <rPr>
        <sz val="9"/>
        <rFont val="FreeSans"/>
        <family val="2"/>
      </rPr>
      <t xml:space="preserve">หลังคาเมทัลชีท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</si>
  <si>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PV + MC4 + </t>
    </r>
    <r>
      <rPr>
        <sz val="9"/>
        <rFont val="FreeSans"/>
        <family val="2"/>
      </rPr>
      <t xml:space="preserve">ป้ายสาย</t>
    </r>
  </si>
  <si>
    <r>
      <rPr>
        <sz val="9"/>
        <rFont val="FreeSans"/>
        <family val="2"/>
      </rPr>
      <t xml:space="preserve">เดินสาย </t>
    </r>
    <r>
      <rPr>
        <sz val="9"/>
        <rFont val="Tahoma"/>
        <family val="0"/>
        <charset val="1"/>
      </rPr>
      <t xml:space="preserve">PV + </t>
    </r>
    <r>
      <rPr>
        <sz val="9"/>
        <rFont val="FreeSans"/>
        <family val="2"/>
      </rPr>
      <t xml:space="preserve">ขั้วต่อ </t>
    </r>
    <r>
      <rPr>
        <sz val="9"/>
        <rFont val="Tahoma"/>
        <family val="0"/>
        <charset val="1"/>
      </rPr>
      <t xml:space="preserve">MC4 + Label </t>
    </r>
    <r>
      <rPr>
        <sz val="9"/>
        <rFont val="FreeSans"/>
        <family val="2"/>
      </rPr>
      <t xml:space="preserve">สาย</t>
    </r>
  </si>
  <si>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PV </t>
    </r>
    <r>
      <rPr>
        <sz val="9"/>
        <rFont val="FreeSans"/>
        <family val="2"/>
      </rPr>
      <t xml:space="preserve">ครบทุกสตริง </t>
    </r>
    <r>
      <rPr>
        <sz val="9"/>
        <rFont val="Tahoma"/>
        <family val="0"/>
        <charset val="1"/>
      </rPr>
      <t xml:space="preserve">+ MC4 + Label </t>
    </r>
    <r>
      <rPr>
        <sz val="9"/>
        <rFont val="FreeSans"/>
        <family val="2"/>
      </rPr>
      <t xml:space="preserve">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</si>
  <si>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(Fuse + SPD)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</si>
  <si>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(Fuse, SPD T1/T2)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</si>
  <si>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</t>
    </r>
    <r>
      <rPr>
        <sz val="9"/>
        <rFont val="FreeSans"/>
        <family val="2"/>
      </rPr>
      <t xml:space="preserve">ครบ</t>
    </r>
    <r>
      <rPr>
        <sz val="9"/>
        <rFont val="Tahoma"/>
        <family val="0"/>
        <charset val="1"/>
      </rPr>
      <t xml:space="preserve">: Fuse </t>
    </r>
    <r>
      <rPr>
        <sz val="9"/>
        <rFont val="FreeSans"/>
        <family val="2"/>
      </rPr>
      <t xml:space="preserve">ทุกสตริง</t>
    </r>
    <r>
      <rPr>
        <sz val="9"/>
        <rFont val="Tahoma"/>
        <family val="0"/>
        <charset val="1"/>
      </rPr>
      <t xml:space="preserve">, SPD </t>
    </r>
    <r>
      <rPr>
        <sz val="9"/>
        <rFont val="FreeSans"/>
        <family val="2"/>
      </rPr>
      <t xml:space="preserve">ถูกชนิด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ป้ายชื่อ</t>
    </r>
    <r>
      <rPr>
        <sz val="9"/>
        <rFont val="Tahoma"/>
        <family val="0"/>
        <charset val="1"/>
      </rPr>
      <t xml:space="preserve">, IP65 </t>
    </r>
    <r>
      <rPr>
        <sz val="9"/>
        <rFont val="FreeSans"/>
        <family val="2"/>
      </rPr>
      <t xml:space="preserve">ถ้าอยู่นอกอาคาร</t>
    </r>
  </si>
  <si>
    <r>
      <rPr>
        <sz val="9"/>
        <rFont val="FreeSans"/>
        <family val="2"/>
      </rPr>
      <t xml:space="preserve">ระบบต่อลงดินโครงแผง </t>
    </r>
    <r>
      <rPr>
        <sz val="9"/>
        <rFont val="Tahoma"/>
        <family val="0"/>
        <charset val="1"/>
      </rPr>
      <t xml:space="preserve">(Bonding)</t>
    </r>
  </si>
  <si>
    <r>
      <rPr>
        <sz val="9"/>
        <rFont val="Tahoma"/>
        <family val="0"/>
        <charset val="1"/>
      </rPr>
      <t xml:space="preserve">Bonding / Grounding </t>
    </r>
    <r>
      <rPr>
        <sz val="9"/>
        <rFont val="FreeSans"/>
        <family val="2"/>
      </rPr>
      <t xml:space="preserve">โครงแผง</t>
    </r>
    <r>
      <rPr>
        <sz val="9"/>
        <rFont val="Tahoma"/>
        <family val="0"/>
        <charset val="1"/>
      </rPr>
      <t xml:space="preserve">-Rail-Walkway</t>
    </r>
  </si>
  <si>
    <r>
      <rPr>
        <sz val="9"/>
        <rFont val="Tahoma"/>
        <family val="0"/>
        <charset val="1"/>
      </rPr>
      <t xml:space="preserve">Bonding </t>
    </r>
    <r>
      <rPr>
        <sz val="9"/>
        <rFont val="FreeSans"/>
        <family val="2"/>
      </rPr>
      <t xml:space="preserve">ครบ </t>
    </r>
    <r>
      <rPr>
        <sz val="9"/>
        <rFont val="Tahoma"/>
        <family val="0"/>
        <charset val="1"/>
      </rPr>
      <t xml:space="preserve">Rail / Walkway / Ground lug + </t>
    </r>
    <r>
      <rPr>
        <sz val="9"/>
        <rFont val="FreeSans"/>
        <family val="2"/>
      </rPr>
      <t xml:space="preserve">สายดินขนาดตามแบบ </t>
    </r>
    <r>
      <rPr>
        <sz val="9"/>
        <rFont val="Tahoma"/>
        <family val="0"/>
        <charset val="1"/>
      </rPr>
      <t xml:space="preserve">E10</t>
    </r>
  </si>
  <si>
    <r>
      <rPr>
        <sz val="9"/>
        <rFont val="Tahoma"/>
        <family val="0"/>
        <charset val="1"/>
      </rPr>
      <t xml:space="preserve">IEC 62305;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</si>
  <si>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Tahoma"/>
        <family val="0"/>
        <charset val="1"/>
      </rPr>
      <t xml:space="preserve">C15 (</t>
    </r>
    <r>
      <rPr>
        <sz val="9"/>
        <rFont val="FreeSans"/>
        <family val="2"/>
      </rPr>
      <t xml:space="preserve">ถังน้ำใส</t>
    </r>
    <r>
      <rPr>
        <sz val="9"/>
        <rFont val="Tahoma"/>
        <family val="0"/>
        <charset val="1"/>
      </rPr>
      <t xml:space="preserve">), E10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</si>
  <si>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ระบบ </t>
    </r>
    <r>
      <rPr>
        <sz val="9"/>
        <rFont val="Tahoma"/>
        <family val="0"/>
        <charset val="1"/>
      </rPr>
      <t xml:space="preserve">DC (Polarity / Continuity)</t>
    </r>
  </si>
  <si>
    <r>
      <rPr>
        <sz val="9"/>
        <rFont val="FreeSans"/>
        <family val="2"/>
      </rPr>
      <t xml:space="preserve">ไม่ใช่การทดสอบส่งมอบ — ทดสอบตาม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</rPr>
      <t xml:space="preserve">อย่างเป็นทางการอยู่ที่ </t>
    </r>
    <r>
      <rPr>
        <sz val="9"/>
        <rFont val="Tahoma"/>
        <family val="0"/>
        <charset val="1"/>
      </rPr>
      <t xml:space="preserve">3.1.2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</si>
  <si>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ระบบ </t>
    </r>
    <r>
      <rPr>
        <sz val="9"/>
        <rFont val="Tahoma"/>
        <family val="0"/>
        <charset val="1"/>
      </rPr>
      <t xml:space="preserve">DC </t>
    </r>
    <r>
      <rPr>
        <sz val="9"/>
        <rFont val="FreeSans"/>
        <family val="2"/>
      </rPr>
      <t xml:space="preserve">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</si>
  <si>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IEC 62446-1 (Continuity / Polarity), </t>
    </r>
    <r>
      <rPr>
        <sz val="9"/>
        <rFont val="FreeSans"/>
        <family val="2"/>
      </rPr>
      <t xml:space="preserve">จุดตรวจ </t>
    </r>
    <r>
      <rPr>
        <sz val="9"/>
        <rFont val="Tahoma"/>
        <family val="0"/>
        <charset val="1"/>
      </rPr>
      <t xml:space="preserve">E10</t>
    </r>
  </si>
  <si>
    <r>
      <rPr>
        <b val="true"/>
        <sz val="9"/>
        <rFont val="FreeSans"/>
        <family val="2"/>
      </rPr>
      <t xml:space="preserve">โครงสร้างและ </t>
    </r>
    <r>
      <rPr>
        <b val="true"/>
        <sz val="9"/>
        <rFont val="Tahoma"/>
        <family val="0"/>
        <charset val="1"/>
      </rPr>
      <t xml:space="preserve">Rail (2.1), </t>
    </r>
    <r>
      <rPr>
        <b val="true"/>
        <sz val="9"/>
        <rFont val="FreeSans"/>
        <family val="2"/>
      </rPr>
      <t xml:space="preserve">สาย </t>
    </r>
    <r>
      <rPr>
        <b val="true"/>
        <sz val="9"/>
        <rFont val="Tahoma"/>
        <family val="0"/>
        <charset val="1"/>
      </rPr>
      <t xml:space="preserve">PV </t>
    </r>
    <r>
      <rPr>
        <b val="true"/>
        <sz val="9"/>
        <rFont val="FreeSans"/>
        <family val="2"/>
      </rPr>
      <t xml:space="preserve">จากแผงถึงตู้ </t>
    </r>
    <r>
      <rPr>
        <b val="true"/>
        <sz val="9"/>
        <rFont val="Tahoma"/>
        <family val="0"/>
        <charset val="1"/>
      </rPr>
      <t xml:space="preserve">DC (2.2.2)</t>
    </r>
  </si>
  <si>
    <r>
      <rPr>
        <b val="true"/>
        <sz val="9"/>
        <rFont val="FreeSans"/>
        <family val="2"/>
      </rPr>
      <t xml:space="preserve">แผงครบตาม </t>
    </r>
    <r>
      <rPr>
        <b val="true"/>
        <sz val="9"/>
        <rFont val="Tahoma"/>
        <family val="0"/>
        <charset val="1"/>
      </rPr>
      <t xml:space="preserve">Layout + </t>
    </r>
    <r>
      <rPr>
        <b val="true"/>
        <sz val="9"/>
        <rFont val="FreeSans"/>
        <family val="2"/>
      </rPr>
      <t xml:space="preserve">สแกน </t>
    </r>
    <r>
      <rPr>
        <b val="true"/>
        <sz val="9"/>
        <rFont val="Tahoma"/>
        <family val="0"/>
        <charset val="1"/>
      </rPr>
      <t xml:space="preserve">S/N + ICL </t>
    </r>
    <r>
      <rPr>
        <b val="true"/>
        <sz val="9"/>
        <rFont val="FreeSans"/>
        <family val="2"/>
      </rPr>
      <t xml:space="preserve">แผงผ่าน </t>
    </r>
    <r>
      <rPr>
        <b val="true"/>
        <sz val="9"/>
        <rFont val="Tahoma"/>
        <family val="0"/>
        <charset val="1"/>
      </rPr>
      <t xml:space="preserve">(2.3.5)</t>
    </r>
  </si>
  <si>
    <t xml:space="preserve">มุมสูงแผง</t>
  </si>
  <si>
    <r>
      <rPr>
        <b val="true"/>
        <sz val="9"/>
        <rFont val="Tahoma"/>
        <family val="0"/>
        <charset val="1"/>
      </rPr>
      <t xml:space="preserve">C09 (</t>
    </r>
    <r>
      <rPr>
        <b val="true"/>
        <sz val="9"/>
        <rFont val="FreeSans"/>
        <family val="2"/>
      </rPr>
      <t xml:space="preserve">หลังคาลอนคู่</t>
    </r>
    <r>
      <rPr>
        <b val="true"/>
        <sz val="9"/>
        <rFont val="Tahoma"/>
        <family val="0"/>
        <charset val="1"/>
      </rPr>
      <t xml:space="preserve">), C15 (</t>
    </r>
    <r>
      <rPr>
        <b val="true"/>
        <sz val="9"/>
        <rFont val="FreeSans"/>
        <family val="2"/>
      </rPr>
      <t xml:space="preserve">ถังน้ำใส</t>
    </r>
    <r>
      <rPr>
        <b val="true"/>
        <sz val="9"/>
        <rFont val="Tahoma"/>
        <family val="0"/>
        <charset val="1"/>
      </rPr>
      <t xml:space="preserve">)</t>
    </r>
  </si>
  <si>
    <t xml:space="preserve">panels</t>
  </si>
  <si>
    <r>
      <rPr>
        <b val="true"/>
        <sz val="9"/>
        <rFont val="Tahoma"/>
        <family val="0"/>
        <charset val="1"/>
      </rPr>
      <t xml:space="preserve">2.3 </t>
    </r>
    <r>
      <rPr>
        <b val="true"/>
        <sz val="9"/>
        <rFont val="FreeSans"/>
        <family val="2"/>
      </rPr>
      <t xml:space="preserve">แผง</t>
    </r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</si>
  <si>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</rPr>
      <t xml:space="preserve">แผง</t>
    </r>
  </si>
  <si>
    <r>
      <rPr>
        <sz val="9"/>
        <rFont val="FreeSans"/>
        <family val="2"/>
      </rPr>
      <t xml:space="preserve">แผงถึงจุดติดตั้ง </t>
    </r>
    <r>
      <rPr>
        <sz val="9"/>
        <rFont val="Tahoma"/>
        <family val="0"/>
        <charset val="1"/>
      </rPr>
      <t xml:space="preserve">(Lifting plan)</t>
    </r>
  </si>
  <si>
    <r>
      <rPr>
        <sz val="9"/>
        <rFont val="FreeSans"/>
        <family val="2"/>
      </rPr>
      <t xml:space="preserve">ขนย้าย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ยกแผงถึงจุดติดตั้ง </t>
    </r>
    <r>
      <rPr>
        <sz val="9"/>
        <rFont val="Tahoma"/>
        <family val="0"/>
        <charset val="1"/>
      </rPr>
      <t xml:space="preserve">(Lifting plan)</t>
    </r>
  </si>
  <si>
    <r>
      <rPr>
        <sz val="9"/>
        <rFont val="FreeSans"/>
        <family val="2"/>
      </rPr>
      <t xml:space="preserve">แผงถึงจุดติดตั้งครบตาม </t>
    </r>
    <r>
      <rPr>
        <sz val="9"/>
        <rFont val="Tahoma"/>
        <family val="0"/>
        <charset val="1"/>
      </rPr>
      <t xml:space="preserve">Lifting plan </t>
    </r>
    <r>
      <rPr>
        <sz val="9"/>
        <rFont val="FreeSans"/>
        <family val="2"/>
      </rPr>
      <t xml:space="preserve">ไม่มีแผงเสียหาย</t>
    </r>
  </si>
  <si>
    <r>
      <rPr>
        <sz val="9"/>
        <rFont val="Tahoma"/>
        <family val="0"/>
        <charset val="1"/>
      </rPr>
      <t xml:space="preserve">Lifting plan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HSE (0.1.2)</t>
    </r>
  </si>
  <si>
    <r>
      <rPr>
        <sz val="9"/>
        <rFont val="FreeSans"/>
        <family val="2"/>
      </rPr>
      <t xml:space="preserve">แผงบนโครง </t>
    </r>
    <r>
      <rPr>
        <sz val="9"/>
        <rFont val="Tahoma"/>
        <family val="0"/>
        <charset val="1"/>
      </rPr>
      <t xml:space="preserve">(Clamp </t>
    </r>
    <r>
      <rPr>
        <sz val="9"/>
        <rFont val="FreeSans"/>
        <family val="2"/>
      </rPr>
      <t xml:space="preserve">ตามแรงบิด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</si>
  <si>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ติดตั้งแผง </t>
    </r>
    <r>
      <rPr>
        <sz val="9"/>
        <rFont val="Tahoma"/>
        <family val="0"/>
        <charset val="1"/>
      </rPr>
      <t xml:space="preserve">+ Clamp torque</t>
    </r>
  </si>
  <si>
    <r>
      <rPr>
        <sz val="9"/>
        <rFont val="FreeSans"/>
        <family val="2"/>
      </rPr>
      <t xml:space="preserve">แผงครบตาม </t>
    </r>
    <r>
      <rPr>
        <sz val="9"/>
        <rFont val="Tahoma"/>
        <family val="0"/>
        <charset val="1"/>
      </rPr>
      <t xml:space="preserve">Layout + </t>
    </r>
    <r>
      <rPr>
        <sz val="9"/>
        <rFont val="FreeSans"/>
        <family val="2"/>
      </rPr>
      <t xml:space="preserve">บันทึกแรงขัน </t>
    </r>
    <r>
      <rPr>
        <sz val="9"/>
        <rFont val="Tahoma"/>
        <family val="0"/>
        <charset val="1"/>
      </rPr>
      <t xml:space="preserve">Clamp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</si>
  <si>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</rPr>
      <t xml:space="preserve">หลังคาลอนคู่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</si>
  <si>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String </t>
    </r>
    <r>
      <rPr>
        <sz val="9"/>
        <rFont val="FreeSans"/>
        <family val="2"/>
      </rPr>
      <t xml:space="preserve">ต่อครบตาม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</si>
  <si>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</rPr>
      <t xml:space="preserve">ต่อสาย </t>
    </r>
    <r>
      <rPr>
        <sz val="9"/>
        <rFont val="Tahoma"/>
        <family val="0"/>
        <charset val="1"/>
      </rPr>
      <t xml:space="preserve">String </t>
    </r>
    <r>
      <rPr>
        <sz val="9"/>
        <rFont val="FreeSans"/>
        <family val="2"/>
      </rPr>
      <t xml:space="preserve">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</si>
  <si>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</rPr>
      <t xml:space="preserve">ต่อสายครบทุกสตริงตาม </t>
    </r>
    <r>
      <rPr>
        <sz val="9"/>
        <rFont val="Tahoma"/>
        <family val="0"/>
        <charset val="1"/>
      </rPr>
      <t xml:space="preserve">String map, Voc </t>
    </r>
    <r>
      <rPr>
        <sz val="9"/>
        <rFont val="FreeSans"/>
        <family val="2"/>
      </rPr>
      <t xml:space="preserve">ตรงตามคำนวณ</t>
    </r>
  </si>
  <si>
    <r>
      <rPr>
        <sz val="9"/>
        <rFont val="Tahoma"/>
        <family val="0"/>
        <charset val="1"/>
      </rPr>
      <t xml:space="preserve">String map </t>
    </r>
    <r>
      <rPr>
        <sz val="9"/>
        <rFont val="FreeSans"/>
        <family val="2"/>
      </rPr>
      <t xml:space="preserve">ตาม </t>
    </r>
    <r>
      <rPr>
        <sz val="9"/>
        <rFont val="Tahoma"/>
        <family val="0"/>
        <charset val="1"/>
      </rPr>
      <t xml:space="preserve">SLD (1.2)</t>
    </r>
  </si>
  <si>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ภาพมุมสูง</t>
    </r>
  </si>
  <si>
    <r>
      <rPr>
        <sz val="9"/>
        <rFont val="FreeSans"/>
        <family val="2"/>
      </rPr>
      <t xml:space="preserve">สแกน </t>
    </r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รูปมุมสูง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โดรน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</si>
  <si>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สแกน </t>
    </r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</rPr>
      <t xml:space="preserve">ครบทุกแผง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รูปมุมสูง</t>
    </r>
  </si>
  <si>
    <r>
      <rPr>
        <sz val="9"/>
        <rFont val="FreeSans"/>
        <family val="2"/>
      </rPr>
      <t xml:space="preserve">สแกนอุปกรณ์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ภาพถ่ายติดตั้ง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รายงาน </t>
    </r>
    <r>
      <rPr>
        <sz val="9"/>
        <rFont val="Tahoma"/>
        <family val="0"/>
        <charset val="1"/>
      </rPr>
      <t xml:space="preserve">9)</t>
    </r>
  </si>
  <si>
    <r>
      <rPr>
        <sz val="9"/>
        <rFont val="FreeSans"/>
        <family val="2"/>
      </rPr>
      <t xml:space="preserve">รายงาน </t>
    </r>
    <r>
      <rPr>
        <sz val="9"/>
        <rFont val="Tahoma"/>
        <family val="0"/>
        <charset val="1"/>
      </rPr>
      <t xml:space="preserve">9 </t>
    </r>
    <r>
      <rPr>
        <sz val="9"/>
        <rFont val="FreeSans"/>
        <family val="2"/>
      </rPr>
      <t xml:space="preserve">ภาพถ่ายติดตั้งระบบ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</si>
  <si>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String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</si>
  <si>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+ String (</t>
    </r>
    <r>
      <rPr>
        <sz val="9"/>
        <rFont val="FreeSans"/>
        <family val="2"/>
      </rPr>
      <t xml:space="preserve">ตรวจคุณภาพ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รับมอบที่ </t>
    </r>
    <r>
      <rPr>
        <sz val="9"/>
        <rFont val="Tahoma"/>
        <family val="0"/>
        <charset val="1"/>
      </rPr>
      <t xml:space="preserve">3.1.7)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</si>
  <si>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แผงลงนาม วศ</t>
    </r>
    <r>
      <rPr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</si>
  <si>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</rPr>
      <t xml:space="preserve">ติดตั้งอุปกรณ์หยุดทำงานฉุกเฉิน </t>
    </r>
    <r>
      <rPr>
        <b val="true"/>
        <sz val="9"/>
        <rFont val="Tahoma"/>
        <family val="0"/>
        <charset val="1"/>
      </rPr>
      <t xml:space="preserve">(Firefighter Safety Switch)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</si>
  <si>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DC-DB (2.2.3), </t>
    </r>
    <r>
      <rPr>
        <b val="true"/>
        <sz val="9"/>
        <rFont val="FreeSans"/>
        <family val="2"/>
      </rPr>
      <t xml:space="preserve">การทดสอบ </t>
    </r>
    <r>
      <rPr>
        <b val="true"/>
        <sz val="9"/>
        <rFont val="Tahoma"/>
        <family val="0"/>
        <charset val="1"/>
      </rPr>
      <t xml:space="preserve">FTS (3.1.4)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</si>
  <si>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FTS-DB </t>
    </r>
    <r>
      <rPr>
        <b val="true"/>
        <sz val="9"/>
        <rFont val="FreeSans"/>
        <family val="2"/>
      </rPr>
      <t xml:space="preserve">ครบตาม </t>
    </r>
    <r>
      <rPr>
        <b val="true"/>
        <sz val="9"/>
        <rFont val="Tahoma"/>
        <family val="0"/>
        <charset val="1"/>
      </rPr>
      <t xml:space="preserve">E11 + </t>
    </r>
    <r>
      <rPr>
        <b val="true"/>
        <sz val="9"/>
        <rFont val="FreeSans"/>
        <family val="2"/>
      </rPr>
      <t xml:space="preserve">ป้ายเตือน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ทดสอบตัดวงจรใน </t>
    </r>
    <r>
      <rPr>
        <b val="true"/>
        <sz val="9"/>
        <rFont val="Tahoma"/>
        <family val="0"/>
        <charset val="1"/>
      </rPr>
      <t xml:space="preserve">3.1.4)</t>
    </r>
  </si>
  <si>
    <r>
      <rPr>
        <b val="true"/>
        <sz val="9"/>
        <rFont val="FreeSans"/>
        <family val="2"/>
      </rPr>
      <t xml:space="preserve">วสท</t>
    </r>
    <r>
      <rPr>
        <b val="true"/>
        <sz val="9"/>
        <rFont val="Tahoma"/>
        <family val="0"/>
        <charset val="1"/>
      </rPr>
      <t xml:space="preserve">. 022013-22 </t>
    </r>
    <r>
      <rPr>
        <b val="true"/>
        <sz val="9"/>
        <rFont val="FreeSans"/>
        <family val="2"/>
      </rPr>
      <t xml:space="preserve">ข้อ </t>
    </r>
    <r>
      <rPr>
        <b val="true"/>
        <sz val="9"/>
        <rFont val="Tahoma"/>
        <family val="0"/>
        <charset val="1"/>
      </rPr>
      <t xml:space="preserve">4.3.13</t>
    </r>
  </si>
  <si>
    <t xml:space="preserve">fireSwitch</t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</si>
  <si>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FTS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</si>
  <si>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FTS-DB (Rapid shutdown)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</si>
  <si>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FTS-DB + </t>
    </r>
    <r>
      <rPr>
        <sz val="9"/>
        <rFont val="FreeSans"/>
        <family val="2"/>
      </rPr>
      <t xml:space="preserve">อุปกรณ์ </t>
    </r>
    <r>
      <rPr>
        <sz val="9"/>
        <rFont val="Tahoma"/>
        <family val="0"/>
        <charset val="1"/>
      </rPr>
      <t xml:space="preserve">Rapid shutdown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</si>
  <si>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FTS-DB </t>
    </r>
    <r>
      <rPr>
        <sz val="9"/>
        <rFont val="FreeSans"/>
        <family val="2"/>
      </rPr>
      <t xml:space="preserve">ครบตาม </t>
    </r>
    <r>
      <rPr>
        <sz val="9"/>
        <rFont val="Tahoma"/>
        <family val="0"/>
        <charset val="1"/>
      </rPr>
      <t xml:space="preserve">E11 (4 </t>
    </r>
    <r>
      <rPr>
        <sz val="9"/>
        <rFont val="FreeSans"/>
        <family val="2"/>
      </rPr>
      <t xml:space="preserve">สตริงต่อ </t>
    </r>
    <r>
      <rPr>
        <sz val="9"/>
        <rFont val="Tahoma"/>
        <family val="0"/>
        <charset val="1"/>
      </rPr>
      <t xml:space="preserve">FTS)</t>
    </r>
  </si>
  <si>
    <r>
      <rPr>
        <sz val="9"/>
        <rFont val="FreeSans"/>
        <family val="2"/>
      </rPr>
      <t xml:space="preserve">วงจรควบคุม </t>
    </r>
    <r>
      <rPr>
        <sz val="9"/>
        <rFont val="Tahoma"/>
        <family val="0"/>
        <charset val="1"/>
      </rPr>
      <t xml:space="preserve">E-Stop + </t>
    </r>
    <r>
      <rPr>
        <sz val="9"/>
        <rFont val="FreeSans"/>
        <family val="2"/>
      </rPr>
      <t xml:space="preserve">ป้ายเตือน</t>
    </r>
  </si>
  <si>
    <r>
      <rPr>
        <sz val="9"/>
        <rFont val="FreeSans"/>
        <family val="2"/>
      </rPr>
      <t xml:space="preserve">สายควบคุม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ปุ่ม </t>
    </r>
    <r>
      <rPr>
        <sz val="9"/>
        <rFont val="Tahoma"/>
        <family val="0"/>
        <charset val="1"/>
      </rPr>
      <t xml:space="preserve">E-Stop + </t>
    </r>
    <r>
      <rPr>
        <sz val="9"/>
        <rFont val="FreeSans"/>
        <family val="2"/>
      </rPr>
      <t xml:space="preserve">ป้ายเตือน</t>
    </r>
  </si>
  <si>
    <r>
      <rPr>
        <sz val="9"/>
        <rFont val="FreeSans"/>
        <family val="2"/>
      </rPr>
      <t xml:space="preserve">สายควบคุม </t>
    </r>
    <r>
      <rPr>
        <sz val="9"/>
        <rFont val="Tahoma"/>
        <family val="0"/>
        <charset val="1"/>
      </rPr>
      <t xml:space="preserve">+ E-Stop + </t>
    </r>
    <r>
      <rPr>
        <sz val="9"/>
        <rFont val="FreeSans"/>
        <family val="2"/>
      </rPr>
      <t xml:space="preserve">ป้ายเตือนครบ</t>
    </r>
  </si>
  <si>
    <r>
      <rPr>
        <b val="true"/>
        <sz val="9"/>
        <rFont val="FreeSans"/>
        <family val="2"/>
      </rPr>
      <t xml:space="preserve">ติดตั้ง </t>
    </r>
    <r>
      <rPr>
        <b val="true"/>
        <sz val="9"/>
        <rFont val="Tahoma"/>
        <family val="0"/>
        <charset val="1"/>
      </rPr>
      <t xml:space="preserve">Inverter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</si>
  <si>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AC-DB (2.7.1), </t>
    </r>
    <r>
      <rPr>
        <b val="true"/>
        <sz val="9"/>
        <rFont val="FreeSans"/>
        <family val="2"/>
      </rPr>
      <t xml:space="preserve">สาย </t>
    </r>
    <r>
      <rPr>
        <b val="true"/>
        <sz val="9"/>
        <rFont val="Tahoma"/>
        <family val="0"/>
        <charset val="1"/>
      </rPr>
      <t xml:space="preserve">AC-DB → MDB (2.6.1), Start-up </t>
    </r>
    <r>
      <rPr>
        <b val="true"/>
        <sz val="9"/>
        <rFont val="FreeSans"/>
        <family val="2"/>
      </rPr>
      <t xml:space="preserve">และตั้งค่า </t>
    </r>
    <r>
      <rPr>
        <b val="true"/>
        <sz val="9"/>
        <rFont val="Tahoma"/>
        <family val="0"/>
        <charset val="1"/>
      </rPr>
      <t xml:space="preserve">(3.1.5)</t>
    </r>
  </si>
  <si>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</rPr>
      <t xml:space="preserve">ครบตามแบบ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สแกน </t>
    </r>
    <r>
      <rPr>
        <b val="true"/>
        <sz val="9"/>
        <rFont val="Tahoma"/>
        <family val="0"/>
        <charset val="1"/>
      </rPr>
      <t xml:space="preserve">S/N + </t>
    </r>
    <r>
      <rPr>
        <b val="true"/>
        <sz val="9"/>
        <rFont val="FreeSans"/>
        <family val="2"/>
      </rPr>
      <t xml:space="preserve">สายถึงตู้ </t>
    </r>
    <r>
      <rPr>
        <b val="true"/>
        <sz val="9"/>
        <rFont val="Tahoma"/>
        <family val="0"/>
        <charset val="1"/>
      </rPr>
      <t xml:space="preserve">AC-DB</t>
    </r>
  </si>
  <si>
    <t xml:space="preserve">Inverter + S/N, Inverter Station</t>
  </si>
  <si>
    <r>
      <rPr>
        <b val="true"/>
        <sz val="9"/>
        <rFont val="Tahoma"/>
        <family val="0"/>
        <charset val="1"/>
      </rPr>
      <t xml:space="preserve">E09 (Inverter station </t>
    </r>
    <r>
      <rPr>
        <b val="true"/>
        <sz val="9"/>
        <rFont val="FreeSans"/>
        <family val="2"/>
      </rPr>
      <t xml:space="preserve">สร้างใหม่</t>
    </r>
    <r>
      <rPr>
        <b val="true"/>
        <sz val="9"/>
        <rFont val="Tahoma"/>
        <family val="0"/>
        <charset val="1"/>
      </rPr>
      <t xml:space="preserve">)</t>
    </r>
  </si>
  <si>
    <t xml:space="preserve">inverter</t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</si>
  <si>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Inverter</t>
    </r>
  </si>
  <si>
    <r>
      <rPr>
        <sz val="9"/>
        <rFont val="Tahoma"/>
        <family val="0"/>
        <charset val="1"/>
      </rPr>
      <t xml:space="preserve">Inverter station (</t>
    </r>
    <r>
      <rPr>
        <sz val="9"/>
        <rFont val="FreeSans"/>
        <family val="2"/>
      </rPr>
      <t xml:space="preserve">ฐาน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โรงเรือน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</si>
  <si>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ฐาน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อาคาร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โครง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</si>
  <si>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</rPr>
      <t xml:space="preserve">ครบทุกขั้นตามรูปแบบ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Inverter station)</t>
    </r>
  </si>
  <si>
    <r>
      <rPr>
        <sz val="9"/>
        <rFont val="FreeSans"/>
        <family val="2"/>
      </rPr>
      <t xml:space="preserve">แบบ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</rPr>
      <t xml:space="preserve">ของสถานี </t>
    </r>
    <r>
      <rPr>
        <sz val="9"/>
        <rFont val="Tahoma"/>
        <family val="0"/>
        <charset val="1"/>
      </rPr>
      <t xml:space="preserve">(1.2)</t>
    </r>
  </si>
  <si>
    <r>
      <rPr>
        <sz val="9"/>
        <rFont val="Tahoma"/>
        <family val="0"/>
        <charset val="1"/>
      </rPr>
      <t xml:space="preserve">E09 (Inverter station </t>
    </r>
    <r>
      <rPr>
        <sz val="9"/>
        <rFont val="FreeSans"/>
        <family val="2"/>
      </rPr>
      <t xml:space="preserve">สร้างใหม่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</si>
  <si>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Rack + S/N</t>
    </r>
  </si>
  <si>
    <r>
      <rPr>
        <sz val="9"/>
        <rFont val="FreeSans"/>
        <family val="2"/>
      </rPr>
      <t xml:space="preserve">ติดตั้ง </t>
    </r>
    <r>
      <rPr>
        <sz val="9"/>
        <rFont val="Tahoma"/>
        <family val="0"/>
        <charset val="1"/>
      </rPr>
      <t xml:space="preserve">Inverter + </t>
    </r>
    <r>
      <rPr>
        <sz val="9"/>
        <rFont val="FreeSans"/>
        <family val="2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</si>
  <si>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</rPr>
      <t xml:space="preserve">ครบทุกตัว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</si>
  <si>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Tahoma"/>
        <family val="0"/>
        <charset val="1"/>
      </rPr>
      <t xml:space="preserve">50/50 (S = </t>
    </r>
    <r>
      <rPr>
        <sz val="9"/>
        <rFont val="FreeSans"/>
        <family val="2"/>
      </rPr>
      <t xml:space="preserve">เริ่ม</t>
    </r>
    <r>
      <rPr>
        <sz val="9"/>
        <rFont val="Tahoma"/>
        <family val="0"/>
        <charset val="1"/>
      </rPr>
      <t xml:space="preserve">, Y = </t>
    </r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</si>
  <si>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สแกนอุปกรณ์</t>
    </r>
    <r>
      <rPr>
        <sz val="9"/>
        <rFont val="Tahoma"/>
        <family val="0"/>
        <charset val="1"/>
      </rPr>
      <t xml:space="preserve">, IEC step 1 (</t>
    </r>
    <r>
      <rPr>
        <sz val="9"/>
        <rFont val="FreeSans"/>
        <family val="2"/>
      </rPr>
      <t xml:space="preserve">รูป </t>
    </r>
    <r>
      <rPr>
        <sz val="9"/>
        <rFont val="Tahoma"/>
        <family val="0"/>
        <charset val="1"/>
      </rPr>
      <t xml:space="preserve">Inverter)</t>
    </r>
  </si>
  <si>
    <r>
      <rPr>
        <sz val="9"/>
        <rFont val="FreeSans"/>
        <family val="2"/>
      </rPr>
      <t xml:space="preserve">คู่มือติดตั้งของผู้ผลิต </t>
    </r>
    <r>
      <rPr>
        <sz val="9"/>
        <rFont val="Tahoma"/>
        <family val="0"/>
        <charset val="1"/>
      </rPr>
      <t xml:space="preserve">Inverter</t>
    </r>
  </si>
  <si>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AC Inverter → AC-DB</t>
    </r>
  </si>
  <si>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Inverter →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</t>
    </r>
  </si>
  <si>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Inverter → AC-DB </t>
    </r>
    <r>
      <rPr>
        <sz val="9"/>
        <rFont val="FreeSans"/>
        <family val="2"/>
      </rPr>
      <t xml:space="preserve">ครบ ขันขั้วตามค่า</t>
    </r>
  </si>
  <si>
    <r>
      <rPr>
        <sz val="9"/>
        <rFont val="Tahoma"/>
        <family val="0"/>
        <charset val="1"/>
      </rPr>
      <t xml:space="preserve">SLD (1.2),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</si>
  <si>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Tahoma"/>
        <family val="0"/>
        <charset val="1"/>
      </rPr>
      <t xml:space="preserve">ICL Inverter + </t>
    </r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AC-DB (</t>
    </r>
    <r>
      <rPr>
        <sz val="9"/>
        <rFont val="FreeSans"/>
        <family val="2"/>
      </rPr>
      <t xml:space="preserve">ก่อนจ่ายไฟ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</rPr>
      <t xml:space="preserve">ขันขั้ว</t>
    </r>
    <r>
      <rPr>
        <sz val="9"/>
        <rFont val="Tahoma"/>
        <family val="0"/>
        <charset val="1"/>
      </rPr>
      <t xml:space="preserve">, IP / </t>
    </r>
    <r>
      <rPr>
        <sz val="9"/>
        <rFont val="FreeSans"/>
        <family val="2"/>
      </rPr>
      <t xml:space="preserve">ระยะระบายอากาศ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</si>
  <si>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Inverter </t>
    </r>
    <r>
      <rPr>
        <sz val="9"/>
        <rFont val="FreeSans"/>
        <family val="2"/>
      </rPr>
      <t xml:space="preserve">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</si>
  <si>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คู่มือติดตั้งของผู้ผลิต </t>
    </r>
    <r>
      <rPr>
        <sz val="9"/>
        <rFont val="Tahoma"/>
        <family val="0"/>
        <charset val="1"/>
      </rPr>
      <t xml:space="preserve">Inverter,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</si>
  <si>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b val="true"/>
        <sz val="9"/>
        <rFont val="FreeSans"/>
        <family val="2"/>
      </rPr>
      <t xml:space="preserve">ติดตั้งอุปกรณ์ไฟฟ้าด้าน </t>
    </r>
    <r>
      <rPr>
        <b val="true"/>
        <sz val="9"/>
        <rFont val="Tahoma"/>
        <family val="0"/>
        <charset val="1"/>
      </rPr>
      <t xml:space="preserve">AC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</si>
  <si>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AC-DB / METER-DB (2.7), </t>
    </r>
    <r>
      <rPr>
        <b val="true"/>
        <sz val="9"/>
        <rFont val="FreeSans"/>
        <family val="2"/>
      </rPr>
      <t xml:space="preserve">อุปกรณ์ </t>
    </r>
    <r>
      <rPr>
        <b val="true"/>
        <sz val="9"/>
        <rFont val="Tahoma"/>
        <family val="0"/>
        <charset val="1"/>
      </rPr>
      <t xml:space="preserve">22 kV (2.8.2), </t>
    </r>
    <r>
      <rPr>
        <b val="true"/>
        <sz val="9"/>
        <rFont val="FreeSans"/>
        <family val="2"/>
      </rPr>
      <t xml:space="preserve">การเชื่อมจุดต่อในวันดับไฟ </t>
    </r>
    <r>
      <rPr>
        <b val="true"/>
        <sz val="9"/>
        <rFont val="Tahoma"/>
        <family val="0"/>
        <charset val="1"/>
      </rPr>
      <t xml:space="preserve">(2.10 — 2.6.2 </t>
    </r>
    <r>
      <rPr>
        <b val="true"/>
        <sz val="9"/>
        <rFont val="FreeSans"/>
        <family val="2"/>
      </rPr>
      <t xml:space="preserve">เตรียม </t>
    </r>
    <r>
      <rPr>
        <b val="true"/>
        <sz val="9"/>
        <rFont val="Tahoma"/>
        <family val="0"/>
        <charset val="1"/>
      </rPr>
      <t xml:space="preserve">Breaker </t>
    </r>
    <r>
      <rPr>
        <b val="true"/>
        <sz val="9"/>
        <rFont val="FreeSans"/>
        <family val="2"/>
      </rPr>
      <t xml:space="preserve">เท่านั้น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</si>
  <si>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สาย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</rPr>
      <t xml:space="preserve">ถึงจุดเชื่อม </t>
    </r>
    <r>
      <rPr>
        <b val="true"/>
        <sz val="9"/>
        <rFont val="Tahoma"/>
        <family val="0"/>
        <charset val="1"/>
      </rPr>
      <t xml:space="preserve">+ Breaker </t>
    </r>
    <r>
      <rPr>
        <b val="true"/>
        <sz val="9"/>
        <rFont val="FreeSans"/>
        <family val="2"/>
      </rPr>
      <t xml:space="preserve">พร้อมวันดับไฟ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ความต้านทานดิน </t>
    </r>
    <r>
      <rPr>
        <b val="true"/>
        <sz val="9"/>
        <rFont val="Tahoma"/>
        <family val="0"/>
        <charset val="1"/>
      </rPr>
      <t xml:space="preserve">&lt; 5 Ω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</si>
  <si>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นอก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กราวด์ </t>
    </r>
    <r>
      <rPr>
        <b val="true"/>
        <sz val="9"/>
        <rFont val="Tahoma"/>
        <family val="0"/>
        <charset val="1"/>
      </rPr>
      <t xml:space="preserve">AC</t>
    </r>
  </si>
  <si>
    <r>
      <rPr>
        <b val="true"/>
        <sz val="9"/>
        <rFont val="Tahoma"/>
        <family val="0"/>
        <charset val="1"/>
      </rPr>
      <t xml:space="preserve">E09 (Inverter station </t>
    </r>
    <r>
      <rPr>
        <b val="true"/>
        <sz val="9"/>
        <rFont val="FreeSans"/>
        <family val="2"/>
      </rPr>
      <t xml:space="preserve">สร้างใหม่</t>
    </r>
    <r>
      <rPr>
        <b val="true"/>
        <sz val="9"/>
        <rFont val="Tahoma"/>
        <family val="0"/>
        <charset val="1"/>
      </rPr>
      <t xml:space="preserve">), E18 (</t>
    </r>
    <r>
      <rPr>
        <b val="true"/>
        <sz val="9"/>
        <rFont val="FreeSans"/>
        <family val="2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</t>
    </r>
  </si>
  <si>
    <t xml:space="preserve">acSide</t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</si>
  <si>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AC</t>
    </r>
  </si>
  <si>
    <r>
      <rPr>
        <sz val="9"/>
        <rFont val="FreeSans"/>
        <family val="2"/>
      </rPr>
      <t xml:space="preserve">แนวสาย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</rPr>
      <t xml:space="preserve">ถึงจุดเชื่อม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ท่อ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สาย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</si>
  <si>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รวมงานขุด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กลบร่องสาย ท่อร้อยสาย บ่อพัก และรางสายตามแนวเดินสาย </t>
    </r>
    <r>
      <rPr>
        <sz val="9"/>
        <rFont val="Tahoma"/>
        <family val="0"/>
        <charset val="1"/>
      </rPr>
      <t xml:space="preserve">AC</t>
    </r>
  </si>
  <si>
    <r>
      <rPr>
        <sz val="9"/>
        <rFont val="FreeSans"/>
        <family val="2"/>
      </rPr>
      <t xml:space="preserve">แนวท่อ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รางสาย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</rPr>
      <t xml:space="preserve">ครบ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สายถึงจุดเชื่อม</t>
    </r>
  </si>
  <si>
    <r>
      <rPr>
        <sz val="9"/>
        <rFont val="Tahoma"/>
        <family val="0"/>
        <charset val="1"/>
      </rPr>
      <t xml:space="preserve">SLD (1.2),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</rPr>
      <t xml:space="preserve">ท่อ </t>
    </r>
    <r>
      <rPr>
        <sz val="9"/>
        <rFont val="Tahoma"/>
        <family val="0"/>
        <charset val="1"/>
      </rPr>
      <t xml:space="preserve">PVC </t>
    </r>
    <r>
      <rPr>
        <sz val="9"/>
        <rFont val="FreeSans"/>
        <family val="2"/>
      </rPr>
      <t xml:space="preserve">ลงเสาตามแบบ </t>
    </r>
    <r>
      <rPr>
        <sz val="9"/>
        <rFont val="Tahoma"/>
        <family val="0"/>
        <charset val="1"/>
      </rPr>
      <t xml:space="preserve">E18 (</t>
    </r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HV)</t>
    </r>
  </si>
  <si>
    <r>
      <rPr>
        <sz val="9"/>
        <rFont val="Tahoma"/>
        <family val="0"/>
        <charset val="1"/>
      </rPr>
      <t xml:space="preserve">E18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HV)</t>
    </r>
  </si>
  <si>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</rPr>
      <t xml:space="preserve">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พร้อมวันดับไฟ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</si>
  <si>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เตรียม </t>
    </r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</rPr>
      <t xml:space="preserve">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เชื่อมจริงใน </t>
    </r>
    <r>
      <rPr>
        <sz val="9"/>
        <rFont val="Tahoma"/>
        <family val="0"/>
        <charset val="1"/>
      </rPr>
      <t xml:space="preserve">2.10)</t>
    </r>
  </si>
  <si>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</rPr>
      <t xml:space="preserve">พร้อมติดตั้งในวันดับไฟ</t>
    </r>
  </si>
  <si>
    <r>
      <rPr>
        <sz val="9"/>
        <rFont val="Tahoma"/>
        <family val="0"/>
        <charset val="1"/>
      </rPr>
      <t xml:space="preserve">0.3 </t>
    </r>
    <r>
      <rPr>
        <sz val="9"/>
        <rFont val="FreeSans"/>
        <family val="2"/>
      </rPr>
      <t xml:space="preserve">หนังสือขอดับไฟ</t>
    </r>
  </si>
  <si>
    <r>
      <rPr>
        <sz val="9"/>
        <rFont val="Tahoma"/>
        <family val="0"/>
        <charset val="1"/>
      </rPr>
      <t xml:space="preserve">SLD, LOTO </t>
    </r>
    <r>
      <rPr>
        <sz val="9"/>
        <rFont val="FreeSans"/>
        <family val="2"/>
      </rPr>
      <t xml:space="preserve">ตามแผนดับไฟ </t>
    </r>
    <r>
      <rPr>
        <sz val="9"/>
        <rFont val="Tahoma"/>
        <family val="0"/>
        <charset val="1"/>
      </rPr>
      <t xml:space="preserve">(0.3)</t>
    </r>
  </si>
  <si>
    <r>
      <rPr>
        <sz val="9"/>
        <rFont val="FreeSans"/>
        <family val="2"/>
      </rPr>
      <t xml:space="preserve">ระบบดินฝั่ง </t>
    </r>
    <r>
      <rPr>
        <sz val="9"/>
        <rFont val="Tahoma"/>
        <family val="0"/>
        <charset val="1"/>
      </rPr>
      <t xml:space="preserve">AC (&lt; 5 Ω)</t>
    </r>
  </si>
  <si>
    <r>
      <rPr>
        <sz val="9"/>
        <rFont val="FreeSans"/>
        <family val="2"/>
      </rPr>
      <t xml:space="preserve">หลักดิน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สายดินระบบ </t>
    </r>
    <r>
      <rPr>
        <sz val="9"/>
        <rFont val="Tahoma"/>
        <family val="0"/>
        <charset val="1"/>
      </rPr>
      <t xml:space="preserve">AC (&lt; 5 Ω)</t>
    </r>
  </si>
  <si>
    <r>
      <rPr>
        <sz val="9"/>
        <rFont val="FreeSans"/>
        <family val="2"/>
      </rPr>
      <t xml:space="preserve">ผลวัดค่าดิน </t>
    </r>
    <r>
      <rPr>
        <sz val="9"/>
        <rFont val="Tahoma"/>
        <family val="0"/>
        <charset val="1"/>
      </rPr>
      <t xml:space="preserve">&lt; 5 Ω (</t>
    </r>
    <r>
      <rPr>
        <sz val="9"/>
        <rFont val="FreeSans"/>
        <family val="2"/>
      </rPr>
      <t xml:space="preserve">บันทึกค่า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</si>
  <si>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IEC 62305; </t>
    </r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</si>
  <si>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ไฟแสงสว่าง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เต้ารับ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</si>
  <si>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FreeSans"/>
        <family val="2"/>
      </rPr>
      <t xml:space="preserve">ไฟแสงสว่าง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เต้ารับ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</si>
  <si>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FreeSans"/>
        <family val="2"/>
      </rPr>
      <t xml:space="preserve">ไฟแสงสว่าง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เต้ารับ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</rPr>
      <t xml:space="preserve">ใช้งานได้</t>
    </r>
  </si>
  <si>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</si>
  <si>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ระบบ </t>
    </r>
    <r>
      <rPr>
        <sz val="9"/>
        <rFont val="Tahoma"/>
        <family val="0"/>
        <charset val="1"/>
      </rPr>
      <t xml:space="preserve">AC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</si>
  <si>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ระบบ </t>
    </r>
    <r>
      <rPr>
        <sz val="9"/>
        <rFont val="Tahoma"/>
        <family val="0"/>
        <charset val="1"/>
      </rPr>
      <t xml:space="preserve">AC (</t>
    </r>
    <r>
      <rPr>
        <sz val="9"/>
        <rFont val="FreeSans"/>
        <family val="2"/>
      </rPr>
      <t xml:space="preserve">ก่อนวันดับไฟ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</rPr>
      <t xml:space="preserve">ค่าดิน </t>
    </r>
    <r>
      <rPr>
        <sz val="9"/>
        <rFont val="Tahoma"/>
        <family val="0"/>
        <charset val="1"/>
      </rPr>
      <t xml:space="preserve">&lt; 5 Ω, </t>
    </r>
    <r>
      <rPr>
        <sz val="9"/>
        <rFont val="FreeSans"/>
        <family val="2"/>
      </rPr>
      <t xml:space="preserve">ขันขั้ว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ลำดับเฟส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</si>
  <si>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ระบบ </t>
    </r>
    <r>
      <rPr>
        <sz val="9"/>
        <rFont val="Tahoma"/>
        <family val="0"/>
        <charset val="1"/>
      </rPr>
      <t xml:space="preserve">AC + </t>
    </r>
    <r>
      <rPr>
        <sz val="9"/>
        <rFont val="FreeSans"/>
        <family val="2"/>
      </rPr>
      <t xml:space="preserve">ผลวัดค่าดิน</t>
    </r>
  </si>
  <si>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., IEC 62305</t>
    </r>
  </si>
  <si>
    <r>
      <rPr>
        <b val="true"/>
        <sz val="9"/>
        <rFont val="FreeSans"/>
        <family val="2"/>
      </rPr>
      <t xml:space="preserve">ติดตั้งตู้ควบคุมระบบไฟฟ้า </t>
    </r>
    <r>
      <rPr>
        <b val="true"/>
        <sz val="9"/>
        <rFont val="Tahoma"/>
        <family val="0"/>
        <charset val="1"/>
      </rPr>
      <t xml:space="preserve">Solar Rooftop</t>
    </r>
  </si>
  <si>
    <r>
      <rPr>
        <b val="true"/>
        <sz val="9"/>
        <rFont val="Tahoma"/>
        <family val="0"/>
        <charset val="1"/>
      </rPr>
      <t xml:space="preserve">Breaker </t>
    </r>
    <r>
      <rPr>
        <b val="true"/>
        <sz val="9"/>
        <rFont val="FreeSans"/>
        <family val="2"/>
      </rPr>
      <t xml:space="preserve">ใน </t>
    </r>
    <r>
      <rPr>
        <b val="true"/>
        <sz val="9"/>
        <rFont val="Tahoma"/>
        <family val="0"/>
        <charset val="1"/>
      </rPr>
      <t xml:space="preserve">MDB </t>
    </r>
    <r>
      <rPr>
        <b val="true"/>
        <sz val="9"/>
        <rFont val="FreeSans"/>
        <family val="2"/>
      </rPr>
      <t xml:space="preserve">เดิม </t>
    </r>
    <r>
      <rPr>
        <b val="true"/>
        <sz val="9"/>
        <rFont val="Tahoma"/>
        <family val="0"/>
        <charset val="1"/>
      </rPr>
      <t xml:space="preserve">(2.6.2), PQM / Zero export controller (2.8.3)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</si>
  <si>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AC-DB </t>
    </r>
    <r>
      <rPr>
        <b val="true"/>
        <sz val="9"/>
        <rFont val="FreeSans"/>
        <family val="2"/>
      </rPr>
      <t xml:space="preserve">และ </t>
    </r>
    <r>
      <rPr>
        <b val="true"/>
        <sz val="9"/>
        <rFont val="Tahoma"/>
        <family val="0"/>
        <charset val="1"/>
      </rPr>
      <t xml:space="preserve">METER-DB </t>
    </r>
    <r>
      <rPr>
        <b val="true"/>
        <sz val="9"/>
        <rFont val="FreeSans"/>
        <family val="2"/>
      </rPr>
      <t xml:space="preserve">ครบ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ต่อ </t>
    </r>
    <r>
      <rPr>
        <b val="true"/>
        <sz val="9"/>
        <rFont val="Tahoma"/>
        <family val="0"/>
        <charset val="1"/>
      </rPr>
      <t xml:space="preserve">CT/VT </t>
    </r>
    <r>
      <rPr>
        <b val="true"/>
        <sz val="9"/>
        <rFont val="FreeSans"/>
        <family val="2"/>
      </rPr>
      <t xml:space="preserve">ตามตาราง </t>
    </r>
    <r>
      <rPr>
        <b val="true"/>
        <sz val="9"/>
        <rFont val="Tahoma"/>
        <family val="0"/>
        <charset val="1"/>
      </rPr>
      <t xml:space="preserve">E16</t>
    </r>
  </si>
  <si>
    <t xml:space="preserve">controlCabinet</t>
  </si>
  <si>
    <r>
      <rPr>
        <b val="true"/>
        <sz val="9"/>
        <rFont val="Tahoma"/>
        <family val="0"/>
        <charset val="1"/>
      </rPr>
      <t xml:space="preserve">2.7 </t>
    </r>
    <r>
      <rPr>
        <b val="true"/>
        <sz val="9"/>
        <rFont val="FreeSans"/>
        <family val="2"/>
      </rPr>
      <t xml:space="preserve">ตู้ควบคุม</t>
    </r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</si>
  <si>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</rPr>
      <t xml:space="preserve">ตู้ควบคุม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</si>
  <si>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(MCCB, ELR, SPD, DPM)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</si>
  <si>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(MCCB, ELR 50N/51N, SPD, DPM)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</si>
  <si>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</t>
    </r>
    <r>
      <rPr>
        <sz val="9"/>
        <rFont val="FreeSans"/>
        <family val="2"/>
      </rPr>
      <t xml:space="preserve">ครบ</t>
    </r>
    <r>
      <rPr>
        <sz val="9"/>
        <rFont val="Tahoma"/>
        <family val="0"/>
        <charset val="1"/>
      </rPr>
      <t xml:space="preserve">: MCCB, ELR, SPD, DPM + </t>
    </r>
    <r>
      <rPr>
        <sz val="9"/>
        <rFont val="FreeSans"/>
        <family val="2"/>
      </rPr>
      <t xml:space="preserve">ป้ายชื่อ</t>
    </r>
  </si>
  <si>
    <r>
      <rPr>
        <sz val="9"/>
        <rFont val="Tahoma"/>
        <family val="0"/>
        <charset val="1"/>
      </rPr>
      <t xml:space="preserve">SLD / </t>
    </r>
    <r>
      <rPr>
        <sz val="9"/>
        <rFont val="FreeSans"/>
        <family val="2"/>
      </rPr>
      <t xml:space="preserve">แบบตู้ </t>
    </r>
    <r>
      <rPr>
        <sz val="9"/>
        <rFont val="Tahoma"/>
        <family val="0"/>
        <charset val="1"/>
      </rPr>
      <t xml:space="preserve">AC-DB </t>
    </r>
    <r>
      <rPr>
        <sz val="9"/>
        <rFont val="FreeSans"/>
        <family val="2"/>
      </rPr>
      <t xml:space="preserve">ของสถานี </t>
    </r>
    <r>
      <rPr>
        <sz val="9"/>
        <rFont val="Tahoma"/>
        <family val="0"/>
        <charset val="1"/>
      </rPr>
      <t xml:space="preserve">(1.2)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</si>
  <si>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METER-DB (Revenue meter + CT 0.5S)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</si>
  <si>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METER-DB (Revenue meter + CT cl.0.5S)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</si>
  <si>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METER-DB + Revenue meter + VPN </t>
    </r>
    <r>
      <rPr>
        <sz val="9"/>
        <rFont val="FreeSans"/>
        <family val="2"/>
      </rPr>
      <t xml:space="preserve">ครบตาม </t>
    </r>
    <r>
      <rPr>
        <sz val="9"/>
        <rFont val="Tahoma"/>
        <family val="0"/>
        <charset val="1"/>
      </rPr>
      <t xml:space="preserve">E16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</si>
  <si>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/ METER-DB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</si>
  <si>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/ METER-DB: </t>
    </r>
    <r>
      <rPr>
        <sz val="9"/>
        <rFont val="FreeSans"/>
        <family val="2"/>
      </rPr>
      <t xml:space="preserve">ต่อ </t>
    </r>
    <r>
      <rPr>
        <sz val="9"/>
        <rFont val="Tahoma"/>
        <family val="0"/>
        <charset val="1"/>
      </rPr>
      <t xml:space="preserve">CT / VT </t>
    </r>
    <r>
      <rPr>
        <sz val="9"/>
        <rFont val="FreeSans"/>
        <family val="2"/>
      </rPr>
      <t xml:space="preserve">ตามตาราง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ป้ายชื่อ</t>
    </r>
    <r>
      <rPr>
        <sz val="9"/>
        <rFont val="Tahoma"/>
        <family val="0"/>
        <charset val="1"/>
      </rPr>
      <t xml:space="preserve">, IP65 </t>
    </r>
    <r>
      <rPr>
        <sz val="9"/>
        <rFont val="FreeSans"/>
        <family val="2"/>
      </rPr>
      <t xml:space="preserve">ภายนอก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</si>
  <si>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ตู้ควบคุมลงนาม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</si>
  <si>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จุดตรวจ </t>
    </r>
    <r>
      <rPr>
        <sz val="9"/>
        <rFont val="Tahoma"/>
        <family val="0"/>
        <charset val="1"/>
      </rPr>
      <t xml:space="preserve">E16</t>
    </r>
  </si>
  <si>
    <r>
      <rPr>
        <b val="true"/>
        <sz val="9"/>
        <rFont val="FreeSans"/>
        <family val="2"/>
      </rPr>
      <t xml:space="preserve">ระบบสื่อสาร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ป้องกันไฟไหลย้อน </t>
    </r>
    <r>
      <rPr>
        <b val="true"/>
        <sz val="9"/>
        <rFont val="Tahoma"/>
        <family val="0"/>
        <charset val="1"/>
      </rPr>
      <t xml:space="preserve">(Zero Export Controller)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</si>
  <si>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METER-DB (2.7.2), Data logger </t>
    </r>
    <r>
      <rPr>
        <b val="true"/>
        <sz val="9"/>
        <rFont val="FreeSans"/>
        <family val="2"/>
      </rPr>
      <t xml:space="preserve">และการเชื่อม </t>
    </r>
    <r>
      <rPr>
        <b val="true"/>
        <sz val="9"/>
        <rFont val="Tahoma"/>
        <family val="0"/>
        <charset val="1"/>
      </rPr>
      <t xml:space="preserve">Data center (2.9), </t>
    </r>
    <r>
      <rPr>
        <b val="true"/>
        <sz val="9"/>
        <rFont val="FreeSans"/>
        <family val="2"/>
      </rPr>
      <t xml:space="preserve">การทดสอบ </t>
    </r>
    <r>
      <rPr>
        <b val="true"/>
        <sz val="9"/>
        <rFont val="Tahoma"/>
        <family val="0"/>
        <charset val="1"/>
      </rPr>
      <t xml:space="preserve">Zero export (3.1.5)</t>
    </r>
  </si>
  <si>
    <r>
      <rPr>
        <b val="true"/>
        <sz val="9"/>
        <rFont val="FreeSans"/>
        <family val="2"/>
      </rPr>
      <t xml:space="preserve">กันย้อน </t>
    </r>
    <r>
      <rPr>
        <b val="true"/>
        <sz val="9"/>
        <rFont val="Tahoma"/>
        <family val="0"/>
        <charset val="1"/>
      </rPr>
      <t xml:space="preserve">HV (E18 + E13) </t>
    </r>
    <r>
      <rPr>
        <b val="true"/>
        <sz val="9"/>
        <rFont val="FreeSans"/>
        <family val="2"/>
      </rPr>
      <t xml:space="preserve">หรือ </t>
    </r>
    <r>
      <rPr>
        <b val="true"/>
        <sz val="9"/>
        <rFont val="Tahoma"/>
        <family val="0"/>
        <charset val="1"/>
      </rPr>
      <t xml:space="preserve">LV (E17) </t>
    </r>
    <r>
      <rPr>
        <b val="true"/>
        <sz val="9"/>
        <rFont val="FreeSans"/>
        <family val="2"/>
      </rPr>
      <t xml:space="preserve">ครบ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สื่อสารถึง </t>
    </r>
    <r>
      <rPr>
        <b val="true"/>
        <sz val="9"/>
        <rFont val="Tahoma"/>
        <family val="0"/>
        <charset val="1"/>
      </rPr>
      <t xml:space="preserve">Inverter (</t>
    </r>
    <r>
      <rPr>
        <b val="true"/>
        <sz val="9"/>
        <rFont val="FreeSans"/>
        <family val="2"/>
      </rPr>
      <t xml:space="preserve">ทดสอบใน </t>
    </r>
    <r>
      <rPr>
        <b val="true"/>
        <sz val="9"/>
        <rFont val="Tahoma"/>
        <family val="0"/>
        <charset val="1"/>
      </rPr>
      <t xml:space="preserve">3.1.5)</t>
    </r>
  </si>
  <si>
    <r>
      <rPr>
        <b val="true"/>
        <sz val="9"/>
        <rFont val="FreeSans"/>
        <family val="2"/>
      </rPr>
      <t xml:space="preserve">ตู้ </t>
    </r>
    <r>
      <rPr>
        <b val="true"/>
        <sz val="9"/>
        <rFont val="Tahoma"/>
        <family val="0"/>
        <charset val="1"/>
      </rPr>
      <t xml:space="preserve">Smart energy </t>
    </r>
    <r>
      <rPr>
        <b val="true"/>
        <sz val="9"/>
        <rFont val="FreeSans"/>
        <family val="2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นอก</t>
    </r>
  </si>
  <si>
    <r>
      <rPr>
        <b val="true"/>
        <sz val="9"/>
        <rFont val="Tahoma"/>
        <family val="0"/>
        <charset val="1"/>
      </rPr>
      <t xml:space="preserve">E13 (</t>
    </r>
    <r>
      <rPr>
        <b val="true"/>
        <sz val="9"/>
        <rFont val="FreeSans"/>
        <family val="2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HV), E16, E17 (</t>
    </r>
    <r>
      <rPr>
        <b val="true"/>
        <sz val="9"/>
        <rFont val="FreeSans"/>
        <family val="2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LV), E18 (</t>
    </r>
    <r>
      <rPr>
        <b val="true"/>
        <sz val="9"/>
        <rFont val="FreeSans"/>
        <family val="2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</t>
    </r>
  </si>
  <si>
    <t xml:space="preserve">zeroExport</t>
  </si>
  <si>
    <r>
      <rPr>
        <b val="true"/>
        <sz val="9"/>
        <rFont val="Tahoma"/>
        <family val="0"/>
        <charset val="1"/>
      </rPr>
      <t xml:space="preserve">2.8 </t>
    </r>
    <r>
      <rPr>
        <b val="true"/>
        <sz val="9"/>
        <rFont val="FreeSans"/>
        <family val="2"/>
      </rPr>
      <t xml:space="preserve">สื่อสาร</t>
    </r>
    <r>
      <rPr>
        <b val="true"/>
        <sz val="9"/>
        <rFont val="Tahoma"/>
        <family val="0"/>
        <charset val="1"/>
      </rPr>
      <t xml:space="preserve">+ZE</t>
    </r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</si>
  <si>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</rPr>
      <t xml:space="preserve">สื่อสาร</t>
    </r>
    <r>
      <rPr>
        <b val="true"/>
        <sz val="9"/>
        <rFont val="Tahoma"/>
        <family val="0"/>
        <charset val="1"/>
      </rPr>
      <t xml:space="preserve">/Zero export</t>
    </r>
  </si>
  <si>
    <r>
      <rPr>
        <sz val="9"/>
        <rFont val="FreeSans"/>
        <family val="2"/>
      </rPr>
      <t xml:space="preserve">อนุญาตเข้าทำงานเสา </t>
    </r>
    <r>
      <rPr>
        <sz val="9"/>
        <rFont val="Tahoma"/>
        <family val="0"/>
        <charset val="1"/>
      </rPr>
      <t xml:space="preserve">22 kV (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</si>
  <si>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หมุด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อนุญาตเข้าทำงานเสา </t>
    </r>
    <r>
      <rPr>
        <sz val="9"/>
        <rFont val="Tahoma"/>
        <family val="0"/>
        <charset val="1"/>
      </rPr>
      <t xml:space="preserve">22 kV / </t>
    </r>
    <r>
      <rPr>
        <sz val="9"/>
        <rFont val="FreeSans"/>
        <family val="2"/>
      </rPr>
      <t xml:space="preserve">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ยื่นล่วงหน้า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</si>
  <si>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ใส่วันในชีตอัปเดตรายสัปดาห์</t>
  </si>
  <si>
    <r>
      <rPr>
        <sz val="9"/>
        <rFont val="FreeSans"/>
        <family val="2"/>
      </rPr>
      <t xml:space="preserve">ชุดอุปกรณ์กันย้อน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</rPr>
      <t xml:space="preserve">บนเสา </t>
    </r>
    <r>
      <rPr>
        <sz val="9"/>
        <rFont val="Tahoma"/>
        <family val="0"/>
        <charset val="1"/>
      </rPr>
      <t xml:space="preserve">(E18)</t>
    </r>
  </si>
  <si>
    <r>
      <rPr>
        <sz val="9"/>
        <rFont val="FreeSans"/>
        <family val="2"/>
      </rPr>
      <t xml:space="preserve">อุปกรณ์ด้าน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</rPr>
      <t xml:space="preserve">ตามแบบ </t>
    </r>
    <r>
      <rPr>
        <sz val="9"/>
        <rFont val="Tahoma"/>
        <family val="0"/>
        <charset val="1"/>
      </rPr>
      <t xml:space="preserve">E18: </t>
    </r>
    <r>
      <rPr>
        <sz val="9"/>
        <rFont val="FreeSans"/>
        <family val="2"/>
      </rPr>
      <t xml:space="preserve">เสาคอนกรีต </t>
    </r>
    <r>
      <rPr>
        <sz val="9"/>
        <rFont val="Tahoma"/>
        <family val="0"/>
        <charset val="1"/>
      </rPr>
      <t xml:space="preserve">12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</rPr>
      <t xml:space="preserve">คอนสาย</t>
    </r>
    <r>
      <rPr>
        <sz val="9"/>
        <rFont val="Tahoma"/>
        <family val="0"/>
        <charset val="1"/>
      </rPr>
      <t xml:space="preserve">, VT ×3, CT ×3, DOF, LA, </t>
    </r>
    <r>
      <rPr>
        <sz val="9"/>
        <rFont val="FreeSans"/>
        <family val="2"/>
      </rPr>
      <t xml:space="preserve">หลักดิน </t>
    </r>
    <r>
      <rPr>
        <sz val="9"/>
        <rFont val="Tahoma"/>
        <family val="0"/>
        <charset val="1"/>
      </rPr>
      <t xml:space="preserve">HV/LV</t>
    </r>
  </si>
  <si>
    <r>
      <rPr>
        <sz val="9"/>
        <rFont val="FreeSans"/>
        <family val="2"/>
      </rPr>
      <t xml:space="preserve">อุปกรณ์บนเสา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</rPr>
      <t xml:space="preserve">ครบตาม </t>
    </r>
    <r>
      <rPr>
        <sz val="9"/>
        <rFont val="Tahoma"/>
        <family val="0"/>
        <charset val="1"/>
      </rPr>
      <t xml:space="preserve">E18, </t>
    </r>
    <r>
      <rPr>
        <sz val="9"/>
        <rFont val="FreeSans"/>
        <family val="2"/>
      </rPr>
      <t xml:space="preserve">หลักดิน </t>
    </r>
    <r>
      <rPr>
        <sz val="9"/>
        <rFont val="Tahoma"/>
        <family val="0"/>
        <charset val="1"/>
      </rPr>
      <t xml:space="preserve">HV / LV </t>
    </r>
    <r>
      <rPr>
        <sz val="9"/>
        <rFont val="FreeSans"/>
        <family val="2"/>
      </rPr>
      <t xml:space="preserve">ตามระยะ</t>
    </r>
  </si>
  <si>
    <r>
      <rPr>
        <sz val="9"/>
        <rFont val="FreeSans"/>
        <family val="2"/>
      </rPr>
      <t xml:space="preserve">ระเบียบ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สิ่งแนบ </t>
    </r>
    <r>
      <rPr>
        <sz val="9"/>
        <rFont val="Tahoma"/>
        <family val="0"/>
        <charset val="1"/>
      </rPr>
      <t xml:space="preserve">6</t>
    </r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</si>
  <si>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LV (E17)</t>
    </r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</si>
  <si>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</rPr>
      <t xml:space="preserve">ด้าน </t>
    </r>
    <r>
      <rPr>
        <sz val="9"/>
        <rFont val="Tahoma"/>
        <family val="0"/>
        <charset val="1"/>
      </rPr>
      <t xml:space="preserve">LV (</t>
    </r>
    <r>
      <rPr>
        <sz val="9"/>
        <rFont val="FreeSans"/>
        <family val="2"/>
      </rPr>
      <t xml:space="preserve">แทน </t>
    </r>
    <r>
      <rPr>
        <sz val="9"/>
        <rFont val="Tahoma"/>
        <family val="0"/>
        <charset val="1"/>
      </rPr>
      <t xml:space="preserve">2.8.2 </t>
    </r>
    <r>
      <rPr>
        <sz val="9"/>
        <rFont val="FreeSans"/>
        <family val="2"/>
      </rPr>
      <t xml:space="preserve">เมื่อกันย้อนฝั่ง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</si>
  <si>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กันย้อนที่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</rPr>
      <t xml:space="preserve">ครบ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ทิศ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</rPr>
      <t xml:space="preserve">ถูก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</si>
  <si>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E17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</si>
  <si>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PQM / Smart Energy Manager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</si>
  <si>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PQM + Smart Energy Manager / Zero export controller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</si>
  <si>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PQM / SEM </t>
    </r>
    <r>
      <rPr>
        <sz val="9"/>
        <rFont val="FreeSans"/>
        <family val="2"/>
      </rPr>
      <t xml:space="preserve">ครบ อ่านค่าได้</t>
    </r>
  </si>
  <si>
    <r>
      <rPr>
        <sz val="9"/>
        <rFont val="Tahoma"/>
        <family val="0"/>
        <charset val="1"/>
      </rPr>
      <t xml:space="preserve">PQM </t>
    </r>
    <r>
      <rPr>
        <sz val="9"/>
        <rFont val="FreeSans"/>
        <family val="2"/>
      </rPr>
      <t xml:space="preserve">บังคับเมื่อเกิน </t>
    </r>
    <r>
      <rPr>
        <sz val="9"/>
        <rFont val="Tahoma"/>
        <family val="0"/>
        <charset val="1"/>
      </rPr>
      <t xml:space="preserve">250 kW (Grid Code </t>
    </r>
    <r>
      <rPr>
        <sz val="9"/>
        <rFont val="FreeSans"/>
        <family val="2"/>
      </rPr>
      <t xml:space="preserve">ข้อ </t>
    </r>
    <r>
      <rPr>
        <sz val="9"/>
        <rFont val="Tahoma"/>
        <family val="0"/>
        <charset val="1"/>
      </rPr>
      <t xml:space="preserve">8.6.2)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</si>
  <si>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HV), E17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</si>
  <si>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FreeSans"/>
        <family val="2"/>
      </rPr>
      <t xml:space="preserve">เครือข่ายสื่อสาร </t>
    </r>
    <r>
      <rPr>
        <sz val="9"/>
        <rFont val="Tahoma"/>
        <family val="0"/>
        <charset val="1"/>
      </rPr>
      <t xml:space="preserve">(Fiber / CAT6 / RS485 / VPN)</t>
    </r>
  </si>
  <si>
    <r>
      <rPr>
        <sz val="9"/>
        <rFont val="FreeSans"/>
        <family val="2"/>
      </rPr>
      <t xml:space="preserve">สื่อสาร </t>
    </r>
    <r>
      <rPr>
        <sz val="9"/>
        <rFont val="Tahoma"/>
        <family val="0"/>
        <charset val="1"/>
      </rPr>
      <t xml:space="preserve">Fiber / CAT6 / RS485 / VPN router</t>
    </r>
  </si>
  <si>
    <r>
      <rPr>
        <sz val="9"/>
        <rFont val="FreeSans"/>
        <family val="2"/>
      </rPr>
      <t xml:space="preserve">สื่อสารถึง </t>
    </r>
    <r>
      <rPr>
        <sz val="9"/>
        <rFont val="Tahoma"/>
        <family val="0"/>
        <charset val="1"/>
      </rPr>
      <t xml:space="preserve">Inverter / </t>
    </r>
    <r>
      <rPr>
        <sz val="9"/>
        <rFont val="FreeSans"/>
        <family val="2"/>
      </rPr>
      <t xml:space="preserve">มิเตอร์ครบ ทดสอบ </t>
    </r>
    <r>
      <rPr>
        <sz val="9"/>
        <rFont val="Tahoma"/>
        <family val="0"/>
        <charset val="1"/>
      </rPr>
      <t xml:space="preserve">ping </t>
    </r>
    <r>
      <rPr>
        <sz val="9"/>
        <rFont val="FreeSans"/>
        <family val="2"/>
      </rPr>
      <t xml:space="preserve">ได้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</si>
  <si>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HV), E16, E17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</si>
  <si>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สื่อสาร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</si>
  <si>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กันย้อน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สื่อสาร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ขั้ว </t>
    </r>
    <r>
      <rPr>
        <sz val="9"/>
        <rFont val="Tahoma"/>
        <family val="0"/>
        <charset val="1"/>
      </rPr>
      <t xml:space="preserve">CT / VT </t>
    </r>
    <r>
      <rPr>
        <sz val="9"/>
        <rFont val="FreeSans"/>
        <family val="2"/>
      </rPr>
      <t xml:space="preserve">ตรงเฟส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ทิศ </t>
    </r>
    <r>
      <rPr>
        <sz val="9"/>
        <rFont val="Tahoma"/>
        <family val="0"/>
        <charset val="1"/>
      </rPr>
      <t xml:space="preserve">CT, </t>
    </r>
    <r>
      <rPr>
        <sz val="9"/>
        <rFont val="FreeSans"/>
        <family val="2"/>
      </rPr>
      <t xml:space="preserve">สื่อสารถึง </t>
    </r>
    <r>
      <rPr>
        <sz val="9"/>
        <rFont val="Tahoma"/>
        <family val="0"/>
        <charset val="1"/>
      </rPr>
      <t xml:space="preserve">Inverter</t>
    </r>
  </si>
  <si>
    <r>
      <rPr>
        <sz val="9"/>
        <rFont val="FreeSans"/>
        <family val="2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กันย้อนลงนาม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</si>
  <si>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จุดตรวจ </t>
    </r>
    <r>
      <rPr>
        <sz val="9"/>
        <rFont val="Tahoma"/>
        <family val="0"/>
        <charset val="1"/>
      </rPr>
      <t xml:space="preserve">E13 / E17 / E18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</si>
  <si>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HV), E17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LV), E18 (</t>
    </r>
    <r>
      <rPr>
        <sz val="9"/>
        <rFont val="FreeSans"/>
        <family val="2"/>
      </rPr>
      <t xml:space="preserve">กันย้อนฝั่ง </t>
    </r>
    <r>
      <rPr>
        <sz val="9"/>
        <rFont val="Tahoma"/>
        <family val="0"/>
        <charset val="1"/>
      </rPr>
      <t xml:space="preserve">HV)</t>
    </r>
  </si>
  <si>
    <r>
      <rPr>
        <b val="true"/>
        <sz val="9"/>
        <rFont val="FreeSans"/>
        <family val="2"/>
      </rPr>
      <t xml:space="preserve">ระบบประมวลผลการผลิตไฟฟ้า </t>
    </r>
    <r>
      <rPr>
        <b val="true"/>
        <sz val="9"/>
        <rFont val="Tahoma"/>
        <family val="0"/>
        <charset val="1"/>
      </rPr>
      <t xml:space="preserve">(Solar Monitoring)</t>
    </r>
  </si>
  <si>
    <r>
      <rPr>
        <b val="true"/>
        <sz val="9"/>
        <rFont val="FreeSans"/>
        <family val="2"/>
      </rPr>
      <t xml:space="preserve">อุปกรณ์สื่อสาร </t>
    </r>
    <r>
      <rPr>
        <b val="true"/>
        <sz val="9"/>
        <rFont val="Tahoma"/>
        <family val="0"/>
        <charset val="1"/>
      </rPr>
      <t xml:space="preserve">Fiber/VPN (2.8.4), Monitoring </t>
    </r>
    <r>
      <rPr>
        <b val="true"/>
        <sz val="9"/>
        <rFont val="FreeSans"/>
        <family val="2"/>
      </rPr>
      <t xml:space="preserve">ออนระบบหลัง </t>
    </r>
    <r>
      <rPr>
        <b val="true"/>
        <sz val="9"/>
        <rFont val="Tahoma"/>
        <family val="0"/>
        <charset val="1"/>
      </rPr>
      <t xml:space="preserve">COD (3.2.7)</t>
    </r>
  </si>
  <si>
    <r>
      <rPr>
        <b val="true"/>
        <sz val="9"/>
        <rFont val="FreeSans"/>
        <family val="2"/>
      </rPr>
      <t xml:space="preserve">ข้อมูล </t>
    </r>
    <r>
      <rPr>
        <b val="true"/>
        <sz val="9"/>
        <rFont val="Tahoma"/>
        <family val="0"/>
        <charset val="1"/>
      </rPr>
      <t xml:space="preserve">Inverter / Revenue meter / PQ meter </t>
    </r>
    <r>
      <rPr>
        <b val="true"/>
        <sz val="9"/>
        <rFont val="FreeSans"/>
        <family val="2"/>
      </rPr>
      <t xml:space="preserve">ขึ้นที่ </t>
    </r>
    <r>
      <rPr>
        <b val="true"/>
        <sz val="9"/>
        <rFont val="Tahoma"/>
        <family val="0"/>
        <charset val="1"/>
      </rPr>
      <t xml:space="preserve">Data center </t>
    </r>
    <r>
      <rPr>
        <b val="true"/>
        <sz val="9"/>
        <rFont val="FreeSans"/>
        <family val="2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</si>
  <si>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t xml:space="preserve">PQM</t>
  </si>
  <si>
    <t xml:space="preserve">monitoring</t>
  </si>
  <si>
    <r>
      <rPr>
        <b val="true"/>
        <sz val="9"/>
        <rFont val="Tahoma"/>
        <family val="0"/>
        <charset val="1"/>
      </rPr>
      <t xml:space="preserve">2.9 Monitoring (</t>
    </r>
    <r>
      <rPr>
        <b val="true"/>
        <sz val="9"/>
        <rFont val="FreeSans"/>
        <family val="2"/>
      </rPr>
      <t xml:space="preserve">ติดตั้ง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</si>
  <si>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Monitoring</t>
    </r>
  </si>
  <si>
    <r>
      <rPr>
        <sz val="9"/>
        <rFont val="Tahoma"/>
        <family val="0"/>
        <charset val="1"/>
      </rPr>
      <t xml:space="preserve">Data logger </t>
    </r>
    <r>
      <rPr>
        <sz val="9"/>
        <rFont val="FreeSans"/>
        <family val="2"/>
      </rPr>
      <t xml:space="preserve">เชื่อม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</si>
  <si>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ตั้งค่า </t>
    </r>
    <r>
      <rPr>
        <sz val="9"/>
        <rFont val="Tahoma"/>
        <family val="0"/>
        <charset val="1"/>
      </rPr>
      <t xml:space="preserve">Data logger + </t>
    </r>
    <r>
      <rPr>
        <sz val="9"/>
        <rFont val="FreeSans"/>
        <family val="2"/>
      </rPr>
      <t xml:space="preserve">เชื่อม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</si>
  <si>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Data logger </t>
    </r>
    <r>
      <rPr>
        <sz val="9"/>
        <rFont val="FreeSans"/>
        <family val="2"/>
      </rPr>
      <t xml:space="preserve">ส่งข้อมูลถึง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</si>
  <si>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ผลทดสอบส่งข้อมูลมิเตอร์ </t>
    </r>
    <r>
      <rPr>
        <sz val="9"/>
        <rFont val="Tahoma"/>
        <family val="0"/>
        <charset val="1"/>
      </rPr>
      <t xml:space="preserve">/ Inverter</t>
    </r>
  </si>
  <si>
    <r>
      <rPr>
        <sz val="9"/>
        <rFont val="FreeSans"/>
        <family val="2"/>
      </rPr>
      <t xml:space="preserve">ทดสอบส่งข้อมูล </t>
    </r>
    <r>
      <rPr>
        <sz val="9"/>
        <rFont val="Tahoma"/>
        <family val="0"/>
        <charset val="1"/>
      </rPr>
      <t xml:space="preserve">Inverter / Revenue meter / PQ meter</t>
    </r>
  </si>
  <si>
    <r>
      <rPr>
        <sz val="9"/>
        <rFont val="FreeSans"/>
        <family val="2"/>
      </rPr>
      <t xml:space="preserve">ข้อมูล </t>
    </r>
    <r>
      <rPr>
        <sz val="9"/>
        <rFont val="Tahoma"/>
        <family val="0"/>
        <charset val="1"/>
      </rPr>
      <t xml:space="preserve">Inverter / Revenue meter / PQ meter </t>
    </r>
    <r>
      <rPr>
        <sz val="9"/>
        <rFont val="FreeSans"/>
        <family val="2"/>
      </rPr>
      <t xml:space="preserve">ขึ้นครบ</t>
    </r>
  </si>
  <si>
    <r>
      <rPr>
        <sz val="9"/>
        <rFont val="Tahoma"/>
        <family val="0"/>
        <charset val="1"/>
      </rPr>
      <t xml:space="preserve">Weather station (Irradiance + </t>
    </r>
    <r>
      <rPr>
        <sz val="9"/>
        <rFont val="FreeSans"/>
        <family val="2"/>
      </rPr>
      <t xml:space="preserve">อุณหภูมิแผง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</si>
  <si>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Weather station: </t>
    </r>
    <r>
      <rPr>
        <sz val="9"/>
        <rFont val="FreeSans"/>
        <family val="2"/>
      </rPr>
      <t xml:space="preserve">เซนเซอร์แสง </t>
    </r>
    <r>
      <rPr>
        <sz val="9"/>
        <rFont val="Tahoma"/>
        <family val="0"/>
        <charset val="1"/>
      </rPr>
      <t xml:space="preserve">(POA) + </t>
    </r>
    <r>
      <rPr>
        <sz val="9"/>
        <rFont val="FreeSans"/>
        <family val="2"/>
      </rPr>
      <t xml:space="preserve">อุณหภูมิแผง → </t>
    </r>
    <r>
      <rPr>
        <sz val="9"/>
        <rFont val="Tahoma"/>
        <family val="0"/>
        <charset val="1"/>
      </rPr>
      <t xml:space="preserve">Data logger</t>
    </r>
  </si>
  <si>
    <r>
      <rPr>
        <sz val="9"/>
        <rFont val="FreeSans"/>
        <family val="2"/>
      </rPr>
      <t xml:space="preserve">ค่าแสง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อุณหภูมิแผงขึ้นใน </t>
    </r>
    <r>
      <rPr>
        <sz val="9"/>
        <rFont val="Tahoma"/>
        <family val="0"/>
        <charset val="1"/>
      </rPr>
      <t xml:space="preserve">Data logger</t>
    </r>
  </si>
  <si>
    <r>
      <rPr>
        <sz val="9"/>
        <rFont val="Tahoma"/>
        <family val="0"/>
        <charset val="1"/>
      </rPr>
      <t xml:space="preserve">IEC 61724-1 (</t>
    </r>
    <r>
      <rPr>
        <sz val="9"/>
        <rFont val="FreeSans"/>
        <family val="2"/>
      </rPr>
      <t xml:space="preserve">ข้อมูลสำหรับ </t>
    </r>
    <r>
      <rPr>
        <sz val="9"/>
        <rFont val="Tahoma"/>
        <family val="0"/>
        <charset val="1"/>
      </rPr>
      <t xml:space="preserve">PR test 4.3)</t>
    </r>
  </si>
  <si>
    <r>
      <rPr>
        <b val="true"/>
        <sz val="9"/>
        <rFont val="FreeSans"/>
        <family val="2"/>
      </rPr>
      <t xml:space="preserve">ระบบเชื่อมกับ </t>
    </r>
    <r>
      <rPr>
        <b val="true"/>
        <sz val="9"/>
        <rFont val="Tahoma"/>
        <family val="0"/>
        <charset val="1"/>
      </rPr>
      <t xml:space="preserve">MDB </t>
    </r>
    <r>
      <rPr>
        <b val="true"/>
        <sz val="9"/>
        <rFont val="FreeSans"/>
        <family val="2"/>
      </rPr>
      <t xml:space="preserve">แล้ว และจ่ายไฟคืนได้ </t>
    </r>
    <r>
      <rPr>
        <b val="true"/>
        <sz val="9"/>
        <rFont val="Tahoma"/>
        <family val="0"/>
        <charset val="1"/>
      </rPr>
      <t xml:space="preserve">(Tie-in)</t>
    </r>
  </si>
  <si>
    <r>
      <rPr>
        <b val="true"/>
        <sz val="9"/>
        <rFont val="FreeSans"/>
        <family val="2"/>
      </rPr>
      <t xml:space="preserve">งานติดตั้งก่อนวันดับไฟ </t>
    </r>
    <r>
      <rPr>
        <b val="true"/>
        <sz val="9"/>
        <rFont val="Tahoma"/>
        <family val="0"/>
        <charset val="1"/>
      </rPr>
      <t xml:space="preserve">(2.1–2.9), </t>
    </r>
    <r>
      <rPr>
        <b val="true"/>
        <sz val="9"/>
        <rFont val="FreeSans"/>
        <family val="2"/>
      </rPr>
      <t xml:space="preserve">ขนานไฟกับ กฟภ</t>
    </r>
    <r>
      <rPr>
        <b val="true"/>
        <sz val="9"/>
        <rFont val="Tahoma"/>
        <family val="0"/>
        <charset val="1"/>
      </rPr>
      <t xml:space="preserve">. (1.7.6) — Tie-in </t>
    </r>
    <r>
      <rPr>
        <b val="true"/>
        <sz val="9"/>
        <rFont val="FreeSans"/>
        <family val="2"/>
      </rPr>
      <t xml:space="preserve">คือเชื่อมกับระบบของสถานี ไม่ใช่การได้ </t>
    </r>
    <r>
      <rPr>
        <b val="true"/>
        <sz val="9"/>
        <rFont val="Tahoma"/>
        <family val="0"/>
        <charset val="1"/>
      </rPr>
      <t xml:space="preserve">COD</t>
    </r>
  </si>
  <si>
    <t xml:space="preserve">จ่ายไฟคืน ระบบเดิมทำงานปกติ</t>
  </si>
  <si>
    <r>
      <rPr>
        <b val="true"/>
        <sz val="9"/>
        <rFont val="Tahoma"/>
        <family val="0"/>
        <charset val="1"/>
      </rPr>
      <t xml:space="preserve">Milestone </t>
    </r>
    <r>
      <rPr>
        <b val="true"/>
        <sz val="9"/>
        <rFont val="FreeSans"/>
        <family val="2"/>
      </rPr>
      <t xml:space="preserve">ในแผน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 </t>
    </r>
    <r>
      <rPr>
        <b val="true"/>
        <sz val="9"/>
        <rFont val="FreeSans"/>
        <family val="2"/>
      </rPr>
      <t xml:space="preserve">ตามแม่แบบ </t>
    </r>
    <r>
      <rPr>
        <b val="true"/>
        <sz val="9"/>
        <rFont val="Tahoma"/>
        <family val="0"/>
        <charset val="1"/>
      </rPr>
      <t xml:space="preserve">MP), </t>
    </r>
    <r>
      <rPr>
        <b val="true"/>
        <sz val="9"/>
        <rFont val="FreeSans"/>
        <family val="2"/>
      </rPr>
      <t xml:space="preserve">งานเตรียมนับใน </t>
    </r>
    <r>
      <rPr>
        <b val="true"/>
        <sz val="9"/>
        <rFont val="Tahoma"/>
        <family val="0"/>
        <charset val="1"/>
      </rPr>
      <t xml:space="preserve">2.6.2</t>
    </r>
  </si>
  <si>
    <r>
      <rPr>
        <b val="true"/>
        <sz val="9"/>
        <rFont val="Tahoma"/>
        <family val="0"/>
        <charset val="1"/>
      </rPr>
      <t xml:space="preserve">2.10 </t>
    </r>
    <r>
      <rPr>
        <b val="true"/>
        <sz val="9"/>
        <rFont val="FreeSans"/>
        <family val="2"/>
      </rPr>
      <t xml:space="preserve">ดับไฟเชื่อมระบบ</t>
    </r>
  </si>
  <si>
    <t xml:space="preserve">L5 Integration, Assembly, Test &amp; Checkout</t>
  </si>
  <si>
    <r>
      <rPr>
        <sz val="9"/>
        <rFont val="FreeSans"/>
        <family val="2"/>
      </rPr>
      <t xml:space="preserve">จุดต่อร่วมกับ </t>
    </r>
    <r>
      <rPr>
        <sz val="9"/>
        <rFont val="Tahoma"/>
        <family val="0"/>
        <charset val="1"/>
      </rPr>
      <t xml:space="preserve">MDB (</t>
    </r>
    <r>
      <rPr>
        <sz val="9"/>
        <rFont val="FreeSans"/>
        <family val="2"/>
      </rPr>
      <t xml:space="preserve">ดับไฟ </t>
    </r>
    <r>
      <rPr>
        <sz val="9"/>
        <rFont val="Tahoma"/>
        <family val="0"/>
        <charset val="1"/>
      </rPr>
      <t xml:space="preserve">+ LOTO)</t>
    </r>
  </si>
  <si>
    <r>
      <rPr>
        <sz val="9"/>
        <rFont val="Tahoma"/>
        <family val="0"/>
        <charset val="1"/>
      </rPr>
      <t xml:space="preserve">LOTO + </t>
    </r>
    <r>
      <rPr>
        <sz val="9"/>
        <rFont val="FreeSans"/>
        <family val="2"/>
      </rPr>
      <t xml:space="preserve">ดับไฟตามนัด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เชื่อมต่อจุดต่อร่วม</t>
    </r>
  </si>
  <si>
    <r>
      <rPr>
        <sz val="9"/>
        <rFont val="Tahoma"/>
        <family val="0"/>
        <charset val="1"/>
      </rPr>
      <t xml:space="preserve">LOTO, </t>
    </r>
    <r>
      <rPr>
        <sz val="9"/>
        <rFont val="FreeSans"/>
        <family val="2"/>
      </rPr>
      <t xml:space="preserve">แผนดับไฟ </t>
    </r>
    <r>
      <rPr>
        <sz val="9"/>
        <rFont val="Tahoma"/>
        <family val="0"/>
        <charset val="1"/>
      </rPr>
      <t xml:space="preserve">(0.3)</t>
    </r>
  </si>
  <si>
    <r>
      <rPr>
        <sz val="9"/>
        <rFont val="FreeSans"/>
        <family val="2"/>
      </rPr>
      <t xml:space="preserve">ระบบจ่ายไฟคืน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แรงดันถูกต้อง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</si>
  <si>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จ่ายไฟคืน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แรงดัน</t>
    </r>
  </si>
  <si>
    <r>
      <rPr>
        <sz val="9"/>
        <rFont val="FreeSans"/>
        <family val="2"/>
      </rPr>
      <t xml:space="preserve">จ่ายไฟคืน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แรงดันถูก บันทึกค่า</t>
    </r>
  </si>
  <si>
    <r>
      <rPr>
        <sz val="9"/>
        <rFont val="FreeSans"/>
        <family val="2"/>
      </rPr>
      <t xml:space="preserve">แผนดับไฟ </t>
    </r>
    <r>
      <rPr>
        <sz val="9"/>
        <rFont val="Tahoma"/>
        <family val="0"/>
        <charset val="1"/>
      </rPr>
      <t xml:space="preserve">(0.3)</t>
    </r>
  </si>
  <si>
    <r>
      <rPr>
        <b val="true"/>
        <sz val="9"/>
        <rFont val="FreeSans"/>
        <family val="2"/>
      </rPr>
      <t xml:space="preserve">ทดสอบการทำงานของระบบผลิตไฟฟ้า </t>
    </r>
    <r>
      <rPr>
        <b val="true"/>
        <sz val="9"/>
        <rFont val="Tahoma"/>
        <family val="0"/>
        <charset val="1"/>
      </rPr>
      <t xml:space="preserve">(Pre-Commissioning / IEC 62446)</t>
    </r>
  </si>
  <si>
    <r>
      <rPr>
        <b val="true"/>
        <sz val="9"/>
        <rFont val="FreeSans"/>
        <family val="2"/>
      </rPr>
      <t xml:space="preserve">งานติดตั้ง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แก้ไขที่พบจากการทดสอบ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นับในงาน </t>
    </r>
    <r>
      <rPr>
        <b val="true"/>
        <sz val="9"/>
        <rFont val="Tahoma"/>
        <family val="0"/>
        <charset val="1"/>
      </rPr>
      <t xml:space="preserve">2.x </t>
    </r>
    <r>
      <rPr>
        <b val="true"/>
        <sz val="9"/>
        <rFont val="FreeSans"/>
        <family val="2"/>
      </rPr>
      <t xml:space="preserve">เดิม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การตรวจระบบของ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</rPr>
      <t xml:space="preserve">เพื่อขนานไฟ </t>
    </r>
    <r>
      <rPr>
        <b val="true"/>
        <sz val="9"/>
        <rFont val="Tahoma"/>
        <family val="0"/>
        <charset val="1"/>
      </rPr>
      <t xml:space="preserve">(1.7.5–1.7.6)</t>
    </r>
  </si>
  <si>
    <r>
      <rPr>
        <b val="true"/>
        <sz val="9"/>
        <rFont val="FreeSans"/>
        <family val="2"/>
      </rPr>
      <t xml:space="preserve">ทีมกด ปิดการทดสอบ </t>
    </r>
    <r>
      <rPr>
        <b val="true"/>
        <sz val="9"/>
        <rFont val="Tahoma"/>
        <family val="0"/>
        <charset val="1"/>
      </rPr>
      <t xml:space="preserve">(MP 3.1 = 100%)</t>
    </r>
  </si>
  <si>
    <r>
      <rPr>
        <b val="true"/>
        <sz val="9"/>
        <rFont val="Tahoma"/>
        <family val="0"/>
        <charset val="1"/>
      </rPr>
      <t xml:space="preserve">IEC 62446 Test, Form IV Test (</t>
    </r>
    <r>
      <rPr>
        <b val="true"/>
        <sz val="9"/>
        <rFont val="FreeSans"/>
        <family val="2"/>
      </rPr>
      <t xml:space="preserve">ภาพก่อน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</rPr>
      <t xml:space="preserve">หลัง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</rPr>
      <t xml:space="preserve">ภาพถ่ายความร้อน</t>
    </r>
  </si>
  <si>
    <r>
      <rPr>
        <b val="true"/>
        <sz val="9"/>
        <rFont val="FreeSans"/>
        <family val="2"/>
      </rPr>
      <t xml:space="preserve">ทดสอบ </t>
    </r>
    <r>
      <rPr>
        <b val="true"/>
        <sz val="9"/>
        <rFont val="Tahoma"/>
        <family val="0"/>
        <charset val="1"/>
      </rPr>
      <t xml:space="preserve">IEC 62446 (IECReport 7 </t>
    </r>
    <r>
      <rPr>
        <b val="true"/>
        <sz val="9"/>
        <rFont val="FreeSans"/>
        <family val="2"/>
      </rPr>
      <t xml:space="preserve">ขั้น</t>
    </r>
    <r>
      <rPr>
        <b val="true"/>
        <sz val="9"/>
        <rFont val="Tahoma"/>
        <family val="0"/>
        <charset val="1"/>
      </rPr>
      <t xml:space="preserve">)</t>
    </r>
  </si>
  <si>
    <t xml:space="preserve">preCommissioning</t>
  </si>
  <si>
    <t xml:space="preserve">L4.6 Commissioning, L4.2 Integration Test</t>
  </si>
  <si>
    <r>
      <rPr>
        <sz val="9"/>
        <rFont val="Tahoma"/>
        <family val="0"/>
        <charset val="1"/>
      </rPr>
      <t xml:space="preserve">Mechanical completion walk-down + </t>
    </r>
    <r>
      <rPr>
        <sz val="9"/>
        <rFont val="FreeSans"/>
        <family val="2"/>
      </rPr>
      <t xml:space="preserve">เคลียร์ </t>
    </r>
    <r>
      <rPr>
        <sz val="9"/>
        <rFont val="Tahoma"/>
        <family val="0"/>
        <charset val="1"/>
      </rPr>
      <t xml:space="preserve">Punch list A</t>
    </r>
  </si>
  <si>
    <r>
      <rPr>
        <sz val="9"/>
        <rFont val="Tahoma"/>
        <family val="0"/>
        <charset val="1"/>
      </rPr>
      <t xml:space="preserve">Walk-down </t>
    </r>
    <r>
      <rPr>
        <sz val="9"/>
        <rFont val="FreeSans"/>
        <family val="2"/>
      </rPr>
      <t xml:space="preserve">ลงนาม</t>
    </r>
    <r>
      <rPr>
        <sz val="9"/>
        <rFont val="Tahoma"/>
        <family val="0"/>
        <charset val="1"/>
      </rPr>
      <t xml:space="preserve">, Punch list A </t>
    </r>
    <r>
      <rPr>
        <sz val="9"/>
        <rFont val="FreeSans"/>
        <family val="2"/>
      </rPr>
      <t xml:space="preserve">ปิดครบ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</si>
  <si>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</rPr>
      <t xml:space="preserve">ก่อนเชื่อม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ราย </t>
    </r>
    <r>
      <rPr>
        <sz val="9"/>
        <rFont val="Tahoma"/>
        <family val="0"/>
        <charset val="1"/>
      </rPr>
      <t xml:space="preserve">String)</t>
    </r>
  </si>
  <si>
    <r>
      <rPr>
        <sz val="9"/>
        <rFont val="Tahoma"/>
        <family val="0"/>
        <charset val="1"/>
      </rPr>
      <t xml:space="preserve">IEC 62446-1 Cat.1 </t>
    </r>
    <r>
      <rPr>
        <sz val="9"/>
        <rFont val="FreeSans"/>
        <family val="2"/>
      </rPr>
      <t xml:space="preserve">ก่อนเชื่อม</t>
    </r>
    <r>
      <rPr>
        <sz val="9"/>
        <rFont val="Tahoma"/>
        <family val="0"/>
        <charset val="1"/>
      </rPr>
      <t xml:space="preserve">: Continuity, Polarity, Voc, Isc, IR </t>
    </r>
    <r>
      <rPr>
        <sz val="9"/>
        <rFont val="FreeSans"/>
        <family val="2"/>
      </rPr>
      <t xml:space="preserve">ราย </t>
    </r>
    <r>
      <rPr>
        <sz val="9"/>
        <rFont val="Tahoma"/>
        <family val="0"/>
        <charset val="1"/>
      </rPr>
      <t xml:space="preserve">String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</si>
  <si>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</rPr>
      <t xml:space="preserve">ก่อนเชื่อม ครบทุก </t>
    </r>
    <r>
      <rPr>
        <sz val="9"/>
        <rFont val="Tahoma"/>
        <family val="0"/>
        <charset val="1"/>
      </rPr>
      <t xml:space="preserve">String (</t>
    </r>
    <r>
      <rPr>
        <sz val="9"/>
        <rFont val="FreeSans"/>
        <family val="2"/>
      </rPr>
      <t xml:space="preserve">แอป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ขั้น </t>
    </r>
    <r>
      <rPr>
        <sz val="9"/>
        <rFont val="Tahoma"/>
        <family val="0"/>
        <charset val="1"/>
      </rPr>
      <t xml:space="preserve">2)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</si>
  <si>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ขั้น </t>
    </r>
    <r>
      <rPr>
        <sz val="9"/>
        <rFont val="Tahoma"/>
        <family val="0"/>
        <charset val="1"/>
      </rPr>
      <t xml:space="preserve">2 (</t>
    </r>
    <r>
      <rPr>
        <sz val="9"/>
        <rFont val="FreeSans"/>
        <family val="2"/>
      </rPr>
      <t xml:space="preserve">ก่อน</t>
    </r>
    <r>
      <rPr>
        <sz val="9"/>
        <rFont val="Tahoma"/>
        <family val="0"/>
        <charset val="1"/>
      </rPr>
      <t xml:space="preserve">)</t>
    </r>
  </si>
  <si>
    <t xml:space="preserve">IEC 62446-1:2016+AMD1:2018</t>
  </si>
  <si>
    <r>
      <rPr>
        <sz val="9"/>
        <rFont val="FreeSans"/>
        <family val="2"/>
      </rPr>
      <t xml:space="preserve">รายงาน </t>
    </r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</rPr>
      <t xml:space="preserve">แผง</t>
    </r>
  </si>
  <si>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</si>
  <si>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</rPr>
      <t xml:space="preserve">รายงาน </t>
    </r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</rPr>
      <t xml:space="preserve">แผง </t>
    </r>
    <r>
      <rPr>
        <sz val="9"/>
        <rFont val="Tahoma"/>
        <family val="0"/>
        <charset val="1"/>
      </rPr>
      <t xml:space="preserve">100%</t>
    </r>
  </si>
  <si>
    <t xml:space="preserve">ภาพถ่ายความร้อน</t>
  </si>
  <si>
    <t xml:space="preserve">IEC 62446-3:2017</t>
  </si>
  <si>
    <r>
      <rPr>
        <sz val="9"/>
        <rFont val="FreeSans"/>
        <family val="2"/>
      </rPr>
      <t xml:space="preserve">ผลทดสอบ </t>
    </r>
    <r>
      <rPr>
        <sz val="9"/>
        <rFont val="Tahoma"/>
        <family val="0"/>
        <charset val="1"/>
      </rPr>
      <t xml:space="preserve">FTS / ELR / Shunt trip</t>
    </r>
  </si>
  <si>
    <r>
      <rPr>
        <sz val="9"/>
        <rFont val="FreeSans"/>
        <family val="2"/>
      </rPr>
      <t xml:space="preserve">ทดสอบ </t>
    </r>
    <r>
      <rPr>
        <sz val="9"/>
        <rFont val="Tahoma"/>
        <family val="0"/>
        <charset val="1"/>
      </rPr>
      <t xml:space="preserve">FTS / Rapid shutdown + </t>
    </r>
    <r>
      <rPr>
        <sz val="9"/>
        <rFont val="FreeSans"/>
        <family val="2"/>
      </rPr>
      <t xml:space="preserve">ตู้ไฟ </t>
    </r>
    <r>
      <rPr>
        <sz val="9"/>
        <rFont val="Tahoma"/>
        <family val="0"/>
        <charset val="1"/>
      </rPr>
      <t xml:space="preserve">(ELR, Shunt trip, SPD)</t>
    </r>
  </si>
  <si>
    <r>
      <rPr>
        <sz val="9"/>
        <rFont val="FreeSans"/>
        <family val="2"/>
      </rPr>
      <t xml:space="preserve">ผลทดสอบ </t>
    </r>
    <r>
      <rPr>
        <sz val="9"/>
        <rFont val="Tahoma"/>
        <family val="0"/>
        <charset val="1"/>
      </rPr>
      <t xml:space="preserve">FTS / ELR / Shunt trip / SPD </t>
    </r>
    <r>
      <rPr>
        <sz val="9"/>
        <rFont val="FreeSans"/>
        <family val="2"/>
      </rPr>
      <t xml:space="preserve">ผ่าน</t>
    </r>
  </si>
  <si>
    <r>
      <rPr>
        <sz val="9"/>
        <rFont val="FreeSans"/>
        <family val="2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</si>
  <si>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Start-up + Zero export / Anti-islanding</t>
    </r>
  </si>
  <si>
    <t xml:space="preserve">Start-up Inverter + Zero export / Anti-islanding / Relay-CT-VT</t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</si>
  <si>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Start-up + </t>
    </r>
    <r>
      <rPr>
        <sz val="9"/>
        <rFont val="FreeSans"/>
        <family val="2"/>
      </rPr>
      <t xml:space="preserve">ทดสอบ </t>
    </r>
    <r>
      <rPr>
        <sz val="9"/>
        <rFont val="Tahoma"/>
        <family val="0"/>
        <charset val="1"/>
      </rPr>
      <t xml:space="preserve">Zero export / Anti-islanding </t>
    </r>
    <r>
      <rPr>
        <sz val="9"/>
        <rFont val="FreeSans"/>
        <family val="2"/>
      </rPr>
      <t xml:space="preserve">ผ่าน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</si>
  <si>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หลังเชื่อม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ผลผลิต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</si>
  <si>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หลังเชื่อม </t>
    </r>
    <r>
      <rPr>
        <sz val="9"/>
        <rFont val="Tahoma"/>
        <family val="0"/>
        <charset val="1"/>
      </rPr>
      <t xml:space="preserve">(Vmp / Imp) + </t>
    </r>
    <r>
      <rPr>
        <sz val="9"/>
        <rFont val="FreeSans"/>
        <family val="2"/>
      </rPr>
      <t xml:space="preserve">ผลการผลิต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ส่งผลให้ทีม → ปิดการทดสอบ</t>
    </r>
  </si>
  <si>
    <r>
      <rPr>
        <sz val="9"/>
        <rFont val="FreeSans"/>
        <family val="2"/>
      </rPr>
      <t xml:space="preserve">ผล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หลังเชื่อม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ผลการผลิต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ทีมกดปิดการทดสอบ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</si>
  <si>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ขั้น </t>
    </r>
    <r>
      <rPr>
        <sz val="9"/>
        <rFont val="Tahoma"/>
        <family val="0"/>
        <charset val="1"/>
      </rPr>
      <t xml:space="preserve">4–7, </t>
    </r>
    <r>
      <rPr>
        <sz val="9"/>
        <rFont val="FreeSans"/>
        <family val="2"/>
      </rPr>
      <t xml:space="preserve">ส่งผลให้ทีม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ปิดการทดสอบ</t>
    </r>
  </si>
  <si>
    <r>
      <rPr>
        <sz val="9"/>
        <rFont val="FreeSans"/>
        <family val="2"/>
      </rPr>
      <t xml:space="preserve">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</si>
  <si>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ผู้ว่าจ้าง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ผู้แทน กปภ</t>
    </r>
    <r>
      <rPr>
        <sz val="9"/>
        <rFont val="Tahoma"/>
        <family val="0"/>
        <charset val="1"/>
      </rPr>
      <t xml:space="preserve">.)</t>
    </r>
  </si>
  <si>
    <r>
      <rPr>
        <sz val="9"/>
        <rFont val="Tahoma"/>
        <family val="0"/>
        <charset val="1"/>
      </rPr>
      <t xml:space="preserve">3.1.7 </t>
    </r>
    <r>
      <rPr>
        <sz val="9"/>
        <rFont val="FreeSans"/>
        <family val="2"/>
      </rPr>
      <t xml:space="preserve">ตรวจรับ กฟภ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</si>
  <si>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แบบ </t>
    </r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</rPr>
      <t xml:space="preserve">รายการคำนวณ</t>
    </r>
  </si>
  <si>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</rPr>
      <t xml:space="preserve">รายการคำนวณไฟฟ้า ลงนาม</t>
    </r>
  </si>
  <si>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</rPr>
      <t xml:space="preserve">รายการคำนวณไฟฟ้าลงนาม</t>
    </r>
  </si>
  <si>
    <r>
      <rPr>
        <sz val="9"/>
        <rFont val="Tahoma"/>
        <family val="0"/>
        <charset val="1"/>
      </rPr>
      <t xml:space="preserve">As-Built, </t>
    </r>
    <r>
      <rPr>
        <sz val="9"/>
        <rFont val="FreeSans"/>
        <family val="2"/>
      </rPr>
      <t xml:space="preserve">รายการคำนวณไฟฟ้า</t>
    </r>
  </si>
  <si>
    <r>
      <rPr>
        <sz val="9"/>
        <rFont val="Tahoma"/>
        <family val="0"/>
        <charset val="1"/>
      </rPr>
      <t xml:space="preserve">3.1.8 As-built </t>
    </r>
    <r>
      <rPr>
        <sz val="9"/>
        <rFont val="FreeSans"/>
        <family val="2"/>
      </rPr>
      <t xml:space="preserve">ลงนาม</t>
    </r>
  </si>
  <si>
    <r>
      <rPr>
        <b val="true"/>
        <sz val="9"/>
        <rFont val="FreeSans"/>
        <family val="2"/>
      </rPr>
      <t xml:space="preserve">อบรมการใช้งาน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ส่งมอบงาน</t>
    </r>
    <r>
      <rPr>
        <b val="true"/>
        <sz val="9"/>
        <rFont val="Tahoma"/>
        <family val="0"/>
        <charset val="1"/>
      </rPr>
      <t xml:space="preserve">, PAC</t>
    </r>
  </si>
  <si>
    <r>
      <rPr>
        <b val="true"/>
        <sz val="9"/>
        <rFont val="FreeSans"/>
        <family val="2"/>
      </rPr>
      <t xml:space="preserve">การทดสอบ </t>
    </r>
    <r>
      <rPr>
        <b val="true"/>
        <sz val="9"/>
        <rFont val="Tahoma"/>
        <family val="0"/>
        <charset val="1"/>
      </rPr>
      <t xml:space="preserve">(3.1), </t>
    </r>
    <r>
      <rPr>
        <b val="true"/>
        <sz val="9"/>
        <rFont val="FreeSans"/>
        <family val="2"/>
      </rPr>
      <t xml:space="preserve">การรับประกันหลัง </t>
    </r>
    <r>
      <rPr>
        <b val="true"/>
        <sz val="9"/>
        <rFont val="Tahoma"/>
        <family val="0"/>
        <charset val="1"/>
      </rPr>
      <t xml:space="preserve">PAC (4.1)</t>
    </r>
  </si>
  <si>
    <r>
      <rPr>
        <b val="true"/>
        <sz val="9"/>
        <rFont val="FreeSans"/>
        <family val="2"/>
      </rPr>
      <t xml:space="preserve">ได้ </t>
    </r>
    <r>
      <rPr>
        <b val="true"/>
        <sz val="9"/>
        <rFont val="Tahoma"/>
        <family val="0"/>
        <charset val="1"/>
      </rPr>
      <t xml:space="preserve">PAC / </t>
    </r>
    <r>
      <rPr>
        <b val="true"/>
        <sz val="9"/>
        <rFont val="FreeSans"/>
        <family val="2"/>
      </rPr>
      <t xml:space="preserve">บันทึกส่งมอบ</t>
    </r>
  </si>
  <si>
    <r>
      <rPr>
        <b val="true"/>
        <sz val="9"/>
        <rFont val="FreeSans"/>
        <family val="2"/>
      </rPr>
      <t xml:space="preserve">คู่มือ </t>
    </r>
    <r>
      <rPr>
        <b val="true"/>
        <sz val="9"/>
        <rFont val="Tahoma"/>
        <family val="0"/>
        <charset val="1"/>
      </rPr>
      <t xml:space="preserve">O&amp;M, Punch List, As-Built, </t>
    </r>
    <r>
      <rPr>
        <b val="true"/>
        <sz val="9"/>
        <rFont val="FreeSans"/>
        <family val="2"/>
      </rPr>
      <t xml:space="preserve">รายงานภาพถ่ายติดตั้ง</t>
    </r>
  </si>
  <si>
    <r>
      <rPr>
        <b val="true"/>
        <sz val="9"/>
        <rFont val="FreeSans"/>
        <family val="2"/>
      </rPr>
      <t xml:space="preserve">ส่งมอบ </t>
    </r>
    <r>
      <rPr>
        <b val="true"/>
        <sz val="9"/>
        <rFont val="Tahoma"/>
        <family val="0"/>
        <charset val="1"/>
      </rPr>
      <t xml:space="preserve">(HandoverFolders) › 1. </t>
    </r>
    <r>
      <rPr>
        <b val="true"/>
        <sz val="9"/>
        <rFont val="FreeSans"/>
        <family val="2"/>
      </rPr>
      <t xml:space="preserve">เอกสารส่งมอบ</t>
    </r>
  </si>
  <si>
    <t xml:space="preserve">training</t>
  </si>
  <si>
    <r>
      <rPr>
        <b val="true"/>
        <sz val="9"/>
        <rFont val="Tahoma"/>
        <family val="0"/>
        <charset val="1"/>
      </rPr>
      <t xml:space="preserve">3.2 </t>
    </r>
    <r>
      <rPr>
        <b val="true"/>
        <sz val="9"/>
        <rFont val="FreeSans"/>
        <family val="2"/>
      </rPr>
      <t xml:space="preserve">อบรม</t>
    </r>
    <r>
      <rPr>
        <b val="true"/>
        <sz val="9"/>
        <rFont val="Tahoma"/>
        <family val="0"/>
        <charset val="1"/>
      </rPr>
      <t xml:space="preserve">/PAC</t>
    </r>
  </si>
  <si>
    <t xml:space="preserve">L2.7 Training, L4.7 Operations Start-Up</t>
  </si>
  <si>
    <r>
      <rPr>
        <sz val="9"/>
        <rFont val="FreeSans"/>
        <family val="2"/>
      </rPr>
      <t xml:space="preserve">การอบรมเจ้าหน้าที่ 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</si>
  <si>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อบรมการใช้งานและบำรุงรักษา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เจ้าหน้าที่ กปภ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</si>
  <si>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บันทึกการอบรม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รายชื่อผู้เข้าอบรม</t>
    </r>
  </si>
  <si>
    <r>
      <rPr>
        <sz val="9"/>
        <rFont val="FreeSans"/>
        <family val="2"/>
      </rPr>
      <t xml:space="preserve">คู่มือ </t>
    </r>
    <r>
      <rPr>
        <sz val="9"/>
        <rFont val="Tahoma"/>
        <family val="0"/>
        <charset val="1"/>
      </rPr>
      <t xml:space="preserve">O&amp;M</t>
    </r>
  </si>
  <si>
    <r>
      <rPr>
        <sz val="9"/>
        <rFont val="FreeSans"/>
        <family val="2"/>
      </rPr>
      <t xml:space="preserve">ชุดเอกสารส่งมอบ </t>
    </r>
    <r>
      <rPr>
        <sz val="9"/>
        <rFont val="Tahoma"/>
        <family val="0"/>
        <charset val="1"/>
      </rPr>
      <t xml:space="preserve">(Handover pack)</t>
    </r>
  </si>
  <si>
    <r>
      <rPr>
        <sz val="9"/>
        <rFont val="Tahoma"/>
        <family val="0"/>
        <charset val="1"/>
      </rPr>
      <t xml:space="preserve">Handover pack: </t>
    </r>
    <r>
      <rPr>
        <sz val="9"/>
        <rFont val="FreeSans"/>
        <family val="2"/>
      </rPr>
      <t xml:space="preserve">รวบรวม </t>
    </r>
    <r>
      <rPr>
        <sz val="9"/>
        <rFont val="Tahoma"/>
        <family val="0"/>
        <charset val="1"/>
      </rPr>
      <t xml:space="preserve">As-built (</t>
    </r>
    <r>
      <rPr>
        <sz val="9"/>
        <rFont val="FreeSans"/>
        <family val="2"/>
      </rPr>
      <t xml:space="preserve">ทำใน </t>
    </r>
    <r>
      <rPr>
        <sz val="9"/>
        <rFont val="Tahoma"/>
        <family val="0"/>
        <charset val="1"/>
      </rPr>
      <t xml:space="preserve">3.1.8), </t>
    </r>
    <r>
      <rPr>
        <sz val="9"/>
        <rFont val="FreeSans"/>
        <family val="2"/>
      </rPr>
      <t xml:space="preserve">เอกสาร </t>
    </r>
    <r>
      <rPr>
        <sz val="9"/>
        <rFont val="Tahoma"/>
        <family val="0"/>
        <charset val="1"/>
      </rPr>
      <t xml:space="preserve">IEC 62446-1, </t>
    </r>
    <r>
      <rPr>
        <sz val="9"/>
        <rFont val="FreeSans"/>
        <family val="2"/>
      </rPr>
      <t xml:space="preserve">คู่มือ </t>
    </r>
    <r>
      <rPr>
        <sz val="9"/>
        <rFont val="Tahoma"/>
        <family val="0"/>
        <charset val="1"/>
      </rPr>
      <t xml:space="preserve">O&amp;M, Spare parts, </t>
    </r>
    <r>
      <rPr>
        <sz val="9"/>
        <rFont val="FreeSans"/>
        <family val="2"/>
      </rPr>
      <t xml:space="preserve">สิทธิ์ </t>
    </r>
    <r>
      <rPr>
        <sz val="9"/>
        <rFont val="Tahoma"/>
        <family val="0"/>
        <charset val="1"/>
      </rPr>
      <t xml:space="preserve">Monitoring</t>
    </r>
  </si>
  <si>
    <r>
      <rPr>
        <sz val="9"/>
        <rFont val="Tahoma"/>
        <family val="0"/>
        <charset val="1"/>
      </rPr>
      <t xml:space="preserve">Handover pack </t>
    </r>
    <r>
      <rPr>
        <sz val="9"/>
        <rFont val="FreeSans"/>
        <family val="2"/>
      </rPr>
      <t xml:space="preserve">ครบตามโฟลเดอร์ส่งมอบ </t>
    </r>
    <r>
      <rPr>
        <sz val="9"/>
        <rFont val="Tahoma"/>
        <family val="0"/>
        <charset val="1"/>
      </rPr>
      <t xml:space="preserve">1–4 +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รับเอกสาร</t>
    </r>
  </si>
  <si>
    <r>
      <rPr>
        <sz val="9"/>
        <rFont val="Tahoma"/>
        <family val="0"/>
        <charset val="1"/>
      </rPr>
      <t xml:space="preserve">As-Built, IEC 62446 Test, </t>
    </r>
    <r>
      <rPr>
        <sz val="9"/>
        <rFont val="FreeSans"/>
        <family val="2"/>
      </rPr>
      <t xml:space="preserve">คู่มือ </t>
    </r>
    <r>
      <rPr>
        <sz val="9"/>
        <rFont val="Tahoma"/>
        <family val="0"/>
        <charset val="1"/>
      </rPr>
      <t xml:space="preserve">O&amp;M, </t>
    </r>
    <r>
      <rPr>
        <sz val="9"/>
        <rFont val="FreeSans"/>
        <family val="2"/>
      </rPr>
      <t xml:space="preserve">รายงานภาพถ่ายติดตั้ง</t>
    </r>
  </si>
  <si>
    <r>
      <rPr>
        <sz val="9"/>
        <rFont val="FreeSans"/>
        <family val="2"/>
      </rPr>
      <t xml:space="preserve">โฟลเดอร์ส่งมอบ </t>
    </r>
    <r>
      <rPr>
        <sz val="9"/>
        <rFont val="Tahoma"/>
        <family val="0"/>
        <charset val="1"/>
      </rPr>
      <t xml:space="preserve">1–4</t>
    </r>
  </si>
  <si>
    <r>
      <rPr>
        <sz val="9"/>
        <rFont val="Tahoma"/>
        <family val="0"/>
        <charset val="1"/>
      </rPr>
      <t xml:space="preserve">PAC (</t>
    </r>
    <r>
      <rPr>
        <sz val="9"/>
        <rFont val="FreeSans"/>
        <family val="2"/>
      </rPr>
      <t xml:space="preserve">หนังสือรับมอบชั่วคราว</t>
    </r>
    <r>
      <rPr>
        <sz val="9"/>
        <rFont val="Tahoma"/>
        <family val="0"/>
        <charset val="1"/>
      </rPr>
      <t xml:space="preserve">)</t>
    </r>
  </si>
  <si>
    <t xml:space="preserve">PAC – Provisional Acceptance Certificate</t>
  </si>
  <si>
    <r>
      <rPr>
        <sz val="9"/>
        <rFont val="Tahoma"/>
        <family val="0"/>
        <charset val="1"/>
      </rPr>
      <t xml:space="preserve">PAC </t>
    </r>
    <r>
      <rPr>
        <sz val="9"/>
        <rFont val="FreeSans"/>
        <family val="2"/>
      </rPr>
      <t xml:space="preserve">ลงนาม</t>
    </r>
  </si>
  <si>
    <t xml:space="preserve">เอกสารส่งมอบงวดงาน</t>
  </si>
  <si>
    <r>
      <rPr>
        <sz val="9"/>
        <rFont val="FreeSans"/>
        <family val="2"/>
      </rPr>
      <t xml:space="preserve">ส่งมอบงวดงาน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รายงานติดตั้ง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ผลทดสอบ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</si>
  <si>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หนังสือส่งมอบงวดงาน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รายงานติดตั้ง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ผลทดสอบ</t>
    </r>
  </si>
  <si>
    <r>
      <rPr>
        <sz val="9"/>
        <rFont val="FreeSans"/>
        <family val="2"/>
      </rPr>
      <t xml:space="preserve">รายงานภาพถ่ายติดตั้ง</t>
    </r>
    <r>
      <rPr>
        <sz val="9"/>
        <rFont val="Tahoma"/>
        <family val="0"/>
        <charset val="1"/>
      </rPr>
      <t xml:space="preserve">, IEC 62446 Test, </t>
    </r>
    <r>
      <rPr>
        <sz val="9"/>
        <rFont val="FreeSans"/>
        <family val="2"/>
      </rPr>
      <t xml:space="preserve">ภาพถ่ายความร้อน</t>
    </r>
  </si>
  <si>
    <r>
      <rPr>
        <sz val="9"/>
        <rFont val="Tahoma"/>
        <family val="0"/>
        <charset val="1"/>
      </rPr>
      <t xml:space="preserve">3.2.4 </t>
    </r>
    <r>
      <rPr>
        <sz val="9"/>
        <rFont val="FreeSans"/>
        <family val="2"/>
      </rPr>
      <t xml:space="preserve">ส่งมอบงวด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</si>
  <si>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</si>
  <si>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ส่งแล้ว</t>
    </r>
  </si>
  <si>
    <r>
      <rPr>
        <sz val="9"/>
        <rFont val="Tahoma"/>
        <family val="0"/>
        <charset val="1"/>
      </rPr>
      <t xml:space="preserve">3.2.5 C-Form </t>
    </r>
    <r>
      <rPr>
        <sz val="9"/>
        <rFont val="FreeSans"/>
        <family val="2"/>
      </rPr>
      <t xml:space="preserve">ข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</si>
  <si>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</si>
  <si>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ส่งแล้ว</t>
    </r>
  </si>
  <si>
    <r>
      <rPr>
        <sz val="9"/>
        <rFont val="Tahoma"/>
        <family val="0"/>
        <charset val="1"/>
      </rPr>
      <t xml:space="preserve">3.2.6 C-Form </t>
    </r>
    <r>
      <rPr>
        <sz val="9"/>
        <rFont val="FreeSans"/>
        <family val="2"/>
      </rPr>
      <t xml:space="preserve">ก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</si>
  <si>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ข้อมูลขึ้นระบบ </t>
    </r>
    <r>
      <rPr>
        <sz val="9"/>
        <rFont val="Tahoma"/>
        <family val="0"/>
        <charset val="1"/>
      </rPr>
      <t xml:space="preserve">Monitoring (</t>
    </r>
    <r>
      <rPr>
        <sz val="9"/>
        <rFont val="FreeSans"/>
        <family val="2"/>
      </rPr>
      <t xml:space="preserve">หลัง </t>
    </r>
    <r>
      <rPr>
        <sz val="9"/>
        <rFont val="Tahoma"/>
        <family val="0"/>
        <charset val="1"/>
      </rPr>
      <t xml:space="preserve">COD)</t>
    </r>
  </si>
  <si>
    <r>
      <rPr>
        <sz val="9"/>
        <rFont val="Tahoma"/>
        <family val="0"/>
        <charset val="1"/>
      </rPr>
      <t xml:space="preserve">Monitoring </t>
    </r>
    <r>
      <rPr>
        <sz val="9"/>
        <rFont val="FreeSans"/>
        <family val="2"/>
      </rPr>
      <t xml:space="preserve">ออนระบบ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หลัง </t>
    </r>
    <r>
      <rPr>
        <sz val="9"/>
        <rFont val="Tahoma"/>
        <family val="0"/>
        <charset val="1"/>
      </rPr>
      <t xml:space="preserve">COD)</t>
    </r>
  </si>
  <si>
    <r>
      <rPr>
        <sz val="9"/>
        <rFont val="FreeSans"/>
        <family val="2"/>
      </rPr>
      <t xml:space="preserve">ข้อมูลขึ้นระบบ </t>
    </r>
    <r>
      <rPr>
        <sz val="9"/>
        <rFont val="Tahoma"/>
        <family val="0"/>
        <charset val="1"/>
      </rPr>
      <t xml:space="preserve">Monitoring 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วันหลัง </t>
    </r>
    <r>
      <rPr>
        <sz val="9"/>
        <rFont val="Tahoma"/>
        <family val="0"/>
        <charset val="1"/>
      </rPr>
      <t xml:space="preserve">COD</t>
    </r>
  </si>
  <si>
    <r>
      <rPr>
        <sz val="9"/>
        <rFont val="Tahoma"/>
        <family val="0"/>
        <charset val="1"/>
      </rPr>
      <t xml:space="preserve">3.2.7 Monitoring </t>
    </r>
    <r>
      <rPr>
        <sz val="9"/>
        <rFont val="FreeSans"/>
        <family val="2"/>
      </rPr>
      <t xml:space="preserve">ออนระบบ</t>
    </r>
  </si>
  <si>
    <r>
      <rPr>
        <b val="true"/>
        <sz val="9"/>
        <rFont val="Tahoma"/>
        <family val="0"/>
        <charset val="1"/>
      </rPr>
      <t xml:space="preserve">Defects Liability Period / </t>
    </r>
    <r>
      <rPr>
        <b val="true"/>
        <sz val="9"/>
        <rFont val="FreeSans"/>
        <family val="2"/>
      </rPr>
      <t xml:space="preserve">รับประกันผลงาน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ตามสัญญา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</si>
  <si>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งานที่ยังไม่ปิดก่อน </t>
    </r>
    <r>
      <rPr>
        <b val="true"/>
        <sz val="9"/>
        <rFont val="Tahoma"/>
        <family val="0"/>
        <charset val="1"/>
      </rPr>
      <t xml:space="preserve">PAC (</t>
    </r>
    <r>
      <rPr>
        <b val="true"/>
        <sz val="9"/>
        <rFont val="FreeSans"/>
        <family val="2"/>
      </rPr>
      <t xml:space="preserve">ต้องปิดใน </t>
    </r>
    <r>
      <rPr>
        <b val="true"/>
        <sz val="9"/>
        <rFont val="Tahoma"/>
        <family val="0"/>
        <charset val="1"/>
      </rPr>
      <t xml:space="preserve">3.x), </t>
    </r>
    <r>
      <rPr>
        <b val="true"/>
        <sz val="9"/>
        <rFont val="FreeSans"/>
        <family val="2"/>
      </rPr>
      <t xml:space="preserve">การบำรุงรักษาตามสัญญา </t>
    </r>
    <r>
      <rPr>
        <b val="true"/>
        <sz val="9"/>
        <rFont val="Tahoma"/>
        <family val="0"/>
        <charset val="1"/>
      </rPr>
      <t xml:space="preserve">O&amp;M </t>
    </r>
    <r>
      <rPr>
        <b val="true"/>
        <sz val="9"/>
        <rFont val="FreeSans"/>
        <family val="2"/>
      </rPr>
      <t xml:space="preserve">แยก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ถ้ามี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</si>
  <si>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พ้นระยะรับประกัน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</rPr>
      <t xml:space="preserve">แก้ข้อบกพร่องที่แจ้งครบ</t>
    </r>
  </si>
  <si>
    <r>
      <rPr>
        <b val="true"/>
        <sz val="9"/>
        <rFont val="FreeSans"/>
        <family val="2"/>
      </rPr>
      <t xml:space="preserve">ไม่วัดใน </t>
    </r>
    <r>
      <rPr>
        <b val="true"/>
        <sz val="9"/>
        <rFont val="Tahoma"/>
        <family val="0"/>
        <charset val="1"/>
      </rPr>
      <t xml:space="preserve">MP</t>
    </r>
  </si>
  <si>
    <t xml:space="preserve">L6.3 Maintenance</t>
  </si>
  <si>
    <r>
      <rPr>
        <b val="true"/>
        <sz val="9"/>
        <rFont val="FreeSans"/>
        <family val="2"/>
      </rPr>
      <t xml:space="preserve">การปิดงานรายสถานี </t>
    </r>
    <r>
      <rPr>
        <b val="true"/>
        <sz val="9"/>
        <rFont val="Tahoma"/>
        <family val="0"/>
        <charset val="1"/>
      </rPr>
      <t xml:space="preserve">(3.2)</t>
    </r>
  </si>
  <si>
    <r>
      <rPr>
        <b val="true"/>
        <sz val="9"/>
        <rFont val="Tahoma"/>
        <family val="0"/>
        <charset val="1"/>
      </rPr>
      <t xml:space="preserve">Final account </t>
    </r>
    <r>
      <rPr>
        <b val="true"/>
        <sz val="9"/>
        <rFont val="FreeSans"/>
        <family val="2"/>
      </rPr>
      <t xml:space="preserve">ปิด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บทเรียนบันทึกในชีตบทเรียน</t>
    </r>
  </si>
  <si>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</rPr>
      <t xml:space="preserve">ปลาย </t>
    </r>
    <r>
      <rPr>
        <b val="true"/>
        <sz val="9"/>
        <rFont val="Tahoma"/>
        <family val="0"/>
        <charset val="1"/>
      </rPr>
      <t xml:space="preserve">DLP + FAC + </t>
    </r>
    <r>
      <rPr>
        <b val="true"/>
        <sz val="9"/>
        <rFont val="FreeSans"/>
        <family val="2"/>
      </rPr>
      <t xml:space="preserve">คืนหลักประกัน</t>
    </r>
  </si>
  <si>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</rPr>
      <t xml:space="preserve">ช่วงส่งมอบ </t>
    </r>
    <r>
      <rPr>
        <b val="true"/>
        <sz val="9"/>
        <rFont val="Tahoma"/>
        <family val="0"/>
        <charset val="1"/>
      </rPr>
      <t xml:space="preserve">(3.1.6)</t>
    </r>
  </si>
  <si>
    <r>
      <rPr>
        <b val="true"/>
        <sz val="9"/>
        <rFont val="FreeSans"/>
        <family val="2"/>
      </rPr>
      <t xml:space="preserve">ผล </t>
    </r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</rPr>
      <t xml:space="preserve">ผ่าน </t>
    </r>
    <r>
      <rPr>
        <b val="true"/>
        <sz val="9"/>
        <rFont val="Tahoma"/>
        <family val="0"/>
        <charset val="1"/>
      </rPr>
      <t xml:space="preserve">+ FAC </t>
    </r>
    <r>
      <rPr>
        <b val="true"/>
        <sz val="9"/>
        <rFont val="FreeSans"/>
        <family val="2"/>
      </rPr>
      <t xml:space="preserve">ลงนาม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</rPr>
      <t xml:space="preserve">คืนหลักประกัน</t>
    </r>
  </si>
  <si>
    <t xml:space="preserve">L4.3 Operational Test, L6.3 Maintenance</t>
  </si>
  <si>
    <r>
      <rPr>
        <b val="true"/>
        <sz val="11"/>
        <color rgb="FF1F4E78"/>
        <rFont val="FreeSans"/>
        <family val="2"/>
      </rPr>
      <t xml:space="preserve">แม่แบบงานย่อย </t>
    </r>
    <r>
      <rPr>
        <b val="true"/>
        <sz val="11"/>
        <color rgb="FF1F4E78"/>
        <rFont val="Tahoma"/>
        <family val="0"/>
        <charset val="1"/>
      </rPr>
      <t xml:space="preserve">2.1 </t>
    </r>
    <r>
      <rPr>
        <b val="true"/>
        <sz val="11"/>
        <color rgb="FF1F4E78"/>
        <rFont val="FreeSans"/>
        <family val="2"/>
      </rPr>
      <t xml:space="preserve">ตามประเภทจุดติดตั้ง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</rPr>
      <t xml:space="preserve">ใช้ในชีต ‘จุดติดตั้ง’</t>
    </r>
    <r>
      <rPr>
        <b val="true"/>
        <sz val="11"/>
        <color rgb="FF1F4E78"/>
        <rFont val="Tahoma"/>
        <family val="0"/>
        <charset val="1"/>
      </rPr>
      <t xml:space="preserve">), </t>
    </r>
    <r>
      <rPr>
        <b val="true"/>
        <sz val="11"/>
        <color rgb="FF1F4E78"/>
        <rFont val="FreeSans"/>
        <family val="2"/>
      </rPr>
      <t xml:space="preserve">ระดับ </t>
    </r>
    <r>
      <rPr>
        <b val="true"/>
        <sz val="11"/>
        <color rgb="FF1F4E78"/>
        <rFont val="Tahoma"/>
        <family val="0"/>
        <charset val="1"/>
      </rPr>
      <t xml:space="preserve">2 </t>
    </r>
    <r>
      <rPr>
        <b val="true"/>
        <sz val="11"/>
        <color rgb="FF1F4E78"/>
        <rFont val="FreeSans"/>
        <family val="2"/>
      </rPr>
      <t xml:space="preserve">คงเดิม ระดับ </t>
    </r>
    <r>
      <rPr>
        <b val="true"/>
        <sz val="11"/>
        <color rgb="FF1F4E78"/>
        <rFont val="Tahoma"/>
        <family val="0"/>
        <charset val="1"/>
      </rPr>
      <t xml:space="preserve">3 </t>
    </r>
    <r>
      <rPr>
        <b val="true"/>
        <sz val="11"/>
        <color rgb="FF1F4E78"/>
        <rFont val="FreeSans"/>
        <family val="2"/>
      </rPr>
      <t xml:space="preserve">เลือกตามประเภทหน้างาน</t>
    </r>
  </si>
  <si>
    <r>
      <rPr>
        <i val="true"/>
        <sz val="9"/>
        <color rgb="FF595959"/>
        <rFont val="FreeSans"/>
        <family val="2"/>
      </rPr>
      <t xml:space="preserve">หลายจุดติดตั้ง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หลายหลังคา</t>
    </r>
    <r>
      <rPr>
        <i val="true"/>
        <sz val="9"/>
        <color rgb="FF595959"/>
        <rFont val="Tahoma"/>
        <family val="0"/>
        <charset val="1"/>
      </rPr>
      <t xml:space="preserve">): </t>
    </r>
    <r>
      <rPr>
        <i val="true"/>
        <sz val="9"/>
        <color rgb="FF595959"/>
        <rFont val="FreeSans"/>
        <family val="2"/>
      </rPr>
      <t xml:space="preserve">รหัสระดับ </t>
    </r>
    <r>
      <rPr>
        <i val="true"/>
        <sz val="9"/>
        <color rgb="FF595959"/>
        <rFont val="Tahoma"/>
        <family val="0"/>
        <charset val="1"/>
      </rPr>
      <t xml:space="preserve">4 = 2.1-&lt;</t>
    </r>
    <r>
      <rPr>
        <i val="true"/>
        <sz val="9"/>
        <color rgb="FF595959"/>
        <rFont val="FreeSans"/>
        <family val="2"/>
      </rPr>
      <t xml:space="preserve">จุด</t>
    </r>
    <r>
      <rPr>
        <i val="true"/>
        <sz val="9"/>
        <color rgb="FF595959"/>
        <rFont val="Tahoma"/>
        <family val="0"/>
        <charset val="1"/>
      </rPr>
      <t xml:space="preserve">&gt;.&lt;</t>
    </r>
    <r>
      <rPr>
        <i val="true"/>
        <sz val="9"/>
        <color rgb="FF595959"/>
        <rFont val="FreeSans"/>
        <family val="2"/>
      </rPr>
      <t xml:space="preserve">ขั้น</t>
    </r>
    <r>
      <rPr>
        <i val="true"/>
        <sz val="9"/>
        <color rgb="FF595959"/>
        <rFont val="Tahoma"/>
        <family val="0"/>
        <charset val="1"/>
      </rPr>
      <t xml:space="preserve">&gt; </t>
    </r>
    <r>
      <rPr>
        <i val="true"/>
        <sz val="9"/>
        <color rgb="FF595959"/>
        <rFont val="FreeSans"/>
        <family val="2"/>
      </rPr>
      <t xml:space="preserve">เช่น </t>
    </r>
    <r>
      <rPr>
        <i val="true"/>
        <sz val="9"/>
        <color rgb="FF595959"/>
        <rFont val="Tahoma"/>
        <family val="0"/>
        <charset val="1"/>
      </rPr>
      <t xml:space="preserve">2.1-R1.3 = </t>
    </r>
    <r>
      <rPr>
        <i val="true"/>
        <sz val="9"/>
        <color rgb="FF595959"/>
        <rFont val="FreeSans"/>
        <family val="2"/>
      </rPr>
      <t xml:space="preserve">ฐานยึดของหลังคา </t>
    </r>
    <r>
      <rPr>
        <i val="true"/>
        <sz val="9"/>
        <color rgb="FF595959"/>
        <rFont val="Tahoma"/>
        <family val="0"/>
        <charset val="1"/>
      </rPr>
      <t xml:space="preserve">R1, </t>
    </r>
    <r>
      <rPr>
        <i val="true"/>
        <sz val="9"/>
        <color rgb="FF595959"/>
        <rFont val="FreeSans"/>
        <family val="2"/>
      </rPr>
      <t xml:space="preserve">ส่วนแบ่ง </t>
    </r>
    <r>
      <rPr>
        <i val="true"/>
        <sz val="9"/>
        <color rgb="FF595959"/>
        <rFont val="Tahoma"/>
        <family val="0"/>
        <charset val="1"/>
      </rPr>
      <t xml:space="preserve">2.1 </t>
    </r>
    <r>
      <rPr>
        <i val="true"/>
        <sz val="9"/>
        <color rgb="FF595959"/>
        <rFont val="FreeSans"/>
        <family val="2"/>
      </rPr>
      <t xml:space="preserve">ต่อจุด </t>
    </r>
    <r>
      <rPr>
        <i val="true"/>
        <sz val="9"/>
        <color rgb="FF595959"/>
        <rFont val="Tahoma"/>
        <family val="0"/>
        <charset val="1"/>
      </rPr>
      <t xml:space="preserve">= kWp × </t>
    </r>
    <r>
      <rPr>
        <i val="true"/>
        <sz val="9"/>
        <color rgb="FF595959"/>
        <rFont val="FreeSans"/>
        <family val="2"/>
      </rPr>
      <t xml:space="preserve">ภาระของประเภท</t>
    </r>
    <r>
      <rPr>
        <i val="true"/>
        <sz val="9"/>
        <color rgb="FF595959"/>
        <rFont val="Tahoma"/>
        <family val="0"/>
        <charset val="1"/>
      </rPr>
      <t xml:space="preserve">, 2.2 / 2.3 </t>
    </r>
    <r>
      <rPr>
        <i val="true"/>
        <sz val="9"/>
        <color rgb="FF595959"/>
        <rFont val="FreeSans"/>
        <family val="2"/>
      </rPr>
      <t xml:space="preserve">ต่อจุด </t>
    </r>
    <r>
      <rPr>
        <i val="true"/>
        <sz val="9"/>
        <color rgb="FF595959"/>
        <rFont val="Tahoma"/>
        <family val="0"/>
        <charset val="1"/>
      </rPr>
      <t xml:space="preserve">= kWp (S = 50%, Y = 100%), </t>
    </r>
    <r>
      <rPr>
        <i val="true"/>
        <sz val="9"/>
        <color rgb="FF595959"/>
        <rFont val="FreeSans"/>
        <family val="2"/>
      </rPr>
      <t xml:space="preserve">บันทึกในชีตจุดติดตั้ง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</si>
  <si>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ของ </t>
    </r>
    <r>
      <rPr>
        <b val="true"/>
        <sz val="9"/>
        <color rgb="FFFFFFFF"/>
        <rFont val="Tahoma"/>
        <family val="0"/>
        <charset val="1"/>
      </rPr>
      <t xml:space="preserve">2.1 </t>
    </r>
    <r>
      <rPr>
        <b val="true"/>
        <sz val="9"/>
        <color rgb="FFFFFFFF"/>
        <rFont val="FreeSans"/>
        <family val="2"/>
      </rPr>
      <t xml:space="preserve">ที่จุดนั้น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</si>
  <si>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2.2 / 2.3 / </t>
    </r>
    <r>
      <rPr>
        <b val="true"/>
        <sz val="9"/>
        <color rgb="FFFFFFFF"/>
        <rFont val="FreeSans"/>
        <family val="2"/>
      </rPr>
      <t xml:space="preserve">ใบอนุญาต</t>
    </r>
  </si>
  <si>
    <t xml:space="preserve">2.1.1-RC</t>
  </si>
  <si>
    <r>
      <rPr>
        <sz val="9"/>
        <rFont val="FreeSans"/>
        <family val="2"/>
      </rPr>
      <t xml:space="preserve">ตรวจกระเบื้องแตก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แปผุ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</rPr>
      <t xml:space="preserve">จุดยึดตามระยะแป </t>
    </r>
    <r>
      <rPr>
        <sz val="9"/>
        <rFont val="Tahoma"/>
        <family val="0"/>
        <charset val="1"/>
      </rPr>
      <t xml:space="preserve">(C09)</t>
    </r>
  </si>
  <si>
    <r>
      <rPr>
        <sz val="9"/>
        <rFont val="FreeSans"/>
        <family val="2"/>
      </rPr>
      <t xml:space="preserve">กระเบื้องลอนคู่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ไฟเบอร์ซีเมนต์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เจาะยึดแป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เดินบนแป</t>
    </r>
    <r>
      <rPr>
        <sz val="9"/>
        <rFont val="Tahoma"/>
        <family val="0"/>
        <charset val="1"/>
      </rPr>
      <t xml:space="preserve">/Walkway </t>
    </r>
    <r>
      <rPr>
        <sz val="9"/>
        <rFont val="FreeSans"/>
        <family val="2"/>
      </rPr>
      <t xml:space="preserve">เท่านั้น ห้ามเหยียบกระเบื้อง </t>
    </r>
    <r>
      <rPr>
        <sz val="9"/>
        <rFont val="Tahoma"/>
        <family val="0"/>
        <charset val="1"/>
      </rPr>
      <t xml:space="preserve">(C09)</t>
    </r>
  </si>
  <si>
    <r>
      <rPr>
        <sz val="9"/>
        <rFont val="Tahoma"/>
        <family val="0"/>
        <charset val="1"/>
      </rPr>
      <t xml:space="preserve">DC: Tray 100–400 × 100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มีฝา ยึด </t>
    </r>
    <r>
      <rPr>
        <sz val="9"/>
        <rFont val="Tahoma"/>
        <family val="0"/>
        <charset val="1"/>
      </rPr>
      <t xml:space="preserve">Hold-down clamp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Rail (C17, C16),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/ FTS-DB </t>
    </r>
    <r>
      <rPr>
        <sz val="9"/>
        <rFont val="FreeSans"/>
        <family val="2"/>
      </rPr>
      <t xml:space="preserve">ภายนอก </t>
    </r>
    <r>
      <rPr>
        <sz val="9"/>
        <rFont val="Tahoma"/>
        <family val="0"/>
        <charset val="1"/>
      </rPr>
      <t xml:space="preserve">IP65 (E10, E11), </t>
    </r>
    <r>
      <rPr>
        <sz val="9"/>
        <rFont val="FreeSans"/>
        <family val="2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ยกแผงขึ้นหลังคาตาม </t>
    </r>
    <r>
      <rPr>
        <sz val="9"/>
        <rFont val="Tahoma"/>
        <family val="0"/>
        <charset val="1"/>
      </rPr>
      <t xml:space="preserve">Lifting plan, </t>
    </r>
    <r>
      <rPr>
        <sz val="9"/>
        <rFont val="FreeSans"/>
        <family val="2"/>
      </rPr>
      <t xml:space="preserve">ตรวจน้ำหนักบนหลังคา</t>
    </r>
    <r>
      <rPr>
        <sz val="9"/>
        <rFont val="Tahoma"/>
        <family val="0"/>
        <charset val="1"/>
      </rPr>
      <t xml:space="preserve">, 1.4: </t>
    </r>
    <r>
      <rPr>
        <sz val="9"/>
        <rFont val="FreeSans"/>
        <family val="2"/>
      </rPr>
      <t xml:space="preserve">น้ำหนักบนหลังคา </t>
    </r>
    <r>
      <rPr>
        <sz val="9"/>
        <rFont val="Tahoma"/>
        <family val="0"/>
        <charset val="1"/>
      </rPr>
      <t xml:space="preserve">&gt; 20 </t>
    </r>
    <r>
      <rPr>
        <sz val="9"/>
        <rFont val="FreeSans"/>
        <family val="2"/>
      </rPr>
      <t xml:space="preserve">กก</t>
    </r>
    <r>
      <rPr>
        <sz val="9"/>
        <rFont val="Tahoma"/>
        <family val="0"/>
        <charset val="1"/>
      </rPr>
      <t xml:space="preserve">./</t>
    </r>
    <r>
      <rPr>
        <sz val="9"/>
        <rFont val="FreeSans"/>
        <family val="2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</rPr>
      <t xml:space="preserve">ขอ อ</t>
    </r>
    <r>
      <rPr>
        <sz val="9"/>
        <rFont val="Tahoma"/>
        <family val="0"/>
        <charset val="1"/>
      </rPr>
      <t xml:space="preserve">.1, </t>
    </r>
    <r>
      <rPr>
        <sz val="9"/>
        <rFont val="FreeSans"/>
        <family val="2"/>
      </rPr>
      <t xml:space="preserve">ไม่เกิน → แจ้งเทศบาล</t>
    </r>
  </si>
  <si>
    <t xml:space="preserve">2.1.2-RC</t>
  </si>
  <si>
    <r>
      <rPr>
        <sz val="9"/>
        <rFont val="FreeSans"/>
        <family val="2"/>
      </rPr>
      <t xml:space="preserve">บันไดเซอร์วิสถาวรมีกรง ตามแบบ กปภ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</rPr>
      <t xml:space="preserve">อาคารสูง ดูช่อง ‘บันได’</t>
    </r>
    <r>
      <rPr>
        <sz val="9"/>
        <rFont val="Tahoma"/>
        <family val="0"/>
        <charset val="1"/>
      </rPr>
      <t xml:space="preserve">) + Lifeline </t>
    </r>
    <r>
      <rPr>
        <sz val="9"/>
        <rFont val="FreeSans"/>
        <family val="2"/>
      </rPr>
      <t xml:space="preserve">ชั่วคราว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อาคารเตี้ย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มีบันไดแล้ว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จุดขึ้นลงชั่วคราว</t>
    </r>
  </si>
  <si>
    <t xml:space="preserve">2.1.3-RC</t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</si>
  <si>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</rPr>
      <t xml:space="preserve">ยึดแป </t>
    </r>
    <r>
      <rPr>
        <sz val="9"/>
        <rFont val="Tahoma"/>
        <family val="0"/>
        <charset val="1"/>
      </rPr>
      <t xml:space="preserve">+ L-bracket + </t>
    </r>
    <r>
      <rPr>
        <sz val="9"/>
        <rFont val="FreeSans"/>
        <family val="2"/>
      </rPr>
      <t xml:space="preserve">ซีลกันซึมรอบรูเจาะ </t>
    </r>
    <r>
      <rPr>
        <sz val="9"/>
        <rFont val="Tahoma"/>
        <family val="0"/>
        <charset val="1"/>
      </rPr>
      <t xml:space="preserve">(C09)</t>
    </r>
  </si>
  <si>
    <t xml:space="preserve">2.1.4-RC</t>
  </si>
  <si>
    <r>
      <rPr>
        <sz val="9"/>
        <rFont val="Tahoma"/>
        <family val="0"/>
        <charset val="1"/>
      </rPr>
      <t xml:space="preserve">Rail + Clamp + </t>
    </r>
    <r>
      <rPr>
        <sz val="9"/>
        <rFont val="FreeSans"/>
        <family val="2"/>
      </rPr>
      <t xml:space="preserve">ตรวจแรงขัน </t>
    </r>
    <r>
      <rPr>
        <sz val="9"/>
        <rFont val="Tahoma"/>
        <family val="0"/>
        <charset val="1"/>
      </rPr>
      <t xml:space="preserve">M8 = 12 N·m, M10 = 21 N·m (C09)</t>
    </r>
  </si>
  <si>
    <t xml:space="preserve">2.1.5-RC</t>
  </si>
  <si>
    <r>
      <rPr>
        <sz val="9"/>
        <rFont val="Tahoma"/>
        <family val="0"/>
        <charset val="1"/>
      </rPr>
      <t xml:space="preserve">Walkway HDG 0.30 × 2.40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+ Lifeline </t>
    </r>
    <r>
      <rPr>
        <sz val="9"/>
        <rFont val="FreeSans"/>
        <family val="2"/>
      </rPr>
      <t xml:space="preserve">สลิง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บน </t>
    </r>
    <r>
      <rPr>
        <sz val="9"/>
        <rFont val="Tahoma"/>
        <family val="0"/>
        <charset val="1"/>
      </rPr>
      <t xml:space="preserve">L-feet </t>
    </r>
    <r>
      <rPr>
        <sz val="9"/>
        <rFont val="FreeSans"/>
        <family val="2"/>
      </rPr>
      <t xml:space="preserve">ทุก </t>
    </r>
    <r>
      <rPr>
        <sz val="9"/>
        <rFont val="Tahoma"/>
        <family val="0"/>
        <charset val="1"/>
      </rPr>
      <t xml:space="preserve">2.40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(C16)</t>
    </r>
  </si>
  <si>
    <t xml:space="preserve">2.1.6-RC</t>
  </si>
  <si>
    <r>
      <rPr>
        <sz val="9"/>
        <rFont val="FreeSans"/>
        <family val="2"/>
      </rPr>
      <t xml:space="preserve">ท่อ </t>
    </r>
    <r>
      <rPr>
        <sz val="9"/>
        <rFont val="Tahoma"/>
        <family val="0"/>
        <charset val="1"/>
      </rPr>
      <t xml:space="preserve">PPR ¾" + </t>
    </r>
    <r>
      <rPr>
        <sz val="9"/>
        <rFont val="FreeSans"/>
        <family val="2"/>
      </rPr>
      <t xml:space="preserve">ก๊อกล้างแผง </t>
    </r>
    <r>
      <rPr>
        <sz val="9"/>
        <rFont val="Tahoma"/>
        <family val="0"/>
        <charset val="1"/>
      </rPr>
      <t xml:space="preserve">(C16)</t>
    </r>
  </si>
  <si>
    <t xml:space="preserve">2.1.7-RC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</si>
  <si>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ฉีดน้ำ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ทุกจุดเจาะ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เปลี่ยนกระเบื้องที่แตก</t>
    </r>
  </si>
  <si>
    <t xml:space="preserve">2.1.1-RM</t>
  </si>
  <si>
    <r>
      <rPr>
        <sz val="9"/>
        <rFont val="FreeSans"/>
        <family val="2"/>
      </rPr>
      <t xml:space="preserve">ตรวจแผ่นหลังคา สันลอน และแป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</rPr>
      <t xml:space="preserve">จุดยึด </t>
    </r>
    <r>
      <rPr>
        <sz val="9"/>
        <rFont val="Tahoma"/>
        <family val="0"/>
        <charset val="1"/>
      </rPr>
      <t xml:space="preserve">(C17)</t>
    </r>
  </si>
  <si>
    <r>
      <rPr>
        <sz val="9"/>
        <rFont val="Tahoma"/>
        <family val="0"/>
        <charset val="1"/>
      </rPr>
      <t xml:space="preserve">Metal sheet, </t>
    </r>
    <r>
      <rPr>
        <sz val="9"/>
        <rFont val="FreeSans"/>
        <family val="2"/>
      </rPr>
      <t xml:space="preserve">ยึดสันลอนด้วย </t>
    </r>
    <r>
      <rPr>
        <sz val="9"/>
        <rFont val="Tahoma"/>
        <family val="0"/>
        <charset val="1"/>
      </rPr>
      <t xml:space="preserve">Kliplok / Clamp </t>
    </r>
    <r>
      <rPr>
        <sz val="9"/>
        <rFont val="FreeSans"/>
        <family val="2"/>
      </rPr>
      <t xml:space="preserve">ไม่เจาะแผ่น </t>
    </r>
    <r>
      <rPr>
        <sz val="9"/>
        <rFont val="Tahoma"/>
        <family val="0"/>
        <charset val="1"/>
      </rPr>
      <t xml:space="preserve">(C17)</t>
    </r>
  </si>
  <si>
    <t xml:space="preserve">2.1.2-RM</t>
  </si>
  <si>
    <t xml:space="preserve">2.1.3-RM</t>
  </si>
  <si>
    <r>
      <rPr>
        <sz val="9"/>
        <rFont val="Tahoma"/>
        <family val="0"/>
        <charset val="1"/>
      </rPr>
      <t xml:space="preserve">Kliplok / Clamp + L-bracket </t>
    </r>
    <r>
      <rPr>
        <sz val="9"/>
        <rFont val="FreeSans"/>
        <family val="2"/>
      </rPr>
      <t xml:space="preserve">ยึดสันลอน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ระยะตามแบบ </t>
    </r>
    <r>
      <rPr>
        <sz val="9"/>
        <rFont val="Tahoma"/>
        <family val="0"/>
        <charset val="1"/>
      </rPr>
      <t xml:space="preserve">C17)</t>
    </r>
  </si>
  <si>
    <t xml:space="preserve">2.1.4-RM</t>
  </si>
  <si>
    <r>
      <rPr>
        <sz val="9"/>
        <rFont val="Tahoma"/>
        <family val="0"/>
        <charset val="1"/>
      </rPr>
      <t xml:space="preserve">Rail + Clamp + </t>
    </r>
    <r>
      <rPr>
        <sz val="9"/>
        <rFont val="FreeSans"/>
        <family val="2"/>
      </rPr>
      <t xml:space="preserve">ตรวจแรงขัน </t>
    </r>
    <r>
      <rPr>
        <sz val="9"/>
        <rFont val="Tahoma"/>
        <family val="0"/>
        <charset val="1"/>
      </rPr>
      <t xml:space="preserve">M8 = 12 N·m, M10 = 21 N·m</t>
    </r>
  </si>
  <si>
    <t xml:space="preserve">2.1.5-RM</t>
  </si>
  <si>
    <t xml:space="preserve">2.1.6-RM</t>
  </si>
  <si>
    <t xml:space="preserve">2.1.7-RM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</si>
  <si>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Kliplok </t>
    </r>
    <r>
      <rPr>
        <sz val="9"/>
        <rFont val="FreeSans"/>
        <family val="2"/>
      </rPr>
      <t xml:space="preserve">แน่นทุกจุด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ไม่มีรอยเจาะแผ่น</t>
    </r>
  </si>
  <si>
    <t xml:space="preserve">2.1.1-R</t>
  </si>
  <si>
    <r>
      <rPr>
        <sz val="9"/>
        <rFont val="FreeSans"/>
        <family val="2"/>
      </rPr>
      <t xml:space="preserve">ตรวจสภาพหลังคาและแป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</rPr>
      <t xml:space="preserve">จุดยึดตาม </t>
    </r>
    <r>
      <rPr>
        <sz val="9"/>
        <rFont val="Tahoma"/>
        <family val="0"/>
        <charset val="1"/>
      </rPr>
      <t xml:space="preserve">shop drawing (</t>
    </r>
    <r>
      <rPr>
        <sz val="9"/>
        <rFont val="FreeSans"/>
        <family val="2"/>
      </rPr>
      <t xml:space="preserve">ลอนคู่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ระยะยึดตามแป</t>
    </r>
    <r>
      <rPr>
        <sz val="9"/>
        <rFont val="Tahoma"/>
        <family val="0"/>
        <charset val="1"/>
      </rPr>
      <t xml:space="preserve">, C09)</t>
    </r>
  </si>
  <si>
    <r>
      <rPr>
        <sz val="9"/>
        <rFont val="FreeSans"/>
        <family val="2"/>
      </rPr>
      <t xml:space="preserve">ยังไม่ระบุวัสดุ → เปลี่ยนเป็นหลังคาลอนคู่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หลังคาเมทัลชีทเมื่อทราบ</t>
    </r>
  </si>
  <si>
    <t xml:space="preserve">2.1.2-R</t>
  </si>
  <si>
    <t xml:space="preserve">2.1.3-R</t>
  </si>
  <si>
    <r>
      <rPr>
        <sz val="9"/>
        <rFont val="FreeSans"/>
        <family val="2"/>
      </rPr>
      <t xml:space="preserve">ยึดฐาน</t>
    </r>
    <r>
      <rPr>
        <sz val="9"/>
        <rFont val="Tahoma"/>
        <family val="0"/>
        <charset val="1"/>
      </rPr>
      <t xml:space="preserve">: Metal sheet = Kliplok + L-bracket (C17), </t>
    </r>
    <r>
      <rPr>
        <sz val="9"/>
        <rFont val="FreeSans"/>
        <family val="2"/>
      </rPr>
      <t xml:space="preserve">ลอนคู่ </t>
    </r>
    <r>
      <rPr>
        <sz val="9"/>
        <rFont val="Tahoma"/>
        <family val="0"/>
        <charset val="1"/>
      </rPr>
      <t xml:space="preserve">= Hanger bolt </t>
    </r>
    <r>
      <rPr>
        <sz val="9"/>
        <rFont val="FreeSans"/>
        <family val="2"/>
      </rPr>
      <t xml:space="preserve">ยึดแป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ซีลกันซึม </t>
    </r>
    <r>
      <rPr>
        <sz val="9"/>
        <rFont val="Tahoma"/>
        <family val="0"/>
        <charset val="1"/>
      </rPr>
      <t xml:space="preserve">(C09)</t>
    </r>
  </si>
  <si>
    <t xml:space="preserve">2.1.4-R</t>
  </si>
  <si>
    <t xml:space="preserve">2.1.5-R</t>
  </si>
  <si>
    <t xml:space="preserve">2.1.6-R</t>
  </si>
  <si>
    <t xml:space="preserve">2.1.7-R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</si>
  <si>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ฉีดน้ำ</t>
    </r>
    <r>
      <rPr>
        <sz val="9"/>
        <rFont val="Tahoma"/>
        <family val="0"/>
        <charset val="1"/>
      </rPr>
      <t xml:space="preserve">)</t>
    </r>
  </si>
  <si>
    <t xml:space="preserve">2.1.1-T</t>
  </si>
  <si>
    <r>
      <rPr>
        <sz val="9"/>
        <rFont val="FreeSans"/>
        <family val="2"/>
      </rPr>
      <t xml:space="preserve">ตรวจพื้น คสล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</rPr>
      <t xml:space="preserve">ฝาถัง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ช่องระบายอากาศ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</rPr>
      <t xml:space="preserve">ฐานตามระยะ </t>
    </r>
    <r>
      <rPr>
        <sz val="9"/>
        <rFont val="Tahoma"/>
        <family val="0"/>
        <charset val="1"/>
      </rPr>
      <t xml:space="preserve">2.70 × 2.80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หลบฝาและท่อ</t>
    </r>
  </si>
  <si>
    <r>
      <rPr>
        <sz val="9"/>
        <rFont val="FreeSans"/>
        <family val="2"/>
      </rPr>
      <t xml:space="preserve">พื้น คสล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หลังคาถังน้ำใส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โครงยึดพุก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แบบมาตรฐาน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แบบขยายการติดตั้งแผงฯ หลังคาถังน้ำใส แบบยึดพุก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</si>
  <si>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DC: Tray </t>
    </r>
    <r>
      <rPr>
        <sz val="9"/>
        <rFont val="FreeSans"/>
        <family val="2"/>
      </rPr>
      <t xml:space="preserve">บนพื้นถัง ยกพ้นน้ำขัง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เลี่ยงฝาถัง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ช่องระบาย</t>
    </r>
    <r>
      <rPr>
        <sz val="9"/>
        <rFont val="Tahoma"/>
        <family val="0"/>
        <charset val="1"/>
      </rPr>
      <t xml:space="preserve">, Ground lug/plate </t>
    </r>
    <r>
      <rPr>
        <sz val="9"/>
        <rFont val="FreeSans"/>
        <family val="2"/>
      </rPr>
      <t xml:space="preserve">ตามแบบ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ยกแผงด้วยเครน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รอก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ห้ามวางของบนฝาถัง</t>
    </r>
    <r>
      <rPr>
        <sz val="9"/>
        <rFont val="Tahoma"/>
        <family val="0"/>
        <charset val="1"/>
      </rPr>
      <t xml:space="preserve">, 1.4: </t>
    </r>
    <r>
      <rPr>
        <sz val="9"/>
        <rFont val="FreeSans"/>
        <family val="2"/>
      </rPr>
      <t xml:space="preserve">ตามน้ำหนักบนหลังคาถัง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แบบมาตรฐาน กปภ</t>
    </r>
    <r>
      <rPr>
        <sz val="9"/>
        <rFont val="Tahoma"/>
        <family val="0"/>
        <charset val="1"/>
      </rPr>
      <t xml:space="preserve">.), </t>
    </r>
    <r>
      <rPr>
        <sz val="9"/>
        <rFont val="FreeSans"/>
        <family val="2"/>
      </rPr>
      <t xml:space="preserve">งานเหนือถังน้ำประปา ใช้แผนสุขอนามัย</t>
    </r>
  </si>
  <si>
    <t xml:space="preserve">2.1.2-T</t>
  </si>
  <si>
    <r>
      <rPr>
        <sz val="9"/>
        <rFont val="FreeSans"/>
        <family val="2"/>
      </rPr>
      <t xml:space="preserve">กันเศษเจาะ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ฝุ่นลงถัง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ปิดฝา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ช่องระบาย</t>
    </r>
    <r>
      <rPr>
        <sz val="9"/>
        <rFont val="Tahoma"/>
        <family val="0"/>
        <charset val="1"/>
      </rPr>
      <t xml:space="preserve">) + </t>
    </r>
    <r>
      <rPr>
        <sz val="9"/>
        <rFont val="FreeSans"/>
        <family val="2"/>
      </rPr>
      <t xml:space="preserve">ราวกันตก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บันไดเซอร์วิสตามแบบ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ถ้าถังสูงและยังไม่มีบันได</t>
    </r>
  </si>
  <si>
    <t xml:space="preserve">2.1.3-T</t>
  </si>
  <si>
    <r>
      <rPr>
        <sz val="9"/>
        <rFont val="FreeSans"/>
        <family val="2"/>
      </rPr>
      <t xml:space="preserve">ฐาน </t>
    </r>
    <r>
      <rPr>
        <sz val="9"/>
        <rFont val="Tahoma"/>
        <family val="0"/>
        <charset val="1"/>
      </rPr>
      <t xml:space="preserve">Concrete topping 300×300×150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+ Expansion bolt M12 + Base </t>
    </r>
    <r>
      <rPr>
        <sz val="9"/>
        <rFont val="FreeSans"/>
        <family val="2"/>
      </rPr>
      <t xml:space="preserve">อลูมิเนียม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ห้ามเจาะทะลุ </t>
    </r>
    <r>
      <rPr>
        <sz val="9"/>
        <rFont val="Tahoma"/>
        <family val="0"/>
        <charset val="1"/>
      </rPr>
      <t xml:space="preserve">slab) + </t>
    </r>
    <r>
      <rPr>
        <sz val="9"/>
        <rFont val="FreeSans"/>
        <family val="2"/>
      </rPr>
      <t xml:space="preserve">กันซึม </t>
    </r>
    <r>
      <rPr>
        <sz val="9"/>
        <rFont val="Tahoma"/>
        <family val="0"/>
        <charset val="1"/>
      </rPr>
      <t xml:space="preserve">(C15)</t>
    </r>
  </si>
  <si>
    <t xml:space="preserve">2.1.4-T</t>
  </si>
  <si>
    <r>
      <rPr>
        <sz val="9"/>
        <rFont val="FreeSans"/>
        <family val="2"/>
      </rPr>
      <t xml:space="preserve">โครงอลูมิเนียม </t>
    </r>
    <r>
      <rPr>
        <sz val="9"/>
        <rFont val="Tahoma"/>
        <family val="0"/>
        <charset val="1"/>
      </rPr>
      <t xml:space="preserve">Front/Back post (2.00 / 1.00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.) + Rail + Bracing + Clamp SUS 304 + torque (C15)</t>
    </r>
  </si>
  <si>
    <t xml:space="preserve">2.1.5-T</t>
  </si>
  <si>
    <r>
      <rPr>
        <sz val="9"/>
        <rFont val="Tahoma"/>
        <family val="0"/>
        <charset val="1"/>
      </rPr>
      <t xml:space="preserve">Walkway + Lifeline </t>
    </r>
    <r>
      <rPr>
        <sz val="9"/>
        <rFont val="FreeSans"/>
        <family val="2"/>
      </rPr>
      <t xml:space="preserve">ขอบถัง</t>
    </r>
  </si>
  <si>
    <t xml:space="preserve">2.1.6-T</t>
  </si>
  <si>
    <t xml:space="preserve">2.1.7-T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</si>
  <si>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Ground lug </t>
    </r>
    <r>
      <rPr>
        <sz val="9"/>
        <rFont val="FreeSans"/>
        <family val="2"/>
      </rPr>
      <t xml:space="preserve">ครบตามผัง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ตรวจความสะอาดถังและฝาปิด </t>
    </r>
    <r>
      <rPr>
        <sz val="9"/>
        <rFont val="Tahoma"/>
        <family val="0"/>
        <charset val="1"/>
      </rPr>
      <t xml:space="preserve">(C15)</t>
    </r>
  </si>
  <si>
    <t xml:space="preserve">2.1.1-B</t>
  </si>
  <si>
    <r>
      <rPr>
        <sz val="9"/>
        <rFont val="FreeSans"/>
        <family val="2"/>
      </rPr>
      <t xml:space="preserve">วัดความหนาดินที่ตำแหน่งเสาทุกจุด → เลือกความยาว </t>
    </r>
    <r>
      <rPr>
        <sz val="9"/>
        <rFont val="Tahoma"/>
        <family val="0"/>
        <charset val="1"/>
      </rPr>
      <t xml:space="preserve">Steel support 300–800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., Mark </t>
    </r>
    <r>
      <rPr>
        <sz val="9"/>
        <rFont val="FreeSans"/>
        <family val="2"/>
      </rPr>
      <t xml:space="preserve">ฐาน หลบฝา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ช่องระบาย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ดิน </t>
    </r>
    <r>
      <rPr>
        <sz val="9"/>
        <rFont val="Tahoma"/>
        <family val="0"/>
        <charset val="1"/>
      </rPr>
      <t xml:space="preserve">&lt; 30 </t>
    </r>
    <r>
      <rPr>
        <sz val="9"/>
        <rFont val="FreeSans"/>
        <family val="2"/>
      </rPr>
      <t xml:space="preserve">หรือ </t>
    </r>
    <r>
      <rPr>
        <sz val="9"/>
        <rFont val="Tahoma"/>
        <family val="0"/>
        <charset val="1"/>
      </rPr>
      <t xml:space="preserve">&gt; 70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ส่งวิศวกรออกแบบ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</si>
  <si>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หลังคาถังน้ำใสแบบมีดิน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ดินหนา </t>
    </r>
    <r>
      <rPr>
        <sz val="9"/>
        <rFont val="Tahoma"/>
        <family val="0"/>
        <charset val="1"/>
      </rPr>
      <t xml:space="preserve">30–70 </t>
    </r>
    <r>
      <rPr>
        <sz val="9"/>
        <rFont val="FreeSans"/>
        <family val="2"/>
      </rPr>
      <t xml:space="preserve">ซม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</rPr>
      <t xml:space="preserve">ฐานรากแบบ </t>
    </r>
    <r>
      <rPr>
        <sz val="9"/>
        <rFont val="Tahoma"/>
        <family val="0"/>
        <charset val="1"/>
      </rPr>
      <t xml:space="preserve">STEEL SUPPORT (</t>
    </r>
    <r>
      <rPr>
        <sz val="9"/>
        <rFont val="FreeSans"/>
        <family val="2"/>
      </rPr>
      <t xml:space="preserve">แบบมาตรฐาน </t>
    </r>
    <r>
      <rPr>
        <sz val="9"/>
        <rFont val="Tahoma"/>
        <family val="0"/>
        <charset val="1"/>
      </rPr>
      <t xml:space="preserve">PEA-EMD-00-2024, 3 </t>
    </r>
    <r>
      <rPr>
        <sz val="9"/>
        <rFont val="FreeSans"/>
        <family val="2"/>
      </rPr>
      <t xml:space="preserve">แผ่น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</si>
  <si>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DC: </t>
    </r>
    <r>
      <rPr>
        <sz val="9"/>
        <rFont val="FreeSans"/>
        <family val="2"/>
      </rPr>
      <t xml:space="preserve">ห้ามขุดร่องสายถึงพื้นถังนอกตำแหน่งฐาน → </t>
    </r>
    <r>
      <rPr>
        <sz val="9"/>
        <rFont val="Tahoma"/>
        <family val="0"/>
        <charset val="1"/>
      </rPr>
      <t xml:space="preserve">Tray </t>
    </r>
    <r>
      <rPr>
        <sz val="9"/>
        <rFont val="FreeSans"/>
        <family val="2"/>
      </rPr>
      <t xml:space="preserve">บนเสาเตี้ย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ท่อตื้นตามแบบ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ติดตั้งระดับพื้น ไม่ต้องยกขึ้นที่สูง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กันน้ำท่วมขังใต้แผง</t>
    </r>
    <r>
      <rPr>
        <sz val="9"/>
        <rFont val="Tahoma"/>
        <family val="0"/>
        <charset val="1"/>
      </rPr>
      <t xml:space="preserve">, 1.4: </t>
    </r>
    <r>
      <rPr>
        <sz val="9"/>
        <rFont val="FreeSans"/>
        <family val="2"/>
      </rPr>
      <t xml:space="preserve">ยืนยันกับเทศบาลว่าต้องแจ้งหรือไม่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ฐานเจาะเข้าพื้นถัง → แจ้ง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สาขาก่อนขุด</t>
    </r>
  </si>
  <si>
    <t xml:space="preserve">2.1.2-B</t>
  </si>
  <si>
    <r>
      <rPr>
        <sz val="9"/>
        <rFont val="FreeSans"/>
        <family val="2"/>
      </rPr>
      <t xml:space="preserve">ความปลอดภัยงานขุด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กั้นเขต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กันดินพัง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น้ำขัง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กันเศษลงถัง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แจ้ง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สาขาก่อนขุด</t>
    </r>
  </si>
  <si>
    <t xml:space="preserve">2.1.3-B</t>
  </si>
  <si>
    <r>
      <rPr>
        <sz val="9"/>
        <rFont val="FreeSans"/>
        <family val="2"/>
      </rPr>
      <t xml:space="preserve">ขุดหลุมถึงพื้นหลังคาถัง </t>
    </r>
    <r>
      <rPr>
        <sz val="9"/>
        <rFont val="Tahoma"/>
        <family val="0"/>
        <charset val="1"/>
      </rPr>
      <t xml:space="preserve">+ Steel support HDG (Pipe ø3"×2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 + Plate 8"×8"×6 </t>
    </r>
    <r>
      <rPr>
        <sz val="9"/>
        <rFont val="FreeSans"/>
        <family val="2"/>
      </rPr>
      <t xml:space="preserve">มม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</rPr>
      <t xml:space="preserve">ยึด </t>
    </r>
    <r>
      <rPr>
        <sz val="9"/>
        <rFont val="Tahoma"/>
        <family val="0"/>
        <charset val="1"/>
      </rPr>
      <t xml:space="preserve">Expansion bolt M12 + </t>
    </r>
    <r>
      <rPr>
        <sz val="9"/>
        <rFont val="FreeSans"/>
        <family val="2"/>
      </rPr>
      <t xml:space="preserve">คอนกรีตหุ้ม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กันซึมรอยเจาะ</t>
    </r>
  </si>
  <si>
    <t xml:space="preserve">2.1.4-B</t>
  </si>
  <si>
    <r>
      <rPr>
        <sz val="9"/>
        <rFont val="FreeSans"/>
        <family val="2"/>
      </rPr>
      <t xml:space="preserve">โครงอลูมิเนียม </t>
    </r>
    <r>
      <rPr>
        <sz val="9"/>
        <rFont val="Tahoma"/>
        <family val="0"/>
        <charset val="1"/>
      </rPr>
      <t xml:space="preserve">Post/Rail/Bracing </t>
    </r>
    <r>
      <rPr>
        <sz val="9"/>
        <rFont val="FreeSans"/>
        <family val="2"/>
      </rPr>
      <t xml:space="preserve">ยึด </t>
    </r>
    <r>
      <rPr>
        <sz val="9"/>
        <rFont val="Tahoma"/>
        <family val="0"/>
        <charset val="1"/>
      </rPr>
      <t xml:space="preserve">Top plate (Stainless bolt M8) + torque</t>
    </r>
  </si>
  <si>
    <t xml:space="preserve">2.1.5-B</t>
  </si>
  <si>
    <r>
      <rPr>
        <sz val="9"/>
        <rFont val="FreeSans"/>
        <family val="2"/>
      </rPr>
      <t xml:space="preserve">กลบดินและบดอัดคืน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ทางเดินตรวจ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ป้ายเตือน</t>
    </r>
  </si>
  <si>
    <t xml:space="preserve">2.1.6-B</t>
  </si>
  <si>
    <r>
      <rPr>
        <sz val="9"/>
        <rFont val="FreeSans"/>
        <family val="2"/>
      </rPr>
      <t xml:space="preserve">ระบายน้ำผิวดินรอบฐาน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ท่อน้ำล้างแผง</t>
    </r>
  </si>
  <si>
    <t xml:space="preserve">2.1.7-B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</si>
  <si>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ถ่ายรูปฐานทุกต้นก่อนกลบดิน </t>
    </r>
    <r>
      <rPr>
        <sz val="9"/>
        <rFont val="Tahoma"/>
        <family val="0"/>
        <charset val="1"/>
      </rPr>
      <t xml:space="preserve">(hold point), </t>
    </r>
    <r>
      <rPr>
        <sz val="9"/>
        <rFont val="FreeSans"/>
        <family val="2"/>
      </rPr>
      <t xml:space="preserve">ความยาวตรงความลึกดิน</t>
    </r>
    <r>
      <rPr>
        <sz val="9"/>
        <rFont val="Tahoma"/>
        <family val="0"/>
        <charset val="1"/>
      </rPr>
      <t xml:space="preserve">, HDG, torque</t>
    </r>
  </si>
  <si>
    <t xml:space="preserve">2.1.1-C</t>
  </si>
  <si>
    <r>
      <rPr>
        <sz val="9"/>
        <rFont val="FreeSans"/>
        <family val="2"/>
      </rPr>
      <t xml:space="preserve">วางผัง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สายใต้ดิน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แบบโครงสร้างลงนาม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วิศวกรโยธา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</si>
  <si>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ก่อสร้างโครงหลังคาจอดรถใหม่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แผงบนหลังคา</t>
    </r>
  </si>
  <si>
    <r>
      <rPr>
        <sz val="9"/>
        <rFont val="Tahoma"/>
        <family val="0"/>
        <charset val="1"/>
      </rPr>
      <t xml:space="preserve">DC: </t>
    </r>
    <r>
      <rPr>
        <sz val="9"/>
        <rFont val="FreeSans"/>
        <family val="2"/>
      </rPr>
      <t xml:space="preserve">สายเดินตามโครงเหล็ก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ท่อร้อยสายลงเสา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กันรถชน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ยกแผงด้วยรถกระเช้า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แผงเป็นหลังคา → ตรวจกันรั่ว</t>
    </r>
    <r>
      <rPr>
        <sz val="9"/>
        <rFont val="Tahoma"/>
        <family val="0"/>
        <charset val="1"/>
      </rPr>
      <t xml:space="preserve">, 1.4: </t>
    </r>
    <r>
      <rPr>
        <sz val="9"/>
        <rFont val="FreeSans"/>
        <family val="2"/>
      </rPr>
      <t xml:space="preserve">โครงสร้างใหม่ → ขออนุญาตก่อสร้าง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ข</t>
    </r>
    <r>
      <rPr>
        <sz val="9"/>
        <rFont val="Tahoma"/>
        <family val="0"/>
        <charset val="1"/>
      </rPr>
      <t xml:space="preserve">.1) </t>
    </r>
    <r>
      <rPr>
        <sz val="9"/>
        <rFont val="FreeSans"/>
        <family val="2"/>
      </rPr>
      <t xml:space="preserve">ไม่ใช่ อ</t>
    </r>
    <r>
      <rPr>
        <sz val="9"/>
        <rFont val="Tahoma"/>
        <family val="0"/>
        <charset val="1"/>
      </rPr>
      <t xml:space="preserve">.1, </t>
    </r>
    <r>
      <rPr>
        <sz val="9"/>
        <rFont val="FreeSans"/>
        <family val="2"/>
      </rPr>
      <t xml:space="preserve">เผื่อเวลาบ่มคอนกรีตในแผน</t>
    </r>
  </si>
  <si>
    <t xml:space="preserve">2.1.2-C</t>
  </si>
  <si>
    <r>
      <rPr>
        <sz val="9"/>
        <rFont val="FreeSans"/>
        <family val="2"/>
      </rPr>
      <t xml:space="preserve">ความปลอดภัย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กั้นเขตงาน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ที่จอดรถ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รถกระเช้า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นั่งร้าน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</rPr>
      <t xml:space="preserve">งานที่สูง</t>
    </r>
  </si>
  <si>
    <t xml:space="preserve">2.1.3-C</t>
  </si>
  <si>
    <r>
      <rPr>
        <sz val="9"/>
        <rFont val="FreeSans"/>
        <family val="2"/>
      </rPr>
      <t xml:space="preserve">ฐานราก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ขุด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เข็ม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ถ้ามี</t>
    </r>
    <r>
      <rPr>
        <sz val="9"/>
        <rFont val="Tahoma"/>
        <family val="0"/>
        <charset val="1"/>
      </rPr>
      <t xml:space="preserve">) + </t>
    </r>
    <r>
      <rPr>
        <sz val="9"/>
        <rFont val="FreeSans"/>
        <family val="2"/>
      </rPr>
      <t xml:space="preserve">เทคอนกรีต </t>
    </r>
    <r>
      <rPr>
        <sz val="9"/>
        <rFont val="Tahoma"/>
        <family val="0"/>
        <charset val="1"/>
      </rPr>
      <t xml:space="preserve">+ Anchor bolt + </t>
    </r>
    <r>
      <rPr>
        <sz val="9"/>
        <rFont val="FreeSans"/>
        <family val="2"/>
      </rPr>
      <t xml:space="preserve">บ่ม</t>
    </r>
  </si>
  <si>
    <t xml:space="preserve">2.1.4-C</t>
  </si>
  <si>
    <r>
      <rPr>
        <sz val="9"/>
        <rFont val="FreeSans"/>
        <family val="2"/>
      </rPr>
      <t xml:space="preserve">เสา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คานเหล็ก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แป </t>
    </r>
    <r>
      <rPr>
        <sz val="9"/>
        <rFont val="Tahoma"/>
        <family val="0"/>
        <charset val="1"/>
      </rPr>
      <t xml:space="preserve">/ Purlin + Rail (</t>
    </r>
    <r>
      <rPr>
        <sz val="9"/>
        <rFont val="FreeSans"/>
        <family val="2"/>
      </rPr>
      <t xml:space="preserve">หรือหลังคา </t>
    </r>
    <r>
      <rPr>
        <sz val="9"/>
        <rFont val="Tahoma"/>
        <family val="0"/>
        <charset val="1"/>
      </rPr>
      <t xml:space="preserve">Metal sheet) + </t>
    </r>
    <r>
      <rPr>
        <sz val="9"/>
        <rFont val="FreeSans"/>
        <family val="2"/>
      </rPr>
      <t xml:space="preserve">ป้องกันสนิม </t>
    </r>
    <r>
      <rPr>
        <sz val="9"/>
        <rFont val="Tahoma"/>
        <family val="0"/>
        <charset val="1"/>
      </rPr>
      <t xml:space="preserve">(HDG / </t>
    </r>
    <r>
      <rPr>
        <sz val="9"/>
        <rFont val="FreeSans"/>
        <family val="2"/>
      </rPr>
      <t xml:space="preserve">ทาสี</t>
    </r>
    <r>
      <rPr>
        <sz val="9"/>
        <rFont val="Tahoma"/>
        <family val="0"/>
        <charset val="1"/>
      </rPr>
      <t xml:space="preserve">)</t>
    </r>
  </si>
  <si>
    <t xml:space="preserve">2.1.5-C</t>
  </si>
  <si>
    <r>
      <rPr>
        <sz val="9"/>
        <rFont val="FreeSans"/>
        <family val="2"/>
      </rPr>
      <t xml:space="preserve">ราวกันชนเสา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ไฟส่องสว่าง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ป้าย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เส้นจอดรถ</t>
    </r>
  </si>
  <si>
    <t xml:space="preserve">2.1.6-C</t>
  </si>
  <si>
    <r>
      <rPr>
        <sz val="9"/>
        <rFont val="FreeSans"/>
        <family val="2"/>
      </rPr>
      <t xml:space="preserve">รางน้ำ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ระบายน้ำหลังคา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ท่อน้ำล้างแผง</t>
    </r>
  </si>
  <si>
    <t xml:space="preserve">2.1.7-C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</si>
  <si>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ระดับ</t>
    </r>
  </si>
  <si>
    <t xml:space="preserve">2.5.1.1-N</t>
  </si>
  <si>
    <r>
      <rPr>
        <b val="true"/>
        <sz val="9"/>
        <rFont val="FreeSans"/>
        <family val="2"/>
      </rPr>
      <t xml:space="preserve">สร้างใหม่ </t>
    </r>
    <r>
      <rPr>
        <b val="true"/>
        <sz val="9"/>
        <rFont val="Tahoma"/>
        <family val="0"/>
        <charset val="1"/>
      </rPr>
      <t xml:space="preserve">(E09)</t>
    </r>
  </si>
  <si>
    <r>
      <rPr>
        <sz val="9"/>
        <rFont val="FreeSans"/>
        <family val="2"/>
      </rPr>
      <t xml:space="preserve">วางผัง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สายใต้ดิน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ระดับพื้น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ตำแหน่งใกล้จุดเชื่อม </t>
    </r>
    <r>
      <rPr>
        <sz val="9"/>
        <rFont val="Tahoma"/>
        <family val="0"/>
        <charset val="1"/>
      </rPr>
      <t xml:space="preserve">(MDB)</t>
    </r>
  </si>
  <si>
    <t xml:space="preserve">Inverter station</t>
  </si>
  <si>
    <r>
      <rPr>
        <sz val="9"/>
        <rFont val="FreeSans"/>
        <family val="2"/>
      </rPr>
      <t xml:space="preserve">โรงเรือนบนพื้นดินตามแบบ </t>
    </r>
    <r>
      <rPr>
        <sz val="9"/>
        <rFont val="Tahoma"/>
        <family val="0"/>
        <charset val="1"/>
      </rPr>
      <t xml:space="preserve">E09, </t>
    </r>
    <r>
      <rPr>
        <sz val="9"/>
        <rFont val="FreeSans"/>
        <family val="2"/>
      </rPr>
      <t xml:space="preserve">โครงเหล็ก ช่วงเสา ≤ </t>
    </r>
    <r>
      <rPr>
        <sz val="9"/>
        <rFont val="Tahoma"/>
        <family val="0"/>
        <charset val="1"/>
      </rPr>
      <t xml:space="preserve">2.50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หลังคาเมทัลชีทลาดเดียว</t>
    </r>
  </si>
  <si>
    <t xml:space="preserve">2.5.1.2-N</t>
  </si>
  <si>
    <r>
      <rPr>
        <sz val="9"/>
        <rFont val="FreeSans"/>
        <family val="2"/>
      </rPr>
      <t xml:space="preserve">ฐานรากเสา คสล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</rPr>
      <t xml:space="preserve">บ่มคอนกรีต</t>
    </r>
  </si>
  <si>
    <t xml:space="preserve">2.5.1.3-N</t>
  </si>
  <si>
    <r>
      <rPr>
        <sz val="9"/>
        <rFont val="FreeSans"/>
        <family val="2"/>
      </rPr>
      <t xml:space="preserve">โครงเหล็กเสา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คาน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หลังคาเมทัลชีทลาดเดียว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</rPr>
      <t xml:space="preserve">ม</t>
    </r>
    <r>
      <rPr>
        <sz val="9"/>
        <rFont val="Tahoma"/>
        <family val="0"/>
        <charset val="1"/>
      </rPr>
      <t xml:space="preserve">.) + </t>
    </r>
    <r>
      <rPr>
        <sz val="9"/>
        <rFont val="FreeSans"/>
        <family val="2"/>
      </rPr>
      <t xml:space="preserve">ป้องกันสนิม</t>
    </r>
  </si>
  <si>
    <t xml:space="preserve">2.5.1.4-N</t>
  </si>
  <si>
    <r>
      <rPr>
        <sz val="9"/>
        <rFont val="Tahoma"/>
        <family val="0"/>
        <charset val="1"/>
      </rPr>
      <t xml:space="preserve">Rack </t>
    </r>
    <r>
      <rPr>
        <sz val="9"/>
        <rFont val="FreeSans"/>
        <family val="2"/>
      </rPr>
      <t xml:space="preserve">เหล็กแขวน </t>
    </r>
    <r>
      <rPr>
        <sz val="9"/>
        <rFont val="Tahoma"/>
        <family val="0"/>
        <charset val="1"/>
      </rPr>
      <t xml:space="preserve">Inverter /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/ METER-DB + </t>
    </r>
    <r>
      <rPr>
        <sz val="9"/>
        <rFont val="FreeSans"/>
        <family val="2"/>
      </rPr>
      <t xml:space="preserve">ฐานตู้ </t>
    </r>
    <r>
      <rPr>
        <sz val="9"/>
        <rFont val="Tahoma"/>
        <family val="0"/>
        <charset val="1"/>
      </rPr>
      <t xml:space="preserve">AC-DB Type C + </t>
    </r>
    <r>
      <rPr>
        <sz val="9"/>
        <rFont val="FreeSans"/>
        <family val="2"/>
      </rPr>
      <t xml:space="preserve">ที่ยึดราง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</si>
  <si>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2.5.1.5-N</t>
  </si>
  <si>
    <r>
      <rPr>
        <sz val="9"/>
        <rFont val="FreeSans"/>
        <family val="2"/>
      </rPr>
      <t xml:space="preserve">ป้ายชื่อตู้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ทางเข้า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ประตูตามแบบ</t>
    </r>
  </si>
  <si>
    <t xml:space="preserve">2.5.1.6-N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</si>
  <si>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สนิม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ระยะเว้นรอบ </t>
    </r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</rPr>
      <t xml:space="preserve">ตามคู่มือผู้ผลิต</t>
    </r>
  </si>
  <si>
    <t xml:space="preserve">2.5.1.1-E</t>
  </si>
  <si>
    <r>
      <rPr>
        <b val="true"/>
        <sz val="9"/>
        <rFont val="FreeSans"/>
        <family val="2"/>
      </rPr>
      <t xml:space="preserve">ในอาคารเดิม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ผนังเดิม</t>
    </r>
  </si>
  <si>
    <r>
      <rPr>
        <sz val="9"/>
        <rFont val="FreeSans"/>
        <family val="2"/>
      </rPr>
      <t xml:space="preserve">สำรวจห้อง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ผนัง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กันฝน แดด ระบายอากาศ ระยะเว้นตามคู่มือ </t>
    </r>
    <r>
      <rPr>
        <sz val="9"/>
        <rFont val="Tahoma"/>
        <family val="0"/>
        <charset val="1"/>
      </rPr>
      <t xml:space="preserve">Inverter + </t>
    </r>
    <r>
      <rPr>
        <sz val="9"/>
        <rFont val="FreeSans"/>
        <family val="2"/>
      </rPr>
      <t xml:space="preserve">ทางเดินสาย</t>
    </r>
  </si>
  <si>
    <r>
      <rPr>
        <sz val="9"/>
        <rFont val="FreeSans"/>
        <family val="2"/>
      </rPr>
      <t xml:space="preserve">ใช้ห้องหรือผนังอาคารเดิม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ไม่สร้างโรงเรือน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ต้องกันแดดฝนและระบายอากาศได้</t>
    </r>
  </si>
  <si>
    <t xml:space="preserve">2.5.1.2-E</t>
  </si>
  <si>
    <r>
      <rPr>
        <sz val="9"/>
        <rFont val="FreeSans"/>
        <family val="2"/>
      </rPr>
      <t xml:space="preserve">ยึดโครง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แผ่นรองบนผนัง </t>
    </r>
    <r>
      <rPr>
        <sz val="9"/>
        <rFont val="Tahoma"/>
        <family val="0"/>
        <charset val="1"/>
      </rPr>
      <t xml:space="preserve">(Anchor </t>
    </r>
    <r>
      <rPr>
        <sz val="9"/>
        <rFont val="FreeSans"/>
        <family val="2"/>
      </rPr>
      <t xml:space="preserve">ตามน้ำหนัก </t>
    </r>
    <r>
      <rPr>
        <sz val="9"/>
        <rFont val="Tahoma"/>
        <family val="0"/>
        <charset val="1"/>
      </rPr>
      <t xml:space="preserve">Inverter)</t>
    </r>
  </si>
  <si>
    <t xml:space="preserve">2.5.1.3-E</t>
  </si>
  <si>
    <r>
      <rPr>
        <sz val="9"/>
        <rFont val="FreeSans"/>
        <family val="2"/>
      </rPr>
      <t xml:space="preserve">ตรวจหลังคา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กันสาดของอาคารเดิม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เพิ่มกันสาดถ้าจำเป็น</t>
    </r>
    <r>
      <rPr>
        <sz val="9"/>
        <rFont val="Tahoma"/>
        <family val="0"/>
        <charset val="1"/>
      </rPr>
      <t xml:space="preserve">)</t>
    </r>
  </si>
  <si>
    <t xml:space="preserve">2.5.1.4-E</t>
  </si>
  <si>
    <r>
      <rPr>
        <sz val="9"/>
        <rFont val="Tahoma"/>
        <family val="0"/>
        <charset val="1"/>
      </rPr>
      <t xml:space="preserve">Rack / </t>
    </r>
    <r>
      <rPr>
        <sz val="9"/>
        <rFont val="FreeSans"/>
        <family val="2"/>
      </rPr>
      <t xml:space="preserve">ที่ยึดราง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เจาะผนังร้อยสาย อุดกันไฟ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กันสัตว์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</si>
  <si>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2.5.1.5-E</t>
  </si>
  <si>
    <r>
      <rPr>
        <sz val="9"/>
        <rFont val="FreeSans"/>
        <family val="2"/>
      </rPr>
      <t xml:space="preserve">ป้ายชื่อตู้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กั้นเขต</t>
    </r>
  </si>
  <si>
    <t xml:space="preserve">2.5.1.6-E</t>
  </si>
  <si>
    <r>
      <rPr>
        <sz val="9"/>
        <rFont val="Tahoma"/>
        <family val="0"/>
        <charset val="1"/>
      </rPr>
      <t xml:space="preserve">ICL: </t>
    </r>
    <r>
      <rPr>
        <sz val="9"/>
        <rFont val="FreeSans"/>
        <family val="2"/>
      </rPr>
      <t xml:space="preserve">ยึดแน่น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ระยะเว้น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ช่องเจาะอุดครบ</t>
    </r>
  </si>
  <si>
    <t xml:space="preserve">2.5.1.1-T</t>
  </si>
  <si>
    <r>
      <rPr>
        <b val="true"/>
        <sz val="9"/>
        <rFont val="FreeSans"/>
        <family val="2"/>
      </rPr>
      <t xml:space="preserve">บนหลังคาถังน้ำใส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ดาดฟ้า</t>
    </r>
  </si>
  <si>
    <r>
      <rPr>
        <sz val="9"/>
        <rFont val="Tahoma"/>
        <family val="0"/>
        <charset val="1"/>
      </rPr>
      <t xml:space="preserve">Mark </t>
    </r>
    <r>
      <rPr>
        <sz val="9"/>
        <rFont val="FreeSans"/>
        <family val="2"/>
      </rPr>
      <t xml:space="preserve">ตำแหน่ง หลบฝาถัง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ช่องระบาย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ท่อ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ตรวจน้ำหนักบนพื้น</t>
    </r>
  </si>
  <si>
    <r>
      <rPr>
        <sz val="9"/>
        <rFont val="FreeSans"/>
        <family val="2"/>
      </rPr>
      <t xml:space="preserve">ตั้งบนพื้น คสล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หลังคาถังน้ำใส หรือดาดฟ้า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เช่น </t>
    </r>
    <r>
      <rPr>
        <sz val="9"/>
        <rFont val="Tahoma"/>
        <family val="0"/>
        <charset val="1"/>
      </rPr>
      <t xml:space="preserve">P4-001), </t>
    </r>
    <r>
      <rPr>
        <sz val="9"/>
        <rFont val="FreeSans"/>
        <family val="2"/>
      </rPr>
      <t xml:space="preserve">ยึดพุก ห้ามเจาะทะลุ </t>
    </r>
    <r>
      <rPr>
        <sz val="9"/>
        <rFont val="Tahoma"/>
        <family val="0"/>
        <charset val="1"/>
      </rPr>
      <t xml:space="preserve">slab</t>
    </r>
  </si>
  <si>
    <t xml:space="preserve">2.5.1.2-T</t>
  </si>
  <si>
    <r>
      <rPr>
        <sz val="9"/>
        <rFont val="FreeSans"/>
        <family val="2"/>
      </rPr>
      <t xml:space="preserve">ฐาน </t>
    </r>
    <r>
      <rPr>
        <sz val="9"/>
        <rFont val="Tahoma"/>
        <family val="0"/>
        <charset val="1"/>
      </rPr>
      <t xml:space="preserve">Concrete topping + Expansion bolt (</t>
    </r>
    <r>
      <rPr>
        <sz val="9"/>
        <rFont val="FreeSans"/>
        <family val="2"/>
      </rPr>
      <t xml:space="preserve">ไม่เจาะทะลุ </t>
    </r>
    <r>
      <rPr>
        <sz val="9"/>
        <rFont val="Tahoma"/>
        <family val="0"/>
        <charset val="1"/>
      </rPr>
      <t xml:space="preserve">slab) + </t>
    </r>
    <r>
      <rPr>
        <sz val="9"/>
        <rFont val="FreeSans"/>
        <family val="2"/>
      </rPr>
      <t xml:space="preserve">กันซึม</t>
    </r>
  </si>
  <si>
    <t xml:space="preserve">2.5.1.3-T</t>
  </si>
  <si>
    <r>
      <rPr>
        <sz val="9"/>
        <rFont val="FreeSans"/>
        <family val="2"/>
      </rPr>
      <t xml:space="preserve">โครงเหล็ก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หลังคากันแดดฝน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ป้องกันสนิม</t>
    </r>
  </si>
  <si>
    <t xml:space="preserve">2.5.1.4-T</t>
  </si>
  <si>
    <r>
      <rPr>
        <sz val="9"/>
        <rFont val="Tahoma"/>
        <family val="0"/>
        <charset val="1"/>
      </rPr>
      <t xml:space="preserve">Rack + </t>
    </r>
    <r>
      <rPr>
        <sz val="9"/>
        <rFont val="FreeSans"/>
        <family val="2"/>
      </rPr>
      <t xml:space="preserve">ที่ยึดรางยกพ้นน้ำขัง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</si>
  <si>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2.5.1.5-T</t>
  </si>
  <si>
    <r>
      <rPr>
        <sz val="9"/>
        <rFont val="FreeSans"/>
        <family val="2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ราวกันตกขอบถัง</t>
    </r>
  </si>
  <si>
    <t xml:space="preserve">2.5.1.6-T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</si>
  <si>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ความสะอาดถัง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ฝาปิด</t>
    </r>
  </si>
  <si>
    <r>
      <rPr>
        <b val="true"/>
        <sz val="14"/>
        <color rgb="FF1F4E78"/>
        <rFont val="Tahoma"/>
        <family val="0"/>
        <charset val="1"/>
      </rPr>
      <t xml:space="preserve">Responsibility Assignment Matrix (RAM) – WBS × </t>
    </r>
    <r>
      <rPr>
        <b val="true"/>
        <sz val="14"/>
        <color rgb="FF1F4E78"/>
        <rFont val="FreeSans"/>
        <family val="2"/>
      </rPr>
      <t xml:space="preserve">ผู้รับผิดชอบ</t>
    </r>
  </si>
  <si>
    <r>
      <rPr>
        <i val="true"/>
        <sz val="9"/>
        <color rgb="FF595959"/>
        <rFont val="Tahoma"/>
        <family val="0"/>
        <charset val="1"/>
      </rPr>
      <t xml:space="preserve">R = </t>
    </r>
    <r>
      <rPr>
        <i val="true"/>
        <sz val="9"/>
        <color rgb="FF595959"/>
        <rFont val="FreeSans"/>
        <family val="2"/>
      </rPr>
      <t xml:space="preserve">ผู้ทำ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รายการละ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คน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อ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หน่วยงานภายนอกอนุมัติ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</rPr>
      <t xml:space="preserve">รับมอบ</t>
    </r>
    <r>
      <rPr>
        <i val="true"/>
        <sz val="9"/>
        <color rgb="FF595959"/>
        <rFont val="Tahoma"/>
        <family val="0"/>
        <charset val="1"/>
      </rPr>
      <t xml:space="preserve">, A = </t>
    </r>
    <r>
      <rPr>
        <i val="true"/>
        <sz val="9"/>
        <color rgb="FF595959"/>
        <rFont val="FreeSans"/>
        <family val="2"/>
      </rPr>
      <t xml:space="preserve">ผู้อนุมัติ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ตรวจรับ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ผรม</t>
    </r>
    <r>
      <rPr>
        <i val="true"/>
        <sz val="9"/>
        <color rgb="FF595959"/>
        <rFont val="Tahoma"/>
        <family val="0"/>
        <charset val="1"/>
      </rPr>
      <t xml:space="preserve">. = </t>
    </r>
    <r>
      <rPr>
        <i val="true"/>
        <sz val="9"/>
        <color rgb="FF595959"/>
        <rFont val="FreeSans"/>
        <family val="2"/>
      </rPr>
      <t xml:space="preserve">ผู้รับเหมาของสถานีนั้น </t>
    </r>
    <r>
      <rPr>
        <i val="true"/>
        <sz val="9"/>
        <color rgb="FF595959"/>
        <rFont val="Tahoma"/>
        <family val="0"/>
        <charset val="1"/>
      </rPr>
      <t xml:space="preserve">(S / C / B </t>
    </r>
    <r>
      <rPr>
        <i val="true"/>
        <sz val="9"/>
        <color rgb="FF595959"/>
        <rFont val="FreeSans"/>
        <family val="2"/>
      </rPr>
      <t xml:space="preserve">ตาม </t>
    </r>
    <r>
      <rPr>
        <i val="true"/>
        <sz val="9"/>
        <color rgb="FF595959"/>
        <rFont val="Tahoma"/>
        <family val="0"/>
        <charset val="1"/>
      </rPr>
      <t xml:space="preserve">Master Plan), </t>
    </r>
    <r>
      <rPr>
        <i val="true"/>
        <sz val="9"/>
        <color rgb="FF595959"/>
        <rFont val="FreeSans"/>
        <family val="2"/>
      </rPr>
      <t xml:space="preserve">สร้างจาก </t>
    </r>
    <r>
      <rPr>
        <i val="true"/>
        <sz val="9"/>
        <color rgb="FF595959"/>
        <rFont val="Tahoma"/>
        <family val="0"/>
        <charset val="1"/>
      </rPr>
      <t xml:space="preserve">WBS Dictionary </t>
    </r>
    <r>
      <rPr>
        <i val="true"/>
        <sz val="9"/>
        <color rgb="FF595959"/>
        <rFont val="FreeSans"/>
        <family val="2"/>
      </rPr>
      <t xml:space="preserve">แก้ที่ </t>
    </r>
    <r>
      <rPr>
        <i val="true"/>
        <sz val="9"/>
        <color rgb="FF595959"/>
        <rFont val="Tahoma"/>
        <family val="0"/>
        <charset val="1"/>
      </rPr>
      <t xml:space="preserve">Dictionary </t>
    </r>
    <r>
      <rPr>
        <i val="true"/>
        <sz val="9"/>
        <color rgb="FF595959"/>
        <rFont val="FreeSans"/>
        <family val="2"/>
      </rPr>
      <t xml:space="preserve">ไม่ใช่ที่ชีตนี้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จุดตัด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2 × </t>
    </r>
    <r>
      <rPr>
        <i val="true"/>
        <sz val="9"/>
        <color rgb="FF595959"/>
        <rFont val="FreeSans"/>
        <family val="2"/>
      </rPr>
      <t xml:space="preserve">ผู้รับผิดชอบ </t>
    </r>
    <r>
      <rPr>
        <i val="true"/>
        <sz val="9"/>
        <color rgb="FF595959"/>
        <rFont val="Tahoma"/>
        <family val="0"/>
        <charset val="1"/>
      </rPr>
      <t xml:space="preserve">= Control Account</t>
    </r>
  </si>
  <si>
    <r>
      <rPr>
        <sz val="7"/>
        <color rgb="FF595959"/>
        <rFont val="FreeSans"/>
        <family val="2"/>
      </rPr>
      <t xml:space="preserve">ผู้รับเหมา </t>
    </r>
    <r>
      <rPr>
        <sz val="7"/>
        <color rgb="FF595959"/>
        <rFont val="Tahoma"/>
        <family val="0"/>
        <charset val="1"/>
      </rPr>
      <t xml:space="preserve">(external)</t>
    </r>
  </si>
  <si>
    <r>
      <rPr>
        <sz val="7"/>
        <color rgb="FF595959"/>
        <rFont val="FreeSans"/>
        <family val="2"/>
      </rPr>
      <t xml:space="preserve">วิศวกรควบคุมงาน </t>
    </r>
    <r>
      <rPr>
        <sz val="7"/>
        <color rgb="FF595959"/>
        <rFont val="Tahoma"/>
        <family val="0"/>
        <charset val="1"/>
      </rPr>
      <t xml:space="preserve">TC (internal)</t>
    </r>
  </si>
  <si>
    <r>
      <rPr>
        <sz val="7"/>
        <color rgb="FF595959"/>
        <rFont val="Tahoma"/>
        <family val="0"/>
        <charset val="1"/>
      </rPr>
      <t xml:space="preserve">Admin </t>
    </r>
    <r>
      <rPr>
        <sz val="7"/>
        <color rgb="FF595959"/>
        <rFont val="FreeSans"/>
        <family val="2"/>
      </rPr>
      <t xml:space="preserve">โครงการ </t>
    </r>
    <r>
      <rPr>
        <sz val="7"/>
        <color rgb="FF595959"/>
        <rFont val="Tahoma"/>
        <family val="0"/>
        <charset val="1"/>
      </rPr>
      <t xml:space="preserve">(internal)</t>
    </r>
  </si>
  <si>
    <t xml:space="preserve">Project Manager (manager)</t>
  </si>
  <si>
    <r>
      <rPr>
        <sz val="7"/>
        <color rgb="FF595959"/>
        <rFont val="FreeSans"/>
        <family val="2"/>
      </rPr>
      <t xml:space="preserve">ผู้แทน กปภ</t>
    </r>
    <r>
      <rPr>
        <sz val="7"/>
        <color rgb="FF595959"/>
        <rFont val="Tahoma"/>
        <family val="0"/>
        <charset val="1"/>
      </rPr>
      <t xml:space="preserve">. / </t>
    </r>
    <r>
      <rPr>
        <sz val="7"/>
        <color rgb="FF595959"/>
        <rFont val="FreeSans"/>
        <family val="2"/>
      </rPr>
      <t xml:space="preserve">สาขา</t>
    </r>
  </si>
  <si>
    <t xml:space="preserve">การไฟฟ้าส่วนภูมิภาค</t>
  </si>
  <si>
    <r>
      <rPr>
        <sz val="7"/>
        <color rgb="FF595959"/>
        <rFont val="FreeSans"/>
        <family val="2"/>
      </rPr>
      <t xml:space="preserve">สำนักงาน กกพ</t>
    </r>
    <r>
      <rPr>
        <sz val="7"/>
        <color rgb="FF595959"/>
        <rFont val="Tahoma"/>
        <family val="0"/>
        <charset val="1"/>
      </rPr>
      <t xml:space="preserve">.</t>
    </r>
  </si>
  <si>
    <t xml:space="preserve">กรมพัฒนาพลังงานทดแทนฯ</t>
  </si>
  <si>
    <r>
      <rPr>
        <b val="true"/>
        <sz val="9"/>
        <color rgb="FFFFFFFF"/>
        <rFont val="FreeSans"/>
        <family val="2"/>
      </rPr>
      <t xml:space="preserve">วศ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</si>
  <si>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</rPr>
      <t xml:space="preserve">กปภ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</si>
  <si>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</si>
  <si>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</rPr>
      <t xml:space="preserve">กกพ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</si>
  <si>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</rPr>
      <t xml:space="preserve">พพ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</si>
  <si>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A</t>
  </si>
  <si>
    <t xml:space="preserve">อ</t>
  </si>
  <si>
    <r>
      <rPr>
        <b val="true"/>
        <sz val="9"/>
        <rFont val="FreeSans"/>
        <family val="2"/>
      </rPr>
      <t xml:space="preserve">จำนวนรายการที่เป็นผู้ทำ </t>
    </r>
    <r>
      <rPr>
        <b val="true"/>
        <sz val="9"/>
        <rFont val="Tahoma"/>
        <family val="0"/>
        <charset val="1"/>
      </rPr>
      <t xml:space="preserve">(R)</t>
    </r>
  </si>
  <si>
    <r>
      <rPr>
        <b val="true"/>
        <sz val="9"/>
        <rFont val="FreeSans"/>
        <family val="2"/>
      </rPr>
      <t xml:space="preserve">จำนวนรายการที่อนุมัติ </t>
    </r>
    <r>
      <rPr>
        <b val="true"/>
        <sz val="9"/>
        <rFont val="Tahoma"/>
        <family val="0"/>
        <charset val="1"/>
      </rPr>
      <t xml:space="preserve">(A)</t>
    </r>
  </si>
  <si>
    <r>
      <rPr>
        <b val="true"/>
        <sz val="13"/>
        <rFont val="FreeSans"/>
        <family val="2"/>
      </rPr>
      <t xml:space="preserve">สมมติฐานการวางแผน – </t>
    </r>
    <r>
      <rPr>
        <b val="true"/>
        <sz val="13"/>
        <rFont val="Tahoma"/>
        <family val="0"/>
        <charset val="1"/>
      </rPr>
      <t xml:space="preserve">Master Plan </t>
    </r>
    <r>
      <rPr>
        <b val="true"/>
        <sz val="13"/>
        <rFont val="FreeSans"/>
        <family val="2"/>
      </rPr>
      <t xml:space="preserve">โครงการประปา เฟส </t>
    </r>
    <r>
      <rPr>
        <b val="true"/>
        <sz val="13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</si>
  <si>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FreeSans"/>
        <family val="2"/>
      </rPr>
      <t xml:space="preserve">แก้ได้เฉพาะช่องสีเหลือง — แผนทุกสถานี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แผนรายโครงการ</t>
    </r>
    <r>
      <rPr>
        <i val="true"/>
        <sz val="9"/>
        <color rgb="FF595959"/>
        <rFont val="Tahoma"/>
        <family val="0"/>
        <charset val="1"/>
      </rPr>
      <t xml:space="preserve">, S-Curve </t>
    </r>
    <r>
      <rPr>
        <i val="true"/>
        <sz val="9"/>
        <color rgb="FF595959"/>
        <rFont val="FreeSans"/>
        <family val="2"/>
      </rPr>
      <t xml:space="preserve">และสรุปคำนวณใหม่อัตโนมัติ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ชีตล็อกสูตรไว้ ไม่มีรหัสผ่าน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</si>
  <si>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กำลังตรวจของ กฟภ</t>
    </r>
    <r>
      <rPr>
        <b val="true"/>
        <sz val="11"/>
        <rFont val="Tahoma"/>
        <family val="0"/>
        <charset val="1"/>
      </rPr>
      <t xml:space="preserve">. </t>
    </r>
    <r>
      <rPr>
        <b val="true"/>
        <sz val="11"/>
        <rFont val="FreeSans"/>
        <family val="2"/>
      </rPr>
      <t xml:space="preserve">รายเขต</t>
    </r>
  </si>
  <si>
    <r>
      <rPr>
        <b val="true"/>
        <sz val="11"/>
        <rFont val="FreeSans"/>
        <family val="2"/>
      </rPr>
      <t xml:space="preserve">วันหยุด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ไม่นับเป็นวันทำงาน</t>
    </r>
    <r>
      <rPr>
        <b val="true"/>
        <sz val="11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</si>
  <si>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รหัสสถานะ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ใช้ในสูตร — แก้ได้เฉพาะคำแสดงผล</t>
    </r>
    <r>
      <rPr>
        <b val="true"/>
        <sz val="11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</si>
  <si>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ทีมผู้รับเหมา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สมมติ — แก้ตามจริง</t>
    </r>
    <r>
      <rPr>
        <b val="true"/>
        <sz val="11"/>
        <rFont val="Tahoma"/>
        <family val="0"/>
        <charset val="1"/>
      </rPr>
      <t xml:space="preserve">), </t>
    </r>
    <r>
      <rPr>
        <b val="true"/>
        <sz val="11"/>
        <rFont val="FreeSans"/>
        <family val="2"/>
      </rPr>
      <t xml:space="preserve">ผู้รับเหมาทำทั้งติดตั้ง ทดสอบ </t>
    </r>
    <r>
      <rPr>
        <b val="true"/>
        <sz val="11"/>
        <rFont val="Tahoma"/>
        <family val="0"/>
        <charset val="1"/>
      </rPr>
      <t xml:space="preserve">IEC </t>
    </r>
    <r>
      <rPr>
        <b val="true"/>
        <sz val="11"/>
        <rFont val="FreeSans"/>
        <family val="2"/>
      </rPr>
      <t xml:space="preserve">และรายงานทั้งหมด</t>
    </r>
  </si>
  <si>
    <t xml:space="preserve">ชื่อ</t>
  </si>
  <si>
    <t xml:space="preserve">ค่า</t>
  </si>
  <si>
    <r>
      <rPr>
        <b val="true"/>
        <sz val="9"/>
        <color rgb="FFFFFFFF"/>
        <rFont val="FreeSans"/>
        <family val="2"/>
      </rPr>
      <t xml:space="preserve">ตรวจได้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</si>
  <si>
    <r>
      <rPr>
        <b val="true"/>
        <sz val="9"/>
        <color rgb="FFFFFFFF"/>
        <rFont val="FreeSans"/>
        <family val="2"/>
      </rPr>
      <t xml:space="preserve">ยังไม่ตรวจ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</si>
  <si>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สัปดาห์ที่ต้องใช้</t>
  </si>
  <si>
    <t xml:space="preserve">วันหยุด</t>
  </si>
  <si>
    <t xml:space="preserve">คำที่แสดง</t>
  </si>
  <si>
    <t xml:space="preserve">ชุดติดตั้ง</t>
  </si>
  <si>
    <r>
      <rPr>
        <b val="true"/>
        <sz val="9"/>
        <color rgb="FFFFFFFF"/>
        <rFont val="Tahoma"/>
        <family val="0"/>
        <charset val="1"/>
      </rPr>
      <t xml:space="preserve">kWp/</t>
    </r>
    <r>
      <rPr>
        <b val="true"/>
        <sz val="9"/>
        <color rgb="FFFFFFFF"/>
        <rFont val="FreeSans"/>
        <family val="2"/>
      </rPr>
      <t xml:space="preserve">ชุด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</si>
  <si>
    <r>
      <rPr>
        <b val="true"/>
        <sz val="9"/>
        <color rgb="FFFFFFFF"/>
        <rFont val="FreeSans"/>
        <family val="2"/>
      </rPr>
      <t xml:space="preserve">ชุดทดสอบ </t>
    </r>
    <r>
      <rPr>
        <b val="true"/>
        <sz val="9"/>
        <color rgb="FFFFFFFF"/>
        <rFont val="Tahoma"/>
        <family val="0"/>
        <charset val="1"/>
      </rPr>
      <t xml:space="preserve">IEC + </t>
    </r>
    <r>
      <rPr>
        <b val="true"/>
        <sz val="9"/>
        <color rgb="FFFFFFFF"/>
        <rFont val="FreeSans"/>
        <family val="2"/>
      </rPr>
      <t xml:space="preserve">รายงาน</t>
    </r>
  </si>
  <si>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ชุด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</si>
  <si>
    <t xml:space="preserve">วันทำรายงานหลังทดสอบ</t>
  </si>
  <si>
    <r>
      <rPr>
        <b val="true"/>
        <sz val="9"/>
        <color rgb="FFFFFFFF"/>
        <rFont val="FreeSans"/>
        <family val="2"/>
      </rPr>
      <t xml:space="preserve">ติดตั้งค้าง </t>
    </r>
    <r>
      <rPr>
        <b val="true"/>
        <sz val="9"/>
        <color rgb="FFFFFFFF"/>
        <rFont val="Tahoma"/>
        <family val="0"/>
        <charset val="1"/>
      </rPr>
      <t xml:space="preserve">(kWp)</t>
    </r>
  </si>
  <si>
    <t xml:space="preserve">สัปดาห์ติดตั้งที่ต้องใช้</t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</si>
  <si>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ค้าง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</si>
  <si>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สัปดาห์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ที่ต้องใช้</t>
    </r>
  </si>
  <si>
    <t xml:space="preserve">PROJ_START</t>
  </si>
  <si>
    <r>
      <rPr>
        <sz val="10"/>
        <rFont val="FreeSans"/>
        <family val="2"/>
      </rPr>
      <t xml:space="preserve">วันเริ่มโครงการ </t>
    </r>
    <r>
      <rPr>
        <sz val="10"/>
        <rFont val="Tahoma"/>
        <family val="0"/>
        <charset val="1"/>
      </rPr>
      <t xml:space="preserve">(Kick off)</t>
    </r>
  </si>
  <si>
    <r>
      <rPr>
        <i val="true"/>
        <sz val="9"/>
        <color rgb="FF595959"/>
        <rFont val="FreeSans"/>
        <family val="2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เปลี่ยนวันนี้ แผน </t>
    </r>
    <r>
      <rPr>
        <i val="true"/>
        <sz val="9"/>
        <color rgb="FF595959"/>
        <rFont val="Tahoma"/>
        <family val="0"/>
        <charset val="1"/>
      </rPr>
      <t xml:space="preserve">Baseline </t>
    </r>
    <r>
      <rPr>
        <i val="true"/>
        <sz val="9"/>
        <color rgb="FF595959"/>
        <rFont val="FreeSans"/>
        <family val="2"/>
      </rPr>
      <t xml:space="preserve">ทุกสถานีเลื่อนตาม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</si>
  <si>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.01</t>
    </r>
  </si>
  <si>
    <t xml:space="preserve">วันปิยมหาราช</t>
  </si>
  <si>
    <t xml:space="preserve">DN</t>
  </si>
  <si>
    <t xml:space="preserve">เสร็จ</t>
  </si>
  <si>
    <t xml:space="preserve">RD_SPAN</t>
  </si>
  <si>
    <r>
      <rPr>
        <sz val="10"/>
        <rFont val="Tahoma"/>
        <family val="0"/>
        <charset val="1"/>
      </rPr>
      <t xml:space="preserve">Kick off </t>
    </r>
    <r>
      <rPr>
        <sz val="10"/>
        <rFont val="FreeSans"/>
        <family val="2"/>
      </rPr>
      <t xml:space="preserve">ถึงกำหนดส่งมอบงวด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</si>
  <si>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กำหนดส่งมอบ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วันเริ่มโครงการ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</rPr>
      <t xml:space="preserve">ค่านี้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แก้รายสถานีได้ที่ </t>
    </r>
    <r>
      <rPr>
        <i val="true"/>
        <sz val="9"/>
        <color rgb="FF595959"/>
        <rFont val="Tahoma"/>
        <family val="0"/>
        <charset val="1"/>
      </rPr>
      <t xml:space="preserve">Master Plan)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</si>
  <si>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.02</t>
    </r>
  </si>
  <si>
    <r>
      <rPr>
        <sz val="9"/>
        <color rgb="FF0000FF"/>
        <rFont val="FreeSans"/>
        <family val="2"/>
      </rPr>
      <t xml:space="preserve">ชดเชยวันพ่อแห่งชาติ </t>
    </r>
    <r>
      <rPr>
        <sz val="9"/>
        <color rgb="FF0000FF"/>
        <rFont val="Tahoma"/>
        <family val="0"/>
        <charset val="1"/>
      </rPr>
      <t xml:space="preserve">(5 </t>
    </r>
    <r>
      <rPr>
        <sz val="9"/>
        <color rgb="FF0000FF"/>
        <rFont val="FreeSans"/>
        <family val="2"/>
      </rPr>
      <t xml:space="preserve">ธ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</rPr>
      <t xml:space="preserve">ค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</rPr>
      <t xml:space="preserve">ตรงวันเสาร์</t>
    </r>
    <r>
      <rPr>
        <sz val="9"/>
        <color rgb="FF0000FF"/>
        <rFont val="Tahoma"/>
        <family val="0"/>
        <charset val="1"/>
      </rPr>
      <t xml:space="preserve">)</t>
    </r>
  </si>
  <si>
    <t xml:space="preserve">DY</t>
  </si>
  <si>
    <r>
      <rPr>
        <sz val="10"/>
        <color rgb="FF0000FF"/>
        <rFont val="FreeSans"/>
        <family val="2"/>
      </rPr>
      <t xml:space="preserve">เสร็จ</t>
    </r>
    <r>
      <rPr>
        <sz val="10"/>
        <color rgb="FF0000FF"/>
        <rFont val="Tahoma"/>
        <family val="0"/>
        <charset val="1"/>
      </rPr>
      <t xml:space="preserve">*</t>
    </r>
  </si>
  <si>
    <t xml:space="preserve">ASOF</t>
  </si>
  <si>
    <r>
      <rPr>
        <sz val="10"/>
        <rFont val="FreeSans"/>
        <family val="2"/>
      </rPr>
      <t xml:space="preserve">วันที่ข้อมูล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วันเริ่มวางแผนส่วนที่เหลือ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</si>
  <si>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เริ่มเท่าวันเริ่มโครงการ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พิมพ์วันที่ทับเมื่อเริ่มอัปเดตรายสัปดาห์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</si>
  <si>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.03</t>
    </r>
  </si>
  <si>
    <t xml:space="preserve">วันรัฐธรรมนูญ</t>
  </si>
  <si>
    <t xml:space="preserve">AP</t>
  </si>
  <si>
    <t xml:space="preserve">นัดแล้ว</t>
  </si>
  <si>
    <t xml:space="preserve">GANTT_START</t>
  </si>
  <si>
    <r>
      <rPr>
        <sz val="10"/>
        <rFont val="FreeSans"/>
        <family val="2"/>
      </rPr>
      <t xml:space="preserve">วันเริ่ม </t>
    </r>
    <r>
      <rPr>
        <sz val="10"/>
        <rFont val="Tahoma"/>
        <family val="0"/>
        <charset val="1"/>
      </rPr>
      <t xml:space="preserve">Gantt (</t>
    </r>
    <r>
      <rPr>
        <sz val="10"/>
        <rFont val="FreeSans"/>
        <family val="2"/>
      </rPr>
      <t xml:space="preserve">วันจันทร์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</si>
  <si>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วันจันทร์ก่อนวันเริ่มโครงการ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สัปดาห์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</si>
  <si>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.04</t>
    </r>
  </si>
  <si>
    <t xml:space="preserve">วันสิ้นปี</t>
  </si>
  <si>
    <t xml:space="preserve">IP</t>
  </si>
  <si>
    <t xml:space="preserve">กำลังดำเนินการ</t>
  </si>
  <si>
    <t xml:space="preserve">LEAD_INST</t>
  </si>
  <si>
    <r>
      <rPr>
        <sz val="10"/>
        <rFont val="FreeSans"/>
        <family val="2"/>
      </rPr>
      <t xml:space="preserve">สถานีที่ยังไม่ติดตั้ง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ระยะเตรียมก่อนเข้าติดตั้งได้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</si>
  <si>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นัดดับไฟ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</rPr>
      <t xml:space="preserve">เตรียมทีม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</si>
  <si>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.05</t>
    </r>
  </si>
  <si>
    <t xml:space="preserve">วันขึ้นปีใหม่</t>
  </si>
  <si>
    <t xml:space="preserve">NS</t>
  </si>
  <si>
    <t xml:space="preserve">ยังไม่เริ่ม</t>
  </si>
  <si>
    <r>
      <rPr>
        <b val="true"/>
        <sz val="11"/>
        <rFont val="FreeSans"/>
        <family val="2"/>
      </rPr>
      <t xml:space="preserve">วิศวกรของเรา </t>
    </r>
    <r>
      <rPr>
        <b val="true"/>
        <sz val="11"/>
        <rFont val="Tahoma"/>
        <family val="0"/>
        <charset val="1"/>
      </rPr>
      <t xml:space="preserve">(1 </t>
    </r>
    <r>
      <rPr>
        <b val="true"/>
        <sz val="11"/>
        <rFont val="FreeSans"/>
        <family val="2"/>
      </rPr>
      <t xml:space="preserve">คนดูแลหลายสถานี</t>
    </r>
    <r>
      <rPr>
        <b val="true"/>
        <sz val="11"/>
        <rFont val="Tahoma"/>
        <family val="0"/>
        <charset val="1"/>
      </rPr>
      <t xml:space="preserve">), </t>
    </r>
    <r>
      <rPr>
        <b val="true"/>
        <sz val="11"/>
        <rFont val="FreeSans"/>
        <family val="2"/>
      </rPr>
      <t xml:space="preserve">ใช้จำกัดคิวนัด กฟภ</t>
    </r>
    <r>
      <rPr>
        <b val="true"/>
        <sz val="11"/>
        <rFont val="Tahoma"/>
        <family val="0"/>
        <charset val="1"/>
      </rPr>
      <t xml:space="preserve">. </t>
    </r>
    <r>
      <rPr>
        <b val="true"/>
        <sz val="11"/>
        <rFont val="FreeSans"/>
        <family val="2"/>
      </rPr>
      <t xml:space="preserve">เข้าตรวจ</t>
    </r>
  </si>
  <si>
    <t xml:space="preserve">LAG_PEA</t>
  </si>
  <si>
    <r>
      <rPr>
        <sz val="10"/>
        <rFont val="FreeSans"/>
        <family val="2"/>
      </rPr>
      <t xml:space="preserve">หลังติดตั้งเสร็จ ถึงนัด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เข้าตรวจได้เร็วสุด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</si>
  <si>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.06</t>
    </r>
  </si>
  <si>
    <r>
      <rPr>
        <sz val="9"/>
        <color rgb="FF0000FF"/>
        <rFont val="FreeSans"/>
        <family val="2"/>
      </rPr>
      <t xml:space="preserve">ชดเชยวันมาฆบูชา </t>
    </r>
    <r>
      <rPr>
        <sz val="9"/>
        <color rgb="FF0000FF"/>
        <rFont val="Tahoma"/>
        <family val="0"/>
        <charset val="1"/>
      </rPr>
      <t xml:space="preserve">(21 </t>
    </r>
    <r>
      <rPr>
        <sz val="9"/>
        <color rgb="FF0000FF"/>
        <rFont val="FreeSans"/>
        <family val="2"/>
      </rPr>
      <t xml:space="preserve">ก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</rPr>
      <t xml:space="preserve">พ</t>
    </r>
    <r>
      <rPr>
        <sz val="9"/>
        <color rgb="FF0000FF"/>
        <rFont val="Tahoma"/>
        <family val="0"/>
        <charset val="1"/>
      </rPr>
      <t xml:space="preserve">.) – </t>
    </r>
    <r>
      <rPr>
        <sz val="9"/>
        <color rgb="FF0000FF"/>
        <rFont val="FreeSans"/>
        <family val="2"/>
      </rPr>
      <t xml:space="preserve">ตรวจสอบประกาศ ครม</t>
    </r>
    <r>
      <rPr>
        <sz val="9"/>
        <color rgb="FF0000FF"/>
        <rFont val="Tahoma"/>
        <family val="0"/>
        <charset val="1"/>
      </rPr>
      <t xml:space="preserve">.</t>
    </r>
  </si>
  <si>
    <t xml:space="preserve">NA</t>
  </si>
  <si>
    <t xml:space="preserve">ไม่ต้องทำ</t>
  </si>
  <si>
    <r>
      <rPr>
        <b val="true"/>
        <sz val="9"/>
        <color rgb="FFFFFFFF"/>
        <rFont val="FreeSans"/>
        <family val="2"/>
      </rPr>
      <t xml:space="preserve">เข้าไซต์กับ กฟภ</t>
    </r>
    <r>
      <rPr>
        <b val="true"/>
        <sz val="9"/>
        <color rgb="FFFFFFFF"/>
        <rFont val="Tahoma"/>
        <family val="0"/>
        <charset val="1"/>
      </rPr>
      <t xml:space="preserve">. </t>
    </r>
    <r>
      <rPr>
        <b val="true"/>
        <sz val="9"/>
        <color rgb="FFFFFFFF"/>
        <rFont val="FreeSans"/>
        <family val="2"/>
      </rPr>
      <t xml:space="preserve">ได้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สัปดาห์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</si>
  <si>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สถานีที่ดูแล</t>
  </si>
  <si>
    <r>
      <rPr>
        <b val="true"/>
        <sz val="9"/>
        <color rgb="FFFFFFFF"/>
        <rFont val="FreeSans"/>
        <family val="2"/>
      </rPr>
      <t xml:space="preserve">ยังไม่ผ่าน 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</rPr>
      <t xml:space="preserve">ตรวจ</t>
    </r>
  </si>
  <si>
    <r>
      <rPr>
        <b val="true"/>
        <sz val="9"/>
        <color rgb="FFFFFFFF"/>
        <rFont val="FreeSans"/>
        <family val="2"/>
      </rPr>
      <t xml:space="preserve">ยังไม่ </t>
    </r>
    <r>
      <rPr>
        <b val="true"/>
        <sz val="9"/>
        <color rgb="FFFFFFFF"/>
        <rFont val="Tahoma"/>
        <family val="0"/>
        <charset val="1"/>
      </rPr>
      <t xml:space="preserve">COD</t>
    </r>
  </si>
  <si>
    <t xml:space="preserve">CAP_PEA</t>
  </si>
  <si>
    <r>
      <rPr>
        <sz val="10"/>
        <rFont val="FreeSans"/>
        <family val="2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เข้าตรวจได้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สถานี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สัปดาห์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เขต</t>
    </r>
    <r>
      <rPr>
        <sz val="10"/>
        <rFont val="Tahoma"/>
        <family val="0"/>
        <charset val="1"/>
      </rPr>
      <t xml:space="preserve">)</t>
    </r>
  </si>
  <si>
    <t xml:space="preserve">ใช้เมื่อเขตไม่มีในตารางรายเขต →</t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</si>
  <si>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.07</t>
    </r>
  </si>
  <si>
    <t xml:space="preserve">วันจักรี</t>
  </si>
  <si>
    <t xml:space="preserve">BL</t>
  </si>
  <si>
    <t xml:space="preserve">LAG_IEC</t>
  </si>
  <si>
    <r>
      <rPr>
        <sz val="10"/>
        <rFont val="FreeSans"/>
        <family val="2"/>
      </rPr>
      <t xml:space="preserve">หลัง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ตรวจ ถึงทดสอบ </t>
    </r>
    <r>
      <rPr>
        <sz val="10"/>
        <rFont val="Tahoma"/>
        <family val="0"/>
        <charset val="1"/>
      </rPr>
      <t xml:space="preserve">IEC 62446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</si>
  <si>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.08</t>
    </r>
  </si>
  <si>
    <t xml:space="preserve">สงกรานต์</t>
  </si>
  <si>
    <r>
      <rPr>
        <i val="true"/>
        <sz val="8"/>
        <color rgb="FF595959"/>
        <rFont val="FreeSans"/>
        <family val="2"/>
      </rPr>
      <t xml:space="preserve">เสร็จ</t>
    </r>
    <r>
      <rPr>
        <i val="true"/>
        <sz val="8"/>
        <color rgb="FF595959"/>
        <rFont val="Tahoma"/>
        <family val="0"/>
        <charset val="1"/>
      </rPr>
      <t xml:space="preserve">* = </t>
    </r>
    <r>
      <rPr>
        <i val="true"/>
        <sz val="8"/>
        <color rgb="FF595959"/>
        <rFont val="FreeSans"/>
        <family val="2"/>
      </rPr>
      <t xml:space="preserve">เสร็จแล้วแต่ไม่มีวันที่จริง</t>
    </r>
  </si>
  <si>
    <t xml:space="preserve">ENG_CAP</t>
  </si>
  <si>
    <r>
      <rPr>
        <sz val="10"/>
        <rFont val="FreeSans"/>
        <family val="2"/>
      </rPr>
      <t xml:space="preserve">วิศวกร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เข้าไซต์กับ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ได้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สถานี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สัปดาห์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คน</t>
    </r>
    <r>
      <rPr>
        <sz val="10"/>
        <rFont val="Tahoma"/>
        <family val="0"/>
        <charset val="1"/>
      </rPr>
      <t xml:space="preserve">)</t>
    </r>
  </si>
  <si>
    <t xml:space="preserve">ใช้เมื่อชื่อไม่มีในตารางวิศวกร →</t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</si>
  <si>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.09</t>
    </r>
  </si>
  <si>
    <t xml:space="preserve">LOOKAHEAD</t>
  </si>
  <si>
    <r>
      <rPr>
        <sz val="10"/>
        <rFont val="FreeSans"/>
        <family val="2"/>
      </rPr>
      <t xml:space="preserve">ชีตงานล่วงหน้า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แสดงกี่วัน</t>
    </r>
  </si>
  <si>
    <r>
      <rPr>
        <i val="true"/>
        <sz val="9"/>
        <color rgb="FF595959"/>
        <rFont val="FreeSans"/>
        <family val="2"/>
      </rPr>
      <t xml:space="preserve">ชีต ‘งาน </t>
    </r>
    <r>
      <rPr>
        <i val="true"/>
        <sz val="9"/>
        <color rgb="FF595959"/>
        <rFont val="Tahoma"/>
        <family val="0"/>
        <charset val="1"/>
      </rPr>
      <t xml:space="preserve">3 </t>
    </r>
    <r>
      <rPr>
        <i val="true"/>
        <sz val="9"/>
        <color rgb="FF595959"/>
        <rFont val="FreeSans"/>
        <family val="2"/>
      </rPr>
      <t xml:space="preserve">สัปดาห์ข้างหน้า’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</si>
  <si>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.10</t>
    </r>
  </si>
  <si>
    <t xml:space="preserve">LAG_HO</t>
  </si>
  <si>
    <r>
      <rPr>
        <sz val="10"/>
        <rFont val="FreeSans"/>
        <family val="2"/>
      </rPr>
      <t xml:space="preserve">หลังทดสอบ </t>
    </r>
    <r>
      <rPr>
        <sz val="10"/>
        <rFont val="Tahoma"/>
        <family val="0"/>
        <charset val="1"/>
      </rPr>
      <t xml:space="preserve">IEC </t>
    </r>
    <r>
      <rPr>
        <sz val="10"/>
        <rFont val="FreeSans"/>
        <family val="2"/>
      </rPr>
      <t xml:space="preserve">ถึงส่งเอกสารส่งมอบงวด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</si>
  <si>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ใช้เมื่อผู้รับเหมาไม่มีในตารางทีม →</t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</si>
  <si>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.11</t>
    </r>
  </si>
  <si>
    <t xml:space="preserve">ชดเชยวันแรงงาน</t>
  </si>
  <si>
    <t xml:space="preserve">LAG_GRID</t>
  </si>
  <si>
    <r>
      <rPr>
        <sz val="10"/>
        <rFont val="FreeSans"/>
        <family val="2"/>
      </rPr>
      <t xml:space="preserve">ยื่นขนานไฟ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พค</t>
    </r>
    <r>
      <rPr>
        <sz val="10"/>
        <rFont val="Tahoma"/>
        <family val="0"/>
        <charset val="1"/>
      </rPr>
      <t xml:space="preserve">.2 </t>
    </r>
    <r>
      <rPr>
        <sz val="10"/>
        <rFont val="FreeSans"/>
        <family val="2"/>
      </rPr>
      <t xml:space="preserve">ที่ยังไม่ยื่น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หลังติดตั้งหรือวันนี้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</si>
  <si>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.12</t>
    </r>
  </si>
  <si>
    <t xml:space="preserve">วันฉัตรมงคล</t>
  </si>
  <si>
    <t xml:space="preserve">REVIEW_WD</t>
  </si>
  <si>
    <r>
      <rPr>
        <sz val="10"/>
        <rFont val="FreeSans"/>
        <family val="2"/>
      </rPr>
      <t xml:space="preserve">ขนานไฟช่วงแรก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แจ้งผลพิจารณาแบบ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วันทำการ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</si>
  <si>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ระเบียบ กฟภ</t>
    </r>
    <r>
      <rPr>
        <i val="true"/>
        <sz val="9"/>
        <color rgb="FF595959"/>
        <rFont val="Tahoma"/>
        <family val="0"/>
        <charset val="1"/>
      </rPr>
      <t xml:space="preserve">.: </t>
    </r>
    <r>
      <rPr>
        <i val="true"/>
        <sz val="9"/>
        <color rgb="FF595959"/>
        <rFont val="FreeSans"/>
        <family val="2"/>
      </rPr>
      <t xml:space="preserve">ไม่เกิน </t>
    </r>
    <r>
      <rPr>
        <i val="true"/>
        <sz val="9"/>
        <color rgb="FF595959"/>
        <rFont val="Tahoma"/>
        <family val="0"/>
        <charset val="1"/>
      </rPr>
      <t xml:space="preserve">15 </t>
    </r>
    <r>
      <rPr>
        <i val="true"/>
        <sz val="9"/>
        <color rgb="FF595959"/>
        <rFont val="FreeSans"/>
        <family val="2"/>
      </rPr>
      <t xml:space="preserve">วันทำการ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นับจากยื่นครั้งล่าสุด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</si>
  <si>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.13</t>
    </r>
  </si>
  <si>
    <r>
      <rPr>
        <sz val="9"/>
        <color rgb="FF0000FF"/>
        <rFont val="FreeSans"/>
        <family val="2"/>
      </rPr>
      <t xml:space="preserve">วันวิสาขบูชา – ตรวจสอบประกาศ ครม</t>
    </r>
    <r>
      <rPr>
        <sz val="9"/>
        <color rgb="FF0000FF"/>
        <rFont val="Tahoma"/>
        <family val="0"/>
        <charset val="1"/>
      </rPr>
      <t xml:space="preserve">.</t>
    </r>
  </si>
  <si>
    <t xml:space="preserve">REVIEW_PK2</t>
  </si>
  <si>
    <r>
      <rPr>
        <sz val="10"/>
        <rFont val="FreeSans"/>
        <family val="2"/>
      </rPr>
      <t xml:space="preserve">พิจารณา พค</t>
    </r>
    <r>
      <rPr>
        <sz val="10"/>
        <rFont val="Tahoma"/>
        <family val="0"/>
        <charset val="1"/>
      </rPr>
      <t xml:space="preserve">.2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</si>
  <si>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เฉพาะสถานี ≥ </t>
    </r>
    <r>
      <rPr>
        <i val="true"/>
        <sz val="9"/>
        <color rgb="FF595959"/>
        <rFont val="Tahoma"/>
        <family val="0"/>
        <charset val="1"/>
      </rPr>
      <t xml:space="preserve">200 kVA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</si>
  <si>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.14</t>
    </r>
  </si>
  <si>
    <t xml:space="preserve">วันเฉลิมฯ พระราชินี</t>
  </si>
  <si>
    <t xml:space="preserve">FEE_DAYS</t>
  </si>
  <si>
    <r>
      <rPr>
        <sz val="10"/>
        <rFont val="FreeSans"/>
        <family val="2"/>
      </rPr>
      <t xml:space="preserve">หลัง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อนุมัติ ถึงชำระค่าธรรมเนียม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</rPr>
      <t xml:space="preserve">ทำสัญญา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</si>
  <si>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.15</t>
    </r>
  </si>
  <si>
    <t xml:space="preserve">LAG_INSREQ</t>
  </si>
  <si>
    <r>
      <rPr>
        <sz val="10"/>
        <rFont val="FreeSans"/>
        <family val="2"/>
      </rPr>
      <t xml:space="preserve">หลังเงื่อนไขครบ ถึงยื่นขอตรวจระบบ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</si>
  <si>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ทดสอบ </t>
    </r>
    <r>
      <rPr>
        <i val="true"/>
        <sz val="9"/>
        <color rgb="FF595959"/>
        <rFont val="Tahoma"/>
        <family val="0"/>
        <charset val="1"/>
      </rPr>
      <t xml:space="preserve">IEC + </t>
    </r>
    <r>
      <rPr>
        <i val="true"/>
        <sz val="9"/>
        <color rgb="FF595959"/>
        <rFont val="FreeSans"/>
        <family val="2"/>
      </rPr>
      <t xml:space="preserve">ตรวจรับ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</rPr>
      <t xml:space="preserve">ชำระค่าธรรมเนียม </t>
    </r>
    <r>
      <rPr>
        <i val="true"/>
        <sz val="9"/>
        <color rgb="FF595959"/>
        <rFont val="Tahoma"/>
        <family val="0"/>
        <charset val="1"/>
      </rPr>
      <t xml:space="preserve">[+ </t>
    </r>
    <r>
      <rPr>
        <i val="true"/>
        <sz val="9"/>
        <color rgb="FF595959"/>
        <rFont val="FreeSans"/>
        <family val="2"/>
      </rPr>
      <t xml:space="preserve">พค</t>
    </r>
    <r>
      <rPr>
        <i val="true"/>
        <sz val="9"/>
        <color rgb="FF595959"/>
        <rFont val="Tahoma"/>
        <family val="0"/>
        <charset val="1"/>
      </rPr>
      <t xml:space="preserve">.2] </t>
    </r>
    <r>
      <rPr>
        <i val="true"/>
        <sz val="9"/>
        <color rgb="FF595959"/>
        <rFont val="FreeSans"/>
        <family val="2"/>
      </rPr>
      <t xml:space="preserve">ครบก่อน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</si>
  <si>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.16</t>
    </r>
  </si>
  <si>
    <t xml:space="preserve">INSPECT_WD</t>
  </si>
  <si>
    <r>
      <rPr>
        <sz val="10"/>
        <rFont val="FreeSans"/>
        <family val="2"/>
      </rPr>
      <t xml:space="preserve">ขนานไฟช่วงท้าย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ตรวจระบบ ถึงขนานไฟ </t>
    </r>
    <r>
      <rPr>
        <sz val="10"/>
        <rFont val="Tahoma"/>
        <family val="0"/>
        <charset val="1"/>
      </rPr>
      <t xml:space="preserve">COD (</t>
    </r>
    <r>
      <rPr>
        <sz val="10"/>
        <rFont val="FreeSans"/>
        <family val="2"/>
      </rPr>
      <t xml:space="preserve">วันทำการ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</si>
  <si>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ระเบียบ กฟภ</t>
    </r>
    <r>
      <rPr>
        <i val="true"/>
        <sz val="9"/>
        <color rgb="FF595959"/>
        <rFont val="Tahoma"/>
        <family val="0"/>
        <charset val="1"/>
      </rPr>
      <t xml:space="preserve">.: </t>
    </r>
    <r>
      <rPr>
        <i val="true"/>
        <sz val="9"/>
        <color rgb="FF595959"/>
        <rFont val="FreeSans"/>
        <family val="2"/>
      </rPr>
      <t xml:space="preserve">ไม่เกิน </t>
    </r>
    <r>
      <rPr>
        <i val="true"/>
        <sz val="9"/>
        <color rgb="FF595959"/>
        <rFont val="Tahoma"/>
        <family val="0"/>
        <charset val="1"/>
      </rPr>
      <t xml:space="preserve">30 </t>
    </r>
    <r>
      <rPr>
        <i val="true"/>
        <sz val="9"/>
        <color rgb="FF595959"/>
        <rFont val="FreeSans"/>
        <family val="2"/>
      </rPr>
      <t xml:space="preserve">วันทำการ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ค่าสูงสุด – ใส่ค่าที่เจอจริงได้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</si>
  <si>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.17</t>
    </r>
  </si>
  <si>
    <t xml:space="preserve">MON_DAYS</t>
  </si>
  <si>
    <r>
      <rPr>
        <sz val="10"/>
        <rFont val="FreeSans"/>
        <family val="2"/>
      </rPr>
      <t xml:space="preserve">หลัง </t>
    </r>
    <r>
      <rPr>
        <sz val="10"/>
        <rFont val="Tahoma"/>
        <family val="0"/>
        <charset val="1"/>
      </rPr>
      <t xml:space="preserve">First Sync </t>
    </r>
    <r>
      <rPr>
        <sz val="10"/>
        <rFont val="FreeSans"/>
        <family val="2"/>
      </rPr>
      <t xml:space="preserve">ถึง </t>
    </r>
    <r>
      <rPr>
        <sz val="10"/>
        <rFont val="Tahoma"/>
        <family val="0"/>
        <charset val="1"/>
      </rPr>
      <t xml:space="preserve">Monitoring </t>
    </r>
    <r>
      <rPr>
        <sz val="10"/>
        <rFont val="FreeSans"/>
        <family val="2"/>
      </rPr>
      <t xml:space="preserve">ออนระบบ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</si>
  <si>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ใช้ในแผนรายโครงการ</t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</si>
  <si>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.18</t>
    </r>
  </si>
  <si>
    <t xml:space="preserve">PAC_DAYS</t>
  </si>
  <si>
    <r>
      <rPr>
        <sz val="10"/>
        <rFont val="FreeSans"/>
        <family val="2"/>
      </rPr>
      <t xml:space="preserve">ส่งมอบงานงวดสุดท้าย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ปิดโครงการ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</si>
  <si>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.19</t>
    </r>
  </si>
  <si>
    <r>
      <rPr>
        <b val="true"/>
        <sz val="10"/>
        <rFont val="FreeSans"/>
        <family val="2"/>
      </rPr>
      <t xml:space="preserve">ตย</t>
    </r>
    <r>
      <rPr>
        <b val="true"/>
        <sz val="10"/>
        <rFont val="Tahoma"/>
        <family val="0"/>
        <charset val="1"/>
      </rPr>
      <t xml:space="preserve">.20</t>
    </r>
  </si>
  <si>
    <r>
      <rPr>
        <b val="true"/>
        <sz val="11"/>
        <rFont val="FreeSans"/>
        <family val="2"/>
      </rPr>
      <t xml:space="preserve">น้ำหนัก </t>
    </r>
    <r>
      <rPr>
        <b val="true"/>
        <sz val="11"/>
        <rFont val="Tahoma"/>
        <family val="0"/>
        <charset val="1"/>
      </rPr>
      <t xml:space="preserve">milestone (</t>
    </r>
    <r>
      <rPr>
        <b val="true"/>
        <sz val="11"/>
        <rFont val="FreeSans"/>
        <family val="2"/>
      </rPr>
      <t xml:space="preserve">ใช้ใน </t>
    </r>
    <r>
      <rPr>
        <b val="true"/>
        <sz val="11"/>
        <rFont val="Tahoma"/>
        <family val="0"/>
        <charset val="1"/>
      </rPr>
      <t xml:space="preserve">S-Curve)</t>
    </r>
  </si>
  <si>
    <t xml:space="preserve">W_INST</t>
  </si>
  <si>
    <r>
      <rPr>
        <sz val="10"/>
        <rFont val="FreeSans"/>
        <family val="2"/>
      </rPr>
      <t xml:space="preserve">ติดตั้ง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เตรียมงาน </t>
    </r>
    <r>
      <rPr>
        <sz val="10"/>
        <rFont val="Tahoma"/>
        <family val="0"/>
        <charset val="1"/>
      </rPr>
      <t xml:space="preserve">+ Part 2)</t>
    </r>
  </si>
  <si>
    <t xml:space="preserve">W_IEC</t>
  </si>
  <si>
    <r>
      <rPr>
        <sz val="10"/>
        <rFont val="FreeSans"/>
        <family val="2"/>
      </rPr>
      <t xml:space="preserve">ทดสอบ </t>
    </r>
    <r>
      <rPr>
        <sz val="10"/>
        <rFont val="Tahoma"/>
        <family val="0"/>
        <charset val="1"/>
      </rPr>
      <t xml:space="preserve">IEC 62446</t>
    </r>
  </si>
  <si>
    <t xml:space="preserve">W_HO</t>
  </si>
  <si>
    <t xml:space="preserve">ส่งเอกสารส่งมอบงวด</t>
  </si>
  <si>
    <t xml:space="preserve">W_GRID</t>
  </si>
  <si>
    <t xml:space="preserve">W_SYNC</t>
  </si>
  <si>
    <t xml:space="preserve">กติกาการวางแผน</t>
  </si>
  <si>
    <r>
      <rPr>
        <sz val="10"/>
        <rFont val="FreeSans"/>
        <family val="2"/>
      </rPr>
      <t xml:space="preserve">• กรอกความคืบหน้าที่ชีต ‘อัปเดตรายสัปดาห์’ ที่เดียว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วันที่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วันจริง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วันนัด</t>
    </r>
    <r>
      <rPr>
        <sz val="10"/>
        <rFont val="Tahoma"/>
        <family val="0"/>
        <charset val="1"/>
      </rPr>
      <t xml:space="preserve">, Y = </t>
    </r>
    <r>
      <rPr>
        <sz val="10"/>
        <rFont val="FreeSans"/>
        <family val="2"/>
      </rPr>
      <t xml:space="preserve">เสร็จแต่ไม่มีวันที่</t>
    </r>
    <r>
      <rPr>
        <sz val="10"/>
        <rFont val="Tahoma"/>
        <family val="0"/>
        <charset val="1"/>
      </rPr>
      <t xml:space="preserve">) — Master Plan </t>
    </r>
    <r>
      <rPr>
        <sz val="10"/>
        <rFont val="FreeSans"/>
        <family val="2"/>
      </rPr>
      <t xml:space="preserve">และแผนรายโครงการดึงไปเอง</t>
    </r>
  </si>
  <si>
    <r>
      <rPr>
        <sz val="10"/>
        <rFont val="FreeSans"/>
        <family val="2"/>
      </rPr>
      <t xml:space="preserve">• วันที่ ≤ วันที่ข้อมูล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เสร็จแล้ว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วันที่ </t>
    </r>
    <r>
      <rPr>
        <sz val="10"/>
        <rFont val="Tahoma"/>
        <family val="0"/>
        <charset val="1"/>
      </rPr>
      <t xml:space="preserve">&gt; </t>
    </r>
    <r>
      <rPr>
        <sz val="10"/>
        <rFont val="FreeSans"/>
        <family val="2"/>
      </rPr>
      <t xml:space="preserve">วันที่ข้อมูล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วันนัด</t>
    </r>
  </si>
  <si>
    <r>
      <rPr>
        <sz val="10"/>
        <rFont val="FreeSans"/>
        <family val="2"/>
      </rPr>
      <t xml:space="preserve">• วันคาดการณ์ทุกตัวเลื่อนไปวันทำงานถัดไป ถ้าตกเสาร์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อาทิตย์หรือวันหยุดในตาราง →</t>
    </r>
  </si>
  <si>
    <r>
      <rPr>
        <sz val="11"/>
        <rFont val="FreeSans"/>
        <family val="2"/>
      </rPr>
      <t xml:space="preserve">• ติดตั้ง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คิวแยกผู้รับเหมา เรียงตามวันกำหนดรอบ สะสม </t>
    </r>
    <r>
      <rPr>
        <sz val="11"/>
        <rFont val="Tahoma"/>
        <family val="0"/>
        <charset val="1"/>
      </rPr>
      <t xml:space="preserve">kWp </t>
    </r>
    <r>
      <rPr>
        <sz val="11"/>
        <rFont val="FreeSans"/>
        <family val="2"/>
      </rPr>
      <t xml:space="preserve">แล้วหารด้วยกำลังติดตั้งของผู้รับเหมา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ชุด </t>
    </r>
    <r>
      <rPr>
        <sz val="11"/>
        <rFont val="Tahoma"/>
        <family val="0"/>
        <charset val="1"/>
      </rPr>
      <t xml:space="preserve">× kWp/</t>
    </r>
    <r>
      <rPr>
        <sz val="11"/>
        <rFont val="FreeSans"/>
        <family val="2"/>
      </rPr>
      <t xml:space="preserve">ชุด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สัปดาห์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</si>
  <si>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</rPr>
      <t xml:space="preserve">• กฟภ</t>
    </r>
    <r>
      <rPr>
        <sz val="11"/>
        <rFont val="Tahoma"/>
        <family val="0"/>
        <charset val="1"/>
      </rPr>
      <t xml:space="preserve">. </t>
    </r>
    <r>
      <rPr>
        <sz val="11"/>
        <rFont val="FreeSans"/>
        <family val="2"/>
      </rPr>
      <t xml:space="preserve">เข้าตรวจ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วันเร็วสุด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ติดตั้ง </t>
    </r>
    <r>
      <rPr>
        <sz val="11"/>
        <rFont val="Tahoma"/>
        <family val="0"/>
        <charset val="1"/>
      </rPr>
      <t xml:space="preserve">+ LAG_PEA </t>
    </r>
    <r>
      <rPr>
        <sz val="11"/>
        <rFont val="FreeSans"/>
        <family val="2"/>
      </rPr>
      <t xml:space="preserve">แล้วติดคิว </t>
    </r>
    <r>
      <rPr>
        <sz val="11"/>
        <rFont val="Tahoma"/>
        <family val="0"/>
        <charset val="1"/>
      </rPr>
      <t xml:space="preserve">2 </t>
    </r>
    <r>
      <rPr>
        <sz val="11"/>
        <rFont val="FreeSans"/>
        <family val="2"/>
      </rPr>
      <t xml:space="preserve">ชั้น — คิวเขต กฟภ</t>
    </r>
    <r>
      <rPr>
        <sz val="11"/>
        <rFont val="Tahoma"/>
        <family val="0"/>
        <charset val="1"/>
      </rPr>
      <t xml:space="preserve">. </t>
    </r>
    <r>
      <rPr>
        <sz val="11"/>
        <rFont val="FreeSans"/>
        <family val="2"/>
      </rPr>
      <t xml:space="preserve">และคิววิศวกรผู้ดูแล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ใช้วันที่ช้ากว่า</t>
    </r>
    <r>
      <rPr>
        <sz val="11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</si>
  <si>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• IEC + </t>
    </r>
    <r>
      <rPr>
        <sz val="10"/>
        <rFont val="FreeSans"/>
        <family val="2"/>
      </rPr>
      <t xml:space="preserve">รายงาน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ผู้รับเหมาทำ</t>
    </r>
    <r>
      <rPr>
        <sz val="10"/>
        <rFont val="Tahoma"/>
        <family val="0"/>
        <charset val="1"/>
      </rPr>
      <t xml:space="preserve">): </t>
    </r>
    <r>
      <rPr>
        <sz val="10"/>
        <rFont val="FreeSans"/>
        <family val="2"/>
      </rPr>
      <t xml:space="preserve">วันเร็วสุด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</rPr>
      <t xml:space="preserve">ตรวจ </t>
    </r>
    <r>
      <rPr>
        <sz val="10"/>
        <rFont val="Tahoma"/>
        <family val="0"/>
        <charset val="1"/>
      </rPr>
      <t xml:space="preserve">+ LAG_IEC </t>
    </r>
    <r>
      <rPr>
        <sz val="10"/>
        <rFont val="FreeSans"/>
        <family val="2"/>
      </rPr>
      <t xml:space="preserve">แล้วคิวตามชุดทดสอบของผู้รับเหมา</t>
    </r>
    <r>
      <rPr>
        <sz val="10"/>
        <rFont val="Tahoma"/>
        <family val="0"/>
        <charset val="1"/>
      </rPr>
      <t xml:space="preserve">; </t>
    </r>
    <r>
      <rPr>
        <sz val="10"/>
        <rFont val="FreeSans"/>
        <family val="2"/>
      </rPr>
      <t xml:space="preserve">ส่งเอกสาร </t>
    </r>
    <r>
      <rPr>
        <sz val="10"/>
        <rFont val="Tahoma"/>
        <family val="0"/>
        <charset val="1"/>
      </rPr>
      <t xml:space="preserve">= IEC + </t>
    </r>
    <r>
      <rPr>
        <sz val="10"/>
        <rFont val="FreeSans"/>
        <family val="2"/>
      </rPr>
      <t xml:space="preserve">วันทำรายงานของผู้รับเหมา</t>
    </r>
  </si>
  <si>
    <r>
      <rPr>
        <sz val="11"/>
        <rFont val="FreeSans"/>
        <family val="2"/>
      </rPr>
      <t xml:space="preserve">• ขนานไฟ </t>
    </r>
    <r>
      <rPr>
        <sz val="11"/>
        <rFont val="Tahoma"/>
        <family val="0"/>
        <charset val="1"/>
      </rPr>
      <t xml:space="preserve">2 </t>
    </r>
    <r>
      <rPr>
        <sz val="11"/>
        <rFont val="FreeSans"/>
        <family val="2"/>
      </rPr>
      <t xml:space="preserve">ช่วง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ตามลำดับงานแอป </t>
    </r>
    <r>
      <rPr>
        <sz val="11"/>
        <rFont val="Tahoma"/>
        <family val="0"/>
        <charset val="1"/>
      </rPr>
      <t xml:space="preserve">TCRoof </t>
    </r>
    <r>
      <rPr>
        <sz val="11"/>
        <rFont val="FreeSans"/>
        <family val="2"/>
      </rPr>
      <t xml:space="preserve">โครงการ </t>
    </r>
    <r>
      <rPr>
        <sz val="11"/>
        <rFont val="Tahoma"/>
        <family val="0"/>
        <charset val="1"/>
      </rPr>
      <t xml:space="preserve">PWA): </t>
    </r>
    <r>
      <rPr>
        <sz val="11"/>
        <rFont val="FreeSans"/>
        <family val="2"/>
      </rPr>
      <t xml:space="preserve">ช่วงแรก ยื่น </t>
    </r>
    <r>
      <rPr>
        <sz val="11"/>
        <rFont val="Tahoma"/>
        <family val="0"/>
        <charset val="1"/>
      </rPr>
      <t xml:space="preserve">PPIM → </t>
    </r>
    <r>
      <rPr>
        <sz val="11"/>
        <rFont val="FreeSans"/>
        <family val="2"/>
      </rPr>
      <t xml:space="preserve">ผลพิจารณาแบบ ≤ </t>
    </r>
    <r>
      <rPr>
        <sz val="11"/>
        <rFont val="Tahoma"/>
        <family val="0"/>
        <charset val="1"/>
      </rPr>
      <t xml:space="preserve">REVIEW_WD </t>
    </r>
    <r>
      <rPr>
        <sz val="11"/>
        <rFont val="FreeSans"/>
        <family val="2"/>
      </rPr>
      <t xml:space="preserve">วันทำการ → ชำระค่าธรรมเนียม </t>
    </r>
    <r>
      <rPr>
        <sz val="11"/>
        <rFont val="Tahoma"/>
        <family val="0"/>
        <charset val="1"/>
      </rPr>
      <t xml:space="preserve">(FEE_DAYS)</t>
    </r>
  </si>
  <si>
    <r>
      <rPr>
        <sz val="10"/>
        <rFont val="FreeSans"/>
        <family val="2"/>
      </rPr>
      <t xml:space="preserve">• ช่วงท้าย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ขอตรวจระบบ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หลังทดสอบ </t>
    </r>
    <r>
      <rPr>
        <sz val="10"/>
        <rFont val="Tahoma"/>
        <family val="0"/>
        <charset val="1"/>
      </rPr>
      <t xml:space="preserve">IEC (3.1), </t>
    </r>
    <r>
      <rPr>
        <sz val="10"/>
        <rFont val="FreeSans"/>
        <family val="2"/>
      </rPr>
      <t xml:space="preserve">ตรวจรับ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ชำระค่าธรรมเนียม และ พค</t>
    </r>
    <r>
      <rPr>
        <sz val="10"/>
        <rFont val="Tahoma"/>
        <family val="0"/>
        <charset val="1"/>
      </rPr>
      <t xml:space="preserve">.2 </t>
    </r>
    <r>
      <rPr>
        <sz val="10"/>
        <rFont val="FreeSans"/>
        <family val="2"/>
      </rPr>
      <t xml:space="preserve">ครบ </t>
    </r>
    <r>
      <rPr>
        <sz val="10"/>
        <rFont val="Tahoma"/>
        <family val="0"/>
        <charset val="1"/>
      </rPr>
      <t xml:space="preserve">+ LAG_INSREQ → COD = </t>
    </r>
    <r>
      <rPr>
        <sz val="10"/>
        <rFont val="FreeSans"/>
        <family val="2"/>
      </rPr>
      <t xml:space="preserve">ขอตรวจ </t>
    </r>
    <r>
      <rPr>
        <sz val="10"/>
        <rFont val="Tahoma"/>
        <family val="0"/>
        <charset val="1"/>
      </rPr>
      <t xml:space="preserve">+ INSPECT_WD </t>
    </r>
    <r>
      <rPr>
        <sz val="10"/>
        <rFont val="FreeSans"/>
        <family val="2"/>
      </rPr>
      <t xml:space="preserve">วันทำการ</t>
    </r>
  </si>
  <si>
    <r>
      <rPr>
        <b val="true"/>
        <sz val="11"/>
        <rFont val="Tahoma"/>
        <family val="0"/>
        <charset val="1"/>
      </rPr>
      <t xml:space="preserve">Baseline (</t>
    </r>
    <r>
      <rPr>
        <b val="true"/>
        <sz val="11"/>
        <rFont val="FreeSans"/>
        <family val="2"/>
      </rPr>
      <t xml:space="preserve">ล็อกค่า ณ </t>
    </r>
    <r>
      <rPr>
        <b val="true"/>
        <sz val="11"/>
        <rFont val="Tahoma"/>
        <family val="0"/>
        <charset val="1"/>
      </rPr>
      <t xml:space="preserve">19 </t>
    </r>
    <r>
      <rPr>
        <b val="true"/>
        <sz val="11"/>
        <rFont val="FreeSans"/>
        <family val="2"/>
      </rPr>
      <t xml:space="preserve">ต</t>
    </r>
    <r>
      <rPr>
        <b val="true"/>
        <sz val="11"/>
        <rFont val="Tahoma"/>
        <family val="0"/>
        <charset val="1"/>
      </rPr>
      <t xml:space="preserve">.</t>
    </r>
    <r>
      <rPr>
        <b val="true"/>
        <sz val="11"/>
        <rFont val="FreeSans"/>
        <family val="2"/>
      </rPr>
      <t xml:space="preserve">ค</t>
    </r>
    <r>
      <rPr>
        <b val="true"/>
        <sz val="11"/>
        <rFont val="Tahoma"/>
        <family val="0"/>
        <charset val="1"/>
      </rPr>
      <t xml:space="preserve">. 2569)</t>
    </r>
  </si>
  <si>
    <r>
      <rPr>
        <sz val="10"/>
        <rFont val="Tahoma"/>
        <family val="0"/>
        <charset val="1"/>
      </rPr>
      <t xml:space="preserve">• Baseline </t>
    </r>
    <r>
      <rPr>
        <sz val="10"/>
        <rFont val="FreeSans"/>
        <family val="2"/>
      </rPr>
      <t xml:space="preserve">ทุกกิจกรรมคำนวณจากวันกำหนดรอบส่งมอบ </t>
    </r>
    <r>
      <rPr>
        <sz val="10"/>
        <rFont val="Tahoma"/>
        <family val="0"/>
        <charset val="1"/>
      </rPr>
      <t xml:space="preserve">(Master Plan </t>
    </r>
    <r>
      <rPr>
        <sz val="10"/>
        <rFont val="FreeSans"/>
        <family val="2"/>
      </rPr>
      <t xml:space="preserve">ช่องเหลือง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แก้ </t>
    </r>
    <r>
      <rPr>
        <sz val="10"/>
        <rFont val="Tahoma"/>
        <family val="0"/>
        <charset val="1"/>
      </rPr>
      <t xml:space="preserve">= Re-baseline </t>
    </r>
    <r>
      <rPr>
        <sz val="10"/>
        <rFont val="FreeSans"/>
        <family val="2"/>
      </rPr>
      <t xml:space="preserve">ต้องบันทึก </t>
    </r>
    <r>
      <rPr>
        <sz val="10"/>
        <rFont val="Tahoma"/>
        <family val="0"/>
        <charset val="1"/>
      </rPr>
      <t xml:space="preserve">CR): </t>
    </r>
    <r>
      <rPr>
        <sz val="10"/>
        <rFont val="FreeSans"/>
        <family val="2"/>
      </rPr>
      <t xml:space="preserve">ดับไฟ </t>
    </r>
    <r>
      <rPr>
        <sz val="10"/>
        <rFont val="Tahoma"/>
        <family val="0"/>
        <charset val="1"/>
      </rPr>
      <t xml:space="preserve">R−13, IEC R−10, </t>
    </r>
    <r>
      <rPr>
        <sz val="10"/>
        <rFont val="FreeSans"/>
        <family val="2"/>
      </rPr>
      <t xml:space="preserve">ยื่นขนานไฟ </t>
    </r>
    <r>
      <rPr>
        <sz val="10"/>
        <rFont val="Tahoma"/>
        <family val="0"/>
        <charset val="1"/>
      </rPr>
      <t xml:space="preserve">R−12, </t>
    </r>
    <r>
      <rPr>
        <sz val="10"/>
        <rFont val="FreeSans"/>
        <family val="2"/>
      </rPr>
      <t xml:space="preserve">ส่งมอบงวด </t>
    </r>
    <r>
      <rPr>
        <sz val="10"/>
        <rFont val="Tahoma"/>
        <family val="0"/>
        <charset val="1"/>
      </rPr>
      <t xml:space="preserve">R, COD R+33</t>
    </r>
  </si>
  <si>
    <r>
      <rPr>
        <sz val="10"/>
        <rFont val="FreeSans"/>
        <family val="2"/>
      </rPr>
      <t xml:space="preserve">• ความล่าช้า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ตัว ใช้นิยามเดียวกันทุกชีต</t>
    </r>
    <r>
      <rPr>
        <sz val="10"/>
        <rFont val="Tahoma"/>
        <family val="0"/>
        <charset val="1"/>
      </rPr>
      <t xml:space="preserve">: ‘</t>
    </r>
    <r>
      <rPr>
        <sz val="10"/>
        <rFont val="FreeSans"/>
        <family val="2"/>
      </rPr>
      <t xml:space="preserve">ส่งมอบงวดช้า’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</rPr>
      <t xml:space="preserve">ส่งมอบงวดคาดการณ์ − วันกำหนดรอบ</t>
    </r>
    <r>
      <rPr>
        <sz val="10"/>
        <rFont val="Tahoma"/>
        <family val="0"/>
        <charset val="1"/>
      </rPr>
      <t xml:space="preserve">, ‘COD </t>
    </r>
    <r>
      <rPr>
        <sz val="10"/>
        <rFont val="FreeSans"/>
        <family val="2"/>
      </rPr>
      <t xml:space="preserve">ช้า’ </t>
    </r>
    <r>
      <rPr>
        <sz val="10"/>
        <rFont val="Tahoma"/>
        <family val="0"/>
        <charset val="1"/>
      </rPr>
      <t xml:space="preserve">= COD </t>
    </r>
    <r>
      <rPr>
        <sz val="10"/>
        <rFont val="FreeSans"/>
        <family val="2"/>
      </rPr>
      <t xml:space="preserve">คาดการณ์ − </t>
    </r>
    <r>
      <rPr>
        <sz val="10"/>
        <rFont val="Tahoma"/>
        <family val="0"/>
        <charset val="1"/>
      </rPr>
      <t xml:space="preserve">COD Baseline</t>
    </r>
  </si>
  <si>
    <r>
      <rPr>
        <b val="true"/>
        <sz val="11"/>
        <rFont val="Tahoma"/>
        <family val="0"/>
        <charset val="1"/>
      </rPr>
      <t xml:space="preserve">% </t>
    </r>
    <r>
      <rPr>
        <b val="true"/>
        <sz val="11"/>
        <rFont val="FreeSans"/>
        <family val="2"/>
      </rPr>
      <t xml:space="preserve">งาน และ </t>
    </r>
    <r>
      <rPr>
        <b val="true"/>
        <sz val="11"/>
        <rFont val="Tahoma"/>
        <family val="0"/>
        <charset val="1"/>
      </rPr>
      <t xml:space="preserve">Milestone</t>
    </r>
  </si>
  <si>
    <r>
      <rPr>
        <sz val="11"/>
        <rFont val="Tahoma"/>
        <family val="0"/>
        <charset val="1"/>
      </rPr>
      <t xml:space="preserve">• % </t>
    </r>
    <r>
      <rPr>
        <sz val="11"/>
        <rFont val="FreeSans"/>
        <family val="2"/>
      </rPr>
      <t xml:space="preserve">งาน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แผนรายโครงการ</t>
    </r>
    <r>
      <rPr>
        <sz val="11"/>
        <rFont val="Tahoma"/>
        <family val="0"/>
        <charset val="1"/>
      </rPr>
      <t xml:space="preserve">) = </t>
    </r>
    <r>
      <rPr>
        <sz val="11"/>
        <rFont val="FreeSans"/>
        <family val="2"/>
      </rPr>
      <t xml:space="preserve">น้ำหนักตามแผนงาน </t>
    </r>
    <r>
      <rPr>
        <sz val="11"/>
        <rFont val="Tahoma"/>
        <family val="0"/>
        <charset val="1"/>
      </rPr>
      <t xml:space="preserve">MP / </t>
    </r>
    <r>
      <rPr>
        <sz val="11"/>
        <rFont val="FreeSans"/>
        <family val="2"/>
      </rPr>
      <t xml:space="preserve">แอป </t>
    </r>
    <r>
      <rPr>
        <sz val="11"/>
        <rFont val="Tahoma"/>
        <family val="0"/>
        <charset val="1"/>
      </rPr>
      <t xml:space="preserve">TCRoof: Part PERMIT 5 (1.1–1.6) + Part </t>
    </r>
    <r>
      <rPr>
        <sz val="11"/>
        <rFont val="FreeSans"/>
        <family val="2"/>
      </rPr>
      <t xml:space="preserve">ติดตั้ง </t>
    </r>
    <r>
      <rPr>
        <sz val="11"/>
        <rFont val="Tahoma"/>
        <family val="0"/>
        <charset val="1"/>
      </rPr>
      <t xml:space="preserve">90 (2.1–2.9) + Part </t>
    </r>
    <r>
      <rPr>
        <sz val="11"/>
        <rFont val="FreeSans"/>
        <family val="2"/>
      </rPr>
      <t xml:space="preserve">ทดสอบ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</rPr>
      <t xml:space="preserve">ส่งมอบ </t>
    </r>
    <r>
      <rPr>
        <sz val="11"/>
        <rFont val="Tahoma"/>
        <family val="0"/>
        <charset val="1"/>
      </rPr>
      <t xml:space="preserve">5 (3.1–3.2)</t>
    </r>
  </si>
  <si>
    <r>
      <rPr>
        <sz val="11"/>
        <rFont val="FreeSans"/>
        <family val="2"/>
      </rPr>
      <t xml:space="preserve">• งานติดตั้งมีน้ำหนักมาก </t>
    </r>
    <r>
      <rPr>
        <sz val="11"/>
        <rFont val="Tahoma"/>
        <family val="0"/>
        <charset val="1"/>
      </rPr>
      <t xml:space="preserve">% </t>
    </r>
    <r>
      <rPr>
        <sz val="11"/>
        <rFont val="FreeSans"/>
        <family val="2"/>
      </rPr>
      <t xml:space="preserve">จึงสูงแม้ยังไม่ </t>
    </r>
    <r>
      <rPr>
        <sz val="11"/>
        <rFont val="Tahoma"/>
        <family val="0"/>
        <charset val="1"/>
      </rPr>
      <t xml:space="preserve">COD — </t>
    </r>
    <r>
      <rPr>
        <sz val="11"/>
        <rFont val="FreeSans"/>
        <family val="2"/>
      </rPr>
      <t xml:space="preserve">ให้ดูคู่กับ ‘</t>
    </r>
    <r>
      <rPr>
        <sz val="11"/>
        <rFont val="Tahoma"/>
        <family val="0"/>
        <charset val="1"/>
      </rPr>
      <t xml:space="preserve">Milestone </t>
    </r>
    <r>
      <rPr>
        <sz val="11"/>
        <rFont val="FreeSans"/>
        <family val="2"/>
      </rPr>
      <t xml:space="preserve">เสร็จ’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ติดตั้ง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กฟภ</t>
    </r>
    <r>
      <rPr>
        <sz val="11"/>
        <rFont val="Tahoma"/>
        <family val="0"/>
        <charset val="1"/>
      </rPr>
      <t xml:space="preserve">.</t>
    </r>
    <r>
      <rPr>
        <sz val="11"/>
        <rFont val="FreeSans"/>
        <family val="2"/>
      </rPr>
      <t xml:space="preserve">ตรวจ</t>
    </r>
    <r>
      <rPr>
        <sz val="11"/>
        <rFont val="Tahoma"/>
        <family val="0"/>
        <charset val="1"/>
      </rPr>
      <t xml:space="preserve">, IEC, </t>
    </r>
    <r>
      <rPr>
        <sz val="11"/>
        <rFont val="FreeSans"/>
        <family val="2"/>
      </rPr>
      <t xml:space="preserve">ส่งมอบ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ยื่นขนานไฟ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ชำระค่าธรรมเนียม</t>
    </r>
    <r>
      <rPr>
        <sz val="11"/>
        <rFont val="Tahoma"/>
        <family val="0"/>
        <charset val="1"/>
      </rPr>
      <t xml:space="preserve">, [</t>
    </r>
    <r>
      <rPr>
        <sz val="11"/>
        <rFont val="FreeSans"/>
        <family val="2"/>
      </rPr>
      <t xml:space="preserve">พค</t>
    </r>
    <r>
      <rPr>
        <sz val="11"/>
        <rFont val="Tahoma"/>
        <family val="0"/>
        <charset val="1"/>
      </rPr>
      <t xml:space="preserve">.2], COD)</t>
    </r>
  </si>
  <si>
    <t xml:space="preserve">ตั้งค่าแจ้งเตือนและงานอัตโนมัติ</t>
  </si>
  <si>
    <r>
      <rPr>
        <i val="true"/>
        <sz val="9"/>
        <color rgb="FF595959"/>
        <rFont val="FreeSans"/>
        <family val="2"/>
      </rPr>
      <t xml:space="preserve">สคริปต์อ่านช่องเหลืองนี้ทุกครั้ง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แจ้งเฉพาะเรื่องใหม่ เรื่องเดิมไม่แจ้งซ้ำ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เว้นสรุปรายวัน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</si>
  <si>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ส่งอีเมลถึง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คั่นด้วย </t>
    </r>
    <r>
      <rPr>
        <sz val="10"/>
        <rFont val="Tahoma"/>
        <family val="0"/>
        <charset val="1"/>
      </rPr>
      <t xml:space="preserve">,)</t>
    </r>
  </si>
  <si>
    <r>
      <rPr>
        <sz val="10"/>
        <rFont val="Tahoma"/>
        <family val="0"/>
        <charset val="1"/>
      </rPr>
      <t xml:space="preserve">Google Chat webhook URL (</t>
    </r>
    <r>
      <rPr>
        <sz val="10"/>
        <rFont val="FreeSans"/>
        <family val="2"/>
      </rPr>
      <t xml:space="preserve">ถ้ามี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</si>
  <si>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แจ้งเมื่อ </t>
    </r>
    <r>
      <rPr>
        <sz val="10"/>
        <rFont val="Tahoma"/>
        <family val="0"/>
        <charset val="1"/>
      </rPr>
      <t xml:space="preserve">COD </t>
    </r>
    <r>
      <rPr>
        <sz val="10"/>
        <rFont val="FreeSans"/>
        <family val="2"/>
      </rPr>
      <t xml:space="preserve">สถานีเลื่อนจากสัปดาห์ก่อนเกิน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</si>
  <si>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แจ้งเมื่อการเปลี่ยนแปลงรออนุมัติเกิน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</si>
  <si>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ไฟล์ติดตามสถานะ </t>
    </r>
    <r>
      <rPr>
        <sz val="10"/>
        <rFont val="Tahoma"/>
        <family val="0"/>
        <charset val="1"/>
      </rPr>
      <t xml:space="preserve">(Drive file id </t>
    </r>
    <r>
      <rPr>
        <sz val="10"/>
        <rFont val="FreeSans"/>
        <family val="2"/>
      </rPr>
      <t xml:space="preserve">หรือลิงก์</t>
    </r>
    <r>
      <rPr>
        <sz val="10"/>
        <rFont val="Tahoma"/>
        <family val="0"/>
        <charset val="1"/>
      </rPr>
      <t xml:space="preserve">)</t>
    </r>
  </si>
  <si>
    <t xml:space="preserve">1nB5HFkhMwZkG2TP5wrp3fr69nE5oA4iF</t>
  </si>
  <si>
    <r>
      <rPr>
        <sz val="10"/>
        <rFont val="FreeSans"/>
        <family val="2"/>
      </rPr>
      <t xml:space="preserve">แจ้ง</t>
    </r>
    <r>
      <rPr>
        <sz val="10"/>
        <rFont val="Tahoma"/>
        <family val="0"/>
        <charset val="1"/>
      </rPr>
      <t xml:space="preserve">: COD </t>
    </r>
    <r>
      <rPr>
        <sz val="10"/>
        <rFont val="FreeSans"/>
        <family val="2"/>
      </rPr>
      <t xml:space="preserve">เลื่อน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</si>
  <si>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</rPr>
      <t xml:space="preserve">แจ้ง</t>
    </r>
    <r>
      <rPr>
        <sz val="10"/>
        <rFont val="Tahoma"/>
        <family val="0"/>
        <charset val="1"/>
      </rPr>
      <t xml:space="preserve">: Excel ≠ </t>
    </r>
    <r>
      <rPr>
        <sz val="10"/>
        <rFont val="FreeSans"/>
        <family val="2"/>
      </rPr>
      <t xml:space="preserve">แอป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ไฟล์ติดตาม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</si>
  <si>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</rPr>
      <t xml:space="preserve">แจ้ง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นัดตรงวันหยุด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ลำดับวันที่ผิด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</si>
  <si>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</rPr>
      <t xml:space="preserve">แจ้ง</t>
    </r>
    <r>
      <rPr>
        <sz val="10"/>
        <rFont val="Tahoma"/>
        <family val="0"/>
        <charset val="1"/>
      </rPr>
      <t xml:space="preserve">: KRI </t>
    </r>
    <r>
      <rPr>
        <sz val="10"/>
        <rFont val="FreeSans"/>
        <family val="2"/>
      </rPr>
      <t xml:space="preserve">เกินเกณฑ์ใหม่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</si>
  <si>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</rPr>
      <t xml:space="preserve">สรุปรายวัน </t>
    </r>
    <r>
      <rPr>
        <sz val="10"/>
        <rFont val="Tahoma"/>
        <family val="0"/>
        <charset val="1"/>
      </rPr>
      <t xml:space="preserve">08:00 (Y/N)</t>
    </r>
  </si>
  <si>
    <t xml:space="preserve">ผลการทำงานล่าสุด</t>
  </si>
  <si>
    <r>
      <rPr>
        <sz val="9"/>
        <rFont val="FreeSans"/>
        <family val="2"/>
      </rPr>
      <t xml:space="preserve">ดึงจาก </t>
    </r>
    <r>
      <rPr>
        <sz val="9"/>
        <rFont val="Tahoma"/>
        <family val="0"/>
        <charset val="1"/>
      </rPr>
      <t xml:space="preserve">TCRoof</t>
    </r>
  </si>
  <si>
    <t xml:space="preserve">นำเข้าไฟล์ติดตาม</t>
  </si>
  <si>
    <t xml:space="preserve">บันทึกประวัติ</t>
  </si>
  <si>
    <t xml:space="preserve">แจ้งเตือน</t>
  </si>
  <si>
    <r>
      <rPr>
        <b val="true"/>
        <sz val="14"/>
        <color rgb="FF1F4E78"/>
        <rFont val="Tahoma"/>
        <family val="0"/>
        <charset val="1"/>
      </rPr>
      <t xml:space="preserve">TCRoof (</t>
    </r>
    <r>
      <rPr>
        <b val="true"/>
        <sz val="14"/>
        <color rgb="FF1F4E78"/>
        <rFont val="FreeSans"/>
        <family val="2"/>
      </rPr>
      <t xml:space="preserve">สด</t>
    </r>
    <r>
      <rPr>
        <b val="true"/>
        <sz val="14"/>
        <color rgb="FF1F4E78"/>
        <rFont val="Tahoma"/>
        <family val="0"/>
        <charset val="1"/>
      </rPr>
      <t xml:space="preserve">) – </t>
    </r>
    <r>
      <rPr>
        <b val="true"/>
        <sz val="14"/>
        <color rgb="FF1F4E78"/>
        <rFont val="FreeSans"/>
        <family val="2"/>
      </rPr>
      <t xml:space="preserve">ข้อมูลจากแอป ดึงอัตโนมัติด้วยสคริปต์ ‘</t>
    </r>
    <r>
      <rPr>
        <b val="true"/>
        <sz val="14"/>
        <color rgb="FF1F4E78"/>
        <rFont val="Tahoma"/>
        <family val="0"/>
        <charset val="1"/>
      </rPr>
      <t xml:space="preserve">TCRoof › </t>
    </r>
    <r>
      <rPr>
        <b val="true"/>
        <sz val="14"/>
        <color rgb="FF1F4E78"/>
        <rFont val="FreeSans"/>
        <family val="2"/>
      </rPr>
      <t xml:space="preserve">ดึงข้อมูลตอนนี้’</t>
    </r>
  </si>
  <si>
    <r>
      <rPr>
        <i val="true"/>
        <sz val="9"/>
        <color rgb="FF595959"/>
        <rFont val="FreeSans"/>
        <family val="2"/>
      </rPr>
      <t xml:space="preserve">ห้ามพิมพ์ทับช่องสีฟ้า สคริปต์เขียนทับทุกรอบ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ช่องเหลือง ‘กำหนดงานในแอปเอง’ ใส่รหัสงาน </t>
    </r>
    <r>
      <rPr>
        <i val="true"/>
        <sz val="9"/>
        <color rgb="FF595959"/>
        <rFont val="Tahoma"/>
        <family val="0"/>
        <charset val="1"/>
      </rPr>
      <t xml:space="preserve">(doc id) </t>
    </r>
    <r>
      <rPr>
        <i val="true"/>
        <sz val="9"/>
        <color rgb="FF595959"/>
        <rFont val="FreeSans"/>
        <family val="2"/>
      </rPr>
      <t xml:space="preserve">เมื่อจับคู่อัตโนมัติไม่ถูก</t>
    </r>
    <r>
      <rPr>
        <i val="true"/>
        <sz val="9"/>
        <color rgb="FF595959"/>
        <rFont val="Tahoma"/>
        <family val="0"/>
        <charset val="1"/>
      </rPr>
      <t xml:space="preserve">, % </t>
    </r>
    <r>
      <rPr>
        <i val="true"/>
        <sz val="9"/>
        <color rgb="FF595959"/>
        <rFont val="FreeSans"/>
        <family val="2"/>
      </rPr>
      <t xml:space="preserve">และคะแนนงานมาจากแผนงาน </t>
    </r>
    <r>
      <rPr>
        <i val="true"/>
        <sz val="9"/>
        <color rgb="FF595959"/>
        <rFont val="Tahoma"/>
        <family val="0"/>
        <charset val="1"/>
      </rPr>
      <t xml:space="preserve">MP </t>
    </r>
    <r>
      <rPr>
        <i val="true"/>
        <sz val="9"/>
        <color rgb="FF595959"/>
        <rFont val="FreeSans"/>
        <family val="2"/>
      </rPr>
      <t xml:space="preserve">ในแอป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น้ำหนักรวม </t>
    </r>
    <r>
      <rPr>
        <i val="true"/>
        <sz val="9"/>
        <color rgb="FF595959"/>
        <rFont val="Tahoma"/>
        <family val="0"/>
        <charset val="1"/>
      </rPr>
      <t xml:space="preserve">100), </t>
    </r>
    <r>
      <rPr>
        <i val="true"/>
        <sz val="9"/>
        <color rgb="FF595959"/>
        <rFont val="FreeSans"/>
        <family val="2"/>
      </rPr>
      <t xml:space="preserve">วันที่เสร็จ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ติดตั้ง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งาน </t>
    </r>
    <r>
      <rPr>
        <i val="true"/>
        <sz val="9"/>
        <color rgb="FF595959"/>
        <rFont val="Tahoma"/>
        <family val="0"/>
        <charset val="1"/>
      </rPr>
      <t xml:space="preserve">2.x </t>
    </r>
    <r>
      <rPr>
        <i val="true"/>
        <sz val="9"/>
        <color rgb="FF595959"/>
        <rFont val="FreeSans"/>
        <family val="2"/>
      </rPr>
      <t xml:space="preserve">ครบ</t>
    </r>
    <r>
      <rPr>
        <i val="true"/>
        <sz val="9"/>
        <color rgb="FF595959"/>
        <rFont val="Tahoma"/>
        <family val="0"/>
        <charset val="1"/>
      </rPr>
      <t xml:space="preserve">, IEC = 3.1, COD = 1.7</t>
    </r>
  </si>
  <si>
    <t xml:space="preserve">ดึงล่าสุด</t>
  </si>
  <si>
    <r>
      <rPr>
        <sz val="9"/>
        <rFont val="FreeSans"/>
        <family val="2"/>
      </rPr>
      <t xml:space="preserve">ยังไม่เคยดึง – เปิดไฟล์ใน </t>
    </r>
    <r>
      <rPr>
        <sz val="9"/>
        <rFont val="Tahoma"/>
        <family val="0"/>
        <charset val="1"/>
      </rPr>
      <t xml:space="preserve">Google Sheets </t>
    </r>
    <r>
      <rPr>
        <sz val="9"/>
        <rFont val="FreeSans"/>
        <family val="2"/>
      </rPr>
      <t xml:space="preserve">แล้วตั้งค่าสคริปต์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ดูคู่มือ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</si>
  <si>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คะแนนงาน </t>
    </r>
    <r>
      <rPr>
        <b val="true"/>
        <sz val="9"/>
        <color rgb="FFFFFFFF"/>
        <rFont val="Tahoma"/>
        <family val="0"/>
        <charset val="1"/>
      </rPr>
      <t xml:space="preserve">MP </t>
    </r>
    <r>
      <rPr>
        <b val="true"/>
        <sz val="9"/>
        <color rgb="FFFFFFFF"/>
        <rFont val="FreeSans"/>
        <family val="2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เต็ม </t>
    </r>
    <r>
      <rPr>
        <b val="true"/>
        <sz val="9"/>
        <color rgb="FFFFFFFF"/>
        <rFont val="Tahoma"/>
        <family val="0"/>
        <charset val="1"/>
      </rPr>
      <t xml:space="preserve">= </t>
    </r>
    <r>
      <rPr>
        <b val="true"/>
        <sz val="9"/>
        <color rgb="FFFFFFFF"/>
        <rFont val="FreeSans"/>
        <family val="2"/>
      </rPr>
      <t xml:space="preserve">น้ำหนักงาน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</si>
  <si>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กำหนดงานในแอปเอง</t>
  </si>
  <si>
    <r>
      <rPr>
        <b val="true"/>
        <sz val="9"/>
        <color rgb="FFFFFFFF"/>
        <rFont val="FreeSans"/>
        <family val="2"/>
      </rPr>
      <t xml:space="preserve">งานในแอป </t>
    </r>
    <r>
      <rPr>
        <b val="true"/>
        <sz val="9"/>
        <color rgb="FFFFFFFF"/>
        <rFont val="Tahoma"/>
        <family val="0"/>
        <charset val="1"/>
      </rPr>
      <t xml:space="preserve">(id)</t>
    </r>
  </si>
  <si>
    <t xml:space="preserve">ชื่องานในแอป</t>
  </si>
  <si>
    <t xml:space="preserve">จับคู่โดย</t>
  </si>
  <si>
    <r>
      <rPr>
        <b val="true"/>
        <sz val="9"/>
        <color rgb="FFFFFFFF"/>
        <rFont val="Tahoma"/>
        <family val="0"/>
        <charset val="1"/>
      </rPr>
      <t xml:space="preserve">% MP </t>
    </r>
    <r>
      <rPr>
        <b val="true"/>
        <sz val="9"/>
        <color rgb="FFFFFFFF"/>
        <rFont val="FreeSans"/>
        <family val="2"/>
      </rPr>
      <t xml:space="preserve">ในแอป</t>
    </r>
  </si>
  <si>
    <r>
      <rPr>
        <b val="true"/>
        <sz val="9"/>
        <color rgb="FFFFFFFF"/>
        <rFont val="FreeSans"/>
        <family val="2"/>
      </rPr>
      <t xml:space="preserve">ติดตั้งครบ </t>
    </r>
    <r>
      <rPr>
        <b val="true"/>
        <sz val="9"/>
        <color rgb="FFFFFFFF"/>
        <rFont val="Tahoma"/>
        <family val="0"/>
        <charset val="1"/>
      </rPr>
      <t xml:space="preserve">(2.x)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</si>
  <si>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(3.1)</t>
    </r>
  </si>
  <si>
    <r>
      <rPr>
        <b val="true"/>
        <sz val="9"/>
        <color rgb="FFFFFFFF"/>
        <rFont val="FreeSans"/>
        <family val="2"/>
      </rPr>
      <t xml:space="preserve">ขนานไฟ </t>
    </r>
    <r>
      <rPr>
        <b val="true"/>
        <sz val="9"/>
        <color rgb="FFFFFFFF"/>
        <rFont val="Tahoma"/>
        <family val="0"/>
        <charset val="1"/>
      </rPr>
      <t xml:space="preserve">(1.7)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</si>
  <si>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</rPr>
      <t xml:space="preserve">ในแอป</t>
    </r>
  </si>
  <si>
    <t xml:space="preserve">รายงานประจำวัน</t>
  </si>
  <si>
    <t xml:space="preserve">รายงานล่าสุด</t>
  </si>
  <si>
    <t xml:space="preserve">ลงนามแล้ว</t>
  </si>
  <si>
    <t xml:space="preserve">บันทึกการนำเข้าไฟล์ติดตาม</t>
  </si>
  <si>
    <r>
      <rPr>
        <i val="true"/>
        <sz val="9"/>
        <color rgb="FF595959"/>
        <rFont val="FreeSans"/>
        <family val="2"/>
      </rPr>
      <t xml:space="preserve">เติมเฉพาะช่องที่ยังว่างในชีต ‘อัปเดตรายสัปดาห์’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ช่องที่กรอกไว้แล้วแต่ไม่ตรงกับไฟล์ติดตาม </t>
    </r>
    <r>
      <rPr>
        <i val="true"/>
        <sz val="9"/>
        <color rgb="FF595959"/>
        <rFont val="Tahoma"/>
        <family val="0"/>
        <charset val="1"/>
      </rPr>
      <t xml:space="preserve">= ‘</t>
    </r>
    <r>
      <rPr>
        <i val="true"/>
        <sz val="9"/>
        <color rgb="FF595959"/>
        <rFont val="FreeSans"/>
        <family val="2"/>
      </rPr>
      <t xml:space="preserve">ต่างกัน ไม่เขียนทับ’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แจ้งเตือน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ล่าสุดอยู่บน</t>
    </r>
  </si>
  <si>
    <t xml:space="preserve">เวลา</t>
  </si>
  <si>
    <t xml:space="preserve">ช่อง</t>
  </si>
  <si>
    <t xml:space="preserve">ในชีตอัปเดต</t>
  </si>
  <si>
    <t xml:space="preserve">ในไฟล์ติดตาม</t>
  </si>
  <si>
    <t xml:space="preserve">ประวัติรายสัปดาห์ – รายสถานี</t>
  </si>
  <si>
    <r>
      <rPr>
        <i val="true"/>
        <sz val="9"/>
        <color rgb="FF595959"/>
        <rFont val="FreeSans"/>
        <family val="2"/>
      </rPr>
      <t xml:space="preserve">สคริปต์บันทึกทุกวันจันทร์ </t>
    </r>
    <r>
      <rPr>
        <i val="true"/>
        <sz val="9"/>
        <color rgb="FF595959"/>
        <rFont val="Tahoma"/>
        <family val="0"/>
        <charset val="1"/>
      </rPr>
      <t xml:space="preserve">08:00 (</t>
    </r>
    <r>
      <rPr>
        <i val="true"/>
        <sz val="9"/>
        <color rgb="FF595959"/>
        <rFont val="FreeSans"/>
        <family val="2"/>
      </rPr>
      <t xml:space="preserve">และเมนู </t>
    </r>
    <r>
      <rPr>
        <i val="true"/>
        <sz val="9"/>
        <color rgb="FF595959"/>
        <rFont val="Tahoma"/>
        <family val="0"/>
        <charset val="1"/>
      </rPr>
      <t xml:space="preserve">TCRoof › </t>
    </r>
    <r>
      <rPr>
        <i val="true"/>
        <sz val="9"/>
        <color rgb="FF595959"/>
        <rFont val="FreeSans"/>
        <family val="2"/>
      </rPr>
      <t xml:space="preserve">บันทึกประวัติตอนนี้</t>
    </r>
    <r>
      <rPr>
        <i val="true"/>
        <sz val="9"/>
        <color rgb="FF595959"/>
        <rFont val="Tahoma"/>
        <family val="0"/>
        <charset val="1"/>
      </rPr>
      <t xml:space="preserve">), </t>
    </r>
    <r>
      <rPr>
        <i val="true"/>
        <sz val="9"/>
        <color rgb="FF595959"/>
        <rFont val="FreeSans"/>
        <family val="2"/>
      </rPr>
      <t xml:space="preserve">ห้ามแก้ไข ใช้ดูย้อนหลังและเทียบว่า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</rPr>
      <t xml:space="preserve">เลื่อนเมื่อไร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</si>
  <si>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ในแอป</t>
    </r>
  </si>
  <si>
    <t xml:space="preserve">ส่งมอบงวดคาดการณ์</t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</si>
  <si>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P9-001 – </t>
    </r>
    <r>
      <rPr>
        <b val="true"/>
        <sz val="14"/>
        <color rgb="FF1F4E78"/>
        <rFont val="FreeSans"/>
        <family val="2"/>
      </rPr>
      <t xml:space="preserve">แม่แบบ หลังคาลอนคู่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</si>
  <si>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.01,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.01,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01</t>
    </r>
  </si>
  <si>
    <r>
      <rPr>
        <sz val="9"/>
        <color rgb="FF595959"/>
        <rFont val="FreeSans"/>
        <family val="2"/>
      </rPr>
      <t xml:space="preserve">กำหนดส่งมอบ รอบ </t>
    </r>
    <r>
      <rPr>
        <sz val="9"/>
        <color rgb="FF595959"/>
        <rFont val="Tahoma"/>
        <family val="0"/>
        <charset val="1"/>
      </rPr>
      <t xml:space="preserve">9</t>
    </r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</si>
  <si>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</si>
  <si>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</si>
  <si>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</rPr>
      <t xml:space="preserve">ส่งมอบงวดช้า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</si>
  <si>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</si>
  <si>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</si>
  <si>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</si>
  <si>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</si>
  <si>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</si>
  <si>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r>
      <rPr>
        <sz val="8"/>
        <color rgb="FF595959"/>
        <rFont val="FreeSans"/>
        <family val="2"/>
      </rPr>
      <t xml:space="preserve">งานแก้ซ้ำ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ค้าง</t>
    </r>
    <r>
      <rPr>
        <sz val="8"/>
        <color rgb="FF595959"/>
        <rFont val="Tahoma"/>
        <family val="0"/>
        <charset val="1"/>
      </rPr>
      <t xml:space="preserve">)</t>
    </r>
  </si>
  <si>
    <t xml:space="preserve">ความเสี่ยงสูงที่กระทบ</t>
  </si>
  <si>
    <t xml:space="preserve">บทเรียนของสถานี</t>
  </si>
  <si>
    <r>
      <rPr>
        <sz val="8"/>
        <color rgb="FF595959"/>
        <rFont val="FreeSans"/>
        <family val="2"/>
      </rPr>
      <t xml:space="preserve">ข้อมูลหน้างาน </t>
    </r>
    <r>
      <rPr>
        <sz val="8"/>
        <color rgb="FF595959"/>
        <rFont val="Tahoma"/>
        <family val="0"/>
        <charset val="1"/>
      </rPr>
      <t xml:space="preserve">(rolling wave)</t>
    </r>
  </si>
  <si>
    <t xml:space="preserve">บันไดเซอร์วิสที่ต้องติด</t>
  </si>
  <si>
    <t xml:space="preserve">← กลับ Master Plan</t>
  </si>
  <si>
    <r>
      <rPr>
        <b val="true"/>
        <sz val="9"/>
        <rFont val="FreeSans"/>
        <family val="2"/>
      </rPr>
      <t xml:space="preserve">ถัดไป</t>
    </r>
    <r>
      <rPr>
        <b val="true"/>
        <sz val="9"/>
        <rFont val="Tahoma"/>
        <family val="0"/>
        <charset val="1"/>
      </rPr>
      <t xml:space="preserve">: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</si>
  <si>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P9-001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</si>
  <si>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</si>
  <si>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r>
      <rPr>
        <i val="true"/>
        <sz val="7"/>
        <color rgb="FF595959"/>
        <rFont val="FreeSans"/>
        <family val="2"/>
      </rPr>
      <t xml:space="preserve">ความเสี่ยงอ้างทะเบียนความเสี่ยง</t>
    </r>
    <r>
      <rPr>
        <i val="true"/>
        <sz val="7"/>
        <color rgb="FF595959"/>
        <rFont val="Tahoma"/>
        <family val="0"/>
        <charset val="1"/>
      </rPr>
      <t xml:space="preserve">, CR </t>
    </r>
    <r>
      <rPr>
        <i val="true"/>
        <sz val="7"/>
        <color rgb="FF595959"/>
        <rFont val="FreeSans"/>
        <family val="2"/>
      </rPr>
      <t xml:space="preserve">และงานแก้ซ้ำนับจากรหัสสถานีนี้</t>
    </r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</si>
  <si>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</si>
  <si>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</si>
  <si>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</si>
  <si>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จริง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นัด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ลิงก์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</si>
  <si>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คาดการณ์</t>
  </si>
  <si>
    <r>
      <rPr>
        <b val="true"/>
        <sz val="9"/>
        <color rgb="FFFFFFFF"/>
        <rFont val="FreeSans"/>
        <family val="2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เลขที่เอกสาร</t>
    </r>
  </si>
  <si>
    <r>
      <rPr>
        <b val="true"/>
        <sz val="9"/>
        <color rgb="FFFFFFFF"/>
        <rFont val="FreeSans"/>
        <family val="2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%</t>
    </r>
  </si>
  <si>
    <t xml:space="preserve">งานก่อนหน้า</t>
  </si>
  <si>
    <r>
      <rPr>
        <b val="true"/>
        <sz val="9"/>
        <color rgb="FFFFFFFF"/>
        <rFont val="FreeSans"/>
        <family val="2"/>
      </rPr>
      <t xml:space="preserve">รอ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</si>
  <si>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ระยะ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</si>
  <si>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นัด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</si>
  <si>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(Y, S) </t>
    </r>
    <r>
      <rPr>
        <b val="true"/>
        <sz val="9"/>
        <color rgb="FFFFFFFF"/>
        <rFont val="FreeSans"/>
        <family val="2"/>
      </rPr>
      <t xml:space="preserve">จากชีตอัปเดตงาน </t>
    </r>
    <r>
      <rPr>
        <b val="true"/>
        <sz val="9"/>
        <color rgb="FFFFFFFF"/>
        <rFont val="Tahoma"/>
        <family val="0"/>
        <charset val="1"/>
      </rPr>
      <t xml:space="preserve">WBS</t>
    </r>
  </si>
  <si>
    <r>
      <rPr>
        <b val="true"/>
        <sz val="9"/>
        <color rgb="FFFFFFFF"/>
        <rFont val="FreeSans"/>
        <family val="2"/>
      </rPr>
      <t xml:space="preserve">ต่าง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</si>
  <si>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มาตรฐาน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หมายเหตุ</t>
    </r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</si>
  <si>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</si>
  <si>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</si>
  <si>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</si>
  <si>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FreeSans"/>
        <family val="2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ตรวจรับ </t>
    </r>
    <r>
      <rPr>
        <b val="true"/>
        <sz val="9"/>
        <color rgb="FFFFFFFF"/>
        <rFont val="Tahoma"/>
        <family val="0"/>
        <charset val="1"/>
      </rPr>
      <t xml:space="preserve">(A)</t>
    </r>
  </si>
  <si>
    <t xml:space="preserve">ความเสี่ยงที่กระทบ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</si>
  <si>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</si>
  <si>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</si>
  <si>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r>
      <rPr>
        <sz val="9"/>
        <rFont val="FreeSans"/>
        <family val="2"/>
      </rPr>
      <t xml:space="preserve">งานแก้ไข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ทดสอบซ้ำ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นับในงานเดิม ไม่แยกเป็นรายการ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งานออกแบบ </t>
    </r>
    <r>
      <rPr>
        <sz val="9"/>
        <rFont val="Tahoma"/>
        <family val="0"/>
        <charset val="1"/>
      </rPr>
      <t xml:space="preserve">(1.2), </t>
    </r>
    <r>
      <rPr>
        <sz val="9"/>
        <rFont val="FreeSans"/>
        <family val="2"/>
      </rPr>
      <t xml:space="preserve">การประชุม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เดินทาง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อยู่ในงานที่เกี่ยวข้อง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</si>
  <si>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แผนบริหารโครงการ </t>
    </r>
    <r>
      <rPr>
        <sz val="8"/>
        <color rgb="FF404040"/>
        <rFont val="Tahoma"/>
        <family val="0"/>
        <charset val="1"/>
      </rPr>
      <t xml:space="preserve">(PEP) + Baseline</t>
    </r>
  </si>
  <si>
    <r>
      <rPr>
        <sz val="8"/>
        <color rgb="FF404040"/>
        <rFont val="FreeSans"/>
        <family val="2"/>
      </rPr>
      <t xml:space="preserve">ผู้ว่าจ้างอนุมัติ </t>
    </r>
    <r>
      <rPr>
        <sz val="8"/>
        <color rgb="FF404040"/>
        <rFont val="Tahoma"/>
        <family val="0"/>
        <charset val="1"/>
      </rPr>
      <t xml:space="preserve">Baseline </t>
    </r>
    <r>
      <rPr>
        <sz val="8"/>
        <color rgb="FF404040"/>
        <rFont val="FreeSans"/>
        <family val="2"/>
      </rPr>
      <t xml:space="preserve">ก่อนเริ่มรายงาน </t>
    </r>
    <r>
      <rPr>
        <sz val="8"/>
        <color rgb="FF404040"/>
        <rFont val="Tahoma"/>
        <family val="0"/>
        <charset val="1"/>
      </rPr>
      <t xml:space="preserve">S-Curve</t>
    </r>
  </si>
  <si>
    <r>
      <rPr>
        <sz val="8"/>
        <color rgb="FF404040"/>
        <rFont val="FreeSans"/>
        <family val="2"/>
      </rPr>
      <t xml:space="preserve">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</si>
  <si>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    แผนความปลอดภัย </t>
    </r>
    <r>
      <rPr>
        <sz val="8"/>
        <color rgb="FF404040"/>
        <rFont val="Tahoma"/>
        <family val="0"/>
        <charset val="1"/>
      </rPr>
      <t xml:space="preserve">(HSE Plan, JSA, Permit-to-Work)</t>
    </r>
  </si>
  <si>
    <r>
      <rPr>
        <sz val="8"/>
        <color rgb="FF404040"/>
        <rFont val="FreeSans"/>
        <family val="2"/>
      </rPr>
      <t xml:space="preserve">แผน </t>
    </r>
    <r>
      <rPr>
        <sz val="8"/>
        <color rgb="FF404040"/>
        <rFont val="Tahoma"/>
        <family val="0"/>
        <charset val="1"/>
      </rPr>
      <t xml:space="preserve">HSE </t>
    </r>
    <r>
      <rPr>
        <sz val="8"/>
        <color rgb="FF404040"/>
        <rFont val="FreeSans"/>
        <family val="2"/>
      </rPr>
      <t xml:space="preserve">อนุมัติก่อนเข้าพื้นที่</t>
    </r>
  </si>
  <si>
    <r>
      <rPr>
        <sz val="8"/>
        <color rgb="FF404040"/>
        <rFont val="FreeSans"/>
        <family val="2"/>
      </rPr>
      <t xml:space="preserve">ผรม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</si>
  <si>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    แผนคุณภาพ </t>
    </r>
    <r>
      <rPr>
        <sz val="8"/>
        <color rgb="FF404040"/>
        <rFont val="Tahoma"/>
        <family val="0"/>
        <charset val="1"/>
      </rPr>
      <t xml:space="preserve">(PQP) + </t>
    </r>
    <r>
      <rPr>
        <sz val="8"/>
        <color rgb="FF404040"/>
        <rFont val="FreeSans"/>
        <family val="2"/>
      </rPr>
      <t xml:space="preserve">แผนตรวจทดสอบ </t>
    </r>
    <r>
      <rPr>
        <sz val="8"/>
        <color rgb="FF404040"/>
        <rFont val="Tahoma"/>
        <family val="0"/>
        <charset val="1"/>
      </rPr>
      <t xml:space="preserve">(ITP)</t>
    </r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</si>
  <si>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</si>
  <si>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sz val="8"/>
        <color rgb="FF404040"/>
        <rFont val="FreeSans"/>
        <family val="2"/>
      </rPr>
      <t xml:space="preserve">    เอกสารขออนุมัติวัสดุ </t>
    </r>
    <r>
      <rPr>
        <sz val="8"/>
        <color rgb="FF404040"/>
        <rFont val="Tahoma"/>
        <family val="0"/>
        <charset val="1"/>
      </rPr>
      <t xml:space="preserve">(Material submittal)</t>
    </r>
  </si>
  <si>
    <r>
      <rPr>
        <sz val="8"/>
        <color rgb="FF404040"/>
        <rFont val="FreeSans"/>
        <family val="2"/>
      </rPr>
      <t xml:space="preserve">    รายงานประจำ </t>
    </r>
    <r>
      <rPr>
        <sz val="8"/>
        <color rgb="FF404040"/>
        <rFont val="Tahoma"/>
        <family val="0"/>
        <charset val="1"/>
      </rPr>
      <t xml:space="preserve">R1–R4</t>
    </r>
  </si>
  <si>
    <r>
      <rPr>
        <sz val="8"/>
        <color rgb="FF404040"/>
        <rFont val="FreeSans"/>
        <family val="2"/>
      </rPr>
      <t xml:space="preserve">ส่งตรงเวลาทุกงวด</t>
    </r>
    <r>
      <rPr>
        <sz val="8"/>
        <color rgb="FF404040"/>
        <rFont val="Tahoma"/>
        <family val="0"/>
        <charset val="1"/>
      </rPr>
      <t xml:space="preserve">, R2 </t>
    </r>
    <r>
      <rPr>
        <sz val="8"/>
        <color rgb="FF404040"/>
        <rFont val="FreeSans"/>
        <family val="2"/>
      </rPr>
      <t xml:space="preserve">ลงนามรับทราบโดยวิศวกร</t>
    </r>
  </si>
  <si>
    <r>
      <rPr>
        <sz val="8"/>
        <color rgb="FF404040"/>
        <rFont val="FreeSans"/>
        <family val="2"/>
      </rPr>
      <t xml:space="preserve">    การตรวจ </t>
    </r>
    <r>
      <rPr>
        <sz val="8"/>
        <color rgb="FF404040"/>
        <rFont val="Tahoma"/>
        <family val="0"/>
        <charset val="1"/>
      </rPr>
      <t xml:space="preserve">HSE / NCR / Punch list </t>
    </r>
    <r>
      <rPr>
        <sz val="8"/>
        <color rgb="FF404040"/>
        <rFont val="FreeSans"/>
        <family val="2"/>
      </rPr>
      <t xml:space="preserve">หน้างาน</t>
    </r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</si>
  <si>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</si>
  <si>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sz val="9"/>
        <rFont val="FreeSans"/>
        <family val="2"/>
      </rPr>
      <t xml:space="preserve">จัดหาและรับอุปกรณ์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หนังสือส่งแผง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ตรวจรับของ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</si>
  <si>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(25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</si>
  <si>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การยกขึ้นหลังคาและติดตั้ง </t>
    </r>
    <r>
      <rPr>
        <sz val="9"/>
        <rFont val="Tahoma"/>
        <family val="0"/>
        <charset val="1"/>
      </rPr>
      <t xml:space="preserve">(2.1–2.9), </t>
    </r>
    <r>
      <rPr>
        <sz val="9"/>
        <rFont val="FreeSans"/>
        <family val="2"/>
      </rPr>
      <t xml:space="preserve">การทดสอบหน้างาน </t>
    </r>
    <r>
      <rPr>
        <sz val="9"/>
        <rFont val="Tahoma"/>
        <family val="0"/>
        <charset val="1"/>
      </rPr>
      <t xml:space="preserve">(3.1)</t>
    </r>
  </si>
  <si>
    <r>
      <rPr>
        <sz val="8"/>
        <color rgb="FF404040"/>
        <rFont val="FreeSans"/>
        <family val="2"/>
      </rPr>
      <t xml:space="preserve">    หนังสือส่งแผง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ใบเบิกจากคลัง</t>
    </r>
  </si>
  <si>
    <r>
      <rPr>
        <sz val="8"/>
        <color rgb="FF404040"/>
        <rFont val="FreeSans"/>
        <family val="2"/>
      </rPr>
      <t xml:space="preserve">มีเลขที่หนังสือ </t>
    </r>
    <r>
      <rPr>
        <sz val="8"/>
        <color rgb="FF404040"/>
        <rFont val="Tahoma"/>
        <family val="0"/>
        <charset val="1"/>
      </rPr>
      <t xml:space="preserve">(TC-PML-…)</t>
    </r>
  </si>
  <si>
    <r>
      <rPr>
        <sz val="8"/>
        <color rgb="FF404040"/>
        <rFont val="FreeSans"/>
        <family val="2"/>
      </rPr>
      <t xml:space="preserve">    ผล </t>
    </r>
    <r>
      <rPr>
        <sz val="8"/>
        <color rgb="FF404040"/>
        <rFont val="Tahoma"/>
        <family val="0"/>
        <charset val="1"/>
      </rPr>
      <t xml:space="preserve">FAT Inverter / </t>
    </r>
    <r>
      <rPr>
        <sz val="8"/>
        <color rgb="FF404040"/>
        <rFont val="FreeSans"/>
        <family val="2"/>
      </rPr>
      <t xml:space="preserve">ตู้ไฟ </t>
    </r>
    <r>
      <rPr>
        <sz val="8"/>
        <color rgb="FF404040"/>
        <rFont val="Tahoma"/>
        <family val="0"/>
        <charset val="1"/>
      </rPr>
      <t xml:space="preserve">(+ CT/VT 22 kV)</t>
    </r>
  </si>
  <si>
    <r>
      <rPr>
        <sz val="8"/>
        <color rgb="FF404040"/>
        <rFont val="FreeSans"/>
        <family val="2"/>
      </rPr>
      <t xml:space="preserve">ใบรับรอง</t>
    </r>
    <r>
      <rPr>
        <sz val="8"/>
        <color rgb="FF404040"/>
        <rFont val="Tahoma"/>
        <family val="0"/>
        <charset val="1"/>
      </rPr>
      <t xml:space="preserve">/</t>
    </r>
    <r>
      <rPr>
        <sz val="8"/>
        <color rgb="FF404040"/>
        <rFont val="FreeSans"/>
        <family val="2"/>
      </rPr>
      <t xml:space="preserve">ผล </t>
    </r>
    <r>
      <rPr>
        <sz val="8"/>
        <color rgb="FF404040"/>
        <rFont val="Tahoma"/>
        <family val="0"/>
        <charset val="1"/>
      </rPr>
      <t xml:space="preserve">FAT </t>
    </r>
    <r>
      <rPr>
        <sz val="8"/>
        <color rgb="FF404040"/>
        <rFont val="FreeSans"/>
        <family val="2"/>
      </rPr>
      <t xml:space="preserve">แนบในเอกสารสถานี</t>
    </r>
  </si>
  <si>
    <r>
      <rPr>
        <sz val="8"/>
        <color rgb="FF404040"/>
        <rFont val="FreeSans"/>
        <family val="2"/>
      </rPr>
      <t xml:space="preserve">    แผง </t>
    </r>
    <r>
      <rPr>
        <sz val="8"/>
        <color rgb="FF404040"/>
        <rFont val="Tahoma"/>
        <family val="0"/>
        <charset val="1"/>
      </rPr>
      <t xml:space="preserve">+ Inverter </t>
    </r>
    <r>
      <rPr>
        <sz val="8"/>
        <color rgb="FF404040"/>
        <rFont val="FreeSans"/>
        <family val="2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ตรวจรับ </t>
    </r>
    <r>
      <rPr>
        <sz val="8"/>
        <color rgb="FF404040"/>
        <rFont val="Tahoma"/>
        <family val="0"/>
        <charset val="1"/>
      </rPr>
      <t xml:space="preserve">+ S/N)</t>
    </r>
  </si>
  <si>
    <r>
      <rPr>
        <sz val="8"/>
        <color rgb="FF404040"/>
        <rFont val="FreeSans"/>
        <family val="2"/>
      </rPr>
      <t xml:space="preserve">จำนวนตรง </t>
    </r>
    <r>
      <rPr>
        <sz val="8"/>
        <color rgb="FF404040"/>
        <rFont val="Tahoma"/>
        <family val="0"/>
        <charset val="1"/>
      </rPr>
      <t xml:space="preserve">BOM, </t>
    </r>
    <r>
      <rPr>
        <sz val="8"/>
        <color rgb="FF404040"/>
        <rFont val="FreeSans"/>
        <family val="2"/>
      </rPr>
      <t xml:space="preserve">ไม่มีชำรุด</t>
    </r>
    <r>
      <rPr>
        <sz val="8"/>
        <color rgb="FF404040"/>
        <rFont val="Tahoma"/>
        <family val="0"/>
        <charset val="1"/>
      </rPr>
      <t xml:space="preserve">, S/N </t>
    </r>
    <r>
      <rPr>
        <sz val="8"/>
        <color rgb="FF404040"/>
        <rFont val="FreeSans"/>
        <family val="2"/>
      </rPr>
      <t xml:space="preserve">เข้าแอป</t>
    </r>
  </si>
  <si>
    <r>
      <rPr>
        <sz val="8"/>
        <color rgb="FF404040"/>
        <rFont val="FreeSans"/>
        <family val="2"/>
      </rPr>
      <t xml:space="preserve">    โครงยึด </t>
    </r>
    <r>
      <rPr>
        <sz val="8"/>
        <color rgb="FF404040"/>
        <rFont val="Tahoma"/>
        <family val="0"/>
        <charset val="1"/>
      </rPr>
      <t xml:space="preserve">+ Walkway </t>
    </r>
    <r>
      <rPr>
        <sz val="8"/>
        <color rgb="FF404040"/>
        <rFont val="FreeSans"/>
        <family val="2"/>
      </rPr>
      <t xml:space="preserve">ถึงหน้างาน</t>
    </r>
  </si>
  <si>
    <r>
      <rPr>
        <sz val="8"/>
        <color rgb="FF404040"/>
        <rFont val="FreeSans"/>
        <family val="2"/>
      </rPr>
      <t xml:space="preserve">ตรวจรับตาม </t>
    </r>
    <r>
      <rPr>
        <sz val="8"/>
        <color rgb="FF404040"/>
        <rFont val="Tahoma"/>
        <family val="0"/>
        <charset val="1"/>
      </rPr>
      <t xml:space="preserve">shop drawing</t>
    </r>
  </si>
  <si>
    <r>
      <rPr>
        <sz val="8"/>
        <color rgb="FF404040"/>
        <rFont val="FreeSans"/>
        <family val="2"/>
      </rPr>
      <t xml:space="preserve">    สายไฟ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รางสาย ถึงหน้างาน</t>
    </r>
  </si>
  <si>
    <r>
      <rPr>
        <sz val="8"/>
        <color rgb="FF404040"/>
        <rFont val="FreeSans"/>
        <family val="2"/>
      </rPr>
      <t xml:space="preserve">ตรวจรับขนาด</t>
    </r>
    <r>
      <rPr>
        <sz val="8"/>
        <color rgb="FF404040"/>
        <rFont val="Tahoma"/>
        <family val="0"/>
        <charset val="1"/>
      </rPr>
      <t xml:space="preserve">/</t>
    </r>
    <r>
      <rPr>
        <sz val="8"/>
        <color rgb="FF404040"/>
        <rFont val="FreeSans"/>
        <family val="2"/>
      </rPr>
      <t xml:space="preserve">ยี่ห้อตาม </t>
    </r>
    <r>
      <rPr>
        <sz val="8"/>
        <color rgb="FF404040"/>
        <rFont val="Tahoma"/>
        <family val="0"/>
        <charset val="1"/>
      </rPr>
      <t xml:space="preserve">submittal</t>
    </r>
  </si>
  <si>
    <r>
      <rPr>
        <sz val="8"/>
        <color rgb="FF404040"/>
        <rFont val="FreeSans"/>
        <family val="2"/>
      </rPr>
      <t xml:space="preserve">    ตู้ไฟ </t>
    </r>
    <r>
      <rPr>
        <sz val="8"/>
        <color rgb="FF404040"/>
        <rFont val="Tahoma"/>
        <family val="0"/>
        <charset val="1"/>
      </rPr>
      <t xml:space="preserve">FTS / DC / AC / METER / PQM / SEM </t>
    </r>
    <r>
      <rPr>
        <sz val="8"/>
        <color rgb="FF404040"/>
        <rFont val="FreeSans"/>
        <family val="2"/>
      </rPr>
      <t xml:space="preserve">ถึงหน้างาน</t>
    </r>
  </si>
  <si>
    <r>
      <rPr>
        <sz val="8"/>
        <color rgb="FF404040"/>
        <rFont val="FreeSans"/>
        <family val="2"/>
      </rPr>
      <t xml:space="preserve">ตรวจรับภายในตู้ตามแบบ </t>
    </r>
    <r>
      <rPr>
        <sz val="8"/>
        <color rgb="FF404040"/>
        <rFont val="Tahoma"/>
        <family val="0"/>
        <charset val="1"/>
      </rPr>
      <t xml:space="preserve">SLD</t>
    </r>
  </si>
  <si>
    <r>
      <rPr>
        <sz val="8"/>
        <color rgb="FF404040"/>
        <rFont val="FreeSans"/>
        <family val="2"/>
      </rPr>
      <t xml:space="preserve">    อุปกรณ์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(VT / CT </t>
    </r>
    <r>
      <rPr>
        <sz val="8"/>
        <color rgb="FF404040"/>
        <rFont val="FreeSans"/>
        <family val="2"/>
      </rPr>
      <t xml:space="preserve">ผ่านทดสอบ 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</si>
  <si>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</rPr>
      <t xml:space="preserve">มีผลทดสอบ </t>
    </r>
    <r>
      <rPr>
        <sz val="8"/>
        <color rgb="FF404040"/>
        <rFont val="Tahoma"/>
        <family val="0"/>
        <charset val="1"/>
      </rPr>
      <t xml:space="preserve">CT/VT</t>
    </r>
  </si>
  <si>
    <r>
      <rPr>
        <sz val="8"/>
        <color rgb="FF404040"/>
        <rFont val="FreeSans"/>
        <family val="2"/>
      </rPr>
      <t xml:space="preserve">    มิเตอร์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อุปกรณ์สื่อสาร ถึงหน้างาน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</si>
  <si>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(20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</si>
  <si>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การดับไฟจริงและงานเชื่อมจุดต่อ </t>
    </r>
    <r>
      <rPr>
        <sz val="9"/>
        <rFont val="Tahoma"/>
        <family val="0"/>
        <charset val="1"/>
      </rPr>
      <t xml:space="preserve">(2.10), </t>
    </r>
    <r>
      <rPr>
        <sz val="9"/>
        <rFont val="FreeSans"/>
        <family val="2"/>
      </rPr>
      <t xml:space="preserve">การประสาน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ด้าน </t>
    </r>
    <r>
      <rPr>
        <sz val="9"/>
        <rFont val="Tahoma"/>
        <family val="0"/>
        <charset val="1"/>
      </rPr>
      <t xml:space="preserve">22 kV (2.8.1)</t>
    </r>
  </si>
  <si>
    <r>
      <rPr>
        <sz val="8"/>
        <color rgb="FF404040"/>
        <rFont val="FreeSans"/>
        <family val="2"/>
      </rPr>
      <t xml:space="preserve">ร่างหนังสือ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ช่วงดับไฟที่ไม่กระทบการสูบจ่ายน้ำ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สาขายืนยัน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</si>
  <si>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หนังสือแจ้งดับไฟ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ส่งล่วงหน้า ≥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</rPr>
      <t xml:space="preserve">วัน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</si>
  <si>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เลขที่ </t>
    </r>
    <r>
      <rPr>
        <sz val="8"/>
        <color rgb="FF404040"/>
        <rFont val="Tahoma"/>
        <family val="0"/>
        <charset val="1"/>
      </rPr>
      <t xml:space="preserve">TC-PML-… </t>
    </r>
    <r>
      <rPr>
        <sz val="8"/>
        <color rgb="FF404040"/>
        <rFont val="FreeSans"/>
        <family val="2"/>
      </rPr>
      <t xml:space="preserve">และวันส่ง</t>
    </r>
  </si>
  <si>
    <r>
      <rPr>
        <sz val="8"/>
        <color rgb="FF404040"/>
        <rFont val="FreeSans"/>
        <family val="2"/>
      </rPr>
      <t xml:space="preserve">    วันดับไฟที่ยืนยันแล้ว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สาขา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</si>
  <si>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</rPr>
      <t xml:space="preserve">วันดับไฟยืนยันเป็นลายลักษณ์อักษร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สาขา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กฟภ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ถ้า </t>
    </r>
    <r>
      <rPr>
        <sz val="8"/>
        <color rgb="FF404040"/>
        <rFont val="Tahoma"/>
        <family val="0"/>
        <charset val="1"/>
      </rPr>
      <t xml:space="preserve">HV)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</si>
  <si>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(60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</si>
  <si>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การส่งมอบพื้นที่และ </t>
    </r>
    <r>
      <rPr>
        <sz val="9"/>
        <rFont val="Tahoma"/>
        <family val="0"/>
        <charset val="1"/>
      </rPr>
      <t xml:space="preserve">Mobilization (1.3), </t>
    </r>
    <r>
      <rPr>
        <sz val="9"/>
        <rFont val="FreeSans"/>
        <family val="2"/>
      </rPr>
      <t xml:space="preserve">แบบวิศวกรรม </t>
    </r>
    <r>
      <rPr>
        <sz val="9"/>
        <rFont val="Tahoma"/>
        <family val="0"/>
        <charset val="1"/>
      </rPr>
      <t xml:space="preserve">(1.2)</t>
    </r>
  </si>
  <si>
    <r>
      <rPr>
        <sz val="8"/>
        <color rgb="FF404040"/>
        <rFont val="FreeSans"/>
        <family val="2"/>
      </rPr>
      <t xml:space="preserve">    บันทึกประชุม </t>
    </r>
    <r>
      <rPr>
        <sz val="8"/>
        <color rgb="FF404040"/>
        <rFont val="Tahoma"/>
        <family val="0"/>
        <charset val="1"/>
      </rPr>
      <t xml:space="preserve">Kick off</t>
    </r>
  </si>
  <si>
    <r>
      <rPr>
        <sz val="8"/>
        <color rgb="FF404040"/>
        <rFont val="FreeSans"/>
        <family val="2"/>
      </rPr>
      <t xml:space="preserve">บันทึกการประชุม </t>
    </r>
    <r>
      <rPr>
        <sz val="8"/>
        <color rgb="FF404040"/>
        <rFont val="Tahoma"/>
        <family val="0"/>
        <charset val="1"/>
      </rPr>
      <t xml:space="preserve">(MOM) </t>
    </r>
    <r>
      <rPr>
        <sz val="8"/>
        <color rgb="FF404040"/>
        <rFont val="FreeSans"/>
        <family val="2"/>
      </rPr>
      <t xml:space="preserve">ลงนามผู้เข้าร่วม</t>
    </r>
  </si>
  <si>
    <r>
      <rPr>
        <sz val="8"/>
        <color rgb="FF404040"/>
        <rFont val="FreeSans"/>
        <family val="2"/>
      </rPr>
      <t xml:space="preserve">    งาน </t>
    </r>
    <r>
      <rPr>
        <sz val="8"/>
        <color rgb="FF404040"/>
        <rFont val="Tahoma"/>
        <family val="0"/>
        <charset val="1"/>
      </rPr>
      <t xml:space="preserve">PWA </t>
    </r>
    <r>
      <rPr>
        <sz val="8"/>
        <color rgb="FF404040"/>
        <rFont val="FreeSans"/>
        <family val="2"/>
      </rPr>
      <t xml:space="preserve">ในแอป </t>
    </r>
    <r>
      <rPr>
        <sz val="8"/>
        <color rgb="FF404040"/>
        <rFont val="Tahoma"/>
        <family val="0"/>
        <charset val="1"/>
      </rPr>
      <t xml:space="preserve">TCRoof</t>
    </r>
  </si>
  <si>
    <r>
      <rPr>
        <sz val="8"/>
        <color rgb="FF404040"/>
        <rFont val="FreeSans"/>
        <family val="2"/>
      </rPr>
      <t xml:space="preserve">งานในแอปครบ</t>
    </r>
    <r>
      <rPr>
        <sz val="8"/>
        <color rgb="FF404040"/>
        <rFont val="Tahoma"/>
        <family val="0"/>
        <charset val="1"/>
      </rPr>
      <t xml:space="preserve">: </t>
    </r>
    <r>
      <rPr>
        <sz val="8"/>
        <color rgb="FF404040"/>
        <rFont val="FreeSans"/>
        <family val="2"/>
      </rPr>
      <t xml:space="preserve">งาน </t>
    </r>
    <r>
      <rPr>
        <sz val="8"/>
        <color rgb="FF404040"/>
        <rFont val="Tahoma"/>
        <family val="0"/>
        <charset val="1"/>
      </rPr>
      <t xml:space="preserve">PWA, </t>
    </r>
    <r>
      <rPr>
        <sz val="8"/>
        <color rgb="FF404040"/>
        <rFont val="FreeSans"/>
        <family val="2"/>
      </rPr>
      <t xml:space="preserve">เลข </t>
    </r>
    <r>
      <rPr>
        <sz val="8"/>
        <color rgb="FF404040"/>
        <rFont val="Tahoma"/>
        <family val="0"/>
        <charset val="1"/>
      </rPr>
      <t xml:space="preserve">MP, </t>
    </r>
    <r>
      <rPr>
        <sz val="8"/>
        <color rgb="FF404040"/>
        <rFont val="FreeSans"/>
        <family val="2"/>
      </rPr>
      <t xml:space="preserve">ขนาด </t>
    </r>
    <r>
      <rPr>
        <sz val="8"/>
        <color rgb="FF404040"/>
        <rFont val="Tahoma"/>
        <family val="0"/>
        <charset val="1"/>
      </rPr>
      <t xml:space="preserve">Inverter, </t>
    </r>
    <r>
      <rPr>
        <sz val="8"/>
        <color rgb="FF404040"/>
        <rFont val="FreeSans"/>
        <family val="2"/>
      </rPr>
      <t xml:space="preserve">ผู้รับเหมา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ทีม</t>
    </r>
  </si>
  <si>
    <r>
      <rPr>
        <sz val="8"/>
        <color rgb="FF404040"/>
        <rFont val="FreeSans"/>
        <family val="2"/>
      </rPr>
      <t xml:space="preserve">    แบบสำรวจหน้างาน </t>
    </r>
    <r>
      <rPr>
        <sz val="8"/>
        <color rgb="FF404040"/>
        <rFont val="Tahoma"/>
        <family val="0"/>
        <charset val="1"/>
      </rPr>
      <t xml:space="preserve">A1–E1 (REV 00)</t>
    </r>
  </si>
  <si>
    <r>
      <rPr>
        <sz val="8"/>
        <color rgb="FF404040"/>
        <rFont val="FreeSans"/>
        <family val="2"/>
      </rPr>
      <t xml:space="preserve">แบบสำรวจ </t>
    </r>
    <r>
      <rPr>
        <sz val="8"/>
        <color rgb="FF404040"/>
        <rFont val="Tahoma"/>
        <family val="0"/>
        <charset val="1"/>
      </rPr>
      <t xml:space="preserve">A1–E1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2 </t>
    </r>
    <r>
      <rPr>
        <sz val="8"/>
        <color rgb="FF404040"/>
        <rFont val="FreeSans"/>
        <family val="2"/>
      </rPr>
      <t xml:space="preserve">ฝ่าย ออก </t>
    </r>
    <r>
      <rPr>
        <sz val="8"/>
        <color rgb="FF404040"/>
        <rFont val="Tahoma"/>
        <family val="0"/>
        <charset val="1"/>
      </rPr>
      <t xml:space="preserve">REV 00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</si>
  <si>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(45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</si>
  <si>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</si>
  <si>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</si>
  <si>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sz val="8"/>
        <color rgb="FF404040"/>
        <rFont val="FreeSans"/>
        <family val="2"/>
      </rPr>
      <t xml:space="preserve">    รายการคำนวณไฟฟ้า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โครงสร้าง</t>
    </r>
  </si>
  <si>
    <r>
      <rPr>
        <sz val="8"/>
        <color rgb="FF404040"/>
        <rFont val="FreeSans"/>
        <family val="2"/>
      </rPr>
      <t xml:space="preserve">รายการคำนวณไฟฟ้า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โยธาลงนาม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มีผลน้ำหนักบนหลังคา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</si>
  <si>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ค่าตั้ง </t>
    </r>
    <r>
      <rPr>
        <sz val="8"/>
        <color rgb="FF404040"/>
        <rFont val="Tahoma"/>
        <family val="0"/>
        <charset val="1"/>
      </rPr>
      <t xml:space="preserve">Protection / Zero export</t>
    </r>
  </si>
  <si>
    <r>
      <rPr>
        <sz val="8"/>
        <color rgb="FF404040"/>
        <rFont val="FreeSans"/>
        <family val="2"/>
      </rPr>
      <t xml:space="preserve">ตารางค่าตั้ง </t>
    </r>
    <r>
      <rPr>
        <sz val="8"/>
        <color rgb="FF404040"/>
        <rFont val="Tahoma"/>
        <family val="0"/>
        <charset val="1"/>
      </rPr>
      <t xml:space="preserve">Protection / Zero export </t>
    </r>
    <r>
      <rPr>
        <sz val="8"/>
        <color rgb="FF404040"/>
        <rFont val="FreeSans"/>
        <family val="2"/>
      </rPr>
      <t xml:space="preserve">ลงนาม</t>
    </r>
  </si>
  <si>
    <r>
      <rPr>
        <sz val="8"/>
        <color rgb="FF404040"/>
        <rFont val="FreeSans"/>
        <family val="2"/>
      </rPr>
      <t xml:space="preserve">    แบบที่ 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อนุมัติ </t>
    </r>
    <r>
      <rPr>
        <sz val="8"/>
        <color rgb="FF404040"/>
        <rFont val="Tahoma"/>
        <family val="0"/>
        <charset val="1"/>
      </rPr>
      <t xml:space="preserve">(REV </t>
    </r>
    <r>
      <rPr>
        <sz val="8"/>
        <color rgb="FF404040"/>
        <rFont val="FreeSans"/>
        <family val="2"/>
      </rPr>
      <t xml:space="preserve">ล่าสุด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</si>
  <si>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หนังสืออนุมัติแบบจาก กปภ</t>
    </r>
    <r>
      <rPr>
        <sz val="8"/>
        <color rgb="FF404040"/>
        <rFont val="Tahoma"/>
        <family val="0"/>
        <charset val="1"/>
      </rPr>
      <t xml:space="preserve">. (REV </t>
    </r>
    <r>
      <rPr>
        <sz val="8"/>
        <color rgb="FF404040"/>
        <rFont val="FreeSans"/>
        <family val="2"/>
      </rPr>
      <t xml:space="preserve">ล่าสุด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</si>
  <si>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(35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</si>
  <si>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งานติดตั้งทุกรายการ </t>
    </r>
    <r>
      <rPr>
        <sz val="9"/>
        <rFont val="Tahoma"/>
        <family val="0"/>
        <charset val="1"/>
      </rPr>
      <t xml:space="preserve">(2.x), </t>
    </r>
    <r>
      <rPr>
        <sz val="9"/>
        <rFont val="FreeSans"/>
        <family val="2"/>
      </rPr>
      <t xml:space="preserve">หนังสือแจ้งดับไฟ </t>
    </r>
    <r>
      <rPr>
        <sz val="9"/>
        <rFont val="Tahoma"/>
        <family val="0"/>
        <charset val="1"/>
      </rPr>
      <t xml:space="preserve">(0.3)</t>
    </r>
  </si>
  <si>
    <r>
      <rPr>
        <sz val="8"/>
        <color rgb="FF404040"/>
        <rFont val="FreeSans"/>
        <family val="2"/>
      </rPr>
      <t xml:space="preserve">บันทึกส่งมอบพื้นที่ลงนาม กปภ</t>
    </r>
    <r>
      <rPr>
        <sz val="8"/>
        <color rgb="FF404040"/>
        <rFont val="Tahoma"/>
        <family val="0"/>
        <charset val="1"/>
      </rPr>
      <t xml:space="preserve">.</t>
    </r>
    <r>
      <rPr>
        <sz val="8"/>
        <color rgb="FF404040"/>
        <rFont val="FreeSans"/>
        <family val="2"/>
      </rPr>
      <t xml:space="preserve">สาขา</t>
    </r>
  </si>
  <si>
    <r>
      <rPr>
        <sz val="8"/>
        <color rgb="FF404040"/>
        <rFont val="FreeSans"/>
        <family val="2"/>
      </rPr>
      <t xml:space="preserve">    สิ่งอำนวยความสะดวกหน้างาน </t>
    </r>
    <r>
      <rPr>
        <sz val="8"/>
        <color rgb="FF404040"/>
        <rFont val="Tahoma"/>
        <family val="0"/>
        <charset val="1"/>
      </rPr>
      <t xml:space="preserve">(Mobilization)</t>
    </r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</si>
  <si>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</si>
  <si>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sz val="8"/>
        <color rgb="FF404040"/>
        <rFont val="FreeSans"/>
        <family val="2"/>
      </rPr>
      <t xml:space="preserve">    คำขอปฏิบัติงาน </t>
    </r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</t>
    </r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</si>
  <si>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</si>
  <si>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sz val="9"/>
        <rFont val="FreeSans"/>
        <family val="2"/>
      </rPr>
      <t xml:space="preserve">ขออนุญาตดัดแปลงอาคาร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อ</t>
    </r>
    <r>
      <rPr>
        <sz val="9"/>
        <rFont val="Tahoma"/>
        <family val="0"/>
        <charset val="1"/>
      </rPr>
      <t xml:space="preserve">.1) / </t>
    </r>
    <r>
      <rPr>
        <sz val="9"/>
        <rFont val="FreeSans"/>
        <family val="2"/>
      </rPr>
      <t xml:space="preserve">แจ้งเทศบาลตามกฎกระทรวงยกเว้น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</si>
  <si>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(40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</si>
  <si>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การออกแบบและคำนวณโยธา </t>
    </r>
    <r>
      <rPr>
        <sz val="9"/>
        <rFont val="Tahoma"/>
        <family val="0"/>
        <charset val="1"/>
      </rPr>
      <t xml:space="preserve">(1.2.2) — 1.4 </t>
    </r>
    <r>
      <rPr>
        <sz val="9"/>
        <rFont val="FreeSans"/>
        <family val="2"/>
      </rPr>
      <t xml:space="preserve">นำผลไปยื่นเท่านั้น</t>
    </r>
  </si>
  <si>
    <r>
      <rPr>
        <sz val="8"/>
        <color rgb="FF404040"/>
        <rFont val="FreeSans"/>
        <family val="2"/>
      </rPr>
      <t xml:space="preserve">    ผลตรวจน้ำหนักบนหลังคา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เลือก 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</rPr>
      <t xml:space="preserve">แจ้ง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</si>
  <si>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ผลคำนวณน้ำหนักบนหลังคา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เลือกขอ อ</t>
    </r>
    <r>
      <rPr>
        <sz val="8"/>
        <color rgb="FF404040"/>
        <rFont val="Tahoma"/>
        <family val="0"/>
        <charset val="1"/>
      </rPr>
      <t xml:space="preserve">.1 </t>
    </r>
    <r>
      <rPr>
        <sz val="8"/>
        <color rgb="FF404040"/>
        <rFont val="FreeSans"/>
        <family val="2"/>
      </rPr>
      <t xml:space="preserve">หรือแจ้ง</t>
    </r>
  </si>
  <si>
    <r>
      <rPr>
        <sz val="8"/>
        <color rgb="FF404040"/>
        <rFont val="FreeSans"/>
        <family val="2"/>
      </rPr>
      <t xml:space="preserve">    ชุดเอกสารขออนุญาต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แจ้งเทศบาล</t>
    </r>
  </si>
  <si>
    <r>
      <rPr>
        <sz val="8"/>
        <color rgb="FF404040"/>
        <rFont val="FreeSans"/>
        <family val="2"/>
      </rPr>
      <t xml:space="preserve">ชุดเอกสารครบตามรายการของเทศบาล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อบต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</si>
  <si>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    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</rPr>
      <t xml:space="preserve">หนังสือรับแจ้งเทศบาล</t>
    </r>
  </si>
  <si>
    <r>
      <rPr>
        <sz val="8"/>
        <color rgb="FF404040"/>
        <rFont val="FreeSans"/>
        <family val="2"/>
      </rPr>
      <t xml:space="preserve">ใบรับคำขอ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ยื่น</t>
    </r>
    <r>
      <rPr>
        <sz val="8"/>
        <color rgb="FF404040"/>
        <rFont val="Tahoma"/>
        <family val="0"/>
        <charset val="1"/>
      </rPr>
      <t xml:space="preserve">) → </t>
    </r>
    <r>
      <rPr>
        <sz val="8"/>
        <color rgb="FF404040"/>
        <rFont val="FreeSans"/>
        <family val="2"/>
      </rPr>
      <t xml:space="preserve">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</rPr>
      <t xml:space="preserve">หนังสือรับแจ้ง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ได้รับ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</si>
  <si>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ยื่นขอใบอนุญาต พค</t>
    </r>
    <r>
      <rPr>
        <sz val="9"/>
        <rFont val="Tahoma"/>
        <family val="0"/>
        <charset val="1"/>
      </rPr>
      <t xml:space="preserve">.2 (Inverter ≥ 200 kVA) (</t>
    </r>
    <r>
      <rPr>
        <sz val="9"/>
        <rFont val="FreeSans"/>
        <family val="2"/>
      </rPr>
      <t xml:space="preserve">ไม่ต้องยื่น</t>
    </r>
    <r>
      <rPr>
        <sz val="9"/>
        <rFont val="Tahoma"/>
        <family val="0"/>
        <charset val="1"/>
      </rPr>
      <t xml:space="preserve">)</t>
    </r>
  </si>
  <si>
    <t xml:space="preserve">Master Plan</t>
  </si>
  <si>
    <r>
      <rPr>
        <sz val="9"/>
        <rFont val="FreeSans"/>
        <family val="2"/>
      </rPr>
      <t xml:space="preserve">การขอขนานไฟ กฟภ</t>
    </r>
    <r>
      <rPr>
        <sz val="9"/>
        <rFont val="Tahoma"/>
        <family val="0"/>
        <charset val="1"/>
      </rPr>
      <t xml:space="preserve">. (1.7), </t>
    </r>
    <r>
      <rPr>
        <sz val="9"/>
        <rFont val="FreeSans"/>
        <family val="2"/>
      </rPr>
      <t xml:space="preserve">การแจ้งยกเว้น กกพ</t>
    </r>
    <r>
      <rPr>
        <sz val="9"/>
        <rFont val="Tahoma"/>
        <family val="0"/>
        <charset val="1"/>
      </rPr>
      <t xml:space="preserve">. (1.6)</t>
    </r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</si>
  <si>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</si>
  <si>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</si>
  <si>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sz val="8"/>
        <color rgb="FF404040"/>
        <rFont val="FreeSans"/>
        <family val="2"/>
      </rPr>
      <t xml:space="preserve">    คำขอ พค</t>
    </r>
    <r>
      <rPr>
        <sz val="8"/>
        <color rgb="FF404040"/>
        <rFont val="Tahoma"/>
        <family val="0"/>
        <charset val="1"/>
      </rPr>
      <t xml:space="preserve">.2 </t>
    </r>
    <r>
      <rPr>
        <sz val="8"/>
        <color rgb="FF404040"/>
        <rFont val="FreeSans"/>
        <family val="2"/>
      </rPr>
      <t xml:space="preserve">ที่ยื่นแล้ว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</si>
  <si>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เอกสารลงนาม กปภ</t>
    </r>
    <r>
      <rPr>
        <sz val="8"/>
        <color rgb="FF404040"/>
        <rFont val="Tahoma"/>
        <family val="0"/>
        <charset val="1"/>
      </rPr>
      <t xml:space="preserve">. + </t>
    </r>
    <r>
      <rPr>
        <sz val="8"/>
        <color rgb="FF404040"/>
        <rFont val="FreeSans"/>
        <family val="2"/>
      </rPr>
      <t xml:space="preserve">หลักฐานการยื่น </t>
    </r>
    <r>
      <rPr>
        <sz val="8"/>
        <color rgb="FF404040"/>
        <rFont val="Tahoma"/>
        <family val="0"/>
        <charset val="1"/>
      </rPr>
      <t xml:space="preserve">(QR Code)</t>
    </r>
  </si>
  <si>
    <r>
      <rPr>
        <sz val="9"/>
        <rFont val="FreeSans"/>
        <family val="2"/>
      </rPr>
      <t xml:space="preserve">◆ 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 (</t>
    </r>
    <r>
      <rPr>
        <sz val="9"/>
        <rFont val="FreeSans"/>
        <family val="2"/>
      </rPr>
      <t xml:space="preserve">ไม่ต้องยื่น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</si>
  <si>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</rPr>
      <t xml:space="preserve">บันทึกวันหมดอายุ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</si>
  <si>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</rPr>
      <t xml:space="preserve">วันหมดอายุบันทึกในแอป</t>
    </r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</si>
  <si>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</si>
  <si>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ใบอนุญาต พค</t>
    </r>
    <r>
      <rPr>
        <sz val="9"/>
        <rFont val="Tahoma"/>
        <family val="0"/>
        <charset val="1"/>
      </rPr>
      <t xml:space="preserve">.2 (1.5), </t>
    </r>
    <r>
      <rPr>
        <sz val="9"/>
        <rFont val="FreeSans"/>
        <family val="2"/>
      </rPr>
      <t xml:space="preserve">การขอขนานไฟ </t>
    </r>
    <r>
      <rPr>
        <sz val="9"/>
        <rFont val="Tahoma"/>
        <family val="0"/>
        <charset val="1"/>
      </rPr>
      <t xml:space="preserve">(1.7)</t>
    </r>
  </si>
  <si>
    <r>
      <rPr>
        <sz val="8"/>
        <color rgb="FF404040"/>
        <rFont val="FreeSans"/>
        <family val="2"/>
      </rPr>
      <t xml:space="preserve">    ผลตรวจเกณฑ์ยกเว้น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</si>
  <si>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ผลตรวจเกณฑ์ยกเว้น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ช่องทางแจ้งที่เลือก</t>
    </r>
  </si>
  <si>
    <r>
      <rPr>
        <sz val="8"/>
        <color rgb="FF404040"/>
        <rFont val="FreeSans"/>
        <family val="2"/>
      </rPr>
      <t xml:space="preserve">    หลักฐานแจ้งยกเว้น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</si>
  <si>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หลักฐานการแจ้ง กกพ</t>
    </r>
    <r>
      <rPr>
        <sz val="8"/>
        <color rgb="FF404040"/>
        <rFont val="Tahoma"/>
        <family val="0"/>
        <charset val="1"/>
      </rPr>
      <t xml:space="preserve">. / </t>
    </r>
    <r>
      <rPr>
        <sz val="8"/>
        <color rgb="FF404040"/>
        <rFont val="FreeSans"/>
        <family val="2"/>
      </rPr>
      <t xml:space="preserve">ชื่อบนเว็บ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</si>
  <si>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◆ ผลพิจารณาแบบ กฟภ</t>
    </r>
    <r>
      <rPr>
        <sz val="9"/>
        <rFont val="Tahoma"/>
        <family val="0"/>
        <charset val="1"/>
      </rPr>
      <t xml:space="preserve">. (≤ 15 </t>
    </r>
    <r>
      <rPr>
        <sz val="9"/>
        <rFont val="FreeSans"/>
        <family val="2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</si>
  <si>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color rgb="FFC00000"/>
        <rFont val="FreeSans"/>
        <family val="2"/>
      </rPr>
      <t xml:space="preserve">◆ ผลตรวจระบบ </t>
    </r>
    <r>
      <rPr>
        <b val="true"/>
        <sz val="9"/>
        <color rgb="FFC00000"/>
        <rFont val="Tahoma"/>
        <family val="0"/>
        <charset val="1"/>
      </rPr>
      <t xml:space="preserve">/ </t>
    </r>
    <r>
      <rPr>
        <b val="true"/>
        <sz val="9"/>
        <color rgb="FFC00000"/>
        <rFont val="FreeSans"/>
        <family val="2"/>
      </rPr>
      <t xml:space="preserve">วันขนานไฟ </t>
    </r>
    <r>
      <rPr>
        <b val="true"/>
        <sz val="9"/>
        <color rgb="FFC00000"/>
        <rFont val="Tahoma"/>
        <family val="0"/>
        <charset val="1"/>
      </rPr>
      <t xml:space="preserve">COD (≤ 30 </t>
    </r>
    <r>
      <rPr>
        <b val="true"/>
        <sz val="9"/>
        <color rgb="FFC00000"/>
        <rFont val="FreeSans"/>
        <family val="2"/>
      </rPr>
      <t xml:space="preserve">วันทำการ</t>
    </r>
    <r>
      <rPr>
        <b val="true"/>
        <sz val="9"/>
        <color rgb="FFC00000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</si>
  <si>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</si>
  <si>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r>
      <rPr>
        <sz val="9"/>
        <rFont val="FreeSans"/>
        <family val="2"/>
      </rPr>
      <t xml:space="preserve">ติดตั้งโครงสร้างรองรับแผง และ </t>
    </r>
    <r>
      <rPr>
        <sz val="9"/>
        <rFont val="Tahoma"/>
        <family val="0"/>
        <charset val="1"/>
      </rPr>
      <t xml:space="preserve">Walkway</t>
    </r>
  </si>
  <si>
    <r>
      <rPr>
        <sz val="9"/>
        <rFont val="FreeSans"/>
        <family val="2"/>
      </rPr>
      <t xml:space="preserve">งานย่อยตามประเภทจุดติดตั้ง → ชีต ‘จุดติดตั้ง’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ถ้าระบุแล้ว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</si>
  <si>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01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</si>
  <si>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(8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</si>
  <si>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การยึดแผง </t>
    </r>
    <r>
      <rPr>
        <sz val="9"/>
        <rFont val="Tahoma"/>
        <family val="0"/>
        <charset val="1"/>
      </rPr>
      <t xml:space="preserve">(2.3.2), </t>
    </r>
    <r>
      <rPr>
        <sz val="9"/>
        <rFont val="FreeSans"/>
        <family val="2"/>
      </rPr>
      <t xml:space="preserve">รางเดินสาย </t>
    </r>
    <r>
      <rPr>
        <sz val="9"/>
        <rFont val="Tahoma"/>
        <family val="0"/>
        <charset val="1"/>
      </rPr>
      <t xml:space="preserve">DC (2.2.1), Bonding </t>
    </r>
    <r>
      <rPr>
        <sz val="9"/>
        <rFont val="FreeSans"/>
        <family val="2"/>
      </rPr>
      <t xml:space="preserve">โครง </t>
    </r>
    <r>
      <rPr>
        <sz val="9"/>
        <rFont val="Tahoma"/>
        <family val="0"/>
        <charset val="1"/>
      </rPr>
      <t xml:space="preserve">(2.2.4), </t>
    </r>
    <r>
      <rPr>
        <sz val="9"/>
        <rFont val="FreeSans"/>
        <family val="2"/>
      </rPr>
      <t xml:space="preserve">ซ่อมหลังคาเดิมนอกจุดยึด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นอกสัญญา เว้นแต่ระบุ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</si>
  <si>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ผังจุดยึด </t>
    </r>
    <r>
      <rPr>
        <sz val="8"/>
        <color rgb="FF404040"/>
        <rFont val="Tahoma"/>
        <family val="0"/>
        <charset val="1"/>
      </rPr>
      <t xml:space="preserve">(Mark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shop drawing)</t>
    </r>
  </si>
  <si>
    <r>
      <rPr>
        <sz val="8"/>
        <color rgb="FF404040"/>
        <rFont val="FreeSans"/>
        <family val="2"/>
      </rPr>
      <t xml:space="preserve">ผังจุดยึด </t>
    </r>
    <r>
      <rPr>
        <sz val="8"/>
        <color rgb="FF404040"/>
        <rFont val="Tahoma"/>
        <family val="0"/>
        <charset val="1"/>
      </rPr>
      <t xml:space="preserve">/ Mark </t>
    </r>
    <r>
      <rPr>
        <sz val="8"/>
        <color rgb="FF404040"/>
        <rFont val="FreeSans"/>
        <family val="2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shop drawing + </t>
    </r>
    <r>
      <rPr>
        <sz val="8"/>
        <color rgb="FF404040"/>
        <rFont val="FreeSans"/>
        <family val="2"/>
      </rPr>
      <t xml:space="preserve">รูปถ่าย</t>
    </r>
  </si>
  <si>
    <r>
      <rPr>
        <sz val="8"/>
        <color rgb="FF404040"/>
        <rFont val="FreeSans"/>
        <family val="2"/>
      </rPr>
      <t xml:space="preserve">    บันไดเซอร์วิส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ทางขึ้นลง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ชั่วคราว</t>
    </r>
  </si>
  <si>
    <r>
      <rPr>
        <sz val="8"/>
        <color rgb="FF404040"/>
        <rFont val="FreeSans"/>
        <family val="2"/>
      </rPr>
      <t xml:space="preserve">บันไดตรวจรับแล้ว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ยึดผนังครบ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กรงต่อเนื่อง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ทาสีกันสนิม</t>
    </r>
    <r>
      <rPr>
        <sz val="8"/>
        <color rgb="FF404040"/>
        <rFont val="Tahoma"/>
        <family val="0"/>
        <charset val="1"/>
      </rPr>
      <t xml:space="preserve">) </t>
    </r>
    <r>
      <rPr>
        <sz val="8"/>
        <color rgb="FF404040"/>
        <rFont val="FreeSans"/>
        <family val="2"/>
      </rPr>
      <t xml:space="preserve">ก่อนใช้ขึ้นลง</t>
    </r>
  </si>
  <si>
    <r>
      <rPr>
        <sz val="8"/>
        <color rgb="FF404040"/>
        <rFont val="FreeSans"/>
        <family val="2"/>
      </rPr>
      <t xml:space="preserve">    ฐานยึดโครงสร้าง </t>
    </r>
    <r>
      <rPr>
        <sz val="8"/>
        <color rgb="FF404040"/>
        <rFont val="Tahoma"/>
        <family val="0"/>
        <charset val="1"/>
      </rPr>
      <t xml:space="preserve">(Hanger bolt / Kliplok / </t>
    </r>
    <r>
      <rPr>
        <sz val="8"/>
        <color rgb="FF404040"/>
        <rFont val="FreeSans"/>
        <family val="2"/>
      </rPr>
      <t xml:space="preserve">พุก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</si>
  <si>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ฐานยึดครบทุกจุด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กันซึม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ฐานคอนกรีตบ่มครบ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</rPr>
      <t xml:space="preserve">วัน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ถ้ามี</t>
    </r>
    <r>
      <rPr>
        <sz val="8"/>
        <color rgb="FF404040"/>
        <rFont val="Tahoma"/>
        <family val="0"/>
        <charset val="1"/>
      </rPr>
      <t xml:space="preserve">), </t>
    </r>
    <r>
      <rPr>
        <sz val="8"/>
        <color rgb="FF404040"/>
        <rFont val="FreeSans"/>
        <family val="2"/>
      </rPr>
      <t xml:space="preserve">รูปถ่าย</t>
    </r>
  </si>
  <si>
    <r>
      <rPr>
        <sz val="8"/>
        <color rgb="FF404040"/>
        <rFont val="FreeSans"/>
        <family val="2"/>
      </rPr>
      <t xml:space="preserve">    โครง </t>
    </r>
    <r>
      <rPr>
        <sz val="8"/>
        <color rgb="FF404040"/>
        <rFont val="Tahoma"/>
        <family val="0"/>
        <charset val="1"/>
      </rPr>
      <t xml:space="preserve">Rail </t>
    </r>
    <r>
      <rPr>
        <sz val="8"/>
        <color rgb="FF404040"/>
        <rFont val="FreeSans"/>
        <family val="2"/>
      </rPr>
      <t xml:space="preserve">อลูมิเนียม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ขันตามแรงบิด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</si>
  <si>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</si>
  <si>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</si>
  <si>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</si>
  <si>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sz val="8"/>
        <color rgb="FF404040"/>
        <rFont val="FreeSans"/>
        <family val="2"/>
      </rPr>
      <t xml:space="preserve">    ท่อน้ำล้างแผง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ก๊อก</t>
    </r>
  </si>
  <si>
    <r>
      <rPr>
        <sz val="8"/>
        <color rgb="FF404040"/>
        <rFont val="FreeSans"/>
        <family val="2"/>
      </rPr>
      <t xml:space="preserve">ท่อน้ำ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ก๊อกครบ ทดสอบไม่รั่ว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</si>
  <si>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</si>
  <si>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โครงสร้างลงนาม วศ</t>
    </r>
    <r>
      <rPr>
        <sz val="8"/>
        <color rgb="FF404040"/>
        <rFont val="Tahoma"/>
        <family val="0"/>
        <charset val="1"/>
      </rPr>
      <t xml:space="preserve">. (</t>
    </r>
    <r>
      <rPr>
        <sz val="8"/>
        <color rgb="FF404040"/>
        <rFont val="FreeSans"/>
        <family val="2"/>
      </rPr>
      <t xml:space="preserve">ทุกจุดติดตั้ง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</si>
  <si>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ติดตั้งอุปกรณ์ไฟฟ้าด้าน </t>
    </r>
    <r>
      <rPr>
        <sz val="9"/>
        <rFont val="Tahoma"/>
        <family val="0"/>
        <charset val="1"/>
      </rPr>
      <t xml:space="preserve">DC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</si>
  <si>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(3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</si>
  <si>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สายด้าน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</rPr>
      <t xml:space="preserve">หลัง </t>
    </r>
    <r>
      <rPr>
        <sz val="9"/>
        <rFont val="Tahoma"/>
        <family val="0"/>
        <charset val="1"/>
      </rPr>
      <t xml:space="preserve">Inverter (2.5.3, 2.6), </t>
    </r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FTS / Rapid shutdown (2.4), </t>
    </r>
    <r>
      <rPr>
        <sz val="9"/>
        <rFont val="FreeSans"/>
        <family val="2"/>
      </rPr>
      <t xml:space="preserve">การทดสอบ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</rPr>
      <t xml:space="preserve">ราย </t>
    </r>
    <r>
      <rPr>
        <sz val="9"/>
        <rFont val="Tahoma"/>
        <family val="0"/>
        <charset val="1"/>
      </rPr>
      <t xml:space="preserve">String (3.1.2)</t>
    </r>
  </si>
  <si>
    <r>
      <rPr>
        <sz val="8"/>
        <color rgb="FF404040"/>
        <rFont val="FreeSans"/>
        <family val="2"/>
      </rPr>
      <t xml:space="preserve">    รางเดินสาย </t>
    </r>
    <r>
      <rPr>
        <sz val="8"/>
        <color rgb="FF404040"/>
        <rFont val="Tahoma"/>
        <family val="0"/>
        <charset val="1"/>
      </rPr>
      <t xml:space="preserve">DC (Tray / Steel support)</t>
    </r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</si>
  <si>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</si>
  <si>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sz val="8"/>
        <color rgb="FF404040"/>
        <rFont val="FreeSans"/>
        <family val="2"/>
      </rPr>
      <t xml:space="preserve">    สาย </t>
    </r>
    <r>
      <rPr>
        <sz val="8"/>
        <color rgb="FF404040"/>
        <rFont val="Tahoma"/>
        <family val="0"/>
        <charset val="1"/>
      </rPr>
      <t xml:space="preserve">PV + MC4 + </t>
    </r>
    <r>
      <rPr>
        <sz val="8"/>
        <color rgb="FF404040"/>
        <rFont val="FreeSans"/>
        <family val="2"/>
      </rPr>
      <t xml:space="preserve">ป้ายสาย</t>
    </r>
  </si>
  <si>
    <r>
      <rPr>
        <sz val="8"/>
        <color rgb="FF404040"/>
        <rFont val="FreeSans"/>
        <family val="2"/>
      </rPr>
      <t xml:space="preserve">สาย </t>
    </r>
    <r>
      <rPr>
        <sz val="8"/>
        <color rgb="FF404040"/>
        <rFont val="Tahoma"/>
        <family val="0"/>
        <charset val="1"/>
      </rPr>
      <t xml:space="preserve">PV </t>
    </r>
    <r>
      <rPr>
        <sz val="8"/>
        <color rgb="FF404040"/>
        <rFont val="FreeSans"/>
        <family val="2"/>
      </rPr>
      <t xml:space="preserve">ครบทุกสตริง </t>
    </r>
    <r>
      <rPr>
        <sz val="8"/>
        <color rgb="FF404040"/>
        <rFont val="Tahoma"/>
        <family val="0"/>
        <charset val="1"/>
      </rPr>
      <t xml:space="preserve">+ MC4 + Label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String map</t>
    </r>
  </si>
  <si>
    <r>
      <rPr>
        <sz val="8"/>
        <color rgb="FF404040"/>
        <rFont val="FreeSans"/>
        <family val="2"/>
      </rPr>
      <t xml:space="preserve">    ตู้ </t>
    </r>
    <r>
      <rPr>
        <sz val="8"/>
        <color rgb="FF404040"/>
        <rFont val="Tahoma"/>
        <family val="0"/>
        <charset val="1"/>
      </rPr>
      <t xml:space="preserve">DC-DB (Fuse + SPD)</t>
    </r>
  </si>
  <si>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DC-DB </t>
    </r>
    <r>
      <rPr>
        <sz val="8"/>
        <color rgb="FF404040"/>
        <rFont val="FreeSans"/>
        <family val="2"/>
      </rPr>
      <t xml:space="preserve">ครบ</t>
    </r>
    <r>
      <rPr>
        <sz val="8"/>
        <color rgb="FF404040"/>
        <rFont val="Tahoma"/>
        <family val="0"/>
        <charset val="1"/>
      </rPr>
      <t xml:space="preserve">: Fuse </t>
    </r>
    <r>
      <rPr>
        <sz val="8"/>
        <color rgb="FF404040"/>
        <rFont val="FreeSans"/>
        <family val="2"/>
      </rPr>
      <t xml:space="preserve">ทุกสตริง</t>
    </r>
    <r>
      <rPr>
        <sz val="8"/>
        <color rgb="FF404040"/>
        <rFont val="Tahoma"/>
        <family val="0"/>
        <charset val="1"/>
      </rPr>
      <t xml:space="preserve">, SPD </t>
    </r>
    <r>
      <rPr>
        <sz val="8"/>
        <color rgb="FF404040"/>
        <rFont val="FreeSans"/>
        <family val="2"/>
      </rPr>
      <t xml:space="preserve">ถูกชนิด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ป้ายชื่อ</t>
    </r>
    <r>
      <rPr>
        <sz val="8"/>
        <color rgb="FF404040"/>
        <rFont val="Tahoma"/>
        <family val="0"/>
        <charset val="1"/>
      </rPr>
      <t xml:space="preserve">, IP65 </t>
    </r>
    <r>
      <rPr>
        <sz val="8"/>
        <color rgb="FF404040"/>
        <rFont val="FreeSans"/>
        <family val="2"/>
      </rPr>
      <t xml:space="preserve">ถ้าอยู่นอกอาคาร</t>
    </r>
  </si>
  <si>
    <r>
      <rPr>
        <sz val="8"/>
        <color rgb="FF404040"/>
        <rFont val="FreeSans"/>
        <family val="2"/>
      </rPr>
      <t xml:space="preserve">    ระบบต่อลงดินโครงแผง </t>
    </r>
    <r>
      <rPr>
        <sz val="8"/>
        <color rgb="FF404040"/>
        <rFont val="Tahoma"/>
        <family val="0"/>
        <charset val="1"/>
      </rPr>
      <t xml:space="preserve">(Bonding)</t>
    </r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</si>
  <si>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</si>
  <si>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</si>
  <si>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</t>
    </r>
    <r>
      <rPr>
        <sz val="8"/>
        <color rgb="FF404040"/>
        <rFont val="FreeSans"/>
        <family val="2"/>
      </rPr>
      <t xml:space="preserve">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</si>
  <si>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(2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</si>
  <si>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โครงสร้างและ </t>
    </r>
    <r>
      <rPr>
        <sz val="9"/>
        <rFont val="Tahoma"/>
        <family val="0"/>
        <charset val="1"/>
      </rPr>
      <t xml:space="preserve">Rail (2.1), </t>
    </r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PV </t>
    </r>
    <r>
      <rPr>
        <sz val="9"/>
        <rFont val="FreeSans"/>
        <family val="2"/>
      </rPr>
      <t xml:space="preserve">จากแผงถึงตู้ </t>
    </r>
    <r>
      <rPr>
        <sz val="9"/>
        <rFont val="Tahoma"/>
        <family val="0"/>
        <charset val="1"/>
      </rPr>
      <t xml:space="preserve">DC (2.2.2)</t>
    </r>
  </si>
  <si>
    <r>
      <rPr>
        <sz val="8"/>
        <color rgb="FF404040"/>
        <rFont val="FreeSans"/>
        <family val="2"/>
      </rPr>
      <t xml:space="preserve">    แผงถึงจุดติดตั้ง </t>
    </r>
    <r>
      <rPr>
        <sz val="8"/>
        <color rgb="FF404040"/>
        <rFont val="Tahoma"/>
        <family val="0"/>
        <charset val="1"/>
      </rPr>
      <t xml:space="preserve">(Lifting plan)</t>
    </r>
  </si>
  <si>
    <r>
      <rPr>
        <sz val="8"/>
        <color rgb="FF404040"/>
        <rFont val="FreeSans"/>
        <family val="2"/>
      </rPr>
      <t xml:space="preserve">แผงถึงจุดติดตั้งครบตาม </t>
    </r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ไม่มีแผงเสียหาย</t>
    </r>
  </si>
  <si>
    <r>
      <rPr>
        <sz val="8"/>
        <color rgb="FF404040"/>
        <rFont val="FreeSans"/>
        <family val="2"/>
      </rPr>
      <t xml:space="preserve">    แผงบนโครง </t>
    </r>
    <r>
      <rPr>
        <sz val="8"/>
        <color rgb="FF404040"/>
        <rFont val="Tahoma"/>
        <family val="0"/>
        <charset val="1"/>
      </rPr>
      <t xml:space="preserve">(Clamp </t>
    </r>
    <r>
      <rPr>
        <sz val="8"/>
        <color rgb="FF404040"/>
        <rFont val="FreeSans"/>
        <family val="2"/>
      </rPr>
      <t xml:space="preserve">ตามแรงบิด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</si>
  <si>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แผงครบตาม </t>
    </r>
    <r>
      <rPr>
        <sz val="8"/>
        <color rgb="FF404040"/>
        <rFont val="Tahoma"/>
        <family val="0"/>
        <charset val="1"/>
      </rPr>
      <t xml:space="preserve">Layout 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Clamp</t>
    </r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</si>
  <si>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</si>
  <si>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r>
      <rPr>
        <sz val="8"/>
        <color rgb="FF404040"/>
        <rFont val="FreeSans"/>
        <family val="2"/>
      </rPr>
      <t xml:space="preserve">ต่อสายครบทุกสตริงตาม </t>
    </r>
    <r>
      <rPr>
        <sz val="8"/>
        <color rgb="FF404040"/>
        <rFont val="Tahoma"/>
        <family val="0"/>
        <charset val="1"/>
      </rPr>
      <t xml:space="preserve">String map, Voc </t>
    </r>
    <r>
      <rPr>
        <sz val="8"/>
        <color rgb="FF404040"/>
        <rFont val="FreeSans"/>
        <family val="2"/>
      </rPr>
      <t xml:space="preserve">ตรงตามคำนวณ</t>
    </r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</si>
  <si>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</si>
  <si>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 </t>
    </r>
    <r>
      <rPr>
        <sz val="8"/>
        <color rgb="FF404040"/>
        <rFont val="FreeSans"/>
        <family val="2"/>
      </rPr>
      <t xml:space="preserve">ครบทุกแผง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รูปมุมสูง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</si>
  <si>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</si>
  <si>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แผงลงนาม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</si>
  <si>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ติดตั้งอุปกรณ์หยุดทำงานฉุกเฉิน </t>
    </r>
    <r>
      <rPr>
        <sz val="9"/>
        <rFont val="Tahoma"/>
        <family val="0"/>
        <charset val="1"/>
      </rPr>
      <t xml:space="preserve">(Firefighter Safety Switch)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</si>
  <si>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DC-DB (2.2.3), </t>
    </r>
    <r>
      <rPr>
        <sz val="9"/>
        <rFont val="FreeSans"/>
        <family val="2"/>
      </rPr>
      <t xml:space="preserve">การทดสอบ </t>
    </r>
    <r>
      <rPr>
        <sz val="9"/>
        <rFont val="Tahoma"/>
        <family val="0"/>
        <charset val="1"/>
      </rPr>
      <t xml:space="preserve">FTS (3.1.4)</t>
    </r>
  </si>
  <si>
    <r>
      <rPr>
        <sz val="8"/>
        <color rgb="FF404040"/>
        <rFont val="FreeSans"/>
        <family val="2"/>
      </rPr>
      <t xml:space="preserve">    ตู้ </t>
    </r>
    <r>
      <rPr>
        <sz val="8"/>
        <color rgb="FF404040"/>
        <rFont val="Tahoma"/>
        <family val="0"/>
        <charset val="1"/>
      </rPr>
      <t xml:space="preserve">FTS-DB (Rapid shutdown)</t>
    </r>
  </si>
  <si>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FTS-DB </t>
    </r>
    <r>
      <rPr>
        <sz val="8"/>
        <color rgb="FF404040"/>
        <rFont val="FreeSans"/>
        <family val="2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E11 (4 </t>
    </r>
    <r>
      <rPr>
        <sz val="8"/>
        <color rgb="FF404040"/>
        <rFont val="FreeSans"/>
        <family val="2"/>
      </rPr>
      <t xml:space="preserve">สตริงต่อ </t>
    </r>
    <r>
      <rPr>
        <sz val="8"/>
        <color rgb="FF404040"/>
        <rFont val="Tahoma"/>
        <family val="0"/>
        <charset val="1"/>
      </rPr>
      <t xml:space="preserve">FTS)</t>
    </r>
  </si>
  <si>
    <r>
      <rPr>
        <sz val="8"/>
        <color rgb="FF404040"/>
        <rFont val="FreeSans"/>
        <family val="2"/>
      </rPr>
      <t xml:space="preserve">    วงจรควบคุม </t>
    </r>
    <r>
      <rPr>
        <sz val="8"/>
        <color rgb="FF404040"/>
        <rFont val="Tahoma"/>
        <family val="0"/>
        <charset val="1"/>
      </rPr>
      <t xml:space="preserve">E-Stop + </t>
    </r>
    <r>
      <rPr>
        <sz val="8"/>
        <color rgb="FF404040"/>
        <rFont val="FreeSans"/>
        <family val="2"/>
      </rPr>
      <t xml:space="preserve">ป้ายเตือน</t>
    </r>
  </si>
  <si>
    <r>
      <rPr>
        <sz val="8"/>
        <color rgb="FF404040"/>
        <rFont val="FreeSans"/>
        <family val="2"/>
      </rPr>
      <t xml:space="preserve">สายควบคุม </t>
    </r>
    <r>
      <rPr>
        <sz val="8"/>
        <color rgb="FF404040"/>
        <rFont val="Tahoma"/>
        <family val="0"/>
        <charset val="1"/>
      </rPr>
      <t xml:space="preserve">+ E-Stop + </t>
    </r>
    <r>
      <rPr>
        <sz val="8"/>
        <color rgb="FF404040"/>
        <rFont val="FreeSans"/>
        <family val="2"/>
      </rPr>
      <t xml:space="preserve">ป้ายเตือนครบ</t>
    </r>
  </si>
  <si>
    <r>
      <rPr>
        <sz val="9"/>
        <rFont val="FreeSans"/>
        <family val="2"/>
      </rPr>
      <t xml:space="preserve">ติดตั้ง </t>
    </r>
    <r>
      <rPr>
        <sz val="9"/>
        <rFont val="Tahoma"/>
        <family val="0"/>
        <charset val="1"/>
      </rPr>
      <t xml:space="preserve">Inverter</t>
    </r>
  </si>
  <si>
    <t xml:space="preserve">Inverter 125 kW</t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</si>
  <si>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(2.7.1), </t>
    </r>
    <r>
      <rPr>
        <sz val="9"/>
        <rFont val="FreeSans"/>
        <family val="2"/>
      </rPr>
      <t xml:space="preserve">สาย </t>
    </r>
    <r>
      <rPr>
        <sz val="9"/>
        <rFont val="Tahoma"/>
        <family val="0"/>
        <charset val="1"/>
      </rPr>
      <t xml:space="preserve">AC-DB → MDB (2.6.1), Start-up </t>
    </r>
    <r>
      <rPr>
        <sz val="9"/>
        <rFont val="FreeSans"/>
        <family val="2"/>
      </rPr>
      <t xml:space="preserve">และตั้งค่า </t>
    </r>
    <r>
      <rPr>
        <sz val="9"/>
        <rFont val="Tahoma"/>
        <family val="0"/>
        <charset val="1"/>
      </rPr>
      <t xml:space="preserve">(3.1.5)</t>
    </r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</si>
  <si>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</si>
  <si>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</si>
  <si>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</si>
  <si>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</si>
  <si>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sz val="8"/>
        <color rgb="FF404040"/>
        <rFont val="FreeSans"/>
        <family val="2"/>
      </rPr>
      <t xml:space="preserve">    สาย </t>
    </r>
    <r>
      <rPr>
        <sz val="8"/>
        <color rgb="FF404040"/>
        <rFont val="Tahoma"/>
        <family val="0"/>
        <charset val="1"/>
      </rPr>
      <t xml:space="preserve">AC Inverter → AC-DB</t>
    </r>
  </si>
  <si>
    <r>
      <rPr>
        <sz val="8"/>
        <color rgb="FF404040"/>
        <rFont val="FreeSans"/>
        <family val="2"/>
      </rPr>
      <t xml:space="preserve">สาย </t>
    </r>
    <r>
      <rPr>
        <sz val="8"/>
        <color rgb="FF404040"/>
        <rFont val="Tahoma"/>
        <family val="0"/>
        <charset val="1"/>
      </rPr>
      <t xml:space="preserve">Inverter → AC-DB </t>
    </r>
    <r>
      <rPr>
        <sz val="8"/>
        <color rgb="FF404040"/>
        <rFont val="FreeSans"/>
        <family val="2"/>
      </rPr>
      <t xml:space="preserve">ครบ ขันขั้วตามค่า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</si>
  <si>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Inverter </t>
    </r>
    <r>
      <rPr>
        <sz val="8"/>
        <color rgb="FF404040"/>
        <rFont val="FreeSans"/>
        <family val="2"/>
      </rPr>
      <t xml:space="preserve">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</si>
  <si>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ติดตั้งอุปกรณ์ไฟฟ้าด้าน </t>
    </r>
    <r>
      <rPr>
        <sz val="9"/>
        <rFont val="Tahoma"/>
        <family val="0"/>
        <charset val="1"/>
      </rPr>
      <t xml:space="preserve">AC</t>
    </r>
  </si>
  <si>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HV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</si>
  <si>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AC-DB / METER-DB (2.7), </t>
    </r>
    <r>
      <rPr>
        <sz val="9"/>
        <rFont val="FreeSans"/>
        <family val="2"/>
      </rPr>
      <t xml:space="preserve">อุปกรณ์ </t>
    </r>
    <r>
      <rPr>
        <sz val="9"/>
        <rFont val="Tahoma"/>
        <family val="0"/>
        <charset val="1"/>
      </rPr>
      <t xml:space="preserve">22 kV (2.8.2), </t>
    </r>
    <r>
      <rPr>
        <sz val="9"/>
        <rFont val="FreeSans"/>
        <family val="2"/>
      </rPr>
      <t xml:space="preserve">การเชื่อมจุดต่อในวันดับไฟ </t>
    </r>
    <r>
      <rPr>
        <sz val="9"/>
        <rFont val="Tahoma"/>
        <family val="0"/>
        <charset val="1"/>
      </rPr>
      <t xml:space="preserve">(2.10 — 2.6.2 </t>
    </r>
    <r>
      <rPr>
        <sz val="9"/>
        <rFont val="FreeSans"/>
        <family val="2"/>
      </rPr>
      <t xml:space="preserve">เตรียม </t>
    </r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เท่านั้น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</si>
  <si>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แนวสาย </t>
    </r>
    <r>
      <rPr>
        <sz val="8"/>
        <color rgb="FF404040"/>
        <rFont val="Tahoma"/>
        <family val="0"/>
        <charset val="1"/>
      </rPr>
      <t xml:space="preserve">AC </t>
    </r>
    <r>
      <rPr>
        <sz val="8"/>
        <color rgb="FF404040"/>
        <rFont val="FreeSans"/>
        <family val="2"/>
      </rPr>
      <t xml:space="preserve">ถึงจุดเชื่อม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ราง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สาย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</si>
  <si>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แนวท่อ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รางสาย </t>
    </r>
    <r>
      <rPr>
        <sz val="8"/>
        <color rgb="FF404040"/>
        <rFont val="Tahoma"/>
        <family val="0"/>
        <charset val="1"/>
      </rPr>
      <t xml:space="preserve">AC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สายถึงจุดเชื่อม</t>
    </r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</si>
  <si>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</si>
  <si>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</si>
  <si>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sz val="8"/>
        <color rgb="FF404040"/>
        <rFont val="FreeSans"/>
        <family val="2"/>
      </rPr>
      <t xml:space="preserve">    ระบบดินฝั่ง </t>
    </r>
    <r>
      <rPr>
        <sz val="8"/>
        <color rgb="FF404040"/>
        <rFont val="Tahoma"/>
        <family val="0"/>
        <charset val="1"/>
      </rPr>
      <t xml:space="preserve">AC (&lt; 5 Ω)</t>
    </r>
  </si>
  <si>
    <r>
      <rPr>
        <sz val="8"/>
        <color rgb="FF404040"/>
        <rFont val="FreeSans"/>
        <family val="2"/>
      </rPr>
      <t xml:space="preserve">ผลวัดค่าดิน </t>
    </r>
    <r>
      <rPr>
        <sz val="8"/>
        <color rgb="FF404040"/>
        <rFont val="Tahoma"/>
        <family val="0"/>
        <charset val="1"/>
      </rPr>
      <t xml:space="preserve">&lt; 5 Ω (</t>
    </r>
    <r>
      <rPr>
        <sz val="8"/>
        <color rgb="FF404040"/>
        <rFont val="FreeSans"/>
        <family val="2"/>
      </rPr>
      <t xml:space="preserve">บันทึกค่า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</si>
  <si>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ไฟแสงสว่าง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เต้ารับ </t>
    </r>
    <r>
      <rPr>
        <sz val="8"/>
        <color rgb="FF404040"/>
        <rFont val="Tahoma"/>
        <family val="0"/>
        <charset val="1"/>
      </rPr>
      <t xml:space="preserve">Inverter station</t>
    </r>
  </si>
  <si>
    <r>
      <rPr>
        <sz val="8"/>
        <color rgb="FF404040"/>
        <rFont val="FreeSans"/>
        <family val="2"/>
      </rPr>
      <t xml:space="preserve">ไฟแสงสว่าง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เต้ารับ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ใช้งานได้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</si>
  <si>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</si>
  <si>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 + </t>
    </r>
    <r>
      <rPr>
        <sz val="8"/>
        <color rgb="FF404040"/>
        <rFont val="FreeSans"/>
        <family val="2"/>
      </rPr>
      <t xml:space="preserve">ผลวัดค่าดิน</t>
    </r>
  </si>
  <si>
    <r>
      <rPr>
        <sz val="9"/>
        <rFont val="FreeSans"/>
        <family val="2"/>
      </rPr>
      <t xml:space="preserve">ติดตั้งตู้ควบคุมระบบไฟฟ้า </t>
    </r>
    <r>
      <rPr>
        <sz val="9"/>
        <rFont val="Tahoma"/>
        <family val="0"/>
        <charset val="1"/>
      </rPr>
      <t xml:space="preserve">Solar Rooftop</t>
    </r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</si>
  <si>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</si>
  <si>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r>
      <rPr>
        <sz val="8"/>
        <color rgb="FF404040"/>
        <rFont val="FreeSans"/>
        <family val="2"/>
      </rPr>
      <t xml:space="preserve">    ตู้ </t>
    </r>
    <r>
      <rPr>
        <sz val="8"/>
        <color rgb="FF404040"/>
        <rFont val="Tahoma"/>
        <family val="0"/>
        <charset val="1"/>
      </rPr>
      <t xml:space="preserve">AC-DB (MCCB, ELR, SPD, DPM)</t>
    </r>
  </si>
  <si>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ครบ</t>
    </r>
    <r>
      <rPr>
        <sz val="8"/>
        <color rgb="FF404040"/>
        <rFont val="Tahoma"/>
        <family val="0"/>
        <charset val="1"/>
      </rPr>
      <t xml:space="preserve">: MCCB, ELR, SPD, DPM + </t>
    </r>
    <r>
      <rPr>
        <sz val="8"/>
        <color rgb="FF404040"/>
        <rFont val="FreeSans"/>
        <family val="2"/>
      </rPr>
      <t xml:space="preserve">ป้ายชื่อ</t>
    </r>
  </si>
  <si>
    <r>
      <rPr>
        <sz val="8"/>
        <color rgb="FF404040"/>
        <rFont val="FreeSans"/>
        <family val="2"/>
      </rPr>
      <t xml:space="preserve">    ตู้ </t>
    </r>
    <r>
      <rPr>
        <sz val="8"/>
        <color rgb="FF404040"/>
        <rFont val="Tahoma"/>
        <family val="0"/>
        <charset val="1"/>
      </rPr>
      <t xml:space="preserve">METER-DB (Revenue meter + CT 0.5S)</t>
    </r>
  </si>
  <si>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METER-DB + Revenue meter + VPN </t>
    </r>
    <r>
      <rPr>
        <sz val="8"/>
        <color rgb="FF404040"/>
        <rFont val="FreeSans"/>
        <family val="2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E16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</si>
  <si>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</si>
  <si>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ตู้ควบคุมลงนาม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</si>
  <si>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ระบบสื่อสาร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ป้องกันไฟไหลย้อน </t>
    </r>
    <r>
      <rPr>
        <sz val="9"/>
        <rFont val="Tahoma"/>
        <family val="0"/>
        <charset val="1"/>
      </rPr>
      <t xml:space="preserve">(Zero Export Controller)</t>
    </r>
  </si>
  <si>
    <t xml:space="preserve">Zero export HV</t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</si>
  <si>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(1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</si>
  <si>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ตู้ </t>
    </r>
    <r>
      <rPr>
        <sz val="9"/>
        <rFont val="Tahoma"/>
        <family val="0"/>
        <charset val="1"/>
      </rPr>
      <t xml:space="preserve">METER-DB (2.7.2), Data logger </t>
    </r>
    <r>
      <rPr>
        <sz val="9"/>
        <rFont val="FreeSans"/>
        <family val="2"/>
      </rPr>
      <t xml:space="preserve">และการเชื่อม </t>
    </r>
    <r>
      <rPr>
        <sz val="9"/>
        <rFont val="Tahoma"/>
        <family val="0"/>
        <charset val="1"/>
      </rPr>
      <t xml:space="preserve">Data center (2.9), </t>
    </r>
    <r>
      <rPr>
        <sz val="9"/>
        <rFont val="FreeSans"/>
        <family val="2"/>
      </rPr>
      <t xml:space="preserve">การทดสอบ </t>
    </r>
    <r>
      <rPr>
        <sz val="9"/>
        <rFont val="Tahoma"/>
        <family val="0"/>
        <charset val="1"/>
      </rPr>
      <t xml:space="preserve">Zero export (3.1.5)</t>
    </r>
  </si>
  <si>
    <r>
      <rPr>
        <sz val="8"/>
        <color rgb="FF404040"/>
        <rFont val="FreeSans"/>
        <family val="2"/>
      </rPr>
      <t xml:space="preserve">    ◆ อนุญาตเข้าทำงานเสา </t>
    </r>
    <r>
      <rPr>
        <sz val="8"/>
        <color rgb="FF404040"/>
        <rFont val="Tahoma"/>
        <family val="0"/>
        <charset val="1"/>
      </rPr>
      <t xml:space="preserve">22 kV (</t>
    </r>
    <r>
      <rPr>
        <sz val="8"/>
        <color rgb="FF404040"/>
        <rFont val="FreeSans"/>
        <family val="2"/>
      </rPr>
      <t xml:space="preserve">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</si>
  <si>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</rPr>
      <t xml:space="preserve">    ชุดอุปกรณ์กันย้อน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</rPr>
      <t xml:space="preserve">บนเสา </t>
    </r>
    <r>
      <rPr>
        <sz val="8"/>
        <color rgb="FF404040"/>
        <rFont val="Tahoma"/>
        <family val="0"/>
        <charset val="1"/>
      </rPr>
      <t xml:space="preserve">(E18)</t>
    </r>
  </si>
  <si>
    <r>
      <rPr>
        <sz val="8"/>
        <color rgb="FF404040"/>
        <rFont val="FreeSans"/>
        <family val="2"/>
      </rPr>
      <t xml:space="preserve">อุปกรณ์บนเสา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E18, </t>
    </r>
    <r>
      <rPr>
        <sz val="8"/>
        <color rgb="FF404040"/>
        <rFont val="FreeSans"/>
        <family val="2"/>
      </rPr>
      <t xml:space="preserve">หลักดิน </t>
    </r>
    <r>
      <rPr>
        <sz val="8"/>
        <color rgb="FF404040"/>
        <rFont val="Tahoma"/>
        <family val="0"/>
        <charset val="1"/>
      </rPr>
      <t xml:space="preserve">HV / LV </t>
    </r>
    <r>
      <rPr>
        <sz val="8"/>
        <color rgb="FF404040"/>
        <rFont val="FreeSans"/>
        <family val="2"/>
      </rPr>
      <t xml:space="preserve">ตามระยะ</t>
    </r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</si>
  <si>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</si>
  <si>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</si>
  <si>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ตู้ </t>
    </r>
    <r>
      <rPr>
        <sz val="8"/>
        <color rgb="FF404040"/>
        <rFont val="Tahoma"/>
        <family val="0"/>
        <charset val="1"/>
      </rPr>
      <t xml:space="preserve">PQM / Smart Energy Manager</t>
    </r>
  </si>
  <si>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PQM / SEM </t>
    </r>
    <r>
      <rPr>
        <sz val="8"/>
        <color rgb="FF404040"/>
        <rFont val="FreeSans"/>
        <family val="2"/>
      </rPr>
      <t xml:space="preserve">ครบ อ่านค่าได้</t>
    </r>
  </si>
  <si>
    <r>
      <rPr>
        <sz val="8"/>
        <color rgb="FF404040"/>
        <rFont val="FreeSans"/>
        <family val="2"/>
      </rPr>
      <t xml:space="preserve">    เครือข่ายสื่อสาร </t>
    </r>
    <r>
      <rPr>
        <sz val="8"/>
        <color rgb="FF404040"/>
        <rFont val="Tahoma"/>
        <family val="0"/>
        <charset val="1"/>
      </rPr>
      <t xml:space="preserve">(Fiber / CAT6 / RS485 / VPN)</t>
    </r>
  </si>
  <si>
    <r>
      <rPr>
        <sz val="8"/>
        <color rgb="FF404040"/>
        <rFont val="FreeSans"/>
        <family val="2"/>
      </rPr>
      <t xml:space="preserve">สื่อสารถึง </t>
    </r>
    <r>
      <rPr>
        <sz val="8"/>
        <color rgb="FF404040"/>
        <rFont val="Tahoma"/>
        <family val="0"/>
        <charset val="1"/>
      </rPr>
      <t xml:space="preserve">Inverter / </t>
    </r>
    <r>
      <rPr>
        <sz val="8"/>
        <color rgb="FF404040"/>
        <rFont val="FreeSans"/>
        <family val="2"/>
      </rPr>
      <t xml:space="preserve">มิเตอร์ครบ ทดสอบ </t>
    </r>
    <r>
      <rPr>
        <sz val="8"/>
        <color rgb="FF404040"/>
        <rFont val="Tahoma"/>
        <family val="0"/>
        <charset val="1"/>
      </rPr>
      <t xml:space="preserve">ping </t>
    </r>
    <r>
      <rPr>
        <sz val="8"/>
        <color rgb="FF404040"/>
        <rFont val="FreeSans"/>
        <family val="2"/>
      </rPr>
      <t xml:space="preserve">ได้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</si>
  <si>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</si>
  <si>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r>
      <rPr>
        <sz val="8"/>
        <color rgb="FF404040"/>
        <rFont val="FreeSans"/>
        <family val="2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</rPr>
      <t xml:space="preserve">กันย้อนลงนาม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</si>
  <si>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</rPr>
      <t xml:space="preserve">ระบบประมวลผลการผลิตไฟฟ้า </t>
    </r>
    <r>
      <rPr>
        <sz val="9"/>
        <rFont val="Tahoma"/>
        <family val="0"/>
        <charset val="1"/>
      </rPr>
      <t xml:space="preserve">(Solar Monitoring)</t>
    </r>
  </si>
  <si>
    <r>
      <rPr>
        <sz val="9"/>
        <rFont val="FreeSans"/>
        <family val="2"/>
      </rPr>
      <t xml:space="preserve">อุปกรณ์สื่อสาร </t>
    </r>
    <r>
      <rPr>
        <sz val="9"/>
        <rFont val="Tahoma"/>
        <family val="0"/>
        <charset val="1"/>
      </rPr>
      <t xml:space="preserve">Fiber/VPN (2.8.4), Monitoring </t>
    </r>
    <r>
      <rPr>
        <sz val="9"/>
        <rFont val="FreeSans"/>
        <family val="2"/>
      </rPr>
      <t xml:space="preserve">ออนระบบหลัง </t>
    </r>
    <r>
      <rPr>
        <sz val="9"/>
        <rFont val="Tahoma"/>
        <family val="0"/>
        <charset val="1"/>
      </rPr>
      <t xml:space="preserve">COD (3.2.7)</t>
    </r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</si>
  <si>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</si>
  <si>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</si>
  <si>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    ผลทดสอบส่งข้อมูลมิเตอร์ </t>
    </r>
    <r>
      <rPr>
        <sz val="8"/>
        <color rgb="FF404040"/>
        <rFont val="Tahoma"/>
        <family val="0"/>
        <charset val="1"/>
      </rPr>
      <t xml:space="preserve">/ Inverter</t>
    </r>
  </si>
  <si>
    <r>
      <rPr>
        <sz val="8"/>
        <color rgb="FF404040"/>
        <rFont val="FreeSans"/>
        <family val="2"/>
      </rPr>
      <t xml:space="preserve">ข้อมูล </t>
    </r>
    <r>
      <rPr>
        <sz val="8"/>
        <color rgb="FF404040"/>
        <rFont val="Tahoma"/>
        <family val="0"/>
        <charset val="1"/>
      </rPr>
      <t xml:space="preserve">Inverter / Revenue meter / PQ meter </t>
    </r>
    <r>
      <rPr>
        <sz val="8"/>
        <color rgb="FF404040"/>
        <rFont val="FreeSans"/>
        <family val="2"/>
      </rPr>
      <t xml:space="preserve">ขึ้นครบ</t>
    </r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</si>
  <si>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</si>
  <si>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ค่าแสง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อุณหภูมิแผงขึ้นใน </t>
    </r>
    <r>
      <rPr>
        <sz val="8"/>
        <color rgb="FF404040"/>
        <rFont val="Tahoma"/>
        <family val="0"/>
        <charset val="1"/>
      </rPr>
      <t xml:space="preserve">Data logger</t>
    </r>
  </si>
  <si>
    <r>
      <rPr>
        <sz val="9"/>
        <rFont val="FreeSans"/>
        <family val="2"/>
      </rPr>
      <t xml:space="preserve">ระบบเชื่อมกับ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แล้ว และจ่ายไฟคืนได้ </t>
    </r>
    <r>
      <rPr>
        <sz val="9"/>
        <rFont val="Tahoma"/>
        <family val="0"/>
        <charset val="1"/>
      </rPr>
      <t xml:space="preserve">(Tie-in)</t>
    </r>
  </si>
  <si>
    <r>
      <rPr>
        <sz val="9"/>
        <rFont val="FreeSans"/>
        <family val="2"/>
      </rPr>
      <t xml:space="preserve">งานติดตั้งก่อนวันดับไฟ </t>
    </r>
    <r>
      <rPr>
        <sz val="9"/>
        <rFont val="Tahoma"/>
        <family val="0"/>
        <charset val="1"/>
      </rPr>
      <t xml:space="preserve">(2.1–2.9), </t>
    </r>
    <r>
      <rPr>
        <sz val="9"/>
        <rFont val="FreeSans"/>
        <family val="2"/>
      </rPr>
      <t xml:space="preserve">ขนานไฟกับ กฟภ</t>
    </r>
    <r>
      <rPr>
        <sz val="9"/>
        <rFont val="Tahoma"/>
        <family val="0"/>
        <charset val="1"/>
      </rPr>
      <t xml:space="preserve">. (1.7.6) — Tie-in </t>
    </r>
    <r>
      <rPr>
        <sz val="9"/>
        <rFont val="FreeSans"/>
        <family val="2"/>
      </rPr>
      <t xml:space="preserve">คือเชื่อมกับระบบของสถานี ไม่ใช่การได้ </t>
    </r>
    <r>
      <rPr>
        <sz val="9"/>
        <rFont val="Tahoma"/>
        <family val="0"/>
        <charset val="1"/>
      </rPr>
      <t xml:space="preserve">COD</t>
    </r>
  </si>
  <si>
    <t xml:space="preserve">R05, R07</t>
  </si>
  <si>
    <r>
      <rPr>
        <sz val="8"/>
        <color rgb="FF404040"/>
        <rFont val="FreeSans"/>
        <family val="2"/>
      </rPr>
      <t xml:space="preserve">    จุดต่อร่วมกับ </t>
    </r>
    <r>
      <rPr>
        <sz val="8"/>
        <color rgb="FF404040"/>
        <rFont val="Tahoma"/>
        <family val="0"/>
        <charset val="1"/>
      </rPr>
      <t xml:space="preserve">MDB (</t>
    </r>
    <r>
      <rPr>
        <sz val="8"/>
        <color rgb="FF404040"/>
        <rFont val="FreeSans"/>
        <family val="2"/>
      </rPr>
      <t xml:space="preserve">ดับไฟ </t>
    </r>
    <r>
      <rPr>
        <sz val="8"/>
        <color rgb="FF404040"/>
        <rFont val="Tahoma"/>
        <family val="0"/>
        <charset val="1"/>
      </rPr>
      <t xml:space="preserve">+ LOTO)</t>
    </r>
  </si>
  <si>
    <r>
      <rPr>
        <sz val="8"/>
        <color rgb="FF404040"/>
        <rFont val="FreeSans"/>
        <family val="2"/>
      </rPr>
      <t xml:space="preserve">    ระบบจ่ายไฟคืน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ลำดับเฟส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แรงดันถูกต้อง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</si>
  <si>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จ่ายไฟคืน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ลำดับเฟส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แรงดันถูก บันทึกค่า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</si>
  <si>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</si>
  <si>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</si>
  <si>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r>
      <rPr>
        <sz val="9"/>
        <rFont val="FreeSans"/>
        <family val="2"/>
      </rPr>
      <t xml:space="preserve">ทดสอบการทำงานของระบบผลิตไฟฟ้า </t>
    </r>
    <r>
      <rPr>
        <sz val="9"/>
        <rFont val="Tahoma"/>
        <family val="0"/>
        <charset val="1"/>
      </rPr>
      <t xml:space="preserve">(Pre-Commissioning / IEC 62446)</t>
    </r>
  </si>
  <si>
    <r>
      <rPr>
        <sz val="9"/>
        <rFont val="FreeSans"/>
        <family val="2"/>
      </rPr>
      <t xml:space="preserve">งานติดตั้ง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แก้ไขที่พบจากการทดสอบ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นับในงาน </t>
    </r>
    <r>
      <rPr>
        <sz val="9"/>
        <rFont val="Tahoma"/>
        <family val="0"/>
        <charset val="1"/>
      </rPr>
      <t xml:space="preserve">2.x </t>
    </r>
    <r>
      <rPr>
        <sz val="9"/>
        <rFont val="FreeSans"/>
        <family val="2"/>
      </rPr>
      <t xml:space="preserve">เดิม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การตรวจระบบของ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เพื่อขนานไฟ </t>
    </r>
    <r>
      <rPr>
        <sz val="9"/>
        <rFont val="Tahoma"/>
        <family val="0"/>
        <charset val="1"/>
      </rPr>
      <t xml:space="preserve">(1.7.5–1.7.6)</t>
    </r>
  </si>
  <si>
    <t xml:space="preserve">R07, R13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</si>
  <si>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</si>
  <si>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sz val="8"/>
        <color rgb="FF404040"/>
        <rFont val="FreeSans"/>
        <family val="2"/>
      </rPr>
      <t xml:space="preserve">    ผล </t>
    </r>
    <r>
      <rPr>
        <sz val="8"/>
        <color rgb="FF404040"/>
        <rFont val="Tahoma"/>
        <family val="0"/>
        <charset val="1"/>
      </rPr>
      <t xml:space="preserve">IEC 62446 </t>
    </r>
    <r>
      <rPr>
        <sz val="8"/>
        <color rgb="FF404040"/>
        <rFont val="FreeSans"/>
        <family val="2"/>
      </rPr>
      <t xml:space="preserve">ก่อนเชื่อม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ราย </t>
    </r>
    <r>
      <rPr>
        <sz val="8"/>
        <color rgb="FF404040"/>
        <rFont val="Tahoma"/>
        <family val="0"/>
        <charset val="1"/>
      </rPr>
      <t xml:space="preserve">String)</t>
    </r>
  </si>
  <si>
    <r>
      <rPr>
        <sz val="8"/>
        <color rgb="FF404040"/>
        <rFont val="FreeSans"/>
        <family val="2"/>
      </rPr>
      <t xml:space="preserve">ผล </t>
    </r>
    <r>
      <rPr>
        <sz val="8"/>
        <color rgb="FF404040"/>
        <rFont val="Tahoma"/>
        <family val="0"/>
        <charset val="1"/>
      </rPr>
      <t xml:space="preserve">IEC 62446 </t>
    </r>
    <r>
      <rPr>
        <sz val="8"/>
        <color rgb="FF404040"/>
        <rFont val="FreeSans"/>
        <family val="2"/>
      </rPr>
      <t xml:space="preserve">ก่อนเชื่อม ครบทุก </t>
    </r>
    <r>
      <rPr>
        <sz val="8"/>
        <color rgb="FF404040"/>
        <rFont val="Tahoma"/>
        <family val="0"/>
        <charset val="1"/>
      </rPr>
      <t xml:space="preserve">String (</t>
    </r>
    <r>
      <rPr>
        <sz val="8"/>
        <color rgb="FF404040"/>
        <rFont val="FreeSans"/>
        <family val="2"/>
      </rPr>
      <t xml:space="preserve">แอป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</rPr>
      <t xml:space="preserve">ขั้น </t>
    </r>
    <r>
      <rPr>
        <sz val="8"/>
        <color rgb="FF404040"/>
        <rFont val="Tahoma"/>
        <family val="0"/>
        <charset val="1"/>
      </rPr>
      <t xml:space="preserve">2)</t>
    </r>
  </si>
  <si>
    <r>
      <rPr>
        <sz val="8"/>
        <color rgb="FF404040"/>
        <rFont val="FreeSans"/>
        <family val="2"/>
      </rPr>
      <t xml:space="preserve">    รายงาน </t>
    </r>
    <r>
      <rPr>
        <sz val="8"/>
        <color rgb="FF404040"/>
        <rFont val="Tahoma"/>
        <family val="0"/>
        <charset val="1"/>
      </rPr>
      <t xml:space="preserve">Thermography </t>
    </r>
    <r>
      <rPr>
        <sz val="8"/>
        <color rgb="FF404040"/>
        <rFont val="FreeSans"/>
        <family val="2"/>
      </rPr>
      <t xml:space="preserve">แผง</t>
    </r>
  </si>
  <si>
    <r>
      <rPr>
        <sz val="8"/>
        <color rgb="FF404040"/>
        <rFont val="FreeSans"/>
        <family val="2"/>
      </rPr>
      <t xml:space="preserve">รายงาน </t>
    </r>
    <r>
      <rPr>
        <sz val="8"/>
        <color rgb="FF404040"/>
        <rFont val="Tahoma"/>
        <family val="0"/>
        <charset val="1"/>
      </rPr>
      <t xml:space="preserve">Thermography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100%</t>
    </r>
  </si>
  <si>
    <r>
      <rPr>
        <sz val="8"/>
        <color rgb="FF404040"/>
        <rFont val="FreeSans"/>
        <family val="2"/>
      </rPr>
      <t xml:space="preserve">    ผลทดสอบ </t>
    </r>
    <r>
      <rPr>
        <sz val="8"/>
        <color rgb="FF404040"/>
        <rFont val="Tahoma"/>
        <family val="0"/>
        <charset val="1"/>
      </rPr>
      <t xml:space="preserve">FTS / ELR / Shunt trip</t>
    </r>
  </si>
  <si>
    <r>
      <rPr>
        <sz val="8"/>
        <color rgb="FF404040"/>
        <rFont val="FreeSans"/>
        <family val="2"/>
      </rPr>
      <t xml:space="preserve">ผลทดสอบ </t>
    </r>
    <r>
      <rPr>
        <sz val="8"/>
        <color rgb="FF404040"/>
        <rFont val="Tahoma"/>
        <family val="0"/>
        <charset val="1"/>
      </rPr>
      <t xml:space="preserve">FTS / ELR / Shunt trip / SPD </t>
    </r>
    <r>
      <rPr>
        <sz val="8"/>
        <color rgb="FF404040"/>
        <rFont val="FreeSans"/>
        <family val="2"/>
      </rPr>
      <t xml:space="preserve">ผ่าน</t>
    </r>
  </si>
  <si>
    <r>
      <rPr>
        <sz val="8"/>
        <color rgb="FF404040"/>
        <rFont val="FreeSans"/>
        <family val="2"/>
      </rPr>
      <t xml:space="preserve">    ผล </t>
    </r>
    <r>
      <rPr>
        <sz val="8"/>
        <color rgb="FF404040"/>
        <rFont val="Tahoma"/>
        <family val="0"/>
        <charset val="1"/>
      </rPr>
      <t xml:space="preserve">Start-up + Zero export / Anti-islanding</t>
    </r>
  </si>
  <si>
    <r>
      <rPr>
        <sz val="8"/>
        <color rgb="FF404040"/>
        <rFont val="FreeSans"/>
        <family val="2"/>
      </rPr>
      <t xml:space="preserve">ผล </t>
    </r>
    <r>
      <rPr>
        <sz val="8"/>
        <color rgb="FF404040"/>
        <rFont val="Tahoma"/>
        <family val="0"/>
        <charset val="1"/>
      </rPr>
      <t xml:space="preserve">Start-up + </t>
    </r>
    <r>
      <rPr>
        <sz val="8"/>
        <color rgb="FF404040"/>
        <rFont val="FreeSans"/>
        <family val="2"/>
      </rPr>
      <t xml:space="preserve">ทดสอบ </t>
    </r>
    <r>
      <rPr>
        <sz val="8"/>
        <color rgb="FF404040"/>
        <rFont val="Tahoma"/>
        <family val="0"/>
        <charset val="1"/>
      </rPr>
      <t xml:space="preserve">Zero export / Anti-islanding </t>
    </r>
    <r>
      <rPr>
        <sz val="8"/>
        <color rgb="FF404040"/>
        <rFont val="FreeSans"/>
        <family val="2"/>
      </rPr>
      <t xml:space="preserve">ผ่าน</t>
    </r>
  </si>
  <si>
    <r>
      <rPr>
        <sz val="8"/>
        <color rgb="FF404040"/>
        <rFont val="FreeSans"/>
        <family val="2"/>
      </rPr>
      <t xml:space="preserve">    ผล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</rPr>
      <t xml:space="preserve">หลังเชื่อม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ผลผลิต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</rPr>
      <t xml:space="preserve">วัน</t>
    </r>
  </si>
  <si>
    <r>
      <rPr>
        <sz val="8"/>
        <color rgb="FF404040"/>
        <rFont val="FreeSans"/>
        <family val="2"/>
      </rPr>
      <t xml:space="preserve">ผล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</rPr>
      <t xml:space="preserve">หลังเชื่อม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ผลการผลิต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</rPr>
      <t xml:space="preserve">วัน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</rPr>
      <t xml:space="preserve">ทีมกดปิดการทดสอบ</t>
    </r>
  </si>
  <si>
    <r>
      <rPr>
        <sz val="9"/>
        <rFont val="FreeSans"/>
        <family val="2"/>
      </rPr>
      <t xml:space="preserve">◆ 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กปภ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</rPr>
      <t xml:space="preserve">กฟภ</t>
    </r>
    <r>
      <rPr>
        <sz val="9"/>
        <rFont val="Tahoma"/>
        <family val="0"/>
        <charset val="1"/>
      </rPr>
      <t xml:space="preserve">.)</t>
    </r>
  </si>
  <si>
    <t xml:space="preserve">R04, R07, R13</t>
  </si>
  <si>
    <t xml:space="preserve">R07, R09, R13</t>
  </si>
  <si>
    <r>
      <rPr>
        <sz val="9"/>
        <rFont val="FreeSans"/>
        <family val="2"/>
      </rPr>
      <t xml:space="preserve">อบรมการใช้งาน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ส่งมอบงาน</t>
    </r>
    <r>
      <rPr>
        <sz val="9"/>
        <rFont val="Tahoma"/>
        <family val="0"/>
        <charset val="1"/>
      </rPr>
      <t xml:space="preserve">, PAC</t>
    </r>
  </si>
  <si>
    <t xml:space="preserve">3.2.7, 3.2.6</t>
  </si>
  <si>
    <r>
      <rPr>
        <sz val="9"/>
        <rFont val="FreeSans"/>
        <family val="2"/>
      </rPr>
      <t xml:space="preserve">การทดสอบ </t>
    </r>
    <r>
      <rPr>
        <sz val="9"/>
        <rFont val="Tahoma"/>
        <family val="0"/>
        <charset val="1"/>
      </rPr>
      <t xml:space="preserve">(3.1), </t>
    </r>
    <r>
      <rPr>
        <sz val="9"/>
        <rFont val="FreeSans"/>
        <family val="2"/>
      </rPr>
      <t xml:space="preserve">การรับประกันหลัง </t>
    </r>
    <r>
      <rPr>
        <sz val="9"/>
        <rFont val="Tahoma"/>
        <family val="0"/>
        <charset val="1"/>
      </rPr>
      <t xml:space="preserve">PAC (4.1)</t>
    </r>
  </si>
  <si>
    <r>
      <rPr>
        <sz val="8"/>
        <color rgb="FF404040"/>
        <rFont val="FreeSans"/>
        <family val="2"/>
      </rPr>
      <t xml:space="preserve">    การอบรมเจ้าหน้าที่ 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</si>
  <si>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</rPr>
      <t xml:space="preserve">บันทึกการอบรม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รายชื่อผู้เข้าอบรม</t>
    </r>
  </si>
  <si>
    <r>
      <rPr>
        <sz val="8"/>
        <color rgb="FF404040"/>
        <rFont val="FreeSans"/>
        <family val="2"/>
      </rPr>
      <t xml:space="preserve">    ชุดเอกสารส่งมอบ </t>
    </r>
    <r>
      <rPr>
        <sz val="8"/>
        <color rgb="FF404040"/>
        <rFont val="Tahoma"/>
        <family val="0"/>
        <charset val="1"/>
      </rPr>
      <t xml:space="preserve">(Handover pack)</t>
    </r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</si>
  <si>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</si>
  <si>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</si>
  <si>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</si>
  <si>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t xml:space="preserve">จุดติดตั้งของสถานีนี้ แยกตามประเภทหน้างาน</t>
  </si>
  <si>
    <t xml:space="preserve">✎ เพิ่ม / แก้จุดติดตั้ง →</t>
  </si>
  <si>
    <t xml:space="preserve">ประเภทหน้างาน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</si>
  <si>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</si>
  <si>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</si>
  <si>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</si>
  <si>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</si>
  <si>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</si>
  <si>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C09, C16</t>
  </si>
  <si>
    <t xml:space="preserve">C17, C16</t>
  </si>
  <si>
    <t xml:space="preserve">C09 / C17, C16</t>
  </si>
  <si>
    <t xml:space="preserve">แบบเฉพาะสถานี</t>
  </si>
  <si>
    <r>
      <rPr>
        <i val="true"/>
        <sz val="8"/>
        <color rgb="FF595959"/>
        <rFont val="FreeSans"/>
        <family val="2"/>
      </rPr>
      <t xml:space="preserve">ประมาณการ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ยังไม่สำรวจ</t>
    </r>
    <r>
      <rPr>
        <i val="true"/>
        <sz val="8"/>
        <color rgb="FF595959"/>
        <rFont val="Tahoma"/>
        <family val="0"/>
        <charset val="1"/>
      </rPr>
      <t xml:space="preserve">) = planning package: % </t>
    </r>
    <r>
      <rPr>
        <i val="true"/>
        <sz val="8"/>
        <color rgb="FF595959"/>
        <rFont val="FreeSans"/>
        <family val="2"/>
      </rPr>
      <t xml:space="preserve">คิดที่ระดับ </t>
    </r>
    <r>
      <rPr>
        <i val="true"/>
        <sz val="8"/>
        <color rgb="FF595959"/>
        <rFont val="Tahoma"/>
        <family val="0"/>
        <charset val="1"/>
      </rPr>
      <t xml:space="preserve">3 </t>
    </r>
    <r>
      <rPr>
        <i val="true"/>
        <sz val="8"/>
        <color rgb="FF595959"/>
        <rFont val="FreeSans"/>
        <family val="2"/>
      </rPr>
      <t xml:space="preserve">ในชีตนี้ </t>
    </r>
    <r>
      <rPr>
        <i val="true"/>
        <sz val="8"/>
        <color rgb="FF595959"/>
        <rFont val="Tahoma"/>
        <family val="0"/>
        <charset val="1"/>
      </rPr>
      <t xml:space="preserve">(PMBOK 5.4.2.2 rolling wave), </t>
    </r>
    <r>
      <rPr>
        <i val="true"/>
        <sz val="8"/>
        <color rgb="FF595959"/>
        <rFont val="FreeSans"/>
        <family val="2"/>
      </rPr>
      <t xml:space="preserve">ระบุแล้ว </t>
    </r>
    <r>
      <rPr>
        <i val="true"/>
        <sz val="8"/>
        <color rgb="FF595959"/>
        <rFont val="Tahoma"/>
        <family val="0"/>
        <charset val="1"/>
      </rPr>
      <t xml:space="preserve">= % </t>
    </r>
    <r>
      <rPr>
        <i val="true"/>
        <sz val="8"/>
        <color rgb="FF595959"/>
        <rFont val="FreeSans"/>
        <family val="2"/>
      </rPr>
      <t xml:space="preserve">งาน </t>
    </r>
    <r>
      <rPr>
        <i val="true"/>
        <sz val="8"/>
        <color rgb="FF595959"/>
        <rFont val="Tahoma"/>
        <family val="0"/>
        <charset val="1"/>
      </rPr>
      <t xml:space="preserve">2.1 / 2.2 / 2.3 </t>
    </r>
    <r>
      <rPr>
        <i val="true"/>
        <sz val="8"/>
        <color rgb="FF595959"/>
        <rFont val="FreeSans"/>
        <family val="2"/>
      </rPr>
      <t xml:space="preserve">ของสถานีคำนวณจากจุดติดตั้ง</t>
    </r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</si>
  <si>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</si>
  <si>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r>
      <rPr>
        <b val="true"/>
        <sz val="9"/>
        <rFont val="FreeSans"/>
        <family val="2"/>
      </rPr>
      <t xml:space="preserve">รูปแบบ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เลือกที่ชีต </t>
    </r>
    <r>
      <rPr>
        <b val="true"/>
        <sz val="9"/>
        <rFont val="Tahoma"/>
        <family val="0"/>
        <charset val="1"/>
      </rPr>
      <t xml:space="preserve">Inverter station →)</t>
    </r>
  </si>
  <si>
    <r>
      <rPr>
        <b val="true"/>
        <sz val="8"/>
        <color rgb="FFFFFFFF"/>
        <rFont val="FreeSans"/>
        <family val="2"/>
      </rPr>
      <t xml:space="preserve">ขั้นงาน 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</rPr>
      <t xml:space="preserve">ตามรูปแบบ</t>
    </r>
    <r>
      <rPr>
        <b val="true"/>
        <sz val="8"/>
        <color rgb="FFFFFFFF"/>
        <rFont val="Tahoma"/>
        <family val="0"/>
        <charset val="1"/>
      </rPr>
      <t xml:space="preserve">)</t>
    </r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</si>
  <si>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</si>
  <si>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r>
      <rPr>
        <b val="true"/>
        <sz val="8"/>
        <color rgb="FFFFFFFF"/>
        <rFont val="FreeSans"/>
        <family val="2"/>
      </rPr>
      <t xml:space="preserve">เสร็จ </t>
    </r>
    <r>
      <rPr>
        <b val="true"/>
        <sz val="8"/>
        <color rgb="FFFFFFFF"/>
        <rFont val="Tahoma"/>
        <family val="0"/>
        <charset val="1"/>
      </rPr>
      <t xml:space="preserve">(Y)</t>
    </r>
  </si>
  <si>
    <t xml:space="preserve">2.5.1.1</t>
  </si>
  <si>
    <t xml:space="preserve">2.5.1.2</t>
  </si>
  <si>
    <t xml:space="preserve">2.5.1.3</t>
  </si>
  <si>
    <t xml:space="preserve">2.5.1.4</t>
  </si>
  <si>
    <t xml:space="preserve">2.5.1.5</t>
  </si>
  <si>
    <t xml:space="preserve">2.5.1.6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</si>
  <si>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</si>
  <si>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P9-002 – </t>
    </r>
    <r>
      <rPr>
        <b val="true"/>
        <sz val="14"/>
        <color rgb="FF1F4E78"/>
        <rFont val="FreeSans"/>
        <family val="2"/>
      </rPr>
      <t xml:space="preserve">แม่แบบ หลังคาลอนคู่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</si>
  <si>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.02,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.02,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02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</si>
  <si>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P9-002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</si>
  <si>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ยื่นขอใบอนุญาต พค</t>
    </r>
    <r>
      <rPr>
        <sz val="9"/>
        <rFont val="Tahoma"/>
        <family val="0"/>
        <charset val="1"/>
      </rPr>
      <t xml:space="preserve">.2 (Inverter ≥ 200 kVA)</t>
    </r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</si>
  <si>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</si>
  <si>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คำขอ พค</t>
    </r>
    <r>
      <rPr>
        <sz val="8"/>
        <color rgb="FF404040"/>
        <rFont val="Tahoma"/>
        <family val="0"/>
        <charset val="1"/>
      </rPr>
      <t xml:space="preserve">.2 </t>
    </r>
    <r>
      <rPr>
        <sz val="8"/>
        <color rgb="FF404040"/>
        <rFont val="FreeSans"/>
        <family val="2"/>
      </rPr>
      <t xml:space="preserve">ที่ยื่นแล้ว</t>
    </r>
  </si>
  <si>
    <r>
      <rPr>
        <sz val="9"/>
        <rFont val="FreeSans"/>
        <family val="2"/>
      </rPr>
      <t xml:space="preserve">◆ 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</si>
  <si>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</rPr>
      <t xml:space="preserve">บันทึกวันหมดอายุ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</si>
  <si>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02</t>
    </r>
  </si>
  <si>
    <r>
      <rPr>
        <sz val="9"/>
        <rFont val="FreeSans"/>
        <family val="2"/>
      </rPr>
      <t xml:space="preserve">ย้อนจาก </t>
    </r>
    <r>
      <rPr>
        <sz val="9"/>
        <rFont val="Tahoma"/>
        <family val="0"/>
        <charset val="1"/>
      </rPr>
      <t xml:space="preserve">2.10 (13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</si>
  <si>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Inverter 250 kW</t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</si>
  <si>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P9-003 – </t>
    </r>
    <r>
      <rPr>
        <b val="true"/>
        <sz val="14"/>
        <color rgb="FF1F4E78"/>
        <rFont val="FreeSans"/>
        <family val="2"/>
      </rPr>
      <t xml:space="preserve">แม่แบบ หลังคาลอนคู่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</si>
  <si>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.03,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.03,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03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</si>
  <si>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P9-003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</si>
  <si>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8"/>
        <color rgb="FF404040"/>
        <rFont val="FreeSans"/>
        <family val="2"/>
      </rPr>
      <t xml:space="preserve">    อุปกรณ์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(VT / CT </t>
    </r>
    <r>
      <rPr>
        <sz val="8"/>
        <color rgb="FF404040"/>
        <rFont val="FreeSans"/>
        <family val="2"/>
      </rPr>
      <t xml:space="preserve">ผ่านทดสอบ กฟภ</t>
    </r>
    <r>
      <rPr>
        <sz val="8"/>
        <color rgb="FF404040"/>
        <rFont val="Tahoma"/>
        <family val="0"/>
        <charset val="1"/>
      </rPr>
      <t xml:space="preserve">.)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</si>
  <si>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03</t>
    </r>
  </si>
  <si>
    <r>
      <rPr>
        <sz val="9"/>
        <rFont val="FreeSans"/>
        <family val="2"/>
      </rPr>
      <t xml:space="preserve">ฝั่ง </t>
    </r>
    <r>
      <rPr>
        <sz val="9"/>
        <rFont val="Tahoma"/>
        <family val="0"/>
        <charset val="1"/>
      </rPr>
      <t xml:space="preserve">LV</t>
    </r>
  </si>
  <si>
    <t xml:space="preserve">Zero export LV</t>
  </si>
  <si>
    <r>
      <rPr>
        <sz val="8"/>
        <color rgb="FF404040"/>
        <rFont val="FreeSans"/>
        <family val="2"/>
      </rPr>
      <t xml:space="preserve">    ◆ อนุญาตเข้าทำงานเสา </t>
    </r>
    <r>
      <rPr>
        <sz val="8"/>
        <color rgb="FF404040"/>
        <rFont val="Tahoma"/>
        <family val="0"/>
        <charset val="1"/>
      </rPr>
      <t xml:space="preserve">22 kV (</t>
    </r>
    <r>
      <rPr>
        <sz val="8"/>
        <color rgb="FF404040"/>
        <rFont val="FreeSans"/>
        <family val="2"/>
      </rPr>
      <t xml:space="preserve">กฟภ</t>
    </r>
    <r>
      <rPr>
        <sz val="8"/>
        <color rgb="FF404040"/>
        <rFont val="Tahoma"/>
        <family val="0"/>
        <charset val="1"/>
      </rPr>
      <t xml:space="preserve">.)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</si>
  <si>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</rPr>
      <t xml:space="preserve">    ชุดอุปกรณ์กันย้อน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</rPr>
      <t xml:space="preserve">บนเสา </t>
    </r>
    <r>
      <rPr>
        <sz val="8"/>
        <color rgb="FF404040"/>
        <rFont val="Tahoma"/>
        <family val="0"/>
        <charset val="1"/>
      </rPr>
      <t xml:space="preserve">(E18)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</si>
  <si>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</si>
  <si>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P9-004 – </t>
    </r>
    <r>
      <rPr>
        <b val="true"/>
        <sz val="14"/>
        <color rgb="FF1F4E78"/>
        <rFont val="FreeSans"/>
        <family val="2"/>
      </rPr>
      <t xml:space="preserve">แม่แบบ หลังคาลอนคู่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</si>
  <si>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.04,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.04,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04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</si>
  <si>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P9-004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</si>
  <si>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04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</si>
  <si>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P9-005 – </t>
    </r>
    <r>
      <rPr>
        <b val="true"/>
        <sz val="14"/>
        <color rgb="FF1F4E78"/>
        <rFont val="FreeSans"/>
        <family val="2"/>
      </rPr>
      <t xml:space="preserve">แม่แบบ หลังคาเมทัลชีท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</si>
  <si>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.05,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.05,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05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</si>
  <si>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P9-005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</si>
  <si>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05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</si>
  <si>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P9-006 – </t>
    </r>
    <r>
      <rPr>
        <b val="true"/>
        <sz val="14"/>
        <color rgb="FF1F4E78"/>
        <rFont val="FreeSans"/>
        <family val="2"/>
      </rPr>
      <t xml:space="preserve">แม่แบบ หลังคาเมทัลชีท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</si>
  <si>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.06,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.06,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06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</si>
  <si>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P9-006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</si>
  <si>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06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</si>
  <si>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P9-007 – </t>
    </r>
    <r>
      <rPr>
        <b val="true"/>
        <sz val="14"/>
        <color rgb="FF1F4E78"/>
        <rFont val="FreeSans"/>
        <family val="2"/>
      </rPr>
      <t xml:space="preserve">แม่แบบ หลังคาเมทัลชีท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</si>
  <si>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.07,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.07,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07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</si>
  <si>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P9-007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</si>
  <si>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07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</si>
  <si>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P9-008 – </t>
    </r>
    <r>
      <rPr>
        <b val="true"/>
        <sz val="14"/>
        <color rgb="FF1F4E78"/>
        <rFont val="FreeSans"/>
        <family val="2"/>
      </rPr>
      <t xml:space="preserve">แม่แบบ หลังคาเมทัลชีท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</si>
  <si>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.08,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.08,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08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</si>
  <si>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P9-008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</si>
  <si>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08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</si>
  <si>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P9-009 – </t>
    </r>
    <r>
      <rPr>
        <b val="true"/>
        <sz val="14"/>
        <color rgb="FF1F4E78"/>
        <rFont val="FreeSans"/>
        <family val="2"/>
      </rPr>
      <t xml:space="preserve">แม่แบบ ถังน้ำใส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</si>
  <si>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.09,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.09,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09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</si>
  <si>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P9-009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</si>
  <si>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09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</si>
  <si>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P9-010 – </t>
    </r>
    <r>
      <rPr>
        <b val="true"/>
        <sz val="14"/>
        <color rgb="FF1F4E78"/>
        <rFont val="FreeSans"/>
        <family val="2"/>
      </rPr>
      <t xml:space="preserve">แม่แบบ ถังน้ำใส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</si>
  <si>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.10,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.10,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10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</si>
  <si>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P9-010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</si>
  <si>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10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</si>
  <si>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P9-011 – </t>
    </r>
    <r>
      <rPr>
        <b val="true"/>
        <sz val="14"/>
        <color rgb="FF1F4E78"/>
        <rFont val="FreeSans"/>
        <family val="2"/>
      </rPr>
      <t xml:space="preserve">แม่แบบ ถังน้ำใส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</si>
  <si>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.11,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.11,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11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</si>
  <si>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P9-011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</si>
  <si>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11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</si>
  <si>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P9-012 – </t>
    </r>
    <r>
      <rPr>
        <b val="true"/>
        <sz val="14"/>
        <color rgb="FF1F4E78"/>
        <rFont val="FreeSans"/>
        <family val="2"/>
      </rPr>
      <t xml:space="preserve">แม่แบบ ถังน้ำใส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</si>
  <si>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.12,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.12,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12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</si>
  <si>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P9-012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</si>
  <si>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12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</si>
  <si>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P9-013 – </t>
    </r>
    <r>
      <rPr>
        <b val="true"/>
        <sz val="14"/>
        <color rgb="FF1F4E78"/>
        <rFont val="FreeSans"/>
        <family val="2"/>
      </rPr>
      <t xml:space="preserve">แม่แบบ ถังดินกลบ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</si>
  <si>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.13,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.13,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13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</si>
  <si>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P9-013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</si>
  <si>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13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</si>
  <si>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P9-014 – </t>
    </r>
    <r>
      <rPr>
        <b val="true"/>
        <sz val="14"/>
        <color rgb="FF1F4E78"/>
        <rFont val="FreeSans"/>
        <family val="2"/>
      </rPr>
      <t xml:space="preserve">แม่แบบ ถังดินกลบ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</si>
  <si>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.14,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.14,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14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</si>
  <si>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P9-014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</si>
  <si>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14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</si>
  <si>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P9-015 – </t>
    </r>
    <r>
      <rPr>
        <b val="true"/>
        <sz val="14"/>
        <color rgb="FF1F4E78"/>
        <rFont val="FreeSans"/>
        <family val="2"/>
      </rPr>
      <t xml:space="preserve">แม่แบบ ถังดินกลบ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</si>
  <si>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.15,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.15,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15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</si>
  <si>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P9-015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</si>
  <si>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15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</si>
  <si>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P9-016 – </t>
    </r>
    <r>
      <rPr>
        <b val="true"/>
        <sz val="14"/>
        <color rgb="FF1F4E78"/>
        <rFont val="FreeSans"/>
        <family val="2"/>
      </rPr>
      <t xml:space="preserve">แม่แบบ ถังดินกลบ</t>
    </r>
    <r>
      <rPr>
        <b val="true"/>
        <sz val="14"/>
        <color rgb="FF1F4E78"/>
        <rFont val="Tahoma"/>
        <family val="0"/>
        <charset val="1"/>
      </rPr>
      <t xml:space="preserve">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</si>
  <si>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.16,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.16,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16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</si>
  <si>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P9-016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</si>
  <si>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16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</si>
  <si>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P9-017 – </t>
    </r>
    <r>
      <rPr>
        <b val="true"/>
        <sz val="14"/>
        <color rgb="FF1F4E78"/>
        <rFont val="FreeSans"/>
        <family val="2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</si>
  <si>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.17,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.17,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17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</si>
  <si>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P9-017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</si>
  <si>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17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</si>
  <si>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P9-018 – </t>
    </r>
    <r>
      <rPr>
        <b val="true"/>
        <sz val="14"/>
        <color rgb="FF1F4E78"/>
        <rFont val="FreeSans"/>
        <family val="2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</si>
  <si>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.18,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HV,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.18,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18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</si>
  <si>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P9-018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</si>
  <si>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18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</si>
  <si>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P9-019 – </t>
    </r>
    <r>
      <rPr>
        <b val="true"/>
        <sz val="14"/>
        <color rgb="FF1F4E78"/>
        <rFont val="FreeSans"/>
        <family val="2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&lt; 200 kVA 150.48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</si>
  <si>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.19, Inverter 125 kW (</t>
    </r>
    <r>
      <rPr>
        <sz val="9"/>
        <color rgb="FF404040"/>
        <rFont val="FreeSans"/>
        <family val="2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.19,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19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</si>
  <si>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P9-019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</si>
  <si>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19</t>
    </r>
  </si>
  <si>
    <r>
      <rPr>
        <b val="true"/>
        <sz val="14"/>
        <color rgb="FF1F4E78"/>
        <rFont val="FreeSans"/>
        <family val="2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P9-020 – </t>
    </r>
    <r>
      <rPr>
        <b val="true"/>
        <sz val="14"/>
        <color rgb="FF1F4E78"/>
        <rFont val="FreeSans"/>
        <family val="2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Carport, </t>
    </r>
    <r>
      <rPr>
        <b val="true"/>
        <sz val="14"/>
        <color rgb="FF1F4E78"/>
        <rFont val="FreeSans"/>
        <family val="2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LV, Inverter ≥ 200 kVA 280.44 kWp</t>
    </r>
  </si>
  <si>
    <r>
      <rPr>
        <sz val="9"/>
        <color rgb="FF404040"/>
        <rFont val="FreeSans"/>
        <family val="2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), </t>
    </r>
    <r>
      <rPr>
        <sz val="9"/>
        <color rgb="FF404040"/>
        <rFont val="FreeSans"/>
        <family val="2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, </t>
    </r>
    <r>
      <rPr>
        <sz val="9"/>
        <color rgb="FF404040"/>
        <rFont val="FreeSans"/>
        <family val="2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</rPr>
      <t xml:space="preserve">เขต ตย</t>
    </r>
    <r>
      <rPr>
        <sz val="9"/>
        <color rgb="FF404040"/>
        <rFont val="Tahoma"/>
        <family val="0"/>
        <charset val="1"/>
      </rPr>
      <t xml:space="preserve">.20, Inverter 250 kW (</t>
    </r>
    <r>
      <rPr>
        <sz val="9"/>
        <color rgb="FF404040"/>
        <rFont val="FreeSans"/>
        <family val="2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.2), Zero export LV, </t>
    </r>
    <r>
      <rPr>
        <sz val="9"/>
        <color rgb="FF404040"/>
        <rFont val="FreeSans"/>
        <family val="2"/>
      </rPr>
      <t xml:space="preserve">คำขอ </t>
    </r>
    <r>
      <rPr>
        <sz val="9"/>
        <color rgb="FF404040"/>
        <rFont val="Tahoma"/>
        <family val="0"/>
        <charset val="1"/>
      </rPr>
      <t xml:space="preserve">-, </t>
    </r>
    <r>
      <rPr>
        <sz val="9"/>
        <color rgb="FF404040"/>
        <rFont val="FreeSans"/>
        <family val="2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.20, Admin Admin, </t>
    </r>
    <r>
      <rPr>
        <sz val="9"/>
        <color rgb="FF404040"/>
        <rFont val="FreeSans"/>
        <family val="2"/>
      </rPr>
      <t xml:space="preserve">ผรม</t>
    </r>
    <r>
      <rPr>
        <sz val="9"/>
        <color rgb="FF404040"/>
        <rFont val="Tahoma"/>
        <family val="0"/>
        <charset val="1"/>
      </rPr>
      <t xml:space="preserve">. 20</t>
    </r>
  </si>
  <si>
    <r>
      <rPr>
        <i val="true"/>
        <sz val="8"/>
        <color rgb="FF595959"/>
        <rFont val="FreeSans"/>
        <family val="2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), </t>
    </r>
    <r>
      <rPr>
        <i val="true"/>
        <sz val="8"/>
        <color rgb="FF595959"/>
        <rFont val="FreeSans"/>
        <family val="2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</rPr>
      <t xml:space="preserve">งานหลักขยับตามน้ำหนัก</t>
    </r>
    <r>
      <rPr>
        <i val="true"/>
        <sz val="8"/>
        <color rgb="FF595959"/>
        <rFont val="Tahoma"/>
        <family val="0"/>
        <charset val="1"/>
      </rPr>
      <t xml:space="preserve">, Baseline </t>
    </r>
    <r>
      <rPr>
        <i val="true"/>
        <sz val="8"/>
        <color rgb="FF595959"/>
        <rFont val="FreeSans"/>
        <family val="2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69, </t>
    </r>
    <r>
      <rPr>
        <i val="true"/>
        <sz val="8"/>
        <color rgb="FF595959"/>
        <rFont val="FreeSans"/>
        <family val="2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), Gantt: </t>
    </r>
    <r>
      <rPr>
        <i val="true"/>
        <sz val="8"/>
        <color rgb="FF595959"/>
        <rFont val="FreeSans"/>
        <family val="2"/>
      </rPr>
      <t xml:space="preserve">เขียว เสร็จ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ส้ม นัดแล้ว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น้ำเงิน คาดการณ์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Baseline, </t>
    </r>
    <r>
      <rPr>
        <i val="true"/>
        <sz val="8"/>
        <color rgb="FF595959"/>
        <rFont val="FreeSans"/>
        <family val="2"/>
      </rPr>
      <t xml:space="preserve">แดง สัปดาห์ปัจจุบัน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MP, </t>
    </r>
    <r>
      <rPr>
        <i val="true"/>
        <sz val="8"/>
        <color rgb="FF595959"/>
        <rFont val="FreeSans"/>
        <family val="2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</rPr>
      <t xml:space="preserve">เหนือหัวตารางเพื่อดูหลักฐาน ผู้อนุมัติ ความเสี่ยง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P9-020 </t>
    </r>
    <r>
      <rPr>
        <i val="true"/>
        <sz val="8"/>
        <color rgb="FF595959"/>
        <rFont val="FreeSans"/>
        <family val="2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</si>
  <si>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</rPr>
      <t xml:space="preserve">ผรม</t>
    </r>
    <r>
      <rPr>
        <sz val="9"/>
        <rFont val="Tahoma"/>
        <family val="0"/>
        <charset val="1"/>
      </rPr>
      <t xml:space="preserve">. 20</t>
    </r>
  </si>
  <si>
    <t xml:space="preserve">date</t>
  </si>
  <si>
    <r>
      <rPr>
        <sz val="11"/>
        <color theme="1"/>
        <rFont val="FreeSans"/>
        <family val="2"/>
      </rPr>
      <t xml:space="preserve">เขต กฟภ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</si>
  <si>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ติดตั้ง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ดับไฟเชื่อมระบบ</t>
    </r>
  </si>
  <si>
    <r>
      <rPr>
        <sz val="11"/>
        <color theme="1"/>
        <rFont val="FreeSans"/>
        <family val="2"/>
      </rPr>
      <t xml:space="preserve">แม่แบบ หลังคาลอนคู่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</si>
  <si>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.01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</si>
  <si>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.01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</si>
  <si>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01</t>
    </r>
  </si>
  <si>
    <r>
      <rPr>
        <sz val="11"/>
        <color theme="1"/>
        <rFont val="FreeSans"/>
        <family val="2"/>
      </rPr>
      <t xml:space="preserve">กฟภ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เข้าตรวจ</t>
    </r>
  </si>
  <si>
    <r>
      <rPr>
        <sz val="11"/>
        <color theme="1"/>
        <rFont val="FreeSans"/>
        <family val="2"/>
      </rPr>
      <t xml:space="preserve">ทดสอบ </t>
    </r>
    <r>
      <rPr>
        <sz val="11"/>
        <color theme="1"/>
        <rFont val="Calibri"/>
        <family val="2"/>
        <charset val="1"/>
      </rPr>
      <t xml:space="preserve">IEC + </t>
    </r>
    <r>
      <rPr>
        <sz val="11"/>
        <color theme="1"/>
        <rFont val="FreeSans"/>
        <family val="2"/>
      </rPr>
      <t xml:space="preserve">ภาพความร้อน</t>
    </r>
  </si>
  <si>
    <r>
      <rPr>
        <sz val="11"/>
        <color theme="1"/>
        <rFont val="FreeSans"/>
        <family val="2"/>
      </rPr>
      <t xml:space="preserve">ส่งรายงาน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เอกสารส่งมอบงวด</t>
    </r>
  </si>
  <si>
    <t xml:space="preserve">ยื่นคำขอขนานไฟ</t>
  </si>
  <si>
    <t xml:space="preserve">ชำระค่าธรรมเนียมขนานไฟ</t>
  </si>
  <si>
    <r>
      <rPr>
        <sz val="11"/>
        <color theme="1"/>
        <rFont val="FreeSans"/>
        <family val="2"/>
      </rPr>
      <t xml:space="preserve">ขอ กฟภ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ตรวจระบบ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ขนานไฟช่วงท้าย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</si>
  <si>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แม่แบบ หลังคาลอนคู่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</si>
  <si>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.02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</si>
  <si>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.02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</si>
  <si>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02</t>
    </r>
  </si>
  <si>
    <r>
      <rPr>
        <sz val="11"/>
        <color theme="1"/>
        <rFont val="FreeSans"/>
        <family val="2"/>
      </rPr>
      <t xml:space="preserve">ยื่น พค</t>
    </r>
    <r>
      <rPr>
        <sz val="11"/>
        <color theme="1"/>
        <rFont val="Calibri"/>
        <family val="2"/>
        <charset val="1"/>
      </rPr>
      <t xml:space="preserve">.2</t>
    </r>
  </si>
  <si>
    <r>
      <rPr>
        <sz val="11"/>
        <color theme="1"/>
        <rFont val="FreeSans"/>
        <family val="2"/>
      </rPr>
      <t xml:space="preserve">แม่แบบ หลังคาลอนคู่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</si>
  <si>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.03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</si>
  <si>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.03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</si>
  <si>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03</t>
    </r>
  </si>
  <si>
    <r>
      <rPr>
        <sz val="11"/>
        <color theme="1"/>
        <rFont val="FreeSans"/>
        <family val="2"/>
      </rPr>
      <t xml:space="preserve">แม่แบบ หลังคาลอนคู่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</si>
  <si>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.04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</si>
  <si>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.04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</si>
  <si>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04</t>
    </r>
  </si>
  <si>
    <r>
      <rPr>
        <sz val="11"/>
        <color theme="1"/>
        <rFont val="FreeSans"/>
        <family val="2"/>
      </rPr>
      <t xml:space="preserve">แม่แบบ หลังคาเมทัลชีท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</si>
  <si>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.05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</si>
  <si>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.05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</si>
  <si>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05</t>
    </r>
  </si>
  <si>
    <r>
      <rPr>
        <sz val="11"/>
        <color theme="1"/>
        <rFont val="FreeSans"/>
        <family val="2"/>
      </rPr>
      <t xml:space="preserve">แม่แบบ หลังคาเมทัลชีท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</si>
  <si>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.06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</si>
  <si>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.06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</si>
  <si>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06</t>
    </r>
  </si>
  <si>
    <r>
      <rPr>
        <sz val="11"/>
        <color theme="1"/>
        <rFont val="FreeSans"/>
        <family val="2"/>
      </rPr>
      <t xml:space="preserve">แม่แบบ หลังคาเมทัลชีท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</si>
  <si>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.07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</si>
  <si>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.07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</si>
  <si>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07</t>
    </r>
  </si>
  <si>
    <r>
      <rPr>
        <sz val="11"/>
        <color theme="1"/>
        <rFont val="FreeSans"/>
        <family val="2"/>
      </rPr>
      <t xml:space="preserve">แม่แบบ หลังคาเมทัลชีท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</si>
  <si>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.08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</si>
  <si>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.08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</si>
  <si>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08</t>
    </r>
  </si>
  <si>
    <r>
      <rPr>
        <sz val="11"/>
        <color theme="1"/>
        <rFont val="FreeSans"/>
        <family val="2"/>
      </rPr>
      <t xml:space="preserve">แม่แบบ ถังน้ำใส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</si>
  <si>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.09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</si>
  <si>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.09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</si>
  <si>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09</t>
    </r>
  </si>
  <si>
    <r>
      <rPr>
        <sz val="11"/>
        <color theme="1"/>
        <rFont val="FreeSans"/>
        <family val="2"/>
      </rPr>
      <t xml:space="preserve">แม่แบบ ถังน้ำใส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</si>
  <si>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.10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</si>
  <si>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.10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</si>
  <si>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10</t>
    </r>
  </si>
  <si>
    <r>
      <rPr>
        <sz val="11"/>
        <color theme="1"/>
        <rFont val="FreeSans"/>
        <family val="2"/>
      </rPr>
      <t xml:space="preserve">แม่แบบ ถังน้ำใส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</si>
  <si>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.11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</si>
  <si>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.11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</si>
  <si>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11</t>
    </r>
  </si>
  <si>
    <r>
      <rPr>
        <sz val="11"/>
        <color theme="1"/>
        <rFont val="FreeSans"/>
        <family val="2"/>
      </rPr>
      <t xml:space="preserve">แม่แบบ ถังน้ำใส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</si>
  <si>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.12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</si>
  <si>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.12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</si>
  <si>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12</t>
    </r>
  </si>
  <si>
    <r>
      <rPr>
        <sz val="11"/>
        <color theme="1"/>
        <rFont val="FreeSans"/>
        <family val="2"/>
      </rPr>
      <t xml:space="preserve">แม่แบบ ถังดินกลบ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</si>
  <si>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.13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</si>
  <si>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.13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</si>
  <si>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13</t>
    </r>
  </si>
  <si>
    <r>
      <rPr>
        <sz val="11"/>
        <color theme="1"/>
        <rFont val="FreeSans"/>
        <family val="2"/>
      </rPr>
      <t xml:space="preserve">แม่แบบ ถังดินกลบ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</si>
  <si>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.14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</si>
  <si>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.14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</si>
  <si>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14</t>
    </r>
  </si>
  <si>
    <r>
      <rPr>
        <sz val="11"/>
        <color theme="1"/>
        <rFont val="FreeSans"/>
        <family val="2"/>
      </rPr>
      <t xml:space="preserve">แม่แบบ ถังดินกลบ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</si>
  <si>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.15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</si>
  <si>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.15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</si>
  <si>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15</t>
    </r>
  </si>
  <si>
    <r>
      <rPr>
        <sz val="11"/>
        <color theme="1"/>
        <rFont val="FreeSans"/>
        <family val="2"/>
      </rPr>
      <t xml:space="preserve">แม่แบบ ถังดินกลบ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</si>
  <si>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.16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</si>
  <si>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.16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</si>
  <si>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16</t>
    </r>
  </si>
  <si>
    <r>
      <rPr>
        <sz val="11"/>
        <color theme="1"/>
        <rFont val="FreeSans"/>
        <family val="2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</si>
  <si>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.17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</si>
  <si>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.17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</si>
  <si>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17</t>
    </r>
  </si>
  <si>
    <r>
      <rPr>
        <sz val="11"/>
        <color theme="1"/>
        <rFont val="FreeSans"/>
        <family val="2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</si>
  <si>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.18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</si>
  <si>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.18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</si>
  <si>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18</t>
    </r>
  </si>
  <si>
    <r>
      <rPr>
        <sz val="11"/>
        <color theme="1"/>
        <rFont val="FreeSans"/>
        <family val="2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&lt;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</si>
  <si>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.19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</si>
  <si>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.19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</si>
  <si>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19</t>
    </r>
  </si>
  <si>
    <r>
      <rPr>
        <sz val="11"/>
        <color theme="1"/>
        <rFont val="FreeSans"/>
        <family val="2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Carport, </t>
    </r>
    <r>
      <rPr>
        <sz val="11"/>
        <color theme="1"/>
        <rFont val="FreeSans"/>
        <family val="2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LV, Inverter ≥ 200 kVA</t>
    </r>
  </si>
  <si>
    <r>
      <rPr>
        <sz val="11"/>
        <color theme="1"/>
        <rFont val="FreeSans"/>
        <family val="2"/>
      </rPr>
      <t xml:space="preserve">ตย</t>
    </r>
    <r>
      <rPr>
        <sz val="11"/>
        <color theme="1"/>
        <rFont val="Calibri"/>
        <family val="2"/>
        <charset val="1"/>
      </rPr>
      <t xml:space="preserve">.20</t>
    </r>
  </si>
  <si>
    <r>
      <rPr>
        <sz val="11"/>
        <color theme="1"/>
        <rFont val="FreeSans"/>
        <family val="2"/>
      </rPr>
      <t xml:space="preserve">วศ</t>
    </r>
    <r>
      <rPr>
        <sz val="11"/>
        <color theme="1"/>
        <rFont val="Calibri"/>
        <family val="2"/>
        <charset val="1"/>
      </rPr>
      <t xml:space="preserve">.20</t>
    </r>
  </si>
  <si>
    <r>
      <rPr>
        <sz val="11"/>
        <color theme="1"/>
        <rFont val="FreeSans"/>
        <family val="2"/>
      </rPr>
      <t xml:space="preserve">ผรม</t>
    </r>
    <r>
      <rPr>
        <sz val="11"/>
        <color theme="1"/>
        <rFont val="Calibri"/>
        <family val="2"/>
        <charset val="1"/>
      </rPr>
      <t xml:space="preserve">. 20</t>
    </r>
  </si>
  <si>
    <t xml:space="preserve">sheet</t>
  </si>
  <si>
    <t xml:space="preserve">col</t>
  </si>
  <si>
    <t xml:space="preserve">first_row</t>
  </si>
  <si>
    <t xml:space="preserve">last_row</t>
  </si>
  <si>
    <t xml:space="preserve">id</t>
  </si>
  <si>
    <t xml:space="preserve">name</t>
  </si>
  <si>
    <t xml:space="preserve">branch</t>
  </si>
  <si>
    <t xml:space="preserve">region</t>
  </si>
  <si>
    <t xml:space="preserve">D</t>
  </si>
  <si>
    <t xml:space="preserve">pea_zone</t>
  </si>
  <si>
    <t xml:space="preserve">E</t>
  </si>
  <si>
    <t xml:space="preserve">kwp</t>
  </si>
  <si>
    <t xml:space="preserve">F</t>
  </si>
  <si>
    <t xml:space="preserve">round</t>
  </si>
  <si>
    <t xml:space="preserve">G</t>
  </si>
  <si>
    <t xml:space="preserve">round_date</t>
  </si>
  <si>
    <t xml:space="preserve">bl_cod</t>
  </si>
  <si>
    <t xml:space="preserve">I</t>
  </si>
  <si>
    <t xml:space="preserve">engineer</t>
  </si>
  <si>
    <t xml:space="preserve">J</t>
  </si>
  <si>
    <t xml:space="preserve">admin</t>
  </si>
  <si>
    <t xml:space="preserve">K</t>
  </si>
  <si>
    <t xml:space="preserve">contractor</t>
  </si>
  <si>
    <t xml:space="preserve">L</t>
  </si>
  <si>
    <t xml:space="preserve">pk2_required</t>
  </si>
  <si>
    <t xml:space="preserve">M</t>
  </si>
  <si>
    <t xml:space="preserve">shutdown</t>
  </si>
  <si>
    <t xml:space="preserve">pea_inspected</t>
  </si>
  <si>
    <t xml:space="preserve">O</t>
  </si>
  <si>
    <t xml:space="preserve">iec_tested</t>
  </si>
  <si>
    <t xml:space="preserve">P</t>
  </si>
  <si>
    <t xml:space="preserve">handover_docs</t>
  </si>
  <si>
    <t xml:space="preserve">Q</t>
  </si>
  <si>
    <t xml:space="preserve">grid_submitted</t>
  </si>
  <si>
    <t xml:space="preserve">grid_resub</t>
  </si>
  <si>
    <t xml:space="preserve">appr</t>
  </si>
  <si>
    <t xml:space="preserve">T</t>
  </si>
  <si>
    <t xml:space="preserve">fee</t>
  </si>
  <si>
    <t xml:space="preserve">U</t>
  </si>
  <si>
    <t xml:space="preserve">insreq</t>
  </si>
  <si>
    <t xml:space="preserve">V</t>
  </si>
  <si>
    <t xml:space="preserve">pk2_submitted</t>
  </si>
  <si>
    <t xml:space="preserve">first_sync</t>
  </si>
  <si>
    <t xml:space="preserve">X</t>
  </si>
  <si>
    <t xml:space="preserve">p_inst</t>
  </si>
  <si>
    <t xml:space="preserve">p_pea</t>
  </si>
  <si>
    <t xml:space="preserve">Z</t>
  </si>
  <si>
    <t xml:space="preserve">p_iec</t>
  </si>
  <si>
    <t xml:space="preserve">AA</t>
  </si>
  <si>
    <t xml:space="preserve">p_ho</t>
  </si>
  <si>
    <t xml:space="preserve">AB</t>
  </si>
  <si>
    <t xml:space="preserve">p_grid</t>
  </si>
  <si>
    <t xml:space="preserve">AC</t>
  </si>
  <si>
    <t xml:space="preserve">p_appr</t>
  </si>
  <si>
    <t xml:space="preserve">AD</t>
  </si>
  <si>
    <t xml:space="preserve">p_fee</t>
  </si>
  <si>
    <t xml:space="preserve">AE</t>
  </si>
  <si>
    <t xml:space="preserve">p_insreq</t>
  </si>
  <si>
    <t xml:space="preserve">AF</t>
  </si>
  <si>
    <t xml:space="preserve">p_pk2</t>
  </si>
  <si>
    <t xml:space="preserve">AG</t>
  </si>
  <si>
    <t xml:space="preserve">p_cod</t>
  </si>
  <si>
    <t xml:space="preserve">AH</t>
  </si>
  <si>
    <t xml:space="preserve">ho_delay</t>
  </si>
  <si>
    <t xml:space="preserve">AI</t>
  </si>
  <si>
    <t xml:space="preserve">cod_delay</t>
  </si>
  <si>
    <t xml:space="preserve">AJ</t>
  </si>
  <si>
    <t xml:space="preserve">ms_done</t>
  </si>
  <si>
    <t xml:space="preserve">AK</t>
  </si>
  <si>
    <t xml:space="preserve">ms_tot</t>
  </si>
  <si>
    <t xml:space="preserve">AL</t>
  </si>
  <si>
    <t xml:space="preserve">pct</t>
  </si>
  <si>
    <t xml:space="preserve">AM</t>
  </si>
  <si>
    <t xml:space="preserve">chk</t>
  </si>
  <si>
    <t xml:space="preserve">AN</t>
  </si>
  <si>
    <t xml:space="preserve">cr_days</t>
  </si>
  <si>
    <t xml:space="preserve">AO</t>
  </si>
  <si>
    <t xml:space="preserve">cr_gap</t>
  </si>
  <si>
    <t xml:space="preserve">rw_n</t>
  </si>
  <si>
    <t xml:space="preserve">AQ</t>
  </si>
  <si>
    <t xml:space="preserve">tc_pct</t>
  </si>
  <si>
    <t xml:space="preserve">AR</t>
  </si>
  <si>
    <t xml:space="preserve">tc_upd</t>
  </si>
  <si>
    <t xml:space="preserve">AS</t>
  </si>
  <si>
    <t xml:space="preserve">h_icum</t>
  </si>
  <si>
    <t xml:space="preserve">AT</t>
  </si>
  <si>
    <t xml:space="preserve">h_icap</t>
  </si>
  <si>
    <t xml:space="preserve">AU</t>
  </si>
  <si>
    <t xml:space="preserve">h_pbase</t>
  </si>
  <si>
    <t xml:space="preserve">AV</t>
  </si>
  <si>
    <t xml:space="preserve">h_prank</t>
  </si>
  <si>
    <t xml:space="preserve">AW</t>
  </si>
  <si>
    <t xml:space="preserve">h_cap</t>
  </si>
  <si>
    <t xml:space="preserve">AX</t>
  </si>
  <si>
    <t xml:space="preserve">h_erank</t>
  </si>
  <si>
    <t xml:space="preserve">AY</t>
  </si>
  <si>
    <t xml:space="preserve">h_ecap</t>
  </si>
  <si>
    <t xml:space="preserve">AZ</t>
  </si>
  <si>
    <t xml:space="preserve">h_tbase</t>
  </si>
  <si>
    <t xml:space="preserve">BA</t>
  </si>
  <si>
    <t xml:space="preserve">h_trank</t>
  </si>
  <si>
    <t xml:space="preserve">BB</t>
  </si>
  <si>
    <t xml:space="preserve">h_tcap</t>
  </si>
  <si>
    <t xml:space="preserve">BC</t>
  </si>
  <si>
    <t xml:space="preserve">h_rep</t>
  </si>
  <si>
    <t xml:space="preserve">BD</t>
  </si>
  <si>
    <t xml:space="preserve">h_zwait</t>
  </si>
  <si>
    <t xml:space="preserve">BE</t>
  </si>
  <si>
    <t xml:space="preserve">h_ewait</t>
  </si>
  <si>
    <t xml:space="preserve">BF</t>
  </si>
  <si>
    <t xml:space="preserve">อัปเดตรายสัปดาห์</t>
  </si>
  <si>
    <t xml:space="preserve">pmo</t>
  </si>
  <si>
    <t xml:space="preserve">prep_mat</t>
  </si>
  <si>
    <t xml:space="preserve">prep_out</t>
  </si>
  <si>
    <t xml:space="preserve">prep_design</t>
  </si>
  <si>
    <t xml:space="preserve">site</t>
  </si>
  <si>
    <t xml:space="preserve">prep_a1</t>
  </si>
  <si>
    <t xml:space="preserve">pk2_ok</t>
  </si>
  <si>
    <t xml:space="preserve">grid</t>
  </si>
  <si>
    <t xml:space="preserve">resub</t>
  </si>
  <si>
    <t xml:space="preserve">sync</t>
  </si>
  <si>
    <t xml:space="preserve">ins_struct</t>
  </si>
  <si>
    <t xml:space="preserve">ins_dc</t>
  </si>
  <si>
    <t xml:space="preserve">ins_panel</t>
  </si>
  <si>
    <t xml:space="preserve">ins_fts</t>
  </si>
  <si>
    <t xml:space="preserve">ins_inv</t>
  </si>
  <si>
    <t xml:space="preserve">ins_ac</t>
  </si>
  <si>
    <t xml:space="preserve">ins_ctrl</t>
  </si>
  <si>
    <t xml:space="preserve">ins_comm</t>
  </si>
  <si>
    <t xml:space="preserve">ins_mon</t>
  </si>
  <si>
    <t xml:space="preserve">tiein</t>
  </si>
  <si>
    <t xml:space="preserve">iec</t>
  </si>
  <si>
    <t xml:space="preserve">pea</t>
  </si>
  <si>
    <t xml:space="preserve">asb_sent</t>
  </si>
  <si>
    <t xml:space="preserve">asbuilt</t>
  </si>
  <si>
    <t xml:space="preserve">pac</t>
  </si>
  <si>
    <t xml:space="preserve">ho</t>
  </si>
  <si>
    <t xml:space="preserve">cform_b</t>
  </si>
  <si>
    <t xml:space="preserve">cform_a</t>
  </si>
  <si>
    <t xml:space="preserve">mon</t>
  </si>
  <si>
    <t xml:space="preserve">TCRoof</t>
  </si>
  <si>
    <t xml:space="preserve">override</t>
  </si>
  <si>
    <t xml:space="preserve">job</t>
  </si>
  <si>
    <t xml:space="preserve">jobname</t>
  </si>
  <si>
    <t xml:space="preserve">how</t>
  </si>
  <si>
    <t xml:space="preserve">updated</t>
  </si>
  <si>
    <t xml:space="preserve">t1.1</t>
  </si>
  <si>
    <t xml:space="preserve">t1.2</t>
  </si>
  <si>
    <t xml:space="preserve">t1.3</t>
  </si>
  <si>
    <t xml:space="preserve">t1.4</t>
  </si>
  <si>
    <t xml:space="preserve">t1.5</t>
  </si>
  <si>
    <t xml:space="preserve">t1.6</t>
  </si>
  <si>
    <t xml:space="preserve">t1.7</t>
  </si>
  <si>
    <t xml:space="preserve">t2.1</t>
  </si>
  <si>
    <t xml:space="preserve">t2.2</t>
  </si>
  <si>
    <t xml:space="preserve">t2.3</t>
  </si>
  <si>
    <t xml:space="preserve">t2.4</t>
  </si>
  <si>
    <t xml:space="preserve">t2.5</t>
  </si>
  <si>
    <t xml:space="preserve">t2.6</t>
  </si>
  <si>
    <t xml:space="preserve">t2.7</t>
  </si>
  <si>
    <t xml:space="preserve">t2.8</t>
  </si>
  <si>
    <t xml:space="preserve">t2.9</t>
  </si>
  <si>
    <t xml:space="preserve">t3.1</t>
  </si>
  <si>
    <t xml:space="preserve">t3.2</t>
  </si>
  <si>
    <t xml:space="preserve">fin_install</t>
  </si>
  <si>
    <t xml:space="preserve">fin_iec</t>
  </si>
  <si>
    <t xml:space="preserve">fin_cod</t>
  </si>
  <si>
    <t xml:space="preserve">iec_state</t>
  </si>
  <si>
    <t xml:space="preserve">logs</t>
  </si>
  <si>
    <t xml:space="preserve">log_last</t>
  </si>
  <si>
    <t xml:space="preserve">log_signed</t>
  </si>
  <si>
    <t xml:space="preserve">ทะเบียนความเสี่ยง</t>
  </si>
  <si>
    <t xml:space="preserve">risk</t>
  </si>
  <si>
    <t xml:space="preserve">cat</t>
  </si>
  <si>
    <t xml:space="preserve">cause</t>
  </si>
  <si>
    <t xml:space="preserve">scope</t>
  </si>
  <si>
    <t xml:space="preserve">wbs</t>
  </si>
  <si>
    <t xml:space="preserve">kri</t>
  </si>
  <si>
    <t xml:space="preserve">kri_v</t>
  </si>
  <si>
    <t xml:space="preserve">kri_t</t>
  </si>
  <si>
    <t xml:space="preserve">warn</t>
  </si>
  <si>
    <t xml:space="preserve">p</t>
  </si>
  <si>
    <t xml:space="preserve">i</t>
  </si>
  <si>
    <t xml:space="preserve">score</t>
  </si>
  <si>
    <t xml:space="preserve">level</t>
  </si>
  <si>
    <t xml:space="preserve">days</t>
  </si>
  <si>
    <t xml:space="preserve">res</t>
  </si>
  <si>
    <t xml:space="preserve">strat</t>
  </si>
  <si>
    <t xml:space="preserve">resp</t>
  </si>
  <si>
    <t xml:space="preserve">owner</t>
  </si>
  <si>
    <t xml:space="preserve">status</t>
  </si>
  <si>
    <t xml:space="preserve">why</t>
  </si>
  <si>
    <t xml:space="preserve">hit</t>
  </si>
  <si>
    <t xml:space="preserve">rev</t>
  </si>
  <si>
    <t xml:space="preserve">บันทึกการเปลี่ยนแปลง</t>
  </si>
  <si>
    <t xml:space="preserve">no</t>
  </si>
  <si>
    <t xml:space="preserve">st</t>
  </si>
  <si>
    <t xml:space="preserve">con</t>
  </si>
  <si>
    <t xml:space="preserve">task</t>
  </si>
  <si>
    <t xml:space="preserve">old</t>
  </si>
  <si>
    <t xml:space="preserve">new</t>
  </si>
  <si>
    <t xml:space="preserve">shift</t>
  </si>
  <si>
    <t xml:space="preserve">cod</t>
  </si>
  <si>
    <t xml:space="preserve">detail</t>
  </si>
  <si>
    <t xml:space="preserve">by</t>
  </si>
  <si>
    <t xml:space="preserve">rec</t>
  </si>
  <si>
    <t xml:space="preserve">stat</t>
  </si>
  <si>
    <t xml:space="preserve">adate</t>
  </si>
  <si>
    <t xml:space="preserve">ประวัติรายสัปดาห์</t>
  </si>
  <si>
    <t xml:space="preserve">ประวัติสรุป</t>
  </si>
  <si>
    <t xml:space="preserve">cod_phase</t>
  </si>
  <si>
    <t xml:space="preserve">cod_move</t>
  </si>
  <si>
    <t xml:space="preserve">pct_kwp</t>
  </si>
  <si>
    <t xml:space="preserve">tc_pct_kwp</t>
  </si>
  <si>
    <t xml:space="preserve">late</t>
  </si>
  <si>
    <t xml:space="preserve">risk_high</t>
  </si>
  <si>
    <t xml:space="preserve">kri_warn</t>
  </si>
  <si>
    <t xml:space="preserve">cr_pending</t>
  </si>
  <si>
    <t xml:space="preserve">at</t>
  </si>
  <si>
    <t xml:space="preserve">field</t>
  </si>
  <si>
    <t xml:space="preserve">action</t>
  </si>
  <si>
    <t xml:space="preserve">ตั้งค่าแจ้งเตือน</t>
  </si>
  <si>
    <t xml:space="preserve">emails</t>
  </si>
  <si>
    <t xml:space="preserve">chat</t>
  </si>
  <si>
    <t xml:space="preserve">cod_slip</t>
  </si>
  <si>
    <t xml:space="preserve">pending_days</t>
  </si>
  <si>
    <t xml:space="preserve">tracking_id</t>
  </si>
  <si>
    <t xml:space="preserve">on_cod</t>
  </si>
  <si>
    <t xml:space="preserve">on_conflict</t>
  </si>
  <si>
    <t xml:space="preserve">on_holiday</t>
  </si>
  <si>
    <t xml:space="preserve">on_kri</t>
  </si>
  <si>
    <t xml:space="preserve">on_digest</t>
  </si>
  <si>
    <t xml:space="preserve">run_sync</t>
  </si>
  <si>
    <t xml:space="preserve">run_import</t>
  </si>
  <si>
    <t xml:space="preserve">run_snapshot</t>
  </si>
  <si>
    <t xml:space="preserve">run_alert</t>
  </si>
</sst>
</file>

<file path=xl/styles.xml><?xml version="1.0" encoding="utf-8"?>
<styleSheet xmlns="http://schemas.openxmlformats.org/spreadsheetml/2006/main">
  <numFmts count="39">
    <numFmt numFmtId="164" formatCode="General"/>
    <numFmt numFmtId="165" formatCode="d\ mmm\ yyyy"/>
    <numFmt numFmtId="166" formatCode="@"/>
    <numFmt numFmtId="167" formatCode="0%"/>
    <numFmt numFmtId="168" formatCode="d\ mmm\ hh:mm"/>
    <numFmt numFmtId="169" formatCode="d\ mmm\ yy"/>
    <numFmt numFmtId="170" formatCode="0;[BLUE]\-0;0"/>
    <numFmt numFmtId="171" formatCode="#,##0"/>
    <numFmt numFmtId="172" formatCode="0.0%"/>
    <numFmt numFmtId="173" formatCode="0"/>
    <numFmt numFmtId="174" formatCode="d"/>
    <numFmt numFmtId="175" formatCode="#,##0.00"/>
    <numFmt numFmtId="176" formatCode="General"/>
    <numFmt numFmtId="177" formatCode="0;[BLUE]\-0;;"/>
    <numFmt numFmtId="178" formatCode="ddd\ d\ mmm\ yy"/>
    <numFmt numFmtId="179" formatCode="0&quot; จุด&quot;;;\–"/>
    <numFmt numFmtId="180" formatCode="0;;;"/>
    <numFmt numFmtId="181" formatCode="0.00;;;"/>
    <numFmt numFmtId="182" formatCode="&quot;2.1 &quot;0%"/>
    <numFmt numFmtId="183" formatCode="0.0"/>
    <numFmt numFmtId="184" formatCode="0.0;;;"/>
    <numFmt numFmtId="185" formatCode="0%;;;"/>
    <numFmt numFmtId="186" formatCode="0.00"/>
    <numFmt numFmtId="187" formatCode="0&quot; สถานี&quot;"/>
    <numFmt numFmtId="188" formatCode="0&quot; ตัว&quot;"/>
    <numFmt numFmtId="189" formatCode="\+0;[BLUE]\-0;0"/>
    <numFmt numFmtId="190" formatCode="mmm\ yy"/>
    <numFmt numFmtId="191" formatCode="#,##0;;;"/>
    <numFmt numFmtId="192" formatCode="0.00000"/>
    <numFmt numFmtId="193" formatCode="d/m/yy"/>
    <numFmt numFmtId="194" formatCode="d\ mmm"/>
    <numFmt numFmtId="195" formatCode="0;\-0;;@"/>
    <numFmt numFmtId="196" formatCode="0.0;;\–"/>
    <numFmt numFmtId="197" formatCode="0;;\–"/>
    <numFmt numFmtId="198" formatCode="0;;&quot;&quot;"/>
    <numFmt numFmtId="199" formatCode="\✓;&quot;✗ &quot;0;\✓"/>
    <numFmt numFmtId="200" formatCode="d\ mmm\ yyyy\ hh:mm"/>
    <numFmt numFmtId="201" formatCode="d\ mmm\ yy\ hh:mm"/>
    <numFmt numFmtId="202" formatCode="mm/dd/yy"/>
  </numFmts>
  <fonts count="1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FreeSans"/>
      <family val="2"/>
    </font>
    <font>
      <b val="true"/>
      <sz val="18"/>
      <color rgb="FF1F4E78"/>
      <name val="Tahoma"/>
      <family val="0"/>
      <charset val="1"/>
    </font>
    <font>
      <sz val="10"/>
      <color rgb="FF595959"/>
      <name val="FreeSans"/>
      <family val="2"/>
    </font>
    <font>
      <sz val="10"/>
      <color rgb="FF595959"/>
      <name val="Tahoma"/>
      <family val="0"/>
      <charset val="1"/>
    </font>
    <font>
      <sz val="9"/>
      <color rgb="FF595959"/>
      <name val="FreeSans"/>
      <family val="2"/>
    </font>
    <font>
      <sz val="9"/>
      <color rgb="FF595959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4"/>
      <color rgb="FFC00000"/>
      <name val="Tahoma"/>
      <family val="0"/>
      <charset val="1"/>
    </font>
    <font>
      <b val="true"/>
      <sz val="11"/>
      <color rgb="FF1F4E78"/>
      <name val="Tahoma"/>
      <family val="0"/>
      <charset val="1"/>
    </font>
    <font>
      <b val="true"/>
      <sz val="11"/>
      <color rgb="FF1F4E78"/>
      <name val="FreeSans"/>
      <family val="2"/>
    </font>
    <font>
      <sz val="10"/>
      <name val="Tahoma"/>
      <family val="0"/>
      <charset val="1"/>
    </font>
    <font>
      <sz val="10"/>
      <name val="FreeSans"/>
      <family val="2"/>
    </font>
    <font>
      <b val="true"/>
      <u val="single"/>
      <sz val="10"/>
      <color rgb="FF0563C1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9"/>
      <color rgb="FFFFFFFF"/>
      <name val="Tahoma"/>
      <family val="0"/>
      <charset val="1"/>
    </font>
    <font>
      <b val="true"/>
      <u val="single"/>
      <sz val="9"/>
      <color rgb="FF0563C1"/>
      <name val="Tahoma"/>
      <family val="0"/>
      <charset val="1"/>
    </font>
    <font>
      <sz val="9"/>
      <name val="FreeSans"/>
      <family val="2"/>
    </font>
    <font>
      <sz val="9"/>
      <name val="Tahoma"/>
      <family val="0"/>
      <charset val="1"/>
    </font>
    <font>
      <b val="true"/>
      <sz val="14"/>
      <color rgb="FF1F4E78"/>
      <name val="FreeSans"/>
      <family val="2"/>
    </font>
    <font>
      <i val="true"/>
      <sz val="9"/>
      <color rgb="FF595959"/>
      <name val="FreeSans"/>
      <family val="2"/>
    </font>
    <font>
      <i val="true"/>
      <sz val="9"/>
      <color rgb="FF595959"/>
      <name val="Tahoma"/>
      <family val="0"/>
      <charset val="1"/>
    </font>
    <font>
      <b val="true"/>
      <sz val="10"/>
      <name val="FreeSans"/>
      <family val="2"/>
    </font>
    <font>
      <b val="true"/>
      <sz val="10"/>
      <name val="Tahoma"/>
      <family val="0"/>
      <charset val="1"/>
    </font>
    <font>
      <b val="true"/>
      <sz val="11"/>
      <color rgb="FFC00000"/>
      <name val="Tahoma"/>
      <family val="0"/>
      <charset val="1"/>
    </font>
    <font>
      <u val="single"/>
      <sz val="9"/>
      <color rgb="FF0563C1"/>
      <name val="Tahoma"/>
      <family val="0"/>
      <charset val="1"/>
    </font>
    <font>
      <b val="true"/>
      <sz val="8"/>
      <color rgb="FFFFFFFF"/>
      <name val="Tahoma"/>
      <family val="0"/>
      <charset val="1"/>
    </font>
    <font>
      <b val="true"/>
      <sz val="8"/>
      <color rgb="FFFFFFFF"/>
      <name val="FreeSans"/>
      <family val="2"/>
    </font>
    <font>
      <sz val="9"/>
      <color rgb="FF0000FF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Tahoma"/>
      <family val="0"/>
      <charset val="1"/>
    </font>
    <font>
      <b val="true"/>
      <sz val="12"/>
      <color rgb="FF1F4E78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8"/>
      <color rgb="FF0563C1"/>
      <name val="Tahoma"/>
      <family val="0"/>
      <charset val="1"/>
    </font>
    <font>
      <sz val="8"/>
      <name val="FreeSans"/>
      <family val="2"/>
    </font>
    <font>
      <sz val="8"/>
      <name val="Tahoma"/>
      <family val="0"/>
      <charset val="1"/>
    </font>
    <font>
      <b val="true"/>
      <sz val="13"/>
      <color rgb="FF000000"/>
      <name val="Tahoma"/>
      <family val="0"/>
      <charset val="1"/>
    </font>
    <font>
      <b val="true"/>
      <sz val="13"/>
      <color rgb="FFC00000"/>
      <name val="Tahoma"/>
      <family val="0"/>
      <charset val="1"/>
    </font>
    <font>
      <b val="true"/>
      <sz val="13"/>
      <color rgb="FF7F7F7F"/>
      <name val="Tahoma"/>
      <family val="0"/>
      <charset val="1"/>
    </font>
    <font>
      <b val="true"/>
      <sz val="13"/>
      <color rgb="FFC55A11"/>
      <name val="Tahoma"/>
      <family val="0"/>
      <charset val="1"/>
    </font>
    <font>
      <i val="true"/>
      <sz val="8"/>
      <color rgb="FF595959"/>
      <name val="FreeSans"/>
      <family val="2"/>
    </font>
    <font>
      <i val="true"/>
      <sz val="8"/>
      <color rgb="FF595959"/>
      <name val="Tahoma"/>
      <family val="0"/>
      <charset val="1"/>
    </font>
    <font>
      <sz val="9"/>
      <color rgb="FF375623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9"/>
      <name val="Tahoma"/>
      <family val="0"/>
      <charset val="1"/>
    </font>
    <font>
      <sz val="9"/>
      <color rgb="FF404040"/>
      <name val="Tahoma"/>
      <family val="0"/>
      <charset val="1"/>
    </font>
    <font>
      <b val="true"/>
      <sz val="7"/>
      <name val="Tahoma"/>
      <family val="0"/>
      <charset val="1"/>
    </font>
    <font>
      <sz val="9"/>
      <color rgb="FF000000"/>
      <name val="FreeSans"/>
      <family val="2"/>
    </font>
    <font>
      <sz val="9"/>
      <color rgb="FF0563C1"/>
      <name val="Tahoma"/>
      <family val="0"/>
      <charset val="1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sz val="9"/>
      <color rgb="FF1F4E78"/>
      <name val="Tahoma"/>
      <family val="0"/>
      <charset val="1"/>
    </font>
    <font>
      <sz val="9"/>
      <color rgb="FF1F4E78"/>
      <name val="FreeSans"/>
      <family val="2"/>
    </font>
    <font>
      <b val="true"/>
      <sz val="8"/>
      <name val="FreeSans"/>
      <family val="2"/>
    </font>
    <font>
      <sz val="8"/>
      <color rgb="FFA6A6A6"/>
      <name val="Tahoma"/>
      <family val="0"/>
      <charset val="1"/>
    </font>
    <font>
      <sz val="9"/>
      <color rgb="FF0000FF"/>
      <name val="FreeSans"/>
      <family val="2"/>
    </font>
    <font>
      <b val="true"/>
      <sz val="8"/>
      <name val="Tahoma"/>
      <family val="0"/>
      <charset val="1"/>
    </font>
    <font>
      <i val="true"/>
      <sz val="7"/>
      <color rgb="FF595959"/>
      <name val="FreeSans"/>
      <family val="2"/>
    </font>
    <font>
      <i val="true"/>
      <sz val="7"/>
      <color rgb="FF595959"/>
      <name val="Tahoma"/>
      <family val="0"/>
      <charset val="1"/>
    </font>
    <font>
      <b val="true"/>
      <sz val="9"/>
      <name val="FreeSans"/>
      <family val="2"/>
    </font>
    <font>
      <b val="true"/>
      <sz val="9"/>
      <color rgb="FF000000"/>
      <name val="Tahoma"/>
      <family val="0"/>
      <charset val="1"/>
    </font>
    <font>
      <b val="true"/>
      <sz val="9"/>
      <color rgb="FF000000"/>
      <name val="FreeSans"/>
      <family val="2"/>
    </font>
    <font>
      <b val="true"/>
      <sz val="13"/>
      <color rgb="FF1F4E78"/>
      <name val="FreeSans"/>
      <family val="2"/>
    </font>
    <font>
      <b val="true"/>
      <sz val="13"/>
      <color rgb="FF1F4E78"/>
      <name val="Tahoma"/>
      <family val="0"/>
      <charset val="1"/>
    </font>
    <font>
      <sz val="8.5"/>
      <color rgb="FF000000"/>
      <name val="Tahoma"/>
      <family val="0"/>
      <charset val="1"/>
    </font>
    <font>
      <sz val="8.5"/>
      <color rgb="FF000000"/>
      <name val="FreeSans"/>
      <family val="2"/>
    </font>
    <font>
      <sz val="8.5"/>
      <color rgb="FFA6A6A6"/>
      <name val="FreeSans"/>
      <family val="2"/>
    </font>
    <font>
      <sz val="8.5"/>
      <color rgb="FFA6A6A6"/>
      <name val="Tahoma"/>
      <family val="0"/>
      <charset val="1"/>
    </font>
    <font>
      <b val="true"/>
      <sz val="13"/>
      <color rgb="FF375623"/>
      <name val="Tahoma"/>
      <family val="0"/>
      <charset val="1"/>
    </font>
    <font>
      <b val="true"/>
      <sz val="11"/>
      <name val="FreeSans"/>
      <family val="2"/>
    </font>
    <font>
      <b val="true"/>
      <sz val="11"/>
      <name val="Tahoma"/>
      <family val="0"/>
      <charset val="1"/>
    </font>
    <font>
      <b val="true"/>
      <sz val="13"/>
      <name val="Tahoma"/>
      <family val="0"/>
      <charset val="1"/>
    </font>
    <font>
      <b val="true"/>
      <sz val="13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Tahom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FreeSans"/>
      <family val="2"/>
    </font>
    <font>
      <b val="true"/>
      <sz val="10"/>
      <color rgb="FFFFFFFF"/>
      <name val="Tahoma"/>
      <family val="0"/>
      <charset val="1"/>
    </font>
    <font>
      <i val="true"/>
      <sz val="8"/>
      <color rgb="FFC00000"/>
      <name val="FreeSans"/>
      <family val="2"/>
    </font>
    <font>
      <i val="true"/>
      <sz val="8"/>
      <color rgb="FFC00000"/>
      <name val="Tahoma"/>
      <family val="0"/>
      <charset val="1"/>
    </font>
    <font>
      <sz val="8"/>
      <color rgb="FF000000"/>
      <name val="Tahoma"/>
      <family val="0"/>
      <charset val="1"/>
    </font>
    <font>
      <sz val="8"/>
      <color rgb="FF000000"/>
      <name val="FreeSans"/>
      <family val="2"/>
    </font>
    <font>
      <b val="true"/>
      <sz val="18"/>
      <color rgb="FF000000"/>
      <name val="FreeSans"/>
      <family val="2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2"/>
    </font>
    <font>
      <b val="true"/>
      <sz val="9"/>
      <color rgb="FFC00000"/>
      <name val="FreeSans"/>
      <family val="2"/>
    </font>
    <font>
      <b val="true"/>
      <sz val="9"/>
      <color rgb="FFC00000"/>
      <name val="Tahoma"/>
      <family val="0"/>
      <charset val="1"/>
    </font>
    <font>
      <sz val="7"/>
      <color rgb="FF595959"/>
      <name val="FreeSans"/>
      <family val="2"/>
    </font>
    <font>
      <sz val="7"/>
      <color rgb="FF595959"/>
      <name val="Tahoma"/>
      <family val="0"/>
      <charset val="1"/>
    </font>
    <font>
      <sz val="9"/>
      <color rgb="FF7F7F7F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10"/>
      <color rgb="FF0000FF"/>
      <name val="FreeSans"/>
      <family val="2"/>
    </font>
    <font>
      <sz val="10"/>
      <color rgb="FF0000FF"/>
      <name val="Tahoma"/>
      <family val="0"/>
      <charset val="1"/>
    </font>
    <font>
      <sz val="11"/>
      <name val="FreeSans"/>
      <family val="2"/>
    </font>
    <font>
      <sz val="11"/>
      <name val="Tahoma"/>
      <family val="0"/>
      <charset val="1"/>
    </font>
    <font>
      <b val="true"/>
      <sz val="10"/>
      <color rgb="FFC00000"/>
      <name val="Tahoma"/>
      <family val="0"/>
      <charset val="1"/>
    </font>
    <font>
      <sz val="9"/>
      <color rgb="FF404040"/>
      <name val="FreeSans"/>
      <family val="2"/>
    </font>
    <font>
      <b val="true"/>
      <sz val="12"/>
      <color rgb="FF000000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C00000"/>
      <name val="FreeSans"/>
      <family val="2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</font>
    <font>
      <b val="true"/>
      <sz val="9"/>
      <color rgb="FF375623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</font>
    <font>
      <sz val="11"/>
      <color theme="1"/>
      <name val="Free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3EEF8"/>
        <bgColor rgb="FFF2F2F2"/>
      </patternFill>
    </fill>
    <fill>
      <patternFill patternType="solid">
        <fgColor rgb="FF1F4E78"/>
        <bgColor rgb="FF404040"/>
      </patternFill>
    </fill>
    <fill>
      <patternFill patternType="solid">
        <fgColor rgb="FF2E75B6"/>
        <bgColor rgb="FF4472C4"/>
      </patternFill>
    </fill>
    <fill>
      <patternFill patternType="solid">
        <fgColor rgb="FFD9D9D9"/>
        <bgColor rgb="FFBDD7EE"/>
      </patternFill>
    </fill>
    <fill>
      <patternFill patternType="solid">
        <fgColor rgb="FFF2F2F2"/>
        <bgColor rgb="FFF3EEF8"/>
      </patternFill>
    </fill>
    <fill>
      <patternFill patternType="solid">
        <fgColor rgb="FFEDF4FB"/>
        <bgColor rgb="FFF2F2F2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DE9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5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8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8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3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83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2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1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3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2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3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73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4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80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3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71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6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4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4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4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3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9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3" fontId="4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4" fontId="1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3" fontId="6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6" fontId="6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6" fontId="4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6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7" fontId="4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3" fontId="8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8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8" fontId="8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9" fontId="4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4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4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5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4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4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3" fontId="9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200" fontId="9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201" fontId="2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2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2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2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4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04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0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4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833C0B"/>
      </font>
      <fill>
        <patternFill>
          <bgColor rgb="FFF8CBAD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375623"/>
      </font>
      <fill>
        <patternFill>
          <bgColor rgb="FFE2EFDA"/>
        </patternFill>
      </fill>
    </dxf>
    <dxf>
      <fill>
        <patternFill patternType="solid">
          <fgColor rgb="FFFFEB9C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DF4FB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b val="1"/>
        <color rgb="FF375623"/>
      </font>
      <fill>
        <patternFill>
          <bgColor rgb="FFA9D08E"/>
        </patternFill>
      </fill>
    </dxf>
    <dxf>
      <font>
        <b val="1"/>
        <color rgb="FFFFFFFF"/>
      </font>
      <fill>
        <patternFill>
          <bgColor rgb="FF5B9BD5"/>
        </patternFill>
      </fill>
    </dxf>
    <dxf>
      <border diagonalUp="false" diagonalDown="false">
        <left style="medium">
          <color rgb="FFC00000"/>
        </left>
        <right/>
        <top/>
        <bottom/>
        <diagonal/>
      </border>
    </dxf>
    <dxf>
      <fill>
        <patternFill>
          <bgColor rgb="FFFFE699"/>
        </patternFill>
      </fill>
    </dxf>
    <dxf/>
    <dxf>
      <fill>
        <patternFill>
          <bgColor rgb="FFF2F2F2"/>
        </patternFill>
      </fill>
    </dxf>
    <dxf>
      <font>
        <b val="1"/>
        <color rgb="FF833C0B"/>
      </font>
      <fill>
        <patternFill>
          <bgColor rgb="FFFCE4D6"/>
        </patternFill>
      </fill>
    </dxf>
    <dxf>
      <font>
        <b val="1"/>
        <color rgb="FFC00000"/>
      </font>
    </dxf>
    <dxf>
      <font>
        <b val="1"/>
        <color rgb="FF9C5700"/>
      </font>
      <fill>
        <patternFill>
          <bgColor rgb="FFFFEB9C"/>
        </patternFill>
      </fill>
    </dxf>
    <dxf>
      <font>
        <color rgb="FFC00000"/>
      </font>
    </dxf>
    <dxf>
      <fill>
        <patternFill patternType="solid">
          <fgColor rgb="FF9C5700"/>
          <bgColor rgb="FF000000"/>
        </patternFill>
      </fill>
    </dxf>
    <dxf>
      <font>
        <i val="1"/>
        <color rgb="FF9C5700"/>
      </font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F8CBAD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>
          <bgColor rgb="FFA9D08E"/>
        </patternFill>
      </fill>
    </dxf>
    <dxf>
      <font>
        <b val="1"/>
        <color rgb="FFFFFFFF"/>
      </font>
      <fill>
        <patternFill>
          <bgColor rgb="FF1F4E78"/>
        </patternFill>
      </fill>
    </dxf>
    <dxf>
      <fill>
        <patternFill>
          <bgColor rgb="FFBDD7EE"/>
        </patternFill>
      </fill>
    </dxf>
    <dxf>
      <border diagonalUp="false" diagonalDown="false">
        <left style="medium">
          <color rgb="FFC00000"/>
        </left>
        <right style="medium">
          <color rgb="FFC00000"/>
        </right>
        <top/>
        <bottom/>
        <diagonal/>
      </border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A6A6A6"/>
      </font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ont>
        <b val="1"/>
        <color rgb="FFC55A11"/>
      </font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DEDED"/>
        </patternFill>
      </fill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E2EFDA"/>
      <rgbColor rgb="FF0000FF"/>
      <rgbColor rgb="FFFFE699"/>
      <rgbColor rgb="FFCA7E7D"/>
      <rgbColor rgb="FFADC683"/>
      <rgbColor rgb="FF9C0006"/>
      <rgbColor rgb="FF006100"/>
      <rgbColor rgb="FFF2F2F2"/>
      <rgbColor rgb="FF7F6000"/>
      <rgbColor rgb="FF7030A0"/>
      <rgbColor rgb="FF2E75B6"/>
      <rgbColor rgb="FFBFBFBF"/>
      <rgbColor rgb="FF808080"/>
      <rgbColor rgb="FF8EA9DB"/>
      <rgbColor rgb="FF973F3C"/>
      <rgbColor rgb="FFFFF2CC"/>
      <rgbColor rgb="FFDDEBF7"/>
      <rgbColor rgb="FFEDEDED"/>
      <rgbColor rgb="FFE78C41"/>
      <rgbColor rgb="FF0563C1"/>
      <rgbColor rgb="FFBDD7EE"/>
      <rgbColor rgb="FFF7F9FC"/>
      <rgbColor rgb="FFFFC7CE"/>
      <rgbColor rgb="FFFCE4D6"/>
      <rgbColor rgb="FFD9D9D9"/>
      <rgbColor rgb="FFC27637"/>
      <rgbColor rgb="FF9C5700"/>
      <rgbColor rgb="FF7F7F7F"/>
      <rgbColor rgb="FFF3EEF8"/>
      <rgbColor rgb="FFA9D08E"/>
      <rgbColor rgb="FFEDF4FB"/>
      <rgbColor rgb="FFC6EFCE"/>
      <rgbColor rgb="FFFFEB9C"/>
      <rgbColor rgb="FFB5C3DB"/>
      <rgbColor rgb="FFDDB5B5"/>
      <rgbColor rgb="FFA6A6A6"/>
      <rgbColor rgb="FFF8CBAD"/>
      <rgbColor rgb="FF4472C4"/>
      <rgbColor rgb="FF599CD4"/>
      <rgbColor rgb="FF70AD47"/>
      <rgbColor rgb="FFF4B183"/>
      <rgbColor rgb="FFF8AA7A"/>
      <rgbColor rgb="FFC55A11"/>
      <rgbColor rgb="FF59595B"/>
      <rgbColor rgb="FF9A89B2"/>
      <rgbColor rgb="FF878787"/>
      <rgbColor rgb="FF417FAA"/>
      <rgbColor rgb="FFFDE9E9"/>
      <rgbColor rgb="FF375623"/>
      <rgbColor rgb="FF833C0B"/>
      <rgbColor rgb="FFB74A48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S-Curve: Baseline / Plan /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(ล็อก)"</c:f>
              <c:strCache>
                <c:ptCount val="1"/>
                <c:pt idx="0">
                  <c:v>Baseline (ล็อก)</c:v>
                </c:pt>
              </c:strCache>
            </c:strRef>
          </c:tx>
          <c:spPr>
            <a:solidFill>
              <a:srgbClr val="a6a6a6"/>
            </a:solidFill>
            <a:ln w="2196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'S-Curve'!$D$5:$D$52</c:f>
              <c:numCache>
                <c:formatCode>0.0%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</c:v>
                </c:pt>
                <c:pt idx="10">
                  <c:v>0.95</c:v>
                </c:pt>
                <c:pt idx="11">
                  <c:v>0.975</c:v>
                </c:pt>
                <c:pt idx="12">
                  <c:v>0.975</c:v>
                </c:pt>
                <c:pt idx="13">
                  <c:v>0.975</c:v>
                </c:pt>
                <c:pt idx="14">
                  <c:v>0.975</c:v>
                </c:pt>
                <c:pt idx="15">
                  <c:v>0.975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"Plan (แผนปัจจุบัน)"</c:f>
              <c:strCache>
                <c:ptCount val="1"/>
                <c:pt idx="0">
                  <c:v>Plan (แผนปัจจุบัน)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'S-Curve'!$E$5:$E$52</c:f>
              <c:numCache>
                <c:formatCode>0.0%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</c:v>
                </c:pt>
                <c:pt idx="5">
                  <c:v>0.95</c:v>
                </c:pt>
                <c:pt idx="6">
                  <c:v>0.975</c:v>
                </c:pt>
                <c:pt idx="7">
                  <c:v>0.975</c:v>
                </c:pt>
                <c:pt idx="8">
                  <c:v>0.975</c:v>
                </c:pt>
                <c:pt idx="9">
                  <c:v>0.975</c:v>
                </c:pt>
                <c:pt idx="10">
                  <c:v>0.975</c:v>
                </c:pt>
                <c:pt idx="11">
                  <c:v>0.975</c:v>
                </c:pt>
                <c:pt idx="12">
                  <c:v>0.975</c:v>
                </c:pt>
                <c:pt idx="13">
                  <c:v>0.975</c:v>
                </c:pt>
                <c:pt idx="14">
                  <c:v>0.975</c:v>
                </c:pt>
                <c:pt idx="15">
                  <c:v>0.975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'S-Curve'!$F$5:$F$6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44476"/>
        <c:axId val="54728830"/>
      </c:lineChart>
      <c:catAx>
        <c:axId val="8544476"/>
        <c:scaling>
          <c:orientation val="minMax"/>
        </c:scaling>
        <c:delete val="0"/>
        <c:axPos val="b"/>
        <c:numFmt formatCode="d\ 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28830"/>
        <c:crosses val="autoZero"/>
        <c:auto val="1"/>
        <c:lblAlgn val="ctr"/>
        <c:lblOffset val="100"/>
        <c:noMultiLvlLbl val="0"/>
      </c:catAx>
      <c:valAx>
        <c:axId val="5472883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4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คนเฉลี่ยต่อวัน แยกผู้รับเหมา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"ผรม. 01"</c:f>
              <c:strCache>
                <c:ptCount val="1"/>
                <c:pt idx="0">
                  <c:v>ผรม. 01</c:v>
                </c:pt>
              </c:strCache>
            </c:strRef>
          </c:tx>
          <c:spPr>
            <a:solidFill>
              <a:srgbClr val="3e659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แผนกำลังคน!$O$23:$AR$23</c:f>
              <c:numCache>
                <c:formatCode>0.0;;\–</c:formatCode>
                <c:ptCount val="30"/>
                <c:pt idx="0">
                  <c:v>3.8</c:v>
                </c:pt>
                <c:pt idx="1">
                  <c:v>3.8</c:v>
                </c:pt>
                <c:pt idx="2">
                  <c:v>19.9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"ผรม. 02"</c:f>
              <c:strCache>
                <c:ptCount val="1"/>
                <c:pt idx="0">
                  <c:v>ผรม. 02</c:v>
                </c:pt>
              </c:strCache>
            </c:strRef>
          </c:tx>
          <c:spPr>
            <a:solidFill>
              <a:srgbClr val="973f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แผนกำลังคน!$O$24:$AR$24</c:f>
              <c:numCache>
                <c:formatCode>0.0;;\–</c:formatCode>
                <c:ptCount val="30"/>
                <c:pt idx="0">
                  <c:v>8.3</c:v>
                </c:pt>
                <c:pt idx="1">
                  <c:v>6.5</c:v>
                </c:pt>
                <c:pt idx="2">
                  <c:v>22.6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2"/>
          <c:order val="2"/>
          <c:tx>
            <c:strRef>
              <c:f>"ผรม. 03"</c:f>
              <c:strCache>
                <c:ptCount val="1"/>
                <c:pt idx="0">
                  <c:v>ผรม. 03</c:v>
                </c:pt>
              </c:strCache>
            </c:strRef>
          </c:tx>
          <c:spPr>
            <a:solidFill>
              <a:srgbClr val="7a93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แผนกำลังคน!$O$25:$AR$25</c:f>
              <c:numCache>
                <c:formatCode>0.0;;\–</c:formatCode>
                <c:ptCount val="30"/>
                <c:pt idx="0">
                  <c:v>3.8</c:v>
                </c:pt>
                <c:pt idx="1">
                  <c:v>3.8</c:v>
                </c:pt>
                <c:pt idx="2">
                  <c:v>18.1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3"/>
          <c:order val="3"/>
          <c:tx>
            <c:strRef>
              <c:f>"ผรม. 04"</c:f>
              <c:strCache>
                <c:ptCount val="1"/>
                <c:pt idx="0">
                  <c:v>ผรม. 04</c:v>
                </c:pt>
              </c:strCache>
            </c:strRef>
          </c:tx>
          <c:spPr>
            <a:solidFill>
              <a:srgbClr val="654e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แผนกำลังคน!$O$26:$AR$26</c:f>
              <c:numCache>
                <c:formatCode>0.0;;\–</c:formatCode>
                <c:ptCount val="30"/>
                <c:pt idx="0">
                  <c:v>8.3</c:v>
                </c:pt>
                <c:pt idx="1">
                  <c:v>6.5</c:v>
                </c:pt>
                <c:pt idx="2">
                  <c:v>20.8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4"/>
          <c:order val="4"/>
          <c:tx>
            <c:strRef>
              <c:f>"ผรม. 05"</c:f>
              <c:strCache>
                <c:ptCount val="1"/>
                <c:pt idx="0">
                  <c:v>ผรม. 05</c:v>
                </c:pt>
              </c:strCache>
            </c:strRef>
          </c:tx>
          <c:spPr>
            <a:solidFill>
              <a:srgbClr val="3b879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แผนกำลังคน!$O$27:$AR$27</c:f>
              <c:numCache>
                <c:formatCode>0.0;;\–</c:formatCode>
                <c:ptCount val="30"/>
                <c:pt idx="0">
                  <c:v>3.4</c:v>
                </c:pt>
                <c:pt idx="1">
                  <c:v>3.4</c:v>
                </c:pt>
                <c:pt idx="2">
                  <c:v>19.9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5"/>
          <c:order val="5"/>
          <c:tx>
            <c:strRef>
              <c:f>"ผรม. 06"</c:f>
              <c:strCache>
                <c:ptCount val="1"/>
                <c:pt idx="0">
                  <c:v>ผรม. 06</c:v>
                </c:pt>
              </c:strCache>
            </c:strRef>
          </c:tx>
          <c:spPr>
            <a:solidFill>
              <a:srgbClr val="c276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แผนกำลังคน!$O$28:$AR$28</c:f>
              <c:numCache>
                <c:formatCode>0.0;;\–</c:formatCode>
                <c:ptCount val="30"/>
                <c:pt idx="0">
                  <c:v>7.1</c:v>
                </c:pt>
                <c:pt idx="1">
                  <c:v>6</c:v>
                </c:pt>
                <c:pt idx="2">
                  <c:v>22.6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6"/>
          <c:order val="6"/>
          <c:tx>
            <c:strRef>
              <c:f>"ผรม. 07"</c:f>
              <c:strCache>
                <c:ptCount val="1"/>
                <c:pt idx="0">
                  <c:v>ผรม. 07</c:v>
                </c:pt>
              </c:strCache>
            </c:strRef>
          </c:tx>
          <c:spPr>
            <a:solidFill>
              <a:srgbClr val="4978b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แผนกำลังคน!$O$29:$AR$29</c:f>
              <c:numCache>
                <c:formatCode>0.0;;\–</c:formatCode>
                <c:ptCount val="30"/>
                <c:pt idx="0">
                  <c:v>3.4</c:v>
                </c:pt>
                <c:pt idx="1">
                  <c:v>3.4</c:v>
                </c:pt>
                <c:pt idx="2">
                  <c:v>18.1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7"/>
          <c:order val="7"/>
          <c:tx>
            <c:strRef>
              <c:f>"ผรม. 08"</c:f>
              <c:strCache>
                <c:ptCount val="1"/>
                <c:pt idx="0">
                  <c:v>ผรม. 08</c:v>
                </c:pt>
              </c:strCache>
            </c:strRef>
          </c:tx>
          <c:spPr>
            <a:solidFill>
              <a:srgbClr val="b34a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แผนกำลังคน!$O$30:$AR$30</c:f>
              <c:numCache>
                <c:formatCode>0.0;;\–</c:formatCode>
                <c:ptCount val="30"/>
                <c:pt idx="0">
                  <c:v>7.1</c:v>
                </c:pt>
                <c:pt idx="1">
                  <c:v>6</c:v>
                </c:pt>
                <c:pt idx="2">
                  <c:v>20.8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8"/>
          <c:order val="8"/>
          <c:tx>
            <c:strRef>
              <c:f>"ผรม. 09"</c:f>
              <c:strCache>
                <c:ptCount val="1"/>
                <c:pt idx="0">
                  <c:v>ผรม. 09</c:v>
                </c:pt>
              </c:strCache>
            </c:strRef>
          </c:tx>
          <c:spPr>
            <a:solidFill>
              <a:srgbClr val="91af5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แผนกำลังคน!$O$31:$AR$31</c:f>
              <c:numCache>
                <c:formatCode>0.0;;\–</c:formatCode>
                <c:ptCount val="30"/>
                <c:pt idx="0">
                  <c:v>4.1</c:v>
                </c:pt>
                <c:pt idx="1">
                  <c:v>4.1</c:v>
                </c:pt>
                <c:pt idx="2">
                  <c:v>19.9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9"/>
          <c:order val="9"/>
          <c:tx>
            <c:strRef>
              <c:f>"ผรม. 10"</c:f>
              <c:strCache>
                <c:ptCount val="1"/>
                <c:pt idx="0">
                  <c:v>ผรม. 10</c:v>
                </c:pt>
              </c:strCache>
            </c:strRef>
          </c:tx>
          <c:spPr>
            <a:solidFill>
              <a:srgbClr val="775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แผนกำลังคน!$O$32:$AR$32</c:f>
              <c:numCache>
                <c:formatCode>0.0;;\–</c:formatCode>
                <c:ptCount val="30"/>
                <c:pt idx="0">
                  <c:v>9</c:v>
                </c:pt>
                <c:pt idx="1">
                  <c:v>6.7</c:v>
                </c:pt>
                <c:pt idx="2">
                  <c:v>22.6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0"/>
          <c:order val="10"/>
          <c:tx>
            <c:strRef>
              <c:f>"ผรม. 11"</c:f>
              <c:strCache>
                <c:ptCount val="1"/>
                <c:pt idx="0">
                  <c:v>ผรม. 11</c:v>
                </c:pt>
              </c:strCache>
            </c:strRef>
          </c:tx>
          <c:spPr>
            <a:solidFill>
              <a:srgbClr val="46a1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แผนกำลังคน!$O$33:$AR$33</c:f>
              <c:numCache>
                <c:formatCode>0.0;;\–</c:formatCode>
                <c:ptCount val="30"/>
                <c:pt idx="0">
                  <c:v>4.1</c:v>
                </c:pt>
                <c:pt idx="1">
                  <c:v>4.1</c:v>
                </c:pt>
                <c:pt idx="2">
                  <c:v>18.1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1"/>
          <c:order val="11"/>
          <c:tx>
            <c:strRef>
              <c:f>"ผรม. 12"</c:f>
              <c:strCache>
                <c:ptCount val="1"/>
                <c:pt idx="0">
                  <c:v>ผรม. 12</c:v>
                </c:pt>
              </c:strCache>
            </c:strRef>
          </c:tx>
          <c:spPr>
            <a:solidFill>
              <a:srgbClr val="e78c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แผนกำลังคน!$O$34:$AR$34</c:f>
              <c:numCache>
                <c:formatCode>0.0;;\–</c:formatCode>
                <c:ptCount val="30"/>
                <c:pt idx="0">
                  <c:v>9</c:v>
                </c:pt>
                <c:pt idx="1">
                  <c:v>6.7</c:v>
                </c:pt>
                <c:pt idx="2">
                  <c:v>20.8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2"/>
          <c:order val="12"/>
          <c:tx>
            <c:strRef>
              <c:f>"ผรม. 13"</c:f>
              <c:strCache>
                <c:ptCount val="1"/>
                <c:pt idx="0">
                  <c:v>ผรม. 13</c:v>
                </c:pt>
              </c:strCache>
            </c:strRef>
          </c:tx>
          <c:spPr>
            <a:solidFill>
              <a:srgbClr val="7e9b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แผนกำลังคน!$O$35:$AR$35</c:f>
              <c:numCache>
                <c:formatCode>0.0;;\–</c:formatCode>
                <c:ptCount val="30"/>
                <c:pt idx="0">
                  <c:v>5.1</c:v>
                </c:pt>
                <c:pt idx="1">
                  <c:v>5.1</c:v>
                </c:pt>
                <c:pt idx="2">
                  <c:v>19.9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3"/>
          <c:order val="13"/>
          <c:tx>
            <c:strRef>
              <c:f>"ผรม. 14"</c:f>
              <c:strCache>
                <c:ptCount val="1"/>
                <c:pt idx="0">
                  <c:v>ผรม. 14</c:v>
                </c:pt>
              </c:strCache>
            </c:strRef>
          </c:tx>
          <c:spPr>
            <a:solidFill>
              <a:srgbClr val="ca7e7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แผนกำลังคน!$O$36:$AR$36</c:f>
              <c:numCache>
                <c:formatCode>0.0;;\–</c:formatCode>
                <c:ptCount val="30"/>
                <c:pt idx="0">
                  <c:v>11.5</c:v>
                </c:pt>
                <c:pt idx="1">
                  <c:v>7.8</c:v>
                </c:pt>
                <c:pt idx="2">
                  <c:v>22.6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4"/>
          <c:order val="14"/>
          <c:tx>
            <c:strRef>
              <c:f>"ผรม. 15"</c:f>
              <c:strCache>
                <c:ptCount val="1"/>
                <c:pt idx="0">
                  <c:v>ผรม. 15</c:v>
                </c:pt>
              </c:strCache>
            </c:strRef>
          </c:tx>
          <c:spPr>
            <a:solidFill>
              <a:srgbClr val="adc6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แผนกำลังคน!$O$37:$AR$37</c:f>
              <c:numCache>
                <c:formatCode>0.0;;\–</c:formatCode>
                <c:ptCount val="30"/>
                <c:pt idx="0">
                  <c:v>5.1</c:v>
                </c:pt>
                <c:pt idx="1">
                  <c:v>5.1</c:v>
                </c:pt>
                <c:pt idx="2">
                  <c:v>18.1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5"/>
          <c:order val="15"/>
          <c:tx>
            <c:strRef>
              <c:f>"ผรม. 16"</c:f>
              <c:strCache>
                <c:ptCount val="1"/>
                <c:pt idx="0">
                  <c:v>ผรม. 16</c:v>
                </c:pt>
              </c:strCache>
            </c:strRef>
          </c:tx>
          <c:spPr>
            <a:solidFill>
              <a:srgbClr val="9a89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แผนกำลังคน!$O$38:$AR$38</c:f>
              <c:numCache>
                <c:formatCode>0.0;;\–</c:formatCode>
                <c:ptCount val="30"/>
                <c:pt idx="0">
                  <c:v>11.5</c:v>
                </c:pt>
                <c:pt idx="1">
                  <c:v>7.8</c:v>
                </c:pt>
                <c:pt idx="2">
                  <c:v>20.8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6"/>
          <c:order val="16"/>
          <c:tx>
            <c:strRef>
              <c:f>"ผรม. 17"</c:f>
              <c:strCache>
                <c:ptCount val="1"/>
                <c:pt idx="0">
                  <c:v>ผรม. 17</c:v>
                </c:pt>
              </c:strCache>
            </c:strRef>
          </c:tx>
          <c:spPr>
            <a:solidFill>
              <a:srgbClr val="7cbac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แผนกำลังคน!$O$39:$AR$39</c:f>
              <c:numCache>
                <c:formatCode>0.0;;\–</c:formatCode>
                <c:ptCount val="30"/>
                <c:pt idx="0">
                  <c:v>8.4</c:v>
                </c:pt>
                <c:pt idx="1">
                  <c:v>8.4</c:v>
                </c:pt>
                <c:pt idx="2">
                  <c:v>19.9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7"/>
          <c:order val="17"/>
          <c:tx>
            <c:strRef>
              <c:f>"ผรม. 18"</c:f>
              <c:strCache>
                <c:ptCount val="1"/>
                <c:pt idx="0">
                  <c:v>ผรม. 18</c:v>
                </c:pt>
              </c:strCache>
            </c:strRef>
          </c:tx>
          <c:spPr>
            <a:solidFill>
              <a:srgbClr val="f8aa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แผนกำลังคน!$O$40:$AR$40</c:f>
              <c:numCache>
                <c:formatCode>0.0;;\–</c:formatCode>
                <c:ptCount val="30"/>
                <c:pt idx="0">
                  <c:v>20.5</c:v>
                </c:pt>
                <c:pt idx="1">
                  <c:v>11.4</c:v>
                </c:pt>
                <c:pt idx="2">
                  <c:v>22.6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8"/>
          <c:order val="18"/>
          <c:tx>
            <c:strRef>
              <c:f>"ผรม. 19"</c:f>
              <c:strCache>
                <c:ptCount val="1"/>
                <c:pt idx="0">
                  <c:v>ผรม. 19</c:v>
                </c:pt>
              </c:strCache>
            </c:strRef>
          </c:tx>
          <c:spPr>
            <a:solidFill>
              <a:srgbClr val="b5c3d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แผนกำลังคน!$O$41:$AR$41</c:f>
              <c:numCache>
                <c:formatCode>0.0;;\–</c:formatCode>
                <c:ptCount val="30"/>
                <c:pt idx="0">
                  <c:v>8.4</c:v>
                </c:pt>
                <c:pt idx="1">
                  <c:v>8.4</c:v>
                </c:pt>
                <c:pt idx="2">
                  <c:v>18.1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9"/>
          <c:order val="19"/>
          <c:tx>
            <c:strRef>
              <c:f>"ผรม. 20"</c:f>
              <c:strCache>
                <c:ptCount val="1"/>
                <c:pt idx="0">
                  <c:v>ผรม. 20</c:v>
                </c:pt>
              </c:strCache>
            </c:strRef>
          </c:tx>
          <c:spPr>
            <a:solidFill>
              <a:srgbClr val="ddb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แผนกำลังคน!$O$21:$AR$21</c:f>
              <c:multiLvlStrCache>
                <c:ptCount val="1"/>
                <c:lvl>
                  <c:pt idx="0">
                    <c:v>24 May</c:v>
                  </c:pt>
                </c:lvl>
                <c:lvl>
                  <c:pt idx="0">
                    <c:v>17 May</c:v>
                  </c:pt>
                </c:lvl>
                <c:lvl>
                  <c:pt idx="0">
                    <c:v>10 May</c:v>
                  </c:pt>
                </c:lvl>
                <c:lvl>
                  <c:pt idx="0">
                    <c:v>3 May</c:v>
                  </c:pt>
                </c:lvl>
                <c:lvl>
                  <c:pt idx="0">
                    <c:v>26 Apr</c:v>
                  </c:pt>
                </c:lvl>
                <c:lvl>
                  <c:pt idx="0">
                    <c:v>19 Apr</c:v>
                  </c:pt>
                </c:lvl>
                <c:lvl>
                  <c:pt idx="0">
                    <c:v>12 Apr</c:v>
                  </c:pt>
                </c:lvl>
                <c:lvl>
                  <c:pt idx="0">
                    <c:v>5 Apr</c:v>
                  </c:pt>
                </c:lvl>
                <c:lvl>
                  <c:pt idx="0">
                    <c:v>29 Mar</c:v>
                  </c:pt>
                </c:lvl>
                <c:lvl>
                  <c:pt idx="0">
                    <c:v>22 Mar</c:v>
                  </c:pt>
                </c:lvl>
                <c:lvl>
                  <c:pt idx="0">
                    <c:v>15 Mar</c:v>
                  </c:pt>
                </c:lvl>
                <c:lvl>
                  <c:pt idx="0">
                    <c:v>8 Mar</c:v>
                  </c:pt>
                </c:lvl>
                <c:lvl>
                  <c:pt idx="0">
                    <c:v>1 Mar</c:v>
                  </c:pt>
                </c:lvl>
                <c:lvl>
                  <c:pt idx="0">
                    <c:v>22 Feb</c:v>
                  </c:pt>
                </c:lvl>
                <c:lvl>
                  <c:pt idx="0">
                    <c:v>15 Feb</c:v>
                  </c:pt>
                </c:lvl>
                <c:lvl>
                  <c:pt idx="0">
                    <c:v>8 Feb</c:v>
                  </c:pt>
                </c:lvl>
                <c:lvl>
                  <c:pt idx="0">
                    <c:v>1 Feb</c:v>
                  </c:pt>
                </c:lvl>
                <c:lvl>
                  <c:pt idx="0">
                    <c:v>25 Jan</c:v>
                  </c:pt>
                </c:lvl>
                <c:lvl>
                  <c:pt idx="0">
                    <c:v>18 Jan</c:v>
                  </c:pt>
                </c:lvl>
                <c:lvl>
                  <c:pt idx="0">
                    <c:v>11 Jan</c:v>
                  </c:pt>
                </c:lvl>
                <c:lvl>
                  <c:pt idx="0">
                    <c:v>4 Jan</c:v>
                  </c:pt>
                </c:lvl>
                <c:lvl>
                  <c:pt idx="0">
                    <c:v>28 Dec</c:v>
                  </c:pt>
                </c:lvl>
                <c:lvl>
                  <c:pt idx="0">
                    <c:v>21 Dec</c:v>
                  </c:pt>
                </c:lvl>
                <c:lvl>
                  <c:pt idx="0">
                    <c:v>14 Dec</c:v>
                  </c:pt>
                </c:lvl>
                <c:lvl>
                  <c:pt idx="0">
                    <c:v>7 Dec</c:v>
                  </c:pt>
                </c:lvl>
                <c:lvl>
                  <c:pt idx="0">
                    <c:v>30 Nov</c:v>
                  </c:pt>
                </c:lvl>
                <c:lvl>
                  <c:pt idx="0">
                    <c:v>23 Nov</c:v>
                  </c:pt>
                </c:lvl>
                <c:lvl>
                  <c:pt idx="0">
                    <c:v>16 Nov</c:v>
                  </c:pt>
                </c:lvl>
                <c:lvl>
                  <c:pt idx="0">
                    <c:v>9 Nov</c:v>
                  </c:pt>
                </c:lvl>
                <c:lvl>
                  <c:pt idx="0">
                    <c:v>2 Nov</c:v>
                  </c:pt>
                </c:lvl>
              </c:multiLvlStrCache>
            </c:multiLvlStrRef>
          </c:cat>
          <c:val>
            <c:numRef>
              <c:f>แผนกำลังคน!$O$42:$AR$42</c:f>
              <c:numCache>
                <c:formatCode>0.0;;\–</c:formatCode>
                <c:ptCount val="30"/>
                <c:pt idx="0">
                  <c:v>20.5</c:v>
                </c:pt>
                <c:pt idx="1">
                  <c:v>11.4</c:v>
                </c:pt>
                <c:pt idx="2">
                  <c:v>20.8</c:v>
                </c:pt>
                <c:pt idx="3">
                  <c:v>0</c:v>
                </c:pt>
                <c:pt idx="4">
                  <c:v>3.9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100"/>
        <c:axId val="25508771"/>
        <c:axId val="31933799"/>
      </c:barChart>
      <c:catAx>
        <c:axId val="25508771"/>
        <c:scaling>
          <c:orientation val="minMax"/>
        </c:scaling>
        <c:delete val="0"/>
        <c:axPos val="b"/>
        <c:numFmt formatCode="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33799"/>
        <c:crosses val="autoZero"/>
        <c:auto val="1"/>
        <c:lblAlgn val="ctr"/>
        <c:lblOffset val="100"/>
        <c:noMultiLvlLbl val="0"/>
      </c:catAx>
      <c:valAx>
        <c:axId val="31933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คน / วัน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08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งาน (ถ่วง kWp) ตามสัปดาห์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ประวัติสรุป!D6</c:f>
              <c:strCache>
                <c:ptCount val="1"/>
                <c:pt idx="0">
                  <c:v>% งาน (ถ่วง kWp)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ประวัติสรุป!$A$7:$A$159</c:f>
              <c:strCache>
                <c:ptCount val="1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</c:strCache>
            </c:strRef>
          </c:cat>
          <c:val>
            <c:numRef>
              <c:f>ประวัติสรุป!$D$7:$D$159</c:f>
              <c:numCache>
                <c:formatCode>General</c:formatCode>
                <c:ptCount val="153"/>
              </c:numCache>
            </c:numRef>
          </c:val>
          <c:smooth val="1"/>
        </c:ser>
        <c:ser>
          <c:idx val="1"/>
          <c:order val="1"/>
          <c:tx>
            <c:strRef>
              <c:f>ประวัติสรุป!E6</c:f>
              <c:strCache>
                <c:ptCount val="1"/>
                <c:pt idx="0">
                  <c:v>% ในแอป (ถ่วง kWp)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ประวัติสรุป!$A$7:$A$159</c:f>
              <c:strCache>
                <c:ptCount val="1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</c:strCache>
            </c:strRef>
          </c:cat>
          <c:val>
            <c:numRef>
              <c:f>ประวัติสรุป!$E$7:$E$159</c:f>
              <c:numCache>
                <c:formatCode>General</c:formatCode>
                <c:ptCount val="15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434302"/>
        <c:axId val="99274327"/>
      </c:lineChart>
      <c:catAx>
        <c:axId val="18434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74327"/>
        <c:crosses val="autoZero"/>
        <c:auto val="1"/>
        <c:lblAlgn val="ctr"/>
        <c:lblOffset val="100"/>
        <c:noMultiLvlLbl val="0"/>
      </c:catAx>
      <c:valAx>
        <c:axId val="99274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34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172800</xdr:rowOff>
    </xdr:from>
    <xdr:to>
      <xdr:col>21</xdr:col>
      <xdr:colOff>78840</xdr:colOff>
      <xdr:row>19</xdr:row>
      <xdr:rowOff>173880</xdr:rowOff>
    </xdr:to>
    <xdr:graphicFrame>
      <xdr:nvGraphicFramePr>
        <xdr:cNvPr id="0" name="Chart 1"/>
        <xdr:cNvGraphicFramePr/>
      </xdr:nvGraphicFramePr>
      <xdr:xfrm>
        <a:off x="498168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32040</xdr:rowOff>
    </xdr:from>
    <xdr:to>
      <xdr:col>12</xdr:col>
      <xdr:colOff>367920</xdr:colOff>
      <xdr:row>65</xdr:row>
      <xdr:rowOff>54000</xdr:rowOff>
    </xdr:to>
    <xdr:graphicFrame>
      <xdr:nvGraphicFramePr>
        <xdr:cNvPr id="1" name="Chart 1"/>
        <xdr:cNvGraphicFramePr/>
      </xdr:nvGraphicFramePr>
      <xdr:xfrm>
        <a:off x="0" y="97156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160560</xdr:rowOff>
    </xdr:from>
    <xdr:to>
      <xdr:col>22</xdr:col>
      <xdr:colOff>364680</xdr:colOff>
      <xdr:row>18</xdr:row>
      <xdr:rowOff>163800</xdr:rowOff>
    </xdr:to>
    <xdr:graphicFrame>
      <xdr:nvGraphicFramePr>
        <xdr:cNvPr id="2" name="Chart 1"/>
        <xdr:cNvGraphicFramePr/>
      </xdr:nvGraphicFramePr>
      <xdr:xfrm>
        <a:off x="7941960" y="952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3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2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64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28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
</Relationships>
</file>

<file path=xl/worksheets/_rels/sheet7.xml.rels><?xml version="1.0" encoding="UTF-8"?>
<Relationships xmlns="http://schemas.openxmlformats.org/package/2006/relationships"><Relationship Id="rId22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2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4.xml.rels><?xml version="1.0" encoding="UTF-8"?>
<Relationships xmlns="http://schemas.openxmlformats.org/package/2006/relationships"><Relationship Id="rId86" Type="http://schemas.openxmlformats.org/officeDocument/2006/relationships/drawing" Target="../drawings/drawing23.xml"/>
</Relationships>
</file>

<file path=xl/worksheets/_rels/sheet35.xml.rels><?xml version="1.0" encoding="UTF-8"?>
<Relationships xmlns="http://schemas.openxmlformats.org/package/2006/relationships"><Relationship Id="rId89" Type="http://schemas.openxmlformats.org/officeDocument/2006/relationships/drawing" Target="../drawings/drawing24.xml"/>
</Relationships>
</file>

<file path=xl/worksheets/_rels/sheet36.xml.rels><?xml version="1.0" encoding="UTF-8"?>
<Relationships xmlns="http://schemas.openxmlformats.org/package/2006/relationships"><Relationship Id="rId85" Type="http://schemas.openxmlformats.org/officeDocument/2006/relationships/drawing" Target="../drawings/drawing25.xml"/>
</Relationships>
</file>

<file path=xl/worksheets/_rels/sheet37.xml.rels><?xml version="1.0" encoding="UTF-8"?>
<Relationships xmlns="http://schemas.openxmlformats.org/package/2006/relationships"><Relationship Id="rId88" Type="http://schemas.openxmlformats.org/officeDocument/2006/relationships/drawing" Target="../drawings/drawing26.xml"/>
</Relationships>
</file>

<file path=xl/worksheets/_rels/sheet38.xml.rels><?xml version="1.0" encoding="UTF-8"?>
<Relationships xmlns="http://schemas.openxmlformats.org/package/2006/relationships"><Relationship Id="rId86" Type="http://schemas.openxmlformats.org/officeDocument/2006/relationships/drawing" Target="../drawings/drawing27.xml"/>
</Relationships>
</file>

<file path=xl/worksheets/_rels/sheet39.xml.rels><?xml version="1.0" encoding="UTF-8"?>
<Relationships xmlns="http://schemas.openxmlformats.org/package/2006/relationships"><Relationship Id="rId89" Type="http://schemas.openxmlformats.org/officeDocument/2006/relationships/drawing" Target="../drawings/drawing28.xml"/>
</Relationships>
</file>

<file path=xl/worksheets/_rels/sheet40.xml.rels><?xml version="1.0" encoding="UTF-8"?>
<Relationships xmlns="http://schemas.openxmlformats.org/package/2006/relationships"><Relationship Id="rId85" Type="http://schemas.openxmlformats.org/officeDocument/2006/relationships/drawing" Target="../drawings/drawing29.xml"/>
</Relationships>
</file>

<file path=xl/worksheets/_rels/sheet41.xml.rels><?xml version="1.0" encoding="UTF-8"?>
<Relationships xmlns="http://schemas.openxmlformats.org/package/2006/relationships"><Relationship Id="rId88" Type="http://schemas.openxmlformats.org/officeDocument/2006/relationships/drawing" Target="../drawings/drawing30.xml"/>
</Relationships>
</file>

<file path=xl/worksheets/_rels/sheet42.xml.rels><?xml version="1.0" encoding="UTF-8"?>
<Relationships xmlns="http://schemas.openxmlformats.org/package/2006/relationships"><Relationship Id="rId86" Type="http://schemas.openxmlformats.org/officeDocument/2006/relationships/drawing" Target="../drawings/drawing31.xml"/>
</Relationships>
</file>

<file path=xl/worksheets/_rels/sheet43.xml.rels><?xml version="1.0" encoding="UTF-8"?>
<Relationships xmlns="http://schemas.openxmlformats.org/package/2006/relationships"><Relationship Id="rId89" Type="http://schemas.openxmlformats.org/officeDocument/2006/relationships/drawing" Target="../drawings/drawing32.xml"/>
</Relationships>
</file>

<file path=xl/worksheets/_rels/sheet44.xml.rels><?xml version="1.0" encoding="UTF-8"?>
<Relationships xmlns="http://schemas.openxmlformats.org/package/2006/relationships"><Relationship Id="rId85" Type="http://schemas.openxmlformats.org/officeDocument/2006/relationships/drawing" Target="../drawings/drawing33.xml"/>
</Relationships>
</file>

<file path=xl/worksheets/_rels/sheet45.xml.rels><?xml version="1.0" encoding="UTF-8"?>
<Relationships xmlns="http://schemas.openxmlformats.org/package/2006/relationships"><Relationship Id="rId88" Type="http://schemas.openxmlformats.org/officeDocument/2006/relationships/drawing" Target="../drawings/drawing34.xml"/>
</Relationships>
</file>

<file path=xl/worksheets/_rels/sheet46.xml.rels><?xml version="1.0" encoding="UTF-8"?>
<Relationships xmlns="http://schemas.openxmlformats.org/package/2006/relationships"><Relationship Id="rId86" Type="http://schemas.openxmlformats.org/officeDocument/2006/relationships/drawing" Target="../drawings/drawing35.xml"/>
</Relationships>
</file>

<file path=xl/worksheets/_rels/sheet47.xml.rels><?xml version="1.0" encoding="UTF-8"?>
<Relationships xmlns="http://schemas.openxmlformats.org/package/2006/relationships"><Relationship Id="rId89" Type="http://schemas.openxmlformats.org/officeDocument/2006/relationships/drawing" Target="../drawings/drawing36.xml"/>
</Relationships>
</file>

<file path=xl/worksheets/_rels/sheet48.xml.rels><?xml version="1.0" encoding="UTF-8"?>
<Relationships xmlns="http://schemas.openxmlformats.org/package/2006/relationships"><Relationship Id="rId85" Type="http://schemas.openxmlformats.org/officeDocument/2006/relationships/drawing" Target="../drawings/drawing37.xml"/>
</Relationships>
</file>

<file path=xl/worksheets/_rels/sheet49.xml.rels><?xml version="1.0" encoding="UTF-8"?>
<Relationships xmlns="http://schemas.openxmlformats.org/package/2006/relationships"><Relationship Id="rId88" Type="http://schemas.openxmlformats.org/officeDocument/2006/relationships/drawing" Target="../drawings/drawing38.xml"/>
</Relationships>
</file>

<file path=xl/worksheets/_rels/sheet50.xml.rels><?xml version="1.0" encoding="UTF-8"?>
<Relationships xmlns="http://schemas.openxmlformats.org/package/2006/relationships"><Relationship Id="rId86" Type="http://schemas.openxmlformats.org/officeDocument/2006/relationships/drawing" Target="../drawings/drawing39.xml"/>
</Relationships>
</file>

<file path=xl/worksheets/_rels/sheet51.xml.rels><?xml version="1.0" encoding="UTF-8"?>
<Relationships xmlns="http://schemas.openxmlformats.org/package/2006/relationships"><Relationship Id="rId89" Type="http://schemas.openxmlformats.org/officeDocument/2006/relationships/drawing" Target="../drawings/drawing40.xml"/>
</Relationships>
</file>

<file path=xl/worksheets/_rels/sheet52.xml.rels><?xml version="1.0" encoding="UTF-8"?>
<Relationships xmlns="http://schemas.openxmlformats.org/package/2006/relationships"><Relationship Id="rId85" Type="http://schemas.openxmlformats.org/officeDocument/2006/relationships/drawing" Target="../drawings/drawing41.xml"/>
</Relationships>
</file>

<file path=xl/worksheets/_rels/sheet53.xml.rels><?xml version="1.0" encoding="UTF-8"?>
<Relationships xmlns="http://schemas.openxmlformats.org/package/2006/relationships"><Relationship Id="rId88" Type="http://schemas.openxmlformats.org/officeDocument/2006/relationships/drawing" Target="../drawings/drawing4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26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/>
      <c r="C4" s="4" t="s">
        <v>3</v>
      </c>
      <c r="D4" s="4"/>
      <c r="E4" s="3" t="s">
        <v>4</v>
      </c>
      <c r="F4" s="4" t="s">
        <v>5</v>
      </c>
      <c r="G4" s="4" t="s">
        <v>6</v>
      </c>
      <c r="H4" s="4"/>
      <c r="I4" s="3" t="s">
        <v>7</v>
      </c>
    </row>
    <row r="5" customFormat="false" ht="30" hidden="false" customHeight="true" outlineLevel="0" collapsed="false">
      <c r="A5" s="5" t="n">
        <f aca="false">ASOF</f>
        <v>46328</v>
      </c>
      <c r="B5" s="5"/>
      <c r="C5" s="6" t="n">
        <f aca="false">'Master Plan'!C4</f>
        <v>46433</v>
      </c>
      <c r="D5" s="6"/>
      <c r="E5" s="7" t="str">
        <f aca="false">'Master Plan'!F4</f>
        <v>0 / 20</v>
      </c>
      <c r="F5" s="8" t="str">
        <f aca="false">'Master Plan'!D4</f>
        <v>0 / 20</v>
      </c>
      <c r="G5" s="9" t="n">
        <f aca="false">Milestone!G4</f>
        <v>0</v>
      </c>
      <c r="H5" s="9"/>
      <c r="I5" s="10" t="str">
        <f aca="false">IF(ISNUMBER(TCRoof!B3),TCRoof!B3,"ยังไม่เชื่อม")</f>
        <v>ยังไม่เชื่อม</v>
      </c>
    </row>
    <row r="7" customFormat="false" ht="15" hidden="false" customHeight="true" outlineLevel="0" collapsed="false">
      <c r="A7" s="11" t="s">
        <v>8</v>
      </c>
      <c r="B7" s="12" t="s">
        <v>9</v>
      </c>
      <c r="C7" s="12"/>
      <c r="D7" s="12"/>
      <c r="E7" s="12"/>
      <c r="F7" s="12"/>
      <c r="G7" s="12"/>
      <c r="H7" s="13" t="s">
        <v>10</v>
      </c>
      <c r="I7" s="14"/>
    </row>
    <row r="8" customFormat="false" ht="15" hidden="false" customHeight="false" outlineLevel="0" collapsed="false">
      <c r="A8" s="11"/>
      <c r="B8" s="12" t="s">
        <v>11</v>
      </c>
      <c r="C8" s="12"/>
      <c r="D8" s="12"/>
      <c r="E8" s="12"/>
      <c r="F8" s="12"/>
      <c r="G8" s="12"/>
      <c r="H8" s="13" t="s">
        <v>12</v>
      </c>
      <c r="I8" s="14"/>
    </row>
    <row r="9" customFormat="false" ht="15" hidden="false" customHeight="false" outlineLevel="0" collapsed="false">
      <c r="A9" s="11"/>
      <c r="B9" s="12" t="s">
        <v>13</v>
      </c>
      <c r="C9" s="12"/>
      <c r="D9" s="12"/>
      <c r="E9" s="12"/>
      <c r="F9" s="12"/>
      <c r="G9" s="12"/>
      <c r="H9" s="13" t="s">
        <v>14</v>
      </c>
      <c r="I9" s="14"/>
    </row>
    <row r="10" customFormat="false" ht="6" hidden="false" customHeight="true" outlineLevel="0" collapsed="false">
      <c r="A10" s="11"/>
    </row>
    <row r="11" customFormat="false" ht="15" hidden="false" customHeight="true" outlineLevel="0" collapsed="false">
      <c r="A11" s="15" t="s">
        <v>15</v>
      </c>
      <c r="B11" s="16" t="s">
        <v>16</v>
      </c>
      <c r="C11" s="16"/>
      <c r="D11" s="16"/>
      <c r="E11" s="16"/>
      <c r="F11" s="16"/>
      <c r="G11" s="16"/>
      <c r="H11" s="17" t="s">
        <v>17</v>
      </c>
      <c r="I11" s="18"/>
    </row>
    <row r="12" customFormat="false" ht="15" hidden="false" customHeight="false" outlineLevel="0" collapsed="false">
      <c r="A12" s="15"/>
      <c r="B12" s="16" t="s">
        <v>18</v>
      </c>
      <c r="C12" s="16"/>
      <c r="D12" s="16"/>
      <c r="E12" s="16"/>
      <c r="F12" s="16"/>
      <c r="G12" s="16"/>
      <c r="H12" s="17" t="s">
        <v>19</v>
      </c>
      <c r="I12" s="18"/>
    </row>
    <row r="13" customFormat="false" ht="15" hidden="false" customHeight="false" outlineLevel="0" collapsed="false">
      <c r="A13" s="15"/>
      <c r="B13" s="16" t="s">
        <v>20</v>
      </c>
      <c r="C13" s="16"/>
      <c r="D13" s="16"/>
      <c r="E13" s="16"/>
      <c r="F13" s="16"/>
      <c r="G13" s="16"/>
      <c r="H13" s="17" t="s">
        <v>21</v>
      </c>
      <c r="I13" s="18"/>
    </row>
    <row r="14" customFormat="false" ht="6" hidden="false" customHeight="true" outlineLevel="0" collapsed="false">
      <c r="A14" s="15"/>
    </row>
    <row r="15" customFormat="false" ht="15" hidden="false" customHeight="true" outlineLevel="0" collapsed="false">
      <c r="A15" s="19" t="s">
        <v>22</v>
      </c>
      <c r="B15" s="20" t="s">
        <v>23</v>
      </c>
      <c r="C15" s="20"/>
      <c r="D15" s="20"/>
      <c r="E15" s="20"/>
      <c r="F15" s="20"/>
      <c r="G15" s="20"/>
      <c r="H15" s="21"/>
      <c r="I15" s="21"/>
    </row>
    <row r="16" customFormat="false" ht="15" hidden="false" customHeight="false" outlineLevel="0" collapsed="false">
      <c r="A16" s="19"/>
      <c r="B16" s="20" t="s">
        <v>24</v>
      </c>
      <c r="C16" s="20"/>
      <c r="D16" s="20"/>
      <c r="E16" s="20"/>
      <c r="F16" s="20"/>
      <c r="G16" s="20"/>
      <c r="H16" s="21"/>
      <c r="I16" s="21"/>
    </row>
    <row r="17" customFormat="false" ht="15" hidden="false" customHeight="false" outlineLevel="0" collapsed="false">
      <c r="A17" s="19"/>
      <c r="B17" s="22" t="s">
        <v>25</v>
      </c>
      <c r="C17" s="22"/>
      <c r="D17" s="22"/>
      <c r="E17" s="22"/>
      <c r="F17" s="22"/>
      <c r="G17" s="22"/>
      <c r="H17" s="21"/>
      <c r="I17" s="21"/>
    </row>
    <row r="18" customFormat="false" ht="6" hidden="false" customHeight="true" outlineLevel="0" collapsed="false">
      <c r="A18" s="19"/>
    </row>
    <row r="19" customFormat="false" ht="15" hidden="false" customHeight="true" outlineLevel="0" collapsed="false">
      <c r="A19" s="23" t="s">
        <v>26</v>
      </c>
      <c r="B19" s="24" t="s">
        <v>27</v>
      </c>
      <c r="C19" s="24"/>
      <c r="D19" s="24"/>
      <c r="E19" s="24"/>
      <c r="F19" s="24"/>
      <c r="G19" s="24"/>
      <c r="H19" s="25" t="s">
        <v>28</v>
      </c>
      <c r="I19" s="26"/>
    </row>
    <row r="20" customFormat="false" ht="15" hidden="false" customHeight="false" outlineLevel="0" collapsed="false">
      <c r="A20" s="23"/>
      <c r="B20" s="24" t="s">
        <v>29</v>
      </c>
      <c r="C20" s="24"/>
      <c r="D20" s="24"/>
      <c r="E20" s="24"/>
      <c r="F20" s="24"/>
      <c r="G20" s="24"/>
      <c r="H20" s="25" t="s">
        <v>30</v>
      </c>
      <c r="I20" s="26"/>
    </row>
    <row r="21" customFormat="false" ht="15" hidden="false" customHeight="false" outlineLevel="0" collapsed="false">
      <c r="A21" s="23"/>
      <c r="B21" s="24" t="s">
        <v>31</v>
      </c>
      <c r="C21" s="24"/>
      <c r="D21" s="24"/>
      <c r="E21" s="24"/>
      <c r="F21" s="24"/>
      <c r="G21" s="24"/>
      <c r="H21" s="25" t="s">
        <v>32</v>
      </c>
      <c r="I21" s="26"/>
    </row>
    <row r="22" customFormat="false" ht="6" hidden="false" customHeight="true" outlineLevel="0" collapsed="false">
      <c r="A22" s="23"/>
    </row>
    <row r="24" customFormat="false" ht="15" hidden="false" customHeight="false" outlineLevel="0" collapsed="false">
      <c r="A24" s="27" t="s">
        <v>33</v>
      </c>
    </row>
    <row r="25" customFormat="false" ht="30" hidden="false" customHeight="true" outlineLevel="0" collapsed="false">
      <c r="A25" s="28" t="s">
        <v>34</v>
      </c>
      <c r="B25" s="28" t="s">
        <v>35</v>
      </c>
      <c r="C25" s="28" t="s">
        <v>36</v>
      </c>
      <c r="D25" s="28" t="s">
        <v>15</v>
      </c>
      <c r="E25" s="29" t="s">
        <v>37</v>
      </c>
      <c r="F25" s="28" t="s">
        <v>38</v>
      </c>
      <c r="G25" s="29" t="s">
        <v>39</v>
      </c>
      <c r="H25" s="28" t="s">
        <v>40</v>
      </c>
      <c r="I25" s="28" t="s">
        <v>41</v>
      </c>
    </row>
    <row r="26" customFormat="false" ht="15" hidden="false" customHeight="false" outlineLevel="0" collapsed="false">
      <c r="A26" s="30" t="s">
        <v>42</v>
      </c>
      <c r="B26" s="31" t="s">
        <v>43</v>
      </c>
      <c r="C26" s="32" t="s">
        <v>44</v>
      </c>
      <c r="D26" s="31" t="s">
        <v>45</v>
      </c>
      <c r="E26" s="33" t="n">
        <f aca="false">'Master Plan'!$AH$8</f>
        <v>46433</v>
      </c>
      <c r="F26" s="34" t="n">
        <f aca="false">'Master Plan'!$AJ$8</f>
        <v>-3</v>
      </c>
      <c r="G26" s="35" t="n">
        <f aca="false">'Master Plan'!$AM$8</f>
        <v>0</v>
      </c>
      <c r="H26" s="31" t="str">
        <f aca="false">'P9-001'!$B$5</f>
        <v>จัดหาและรับอุปกรณ์ (หนังสือส่งแผง + ตรวจรับของ)</v>
      </c>
      <c r="I26" s="36" t="str">
        <f aca="false">'Master Plan'!$AN$8</f>
        <v/>
      </c>
    </row>
    <row r="27" customFormat="false" ht="15" hidden="false" customHeight="false" outlineLevel="0" collapsed="false">
      <c r="A27" s="30" t="s">
        <v>46</v>
      </c>
      <c r="B27" s="31" t="s">
        <v>47</v>
      </c>
      <c r="C27" s="32" t="s">
        <v>48</v>
      </c>
      <c r="D27" s="31" t="s">
        <v>49</v>
      </c>
      <c r="E27" s="33" t="n">
        <f aca="false">'Master Plan'!$AH$9</f>
        <v>46433</v>
      </c>
      <c r="F27" s="34" t="n">
        <f aca="false">'Master Plan'!$AJ$9</f>
        <v>-3</v>
      </c>
      <c r="G27" s="35" t="n">
        <f aca="false">'Master Plan'!$AM$9</f>
        <v>0</v>
      </c>
      <c r="H27" s="31" t="str">
        <f aca="false">'P9-002'!$B$5</f>
        <v>จัดหาและรับอุปกรณ์ (หนังสือส่งแผง + ตรวจรับของ)</v>
      </c>
      <c r="I27" s="36" t="str">
        <f aca="false">'Master Plan'!$AN$9</f>
        <v/>
      </c>
    </row>
    <row r="28" customFormat="false" ht="15" hidden="false" customHeight="false" outlineLevel="0" collapsed="false">
      <c r="A28" s="30" t="s">
        <v>50</v>
      </c>
      <c r="B28" s="31" t="s">
        <v>51</v>
      </c>
      <c r="C28" s="32" t="s">
        <v>52</v>
      </c>
      <c r="D28" s="31" t="s">
        <v>53</v>
      </c>
      <c r="E28" s="33" t="n">
        <f aca="false">'Master Plan'!$AH$10</f>
        <v>46433</v>
      </c>
      <c r="F28" s="34" t="n">
        <f aca="false">'Master Plan'!$AJ$10</f>
        <v>-3</v>
      </c>
      <c r="G28" s="35" t="n">
        <f aca="false">'Master Plan'!$AM$10</f>
        <v>0</v>
      </c>
      <c r="H28" s="31" t="str">
        <f aca="false">'P9-003'!$B$5</f>
        <v>จัดหาและรับอุปกรณ์ (หนังสือส่งแผง + ตรวจรับของ)</v>
      </c>
      <c r="I28" s="36" t="str">
        <f aca="false">'Master Plan'!$AN$10</f>
        <v/>
      </c>
    </row>
    <row r="29" customFormat="false" ht="15" hidden="false" customHeight="false" outlineLevel="0" collapsed="false">
      <c r="A29" s="30" t="s">
        <v>54</v>
      </c>
      <c r="B29" s="31" t="s">
        <v>55</v>
      </c>
      <c r="C29" s="32" t="s">
        <v>56</v>
      </c>
      <c r="D29" s="31" t="s">
        <v>57</v>
      </c>
      <c r="E29" s="33" t="n">
        <f aca="false">'Master Plan'!$AH$11</f>
        <v>46433</v>
      </c>
      <c r="F29" s="34" t="n">
        <f aca="false">'Master Plan'!$AJ$11</f>
        <v>-3</v>
      </c>
      <c r="G29" s="35" t="n">
        <f aca="false">'Master Plan'!$AM$11</f>
        <v>0</v>
      </c>
      <c r="H29" s="31" t="str">
        <f aca="false">'P9-004'!$B$5</f>
        <v>จัดหาและรับอุปกรณ์ (หนังสือส่งแผง + ตรวจรับของ)</v>
      </c>
      <c r="I29" s="36" t="str">
        <f aca="false">'Master Plan'!$AN$11</f>
        <v/>
      </c>
    </row>
    <row r="30" customFormat="false" ht="15" hidden="false" customHeight="false" outlineLevel="0" collapsed="false">
      <c r="A30" s="30" t="s">
        <v>58</v>
      </c>
      <c r="B30" s="31" t="s">
        <v>59</v>
      </c>
      <c r="C30" s="32" t="s">
        <v>60</v>
      </c>
      <c r="D30" s="31" t="s">
        <v>61</v>
      </c>
      <c r="E30" s="33" t="n">
        <f aca="false">'Master Plan'!$AH$12</f>
        <v>46433</v>
      </c>
      <c r="F30" s="34" t="n">
        <f aca="false">'Master Plan'!$AJ$12</f>
        <v>-3</v>
      </c>
      <c r="G30" s="35" t="n">
        <f aca="false">'Master Plan'!$AM$12</f>
        <v>0</v>
      </c>
      <c r="H30" s="31" t="str">
        <f aca="false">'P9-005'!$B$5</f>
        <v>จัดหาและรับอุปกรณ์ (หนังสือส่งแผง + ตรวจรับของ)</v>
      </c>
      <c r="I30" s="36" t="str">
        <f aca="false">'Master Plan'!$AN$12</f>
        <v/>
      </c>
    </row>
    <row r="31" customFormat="false" ht="15" hidden="false" customHeight="false" outlineLevel="0" collapsed="false">
      <c r="A31" s="30" t="s">
        <v>62</v>
      </c>
      <c r="B31" s="31" t="s">
        <v>63</v>
      </c>
      <c r="C31" s="32" t="s">
        <v>64</v>
      </c>
      <c r="D31" s="31" t="s">
        <v>65</v>
      </c>
      <c r="E31" s="33" t="n">
        <f aca="false">'Master Plan'!$AH$13</f>
        <v>46433</v>
      </c>
      <c r="F31" s="34" t="n">
        <f aca="false">'Master Plan'!$AJ$13</f>
        <v>-3</v>
      </c>
      <c r="G31" s="35" t="n">
        <f aca="false">'Master Plan'!$AM$13</f>
        <v>0</v>
      </c>
      <c r="H31" s="31" t="str">
        <f aca="false">'P9-006'!$B$5</f>
        <v>จัดหาและรับอุปกรณ์ (หนังสือส่งแผง + ตรวจรับของ)</v>
      </c>
      <c r="I31" s="36" t="str">
        <f aca="false">'Master Plan'!$AN$13</f>
        <v/>
      </c>
    </row>
    <row r="32" customFormat="false" ht="15" hidden="false" customHeight="false" outlineLevel="0" collapsed="false">
      <c r="A32" s="30" t="s">
        <v>66</v>
      </c>
      <c r="B32" s="31" t="s">
        <v>67</v>
      </c>
      <c r="C32" s="32" t="s">
        <v>68</v>
      </c>
      <c r="D32" s="31" t="s">
        <v>69</v>
      </c>
      <c r="E32" s="33" t="n">
        <f aca="false">'Master Plan'!$AH$14</f>
        <v>46433</v>
      </c>
      <c r="F32" s="34" t="n">
        <f aca="false">'Master Plan'!$AJ$14</f>
        <v>-3</v>
      </c>
      <c r="G32" s="35" t="n">
        <f aca="false">'Master Plan'!$AM$14</f>
        <v>0</v>
      </c>
      <c r="H32" s="31" t="str">
        <f aca="false">'P9-007'!$B$5</f>
        <v>จัดหาและรับอุปกรณ์ (หนังสือส่งแผง + ตรวจรับของ)</v>
      </c>
      <c r="I32" s="36" t="str">
        <f aca="false">'Master Plan'!$AN$14</f>
        <v/>
      </c>
    </row>
    <row r="33" customFormat="false" ht="15" hidden="false" customHeight="false" outlineLevel="0" collapsed="false">
      <c r="A33" s="30" t="s">
        <v>70</v>
      </c>
      <c r="B33" s="31" t="s">
        <v>71</v>
      </c>
      <c r="C33" s="32" t="s">
        <v>72</v>
      </c>
      <c r="D33" s="31" t="s">
        <v>73</v>
      </c>
      <c r="E33" s="33" t="n">
        <f aca="false">'Master Plan'!$AH$15</f>
        <v>46433</v>
      </c>
      <c r="F33" s="34" t="n">
        <f aca="false">'Master Plan'!$AJ$15</f>
        <v>-3</v>
      </c>
      <c r="G33" s="35" t="n">
        <f aca="false">'Master Plan'!$AM$15</f>
        <v>0</v>
      </c>
      <c r="H33" s="31" t="str">
        <f aca="false">'P9-008'!$B$5</f>
        <v>จัดหาและรับอุปกรณ์ (หนังสือส่งแผง + ตรวจรับของ)</v>
      </c>
      <c r="I33" s="36" t="str">
        <f aca="false">'Master Plan'!$AN$15</f>
        <v/>
      </c>
    </row>
    <row r="34" customFormat="false" ht="15" hidden="false" customHeight="false" outlineLevel="0" collapsed="false">
      <c r="A34" s="30" t="s">
        <v>74</v>
      </c>
      <c r="B34" s="31" t="s">
        <v>75</v>
      </c>
      <c r="C34" s="32" t="s">
        <v>76</v>
      </c>
      <c r="D34" s="31" t="s">
        <v>77</v>
      </c>
      <c r="E34" s="33" t="n">
        <f aca="false">'Master Plan'!$AH$16</f>
        <v>46433</v>
      </c>
      <c r="F34" s="34" t="n">
        <f aca="false">'Master Plan'!$AJ$16</f>
        <v>-3</v>
      </c>
      <c r="G34" s="35" t="n">
        <f aca="false">'Master Plan'!$AM$16</f>
        <v>0</v>
      </c>
      <c r="H34" s="31" t="str">
        <f aca="false">'P9-009'!$B$5</f>
        <v>จัดหาและรับอุปกรณ์ (หนังสือส่งแผง + ตรวจรับของ)</v>
      </c>
      <c r="I34" s="36" t="str">
        <f aca="false">'Master Plan'!$AN$16</f>
        <v/>
      </c>
    </row>
    <row r="35" customFormat="false" ht="15" hidden="false" customHeight="false" outlineLevel="0" collapsed="false">
      <c r="A35" s="30" t="s">
        <v>78</v>
      </c>
      <c r="B35" s="31" t="s">
        <v>79</v>
      </c>
      <c r="C35" s="32" t="s">
        <v>80</v>
      </c>
      <c r="D35" s="31" t="s">
        <v>81</v>
      </c>
      <c r="E35" s="33" t="n">
        <f aca="false">'Master Plan'!$AH$17</f>
        <v>46433</v>
      </c>
      <c r="F35" s="34" t="n">
        <f aca="false">'Master Plan'!$AJ$17</f>
        <v>-3</v>
      </c>
      <c r="G35" s="35" t="n">
        <f aca="false">'Master Plan'!$AM$17</f>
        <v>0</v>
      </c>
      <c r="H35" s="31" t="str">
        <f aca="false">'P9-010'!$B$5</f>
        <v>จัดหาและรับอุปกรณ์ (หนังสือส่งแผง + ตรวจรับของ)</v>
      </c>
      <c r="I35" s="36" t="str">
        <f aca="false">'Master Plan'!$AN$17</f>
        <v/>
      </c>
    </row>
    <row r="36" customFormat="false" ht="15" hidden="false" customHeight="false" outlineLevel="0" collapsed="false">
      <c r="A36" s="30" t="s">
        <v>82</v>
      </c>
      <c r="B36" s="31" t="s">
        <v>83</v>
      </c>
      <c r="C36" s="32" t="s">
        <v>84</v>
      </c>
      <c r="D36" s="31" t="s">
        <v>85</v>
      </c>
      <c r="E36" s="33" t="n">
        <f aca="false">'Master Plan'!$AH$18</f>
        <v>46433</v>
      </c>
      <c r="F36" s="34" t="n">
        <f aca="false">'Master Plan'!$AJ$18</f>
        <v>-3</v>
      </c>
      <c r="G36" s="35" t="n">
        <f aca="false">'Master Plan'!$AM$18</f>
        <v>0</v>
      </c>
      <c r="H36" s="31" t="str">
        <f aca="false">'P9-011'!$B$5</f>
        <v>จัดหาและรับอุปกรณ์ (หนังสือส่งแผง + ตรวจรับของ)</v>
      </c>
      <c r="I36" s="36" t="str">
        <f aca="false">'Master Plan'!$AN$18</f>
        <v/>
      </c>
    </row>
    <row r="37" customFormat="false" ht="15" hidden="false" customHeight="false" outlineLevel="0" collapsed="false">
      <c r="A37" s="30" t="s">
        <v>86</v>
      </c>
      <c r="B37" s="31" t="s">
        <v>87</v>
      </c>
      <c r="C37" s="32" t="s">
        <v>88</v>
      </c>
      <c r="D37" s="31" t="s">
        <v>89</v>
      </c>
      <c r="E37" s="33" t="n">
        <f aca="false">'Master Plan'!$AH$19</f>
        <v>46433</v>
      </c>
      <c r="F37" s="34" t="n">
        <f aca="false">'Master Plan'!$AJ$19</f>
        <v>-3</v>
      </c>
      <c r="G37" s="35" t="n">
        <f aca="false">'Master Plan'!$AM$19</f>
        <v>0</v>
      </c>
      <c r="H37" s="31" t="str">
        <f aca="false">'P9-012'!$B$5</f>
        <v>จัดหาและรับอุปกรณ์ (หนังสือส่งแผง + ตรวจรับของ)</v>
      </c>
      <c r="I37" s="36" t="str">
        <f aca="false">'Master Plan'!$AN$19</f>
        <v/>
      </c>
    </row>
    <row r="38" customFormat="false" ht="15" hidden="false" customHeight="false" outlineLevel="0" collapsed="false">
      <c r="A38" s="30" t="s">
        <v>90</v>
      </c>
      <c r="B38" s="31" t="s">
        <v>91</v>
      </c>
      <c r="C38" s="32" t="s">
        <v>92</v>
      </c>
      <c r="D38" s="31" t="s">
        <v>93</v>
      </c>
      <c r="E38" s="33" t="n">
        <f aca="false">'Master Plan'!$AH$20</f>
        <v>46433</v>
      </c>
      <c r="F38" s="34" t="n">
        <f aca="false">'Master Plan'!$AJ$20</f>
        <v>-3</v>
      </c>
      <c r="G38" s="35" t="n">
        <f aca="false">'Master Plan'!$AM$20</f>
        <v>0</v>
      </c>
      <c r="H38" s="31" t="str">
        <f aca="false">'P9-013'!$B$5</f>
        <v>จัดหาและรับอุปกรณ์ (หนังสือส่งแผง + ตรวจรับของ)</v>
      </c>
      <c r="I38" s="36" t="str">
        <f aca="false">'Master Plan'!$AN$20</f>
        <v/>
      </c>
    </row>
    <row r="39" customFormat="false" ht="15" hidden="false" customHeight="false" outlineLevel="0" collapsed="false">
      <c r="A39" s="30" t="s">
        <v>94</v>
      </c>
      <c r="B39" s="31" t="s">
        <v>95</v>
      </c>
      <c r="C39" s="32" t="s">
        <v>96</v>
      </c>
      <c r="D39" s="31" t="s">
        <v>97</v>
      </c>
      <c r="E39" s="33" t="n">
        <f aca="false">'Master Plan'!$AH$21</f>
        <v>46433</v>
      </c>
      <c r="F39" s="34" t="n">
        <f aca="false">'Master Plan'!$AJ$21</f>
        <v>-3</v>
      </c>
      <c r="G39" s="35" t="n">
        <f aca="false">'Master Plan'!$AM$21</f>
        <v>0</v>
      </c>
      <c r="H39" s="31" t="str">
        <f aca="false">'P9-014'!$B$5</f>
        <v>จัดหาและรับอุปกรณ์ (หนังสือส่งแผง + ตรวจรับของ)</v>
      </c>
      <c r="I39" s="36" t="str">
        <f aca="false">'Master Plan'!$AN$21</f>
        <v/>
      </c>
    </row>
    <row r="40" customFormat="false" ht="15" hidden="false" customHeight="false" outlineLevel="0" collapsed="false">
      <c r="A40" s="30" t="s">
        <v>98</v>
      </c>
      <c r="B40" s="31" t="s">
        <v>99</v>
      </c>
      <c r="C40" s="32" t="s">
        <v>100</v>
      </c>
      <c r="D40" s="31" t="s">
        <v>101</v>
      </c>
      <c r="E40" s="33" t="n">
        <f aca="false">'Master Plan'!$AH$22</f>
        <v>46433</v>
      </c>
      <c r="F40" s="34" t="n">
        <f aca="false">'Master Plan'!$AJ$22</f>
        <v>-3</v>
      </c>
      <c r="G40" s="35" t="n">
        <f aca="false">'Master Plan'!$AM$22</f>
        <v>0</v>
      </c>
      <c r="H40" s="31" t="str">
        <f aca="false">'P9-015'!$B$5</f>
        <v>จัดหาและรับอุปกรณ์ (หนังสือส่งแผง + ตรวจรับของ)</v>
      </c>
      <c r="I40" s="36" t="str">
        <f aca="false">'Master Plan'!$AN$22</f>
        <v/>
      </c>
    </row>
    <row r="41" customFormat="false" ht="15" hidden="false" customHeight="false" outlineLevel="0" collapsed="false">
      <c r="A41" s="30" t="s">
        <v>102</v>
      </c>
      <c r="B41" s="31" t="s">
        <v>103</v>
      </c>
      <c r="C41" s="32" t="s">
        <v>104</v>
      </c>
      <c r="D41" s="31" t="s">
        <v>105</v>
      </c>
      <c r="E41" s="33" t="n">
        <f aca="false">'Master Plan'!$AH$23</f>
        <v>46433</v>
      </c>
      <c r="F41" s="34" t="n">
        <f aca="false">'Master Plan'!$AJ$23</f>
        <v>-3</v>
      </c>
      <c r="G41" s="35" t="n">
        <f aca="false">'Master Plan'!$AM$23</f>
        <v>0</v>
      </c>
      <c r="H41" s="31" t="str">
        <f aca="false">'P9-016'!$B$5</f>
        <v>จัดหาและรับอุปกรณ์ (หนังสือส่งแผง + ตรวจรับของ)</v>
      </c>
      <c r="I41" s="36" t="str">
        <f aca="false">'Master Plan'!$AN$23</f>
        <v/>
      </c>
    </row>
    <row r="42" customFormat="false" ht="15" hidden="false" customHeight="false" outlineLevel="0" collapsed="false">
      <c r="A42" s="30" t="s">
        <v>106</v>
      </c>
      <c r="B42" s="31" t="s">
        <v>107</v>
      </c>
      <c r="C42" s="32" t="s">
        <v>108</v>
      </c>
      <c r="D42" s="31" t="s">
        <v>109</v>
      </c>
      <c r="E42" s="33" t="n">
        <f aca="false">'Master Plan'!$AH$24</f>
        <v>46433</v>
      </c>
      <c r="F42" s="34" t="n">
        <f aca="false">'Master Plan'!$AJ$24</f>
        <v>-3</v>
      </c>
      <c r="G42" s="35" t="n">
        <f aca="false">'Master Plan'!$AM$24</f>
        <v>0</v>
      </c>
      <c r="H42" s="31" t="str">
        <f aca="false">'P9-017'!$B$5</f>
        <v>จัดหาและรับอุปกรณ์ (หนังสือส่งแผง + ตรวจรับของ)</v>
      </c>
      <c r="I42" s="36" t="str">
        <f aca="false">'Master Plan'!$AN$24</f>
        <v/>
      </c>
    </row>
    <row r="43" customFormat="false" ht="15" hidden="false" customHeight="false" outlineLevel="0" collapsed="false">
      <c r="A43" s="30" t="s">
        <v>110</v>
      </c>
      <c r="B43" s="31" t="s">
        <v>111</v>
      </c>
      <c r="C43" s="32" t="s">
        <v>112</v>
      </c>
      <c r="D43" s="31" t="s">
        <v>113</v>
      </c>
      <c r="E43" s="33" t="n">
        <f aca="false">'Master Plan'!$AH$25</f>
        <v>46433</v>
      </c>
      <c r="F43" s="34" t="n">
        <f aca="false">'Master Plan'!$AJ$25</f>
        <v>-3</v>
      </c>
      <c r="G43" s="35" t="n">
        <f aca="false">'Master Plan'!$AM$25</f>
        <v>0</v>
      </c>
      <c r="H43" s="31" t="str">
        <f aca="false">'P9-018'!$B$5</f>
        <v>จัดหาและรับอุปกรณ์ (หนังสือส่งแผง + ตรวจรับของ)</v>
      </c>
      <c r="I43" s="36" t="str">
        <f aca="false">'Master Plan'!$AN$25</f>
        <v/>
      </c>
    </row>
    <row r="44" customFormat="false" ht="15" hidden="false" customHeight="false" outlineLevel="0" collapsed="false">
      <c r="A44" s="30" t="s">
        <v>114</v>
      </c>
      <c r="B44" s="31" t="s">
        <v>115</v>
      </c>
      <c r="C44" s="32" t="s">
        <v>116</v>
      </c>
      <c r="D44" s="31" t="s">
        <v>117</v>
      </c>
      <c r="E44" s="33" t="n">
        <f aca="false">'Master Plan'!$AH$26</f>
        <v>46433</v>
      </c>
      <c r="F44" s="34" t="n">
        <f aca="false">'Master Plan'!$AJ$26</f>
        <v>-3</v>
      </c>
      <c r="G44" s="35" t="n">
        <f aca="false">'Master Plan'!$AM$26</f>
        <v>0</v>
      </c>
      <c r="H44" s="31" t="str">
        <f aca="false">'P9-019'!$B$5</f>
        <v>จัดหาและรับอุปกรณ์ (หนังสือส่งแผง + ตรวจรับของ)</v>
      </c>
      <c r="I44" s="36" t="str">
        <f aca="false">'Master Plan'!$AN$26</f>
        <v/>
      </c>
    </row>
    <row r="45" customFormat="false" ht="15" hidden="false" customHeight="false" outlineLevel="0" collapsed="false">
      <c r="A45" s="30" t="s">
        <v>118</v>
      </c>
      <c r="B45" s="31" t="s">
        <v>119</v>
      </c>
      <c r="C45" s="32" t="s">
        <v>120</v>
      </c>
      <c r="D45" s="31" t="s">
        <v>121</v>
      </c>
      <c r="E45" s="33" t="n">
        <f aca="false">'Master Plan'!$AH$27</f>
        <v>46433</v>
      </c>
      <c r="F45" s="34" t="n">
        <f aca="false">'Master Plan'!$AJ$27</f>
        <v>-3</v>
      </c>
      <c r="G45" s="35" t="n">
        <f aca="false">'Master Plan'!$AM$27</f>
        <v>0</v>
      </c>
      <c r="H45" s="31" t="str">
        <f aca="false">'P9-020'!$B$5</f>
        <v>จัดหาและรับอุปกรณ์ (หนังสือส่งแผง + ตรวจรับของ)</v>
      </c>
      <c r="I45" s="36" t="str">
        <f aca="false">'Master Plan'!$AN$27</f>
        <v/>
      </c>
    </row>
  </sheetData>
  <sheetProtection sheet="true" formatColumns="false" formatRows="false" sort="false" autoFilter="false"/>
  <autoFilter ref="A25:I45"/>
  <mergeCells count="22">
    <mergeCell ref="A4:B4"/>
    <mergeCell ref="C4:D4"/>
    <mergeCell ref="G4:H4"/>
    <mergeCell ref="A5:B5"/>
    <mergeCell ref="C5:D5"/>
    <mergeCell ref="G5:H5"/>
    <mergeCell ref="A7:A10"/>
    <mergeCell ref="B7:G7"/>
    <mergeCell ref="B8:G8"/>
    <mergeCell ref="B9:G9"/>
    <mergeCell ref="A11:A14"/>
    <mergeCell ref="B11:G11"/>
    <mergeCell ref="B12:G12"/>
    <mergeCell ref="B13:G13"/>
    <mergeCell ref="A15:A18"/>
    <mergeCell ref="B15:G15"/>
    <mergeCell ref="B16:G16"/>
    <mergeCell ref="B17:G17"/>
    <mergeCell ref="A19:A22"/>
    <mergeCell ref="B19:G19"/>
    <mergeCell ref="B20:G20"/>
    <mergeCell ref="B21:G21"/>
  </mergeCells>
  <conditionalFormatting sqref="I26:I45">
    <cfRule type="expression" priority="2" aboveAverage="0" equalAverage="0" bottom="0" percent="0" rank="0" text="" dxfId="4">
      <formula>LEN(I26)&gt;0</formula>
    </cfRule>
  </conditionalFormatting>
  <conditionalFormatting sqref="F26:F45">
    <cfRule type="expression" priority="3" aboveAverage="0" equalAverage="0" bottom="0" percent="0" rank="0" text="" dxfId="5">
      <formula>N(F26)&gt;60</formula>
    </cfRule>
  </conditionalFormatting>
  <hyperlinks>
    <hyperlink ref="H7" location="'อัปเดตรายสัปดาห์'!A1" display="→ อัปเดตรายสัปดาห์"/>
    <hyperlink ref="H8" location="'Master Plan'!A1" display="→ Master Plan"/>
    <hyperlink ref="H9" location="'บันทึกการเปลี่ยนแปลง'!A1" display="→ บันทึกการเปลี่ยนแปลง"/>
    <hyperlink ref="H11" location="'งาน 3 สัปดาห์ข้างหน้า'!A1" display="→ งาน 3 สัปดาห์ข้างหน้า"/>
    <hyperlink ref="H12" location="'อัปเดตงาน WBS'!A1" display="→ อัปเดตงาน WBS"/>
    <hyperlink ref="H13" location="'ICL ตรวจหน้างาน'!A1" display="→ ICL ตรวจหน้างาน"/>
    <hyperlink ref="H19" location="'Milestone'!A1" display="→ Milestone"/>
    <hyperlink ref="H20" location="'ทะเบียนความเสี่ยง'!A1" display="→ ทะเบียนความเสี่ยง"/>
    <hyperlink ref="H21" location="'ประวัติสรุป'!A1" display="→ ประวัติสรุป"/>
    <hyperlink ref="A26" location="'P9-001'!A1" display="P9-001"/>
    <hyperlink ref="A27" location="'P9-002'!A1" display="P9-002"/>
    <hyperlink ref="A28" location="'P9-003'!A1" display="P9-003"/>
    <hyperlink ref="A29" location="'P9-004'!A1" display="P9-004"/>
    <hyperlink ref="A30" location="'P9-005'!A1" display="P9-005"/>
    <hyperlink ref="A31" location="'P9-006'!A1" display="P9-006"/>
    <hyperlink ref="A32" location="'P9-007'!A1" display="P9-007"/>
    <hyperlink ref="A33" location="'P9-008'!A1" display="P9-008"/>
    <hyperlink ref="A34" location="'P9-009'!A1" display="P9-009"/>
    <hyperlink ref="A35" location="'P9-010'!A1" display="P9-010"/>
    <hyperlink ref="A36" location="'P9-011'!A1" display="P9-011"/>
    <hyperlink ref="A37" location="'P9-012'!A1" display="P9-012"/>
    <hyperlink ref="A38" location="'P9-013'!A1" display="P9-013"/>
    <hyperlink ref="A39" location="'P9-014'!A1" display="P9-014"/>
    <hyperlink ref="A40" location="'P9-015'!A1" display="P9-015"/>
    <hyperlink ref="A41" location="'P9-016'!A1" display="P9-016"/>
    <hyperlink ref="A42" location="'P9-017'!A1" display="P9-017"/>
    <hyperlink ref="A43" location="'P9-018'!A1" display="P9-018"/>
    <hyperlink ref="A44" location="'P9-019'!A1" display="P9-019"/>
    <hyperlink ref="A45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6"/>
    <col collapsed="false" customWidth="true" hidden="false" outlineLevel="0" max="41" min="7" style="0" width="9.51"/>
    <col collapsed="false" customWidth="true" hidden="false" outlineLevel="0" max="42" min="42" style="0" width="40"/>
  </cols>
  <sheetData>
    <row r="1" customFormat="false" ht="17.35" hidden="false" customHeight="false" outlineLevel="0" collapsed="false">
      <c r="A1" s="37" t="s">
        <v>122</v>
      </c>
    </row>
    <row r="2" customFormat="false" ht="15" hidden="false" customHeight="false" outlineLevel="0" collapsed="false">
      <c r="A2" s="38" t="s">
        <v>123</v>
      </c>
    </row>
    <row r="3" customFormat="false" ht="15" hidden="false" customHeight="false" outlineLevel="0" collapsed="false">
      <c r="A3" s="39" t="s">
        <v>124</v>
      </c>
      <c r="B3" s="40" t="n">
        <f aca="false">ASOF</f>
        <v>46328</v>
      </c>
      <c r="C3" s="41" t="s">
        <v>125</v>
      </c>
    </row>
    <row r="6" customFormat="false" ht="15" hidden="false" customHeight="false" outlineLevel="0" collapsed="false">
      <c r="A6" s="42" t="s">
        <v>35</v>
      </c>
      <c r="B6" s="42"/>
      <c r="C6" s="42"/>
      <c r="D6" s="42"/>
      <c r="E6" s="42"/>
      <c r="F6" s="42"/>
      <c r="G6" s="43" t="s">
        <v>126</v>
      </c>
      <c r="H6" s="43"/>
      <c r="I6" s="43"/>
      <c r="J6" s="43" t="s">
        <v>127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 t="s">
        <v>128</v>
      </c>
      <c r="X6" s="43"/>
      <c r="Y6" s="43"/>
      <c r="Z6" s="43"/>
      <c r="AA6" s="43"/>
      <c r="AB6" s="43"/>
      <c r="AC6" s="43"/>
      <c r="AD6" s="43"/>
      <c r="AE6" s="43"/>
      <c r="AF6" s="43"/>
      <c r="AG6" s="43" t="s">
        <v>129</v>
      </c>
      <c r="AH6" s="43"/>
      <c r="AI6" s="43"/>
      <c r="AJ6" s="43"/>
      <c r="AK6" s="43"/>
      <c r="AL6" s="43"/>
      <c r="AM6" s="43"/>
      <c r="AN6" s="43"/>
      <c r="AO6" s="43"/>
      <c r="AP6" s="44"/>
    </row>
    <row r="7" customFormat="false" ht="42" hidden="false" customHeight="true" outlineLevel="0" collapsed="false">
      <c r="A7" s="28" t="s">
        <v>34</v>
      </c>
      <c r="B7" s="28" t="s">
        <v>35</v>
      </c>
      <c r="C7" s="28" t="s">
        <v>130</v>
      </c>
      <c r="D7" s="29" t="s">
        <v>131</v>
      </c>
      <c r="E7" s="28" t="s">
        <v>15</v>
      </c>
      <c r="F7" s="28" t="s">
        <v>132</v>
      </c>
      <c r="G7" s="45" t="s">
        <v>133</v>
      </c>
      <c r="H7" s="45" t="s">
        <v>134</v>
      </c>
      <c r="I7" s="45" t="s">
        <v>135</v>
      </c>
      <c r="J7" s="45" t="s">
        <v>136</v>
      </c>
      <c r="K7" s="45" t="s">
        <v>137</v>
      </c>
      <c r="L7" s="45" t="s">
        <v>138</v>
      </c>
      <c r="M7" s="45" t="s">
        <v>139</v>
      </c>
      <c r="N7" s="45" t="s">
        <v>140</v>
      </c>
      <c r="O7" s="45" t="s">
        <v>141</v>
      </c>
      <c r="P7" s="45" t="s">
        <v>142</v>
      </c>
      <c r="Q7" s="45" t="s">
        <v>143</v>
      </c>
      <c r="R7" s="45" t="s">
        <v>144</v>
      </c>
      <c r="S7" s="45" t="s">
        <v>145</v>
      </c>
      <c r="T7" s="45" t="s">
        <v>146</v>
      </c>
      <c r="U7" s="45" t="s">
        <v>147</v>
      </c>
      <c r="V7" s="45" t="s">
        <v>148</v>
      </c>
      <c r="W7" s="45" t="s">
        <v>149</v>
      </c>
      <c r="X7" s="45" t="s">
        <v>150</v>
      </c>
      <c r="Y7" s="45" t="s">
        <v>151</v>
      </c>
      <c r="Z7" s="45" t="s">
        <v>152</v>
      </c>
      <c r="AA7" s="45" t="s">
        <v>153</v>
      </c>
      <c r="AB7" s="45" t="s">
        <v>154</v>
      </c>
      <c r="AC7" s="45" t="s">
        <v>155</v>
      </c>
      <c r="AD7" s="45" t="s">
        <v>156</v>
      </c>
      <c r="AE7" s="45" t="s">
        <v>157</v>
      </c>
      <c r="AF7" s="45" t="s">
        <v>158</v>
      </c>
      <c r="AG7" s="45" t="s">
        <v>159</v>
      </c>
      <c r="AH7" s="45" t="s">
        <v>160</v>
      </c>
      <c r="AI7" s="45" t="s">
        <v>161</v>
      </c>
      <c r="AJ7" s="45" t="s">
        <v>162</v>
      </c>
      <c r="AK7" s="45" t="s">
        <v>163</v>
      </c>
      <c r="AL7" s="45" t="s">
        <v>164</v>
      </c>
      <c r="AM7" s="45" t="s">
        <v>165</v>
      </c>
      <c r="AN7" s="45" t="s">
        <v>166</v>
      </c>
      <c r="AO7" s="45" t="s">
        <v>167</v>
      </c>
      <c r="AP7" s="46" t="s">
        <v>168</v>
      </c>
    </row>
    <row r="8" customFormat="false" ht="15" hidden="false" customHeight="false" outlineLevel="0" collapsed="false">
      <c r="A8" s="47" t="s">
        <v>42</v>
      </c>
      <c r="B8" s="31" t="s">
        <v>43</v>
      </c>
      <c r="C8" s="31" t="s">
        <v>169</v>
      </c>
      <c r="D8" s="36" t="s">
        <v>131</v>
      </c>
      <c r="E8" s="31" t="s">
        <v>45</v>
      </c>
      <c r="F8" s="31" t="s">
        <v>170</v>
      </c>
      <c r="G8" s="48"/>
      <c r="H8" s="48"/>
      <c r="I8" s="48"/>
      <c r="J8" s="48"/>
      <c r="K8" s="48"/>
      <c r="L8" s="48"/>
      <c r="M8" s="48"/>
      <c r="N8" s="49"/>
      <c r="O8" s="49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50"/>
    </row>
    <row r="9" customFormat="false" ht="15" hidden="false" customHeight="false" outlineLevel="0" collapsed="false">
      <c r="A9" s="47" t="s">
        <v>46</v>
      </c>
      <c r="B9" s="31" t="s">
        <v>47</v>
      </c>
      <c r="C9" s="31" t="s">
        <v>171</v>
      </c>
      <c r="D9" s="36" t="s">
        <v>131</v>
      </c>
      <c r="E9" s="31" t="s">
        <v>49</v>
      </c>
      <c r="F9" s="31" t="s">
        <v>170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50"/>
    </row>
    <row r="10" customFormat="false" ht="15" hidden="false" customHeight="false" outlineLevel="0" collapsed="false">
      <c r="A10" s="47" t="s">
        <v>50</v>
      </c>
      <c r="B10" s="31" t="s">
        <v>51</v>
      </c>
      <c r="C10" s="31" t="s">
        <v>172</v>
      </c>
      <c r="D10" s="36" t="s">
        <v>131</v>
      </c>
      <c r="E10" s="31" t="s">
        <v>53</v>
      </c>
      <c r="F10" s="31" t="s">
        <v>170</v>
      </c>
      <c r="G10" s="48"/>
      <c r="H10" s="48"/>
      <c r="I10" s="48"/>
      <c r="J10" s="48"/>
      <c r="K10" s="48"/>
      <c r="L10" s="48"/>
      <c r="M10" s="48"/>
      <c r="N10" s="49"/>
      <c r="O10" s="49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50"/>
    </row>
    <row r="11" customFormat="false" ht="15" hidden="false" customHeight="false" outlineLevel="0" collapsed="false">
      <c r="A11" s="47" t="s">
        <v>54</v>
      </c>
      <c r="B11" s="31" t="s">
        <v>55</v>
      </c>
      <c r="C11" s="31" t="s">
        <v>173</v>
      </c>
      <c r="D11" s="36" t="s">
        <v>131</v>
      </c>
      <c r="E11" s="31" t="s">
        <v>57</v>
      </c>
      <c r="F11" s="31" t="s">
        <v>170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50"/>
    </row>
    <row r="12" customFormat="false" ht="15" hidden="false" customHeight="false" outlineLevel="0" collapsed="false">
      <c r="A12" s="47" t="s">
        <v>58</v>
      </c>
      <c r="B12" s="31" t="s">
        <v>59</v>
      </c>
      <c r="C12" s="31" t="s">
        <v>174</v>
      </c>
      <c r="D12" s="36" t="s">
        <v>131</v>
      </c>
      <c r="E12" s="31" t="s">
        <v>61</v>
      </c>
      <c r="F12" s="31" t="s">
        <v>170</v>
      </c>
      <c r="G12" s="48"/>
      <c r="H12" s="48"/>
      <c r="I12" s="48"/>
      <c r="J12" s="48"/>
      <c r="K12" s="48"/>
      <c r="L12" s="48"/>
      <c r="M12" s="48"/>
      <c r="N12" s="49"/>
      <c r="O12" s="49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50"/>
    </row>
    <row r="13" customFormat="false" ht="15" hidden="false" customHeight="false" outlineLevel="0" collapsed="false">
      <c r="A13" s="47" t="s">
        <v>62</v>
      </c>
      <c r="B13" s="31" t="s">
        <v>63</v>
      </c>
      <c r="C13" s="31" t="s">
        <v>175</v>
      </c>
      <c r="D13" s="36" t="s">
        <v>131</v>
      </c>
      <c r="E13" s="31" t="s">
        <v>65</v>
      </c>
      <c r="F13" s="31" t="s">
        <v>170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50"/>
    </row>
    <row r="14" customFormat="false" ht="15" hidden="false" customHeight="false" outlineLevel="0" collapsed="false">
      <c r="A14" s="47" t="s">
        <v>66</v>
      </c>
      <c r="B14" s="31" t="s">
        <v>67</v>
      </c>
      <c r="C14" s="31" t="s">
        <v>176</v>
      </c>
      <c r="D14" s="36" t="s">
        <v>131</v>
      </c>
      <c r="E14" s="31" t="s">
        <v>69</v>
      </c>
      <c r="F14" s="31" t="s">
        <v>170</v>
      </c>
      <c r="G14" s="48"/>
      <c r="H14" s="48"/>
      <c r="I14" s="48"/>
      <c r="J14" s="48"/>
      <c r="K14" s="48"/>
      <c r="L14" s="48"/>
      <c r="M14" s="48"/>
      <c r="N14" s="49"/>
      <c r="O14" s="49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50"/>
    </row>
    <row r="15" customFormat="false" ht="15" hidden="false" customHeight="false" outlineLevel="0" collapsed="false">
      <c r="A15" s="47" t="s">
        <v>70</v>
      </c>
      <c r="B15" s="31" t="s">
        <v>71</v>
      </c>
      <c r="C15" s="31" t="s">
        <v>177</v>
      </c>
      <c r="D15" s="36" t="s">
        <v>131</v>
      </c>
      <c r="E15" s="31" t="s">
        <v>73</v>
      </c>
      <c r="F15" s="31" t="s">
        <v>170</v>
      </c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50"/>
    </row>
    <row r="16" customFormat="false" ht="15" hidden="false" customHeight="false" outlineLevel="0" collapsed="false">
      <c r="A16" s="47" t="s">
        <v>74</v>
      </c>
      <c r="B16" s="31" t="s">
        <v>75</v>
      </c>
      <c r="C16" s="31" t="s">
        <v>178</v>
      </c>
      <c r="D16" s="36" t="s">
        <v>131</v>
      </c>
      <c r="E16" s="31" t="s">
        <v>77</v>
      </c>
      <c r="F16" s="31" t="s">
        <v>170</v>
      </c>
      <c r="G16" s="48"/>
      <c r="H16" s="48"/>
      <c r="I16" s="48"/>
      <c r="J16" s="48"/>
      <c r="K16" s="48"/>
      <c r="L16" s="48"/>
      <c r="M16" s="48"/>
      <c r="N16" s="49"/>
      <c r="O16" s="49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50"/>
    </row>
    <row r="17" customFormat="false" ht="15" hidden="false" customHeight="false" outlineLevel="0" collapsed="false">
      <c r="A17" s="47" t="s">
        <v>78</v>
      </c>
      <c r="B17" s="31" t="s">
        <v>79</v>
      </c>
      <c r="C17" s="31" t="s">
        <v>179</v>
      </c>
      <c r="D17" s="36" t="s">
        <v>131</v>
      </c>
      <c r="E17" s="31" t="s">
        <v>81</v>
      </c>
      <c r="F17" s="31" t="s">
        <v>170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50"/>
    </row>
    <row r="18" customFormat="false" ht="15" hidden="false" customHeight="false" outlineLevel="0" collapsed="false">
      <c r="A18" s="47" t="s">
        <v>82</v>
      </c>
      <c r="B18" s="31" t="s">
        <v>83</v>
      </c>
      <c r="C18" s="31" t="s">
        <v>180</v>
      </c>
      <c r="D18" s="36" t="s">
        <v>131</v>
      </c>
      <c r="E18" s="31" t="s">
        <v>85</v>
      </c>
      <c r="F18" s="31" t="s">
        <v>170</v>
      </c>
      <c r="G18" s="48"/>
      <c r="H18" s="48"/>
      <c r="I18" s="48"/>
      <c r="J18" s="48"/>
      <c r="K18" s="48"/>
      <c r="L18" s="48"/>
      <c r="M18" s="48"/>
      <c r="N18" s="49"/>
      <c r="O18" s="49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50"/>
    </row>
    <row r="19" customFormat="false" ht="15" hidden="false" customHeight="false" outlineLevel="0" collapsed="false">
      <c r="A19" s="47" t="s">
        <v>86</v>
      </c>
      <c r="B19" s="31" t="s">
        <v>87</v>
      </c>
      <c r="C19" s="31" t="s">
        <v>181</v>
      </c>
      <c r="D19" s="36" t="s">
        <v>131</v>
      </c>
      <c r="E19" s="31" t="s">
        <v>89</v>
      </c>
      <c r="F19" s="31" t="s">
        <v>170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50"/>
    </row>
    <row r="20" customFormat="false" ht="15" hidden="false" customHeight="false" outlineLevel="0" collapsed="false">
      <c r="A20" s="47" t="s">
        <v>90</v>
      </c>
      <c r="B20" s="31" t="s">
        <v>91</v>
      </c>
      <c r="C20" s="31" t="s">
        <v>182</v>
      </c>
      <c r="D20" s="36" t="s">
        <v>131</v>
      </c>
      <c r="E20" s="31" t="s">
        <v>93</v>
      </c>
      <c r="F20" s="31" t="s">
        <v>170</v>
      </c>
      <c r="G20" s="48"/>
      <c r="H20" s="48"/>
      <c r="I20" s="48"/>
      <c r="J20" s="48"/>
      <c r="K20" s="48"/>
      <c r="L20" s="48"/>
      <c r="M20" s="48"/>
      <c r="N20" s="49"/>
      <c r="O20" s="49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50"/>
    </row>
    <row r="21" customFormat="false" ht="15" hidden="false" customHeight="false" outlineLevel="0" collapsed="false">
      <c r="A21" s="47" t="s">
        <v>94</v>
      </c>
      <c r="B21" s="31" t="s">
        <v>95</v>
      </c>
      <c r="C21" s="31" t="s">
        <v>183</v>
      </c>
      <c r="D21" s="36" t="s">
        <v>131</v>
      </c>
      <c r="E21" s="31" t="s">
        <v>97</v>
      </c>
      <c r="F21" s="31" t="s">
        <v>170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50"/>
    </row>
    <row r="22" customFormat="false" ht="15" hidden="false" customHeight="false" outlineLevel="0" collapsed="false">
      <c r="A22" s="47" t="s">
        <v>98</v>
      </c>
      <c r="B22" s="31" t="s">
        <v>99</v>
      </c>
      <c r="C22" s="31" t="s">
        <v>184</v>
      </c>
      <c r="D22" s="36" t="s">
        <v>131</v>
      </c>
      <c r="E22" s="31" t="s">
        <v>101</v>
      </c>
      <c r="F22" s="31" t="s">
        <v>170</v>
      </c>
      <c r="G22" s="48"/>
      <c r="H22" s="48"/>
      <c r="I22" s="48"/>
      <c r="J22" s="48"/>
      <c r="K22" s="48"/>
      <c r="L22" s="48"/>
      <c r="M22" s="48"/>
      <c r="N22" s="49"/>
      <c r="O22" s="49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50"/>
    </row>
    <row r="23" customFormat="false" ht="15" hidden="false" customHeight="false" outlineLevel="0" collapsed="false">
      <c r="A23" s="47" t="s">
        <v>102</v>
      </c>
      <c r="B23" s="31" t="s">
        <v>103</v>
      </c>
      <c r="C23" s="31" t="s">
        <v>185</v>
      </c>
      <c r="D23" s="36" t="s">
        <v>131</v>
      </c>
      <c r="E23" s="31" t="s">
        <v>105</v>
      </c>
      <c r="F23" s="31" t="s">
        <v>170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50"/>
    </row>
    <row r="24" customFormat="false" ht="15" hidden="false" customHeight="false" outlineLevel="0" collapsed="false">
      <c r="A24" s="47" t="s">
        <v>106</v>
      </c>
      <c r="B24" s="31" t="s">
        <v>107</v>
      </c>
      <c r="C24" s="31" t="s">
        <v>186</v>
      </c>
      <c r="D24" s="36" t="s">
        <v>131</v>
      </c>
      <c r="E24" s="31" t="s">
        <v>109</v>
      </c>
      <c r="F24" s="31" t="s">
        <v>170</v>
      </c>
      <c r="G24" s="48"/>
      <c r="H24" s="48"/>
      <c r="I24" s="48"/>
      <c r="J24" s="48"/>
      <c r="K24" s="48"/>
      <c r="L24" s="48"/>
      <c r="M24" s="48"/>
      <c r="N24" s="49"/>
      <c r="O24" s="49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50"/>
    </row>
    <row r="25" customFormat="false" ht="15" hidden="false" customHeight="false" outlineLevel="0" collapsed="false">
      <c r="A25" s="47" t="s">
        <v>110</v>
      </c>
      <c r="B25" s="31" t="s">
        <v>111</v>
      </c>
      <c r="C25" s="31" t="s">
        <v>187</v>
      </c>
      <c r="D25" s="36" t="s">
        <v>131</v>
      </c>
      <c r="E25" s="31" t="s">
        <v>113</v>
      </c>
      <c r="F25" s="31" t="s">
        <v>170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50"/>
    </row>
    <row r="26" customFormat="false" ht="15" hidden="false" customHeight="false" outlineLevel="0" collapsed="false">
      <c r="A26" s="47" t="s">
        <v>114</v>
      </c>
      <c r="B26" s="31" t="s">
        <v>115</v>
      </c>
      <c r="C26" s="31" t="s">
        <v>188</v>
      </c>
      <c r="D26" s="36" t="s">
        <v>131</v>
      </c>
      <c r="E26" s="31" t="s">
        <v>117</v>
      </c>
      <c r="F26" s="31" t="s">
        <v>170</v>
      </c>
      <c r="G26" s="48"/>
      <c r="H26" s="48"/>
      <c r="I26" s="48"/>
      <c r="J26" s="48"/>
      <c r="K26" s="48"/>
      <c r="L26" s="48"/>
      <c r="M26" s="48"/>
      <c r="N26" s="49"/>
      <c r="O26" s="49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50"/>
    </row>
    <row r="27" customFormat="false" ht="15" hidden="false" customHeight="false" outlineLevel="0" collapsed="false">
      <c r="A27" s="47" t="s">
        <v>118</v>
      </c>
      <c r="B27" s="31" t="s">
        <v>119</v>
      </c>
      <c r="C27" s="31" t="s">
        <v>189</v>
      </c>
      <c r="D27" s="36" t="s">
        <v>131</v>
      </c>
      <c r="E27" s="31" t="s">
        <v>121</v>
      </c>
      <c r="F27" s="31" t="s">
        <v>170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50"/>
    </row>
  </sheetData>
  <sheetProtection sheet="true" formatColumns="false" formatRows="false" sort="false" autoFilter="false"/>
  <autoFilter ref="A7:AP27"/>
  <mergeCells count="5">
    <mergeCell ref="A6:F6"/>
    <mergeCell ref="G6:I6"/>
    <mergeCell ref="J6:V6"/>
    <mergeCell ref="W6:AF6"/>
    <mergeCell ref="AG6:AO6"/>
  </mergeCells>
  <conditionalFormatting sqref="G8:AO27">
    <cfRule type="expression" priority="2" aboveAverage="0" equalAverage="0" bottom="0" percent="0" rank="0" text="" dxfId="10">
      <formula>AND(ISNUMBER(G8),G8&gt;ASOF)</formula>
    </cfRule>
    <cfRule type="expression" priority="3" aboveAverage="0" equalAverage="0" bottom="0" percent="0" rank="0" text="" dxfId="11">
      <formula>G8="Y"</formula>
    </cfRule>
    <cfRule type="expression" priority="4" aboveAverage="0" equalAverage="0" bottom="0" percent="0" rank="0" text="" dxfId="12">
      <formula>AND(ISNUMBER(G8),G8&lt;=ASOF)</formula>
    </cfRule>
  </conditionalFormatting>
  <dataValidations count="1">
    <dataValidation allowBlank="true" error="ใส่วันที่ปี ค.ศ. 2026–2027 (เช่น 25/10/2026) หรือ Y เท่านั้น" errorStyle="stop" errorTitle="ข้อมูลไม่ถูกต้อง" operator="between" prompt="วันที่จริง/วันนัด (ค.ศ.) หรือ Y = เสร็จแต่ไม่มีวันที่" promptTitle="วันที่ หรือ Y" showDropDown="false" showErrorMessage="true" showInputMessage="true" sqref="G8:AO27" type="custom">
      <formula1>OR(ISBLANK(G8),G8="Y",AND(ISNUMBER(G8),G8&gt;=DATE(2026,1,1),G8&lt;=DATE(2027,12,31)))</formula1>
      <formula2>0</formula2>
    </dataValidation>
  </dataValidations>
  <hyperlinks>
    <hyperlink ref="C3" location="'สมมติฐาน'!C5" display="⚙ เปลี่ยนวันที่ข้อมูลที่ชีตสมมติฐาน"/>
    <hyperlink ref="A8" location="'P9-001'!A1" display="P9-001"/>
    <hyperlink ref="A9" location="'P9-002'!A1" display="P9-002"/>
    <hyperlink ref="A10" location="'P9-003'!A1" display="P9-003"/>
    <hyperlink ref="A11" location="'P9-004'!A1" display="P9-004"/>
    <hyperlink ref="A12" location="'P9-005'!A1" display="P9-005"/>
    <hyperlink ref="A13" location="'P9-006'!A1" display="P9-006"/>
    <hyperlink ref="A14" location="'P9-007'!A1" display="P9-007"/>
    <hyperlink ref="A15" location="'P9-008'!A1" display="P9-008"/>
    <hyperlink ref="A16" location="'P9-009'!A1" display="P9-009"/>
    <hyperlink ref="A17" location="'P9-010'!A1" display="P9-010"/>
    <hyperlink ref="A18" location="'P9-011'!A1" display="P9-011"/>
    <hyperlink ref="A19" location="'P9-012'!A1" display="P9-012"/>
    <hyperlink ref="A20" location="'P9-013'!A1" display="P9-013"/>
    <hyperlink ref="A21" location="'P9-014'!A1" display="P9-014"/>
    <hyperlink ref="A22" location="'P9-015'!A1" display="P9-015"/>
    <hyperlink ref="A23" location="'P9-016'!A1" display="P9-016"/>
    <hyperlink ref="A24" location="'P9-017'!A1" display="P9-017"/>
    <hyperlink ref="A25" location="'P9-018'!A1" display="P9-018"/>
    <hyperlink ref="A26" location="'P9-019'!A1" display="P9-019"/>
    <hyperlink ref="A27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26"/>
  </cols>
  <sheetData>
    <row r="1" customFormat="false" ht="18.65" hidden="false" customHeight="false" outlineLevel="0" collapsed="false">
      <c r="A1" s="37" t="s">
        <v>190</v>
      </c>
    </row>
    <row r="2" customFormat="false" ht="15" hidden="false" customHeight="false" outlineLevel="0" collapsed="false">
      <c r="A2" s="38" t="s">
        <v>191</v>
      </c>
    </row>
    <row r="3" customFormat="false" ht="15" hidden="false" customHeight="false" outlineLevel="0" collapsed="false">
      <c r="A3" s="38" t="s">
        <v>192</v>
      </c>
    </row>
    <row r="4" customFormat="false" ht="15" hidden="false" customHeight="false" outlineLevel="0" collapsed="false">
      <c r="A4" s="51" t="s">
        <v>193</v>
      </c>
      <c r="C4" s="51" t="s">
        <v>194</v>
      </c>
      <c r="E4" s="51" t="s">
        <v>195</v>
      </c>
      <c r="G4" s="51" t="s">
        <v>196</v>
      </c>
    </row>
    <row r="5" customFormat="false" ht="15" hidden="false" customHeight="false" outlineLevel="0" collapsed="false">
      <c r="A5" s="52" t="n">
        <f aca="false">COUNTIF($K$7:$K$1646,"ช่วงนี้")</f>
        <v>770</v>
      </c>
      <c r="C5" s="53" t="n">
        <f aca="false">COUNTIF($K$7:$K$1646,"⚠*")</f>
        <v>0</v>
      </c>
      <c r="E5" s="52" t="n">
        <f aca="false">COUNTIF($L$7:$L$1646,"S")</f>
        <v>0</v>
      </c>
      <c r="G5" s="52" t="n">
        <f aca="false">COUNTIF($L$7:$L$1646,"Y")</f>
        <v>0</v>
      </c>
    </row>
    <row r="6" customFormat="false" ht="30" hidden="false" customHeight="true" outlineLevel="0" collapsed="false">
      <c r="A6" s="28" t="s">
        <v>34</v>
      </c>
      <c r="B6" s="28" t="s">
        <v>35</v>
      </c>
      <c r="C6" s="28" t="s">
        <v>15</v>
      </c>
      <c r="D6" s="28" t="s">
        <v>36</v>
      </c>
      <c r="E6" s="29" t="s">
        <v>197</v>
      </c>
      <c r="F6" s="28" t="s">
        <v>198</v>
      </c>
      <c r="G6" s="28" t="s">
        <v>199</v>
      </c>
      <c r="H6" s="28" t="s">
        <v>200</v>
      </c>
      <c r="I6" s="28" t="s">
        <v>201</v>
      </c>
      <c r="J6" s="28" t="s">
        <v>202</v>
      </c>
      <c r="K6" s="28" t="s">
        <v>203</v>
      </c>
      <c r="L6" s="28" t="s">
        <v>204</v>
      </c>
      <c r="M6" s="28" t="s">
        <v>205</v>
      </c>
    </row>
    <row r="7" customFormat="false" ht="15" hidden="false" customHeight="false" outlineLevel="0" collapsed="false">
      <c r="A7" s="54" t="s">
        <v>42</v>
      </c>
      <c r="B7" s="55" t="s">
        <v>206</v>
      </c>
      <c r="C7" s="56" t="s">
        <v>207</v>
      </c>
      <c r="D7" s="57" t="s">
        <v>44</v>
      </c>
      <c r="E7" s="57" t="s">
        <v>208</v>
      </c>
      <c r="F7" s="55" t="s">
        <v>209</v>
      </c>
      <c r="G7" s="55" t="s">
        <v>210</v>
      </c>
      <c r="H7" s="57" t="s">
        <v>211</v>
      </c>
      <c r="I7" s="58" t="n">
        <f aca="false">'P9-001'!$N$10</f>
        <v>46328</v>
      </c>
      <c r="J7" s="58" t="n">
        <f aca="false">'P9-001'!$O$10</f>
        <v>46340</v>
      </c>
      <c r="K7" s="56" t="str">
        <f aca="false">IF(OR(L7="Y",LEFT('P9-001'!$T$10,1)="D"),"",IF(AND(ISNUMBER(J7),J7&lt;ASOF),"⚠ เลยกำหนด",IF(AND(ISNUMBER(I7),I7&lt;=ASOF+14,J7&gt;=ASOF-7),"ช่วงนี้","")))</f>
        <v>ช่วงนี้</v>
      </c>
      <c r="L7" s="59"/>
      <c r="M7" s="60"/>
    </row>
    <row r="8" customFormat="false" ht="15" hidden="false" customHeight="false" outlineLevel="0" collapsed="false">
      <c r="A8" s="54" t="s">
        <v>42</v>
      </c>
      <c r="B8" s="55" t="s">
        <v>206</v>
      </c>
      <c r="C8" s="56" t="s">
        <v>207</v>
      </c>
      <c r="D8" s="57" t="s">
        <v>44</v>
      </c>
      <c r="E8" s="57" t="s">
        <v>212</v>
      </c>
      <c r="F8" s="55" t="s">
        <v>213</v>
      </c>
      <c r="G8" s="55" t="s">
        <v>214</v>
      </c>
      <c r="H8" s="57" t="s">
        <v>211</v>
      </c>
      <c r="I8" s="58" t="n">
        <f aca="false">'P9-001'!$N$11</f>
        <v>46328</v>
      </c>
      <c r="J8" s="58" t="n">
        <f aca="false">'P9-001'!$O$11</f>
        <v>46340</v>
      </c>
      <c r="K8" s="56" t="str">
        <f aca="false">IF(OR(L8="Y",LEFT('P9-001'!$T$11,1)="D"),"",IF(AND(ISNUMBER(J8),J8&lt;ASOF),"⚠ เลยกำหนด",IF(AND(ISNUMBER(I8),I8&lt;=ASOF+14,J8&gt;=ASOF-7),"ช่วงนี้","")))</f>
        <v>ช่วงนี้</v>
      </c>
      <c r="L8" s="59"/>
      <c r="M8" s="60"/>
    </row>
    <row r="9" customFormat="false" ht="15" hidden="false" customHeight="false" outlineLevel="0" collapsed="false">
      <c r="A9" s="54" t="s">
        <v>42</v>
      </c>
      <c r="B9" s="55" t="s">
        <v>206</v>
      </c>
      <c r="C9" s="56" t="s">
        <v>207</v>
      </c>
      <c r="D9" s="57" t="s">
        <v>44</v>
      </c>
      <c r="E9" s="57" t="s">
        <v>215</v>
      </c>
      <c r="F9" s="55" t="s">
        <v>216</v>
      </c>
      <c r="G9" s="61" t="s">
        <v>217</v>
      </c>
      <c r="H9" s="57" t="s">
        <v>211</v>
      </c>
      <c r="I9" s="58" t="n">
        <f aca="false">'P9-001'!$N$12</f>
        <v>46328</v>
      </c>
      <c r="J9" s="58" t="n">
        <f aca="false">'P9-001'!$O$12</f>
        <v>46340</v>
      </c>
      <c r="K9" s="56" t="str">
        <f aca="false">IF(OR(L9="Y",LEFT('P9-001'!$T$12,1)="D"),"",IF(AND(ISNUMBER(J9),J9&lt;ASOF),"⚠ เลยกำหนด",IF(AND(ISNUMBER(I9),I9&lt;=ASOF+14,J9&gt;=ASOF-7),"ช่วงนี้","")))</f>
        <v>ช่วงนี้</v>
      </c>
      <c r="L9" s="59"/>
      <c r="M9" s="60"/>
    </row>
    <row r="10" customFormat="false" ht="15" hidden="false" customHeight="false" outlineLevel="0" collapsed="false">
      <c r="A10" s="54" t="s">
        <v>42</v>
      </c>
      <c r="B10" s="55" t="s">
        <v>206</v>
      </c>
      <c r="C10" s="56" t="s">
        <v>207</v>
      </c>
      <c r="D10" s="57" t="s">
        <v>44</v>
      </c>
      <c r="E10" s="57" t="s">
        <v>218</v>
      </c>
      <c r="F10" s="55" t="s">
        <v>219</v>
      </c>
      <c r="G10" s="55" t="s">
        <v>220</v>
      </c>
      <c r="H10" s="57" t="s">
        <v>211</v>
      </c>
      <c r="I10" s="58" t="n">
        <f aca="false">'P9-001'!$N$13</f>
        <v>46328</v>
      </c>
      <c r="J10" s="58" t="n">
        <f aca="false">'P9-001'!$O$13</f>
        <v>46346</v>
      </c>
      <c r="K10" s="56" t="str">
        <f aca="false">IF(OR(L10="Y",LEFT('P9-001'!$T$13,1)="D"),"",IF(AND(ISNUMBER(J10),J10&lt;ASOF),"⚠ เลยกำหนด",IF(AND(ISNUMBER(I10),I10&lt;=ASOF+14,J10&gt;=ASOF-7),"ช่วงนี้","")))</f>
        <v>ช่วงนี้</v>
      </c>
      <c r="L10" s="59"/>
      <c r="M10" s="60"/>
    </row>
    <row r="11" customFormat="false" ht="15" hidden="false" customHeight="false" outlineLevel="0" collapsed="false">
      <c r="A11" s="54" t="s">
        <v>42</v>
      </c>
      <c r="B11" s="55" t="s">
        <v>206</v>
      </c>
      <c r="C11" s="56" t="s">
        <v>207</v>
      </c>
      <c r="D11" s="57" t="s">
        <v>44</v>
      </c>
      <c r="E11" s="57" t="s">
        <v>221</v>
      </c>
      <c r="F11" s="55" t="s">
        <v>222</v>
      </c>
      <c r="G11" s="55" t="s">
        <v>223</v>
      </c>
      <c r="H11" s="57" t="s">
        <v>211</v>
      </c>
      <c r="I11" s="58" t="n">
        <f aca="false">'P9-001'!$N$14</f>
        <v>46340</v>
      </c>
      <c r="J11" s="58" t="n">
        <f aca="false">'P9-001'!$O$14</f>
        <v>46450</v>
      </c>
      <c r="K11" s="56" t="str">
        <f aca="false">IF(OR(L11="Y",LEFT('P9-001'!$T$14,1)="D"),"",IF(AND(ISNUMBER(J11),J11&lt;ASOF),"⚠ เลยกำหนด",IF(AND(ISNUMBER(I11),I11&lt;=ASOF+14,J11&gt;=ASOF-7),"ช่วงนี้","")))</f>
        <v>ช่วงนี้</v>
      </c>
      <c r="L11" s="59"/>
      <c r="M11" s="60"/>
    </row>
    <row r="12" customFormat="false" ht="15" hidden="false" customHeight="false" outlineLevel="0" collapsed="false">
      <c r="A12" s="54" t="s">
        <v>42</v>
      </c>
      <c r="B12" s="55" t="s">
        <v>206</v>
      </c>
      <c r="C12" s="56" t="s">
        <v>207</v>
      </c>
      <c r="D12" s="57" t="s">
        <v>44</v>
      </c>
      <c r="E12" s="57" t="s">
        <v>224</v>
      </c>
      <c r="F12" s="55" t="s">
        <v>225</v>
      </c>
      <c r="G12" s="61" t="s">
        <v>226</v>
      </c>
      <c r="H12" s="57" t="s">
        <v>211</v>
      </c>
      <c r="I12" s="58" t="n">
        <f aca="false">'P9-001'!$N$15</f>
        <v>46340</v>
      </c>
      <c r="J12" s="58" t="n">
        <f aca="false">'P9-001'!$O$15</f>
        <v>46450</v>
      </c>
      <c r="K12" s="56" t="str">
        <f aca="false">IF(OR(L12="Y",LEFT('P9-001'!$T$15,1)="D"),"",IF(AND(ISNUMBER(J12),J12&lt;ASOF),"⚠ เลยกำหนด",IF(AND(ISNUMBER(I12),I12&lt;=ASOF+14,J12&gt;=ASOF-7),"ช่วงนี้","")))</f>
        <v>ช่วงนี้</v>
      </c>
      <c r="L12" s="59"/>
      <c r="M12" s="60"/>
    </row>
    <row r="13" customFormat="false" ht="15" hidden="false" customHeight="false" outlineLevel="0" collapsed="false">
      <c r="A13" s="54" t="s">
        <v>42</v>
      </c>
      <c r="B13" s="55" t="s">
        <v>206</v>
      </c>
      <c r="C13" s="56" t="s">
        <v>207</v>
      </c>
      <c r="D13" s="57" t="s">
        <v>44</v>
      </c>
      <c r="E13" s="57" t="s">
        <v>227</v>
      </c>
      <c r="F13" s="55" t="s">
        <v>228</v>
      </c>
      <c r="G13" s="55" t="s">
        <v>229</v>
      </c>
      <c r="H13" s="57" t="s">
        <v>211</v>
      </c>
      <c r="I13" s="58" t="n">
        <f aca="false">'P9-001'!$N$17</f>
        <v>46328</v>
      </c>
      <c r="J13" s="58" t="n">
        <f aca="false">'P9-001'!$O$17</f>
        <v>46328</v>
      </c>
      <c r="K13" s="56" t="str">
        <f aca="false">IF(OR(L13="Y",LEFT('P9-001'!$T$17,1)="D"),"",IF(AND(ISNUMBER(J13),J13&lt;ASOF),"⚠ เลยกำหนด",IF(AND(ISNUMBER(I13),I13&lt;=ASOF+14,J13&gt;=ASOF-7),"ช่วงนี้","")))</f>
        <v>ช่วงนี้</v>
      </c>
      <c r="L13" s="59"/>
      <c r="M13" s="60"/>
    </row>
    <row r="14" customFormat="false" ht="15" hidden="false" customHeight="false" outlineLevel="0" collapsed="false">
      <c r="A14" s="54" t="s">
        <v>42</v>
      </c>
      <c r="B14" s="55" t="s">
        <v>206</v>
      </c>
      <c r="C14" s="56" t="s">
        <v>207</v>
      </c>
      <c r="D14" s="57" t="s">
        <v>44</v>
      </c>
      <c r="E14" s="57" t="s">
        <v>230</v>
      </c>
      <c r="F14" s="55" t="s">
        <v>231</v>
      </c>
      <c r="G14" s="55" t="s">
        <v>232</v>
      </c>
      <c r="H14" s="57" t="s">
        <v>211</v>
      </c>
      <c r="I14" s="58" t="n">
        <f aca="false">'P9-001'!$N$18</f>
        <v>46328</v>
      </c>
      <c r="J14" s="58" t="n">
        <f aca="false">'P9-001'!$O$18</f>
        <v>46328</v>
      </c>
      <c r="K14" s="56" t="str">
        <f aca="false">IF(OR(L14="Y",LEFT('P9-001'!$T$18,1)="D"),"",IF(AND(ISNUMBER(J14),J14&lt;ASOF),"⚠ เลยกำหนด",IF(AND(ISNUMBER(I14),I14&lt;=ASOF+14,J14&gt;=ASOF-7),"ช่วงนี้","")))</f>
        <v>ช่วงนี้</v>
      </c>
      <c r="L14" s="59"/>
      <c r="M14" s="60"/>
    </row>
    <row r="15" customFormat="false" ht="15" hidden="false" customHeight="false" outlineLevel="0" collapsed="false">
      <c r="A15" s="54" t="s">
        <v>42</v>
      </c>
      <c r="B15" s="55" t="s">
        <v>206</v>
      </c>
      <c r="C15" s="56" t="s">
        <v>207</v>
      </c>
      <c r="D15" s="57" t="s">
        <v>44</v>
      </c>
      <c r="E15" s="57" t="s">
        <v>233</v>
      </c>
      <c r="F15" s="55" t="s">
        <v>234</v>
      </c>
      <c r="G15" s="55" t="s">
        <v>235</v>
      </c>
      <c r="H15" s="57" t="s">
        <v>211</v>
      </c>
      <c r="I15" s="58" t="n">
        <f aca="false">'P9-001'!$N$19</f>
        <v>46328</v>
      </c>
      <c r="J15" s="58" t="n">
        <f aca="false">'P9-001'!$O$19</f>
        <v>46328</v>
      </c>
      <c r="K15" s="56" t="str">
        <f aca="false">IF(OR(L15="Y",LEFT('P9-001'!$T$19,1)="D"),"",IF(AND(ISNUMBER(J15),J15&lt;ASOF),"⚠ เลยกำหนด",IF(AND(ISNUMBER(I15),I15&lt;=ASOF+14,J15&gt;=ASOF-7),"ช่วงนี้","")))</f>
        <v>ช่วงนี้</v>
      </c>
      <c r="L15" s="59"/>
      <c r="M15" s="60"/>
    </row>
    <row r="16" customFormat="false" ht="15" hidden="false" customHeight="false" outlineLevel="0" collapsed="false">
      <c r="A16" s="54" t="s">
        <v>42</v>
      </c>
      <c r="B16" s="55" t="s">
        <v>206</v>
      </c>
      <c r="C16" s="56" t="s">
        <v>207</v>
      </c>
      <c r="D16" s="57" t="s">
        <v>44</v>
      </c>
      <c r="E16" s="57" t="s">
        <v>236</v>
      </c>
      <c r="F16" s="55" t="s">
        <v>237</v>
      </c>
      <c r="G16" s="55" t="s">
        <v>238</v>
      </c>
      <c r="H16" s="57" t="s">
        <v>211</v>
      </c>
      <c r="I16" s="58" t="n">
        <f aca="false">'P9-001'!$N$20</f>
        <v>46328</v>
      </c>
      <c r="J16" s="58" t="n">
        <f aca="false">'P9-001'!$O$20</f>
        <v>46328</v>
      </c>
      <c r="K16" s="56" t="str">
        <f aca="false">IF(OR(L16="Y",LEFT('P9-001'!$T$20,1)="D"),"",IF(AND(ISNUMBER(J16),J16&lt;ASOF),"⚠ เลยกำหนด",IF(AND(ISNUMBER(I16),I16&lt;=ASOF+14,J16&gt;=ASOF-7),"ช่วงนี้","")))</f>
        <v>ช่วงนี้</v>
      </c>
      <c r="L16" s="59"/>
      <c r="M16" s="60"/>
    </row>
    <row r="17" customFormat="false" ht="15" hidden="false" customHeight="false" outlineLevel="0" collapsed="false">
      <c r="A17" s="54" t="s">
        <v>42</v>
      </c>
      <c r="B17" s="55" t="s">
        <v>206</v>
      </c>
      <c r="C17" s="56" t="s">
        <v>207</v>
      </c>
      <c r="D17" s="57" t="s">
        <v>44</v>
      </c>
      <c r="E17" s="57" t="s">
        <v>239</v>
      </c>
      <c r="F17" s="55" t="s">
        <v>240</v>
      </c>
      <c r="G17" s="55" t="s">
        <v>241</v>
      </c>
      <c r="H17" s="57" t="s">
        <v>211</v>
      </c>
      <c r="I17" s="58" t="n">
        <f aca="false">'P9-001'!$N$21</f>
        <v>46328</v>
      </c>
      <c r="J17" s="58" t="n">
        <f aca="false">'P9-001'!$O$21</f>
        <v>46328</v>
      </c>
      <c r="K17" s="56" t="str">
        <f aca="false">IF(OR(L17="Y",LEFT('P9-001'!$T$21,1)="D"),"",IF(AND(ISNUMBER(J17),J17&lt;ASOF),"⚠ เลยกำหนด",IF(AND(ISNUMBER(I17),I17&lt;=ASOF+14,J17&gt;=ASOF-7),"ช่วงนี้","")))</f>
        <v>ช่วงนี้</v>
      </c>
      <c r="L17" s="59"/>
      <c r="M17" s="60"/>
    </row>
    <row r="18" customFormat="false" ht="15" hidden="false" customHeight="false" outlineLevel="0" collapsed="false">
      <c r="A18" s="54" t="s">
        <v>42</v>
      </c>
      <c r="B18" s="55" t="s">
        <v>206</v>
      </c>
      <c r="C18" s="56" t="s">
        <v>207</v>
      </c>
      <c r="D18" s="57" t="s">
        <v>44</v>
      </c>
      <c r="E18" s="57" t="s">
        <v>242</v>
      </c>
      <c r="F18" s="55" t="s">
        <v>243</v>
      </c>
      <c r="G18" s="55" t="s">
        <v>244</v>
      </c>
      <c r="H18" s="57" t="s">
        <v>211</v>
      </c>
      <c r="I18" s="58" t="n">
        <f aca="false">'P9-001'!$N$22</f>
        <v>46328</v>
      </c>
      <c r="J18" s="58" t="n">
        <f aca="false">'P9-001'!$O$22</f>
        <v>46328</v>
      </c>
      <c r="K18" s="56" t="str">
        <f aca="false">IF(OR(L18="Y",LEFT('P9-001'!$T$22,1)="D"),"",IF(AND(ISNUMBER(J18),J18&lt;ASOF),"⚠ เลยกำหนด",IF(AND(ISNUMBER(I18),I18&lt;=ASOF+14,J18&gt;=ASOF-7),"ช่วงนี้","")))</f>
        <v>ช่วงนี้</v>
      </c>
      <c r="L18" s="59"/>
      <c r="M18" s="60"/>
    </row>
    <row r="19" customFormat="false" ht="15" hidden="false" customHeight="false" outlineLevel="0" collapsed="false">
      <c r="A19" s="54" t="s">
        <v>42</v>
      </c>
      <c r="B19" s="55" t="s">
        <v>206</v>
      </c>
      <c r="C19" s="56" t="s">
        <v>207</v>
      </c>
      <c r="D19" s="57" t="s">
        <v>44</v>
      </c>
      <c r="E19" s="57" t="s">
        <v>245</v>
      </c>
      <c r="F19" s="55" t="s">
        <v>246</v>
      </c>
      <c r="G19" s="55" t="s">
        <v>247</v>
      </c>
      <c r="H19" s="57" t="s">
        <v>211</v>
      </c>
      <c r="I19" s="58" t="n">
        <f aca="false">'P9-001'!$N$23</f>
        <v>46328</v>
      </c>
      <c r="J19" s="58" t="n">
        <f aca="false">'P9-001'!$O$23</f>
        <v>46328</v>
      </c>
      <c r="K19" s="56" t="str">
        <f aca="false">IF(OR(L19="Y",LEFT('P9-001'!$T$23,1)="D"),"",IF(AND(ISNUMBER(J19),J19&lt;ASOF),"⚠ เลยกำหนด",IF(AND(ISNUMBER(I19),I19&lt;=ASOF+14,J19&gt;=ASOF-7),"ช่วงนี้","")))</f>
        <v>ช่วงนี้</v>
      </c>
      <c r="L19" s="59"/>
      <c r="M19" s="60"/>
    </row>
    <row r="20" customFormat="false" ht="15" hidden="false" customHeight="false" outlineLevel="0" collapsed="false">
      <c r="A20" s="54" t="s">
        <v>42</v>
      </c>
      <c r="B20" s="55" t="s">
        <v>206</v>
      </c>
      <c r="C20" s="56" t="s">
        <v>207</v>
      </c>
      <c r="D20" s="57" t="s">
        <v>44</v>
      </c>
      <c r="E20" s="57" t="s">
        <v>248</v>
      </c>
      <c r="F20" s="55" t="s">
        <v>249</v>
      </c>
      <c r="G20" s="55" t="s">
        <v>250</v>
      </c>
      <c r="H20" s="57" t="s">
        <v>211</v>
      </c>
      <c r="I20" s="58" t="n">
        <f aca="false">'P9-001'!$N$24</f>
        <v>46328</v>
      </c>
      <c r="J20" s="58" t="n">
        <f aca="false">'P9-001'!$O$24</f>
        <v>46328</v>
      </c>
      <c r="K20" s="56" t="str">
        <f aca="false">IF(OR(L20="Y",LEFT('P9-001'!$T$24,1)="D"),"",IF(AND(ISNUMBER(J20),J20&lt;ASOF),"⚠ เลยกำหนด",IF(AND(ISNUMBER(I20),I20&lt;=ASOF+14,J20&gt;=ASOF-7),"ช่วงนี้","")))</f>
        <v>ช่วงนี้</v>
      </c>
      <c r="L20" s="59"/>
      <c r="M20" s="60"/>
    </row>
    <row r="21" customFormat="false" ht="15" hidden="false" customHeight="false" outlineLevel="0" collapsed="false">
      <c r="A21" s="54" t="s">
        <v>42</v>
      </c>
      <c r="B21" s="55" t="s">
        <v>206</v>
      </c>
      <c r="C21" s="56" t="s">
        <v>207</v>
      </c>
      <c r="D21" s="57" t="s">
        <v>44</v>
      </c>
      <c r="E21" s="57" t="s">
        <v>251</v>
      </c>
      <c r="F21" s="55" t="s">
        <v>252</v>
      </c>
      <c r="G21" s="55" t="s">
        <v>253</v>
      </c>
      <c r="H21" s="57" t="s">
        <v>211</v>
      </c>
      <c r="I21" s="58" t="n">
        <f aca="false">'P9-001'!$N$26</f>
        <v>46329</v>
      </c>
      <c r="J21" s="58" t="n">
        <f aca="false">'P9-001'!$O$26</f>
        <v>46329</v>
      </c>
      <c r="K21" s="56" t="str">
        <f aca="false">IF(OR(L21="Y",LEFT('P9-001'!$T$26,1)="D"),"",IF(AND(ISNUMBER(J21),J21&lt;ASOF),"⚠ เลยกำหนด",IF(AND(ISNUMBER(I21),I21&lt;=ASOF+14,J21&gt;=ASOF-7),"ช่วงนี้","")))</f>
        <v>ช่วงนี้</v>
      </c>
      <c r="L21" s="59"/>
      <c r="M21" s="60"/>
    </row>
    <row r="22" customFormat="false" ht="15" hidden="false" customHeight="false" outlineLevel="0" collapsed="false">
      <c r="A22" s="54" t="s">
        <v>42</v>
      </c>
      <c r="B22" s="55" t="s">
        <v>206</v>
      </c>
      <c r="C22" s="56" t="s">
        <v>207</v>
      </c>
      <c r="D22" s="57" t="s">
        <v>44</v>
      </c>
      <c r="E22" s="57" t="s">
        <v>254</v>
      </c>
      <c r="F22" s="55" t="s">
        <v>255</v>
      </c>
      <c r="G22" s="55" t="s">
        <v>256</v>
      </c>
      <c r="H22" s="57" t="s">
        <v>211</v>
      </c>
      <c r="I22" s="58" t="n">
        <f aca="false">'P9-001'!$N$27</f>
        <v>46329</v>
      </c>
      <c r="J22" s="58" t="n">
        <f aca="false">'P9-001'!$O$27</f>
        <v>46329</v>
      </c>
      <c r="K22" s="56" t="str">
        <f aca="false">IF(OR(L22="Y",LEFT('P9-001'!$T$27,1)="D"),"",IF(AND(ISNUMBER(J22),J22&lt;ASOF),"⚠ เลยกำหนด",IF(AND(ISNUMBER(I22),I22&lt;=ASOF+14,J22&gt;=ASOF-7),"ช่วงนี้","")))</f>
        <v>ช่วงนี้</v>
      </c>
      <c r="L22" s="59"/>
      <c r="M22" s="60"/>
    </row>
    <row r="23" customFormat="false" ht="15" hidden="false" customHeight="false" outlineLevel="0" collapsed="false">
      <c r="A23" s="54" t="s">
        <v>42</v>
      </c>
      <c r="B23" s="55" t="s">
        <v>206</v>
      </c>
      <c r="C23" s="56" t="s">
        <v>207</v>
      </c>
      <c r="D23" s="57" t="s">
        <v>44</v>
      </c>
      <c r="E23" s="57" t="s">
        <v>257</v>
      </c>
      <c r="F23" s="55" t="s">
        <v>258</v>
      </c>
      <c r="G23" s="55" t="s">
        <v>259</v>
      </c>
      <c r="H23" s="57" t="s">
        <v>211</v>
      </c>
      <c r="I23" s="58" t="n">
        <f aca="false">'P9-001'!$N$28</f>
        <v>46329</v>
      </c>
      <c r="J23" s="58" t="n">
        <f aca="false">'P9-001'!$O$28</f>
        <v>46329</v>
      </c>
      <c r="K23" s="56" t="str">
        <f aca="false">IF(OR(L23="Y",LEFT('P9-001'!$T$28,1)="D"),"",IF(AND(ISNUMBER(J23),J23&lt;ASOF),"⚠ เลยกำหนด",IF(AND(ISNUMBER(I23),I23&lt;=ASOF+14,J23&gt;=ASOF-7),"ช่วงนี้","")))</f>
        <v>ช่วงนี้</v>
      </c>
      <c r="L23" s="59"/>
      <c r="M23" s="60"/>
    </row>
    <row r="24" customFormat="false" ht="15" hidden="false" customHeight="false" outlineLevel="0" collapsed="false">
      <c r="A24" s="54" t="s">
        <v>42</v>
      </c>
      <c r="B24" s="55" t="s">
        <v>206</v>
      </c>
      <c r="C24" s="56" t="s">
        <v>207</v>
      </c>
      <c r="D24" s="57" t="s">
        <v>44</v>
      </c>
      <c r="E24" s="57" t="s">
        <v>260</v>
      </c>
      <c r="F24" s="55" t="s">
        <v>261</v>
      </c>
      <c r="G24" s="55" t="s">
        <v>262</v>
      </c>
      <c r="H24" s="57" t="s">
        <v>211</v>
      </c>
      <c r="I24" s="58" t="n">
        <f aca="false">'P9-001'!$N$31</f>
        <v>46328</v>
      </c>
      <c r="J24" s="58" t="n">
        <f aca="false">'P9-001'!$O$31</f>
        <v>46328</v>
      </c>
      <c r="K24" s="56" t="str">
        <f aca="false">IF(OR(L24="Y",LEFT('P9-001'!$T$31,1)="D"),"",IF(AND(ISNUMBER(J24),J24&lt;ASOF),"⚠ เลยกำหนด",IF(AND(ISNUMBER(I24),I24&lt;=ASOF+14,J24&gt;=ASOF-7),"ช่วงนี้","")))</f>
        <v>ช่วงนี้</v>
      </c>
      <c r="L24" s="59"/>
      <c r="M24" s="60"/>
    </row>
    <row r="25" customFormat="false" ht="15" hidden="false" customHeight="false" outlineLevel="0" collapsed="false">
      <c r="A25" s="54" t="s">
        <v>42</v>
      </c>
      <c r="B25" s="55" t="s">
        <v>206</v>
      </c>
      <c r="C25" s="56" t="s">
        <v>207</v>
      </c>
      <c r="D25" s="57" t="s">
        <v>44</v>
      </c>
      <c r="E25" s="57" t="s">
        <v>263</v>
      </c>
      <c r="F25" s="55" t="s">
        <v>264</v>
      </c>
      <c r="G25" s="55" t="s">
        <v>265</v>
      </c>
      <c r="H25" s="57" t="s">
        <v>211</v>
      </c>
      <c r="I25" s="58" t="n">
        <f aca="false">'P9-001'!$N$32</f>
        <v>46328</v>
      </c>
      <c r="J25" s="58" t="n">
        <f aca="false">'P9-001'!$O$32</f>
        <v>46328</v>
      </c>
      <c r="K25" s="56" t="str">
        <f aca="false">IF(OR(L25="Y",LEFT('P9-001'!$T$32,1)="D"),"",IF(AND(ISNUMBER(J25),J25&lt;ASOF),"⚠ เลยกำหนด",IF(AND(ISNUMBER(I25),I25&lt;=ASOF+14,J25&gt;=ASOF-7),"ช่วงนี้","")))</f>
        <v>ช่วงนี้</v>
      </c>
      <c r="L25" s="59"/>
      <c r="M25" s="60"/>
    </row>
    <row r="26" customFormat="false" ht="15" hidden="false" customHeight="false" outlineLevel="0" collapsed="false">
      <c r="A26" s="54" t="s">
        <v>42</v>
      </c>
      <c r="B26" s="55" t="s">
        <v>206</v>
      </c>
      <c r="C26" s="56" t="s">
        <v>207</v>
      </c>
      <c r="D26" s="57" t="s">
        <v>44</v>
      </c>
      <c r="E26" s="57" t="s">
        <v>266</v>
      </c>
      <c r="F26" s="55" t="s">
        <v>267</v>
      </c>
      <c r="G26" s="55" t="s">
        <v>268</v>
      </c>
      <c r="H26" s="57" t="s">
        <v>211</v>
      </c>
      <c r="I26" s="58" t="n">
        <f aca="false">'P9-001'!$N$33</f>
        <v>46328</v>
      </c>
      <c r="J26" s="58" t="n">
        <f aca="false">'P9-001'!$O$33</f>
        <v>46328</v>
      </c>
      <c r="K26" s="56" t="str">
        <f aca="false">IF(OR(L26="Y",LEFT('P9-001'!$T$33,1)="D"),"",IF(AND(ISNUMBER(J26),J26&lt;ASOF),"⚠ เลยกำหนด",IF(AND(ISNUMBER(I26),I26&lt;=ASOF+14,J26&gt;=ASOF-7),"ช่วงนี้","")))</f>
        <v>ช่วงนี้</v>
      </c>
      <c r="L26" s="59"/>
      <c r="M26" s="60"/>
    </row>
    <row r="27" customFormat="false" ht="15" hidden="false" customHeight="false" outlineLevel="0" collapsed="false">
      <c r="A27" s="54" t="s">
        <v>42</v>
      </c>
      <c r="B27" s="55" t="s">
        <v>206</v>
      </c>
      <c r="C27" s="56" t="s">
        <v>207</v>
      </c>
      <c r="D27" s="57" t="s">
        <v>44</v>
      </c>
      <c r="E27" s="57" t="s">
        <v>269</v>
      </c>
      <c r="F27" s="61" t="s">
        <v>270</v>
      </c>
      <c r="G27" s="61" t="s">
        <v>271</v>
      </c>
      <c r="H27" s="57" t="s">
        <v>211</v>
      </c>
      <c r="I27" s="58" t="n">
        <f aca="false">'P9-001'!$N$35</f>
        <v>46328</v>
      </c>
      <c r="J27" s="58" t="n">
        <f aca="false">'P9-001'!$O$35</f>
        <v>46328</v>
      </c>
      <c r="K27" s="56" t="str">
        <f aca="false">IF(OR(L27="Y",LEFT('P9-001'!$T$35,1)="D"),"",IF(AND(ISNUMBER(J27),J27&lt;ASOF),"⚠ เลยกำหนด",IF(AND(ISNUMBER(I27),I27&lt;=ASOF+14,J27&gt;=ASOF-7),"ช่วงนี้","")))</f>
        <v>ช่วงนี้</v>
      </c>
      <c r="L27" s="59"/>
      <c r="M27" s="60"/>
    </row>
    <row r="28" customFormat="false" ht="15" hidden="false" customHeight="false" outlineLevel="0" collapsed="false">
      <c r="A28" s="54" t="s">
        <v>42</v>
      </c>
      <c r="B28" s="55" t="s">
        <v>206</v>
      </c>
      <c r="C28" s="56" t="s">
        <v>207</v>
      </c>
      <c r="D28" s="57" t="s">
        <v>44</v>
      </c>
      <c r="E28" s="57" t="s">
        <v>272</v>
      </c>
      <c r="F28" s="55" t="s">
        <v>273</v>
      </c>
      <c r="G28" s="55" t="s">
        <v>274</v>
      </c>
      <c r="H28" s="57" t="s">
        <v>211</v>
      </c>
      <c r="I28" s="58" t="n">
        <f aca="false">'P9-001'!$N$36</f>
        <v>46328</v>
      </c>
      <c r="J28" s="58" t="n">
        <f aca="false">'P9-001'!$O$36</f>
        <v>46328</v>
      </c>
      <c r="K28" s="56" t="str">
        <f aca="false">IF(OR(L28="Y",LEFT('P9-001'!$T$36,1)="D"),"",IF(AND(ISNUMBER(J28),J28&lt;ASOF),"⚠ เลยกำหนด",IF(AND(ISNUMBER(I28),I28&lt;=ASOF+14,J28&gt;=ASOF-7),"ช่วงนี้","")))</f>
        <v>ช่วงนี้</v>
      </c>
      <c r="L28" s="59"/>
      <c r="M28" s="60"/>
    </row>
    <row r="29" customFormat="false" ht="15" hidden="false" customHeight="false" outlineLevel="0" collapsed="false">
      <c r="A29" s="54" t="s">
        <v>42</v>
      </c>
      <c r="B29" s="55" t="s">
        <v>206</v>
      </c>
      <c r="C29" s="56" t="s">
        <v>207</v>
      </c>
      <c r="D29" s="57" t="s">
        <v>44</v>
      </c>
      <c r="E29" s="57" t="s">
        <v>275</v>
      </c>
      <c r="F29" s="55" t="s">
        <v>276</v>
      </c>
      <c r="G29" s="55" t="s">
        <v>277</v>
      </c>
      <c r="H29" s="57" t="s">
        <v>211</v>
      </c>
      <c r="I29" s="58" t="n">
        <f aca="false">'P9-001'!$N$37</f>
        <v>46328</v>
      </c>
      <c r="J29" s="58" t="n">
        <f aca="false">'P9-001'!$O$37</f>
        <v>46328</v>
      </c>
      <c r="K29" s="56" t="str">
        <f aca="false">IF(OR(L29="Y",LEFT('P9-001'!$T$37,1)="D"),"",IF(AND(ISNUMBER(J29),J29&lt;ASOF),"⚠ เลยกำหนด",IF(AND(ISNUMBER(I29),I29&lt;=ASOF+14,J29&gt;=ASOF-7),"ช่วงนี้","")))</f>
        <v>ช่วงนี้</v>
      </c>
      <c r="L29" s="59"/>
      <c r="M29" s="60"/>
    </row>
    <row r="30" customFormat="false" ht="15" hidden="false" customHeight="false" outlineLevel="0" collapsed="false">
      <c r="A30" s="54" t="s">
        <v>42</v>
      </c>
      <c r="B30" s="55" t="s">
        <v>206</v>
      </c>
      <c r="C30" s="56" t="s">
        <v>207</v>
      </c>
      <c r="D30" s="57" t="s">
        <v>44</v>
      </c>
      <c r="E30" s="57" t="s">
        <v>278</v>
      </c>
      <c r="F30" s="55" t="s">
        <v>279</v>
      </c>
      <c r="G30" s="55" t="s">
        <v>280</v>
      </c>
      <c r="H30" s="57" t="s">
        <v>211</v>
      </c>
      <c r="I30" s="58" t="n">
        <f aca="false">'P9-001'!$N$38</f>
        <v>46328</v>
      </c>
      <c r="J30" s="58" t="n">
        <f aca="false">'P9-001'!$O$38</f>
        <v>46328</v>
      </c>
      <c r="K30" s="56" t="str">
        <f aca="false">IF(OR(L30="Y",LEFT('P9-001'!$T$38,1)="D"),"",IF(AND(ISNUMBER(J30),J30&lt;ASOF),"⚠ เลยกำหนด",IF(AND(ISNUMBER(I30),I30&lt;=ASOF+14,J30&gt;=ASOF-7),"ช่วงนี้","")))</f>
        <v>ช่วงนี้</v>
      </c>
      <c r="L30" s="59"/>
      <c r="M30" s="60"/>
    </row>
    <row r="31" customFormat="false" ht="15" hidden="false" customHeight="false" outlineLevel="0" collapsed="false">
      <c r="A31" s="54" t="s">
        <v>42</v>
      </c>
      <c r="B31" s="55" t="s">
        <v>206</v>
      </c>
      <c r="C31" s="56" t="s">
        <v>207</v>
      </c>
      <c r="D31" s="57" t="s">
        <v>44</v>
      </c>
      <c r="E31" s="57" t="s">
        <v>281</v>
      </c>
      <c r="F31" s="55" t="s">
        <v>282</v>
      </c>
      <c r="G31" s="55" t="s">
        <v>283</v>
      </c>
      <c r="H31" s="57" t="s">
        <v>211</v>
      </c>
      <c r="I31" s="58" t="n">
        <f aca="false">'P9-001'!$N$40</f>
        <v>46328</v>
      </c>
      <c r="J31" s="58" t="n">
        <f aca="false">'P9-001'!$O$40</f>
        <v>46328</v>
      </c>
      <c r="K31" s="56" t="str">
        <f aca="false">IF(OR(L31="Y",LEFT('P9-001'!$T$40,1)="D"),"",IF(AND(ISNUMBER(J31),J31&lt;ASOF),"⚠ เลยกำหนด",IF(AND(ISNUMBER(I31),I31&lt;=ASOF+14,J31&gt;=ASOF-7),"ช่วงนี้","")))</f>
        <v>ช่วงนี้</v>
      </c>
      <c r="L31" s="59"/>
      <c r="M31" s="60"/>
    </row>
    <row r="32" customFormat="false" ht="15" hidden="false" customHeight="false" outlineLevel="0" collapsed="false">
      <c r="A32" s="54" t="s">
        <v>42</v>
      </c>
      <c r="B32" s="55" t="s">
        <v>206</v>
      </c>
      <c r="C32" s="56" t="s">
        <v>207</v>
      </c>
      <c r="D32" s="57" t="s">
        <v>44</v>
      </c>
      <c r="E32" s="57" t="s">
        <v>284</v>
      </c>
      <c r="F32" s="55" t="s">
        <v>285</v>
      </c>
      <c r="G32" s="61" t="s">
        <v>286</v>
      </c>
      <c r="H32" s="57" t="s">
        <v>211</v>
      </c>
      <c r="I32" s="58" t="n">
        <f aca="false">'P9-001'!$N$41</f>
        <v>46328</v>
      </c>
      <c r="J32" s="58" t="n">
        <f aca="false">'P9-001'!$O$41</f>
        <v>46328</v>
      </c>
      <c r="K32" s="56" t="str">
        <f aca="false">IF(OR(L32="Y",LEFT('P9-001'!$T$41,1)="D"),"",IF(AND(ISNUMBER(J32),J32&lt;ASOF),"⚠ เลยกำหนด",IF(AND(ISNUMBER(I32),I32&lt;=ASOF+14,J32&gt;=ASOF-7),"ช่วงนี้","")))</f>
        <v>ช่วงนี้</v>
      </c>
      <c r="L32" s="59"/>
      <c r="M32" s="60"/>
    </row>
    <row r="33" customFormat="false" ht="15" hidden="false" customHeight="false" outlineLevel="0" collapsed="false">
      <c r="A33" s="54" t="s">
        <v>42</v>
      </c>
      <c r="B33" s="55" t="s">
        <v>206</v>
      </c>
      <c r="C33" s="56" t="s">
        <v>207</v>
      </c>
      <c r="D33" s="57" t="s">
        <v>44</v>
      </c>
      <c r="E33" s="57" t="s">
        <v>287</v>
      </c>
      <c r="F33" s="55" t="s">
        <v>288</v>
      </c>
      <c r="G33" s="61" t="s">
        <v>289</v>
      </c>
      <c r="H33" s="57" t="s">
        <v>211</v>
      </c>
      <c r="I33" s="58" t="n">
        <f aca="false">'P9-001'!$N$42</f>
        <v>46328</v>
      </c>
      <c r="J33" s="58" t="n">
        <f aca="false">'P9-001'!$O$42</f>
        <v>46328</v>
      </c>
      <c r="K33" s="56" t="str">
        <f aca="false">IF(OR(L33="Y",LEFT('P9-001'!$T$42,1)="D"),"",IF(AND(ISNUMBER(J33),J33&lt;ASOF),"⚠ เลยกำหนด",IF(AND(ISNUMBER(I33),I33&lt;=ASOF+14,J33&gt;=ASOF-7),"ช่วงนี้","")))</f>
        <v>ช่วงนี้</v>
      </c>
      <c r="L33" s="59"/>
      <c r="M33" s="60"/>
    </row>
    <row r="34" customFormat="false" ht="15" hidden="false" customHeight="false" outlineLevel="0" collapsed="false">
      <c r="A34" s="54" t="s">
        <v>42</v>
      </c>
      <c r="B34" s="55" t="s">
        <v>206</v>
      </c>
      <c r="C34" s="56" t="s">
        <v>207</v>
      </c>
      <c r="D34" s="57" t="s">
        <v>44</v>
      </c>
      <c r="E34" s="57" t="s">
        <v>290</v>
      </c>
      <c r="F34" s="55" t="s">
        <v>291</v>
      </c>
      <c r="G34" s="55" t="s">
        <v>292</v>
      </c>
      <c r="H34" s="57" t="s">
        <v>211</v>
      </c>
      <c r="I34" s="58" t="n">
        <f aca="false">'P9-001'!$N$44</f>
        <v>46328</v>
      </c>
      <c r="J34" s="58" t="n">
        <f aca="false">'P9-001'!$O$44</f>
        <v>46328</v>
      </c>
      <c r="K34" s="56" t="str">
        <f aca="false">IF(OR(L34="Y",LEFT('P9-001'!$T$44,1)="D"),"",IF(AND(ISNUMBER(J34),J34&lt;ASOF),"⚠ เลยกำหนด",IF(AND(ISNUMBER(I34),I34&lt;=ASOF+14,J34&gt;=ASOF-7),"ช่วงนี้","")))</f>
        <v>ช่วงนี้</v>
      </c>
      <c r="L34" s="59"/>
      <c r="M34" s="60"/>
    </row>
    <row r="35" customFormat="false" ht="15" hidden="false" customHeight="false" outlineLevel="0" collapsed="false">
      <c r="A35" s="54" t="s">
        <v>42</v>
      </c>
      <c r="B35" s="55" t="s">
        <v>206</v>
      </c>
      <c r="C35" s="56" t="s">
        <v>207</v>
      </c>
      <c r="D35" s="57" t="s">
        <v>44</v>
      </c>
      <c r="E35" s="57" t="s">
        <v>293</v>
      </c>
      <c r="F35" s="55" t="s">
        <v>294</v>
      </c>
      <c r="G35" s="55" t="s">
        <v>295</v>
      </c>
      <c r="H35" s="57" t="s">
        <v>211</v>
      </c>
      <c r="I35" s="58" t="n">
        <f aca="false">'P9-001'!$N$45</f>
        <v>46328</v>
      </c>
      <c r="J35" s="58" t="n">
        <f aca="false">'P9-001'!$O$45</f>
        <v>46328</v>
      </c>
      <c r="K35" s="56" t="str">
        <f aca="false">IF(OR(L35="Y",LEFT('P9-001'!$T$45,1)="D"),"",IF(AND(ISNUMBER(J35),J35&lt;ASOF),"⚠ เลยกำหนด",IF(AND(ISNUMBER(I35),I35&lt;=ASOF+14,J35&gt;=ASOF-7),"ช่วงนี้","")))</f>
        <v>ช่วงนี้</v>
      </c>
      <c r="L35" s="59"/>
      <c r="M35" s="60"/>
    </row>
    <row r="36" customFormat="false" ht="15" hidden="false" customHeight="false" outlineLevel="0" collapsed="false">
      <c r="A36" s="54" t="s">
        <v>42</v>
      </c>
      <c r="B36" s="55" t="s">
        <v>206</v>
      </c>
      <c r="C36" s="56" t="s">
        <v>207</v>
      </c>
      <c r="D36" s="57" t="s">
        <v>44</v>
      </c>
      <c r="E36" s="57" t="s">
        <v>296</v>
      </c>
      <c r="F36" s="55" t="s">
        <v>297</v>
      </c>
      <c r="G36" s="55" t="s">
        <v>298</v>
      </c>
      <c r="H36" s="57" t="s">
        <v>211</v>
      </c>
      <c r="I36" s="58" t="n">
        <f aca="false">'P9-001'!$N$46</f>
        <v>46328</v>
      </c>
      <c r="J36" s="58" t="n">
        <f aca="false">'P9-001'!$O$46</f>
        <v>46328</v>
      </c>
      <c r="K36" s="56" t="str">
        <f aca="false">IF(OR(L36="Y",LEFT('P9-001'!$T$46,1)="D"),"",IF(AND(ISNUMBER(J36),J36&lt;ASOF),"⚠ เลยกำหนด",IF(AND(ISNUMBER(I36),I36&lt;=ASOF+14,J36&gt;=ASOF-7),"ช่วงนี้","")))</f>
        <v>ช่วงนี้</v>
      </c>
      <c r="L36" s="59"/>
      <c r="M36" s="60"/>
    </row>
    <row r="37" customFormat="false" ht="15" hidden="false" customHeight="false" outlineLevel="0" collapsed="false">
      <c r="A37" s="54" t="s">
        <v>42</v>
      </c>
      <c r="B37" s="55" t="s">
        <v>206</v>
      </c>
      <c r="C37" s="56" t="s">
        <v>207</v>
      </c>
      <c r="D37" s="57" t="s">
        <v>44</v>
      </c>
      <c r="E37" s="57" t="s">
        <v>299</v>
      </c>
      <c r="F37" s="55" t="s">
        <v>300</v>
      </c>
      <c r="G37" s="55" t="s">
        <v>301</v>
      </c>
      <c r="H37" s="57" t="s">
        <v>211</v>
      </c>
      <c r="I37" s="58" t="str">
        <f aca="false">'P9-001'!$N$53</f>
        <v/>
      </c>
      <c r="J37" s="58" t="str">
        <f aca="false">'P9-001'!$O$53</f>
        <v/>
      </c>
      <c r="K37" s="56" t="str">
        <f aca="false">IF(OR(L37="Y",LEFT('P9-001'!$T$53,1)="D"),"",IF(AND(ISNUMBER(J37),J37&lt;ASOF),"⚠ เลยกำหนด",IF(AND(ISNUMBER(I37),I37&lt;=ASOF+14,J37&gt;=ASOF-7),"ช่วงนี้","")))</f>
        <v/>
      </c>
      <c r="L37" s="59"/>
      <c r="M37" s="60"/>
    </row>
    <row r="38" customFormat="false" ht="15" hidden="false" customHeight="false" outlineLevel="0" collapsed="false">
      <c r="A38" s="54" t="s">
        <v>42</v>
      </c>
      <c r="B38" s="55" t="s">
        <v>206</v>
      </c>
      <c r="C38" s="56" t="s">
        <v>207</v>
      </c>
      <c r="D38" s="57" t="s">
        <v>44</v>
      </c>
      <c r="E38" s="57" t="s">
        <v>302</v>
      </c>
      <c r="F38" s="55" t="s">
        <v>303</v>
      </c>
      <c r="G38" s="55" t="s">
        <v>304</v>
      </c>
      <c r="H38" s="57" t="s">
        <v>211</v>
      </c>
      <c r="I38" s="58" t="str">
        <f aca="false">'P9-001'!$N$54</f>
        <v/>
      </c>
      <c r="J38" s="58" t="str">
        <f aca="false">'P9-001'!$O$54</f>
        <v/>
      </c>
      <c r="K38" s="56" t="str">
        <f aca="false">IF(OR(L38="Y",LEFT('P9-001'!$T$54,1)="D"),"",IF(AND(ISNUMBER(J38),J38&lt;ASOF),"⚠ เลยกำหนด",IF(AND(ISNUMBER(I38),I38&lt;=ASOF+14,J38&gt;=ASOF-7),"ช่วงนี้","")))</f>
        <v/>
      </c>
      <c r="L38" s="59"/>
      <c r="M38" s="60"/>
    </row>
    <row r="39" customFormat="false" ht="15" hidden="false" customHeight="false" outlineLevel="0" collapsed="false">
      <c r="A39" s="54" t="s">
        <v>42</v>
      </c>
      <c r="B39" s="55" t="s">
        <v>206</v>
      </c>
      <c r="C39" s="56" t="s">
        <v>207</v>
      </c>
      <c r="D39" s="57" t="s">
        <v>44</v>
      </c>
      <c r="E39" s="57" t="s">
        <v>305</v>
      </c>
      <c r="F39" s="55" t="s">
        <v>306</v>
      </c>
      <c r="G39" s="55" t="s">
        <v>307</v>
      </c>
      <c r="H39" s="56" t="str">
        <f aca="false">IF(COUNTIFS(SITE_ST,"P9-001",SITE_TYPE,"?*")&gt;0,"ตามจุดติดตั้ง →","0/100")</f>
        <v>ตามจุดติดตั้ง →</v>
      </c>
      <c r="I39" s="58" t="n">
        <f aca="false">'P9-001'!$N$63</f>
        <v>46328</v>
      </c>
      <c r="J39" s="58" t="n">
        <f aca="false">'P9-001'!$O$63</f>
        <v>46329</v>
      </c>
      <c r="K39" s="56" t="str">
        <f aca="false">IF(OR(L39="Y",LEFT('P9-001'!$T$63,1)="D"),"",IF(AND(ISNUMBER(J39),J39&lt;ASOF),"⚠ เลยกำหนด",IF(AND(ISNUMBER(I39),I39&lt;=ASOF+14,J39&gt;=ASOF-7),"ช่วงนี้","")))</f>
        <v>ช่วงนี้</v>
      </c>
      <c r="L39" s="59"/>
      <c r="M39" s="60"/>
    </row>
    <row r="40" customFormat="false" ht="15" hidden="false" customHeight="false" outlineLevel="0" collapsed="false">
      <c r="A40" s="54" t="s">
        <v>42</v>
      </c>
      <c r="B40" s="55" t="s">
        <v>206</v>
      </c>
      <c r="C40" s="56" t="s">
        <v>207</v>
      </c>
      <c r="D40" s="57" t="s">
        <v>44</v>
      </c>
      <c r="E40" s="57" t="s">
        <v>308</v>
      </c>
      <c r="F40" s="55" t="s">
        <v>309</v>
      </c>
      <c r="G40" s="55" t="s">
        <v>310</v>
      </c>
      <c r="H40" s="57" t="s">
        <v>211</v>
      </c>
      <c r="I40" s="58" t="n">
        <f aca="false">'P9-001'!$N$64</f>
        <v>46328</v>
      </c>
      <c r="J40" s="58" t="n">
        <f aca="false">'P9-001'!$O$64</f>
        <v>46331</v>
      </c>
      <c r="K40" s="56" t="str">
        <f aca="false">IF(OR(L40="Y",LEFT('P9-001'!$T$64,1)="D"),"",IF(AND(ISNUMBER(J40),J40&lt;ASOF),"⚠ เลยกำหนด",IF(AND(ISNUMBER(I40),I40&lt;=ASOF+14,J40&gt;=ASOF-7),"ช่วงนี้","")))</f>
        <v>ช่วงนี้</v>
      </c>
      <c r="L40" s="59"/>
      <c r="M40" s="60"/>
    </row>
    <row r="41" customFormat="false" ht="15" hidden="false" customHeight="false" outlineLevel="0" collapsed="false">
      <c r="A41" s="54" t="s">
        <v>42</v>
      </c>
      <c r="B41" s="55" t="s">
        <v>206</v>
      </c>
      <c r="C41" s="56" t="s">
        <v>207</v>
      </c>
      <c r="D41" s="57" t="s">
        <v>44</v>
      </c>
      <c r="E41" s="57" t="s">
        <v>311</v>
      </c>
      <c r="F41" s="55" t="s">
        <v>312</v>
      </c>
      <c r="G41" s="55" t="s">
        <v>313</v>
      </c>
      <c r="H41" s="56" t="str">
        <f aca="false">IF(COUNTIFS(SITE_ST,"P9-001",SITE_TYPE,"?*")&gt;0,"ตามจุดติดตั้ง →","50/50")</f>
        <v>ตามจุดติดตั้ง →</v>
      </c>
      <c r="I41" s="58" t="n">
        <f aca="false">'P9-001'!$N$65</f>
        <v>46329</v>
      </c>
      <c r="J41" s="58" t="n">
        <f aca="false">'P9-001'!$O$65</f>
        <v>46335</v>
      </c>
      <c r="K41" s="56" t="str">
        <f aca="false">IF(OR(L41="Y",LEFT('P9-001'!$T$65,1)="D"),"",IF(AND(ISNUMBER(J41),J41&lt;ASOF),"⚠ เลยกำหนด",IF(AND(ISNUMBER(I41),I41&lt;=ASOF+14,J41&gt;=ASOF-7),"ช่วงนี้","")))</f>
        <v>ช่วงนี้</v>
      </c>
      <c r="L41" s="59"/>
      <c r="M41" s="60"/>
    </row>
    <row r="42" customFormat="false" ht="15" hidden="false" customHeight="false" outlineLevel="0" collapsed="false">
      <c r="A42" s="54" t="s">
        <v>42</v>
      </c>
      <c r="B42" s="55" t="s">
        <v>206</v>
      </c>
      <c r="C42" s="56" t="s">
        <v>207</v>
      </c>
      <c r="D42" s="57" t="s">
        <v>44</v>
      </c>
      <c r="E42" s="57" t="s">
        <v>314</v>
      </c>
      <c r="F42" s="55" t="s">
        <v>315</v>
      </c>
      <c r="G42" s="61" t="s">
        <v>316</v>
      </c>
      <c r="H42" s="56" t="str">
        <f aca="false">IF(COUNTIFS(SITE_ST,"P9-001",SITE_TYPE,"?*")&gt;0,"ตามจุดติดตั้ง →","50/50")</f>
        <v>ตามจุดติดตั้ง →</v>
      </c>
      <c r="I42" s="58" t="n">
        <f aca="false">'P9-001'!$N$66</f>
        <v>46333</v>
      </c>
      <c r="J42" s="58" t="n">
        <f aca="false">'P9-001'!$O$66</f>
        <v>46339</v>
      </c>
      <c r="K42" s="56" t="str">
        <f aca="false">IF(OR(L42="Y",LEFT('P9-001'!$T$66,1)="D"),"",IF(AND(ISNUMBER(J42),J42&lt;ASOF),"⚠ เลยกำหนด",IF(AND(ISNUMBER(I42),I42&lt;=ASOF+14,J42&gt;=ASOF-7),"ช่วงนี้","")))</f>
        <v>ช่วงนี้</v>
      </c>
      <c r="L42" s="59"/>
      <c r="M42" s="60"/>
    </row>
    <row r="43" customFormat="false" ht="15" hidden="false" customHeight="false" outlineLevel="0" collapsed="false">
      <c r="A43" s="54" t="s">
        <v>42</v>
      </c>
      <c r="B43" s="55" t="s">
        <v>206</v>
      </c>
      <c r="C43" s="56" t="s">
        <v>207</v>
      </c>
      <c r="D43" s="57" t="s">
        <v>44</v>
      </c>
      <c r="E43" s="57" t="s">
        <v>317</v>
      </c>
      <c r="F43" s="61" t="s">
        <v>318</v>
      </c>
      <c r="G43" s="61" t="s">
        <v>319</v>
      </c>
      <c r="H43" s="56" t="str">
        <f aca="false">IF(COUNTIFS(SITE_ST,"P9-001",SITE_TYPE,"?*")&gt;0,"ตามจุดติดตั้ง →","50/50")</f>
        <v>ตามจุดติดตั้ง →</v>
      </c>
      <c r="I43" s="58" t="n">
        <f aca="false">'P9-001'!$N$67</f>
        <v>46336</v>
      </c>
      <c r="J43" s="58" t="n">
        <f aca="false">'P9-001'!$O$67</f>
        <v>46340</v>
      </c>
      <c r="K43" s="56" t="str">
        <f aca="false">IF(OR(L43="Y",LEFT('P9-001'!$T$67,1)="D"),"",IF(AND(ISNUMBER(J43),J43&lt;ASOF),"⚠ เลยกำหนด",IF(AND(ISNUMBER(I43),I43&lt;=ASOF+14,J43&gt;=ASOF-7),"ช่วงนี้","")))</f>
        <v>ช่วงนี้</v>
      </c>
      <c r="L43" s="59"/>
      <c r="M43" s="60"/>
    </row>
    <row r="44" customFormat="false" ht="15" hidden="false" customHeight="false" outlineLevel="0" collapsed="false">
      <c r="A44" s="54" t="s">
        <v>42</v>
      </c>
      <c r="B44" s="55" t="s">
        <v>206</v>
      </c>
      <c r="C44" s="56" t="s">
        <v>207</v>
      </c>
      <c r="D44" s="57" t="s">
        <v>44</v>
      </c>
      <c r="E44" s="57" t="s">
        <v>320</v>
      </c>
      <c r="F44" s="55" t="s">
        <v>321</v>
      </c>
      <c r="G44" s="55" t="s">
        <v>322</v>
      </c>
      <c r="H44" s="56" t="str">
        <f aca="false">IF(COUNTIFS(SITE_ST,"P9-001",SITE_TYPE,"?*")&gt;0,"ตามจุดติดตั้ง →","0/100")</f>
        <v>ตามจุดติดตั้ง →</v>
      </c>
      <c r="I44" s="58" t="n">
        <f aca="false">'P9-001'!$N$68</f>
        <v>46338</v>
      </c>
      <c r="J44" s="58" t="n">
        <f aca="false">'P9-001'!$O$68</f>
        <v>46341</v>
      </c>
      <c r="K44" s="56" t="str">
        <f aca="false">IF(OR(L44="Y",LEFT('P9-001'!$T$68,1)="D"),"",IF(AND(ISNUMBER(J44),J44&lt;ASOF),"⚠ เลยกำหนด",IF(AND(ISNUMBER(I44),I44&lt;=ASOF+14,J44&gt;=ASOF-7),"ช่วงนี้","")))</f>
        <v>ช่วงนี้</v>
      </c>
      <c r="L44" s="59"/>
      <c r="M44" s="60"/>
    </row>
    <row r="45" customFormat="false" ht="15" hidden="false" customHeight="false" outlineLevel="0" collapsed="false">
      <c r="A45" s="54" t="s">
        <v>42</v>
      </c>
      <c r="B45" s="55" t="s">
        <v>206</v>
      </c>
      <c r="C45" s="56" t="s">
        <v>207</v>
      </c>
      <c r="D45" s="57" t="s">
        <v>44</v>
      </c>
      <c r="E45" s="57" t="s">
        <v>323</v>
      </c>
      <c r="F45" s="61" t="s">
        <v>324</v>
      </c>
      <c r="G45" s="55" t="s">
        <v>325</v>
      </c>
      <c r="H45" s="56" t="str">
        <f aca="false">IF(COUNTIFS(SITE_ST,"P9-001",SITE_TYPE,"?*")&gt;0,"ตามจุดติดตั้ง →","0/100")</f>
        <v>ตามจุดติดตั้ง →</v>
      </c>
      <c r="I45" s="58" t="n">
        <f aca="false">'P9-001'!$N$69</f>
        <v>46340</v>
      </c>
      <c r="J45" s="58" t="n">
        <f aca="false">'P9-001'!$O$69</f>
        <v>46341</v>
      </c>
      <c r="K45" s="56" t="str">
        <f aca="false">IF(OR(L45="Y",LEFT('P9-001'!$T$69,1)="D"),"",IF(AND(ISNUMBER(J45),J45&lt;ASOF),"⚠ เลยกำหนด",IF(AND(ISNUMBER(I45),I45&lt;=ASOF+14,J45&gt;=ASOF-7),"ช่วงนี้","")))</f>
        <v>ช่วงนี้</v>
      </c>
      <c r="L45" s="59"/>
      <c r="M45" s="60"/>
    </row>
    <row r="46" customFormat="false" ht="15" hidden="false" customHeight="false" outlineLevel="0" collapsed="false">
      <c r="A46" s="54" t="s">
        <v>42</v>
      </c>
      <c r="B46" s="55" t="s">
        <v>206</v>
      </c>
      <c r="C46" s="56" t="s">
        <v>207</v>
      </c>
      <c r="D46" s="57" t="s">
        <v>44</v>
      </c>
      <c r="E46" s="57" t="s">
        <v>326</v>
      </c>
      <c r="F46" s="55" t="s">
        <v>327</v>
      </c>
      <c r="G46" s="61" t="s">
        <v>328</v>
      </c>
      <c r="H46" s="56" t="str">
        <f aca="false">IF(COUNTIFS(SITE_ST,"P9-001",SITE_TYPE,"?*")&gt;0,"ตามจุดติดตั้ง →","50/50")</f>
        <v>ตามจุดติดตั้ง →</v>
      </c>
      <c r="I46" s="58" t="n">
        <f aca="false">'P9-001'!$N$71</f>
        <v>46343</v>
      </c>
      <c r="J46" s="58" t="n">
        <f aca="false">'P9-001'!$O$71</f>
        <v>46344</v>
      </c>
      <c r="K46" s="56" t="str">
        <f aca="false">IF(OR(L46="Y",LEFT('P9-001'!$T$71,1)="D"),"",IF(AND(ISNUMBER(J46),J46&lt;ASOF),"⚠ เลยกำหนด",IF(AND(ISNUMBER(I46),I46&lt;=ASOF+14,J46&gt;=ASOF-7),"ช่วงนี้","")))</f>
        <v/>
      </c>
      <c r="L46" s="59"/>
      <c r="M46" s="60"/>
    </row>
    <row r="47" customFormat="false" ht="15" hidden="false" customHeight="false" outlineLevel="0" collapsed="false">
      <c r="A47" s="54" t="s">
        <v>42</v>
      </c>
      <c r="B47" s="55" t="s">
        <v>206</v>
      </c>
      <c r="C47" s="56" t="s">
        <v>207</v>
      </c>
      <c r="D47" s="57" t="s">
        <v>44</v>
      </c>
      <c r="E47" s="57" t="s">
        <v>329</v>
      </c>
      <c r="F47" s="55" t="s">
        <v>330</v>
      </c>
      <c r="G47" s="55" t="s">
        <v>331</v>
      </c>
      <c r="H47" s="56" t="str">
        <f aca="false">IF(COUNTIFS(SITE_ST,"P9-001",SITE_TYPE,"?*")&gt;0,"ตามจุดติดตั้ง →","50/50")</f>
        <v>ตามจุดติดตั้ง →</v>
      </c>
      <c r="I47" s="58" t="n">
        <f aca="false">'P9-001'!$N$72</f>
        <v>46344</v>
      </c>
      <c r="J47" s="58" t="n">
        <f aca="false">'P9-001'!$O$72</f>
        <v>46345</v>
      </c>
      <c r="K47" s="56" t="str">
        <f aca="false">IF(OR(L47="Y",LEFT('P9-001'!$T$72,1)="D"),"",IF(AND(ISNUMBER(J47),J47&lt;ASOF),"⚠ เลยกำหนด",IF(AND(ISNUMBER(I47),I47&lt;=ASOF+14,J47&gt;=ASOF-7),"ช่วงนี้","")))</f>
        <v/>
      </c>
      <c r="L47" s="59"/>
      <c r="M47" s="60"/>
    </row>
    <row r="48" customFormat="false" ht="15" hidden="false" customHeight="false" outlineLevel="0" collapsed="false">
      <c r="A48" s="54" t="s">
        <v>42</v>
      </c>
      <c r="B48" s="55" t="s">
        <v>206</v>
      </c>
      <c r="C48" s="56" t="s">
        <v>207</v>
      </c>
      <c r="D48" s="57" t="s">
        <v>44</v>
      </c>
      <c r="E48" s="57" t="s">
        <v>332</v>
      </c>
      <c r="F48" s="55" t="s">
        <v>333</v>
      </c>
      <c r="G48" s="55" t="s">
        <v>334</v>
      </c>
      <c r="H48" s="56" t="str">
        <f aca="false">IF(COUNTIFS(SITE_ST,"P9-001",SITE_TYPE,"?*")&gt;0,"ตามจุดติดตั้ง →","0/100")</f>
        <v>ตามจุดติดตั้ง →</v>
      </c>
      <c r="I48" s="58" t="n">
        <f aca="false">'P9-001'!$N$73</f>
        <v>46344</v>
      </c>
      <c r="J48" s="58" t="n">
        <f aca="false">'P9-001'!$O$73</f>
        <v>46345</v>
      </c>
      <c r="K48" s="56" t="str">
        <f aca="false">IF(OR(L48="Y",LEFT('P9-001'!$T$73,1)="D"),"",IF(AND(ISNUMBER(J48),J48&lt;ASOF),"⚠ เลยกำหนด",IF(AND(ISNUMBER(I48),I48&lt;=ASOF+14,J48&gt;=ASOF-7),"ช่วงนี้","")))</f>
        <v/>
      </c>
      <c r="L48" s="59"/>
      <c r="M48" s="60"/>
    </row>
    <row r="49" customFormat="false" ht="15" hidden="false" customHeight="false" outlineLevel="0" collapsed="false">
      <c r="A49" s="54" t="s">
        <v>42</v>
      </c>
      <c r="B49" s="55" t="s">
        <v>206</v>
      </c>
      <c r="C49" s="56" t="s">
        <v>207</v>
      </c>
      <c r="D49" s="57" t="s">
        <v>44</v>
      </c>
      <c r="E49" s="57" t="s">
        <v>335</v>
      </c>
      <c r="F49" s="55" t="s">
        <v>336</v>
      </c>
      <c r="G49" s="61" t="s">
        <v>337</v>
      </c>
      <c r="H49" s="56" t="str">
        <f aca="false">IF(COUNTIFS(SITE_ST,"P9-001",SITE_TYPE,"?*")&gt;0,"ตามจุดติดตั้ง →","0/100")</f>
        <v>ตามจุดติดตั้ง →</v>
      </c>
      <c r="I49" s="58" t="n">
        <f aca="false">'P9-001'!$N$74</f>
        <v>46345</v>
      </c>
      <c r="J49" s="58" t="n">
        <f aca="false">'P9-001'!$O$74</f>
        <v>46346</v>
      </c>
      <c r="K49" s="56" t="str">
        <f aca="false">IF(OR(L49="Y",LEFT('P9-001'!$T$74,1)="D"),"",IF(AND(ISNUMBER(J49),J49&lt;ASOF),"⚠ เลยกำหนด",IF(AND(ISNUMBER(I49),I49&lt;=ASOF+14,J49&gt;=ASOF-7),"ช่วงนี้","")))</f>
        <v/>
      </c>
      <c r="L49" s="59"/>
      <c r="M49" s="60"/>
    </row>
    <row r="50" customFormat="false" ht="15" hidden="false" customHeight="false" outlineLevel="0" collapsed="false">
      <c r="A50" s="54" t="s">
        <v>42</v>
      </c>
      <c r="B50" s="55" t="s">
        <v>206</v>
      </c>
      <c r="C50" s="56" t="s">
        <v>207</v>
      </c>
      <c r="D50" s="57" t="s">
        <v>44</v>
      </c>
      <c r="E50" s="57" t="s">
        <v>338</v>
      </c>
      <c r="F50" s="61" t="s">
        <v>339</v>
      </c>
      <c r="G50" s="55" t="s">
        <v>340</v>
      </c>
      <c r="H50" s="56" t="str">
        <f aca="false">IF(COUNTIFS(SITE_ST,"P9-001",SITE_TYPE,"?*")&gt;0,"ตามจุดติดตั้ง →","0/100")</f>
        <v>ตามจุดติดตั้ง →</v>
      </c>
      <c r="I50" s="58" t="n">
        <f aca="false">'P9-001'!$N$75</f>
        <v>46345</v>
      </c>
      <c r="J50" s="58" t="n">
        <f aca="false">'P9-001'!$O$75</f>
        <v>46346</v>
      </c>
      <c r="K50" s="56" t="str">
        <f aca="false">IF(OR(L50="Y",LEFT('P9-001'!$T$75,1)="D"),"",IF(AND(ISNUMBER(J50),J50&lt;ASOF),"⚠ เลยกำหนด",IF(AND(ISNUMBER(I50),I50&lt;=ASOF+14,J50&gt;=ASOF-7),"ช่วงนี้","")))</f>
        <v/>
      </c>
      <c r="L50" s="59"/>
      <c r="M50" s="60"/>
    </row>
    <row r="51" customFormat="false" ht="15" hidden="false" customHeight="false" outlineLevel="0" collapsed="false">
      <c r="A51" s="54" t="s">
        <v>42</v>
      </c>
      <c r="B51" s="55" t="s">
        <v>206</v>
      </c>
      <c r="C51" s="56" t="s">
        <v>207</v>
      </c>
      <c r="D51" s="57" t="s">
        <v>44</v>
      </c>
      <c r="E51" s="57" t="s">
        <v>341</v>
      </c>
      <c r="F51" s="55" t="s">
        <v>342</v>
      </c>
      <c r="G51" s="55" t="s">
        <v>343</v>
      </c>
      <c r="H51" s="56" t="str">
        <f aca="false">IF(COUNTIFS(SITE_ST,"P9-001",SITE_TYPE,"?*")&gt;0,"ตามจุดติดตั้ง →","0/100")</f>
        <v>ตามจุดติดตั้ง →</v>
      </c>
      <c r="I51" s="58" t="n">
        <f aca="false">'P9-001'!$N$77</f>
        <v>46342</v>
      </c>
      <c r="J51" s="58" t="n">
        <f aca="false">'P9-001'!$O$77</f>
        <v>46344</v>
      </c>
      <c r="K51" s="56" t="str">
        <f aca="false">IF(OR(L51="Y",LEFT('P9-001'!$T$77,1)="D"),"",IF(AND(ISNUMBER(J51),J51&lt;ASOF),"⚠ เลยกำหนด",IF(AND(ISNUMBER(I51),I51&lt;=ASOF+14,J51&gt;=ASOF-7),"ช่วงนี้","")))</f>
        <v>ช่วงนี้</v>
      </c>
      <c r="L51" s="59"/>
      <c r="M51" s="60"/>
    </row>
    <row r="52" customFormat="false" ht="15" hidden="false" customHeight="false" outlineLevel="0" collapsed="false">
      <c r="A52" s="54" t="s">
        <v>42</v>
      </c>
      <c r="B52" s="55" t="s">
        <v>206</v>
      </c>
      <c r="C52" s="56" t="s">
        <v>207</v>
      </c>
      <c r="D52" s="57" t="s">
        <v>44</v>
      </c>
      <c r="E52" s="57" t="s">
        <v>344</v>
      </c>
      <c r="F52" s="55" t="s">
        <v>345</v>
      </c>
      <c r="G52" s="55" t="s">
        <v>346</v>
      </c>
      <c r="H52" s="56" t="str">
        <f aca="false">IF(COUNTIFS(SITE_ST,"P9-001",SITE_TYPE,"?*")&gt;0,"ตามจุดติดตั้ง →","50/50")</f>
        <v>ตามจุดติดตั้ง →</v>
      </c>
      <c r="I52" s="58" t="n">
        <f aca="false">'P9-001'!$N$78</f>
        <v>46343</v>
      </c>
      <c r="J52" s="58" t="n">
        <f aca="false">'P9-001'!$O$78</f>
        <v>46346</v>
      </c>
      <c r="K52" s="56" t="str">
        <f aca="false">IF(OR(L52="Y",LEFT('P9-001'!$T$78,1)="D"),"",IF(AND(ISNUMBER(J52),J52&lt;ASOF),"⚠ เลยกำหนด",IF(AND(ISNUMBER(I52),I52&lt;=ASOF+14,J52&gt;=ASOF-7),"ช่วงนี้","")))</f>
        <v/>
      </c>
      <c r="L52" s="59"/>
      <c r="M52" s="60"/>
    </row>
    <row r="53" customFormat="false" ht="15" hidden="false" customHeight="false" outlineLevel="0" collapsed="false">
      <c r="A53" s="54" t="s">
        <v>42</v>
      </c>
      <c r="B53" s="55" t="s">
        <v>206</v>
      </c>
      <c r="C53" s="56" t="s">
        <v>207</v>
      </c>
      <c r="D53" s="57" t="s">
        <v>44</v>
      </c>
      <c r="E53" s="57" t="s">
        <v>347</v>
      </c>
      <c r="F53" s="61" t="s">
        <v>348</v>
      </c>
      <c r="G53" s="55" t="s">
        <v>349</v>
      </c>
      <c r="H53" s="56" t="str">
        <f aca="false">IF(COUNTIFS(SITE_ST,"P9-001",SITE_TYPE,"?*")&gt;0,"ตามจุดติดตั้ง →","50/50")</f>
        <v>ตามจุดติดตั้ง →</v>
      </c>
      <c r="I53" s="58" t="n">
        <f aca="false">'P9-001'!$N$79</f>
        <v>46344</v>
      </c>
      <c r="J53" s="58" t="n">
        <f aca="false">'P9-001'!$O$79</f>
        <v>46347</v>
      </c>
      <c r="K53" s="56" t="str">
        <f aca="false">IF(OR(L53="Y",LEFT('P9-001'!$T$79,1)="D"),"",IF(AND(ISNUMBER(J53),J53&lt;ASOF),"⚠ เลยกำหนด",IF(AND(ISNUMBER(I53),I53&lt;=ASOF+14,J53&gt;=ASOF-7),"ช่วงนี้","")))</f>
        <v/>
      </c>
      <c r="L53" s="59"/>
      <c r="M53" s="60"/>
    </row>
    <row r="54" customFormat="false" ht="15" hidden="false" customHeight="false" outlineLevel="0" collapsed="false">
      <c r="A54" s="54" t="s">
        <v>42</v>
      </c>
      <c r="B54" s="55" t="s">
        <v>206</v>
      </c>
      <c r="C54" s="56" t="s">
        <v>207</v>
      </c>
      <c r="D54" s="57" t="s">
        <v>44</v>
      </c>
      <c r="E54" s="57" t="s">
        <v>350</v>
      </c>
      <c r="F54" s="61" t="s">
        <v>351</v>
      </c>
      <c r="G54" s="55" t="s">
        <v>352</v>
      </c>
      <c r="H54" s="56" t="str">
        <f aca="false">IF(COUNTIFS(SITE_ST,"P9-001",SITE_TYPE,"?*")&gt;0,"ตามจุดติดตั้ง →","0/100")</f>
        <v>ตามจุดติดตั้ง →</v>
      </c>
      <c r="I54" s="58" t="n">
        <f aca="false">'P9-001'!$N$80</f>
        <v>46346</v>
      </c>
      <c r="J54" s="58" t="n">
        <f aca="false">'P9-001'!$O$80</f>
        <v>46347</v>
      </c>
      <c r="K54" s="56" t="str">
        <f aca="false">IF(OR(L54="Y",LEFT('P9-001'!$T$80,1)="D"),"",IF(AND(ISNUMBER(J54),J54&lt;ASOF),"⚠ เลยกำหนด",IF(AND(ISNUMBER(I54),I54&lt;=ASOF+14,J54&gt;=ASOF-7),"ช่วงนี้","")))</f>
        <v/>
      </c>
      <c r="L54" s="59"/>
      <c r="M54" s="60"/>
    </row>
    <row r="55" customFormat="false" ht="15" hidden="false" customHeight="false" outlineLevel="0" collapsed="false">
      <c r="A55" s="54" t="s">
        <v>42</v>
      </c>
      <c r="B55" s="55" t="s">
        <v>206</v>
      </c>
      <c r="C55" s="56" t="s">
        <v>207</v>
      </c>
      <c r="D55" s="57" t="s">
        <v>44</v>
      </c>
      <c r="E55" s="57" t="s">
        <v>353</v>
      </c>
      <c r="F55" s="61" t="s">
        <v>354</v>
      </c>
      <c r="G55" s="55" t="s">
        <v>355</v>
      </c>
      <c r="H55" s="56" t="str">
        <f aca="false">IF(COUNTIFS(SITE_ST,"P9-001",SITE_TYPE,"?*")&gt;0,"ตามจุดติดตั้ง →","0/100")</f>
        <v>ตามจุดติดตั้ง →</v>
      </c>
      <c r="I55" s="58" t="n">
        <f aca="false">'P9-001'!$N$81</f>
        <v>46347</v>
      </c>
      <c r="J55" s="58" t="n">
        <f aca="false">'P9-001'!$O$81</f>
        <v>46347</v>
      </c>
      <c r="K55" s="56" t="str">
        <f aca="false">IF(OR(L55="Y",LEFT('P9-001'!$T$81,1)="D"),"",IF(AND(ISNUMBER(J55),J55&lt;ASOF),"⚠ เลยกำหนด",IF(AND(ISNUMBER(I55),I55&lt;=ASOF+14,J55&gt;=ASOF-7),"ช่วงนี้","")))</f>
        <v/>
      </c>
      <c r="L55" s="59"/>
      <c r="M55" s="60"/>
    </row>
    <row r="56" customFormat="false" ht="15" hidden="false" customHeight="false" outlineLevel="0" collapsed="false">
      <c r="A56" s="54" t="s">
        <v>42</v>
      </c>
      <c r="B56" s="55" t="s">
        <v>206</v>
      </c>
      <c r="C56" s="56" t="s">
        <v>207</v>
      </c>
      <c r="D56" s="57" t="s">
        <v>44</v>
      </c>
      <c r="E56" s="57" t="s">
        <v>356</v>
      </c>
      <c r="F56" s="55" t="s">
        <v>357</v>
      </c>
      <c r="G56" s="55" t="s">
        <v>358</v>
      </c>
      <c r="H56" s="57" t="s">
        <v>211</v>
      </c>
      <c r="I56" s="58" t="n">
        <f aca="false">'P9-001'!$N$83</f>
        <v>46345</v>
      </c>
      <c r="J56" s="58" t="n">
        <f aca="false">'P9-001'!$O$83</f>
        <v>46346</v>
      </c>
      <c r="K56" s="56" t="str">
        <f aca="false">IF(OR(L56="Y",LEFT('P9-001'!$T$83,1)="D"),"",IF(AND(ISNUMBER(J56),J56&lt;ASOF),"⚠ เลยกำหนด",IF(AND(ISNUMBER(I56),I56&lt;=ASOF+14,J56&gt;=ASOF-7),"ช่วงนี้","")))</f>
        <v/>
      </c>
      <c r="L56" s="59"/>
      <c r="M56" s="60"/>
    </row>
    <row r="57" customFormat="false" ht="15" hidden="false" customHeight="false" outlineLevel="0" collapsed="false">
      <c r="A57" s="54" t="s">
        <v>42</v>
      </c>
      <c r="B57" s="55" t="s">
        <v>206</v>
      </c>
      <c r="C57" s="56" t="s">
        <v>207</v>
      </c>
      <c r="D57" s="57" t="s">
        <v>44</v>
      </c>
      <c r="E57" s="57" t="s">
        <v>359</v>
      </c>
      <c r="F57" s="55" t="s">
        <v>360</v>
      </c>
      <c r="G57" s="55" t="s">
        <v>361</v>
      </c>
      <c r="H57" s="57" t="s">
        <v>211</v>
      </c>
      <c r="I57" s="58" t="n">
        <f aca="false">'P9-001'!$N$84</f>
        <v>46346</v>
      </c>
      <c r="J57" s="58" t="n">
        <f aca="false">'P9-001'!$O$84</f>
        <v>46347</v>
      </c>
      <c r="K57" s="56" t="str">
        <f aca="false">IF(OR(L57="Y",LEFT('P9-001'!$T$84,1)="D"),"",IF(AND(ISNUMBER(J57),J57&lt;ASOF),"⚠ เลยกำหนด",IF(AND(ISNUMBER(I57),I57&lt;=ASOF+14,J57&gt;=ASOF-7),"ช่วงนี้","")))</f>
        <v/>
      </c>
      <c r="L57" s="59"/>
      <c r="M57" s="60"/>
    </row>
    <row r="58" customFormat="false" ht="15" hidden="false" customHeight="false" outlineLevel="0" collapsed="false">
      <c r="A58" s="54" t="s">
        <v>42</v>
      </c>
      <c r="B58" s="55" t="s">
        <v>206</v>
      </c>
      <c r="C58" s="56" t="s">
        <v>207</v>
      </c>
      <c r="D58" s="57" t="s">
        <v>44</v>
      </c>
      <c r="E58" s="57" t="s">
        <v>362</v>
      </c>
      <c r="F58" s="61" t="s">
        <v>363</v>
      </c>
      <c r="G58" s="61" t="s">
        <v>364</v>
      </c>
      <c r="H58" s="56" t="s">
        <v>365</v>
      </c>
      <c r="I58" s="58" t="n">
        <f aca="false">'P9-001'!$N$86</f>
        <v>46343</v>
      </c>
      <c r="J58" s="58" t="n">
        <f aca="false">'P9-001'!$O$86</f>
        <v>46345</v>
      </c>
      <c r="K58" s="56" t="str">
        <f aca="false">IF(OR(L58="Y",LEFT('P9-001'!$T$86,1)="D"),"",IF(AND(ISNUMBER(J58),J58&lt;ASOF),"⚠ เลยกำหนด",IF(AND(ISNUMBER(I58),I58&lt;=ASOF+14,J58&gt;=ASOF-7),"ช่วงนี้","")))</f>
        <v/>
      </c>
      <c r="L58" s="59"/>
      <c r="M58" s="60"/>
    </row>
    <row r="59" customFormat="false" ht="15" hidden="false" customHeight="false" outlineLevel="0" collapsed="false">
      <c r="A59" s="54" t="s">
        <v>42</v>
      </c>
      <c r="B59" s="55" t="s">
        <v>206</v>
      </c>
      <c r="C59" s="56" t="s">
        <v>207</v>
      </c>
      <c r="D59" s="57" t="s">
        <v>44</v>
      </c>
      <c r="E59" s="57" t="s">
        <v>366</v>
      </c>
      <c r="F59" s="61" t="s">
        <v>367</v>
      </c>
      <c r="G59" s="61" t="s">
        <v>368</v>
      </c>
      <c r="H59" s="57" t="s">
        <v>369</v>
      </c>
      <c r="I59" s="58" t="n">
        <f aca="false">'P9-001'!$N$87</f>
        <v>46344</v>
      </c>
      <c r="J59" s="58" t="n">
        <f aca="false">'P9-001'!$O$87</f>
        <v>46346</v>
      </c>
      <c r="K59" s="56" t="str">
        <f aca="false">IF(OR(L59="Y",LEFT('P9-001'!$T$87,1)="D"),"",IF(AND(ISNUMBER(J59),J59&lt;ASOF),"⚠ เลยกำหนด",IF(AND(ISNUMBER(I59),I59&lt;=ASOF+14,J59&gt;=ASOF-7),"ช่วงนี้","")))</f>
        <v/>
      </c>
      <c r="L59" s="59"/>
      <c r="M59" s="60"/>
    </row>
    <row r="60" customFormat="false" ht="15" hidden="false" customHeight="false" outlineLevel="0" collapsed="false">
      <c r="A60" s="54" t="s">
        <v>42</v>
      </c>
      <c r="B60" s="55" t="s">
        <v>206</v>
      </c>
      <c r="C60" s="56" t="s">
        <v>207</v>
      </c>
      <c r="D60" s="57" t="s">
        <v>44</v>
      </c>
      <c r="E60" s="57" t="s">
        <v>370</v>
      </c>
      <c r="F60" s="55" t="s">
        <v>371</v>
      </c>
      <c r="G60" s="55" t="s">
        <v>372</v>
      </c>
      <c r="H60" s="57" t="s">
        <v>211</v>
      </c>
      <c r="I60" s="58" t="n">
        <f aca="false">'P9-001'!$N$88</f>
        <v>46345</v>
      </c>
      <c r="J60" s="58" t="n">
        <f aca="false">'P9-001'!$O$88</f>
        <v>46346</v>
      </c>
      <c r="K60" s="56" t="str">
        <f aca="false">IF(OR(L60="Y",LEFT('P9-001'!$T$88,1)="D"),"",IF(AND(ISNUMBER(J60),J60&lt;ASOF),"⚠ เลยกำหนด",IF(AND(ISNUMBER(I60),I60&lt;=ASOF+14,J60&gt;=ASOF-7),"ช่วงนี้","")))</f>
        <v/>
      </c>
      <c r="L60" s="59"/>
      <c r="M60" s="60"/>
    </row>
    <row r="61" customFormat="false" ht="15" hidden="false" customHeight="false" outlineLevel="0" collapsed="false">
      <c r="A61" s="54" t="s">
        <v>42</v>
      </c>
      <c r="B61" s="55" t="s">
        <v>206</v>
      </c>
      <c r="C61" s="56" t="s">
        <v>207</v>
      </c>
      <c r="D61" s="57" t="s">
        <v>44</v>
      </c>
      <c r="E61" s="57" t="s">
        <v>373</v>
      </c>
      <c r="F61" s="61" t="s">
        <v>374</v>
      </c>
      <c r="G61" s="55" t="s">
        <v>375</v>
      </c>
      <c r="H61" s="57" t="s">
        <v>211</v>
      </c>
      <c r="I61" s="58" t="n">
        <f aca="false">'P9-001'!$N$89</f>
        <v>46346</v>
      </c>
      <c r="J61" s="58" t="n">
        <f aca="false">'P9-001'!$O$89</f>
        <v>46346</v>
      </c>
      <c r="K61" s="56" t="str">
        <f aca="false">IF(OR(L61="Y",LEFT('P9-001'!$T$89,1)="D"),"",IF(AND(ISNUMBER(J61),J61&lt;ASOF),"⚠ เลยกำหนด",IF(AND(ISNUMBER(I61),I61&lt;=ASOF+14,J61&gt;=ASOF-7),"ช่วงนี้","")))</f>
        <v/>
      </c>
      <c r="L61" s="59"/>
      <c r="M61" s="60"/>
    </row>
    <row r="62" customFormat="false" ht="15" hidden="false" customHeight="false" outlineLevel="0" collapsed="false">
      <c r="A62" s="54" t="s">
        <v>42</v>
      </c>
      <c r="B62" s="55" t="s">
        <v>206</v>
      </c>
      <c r="C62" s="56" t="s">
        <v>207</v>
      </c>
      <c r="D62" s="57" t="s">
        <v>44</v>
      </c>
      <c r="E62" s="57" t="s">
        <v>376</v>
      </c>
      <c r="F62" s="55" t="s">
        <v>377</v>
      </c>
      <c r="G62" s="55" t="s">
        <v>378</v>
      </c>
      <c r="H62" s="57" t="s">
        <v>369</v>
      </c>
      <c r="I62" s="58" t="n">
        <f aca="false">'P9-001'!$N$91</f>
        <v>46344</v>
      </c>
      <c r="J62" s="58" t="n">
        <f aca="false">'P9-001'!$O$91</f>
        <v>46346</v>
      </c>
      <c r="K62" s="56" t="str">
        <f aca="false">IF(OR(L62="Y",LEFT('P9-001'!$T$91,1)="D"),"",IF(AND(ISNUMBER(J62),J62&lt;ASOF),"⚠ เลยกำหนด",IF(AND(ISNUMBER(I62),I62&lt;=ASOF+14,J62&gt;=ASOF-7),"ช่วงนี้","")))</f>
        <v/>
      </c>
      <c r="L62" s="59"/>
      <c r="M62" s="60"/>
    </row>
    <row r="63" customFormat="false" ht="15" hidden="false" customHeight="false" outlineLevel="0" collapsed="false">
      <c r="A63" s="54" t="s">
        <v>42</v>
      </c>
      <c r="B63" s="55" t="s">
        <v>206</v>
      </c>
      <c r="C63" s="56" t="s">
        <v>207</v>
      </c>
      <c r="D63" s="57" t="s">
        <v>44</v>
      </c>
      <c r="E63" s="57" t="s">
        <v>379</v>
      </c>
      <c r="F63" s="61" t="s">
        <v>380</v>
      </c>
      <c r="G63" s="61" t="s">
        <v>381</v>
      </c>
      <c r="H63" s="57" t="s">
        <v>211</v>
      </c>
      <c r="I63" s="58" t="n">
        <f aca="false">'P9-001'!$N$92</f>
        <v>46346</v>
      </c>
      <c r="J63" s="58" t="n">
        <f aca="false">'P9-001'!$O$92</f>
        <v>46347</v>
      </c>
      <c r="K63" s="56" t="str">
        <f aca="false">IF(OR(L63="Y",LEFT('P9-001'!$T$92,1)="D"),"",IF(AND(ISNUMBER(J63),J63&lt;ASOF),"⚠ เลยกำหนด",IF(AND(ISNUMBER(I63),I63&lt;=ASOF+14,J63&gt;=ASOF-7),"ช่วงนี้","")))</f>
        <v/>
      </c>
      <c r="L63" s="59"/>
      <c r="M63" s="60"/>
    </row>
    <row r="64" customFormat="false" ht="15" hidden="false" customHeight="false" outlineLevel="0" collapsed="false">
      <c r="A64" s="54" t="s">
        <v>42</v>
      </c>
      <c r="B64" s="55" t="s">
        <v>206</v>
      </c>
      <c r="C64" s="56" t="s">
        <v>207</v>
      </c>
      <c r="D64" s="57" t="s">
        <v>44</v>
      </c>
      <c r="E64" s="57" t="s">
        <v>382</v>
      </c>
      <c r="F64" s="55" t="s">
        <v>383</v>
      </c>
      <c r="G64" s="55" t="s">
        <v>384</v>
      </c>
      <c r="H64" s="57" t="s">
        <v>369</v>
      </c>
      <c r="I64" s="58" t="n">
        <f aca="false">'P9-001'!$N$93</f>
        <v>46344</v>
      </c>
      <c r="J64" s="58" t="n">
        <f aca="false">'P9-001'!$O$93</f>
        <v>46346</v>
      </c>
      <c r="K64" s="56" t="str">
        <f aca="false">IF(OR(L64="Y",LEFT('P9-001'!$T$93,1)="D"),"",IF(AND(ISNUMBER(J64),J64&lt;ASOF),"⚠ เลยกำหนด",IF(AND(ISNUMBER(I64),I64&lt;=ASOF+14,J64&gt;=ASOF-7),"ช่วงนี้","")))</f>
        <v/>
      </c>
      <c r="L64" s="59"/>
      <c r="M64" s="60"/>
    </row>
    <row r="65" customFormat="false" ht="15" hidden="false" customHeight="false" outlineLevel="0" collapsed="false">
      <c r="A65" s="54" t="s">
        <v>42</v>
      </c>
      <c r="B65" s="55" t="s">
        <v>206</v>
      </c>
      <c r="C65" s="56" t="s">
        <v>207</v>
      </c>
      <c r="D65" s="57" t="s">
        <v>44</v>
      </c>
      <c r="E65" s="57" t="s">
        <v>385</v>
      </c>
      <c r="F65" s="55" t="s">
        <v>386</v>
      </c>
      <c r="G65" s="55" t="s">
        <v>387</v>
      </c>
      <c r="H65" s="57" t="s">
        <v>211</v>
      </c>
      <c r="I65" s="58" t="n">
        <f aca="false">'P9-001'!$N$94</f>
        <v>46346</v>
      </c>
      <c r="J65" s="58" t="n">
        <f aca="false">'P9-001'!$O$94</f>
        <v>46347</v>
      </c>
      <c r="K65" s="56" t="str">
        <f aca="false">IF(OR(L65="Y",LEFT('P9-001'!$T$94,1)="D"),"",IF(AND(ISNUMBER(J65),J65&lt;ASOF),"⚠ เลยกำหนด",IF(AND(ISNUMBER(I65),I65&lt;=ASOF+14,J65&gt;=ASOF-7),"ช่วงนี้","")))</f>
        <v/>
      </c>
      <c r="L65" s="59"/>
      <c r="M65" s="60"/>
    </row>
    <row r="66" customFormat="false" ht="15" hidden="false" customHeight="false" outlineLevel="0" collapsed="false">
      <c r="A66" s="54" t="s">
        <v>42</v>
      </c>
      <c r="B66" s="55" t="s">
        <v>206</v>
      </c>
      <c r="C66" s="56" t="s">
        <v>207</v>
      </c>
      <c r="D66" s="57" t="s">
        <v>44</v>
      </c>
      <c r="E66" s="57" t="s">
        <v>388</v>
      </c>
      <c r="F66" s="61" t="s">
        <v>389</v>
      </c>
      <c r="G66" s="55" t="s">
        <v>390</v>
      </c>
      <c r="H66" s="57" t="s">
        <v>211</v>
      </c>
      <c r="I66" s="58" t="n">
        <f aca="false">'P9-001'!$N$95</f>
        <v>46347</v>
      </c>
      <c r="J66" s="58" t="n">
        <f aca="false">'P9-001'!$O$95</f>
        <v>46347</v>
      </c>
      <c r="K66" s="56" t="str">
        <f aca="false">IF(OR(L66="Y",LEFT('P9-001'!$T$95,1)="D"),"",IF(AND(ISNUMBER(J66),J66&lt;ASOF),"⚠ เลยกำหนด",IF(AND(ISNUMBER(I66),I66&lt;=ASOF+14,J66&gt;=ASOF-7),"ช่วงนี้","")))</f>
        <v/>
      </c>
      <c r="L66" s="59"/>
      <c r="M66" s="60"/>
    </row>
    <row r="67" customFormat="false" ht="15" hidden="false" customHeight="false" outlineLevel="0" collapsed="false">
      <c r="A67" s="54" t="s">
        <v>42</v>
      </c>
      <c r="B67" s="55" t="s">
        <v>206</v>
      </c>
      <c r="C67" s="56" t="s">
        <v>207</v>
      </c>
      <c r="D67" s="57" t="s">
        <v>44</v>
      </c>
      <c r="E67" s="57" t="s">
        <v>391</v>
      </c>
      <c r="F67" s="55" t="s">
        <v>392</v>
      </c>
      <c r="G67" s="55" t="s">
        <v>393</v>
      </c>
      <c r="H67" s="57" t="s">
        <v>369</v>
      </c>
      <c r="I67" s="58" t="n">
        <f aca="false">'P9-001'!$N$97</f>
        <v>46345</v>
      </c>
      <c r="J67" s="58" t="n">
        <f aca="false">'P9-001'!$O$97</f>
        <v>46347</v>
      </c>
      <c r="K67" s="56" t="str">
        <f aca="false">IF(OR(L67="Y",LEFT('P9-001'!$T$97,1)="D"),"",IF(AND(ISNUMBER(J67),J67&lt;ASOF),"⚠ เลยกำหนด",IF(AND(ISNUMBER(I67),I67&lt;=ASOF+14,J67&gt;=ASOF-7),"ช่วงนี้","")))</f>
        <v/>
      </c>
      <c r="L67" s="59"/>
      <c r="M67" s="60"/>
    </row>
    <row r="68" customFormat="false" ht="15" hidden="false" customHeight="false" outlineLevel="0" collapsed="false">
      <c r="A68" s="54" t="s">
        <v>42</v>
      </c>
      <c r="B68" s="55" t="s">
        <v>206</v>
      </c>
      <c r="C68" s="56" t="s">
        <v>207</v>
      </c>
      <c r="D68" s="57" t="s">
        <v>44</v>
      </c>
      <c r="E68" s="57" t="s">
        <v>394</v>
      </c>
      <c r="F68" s="55" t="s">
        <v>395</v>
      </c>
      <c r="G68" s="55" t="s">
        <v>396</v>
      </c>
      <c r="H68" s="57" t="s">
        <v>211</v>
      </c>
      <c r="I68" s="58" t="n">
        <f aca="false">'P9-001'!$N$98</f>
        <v>46346</v>
      </c>
      <c r="J68" s="58" t="n">
        <f aca="false">'P9-001'!$O$98</f>
        <v>46347</v>
      </c>
      <c r="K68" s="56" t="str">
        <f aca="false">IF(OR(L68="Y",LEFT('P9-001'!$T$98,1)="D"),"",IF(AND(ISNUMBER(J68),J68&lt;ASOF),"⚠ เลยกำหนด",IF(AND(ISNUMBER(I68),I68&lt;=ASOF+14,J68&gt;=ASOF-7),"ช่วงนี้","")))</f>
        <v/>
      </c>
      <c r="L68" s="59"/>
      <c r="M68" s="60"/>
    </row>
    <row r="69" customFormat="false" ht="15" hidden="false" customHeight="false" outlineLevel="0" collapsed="false">
      <c r="A69" s="54" t="s">
        <v>42</v>
      </c>
      <c r="B69" s="55" t="s">
        <v>206</v>
      </c>
      <c r="C69" s="56" t="s">
        <v>207</v>
      </c>
      <c r="D69" s="57" t="s">
        <v>44</v>
      </c>
      <c r="E69" s="57" t="s">
        <v>397</v>
      </c>
      <c r="F69" s="61" t="s">
        <v>398</v>
      </c>
      <c r="G69" s="55" t="s">
        <v>399</v>
      </c>
      <c r="H69" s="57" t="s">
        <v>211</v>
      </c>
      <c r="I69" s="58" t="n">
        <f aca="false">'P9-001'!$N$99</f>
        <v>46347</v>
      </c>
      <c r="J69" s="58" t="n">
        <f aca="false">'P9-001'!$O$99</f>
        <v>46347</v>
      </c>
      <c r="K69" s="56" t="str">
        <f aca="false">IF(OR(L69="Y",LEFT('P9-001'!$T$99,1)="D"),"",IF(AND(ISNUMBER(J69),J69&lt;ASOF),"⚠ เลยกำหนด",IF(AND(ISNUMBER(I69),I69&lt;=ASOF+14,J69&gt;=ASOF-7),"ช่วงนี้","")))</f>
        <v/>
      </c>
      <c r="L69" s="59"/>
      <c r="M69" s="60"/>
    </row>
    <row r="70" customFormat="false" ht="15" hidden="false" customHeight="false" outlineLevel="0" collapsed="false">
      <c r="A70" s="54" t="s">
        <v>42</v>
      </c>
      <c r="B70" s="55" t="s">
        <v>206</v>
      </c>
      <c r="C70" s="56" t="s">
        <v>207</v>
      </c>
      <c r="D70" s="57" t="s">
        <v>44</v>
      </c>
      <c r="E70" s="57" t="s">
        <v>400</v>
      </c>
      <c r="F70" s="55" t="s">
        <v>401</v>
      </c>
      <c r="G70" s="55" t="s">
        <v>402</v>
      </c>
      <c r="H70" s="57" t="s">
        <v>211</v>
      </c>
      <c r="I70" s="58" t="n">
        <f aca="false">'P9-001'!$N$102</f>
        <v>46346</v>
      </c>
      <c r="J70" s="58" t="n">
        <f aca="false">'P9-001'!$O$102</f>
        <v>46347</v>
      </c>
      <c r="K70" s="56" t="str">
        <f aca="false">IF(OR(L70="Y",LEFT('P9-001'!$T$102,1)="D"),"",IF(AND(ISNUMBER(J70),J70&lt;ASOF),"⚠ เลยกำหนด",IF(AND(ISNUMBER(I70),I70&lt;=ASOF+14,J70&gt;=ASOF-7),"ช่วงนี้","")))</f>
        <v/>
      </c>
      <c r="L70" s="59"/>
      <c r="M70" s="60"/>
    </row>
    <row r="71" customFormat="false" ht="15" hidden="false" customHeight="false" outlineLevel="0" collapsed="false">
      <c r="A71" s="54" t="s">
        <v>42</v>
      </c>
      <c r="B71" s="55" t="s">
        <v>206</v>
      </c>
      <c r="C71" s="56" t="s">
        <v>207</v>
      </c>
      <c r="D71" s="57" t="s">
        <v>44</v>
      </c>
      <c r="E71" s="57" t="s">
        <v>403</v>
      </c>
      <c r="F71" s="55" t="s">
        <v>404</v>
      </c>
      <c r="G71" s="55" t="s">
        <v>405</v>
      </c>
      <c r="H71" s="57" t="s">
        <v>211</v>
      </c>
      <c r="I71" s="58" t="n">
        <f aca="false">'P9-001'!$N$104</f>
        <v>46347</v>
      </c>
      <c r="J71" s="58" t="n">
        <f aca="false">'P9-001'!$O$104</f>
        <v>46348</v>
      </c>
      <c r="K71" s="56" t="str">
        <f aca="false">IF(OR(L71="Y",LEFT('P9-001'!$T$104,1)="D"),"",IF(AND(ISNUMBER(J71),J71&lt;ASOF),"⚠ เลยกำหนด",IF(AND(ISNUMBER(I71),I71&lt;=ASOF+14,J71&gt;=ASOF-7),"ช่วงนี้","")))</f>
        <v/>
      </c>
      <c r="L71" s="59"/>
      <c r="M71" s="60"/>
    </row>
    <row r="72" customFormat="false" ht="15" hidden="false" customHeight="false" outlineLevel="0" collapsed="false">
      <c r="A72" s="54" t="s">
        <v>42</v>
      </c>
      <c r="B72" s="55" t="s">
        <v>206</v>
      </c>
      <c r="C72" s="56" t="s">
        <v>207</v>
      </c>
      <c r="D72" s="57" t="s">
        <v>44</v>
      </c>
      <c r="E72" s="57" t="s">
        <v>406</v>
      </c>
      <c r="F72" s="55" t="s">
        <v>407</v>
      </c>
      <c r="G72" s="55" t="s">
        <v>408</v>
      </c>
      <c r="H72" s="57" t="s">
        <v>211</v>
      </c>
      <c r="I72" s="58" t="n">
        <f aca="false">'P9-001'!$N$105</f>
        <v>46347</v>
      </c>
      <c r="J72" s="58" t="n">
        <f aca="false">'P9-001'!$O$105</f>
        <v>46348</v>
      </c>
      <c r="K72" s="56" t="str">
        <f aca="false">IF(OR(L72="Y",LEFT('P9-001'!$T$105,1)="D"),"",IF(AND(ISNUMBER(J72),J72&lt;ASOF),"⚠ เลยกำหนด",IF(AND(ISNUMBER(I72),I72&lt;=ASOF+14,J72&gt;=ASOF-7),"ช่วงนี้","")))</f>
        <v/>
      </c>
      <c r="L72" s="59"/>
      <c r="M72" s="60"/>
    </row>
    <row r="73" customFormat="false" ht="15" hidden="false" customHeight="false" outlineLevel="0" collapsed="false">
      <c r="A73" s="54" t="s">
        <v>42</v>
      </c>
      <c r="B73" s="55" t="s">
        <v>206</v>
      </c>
      <c r="C73" s="56" t="s">
        <v>207</v>
      </c>
      <c r="D73" s="57" t="s">
        <v>44</v>
      </c>
      <c r="E73" s="57" t="s">
        <v>409</v>
      </c>
      <c r="F73" s="61" t="s">
        <v>410</v>
      </c>
      <c r="G73" s="55" t="s">
        <v>411</v>
      </c>
      <c r="H73" s="57" t="s">
        <v>211</v>
      </c>
      <c r="I73" s="58" t="n">
        <f aca="false">'P9-001'!$N$106</f>
        <v>46348</v>
      </c>
      <c r="J73" s="58" t="n">
        <f aca="false">'P9-001'!$O$106</f>
        <v>46348</v>
      </c>
      <c r="K73" s="56" t="str">
        <f aca="false">IF(OR(L73="Y",LEFT('P9-001'!$T$106,1)="D"),"",IF(AND(ISNUMBER(J73),J73&lt;ASOF),"⚠ เลยกำหนด",IF(AND(ISNUMBER(I73),I73&lt;=ASOF+14,J73&gt;=ASOF-7),"ช่วงนี้","")))</f>
        <v/>
      </c>
      <c r="L73" s="59"/>
      <c r="M73" s="60"/>
    </row>
    <row r="74" customFormat="false" ht="15" hidden="false" customHeight="false" outlineLevel="0" collapsed="false">
      <c r="A74" s="54" t="s">
        <v>42</v>
      </c>
      <c r="B74" s="55" t="s">
        <v>206</v>
      </c>
      <c r="C74" s="56" t="s">
        <v>207</v>
      </c>
      <c r="D74" s="57" t="s">
        <v>44</v>
      </c>
      <c r="E74" s="57" t="s">
        <v>412</v>
      </c>
      <c r="F74" s="61" t="s">
        <v>413</v>
      </c>
      <c r="G74" s="61" t="s">
        <v>414</v>
      </c>
      <c r="H74" s="57" t="s">
        <v>211</v>
      </c>
      <c r="I74" s="58" t="n">
        <f aca="false">'P9-001'!$N$108</f>
        <v>46347</v>
      </c>
      <c r="J74" s="58" t="n">
        <f aca="false">'P9-001'!$O$108</f>
        <v>46348</v>
      </c>
      <c r="K74" s="56" t="str">
        <f aca="false">IF(OR(L74="Y",LEFT('P9-001'!$T$108,1)="D"),"",IF(AND(ISNUMBER(J74),J74&lt;ASOF),"⚠ เลยกำหนด",IF(AND(ISNUMBER(I74),I74&lt;=ASOF+14,J74&gt;=ASOF-7),"ช่วงนี้","")))</f>
        <v/>
      </c>
      <c r="L74" s="59"/>
      <c r="M74" s="60"/>
    </row>
    <row r="75" customFormat="false" ht="15" hidden="false" customHeight="false" outlineLevel="0" collapsed="false">
      <c r="A75" s="54" t="s">
        <v>42</v>
      </c>
      <c r="B75" s="55" t="s">
        <v>206</v>
      </c>
      <c r="C75" s="56" t="s">
        <v>207</v>
      </c>
      <c r="D75" s="57" t="s">
        <v>44</v>
      </c>
      <c r="E75" s="57" t="s">
        <v>415</v>
      </c>
      <c r="F75" s="55" t="s">
        <v>416</v>
      </c>
      <c r="G75" s="55" t="s">
        <v>417</v>
      </c>
      <c r="H75" s="57" t="s">
        <v>211</v>
      </c>
      <c r="I75" s="58" t="n">
        <f aca="false">'P9-001'!$N$109</f>
        <v>46348</v>
      </c>
      <c r="J75" s="58" t="n">
        <f aca="false">'P9-001'!$O$109</f>
        <v>46348</v>
      </c>
      <c r="K75" s="56" t="str">
        <f aca="false">IF(OR(L75="Y",LEFT('P9-001'!$T$109,1)="D"),"",IF(AND(ISNUMBER(J75),J75&lt;ASOF),"⚠ เลยกำหนด",IF(AND(ISNUMBER(I75),I75&lt;=ASOF+14,J75&gt;=ASOF-7),"ช่วงนี้","")))</f>
        <v/>
      </c>
      <c r="L75" s="59"/>
      <c r="M75" s="60"/>
    </row>
    <row r="76" customFormat="false" ht="15" hidden="false" customHeight="false" outlineLevel="0" collapsed="false">
      <c r="A76" s="54" t="s">
        <v>42</v>
      </c>
      <c r="B76" s="55" t="s">
        <v>206</v>
      </c>
      <c r="C76" s="56" t="s">
        <v>207</v>
      </c>
      <c r="D76" s="57" t="s">
        <v>44</v>
      </c>
      <c r="E76" s="57" t="s">
        <v>418</v>
      </c>
      <c r="F76" s="61" t="s">
        <v>419</v>
      </c>
      <c r="G76" s="55" t="s">
        <v>420</v>
      </c>
      <c r="H76" s="57" t="s">
        <v>211</v>
      </c>
      <c r="I76" s="58" t="n">
        <f aca="false">'P9-001'!$N$110</f>
        <v>46347</v>
      </c>
      <c r="J76" s="58" t="n">
        <f aca="false">'P9-001'!$O$110</f>
        <v>46348</v>
      </c>
      <c r="K76" s="56" t="str">
        <f aca="false">IF(OR(L76="Y",LEFT('P9-001'!$T$110,1)="D"),"",IF(AND(ISNUMBER(J76),J76&lt;ASOF),"⚠ เลยกำหนด",IF(AND(ISNUMBER(I76),I76&lt;=ASOF+14,J76&gt;=ASOF-7),"ช่วงนี้","")))</f>
        <v/>
      </c>
      <c r="L76" s="59"/>
      <c r="M76" s="60"/>
    </row>
    <row r="77" customFormat="false" ht="15" hidden="false" customHeight="false" outlineLevel="0" collapsed="false">
      <c r="A77" s="54" t="s">
        <v>42</v>
      </c>
      <c r="B77" s="55" t="s">
        <v>206</v>
      </c>
      <c r="C77" s="56" t="s">
        <v>207</v>
      </c>
      <c r="D77" s="57" t="s">
        <v>44</v>
      </c>
      <c r="E77" s="57" t="s">
        <v>421</v>
      </c>
      <c r="F77" s="55" t="s">
        <v>422</v>
      </c>
      <c r="G77" s="55" t="s">
        <v>423</v>
      </c>
      <c r="H77" s="56" t="str">
        <f aca="false">IF(COUNTIFS(SITE_ST,"P9-001",SITE_TYPE,"?*")&gt;0,"ตามจุดติดตั้ง →","0/100")</f>
        <v>ตามจุดติดตั้ง →</v>
      </c>
      <c r="I77" s="58" t="n">
        <f aca="false">'P9-001'!$N$112</f>
        <v>46349</v>
      </c>
      <c r="J77" s="58" t="n">
        <f aca="false">'P9-001'!$O$112</f>
        <v>46349</v>
      </c>
      <c r="K77" s="56" t="str">
        <f aca="false">IF(OR(L77="Y",LEFT('P9-001'!$T$112,1)="D"),"",IF(AND(ISNUMBER(J77),J77&lt;ASOF),"⚠ เลยกำหนด",IF(AND(ISNUMBER(I77),I77&lt;=ASOF+14,J77&gt;=ASOF-7),"ช่วงนี้","")))</f>
        <v/>
      </c>
      <c r="L77" s="59"/>
      <c r="M77" s="60"/>
    </row>
    <row r="78" customFormat="false" ht="15" hidden="false" customHeight="false" outlineLevel="0" collapsed="false">
      <c r="A78" s="54" t="s">
        <v>42</v>
      </c>
      <c r="B78" s="55" t="s">
        <v>206</v>
      </c>
      <c r="C78" s="56" t="s">
        <v>207</v>
      </c>
      <c r="D78" s="57" t="s">
        <v>44</v>
      </c>
      <c r="E78" s="57" t="s">
        <v>424</v>
      </c>
      <c r="F78" s="55" t="s">
        <v>425</v>
      </c>
      <c r="G78" s="55" t="s">
        <v>426</v>
      </c>
      <c r="H78" s="56" t="str">
        <f aca="false">IF(COUNTIFS(SITE_ST,"P9-001",SITE_TYPE,"?*")&gt;0,"ตามจุดติดตั้ง →","0/100")</f>
        <v>ตามจุดติดตั้ง →</v>
      </c>
      <c r="I78" s="58" t="n">
        <f aca="false">'P9-001'!$N$113</f>
        <v>46349</v>
      </c>
      <c r="J78" s="58" t="n">
        <f aca="false">'P9-001'!$O$113</f>
        <v>46349</v>
      </c>
      <c r="K78" s="56" t="str">
        <f aca="false">IF(OR(L78="Y",LEFT('P9-001'!$T$113,1)="D"),"",IF(AND(ISNUMBER(J78),J78&lt;ASOF),"⚠ เลยกำหนด",IF(AND(ISNUMBER(I78),I78&lt;=ASOF+14,J78&gt;=ASOF-7),"ช่วงนี้","")))</f>
        <v/>
      </c>
      <c r="L78" s="59"/>
      <c r="M78" s="60"/>
    </row>
    <row r="79" customFormat="false" ht="15" hidden="false" customHeight="false" outlineLevel="0" collapsed="false">
      <c r="A79" s="54" t="s">
        <v>42</v>
      </c>
      <c r="B79" s="55" t="s">
        <v>206</v>
      </c>
      <c r="C79" s="56" t="s">
        <v>207</v>
      </c>
      <c r="D79" s="57" t="s">
        <v>44</v>
      </c>
      <c r="E79" s="57" t="s">
        <v>427</v>
      </c>
      <c r="F79" s="61" t="s">
        <v>428</v>
      </c>
      <c r="G79" s="61" t="s">
        <v>429</v>
      </c>
      <c r="H79" s="57" t="s">
        <v>211</v>
      </c>
      <c r="I79" s="58" t="n">
        <f aca="false">'P9-001'!$N$116</f>
        <v>46359</v>
      </c>
      <c r="J79" s="58" t="n">
        <f aca="false">'P9-001'!$O$116</f>
        <v>46359</v>
      </c>
      <c r="K79" s="56" t="str">
        <f aca="false">IF(OR(L79="Y",LEFT('P9-001'!$T$116,1)="D"),"",IF(AND(ISNUMBER(J79),J79&lt;ASOF),"⚠ เลยกำหนด",IF(AND(ISNUMBER(I79),I79&lt;=ASOF+14,J79&gt;=ASOF-7),"ช่วงนี้","")))</f>
        <v/>
      </c>
      <c r="L79" s="59"/>
      <c r="M79" s="60"/>
    </row>
    <row r="80" customFormat="false" ht="15" hidden="false" customHeight="false" outlineLevel="0" collapsed="false">
      <c r="A80" s="54" t="s">
        <v>42</v>
      </c>
      <c r="B80" s="55" t="s">
        <v>206</v>
      </c>
      <c r="C80" s="56" t="s">
        <v>207</v>
      </c>
      <c r="D80" s="57" t="s">
        <v>44</v>
      </c>
      <c r="E80" s="57" t="s">
        <v>430</v>
      </c>
      <c r="F80" s="55" t="s">
        <v>431</v>
      </c>
      <c r="G80" s="55" t="s">
        <v>432</v>
      </c>
      <c r="H80" s="57" t="s">
        <v>211</v>
      </c>
      <c r="I80" s="58" t="n">
        <f aca="false">'P9-001'!$N$117</f>
        <v>46359</v>
      </c>
      <c r="J80" s="58" t="n">
        <f aca="false">'P9-001'!$O$117</f>
        <v>46359</v>
      </c>
      <c r="K80" s="56" t="str">
        <f aca="false">IF(OR(L80="Y",LEFT('P9-001'!$T$117,1)="D"),"",IF(AND(ISNUMBER(J80),J80&lt;ASOF),"⚠ เลยกำหนด",IF(AND(ISNUMBER(I80),I80&lt;=ASOF+14,J80&gt;=ASOF-7),"ช่วงนี้","")))</f>
        <v/>
      </c>
      <c r="L80" s="59"/>
      <c r="M80" s="60"/>
    </row>
    <row r="81" customFormat="false" ht="15" hidden="false" customHeight="false" outlineLevel="0" collapsed="false">
      <c r="A81" s="54" t="s">
        <v>42</v>
      </c>
      <c r="B81" s="55" t="s">
        <v>206</v>
      </c>
      <c r="C81" s="56" t="s">
        <v>207</v>
      </c>
      <c r="D81" s="57" t="s">
        <v>44</v>
      </c>
      <c r="E81" s="57" t="s">
        <v>433</v>
      </c>
      <c r="F81" s="55" t="s">
        <v>434</v>
      </c>
      <c r="G81" s="55" t="s">
        <v>435</v>
      </c>
      <c r="H81" s="57" t="s">
        <v>211</v>
      </c>
      <c r="I81" s="58" t="n">
        <f aca="false">'P9-001'!$N$118</f>
        <v>46359</v>
      </c>
      <c r="J81" s="58" t="n">
        <f aca="false">'P9-001'!$O$118</f>
        <v>46359</v>
      </c>
      <c r="K81" s="56" t="str">
        <f aca="false">IF(OR(L81="Y",LEFT('P9-001'!$T$118,1)="D"),"",IF(AND(ISNUMBER(J81),J81&lt;ASOF),"⚠ เลยกำหนด",IF(AND(ISNUMBER(I81),I81&lt;=ASOF+14,J81&gt;=ASOF-7),"ช่วงนี้","")))</f>
        <v/>
      </c>
      <c r="L81" s="59"/>
      <c r="M81" s="60"/>
    </row>
    <row r="82" customFormat="false" ht="15" hidden="false" customHeight="false" outlineLevel="0" collapsed="false">
      <c r="A82" s="54" t="s">
        <v>42</v>
      </c>
      <c r="B82" s="55" t="s">
        <v>206</v>
      </c>
      <c r="C82" s="56" t="s">
        <v>207</v>
      </c>
      <c r="D82" s="57" t="s">
        <v>44</v>
      </c>
      <c r="E82" s="57" t="s">
        <v>436</v>
      </c>
      <c r="F82" s="55" t="s">
        <v>437</v>
      </c>
      <c r="G82" s="55" t="s">
        <v>438</v>
      </c>
      <c r="H82" s="57" t="s">
        <v>211</v>
      </c>
      <c r="I82" s="58" t="n">
        <f aca="false">'P9-001'!$N$119</f>
        <v>46359</v>
      </c>
      <c r="J82" s="58" t="n">
        <f aca="false">'P9-001'!$O$119</f>
        <v>46359</v>
      </c>
      <c r="K82" s="56" t="str">
        <f aca="false">IF(OR(L82="Y",LEFT('P9-001'!$T$119,1)="D"),"",IF(AND(ISNUMBER(J82),J82&lt;ASOF),"⚠ เลยกำหนด",IF(AND(ISNUMBER(I82),I82&lt;=ASOF+14,J82&gt;=ASOF-7),"ช่วงนี้","")))</f>
        <v/>
      </c>
      <c r="L82" s="59"/>
      <c r="M82" s="60"/>
    </row>
    <row r="83" customFormat="false" ht="15" hidden="false" customHeight="false" outlineLevel="0" collapsed="false">
      <c r="A83" s="54" t="s">
        <v>42</v>
      </c>
      <c r="B83" s="55" t="s">
        <v>206</v>
      </c>
      <c r="C83" s="56" t="s">
        <v>207</v>
      </c>
      <c r="D83" s="57" t="s">
        <v>44</v>
      </c>
      <c r="E83" s="57" t="s">
        <v>439</v>
      </c>
      <c r="F83" s="55" t="s">
        <v>440</v>
      </c>
      <c r="G83" s="55" t="s">
        <v>441</v>
      </c>
      <c r="H83" s="57" t="s">
        <v>211</v>
      </c>
      <c r="I83" s="58" t="n">
        <f aca="false">'P9-001'!$N$120</f>
        <v>46359</v>
      </c>
      <c r="J83" s="58" t="n">
        <f aca="false">'P9-001'!$O$120</f>
        <v>46359</v>
      </c>
      <c r="K83" s="56" t="str">
        <f aca="false">IF(OR(L83="Y",LEFT('P9-001'!$T$120,1)="D"),"",IF(AND(ISNUMBER(J83),J83&lt;ASOF),"⚠ เลยกำหนด",IF(AND(ISNUMBER(I83),I83&lt;=ASOF+14,J83&gt;=ASOF-7),"ช่วงนี้","")))</f>
        <v/>
      </c>
      <c r="L83" s="59"/>
      <c r="M83" s="60"/>
    </row>
    <row r="84" customFormat="false" ht="15" hidden="false" customHeight="false" outlineLevel="0" collapsed="false">
      <c r="A84" s="54" t="s">
        <v>42</v>
      </c>
      <c r="B84" s="55" t="s">
        <v>206</v>
      </c>
      <c r="C84" s="56" t="s">
        <v>207</v>
      </c>
      <c r="D84" s="57" t="s">
        <v>44</v>
      </c>
      <c r="E84" s="57" t="s">
        <v>442</v>
      </c>
      <c r="F84" s="55" t="s">
        <v>443</v>
      </c>
      <c r="G84" s="55" t="s">
        <v>444</v>
      </c>
      <c r="H84" s="57" t="s">
        <v>211</v>
      </c>
      <c r="I84" s="58" t="n">
        <f aca="false">'P9-001'!$N$121</f>
        <v>46359</v>
      </c>
      <c r="J84" s="58" t="n">
        <f aca="false">'P9-001'!$O$121</f>
        <v>46359</v>
      </c>
      <c r="K84" s="56" t="str">
        <f aca="false">IF(OR(L84="Y",LEFT('P9-001'!$T$121,1)="D"),"",IF(AND(ISNUMBER(J84),J84&lt;ASOF),"⚠ เลยกำหนด",IF(AND(ISNUMBER(I84),I84&lt;=ASOF+14,J84&gt;=ASOF-7),"ช่วงนี้","")))</f>
        <v/>
      </c>
      <c r="L84" s="59"/>
      <c r="M84" s="60"/>
    </row>
    <row r="85" customFormat="false" ht="15" hidden="false" customHeight="false" outlineLevel="0" collapsed="false">
      <c r="A85" s="54" t="s">
        <v>42</v>
      </c>
      <c r="B85" s="55" t="s">
        <v>206</v>
      </c>
      <c r="C85" s="56" t="s">
        <v>207</v>
      </c>
      <c r="D85" s="57" t="s">
        <v>44</v>
      </c>
      <c r="E85" s="57" t="s">
        <v>445</v>
      </c>
      <c r="F85" s="55" t="s">
        <v>446</v>
      </c>
      <c r="G85" s="55" t="s">
        <v>447</v>
      </c>
      <c r="H85" s="57" t="s">
        <v>211</v>
      </c>
      <c r="I85" s="58" t="n">
        <f aca="false">'P9-001'!$N$125</f>
        <v>46437</v>
      </c>
      <c r="J85" s="58" t="n">
        <f aca="false">'P9-001'!$O$125</f>
        <v>46441</v>
      </c>
      <c r="K85" s="56" t="str">
        <f aca="false">IF(OR(L85="Y",LEFT('P9-001'!$T$125,1)="D"),"",IF(AND(ISNUMBER(J85),J85&lt;ASOF),"⚠ เลยกำหนด",IF(AND(ISNUMBER(I85),I85&lt;=ASOF+14,J85&gt;=ASOF-7),"ช่วงนี้","")))</f>
        <v/>
      </c>
      <c r="L85" s="59"/>
      <c r="M85" s="60"/>
    </row>
    <row r="86" customFormat="false" ht="15" hidden="false" customHeight="false" outlineLevel="0" collapsed="false">
      <c r="A86" s="54" t="s">
        <v>42</v>
      </c>
      <c r="B86" s="55" t="s">
        <v>206</v>
      </c>
      <c r="C86" s="56" t="s">
        <v>207</v>
      </c>
      <c r="D86" s="57" t="s">
        <v>44</v>
      </c>
      <c r="E86" s="57" t="s">
        <v>448</v>
      </c>
      <c r="F86" s="55" t="s">
        <v>449</v>
      </c>
      <c r="G86" s="61" t="s">
        <v>450</v>
      </c>
      <c r="H86" s="57" t="s">
        <v>211</v>
      </c>
      <c r="I86" s="58" t="n">
        <f aca="false">'P9-001'!$N$126</f>
        <v>46440</v>
      </c>
      <c r="J86" s="58" t="n">
        <f aca="false">'P9-001'!$O$126</f>
        <v>46447</v>
      </c>
      <c r="K86" s="56" t="str">
        <f aca="false">IF(OR(L86="Y",LEFT('P9-001'!$T$126,1)="D"),"",IF(AND(ISNUMBER(J86),J86&lt;ASOF),"⚠ เลยกำหนด",IF(AND(ISNUMBER(I86),I86&lt;=ASOF+14,J86&gt;=ASOF-7),"ช่วงนี้","")))</f>
        <v/>
      </c>
      <c r="L86" s="59"/>
      <c r="M86" s="60"/>
    </row>
    <row r="87" customFormat="false" ht="15" hidden="false" customHeight="false" outlineLevel="0" collapsed="false">
      <c r="A87" s="54" t="s">
        <v>42</v>
      </c>
      <c r="B87" s="55" t="s">
        <v>206</v>
      </c>
      <c r="C87" s="56" t="s">
        <v>207</v>
      </c>
      <c r="D87" s="57" t="s">
        <v>44</v>
      </c>
      <c r="E87" s="57" t="s">
        <v>451</v>
      </c>
      <c r="F87" s="61" t="s">
        <v>452</v>
      </c>
      <c r="G87" s="61" t="s">
        <v>453</v>
      </c>
      <c r="H87" s="57" t="s">
        <v>211</v>
      </c>
      <c r="I87" s="58" t="n">
        <f aca="false">'P9-001'!$N$127</f>
        <v>46447</v>
      </c>
      <c r="J87" s="58" t="n">
        <f aca="false">'P9-001'!$O$127</f>
        <v>46450</v>
      </c>
      <c r="K87" s="56" t="str">
        <f aca="false">IF(OR(L87="Y",LEFT('P9-001'!$T$127,1)="D"),"",IF(AND(ISNUMBER(J87),J87&lt;ASOF),"⚠ เลยกำหนด",IF(AND(ISNUMBER(I87),I87&lt;=ASOF+14,J87&gt;=ASOF-7),"ช่วงนี้","")))</f>
        <v/>
      </c>
      <c r="L87" s="59"/>
      <c r="M87" s="60"/>
    </row>
    <row r="88" customFormat="false" ht="15" hidden="false" customHeight="false" outlineLevel="0" collapsed="false">
      <c r="A88" s="54" t="s">
        <v>46</v>
      </c>
      <c r="B88" s="55" t="s">
        <v>454</v>
      </c>
      <c r="C88" s="56" t="s">
        <v>455</v>
      </c>
      <c r="D88" s="57" t="s">
        <v>48</v>
      </c>
      <c r="E88" s="57" t="s">
        <v>208</v>
      </c>
      <c r="F88" s="55" t="s">
        <v>209</v>
      </c>
      <c r="G88" s="55" t="s">
        <v>210</v>
      </c>
      <c r="H88" s="57" t="s">
        <v>211</v>
      </c>
      <c r="I88" s="58" t="n">
        <f aca="false">'P9-002'!$N$10</f>
        <v>46328</v>
      </c>
      <c r="J88" s="58" t="n">
        <f aca="false">'P9-002'!$O$10</f>
        <v>46340</v>
      </c>
      <c r="K88" s="56" t="str">
        <f aca="false">IF(OR(L88="Y",LEFT('P9-002'!$T$10,1)="D"),"",IF(AND(ISNUMBER(J88),J88&lt;ASOF),"⚠ เลยกำหนด",IF(AND(ISNUMBER(I88),I88&lt;=ASOF+14,J88&gt;=ASOF-7),"ช่วงนี้","")))</f>
        <v>ช่วงนี้</v>
      </c>
      <c r="L88" s="59"/>
      <c r="M88" s="60"/>
    </row>
    <row r="89" customFormat="false" ht="15" hidden="false" customHeight="false" outlineLevel="0" collapsed="false">
      <c r="A89" s="54" t="s">
        <v>46</v>
      </c>
      <c r="B89" s="55" t="s">
        <v>454</v>
      </c>
      <c r="C89" s="56" t="s">
        <v>455</v>
      </c>
      <c r="D89" s="57" t="s">
        <v>48</v>
      </c>
      <c r="E89" s="57" t="s">
        <v>212</v>
      </c>
      <c r="F89" s="55" t="s">
        <v>213</v>
      </c>
      <c r="G89" s="55" t="s">
        <v>214</v>
      </c>
      <c r="H89" s="57" t="s">
        <v>211</v>
      </c>
      <c r="I89" s="58" t="n">
        <f aca="false">'P9-002'!$N$11</f>
        <v>46328</v>
      </c>
      <c r="J89" s="58" t="n">
        <f aca="false">'P9-002'!$O$11</f>
        <v>46340</v>
      </c>
      <c r="K89" s="56" t="str">
        <f aca="false">IF(OR(L89="Y",LEFT('P9-002'!$T$11,1)="D"),"",IF(AND(ISNUMBER(J89),J89&lt;ASOF),"⚠ เลยกำหนด",IF(AND(ISNUMBER(I89),I89&lt;=ASOF+14,J89&gt;=ASOF-7),"ช่วงนี้","")))</f>
        <v>ช่วงนี้</v>
      </c>
      <c r="L89" s="59"/>
      <c r="M89" s="60"/>
    </row>
    <row r="90" customFormat="false" ht="15" hidden="false" customHeight="false" outlineLevel="0" collapsed="false">
      <c r="A90" s="54" t="s">
        <v>46</v>
      </c>
      <c r="B90" s="55" t="s">
        <v>454</v>
      </c>
      <c r="C90" s="56" t="s">
        <v>455</v>
      </c>
      <c r="D90" s="57" t="s">
        <v>48</v>
      </c>
      <c r="E90" s="57" t="s">
        <v>215</v>
      </c>
      <c r="F90" s="55" t="s">
        <v>216</v>
      </c>
      <c r="G90" s="61" t="s">
        <v>217</v>
      </c>
      <c r="H90" s="57" t="s">
        <v>211</v>
      </c>
      <c r="I90" s="58" t="n">
        <f aca="false">'P9-002'!$N$12</f>
        <v>46328</v>
      </c>
      <c r="J90" s="58" t="n">
        <f aca="false">'P9-002'!$O$12</f>
        <v>46340</v>
      </c>
      <c r="K90" s="56" t="str">
        <f aca="false">IF(OR(L90="Y",LEFT('P9-002'!$T$12,1)="D"),"",IF(AND(ISNUMBER(J90),J90&lt;ASOF),"⚠ เลยกำหนด",IF(AND(ISNUMBER(I90),I90&lt;=ASOF+14,J90&gt;=ASOF-7),"ช่วงนี้","")))</f>
        <v>ช่วงนี้</v>
      </c>
      <c r="L90" s="59"/>
      <c r="M90" s="60"/>
    </row>
    <row r="91" customFormat="false" ht="15" hidden="false" customHeight="false" outlineLevel="0" collapsed="false">
      <c r="A91" s="54" t="s">
        <v>46</v>
      </c>
      <c r="B91" s="55" t="s">
        <v>454</v>
      </c>
      <c r="C91" s="56" t="s">
        <v>455</v>
      </c>
      <c r="D91" s="57" t="s">
        <v>48</v>
      </c>
      <c r="E91" s="57" t="s">
        <v>218</v>
      </c>
      <c r="F91" s="55" t="s">
        <v>219</v>
      </c>
      <c r="G91" s="55" t="s">
        <v>220</v>
      </c>
      <c r="H91" s="57" t="s">
        <v>211</v>
      </c>
      <c r="I91" s="58" t="n">
        <f aca="false">'P9-002'!$N$13</f>
        <v>46328</v>
      </c>
      <c r="J91" s="58" t="n">
        <f aca="false">'P9-002'!$O$13</f>
        <v>46346</v>
      </c>
      <c r="K91" s="56" t="str">
        <f aca="false">IF(OR(L91="Y",LEFT('P9-002'!$T$13,1)="D"),"",IF(AND(ISNUMBER(J91),J91&lt;ASOF),"⚠ เลยกำหนด",IF(AND(ISNUMBER(I91),I91&lt;=ASOF+14,J91&gt;=ASOF-7),"ช่วงนี้","")))</f>
        <v>ช่วงนี้</v>
      </c>
      <c r="L91" s="59"/>
      <c r="M91" s="60"/>
    </row>
    <row r="92" customFormat="false" ht="15" hidden="false" customHeight="false" outlineLevel="0" collapsed="false">
      <c r="A92" s="54" t="s">
        <v>46</v>
      </c>
      <c r="B92" s="55" t="s">
        <v>454</v>
      </c>
      <c r="C92" s="56" t="s">
        <v>455</v>
      </c>
      <c r="D92" s="57" t="s">
        <v>48</v>
      </c>
      <c r="E92" s="57" t="s">
        <v>221</v>
      </c>
      <c r="F92" s="55" t="s">
        <v>222</v>
      </c>
      <c r="G92" s="55" t="s">
        <v>223</v>
      </c>
      <c r="H92" s="57" t="s">
        <v>211</v>
      </c>
      <c r="I92" s="58" t="n">
        <f aca="false">'P9-002'!$N$14</f>
        <v>46340</v>
      </c>
      <c r="J92" s="58" t="n">
        <f aca="false">'P9-002'!$O$14</f>
        <v>46450</v>
      </c>
      <c r="K92" s="56" t="str">
        <f aca="false">IF(OR(L92="Y",LEFT('P9-002'!$T$14,1)="D"),"",IF(AND(ISNUMBER(J92),J92&lt;ASOF),"⚠ เลยกำหนด",IF(AND(ISNUMBER(I92),I92&lt;=ASOF+14,J92&gt;=ASOF-7),"ช่วงนี้","")))</f>
        <v>ช่วงนี้</v>
      </c>
      <c r="L92" s="59"/>
      <c r="M92" s="60"/>
    </row>
    <row r="93" customFormat="false" ht="15" hidden="false" customHeight="false" outlineLevel="0" collapsed="false">
      <c r="A93" s="54" t="s">
        <v>46</v>
      </c>
      <c r="B93" s="55" t="s">
        <v>454</v>
      </c>
      <c r="C93" s="56" t="s">
        <v>455</v>
      </c>
      <c r="D93" s="57" t="s">
        <v>48</v>
      </c>
      <c r="E93" s="57" t="s">
        <v>224</v>
      </c>
      <c r="F93" s="55" t="s">
        <v>225</v>
      </c>
      <c r="G93" s="61" t="s">
        <v>226</v>
      </c>
      <c r="H93" s="57" t="s">
        <v>211</v>
      </c>
      <c r="I93" s="58" t="n">
        <f aca="false">'P9-002'!$N$15</f>
        <v>46340</v>
      </c>
      <c r="J93" s="58" t="n">
        <f aca="false">'P9-002'!$O$15</f>
        <v>46450</v>
      </c>
      <c r="K93" s="56" t="str">
        <f aca="false">IF(OR(L93="Y",LEFT('P9-002'!$T$15,1)="D"),"",IF(AND(ISNUMBER(J93),J93&lt;ASOF),"⚠ เลยกำหนด",IF(AND(ISNUMBER(I93),I93&lt;=ASOF+14,J93&gt;=ASOF-7),"ช่วงนี้","")))</f>
        <v>ช่วงนี้</v>
      </c>
      <c r="L93" s="59"/>
      <c r="M93" s="60"/>
    </row>
    <row r="94" customFormat="false" ht="15" hidden="false" customHeight="false" outlineLevel="0" collapsed="false">
      <c r="A94" s="54" t="s">
        <v>46</v>
      </c>
      <c r="B94" s="55" t="s">
        <v>454</v>
      </c>
      <c r="C94" s="56" t="s">
        <v>455</v>
      </c>
      <c r="D94" s="57" t="s">
        <v>48</v>
      </c>
      <c r="E94" s="57" t="s">
        <v>227</v>
      </c>
      <c r="F94" s="55" t="s">
        <v>228</v>
      </c>
      <c r="G94" s="55" t="s">
        <v>229</v>
      </c>
      <c r="H94" s="57" t="s">
        <v>211</v>
      </c>
      <c r="I94" s="58" t="n">
        <f aca="false">'P9-002'!$N$17</f>
        <v>46328</v>
      </c>
      <c r="J94" s="58" t="n">
        <f aca="false">'P9-002'!$O$17</f>
        <v>46328</v>
      </c>
      <c r="K94" s="56" t="str">
        <f aca="false">IF(OR(L94="Y",LEFT('P9-002'!$T$17,1)="D"),"",IF(AND(ISNUMBER(J94),J94&lt;ASOF),"⚠ เลยกำหนด",IF(AND(ISNUMBER(I94),I94&lt;=ASOF+14,J94&gt;=ASOF-7),"ช่วงนี้","")))</f>
        <v>ช่วงนี้</v>
      </c>
      <c r="L94" s="59"/>
      <c r="M94" s="60"/>
    </row>
    <row r="95" customFormat="false" ht="15" hidden="false" customHeight="false" outlineLevel="0" collapsed="false">
      <c r="A95" s="54" t="s">
        <v>46</v>
      </c>
      <c r="B95" s="55" t="s">
        <v>454</v>
      </c>
      <c r="C95" s="56" t="s">
        <v>455</v>
      </c>
      <c r="D95" s="57" t="s">
        <v>48</v>
      </c>
      <c r="E95" s="57" t="s">
        <v>230</v>
      </c>
      <c r="F95" s="55" t="s">
        <v>231</v>
      </c>
      <c r="G95" s="55" t="s">
        <v>232</v>
      </c>
      <c r="H95" s="57" t="s">
        <v>211</v>
      </c>
      <c r="I95" s="58" t="n">
        <f aca="false">'P9-002'!$N$18</f>
        <v>46328</v>
      </c>
      <c r="J95" s="58" t="n">
        <f aca="false">'P9-002'!$O$18</f>
        <v>46328</v>
      </c>
      <c r="K95" s="56" t="str">
        <f aca="false">IF(OR(L95="Y",LEFT('P9-002'!$T$18,1)="D"),"",IF(AND(ISNUMBER(J95),J95&lt;ASOF),"⚠ เลยกำหนด",IF(AND(ISNUMBER(I95),I95&lt;=ASOF+14,J95&gt;=ASOF-7),"ช่วงนี้","")))</f>
        <v>ช่วงนี้</v>
      </c>
      <c r="L95" s="59"/>
      <c r="M95" s="60"/>
    </row>
    <row r="96" customFormat="false" ht="15" hidden="false" customHeight="false" outlineLevel="0" collapsed="false">
      <c r="A96" s="54" t="s">
        <v>46</v>
      </c>
      <c r="B96" s="55" t="s">
        <v>454</v>
      </c>
      <c r="C96" s="56" t="s">
        <v>455</v>
      </c>
      <c r="D96" s="57" t="s">
        <v>48</v>
      </c>
      <c r="E96" s="57" t="s">
        <v>233</v>
      </c>
      <c r="F96" s="55" t="s">
        <v>234</v>
      </c>
      <c r="G96" s="55" t="s">
        <v>235</v>
      </c>
      <c r="H96" s="57" t="s">
        <v>211</v>
      </c>
      <c r="I96" s="58" t="n">
        <f aca="false">'P9-002'!$N$19</f>
        <v>46328</v>
      </c>
      <c r="J96" s="58" t="n">
        <f aca="false">'P9-002'!$O$19</f>
        <v>46328</v>
      </c>
      <c r="K96" s="56" t="str">
        <f aca="false">IF(OR(L96="Y",LEFT('P9-002'!$T$19,1)="D"),"",IF(AND(ISNUMBER(J96),J96&lt;ASOF),"⚠ เลยกำหนด",IF(AND(ISNUMBER(I96),I96&lt;=ASOF+14,J96&gt;=ASOF-7),"ช่วงนี้","")))</f>
        <v>ช่วงนี้</v>
      </c>
      <c r="L96" s="59"/>
      <c r="M96" s="60"/>
    </row>
    <row r="97" customFormat="false" ht="15" hidden="false" customHeight="false" outlineLevel="0" collapsed="false">
      <c r="A97" s="54" t="s">
        <v>46</v>
      </c>
      <c r="B97" s="55" t="s">
        <v>454</v>
      </c>
      <c r="C97" s="56" t="s">
        <v>455</v>
      </c>
      <c r="D97" s="57" t="s">
        <v>48</v>
      </c>
      <c r="E97" s="57" t="s">
        <v>236</v>
      </c>
      <c r="F97" s="55" t="s">
        <v>237</v>
      </c>
      <c r="G97" s="55" t="s">
        <v>238</v>
      </c>
      <c r="H97" s="57" t="s">
        <v>211</v>
      </c>
      <c r="I97" s="58" t="n">
        <f aca="false">'P9-002'!$N$20</f>
        <v>46328</v>
      </c>
      <c r="J97" s="58" t="n">
        <f aca="false">'P9-002'!$O$20</f>
        <v>46328</v>
      </c>
      <c r="K97" s="56" t="str">
        <f aca="false">IF(OR(L97="Y",LEFT('P9-002'!$T$20,1)="D"),"",IF(AND(ISNUMBER(J97),J97&lt;ASOF),"⚠ เลยกำหนด",IF(AND(ISNUMBER(I97),I97&lt;=ASOF+14,J97&gt;=ASOF-7),"ช่วงนี้","")))</f>
        <v>ช่วงนี้</v>
      </c>
      <c r="L97" s="59"/>
      <c r="M97" s="60"/>
    </row>
    <row r="98" customFormat="false" ht="15" hidden="false" customHeight="false" outlineLevel="0" collapsed="false">
      <c r="A98" s="54" t="s">
        <v>46</v>
      </c>
      <c r="B98" s="55" t="s">
        <v>454</v>
      </c>
      <c r="C98" s="56" t="s">
        <v>455</v>
      </c>
      <c r="D98" s="57" t="s">
        <v>48</v>
      </c>
      <c r="E98" s="57" t="s">
        <v>239</v>
      </c>
      <c r="F98" s="55" t="s">
        <v>240</v>
      </c>
      <c r="G98" s="55" t="s">
        <v>241</v>
      </c>
      <c r="H98" s="57" t="s">
        <v>211</v>
      </c>
      <c r="I98" s="58" t="n">
        <f aca="false">'P9-002'!$N$21</f>
        <v>46328</v>
      </c>
      <c r="J98" s="58" t="n">
        <f aca="false">'P9-002'!$O$21</f>
        <v>46328</v>
      </c>
      <c r="K98" s="56" t="str">
        <f aca="false">IF(OR(L98="Y",LEFT('P9-002'!$T$21,1)="D"),"",IF(AND(ISNUMBER(J98),J98&lt;ASOF),"⚠ เลยกำหนด",IF(AND(ISNUMBER(I98),I98&lt;=ASOF+14,J98&gt;=ASOF-7),"ช่วงนี้","")))</f>
        <v>ช่วงนี้</v>
      </c>
      <c r="L98" s="59"/>
      <c r="M98" s="60"/>
    </row>
    <row r="99" customFormat="false" ht="15" hidden="false" customHeight="false" outlineLevel="0" collapsed="false">
      <c r="A99" s="54" t="s">
        <v>46</v>
      </c>
      <c r="B99" s="55" t="s">
        <v>454</v>
      </c>
      <c r="C99" s="56" t="s">
        <v>455</v>
      </c>
      <c r="D99" s="57" t="s">
        <v>48</v>
      </c>
      <c r="E99" s="57" t="s">
        <v>242</v>
      </c>
      <c r="F99" s="55" t="s">
        <v>243</v>
      </c>
      <c r="G99" s="55" t="s">
        <v>244</v>
      </c>
      <c r="H99" s="57" t="s">
        <v>211</v>
      </c>
      <c r="I99" s="58" t="n">
        <f aca="false">'P9-002'!$N$22</f>
        <v>46328</v>
      </c>
      <c r="J99" s="58" t="n">
        <f aca="false">'P9-002'!$O$22</f>
        <v>46328</v>
      </c>
      <c r="K99" s="56" t="str">
        <f aca="false">IF(OR(L99="Y",LEFT('P9-002'!$T$22,1)="D"),"",IF(AND(ISNUMBER(J99),J99&lt;ASOF),"⚠ เลยกำหนด",IF(AND(ISNUMBER(I99),I99&lt;=ASOF+14,J99&gt;=ASOF-7),"ช่วงนี้","")))</f>
        <v>ช่วงนี้</v>
      </c>
      <c r="L99" s="59"/>
      <c r="M99" s="60"/>
    </row>
    <row r="100" customFormat="false" ht="15" hidden="false" customHeight="false" outlineLevel="0" collapsed="false">
      <c r="A100" s="54" t="s">
        <v>46</v>
      </c>
      <c r="B100" s="55" t="s">
        <v>454</v>
      </c>
      <c r="C100" s="56" t="s">
        <v>455</v>
      </c>
      <c r="D100" s="57" t="s">
        <v>48</v>
      </c>
      <c r="E100" s="57" t="s">
        <v>245</v>
      </c>
      <c r="F100" s="55" t="s">
        <v>246</v>
      </c>
      <c r="G100" s="55" t="s">
        <v>247</v>
      </c>
      <c r="H100" s="57" t="s">
        <v>211</v>
      </c>
      <c r="I100" s="58" t="n">
        <f aca="false">'P9-002'!$N$23</f>
        <v>46328</v>
      </c>
      <c r="J100" s="58" t="n">
        <f aca="false">'P9-002'!$O$23</f>
        <v>46328</v>
      </c>
      <c r="K100" s="56" t="str">
        <f aca="false">IF(OR(L100="Y",LEFT('P9-002'!$T$23,1)="D"),"",IF(AND(ISNUMBER(J100),J100&lt;ASOF),"⚠ เลยกำหนด",IF(AND(ISNUMBER(I100),I100&lt;=ASOF+14,J100&gt;=ASOF-7),"ช่วงนี้","")))</f>
        <v>ช่วงนี้</v>
      </c>
      <c r="L100" s="59"/>
      <c r="M100" s="60"/>
    </row>
    <row r="101" customFormat="false" ht="15" hidden="false" customHeight="false" outlineLevel="0" collapsed="false">
      <c r="A101" s="54" t="s">
        <v>46</v>
      </c>
      <c r="B101" s="55" t="s">
        <v>454</v>
      </c>
      <c r="C101" s="56" t="s">
        <v>455</v>
      </c>
      <c r="D101" s="57" t="s">
        <v>48</v>
      </c>
      <c r="E101" s="57" t="s">
        <v>248</v>
      </c>
      <c r="F101" s="55" t="s">
        <v>249</v>
      </c>
      <c r="G101" s="55" t="s">
        <v>250</v>
      </c>
      <c r="H101" s="57" t="s">
        <v>211</v>
      </c>
      <c r="I101" s="58" t="n">
        <f aca="false">'P9-002'!$N$24</f>
        <v>46328</v>
      </c>
      <c r="J101" s="58" t="n">
        <f aca="false">'P9-002'!$O$24</f>
        <v>46328</v>
      </c>
      <c r="K101" s="56" t="str">
        <f aca="false">IF(OR(L101="Y",LEFT('P9-002'!$T$24,1)="D"),"",IF(AND(ISNUMBER(J101),J101&lt;ASOF),"⚠ เลยกำหนด",IF(AND(ISNUMBER(I101),I101&lt;=ASOF+14,J101&gt;=ASOF-7),"ช่วงนี้","")))</f>
        <v>ช่วงนี้</v>
      </c>
      <c r="L101" s="59"/>
      <c r="M101" s="60"/>
    </row>
    <row r="102" customFormat="false" ht="15" hidden="false" customHeight="false" outlineLevel="0" collapsed="false">
      <c r="A102" s="54" t="s">
        <v>46</v>
      </c>
      <c r="B102" s="55" t="s">
        <v>454</v>
      </c>
      <c r="C102" s="56" t="s">
        <v>455</v>
      </c>
      <c r="D102" s="57" t="s">
        <v>48</v>
      </c>
      <c r="E102" s="57" t="s">
        <v>251</v>
      </c>
      <c r="F102" s="55" t="s">
        <v>252</v>
      </c>
      <c r="G102" s="55" t="s">
        <v>253</v>
      </c>
      <c r="H102" s="57" t="s">
        <v>211</v>
      </c>
      <c r="I102" s="58" t="n">
        <f aca="false">'P9-002'!$N$26</f>
        <v>46329</v>
      </c>
      <c r="J102" s="58" t="n">
        <f aca="false">'P9-002'!$O$26</f>
        <v>46329</v>
      </c>
      <c r="K102" s="56" t="str">
        <f aca="false">IF(OR(L102="Y",LEFT('P9-002'!$T$26,1)="D"),"",IF(AND(ISNUMBER(J102),J102&lt;ASOF),"⚠ เลยกำหนด",IF(AND(ISNUMBER(I102),I102&lt;=ASOF+14,J102&gt;=ASOF-7),"ช่วงนี้","")))</f>
        <v>ช่วงนี้</v>
      </c>
      <c r="L102" s="59"/>
      <c r="M102" s="60"/>
    </row>
    <row r="103" customFormat="false" ht="15" hidden="false" customHeight="false" outlineLevel="0" collapsed="false">
      <c r="A103" s="54" t="s">
        <v>46</v>
      </c>
      <c r="B103" s="55" t="s">
        <v>454</v>
      </c>
      <c r="C103" s="56" t="s">
        <v>455</v>
      </c>
      <c r="D103" s="57" t="s">
        <v>48</v>
      </c>
      <c r="E103" s="57" t="s">
        <v>254</v>
      </c>
      <c r="F103" s="55" t="s">
        <v>255</v>
      </c>
      <c r="G103" s="55" t="s">
        <v>256</v>
      </c>
      <c r="H103" s="57" t="s">
        <v>211</v>
      </c>
      <c r="I103" s="58" t="n">
        <f aca="false">'P9-002'!$N$27</f>
        <v>46329</v>
      </c>
      <c r="J103" s="58" t="n">
        <f aca="false">'P9-002'!$O$27</f>
        <v>46329</v>
      </c>
      <c r="K103" s="56" t="str">
        <f aca="false">IF(OR(L103="Y",LEFT('P9-002'!$T$27,1)="D"),"",IF(AND(ISNUMBER(J103),J103&lt;ASOF),"⚠ เลยกำหนด",IF(AND(ISNUMBER(I103),I103&lt;=ASOF+14,J103&gt;=ASOF-7),"ช่วงนี้","")))</f>
        <v>ช่วงนี้</v>
      </c>
      <c r="L103" s="59"/>
      <c r="M103" s="60"/>
    </row>
    <row r="104" customFormat="false" ht="15" hidden="false" customHeight="false" outlineLevel="0" collapsed="false">
      <c r="A104" s="54" t="s">
        <v>46</v>
      </c>
      <c r="B104" s="55" t="s">
        <v>454</v>
      </c>
      <c r="C104" s="56" t="s">
        <v>455</v>
      </c>
      <c r="D104" s="57" t="s">
        <v>48</v>
      </c>
      <c r="E104" s="57" t="s">
        <v>257</v>
      </c>
      <c r="F104" s="55" t="s">
        <v>258</v>
      </c>
      <c r="G104" s="55" t="s">
        <v>259</v>
      </c>
      <c r="H104" s="57" t="s">
        <v>211</v>
      </c>
      <c r="I104" s="58" t="n">
        <f aca="false">'P9-002'!$N$28</f>
        <v>46329</v>
      </c>
      <c r="J104" s="58" t="n">
        <f aca="false">'P9-002'!$O$28</f>
        <v>46329</v>
      </c>
      <c r="K104" s="56" t="str">
        <f aca="false">IF(OR(L104="Y",LEFT('P9-002'!$T$28,1)="D"),"",IF(AND(ISNUMBER(J104),J104&lt;ASOF),"⚠ เลยกำหนด",IF(AND(ISNUMBER(I104),I104&lt;=ASOF+14,J104&gt;=ASOF-7),"ช่วงนี้","")))</f>
        <v>ช่วงนี้</v>
      </c>
      <c r="L104" s="59"/>
      <c r="M104" s="60"/>
    </row>
    <row r="105" customFormat="false" ht="15" hidden="false" customHeight="false" outlineLevel="0" collapsed="false">
      <c r="A105" s="54" t="s">
        <v>46</v>
      </c>
      <c r="B105" s="55" t="s">
        <v>454</v>
      </c>
      <c r="C105" s="56" t="s">
        <v>455</v>
      </c>
      <c r="D105" s="57" t="s">
        <v>48</v>
      </c>
      <c r="E105" s="57" t="s">
        <v>260</v>
      </c>
      <c r="F105" s="55" t="s">
        <v>261</v>
      </c>
      <c r="G105" s="55" t="s">
        <v>262</v>
      </c>
      <c r="H105" s="57" t="s">
        <v>211</v>
      </c>
      <c r="I105" s="58" t="n">
        <f aca="false">'P9-002'!$N$31</f>
        <v>46328</v>
      </c>
      <c r="J105" s="58" t="n">
        <f aca="false">'P9-002'!$O$31</f>
        <v>46328</v>
      </c>
      <c r="K105" s="56" t="str">
        <f aca="false">IF(OR(L105="Y",LEFT('P9-002'!$T$31,1)="D"),"",IF(AND(ISNUMBER(J105),J105&lt;ASOF),"⚠ เลยกำหนด",IF(AND(ISNUMBER(I105),I105&lt;=ASOF+14,J105&gt;=ASOF-7),"ช่วงนี้","")))</f>
        <v>ช่วงนี้</v>
      </c>
      <c r="L105" s="59"/>
      <c r="M105" s="60"/>
    </row>
    <row r="106" customFormat="false" ht="15" hidden="false" customHeight="false" outlineLevel="0" collapsed="false">
      <c r="A106" s="54" t="s">
        <v>46</v>
      </c>
      <c r="B106" s="55" t="s">
        <v>454</v>
      </c>
      <c r="C106" s="56" t="s">
        <v>455</v>
      </c>
      <c r="D106" s="57" t="s">
        <v>48</v>
      </c>
      <c r="E106" s="57" t="s">
        <v>263</v>
      </c>
      <c r="F106" s="55" t="s">
        <v>264</v>
      </c>
      <c r="G106" s="55" t="s">
        <v>265</v>
      </c>
      <c r="H106" s="57" t="s">
        <v>211</v>
      </c>
      <c r="I106" s="58" t="n">
        <f aca="false">'P9-002'!$N$32</f>
        <v>46328</v>
      </c>
      <c r="J106" s="58" t="n">
        <f aca="false">'P9-002'!$O$32</f>
        <v>46328</v>
      </c>
      <c r="K106" s="56" t="str">
        <f aca="false">IF(OR(L106="Y",LEFT('P9-002'!$T$32,1)="D"),"",IF(AND(ISNUMBER(J106),J106&lt;ASOF),"⚠ เลยกำหนด",IF(AND(ISNUMBER(I106),I106&lt;=ASOF+14,J106&gt;=ASOF-7),"ช่วงนี้","")))</f>
        <v>ช่วงนี้</v>
      </c>
      <c r="L106" s="59"/>
      <c r="M106" s="60"/>
    </row>
    <row r="107" customFormat="false" ht="15" hidden="false" customHeight="false" outlineLevel="0" collapsed="false">
      <c r="A107" s="54" t="s">
        <v>46</v>
      </c>
      <c r="B107" s="55" t="s">
        <v>454</v>
      </c>
      <c r="C107" s="56" t="s">
        <v>455</v>
      </c>
      <c r="D107" s="57" t="s">
        <v>48</v>
      </c>
      <c r="E107" s="57" t="s">
        <v>266</v>
      </c>
      <c r="F107" s="55" t="s">
        <v>267</v>
      </c>
      <c r="G107" s="55" t="s">
        <v>268</v>
      </c>
      <c r="H107" s="57" t="s">
        <v>211</v>
      </c>
      <c r="I107" s="58" t="n">
        <f aca="false">'P9-002'!$N$33</f>
        <v>46328</v>
      </c>
      <c r="J107" s="58" t="n">
        <f aca="false">'P9-002'!$O$33</f>
        <v>46328</v>
      </c>
      <c r="K107" s="56" t="str">
        <f aca="false">IF(OR(L107="Y",LEFT('P9-002'!$T$33,1)="D"),"",IF(AND(ISNUMBER(J107),J107&lt;ASOF),"⚠ เลยกำหนด",IF(AND(ISNUMBER(I107),I107&lt;=ASOF+14,J107&gt;=ASOF-7),"ช่วงนี้","")))</f>
        <v>ช่วงนี้</v>
      </c>
      <c r="L107" s="59"/>
      <c r="M107" s="60"/>
    </row>
    <row r="108" customFormat="false" ht="15" hidden="false" customHeight="false" outlineLevel="0" collapsed="false">
      <c r="A108" s="54" t="s">
        <v>46</v>
      </c>
      <c r="B108" s="55" t="s">
        <v>454</v>
      </c>
      <c r="C108" s="56" t="s">
        <v>455</v>
      </c>
      <c r="D108" s="57" t="s">
        <v>48</v>
      </c>
      <c r="E108" s="57" t="s">
        <v>269</v>
      </c>
      <c r="F108" s="61" t="s">
        <v>270</v>
      </c>
      <c r="G108" s="61" t="s">
        <v>271</v>
      </c>
      <c r="H108" s="57" t="s">
        <v>211</v>
      </c>
      <c r="I108" s="58" t="n">
        <f aca="false">'P9-002'!$N$35</f>
        <v>46328</v>
      </c>
      <c r="J108" s="58" t="n">
        <f aca="false">'P9-002'!$O$35</f>
        <v>46328</v>
      </c>
      <c r="K108" s="56" t="str">
        <f aca="false">IF(OR(L108="Y",LEFT('P9-002'!$T$35,1)="D"),"",IF(AND(ISNUMBER(J108),J108&lt;ASOF),"⚠ เลยกำหนด",IF(AND(ISNUMBER(I108),I108&lt;=ASOF+14,J108&gt;=ASOF-7),"ช่วงนี้","")))</f>
        <v>ช่วงนี้</v>
      </c>
      <c r="L108" s="59"/>
      <c r="M108" s="60"/>
    </row>
    <row r="109" customFormat="false" ht="15" hidden="false" customHeight="false" outlineLevel="0" collapsed="false">
      <c r="A109" s="54" t="s">
        <v>46</v>
      </c>
      <c r="B109" s="55" t="s">
        <v>454</v>
      </c>
      <c r="C109" s="56" t="s">
        <v>455</v>
      </c>
      <c r="D109" s="57" t="s">
        <v>48</v>
      </c>
      <c r="E109" s="57" t="s">
        <v>272</v>
      </c>
      <c r="F109" s="55" t="s">
        <v>273</v>
      </c>
      <c r="G109" s="55" t="s">
        <v>274</v>
      </c>
      <c r="H109" s="57" t="s">
        <v>211</v>
      </c>
      <c r="I109" s="58" t="n">
        <f aca="false">'P9-002'!$N$36</f>
        <v>46328</v>
      </c>
      <c r="J109" s="58" t="n">
        <f aca="false">'P9-002'!$O$36</f>
        <v>46328</v>
      </c>
      <c r="K109" s="56" t="str">
        <f aca="false">IF(OR(L109="Y",LEFT('P9-002'!$T$36,1)="D"),"",IF(AND(ISNUMBER(J109),J109&lt;ASOF),"⚠ เลยกำหนด",IF(AND(ISNUMBER(I109),I109&lt;=ASOF+14,J109&gt;=ASOF-7),"ช่วงนี้","")))</f>
        <v>ช่วงนี้</v>
      </c>
      <c r="L109" s="59"/>
      <c r="M109" s="60"/>
    </row>
    <row r="110" customFormat="false" ht="15" hidden="false" customHeight="false" outlineLevel="0" collapsed="false">
      <c r="A110" s="54" t="s">
        <v>46</v>
      </c>
      <c r="B110" s="55" t="s">
        <v>454</v>
      </c>
      <c r="C110" s="56" t="s">
        <v>455</v>
      </c>
      <c r="D110" s="57" t="s">
        <v>48</v>
      </c>
      <c r="E110" s="57" t="s">
        <v>275</v>
      </c>
      <c r="F110" s="55" t="s">
        <v>276</v>
      </c>
      <c r="G110" s="55" t="s">
        <v>277</v>
      </c>
      <c r="H110" s="57" t="s">
        <v>211</v>
      </c>
      <c r="I110" s="58" t="n">
        <f aca="false">'P9-002'!$N$37</f>
        <v>46328</v>
      </c>
      <c r="J110" s="58" t="n">
        <f aca="false">'P9-002'!$O$37</f>
        <v>46328</v>
      </c>
      <c r="K110" s="56" t="str">
        <f aca="false">IF(OR(L110="Y",LEFT('P9-002'!$T$37,1)="D"),"",IF(AND(ISNUMBER(J110),J110&lt;ASOF),"⚠ เลยกำหนด",IF(AND(ISNUMBER(I110),I110&lt;=ASOF+14,J110&gt;=ASOF-7),"ช่วงนี้","")))</f>
        <v>ช่วงนี้</v>
      </c>
      <c r="L110" s="59"/>
      <c r="M110" s="60"/>
    </row>
    <row r="111" customFormat="false" ht="15" hidden="false" customHeight="false" outlineLevel="0" collapsed="false">
      <c r="A111" s="54" t="s">
        <v>46</v>
      </c>
      <c r="B111" s="55" t="s">
        <v>454</v>
      </c>
      <c r="C111" s="56" t="s">
        <v>455</v>
      </c>
      <c r="D111" s="57" t="s">
        <v>48</v>
      </c>
      <c r="E111" s="57" t="s">
        <v>278</v>
      </c>
      <c r="F111" s="55" t="s">
        <v>279</v>
      </c>
      <c r="G111" s="55" t="s">
        <v>280</v>
      </c>
      <c r="H111" s="57" t="s">
        <v>211</v>
      </c>
      <c r="I111" s="58" t="n">
        <f aca="false">'P9-002'!$N$38</f>
        <v>46328</v>
      </c>
      <c r="J111" s="58" t="n">
        <f aca="false">'P9-002'!$O$38</f>
        <v>46328</v>
      </c>
      <c r="K111" s="56" t="str">
        <f aca="false">IF(OR(L111="Y",LEFT('P9-002'!$T$38,1)="D"),"",IF(AND(ISNUMBER(J111),J111&lt;ASOF),"⚠ เลยกำหนด",IF(AND(ISNUMBER(I111),I111&lt;=ASOF+14,J111&gt;=ASOF-7),"ช่วงนี้","")))</f>
        <v>ช่วงนี้</v>
      </c>
      <c r="L111" s="59"/>
      <c r="M111" s="60"/>
    </row>
    <row r="112" customFormat="false" ht="15" hidden="false" customHeight="false" outlineLevel="0" collapsed="false">
      <c r="A112" s="54" t="s">
        <v>46</v>
      </c>
      <c r="B112" s="55" t="s">
        <v>454</v>
      </c>
      <c r="C112" s="56" t="s">
        <v>455</v>
      </c>
      <c r="D112" s="57" t="s">
        <v>48</v>
      </c>
      <c r="E112" s="57" t="s">
        <v>281</v>
      </c>
      <c r="F112" s="55" t="s">
        <v>282</v>
      </c>
      <c r="G112" s="55" t="s">
        <v>283</v>
      </c>
      <c r="H112" s="57" t="s">
        <v>211</v>
      </c>
      <c r="I112" s="58" t="n">
        <f aca="false">'P9-002'!$N$40</f>
        <v>46328</v>
      </c>
      <c r="J112" s="58" t="n">
        <f aca="false">'P9-002'!$O$40</f>
        <v>46328</v>
      </c>
      <c r="K112" s="56" t="str">
        <f aca="false">IF(OR(L112="Y",LEFT('P9-002'!$T$40,1)="D"),"",IF(AND(ISNUMBER(J112),J112&lt;ASOF),"⚠ เลยกำหนด",IF(AND(ISNUMBER(I112),I112&lt;=ASOF+14,J112&gt;=ASOF-7),"ช่วงนี้","")))</f>
        <v>ช่วงนี้</v>
      </c>
      <c r="L112" s="59"/>
      <c r="M112" s="60"/>
    </row>
    <row r="113" customFormat="false" ht="15" hidden="false" customHeight="false" outlineLevel="0" collapsed="false">
      <c r="A113" s="54" t="s">
        <v>46</v>
      </c>
      <c r="B113" s="55" t="s">
        <v>454</v>
      </c>
      <c r="C113" s="56" t="s">
        <v>455</v>
      </c>
      <c r="D113" s="57" t="s">
        <v>48</v>
      </c>
      <c r="E113" s="57" t="s">
        <v>284</v>
      </c>
      <c r="F113" s="55" t="s">
        <v>285</v>
      </c>
      <c r="G113" s="61" t="s">
        <v>286</v>
      </c>
      <c r="H113" s="57" t="s">
        <v>211</v>
      </c>
      <c r="I113" s="58" t="n">
        <f aca="false">'P9-002'!$N$41</f>
        <v>46328</v>
      </c>
      <c r="J113" s="58" t="n">
        <f aca="false">'P9-002'!$O$41</f>
        <v>46328</v>
      </c>
      <c r="K113" s="56" t="str">
        <f aca="false">IF(OR(L113="Y",LEFT('P9-002'!$T$41,1)="D"),"",IF(AND(ISNUMBER(J113),J113&lt;ASOF),"⚠ เลยกำหนด",IF(AND(ISNUMBER(I113),I113&lt;=ASOF+14,J113&gt;=ASOF-7),"ช่วงนี้","")))</f>
        <v>ช่วงนี้</v>
      </c>
      <c r="L113" s="59"/>
      <c r="M113" s="60"/>
    </row>
    <row r="114" customFormat="false" ht="15" hidden="false" customHeight="false" outlineLevel="0" collapsed="false">
      <c r="A114" s="54" t="s">
        <v>46</v>
      </c>
      <c r="B114" s="55" t="s">
        <v>454</v>
      </c>
      <c r="C114" s="56" t="s">
        <v>455</v>
      </c>
      <c r="D114" s="57" t="s">
        <v>48</v>
      </c>
      <c r="E114" s="57" t="s">
        <v>287</v>
      </c>
      <c r="F114" s="55" t="s">
        <v>288</v>
      </c>
      <c r="G114" s="61" t="s">
        <v>289</v>
      </c>
      <c r="H114" s="57" t="s">
        <v>211</v>
      </c>
      <c r="I114" s="58" t="n">
        <f aca="false">'P9-002'!$N$42</f>
        <v>46328</v>
      </c>
      <c r="J114" s="58" t="n">
        <f aca="false">'P9-002'!$O$42</f>
        <v>46328</v>
      </c>
      <c r="K114" s="56" t="str">
        <f aca="false">IF(OR(L114="Y",LEFT('P9-002'!$T$42,1)="D"),"",IF(AND(ISNUMBER(J114),J114&lt;ASOF),"⚠ เลยกำหนด",IF(AND(ISNUMBER(I114),I114&lt;=ASOF+14,J114&gt;=ASOF-7),"ช่วงนี้","")))</f>
        <v>ช่วงนี้</v>
      </c>
      <c r="L114" s="59"/>
      <c r="M114" s="60"/>
    </row>
    <row r="115" customFormat="false" ht="15" hidden="false" customHeight="false" outlineLevel="0" collapsed="false">
      <c r="A115" s="54" t="s">
        <v>46</v>
      </c>
      <c r="B115" s="55" t="s">
        <v>454</v>
      </c>
      <c r="C115" s="56" t="s">
        <v>455</v>
      </c>
      <c r="D115" s="57" t="s">
        <v>48</v>
      </c>
      <c r="E115" s="57" t="s">
        <v>290</v>
      </c>
      <c r="F115" s="55" t="s">
        <v>291</v>
      </c>
      <c r="G115" s="55" t="s">
        <v>292</v>
      </c>
      <c r="H115" s="57" t="s">
        <v>211</v>
      </c>
      <c r="I115" s="58" t="n">
        <f aca="false">'P9-002'!$N$44</f>
        <v>46328</v>
      </c>
      <c r="J115" s="58" t="n">
        <f aca="false">'P9-002'!$O$44</f>
        <v>46328</v>
      </c>
      <c r="K115" s="56" t="str">
        <f aca="false">IF(OR(L115="Y",LEFT('P9-002'!$T$44,1)="D"),"",IF(AND(ISNUMBER(J115),J115&lt;ASOF),"⚠ เลยกำหนด",IF(AND(ISNUMBER(I115),I115&lt;=ASOF+14,J115&gt;=ASOF-7),"ช่วงนี้","")))</f>
        <v>ช่วงนี้</v>
      </c>
      <c r="L115" s="59"/>
      <c r="M115" s="60"/>
    </row>
    <row r="116" customFormat="false" ht="15" hidden="false" customHeight="false" outlineLevel="0" collapsed="false">
      <c r="A116" s="54" t="s">
        <v>46</v>
      </c>
      <c r="B116" s="55" t="s">
        <v>454</v>
      </c>
      <c r="C116" s="56" t="s">
        <v>455</v>
      </c>
      <c r="D116" s="57" t="s">
        <v>48</v>
      </c>
      <c r="E116" s="57" t="s">
        <v>293</v>
      </c>
      <c r="F116" s="55" t="s">
        <v>294</v>
      </c>
      <c r="G116" s="55" t="s">
        <v>295</v>
      </c>
      <c r="H116" s="57" t="s">
        <v>211</v>
      </c>
      <c r="I116" s="58" t="n">
        <f aca="false">'P9-002'!$N$45</f>
        <v>46328</v>
      </c>
      <c r="J116" s="58" t="n">
        <f aca="false">'P9-002'!$O$45</f>
        <v>46328</v>
      </c>
      <c r="K116" s="56" t="str">
        <f aca="false">IF(OR(L116="Y",LEFT('P9-002'!$T$45,1)="D"),"",IF(AND(ISNUMBER(J116),J116&lt;ASOF),"⚠ เลยกำหนด",IF(AND(ISNUMBER(I116),I116&lt;=ASOF+14,J116&gt;=ASOF-7),"ช่วงนี้","")))</f>
        <v>ช่วงนี้</v>
      </c>
      <c r="L116" s="59"/>
      <c r="M116" s="60"/>
    </row>
    <row r="117" customFormat="false" ht="15" hidden="false" customHeight="false" outlineLevel="0" collapsed="false">
      <c r="A117" s="54" t="s">
        <v>46</v>
      </c>
      <c r="B117" s="55" t="s">
        <v>454</v>
      </c>
      <c r="C117" s="56" t="s">
        <v>455</v>
      </c>
      <c r="D117" s="57" t="s">
        <v>48</v>
      </c>
      <c r="E117" s="57" t="s">
        <v>296</v>
      </c>
      <c r="F117" s="55" t="s">
        <v>297</v>
      </c>
      <c r="G117" s="55" t="s">
        <v>298</v>
      </c>
      <c r="H117" s="57" t="s">
        <v>211</v>
      </c>
      <c r="I117" s="58" t="n">
        <f aca="false">'P9-002'!$N$46</f>
        <v>46328</v>
      </c>
      <c r="J117" s="58" t="n">
        <f aca="false">'P9-002'!$O$46</f>
        <v>46328</v>
      </c>
      <c r="K117" s="56" t="str">
        <f aca="false">IF(OR(L117="Y",LEFT('P9-002'!$T$46,1)="D"),"",IF(AND(ISNUMBER(J117),J117&lt;ASOF),"⚠ เลยกำหนด",IF(AND(ISNUMBER(I117),I117&lt;=ASOF+14,J117&gt;=ASOF-7),"ช่วงนี้","")))</f>
        <v>ช่วงนี้</v>
      </c>
      <c r="L117" s="59"/>
      <c r="M117" s="60"/>
    </row>
    <row r="118" customFormat="false" ht="15" hidden="false" customHeight="false" outlineLevel="0" collapsed="false">
      <c r="A118" s="54" t="s">
        <v>46</v>
      </c>
      <c r="B118" s="55" t="s">
        <v>454</v>
      </c>
      <c r="C118" s="56" t="s">
        <v>455</v>
      </c>
      <c r="D118" s="57" t="s">
        <v>48</v>
      </c>
      <c r="E118" s="57" t="s">
        <v>456</v>
      </c>
      <c r="F118" s="61" t="s">
        <v>457</v>
      </c>
      <c r="G118" s="61" t="s">
        <v>458</v>
      </c>
      <c r="H118" s="57" t="s">
        <v>211</v>
      </c>
      <c r="I118" s="58" t="n">
        <f aca="false">'P9-002'!$N$48</f>
        <v>46356</v>
      </c>
      <c r="J118" s="58" t="n">
        <f aca="false">'P9-002'!$O$48</f>
        <v>46356</v>
      </c>
      <c r="K118" s="56" t="str">
        <f aca="false">IF(OR(L118="Y",LEFT('P9-002'!$T$48,1)="D"),"",IF(AND(ISNUMBER(J118),J118&lt;ASOF),"⚠ เลยกำหนด",IF(AND(ISNUMBER(I118),I118&lt;=ASOF+14,J118&gt;=ASOF-7),"ช่วงนี้","")))</f>
        <v/>
      </c>
      <c r="L118" s="59"/>
      <c r="M118" s="60"/>
    </row>
    <row r="119" customFormat="false" ht="15" hidden="false" customHeight="false" outlineLevel="0" collapsed="false">
      <c r="A119" s="54" t="s">
        <v>46</v>
      </c>
      <c r="B119" s="55" t="s">
        <v>454</v>
      </c>
      <c r="C119" s="56" t="s">
        <v>455</v>
      </c>
      <c r="D119" s="57" t="s">
        <v>48</v>
      </c>
      <c r="E119" s="57" t="s">
        <v>459</v>
      </c>
      <c r="F119" s="55" t="s">
        <v>460</v>
      </c>
      <c r="G119" s="55" t="s">
        <v>461</v>
      </c>
      <c r="H119" s="57" t="s">
        <v>211</v>
      </c>
      <c r="I119" s="58" t="n">
        <f aca="false">'P9-002'!$N$49</f>
        <v>46356</v>
      </c>
      <c r="J119" s="58" t="n">
        <f aca="false">'P9-002'!$O$49</f>
        <v>46356</v>
      </c>
      <c r="K119" s="56" t="str">
        <f aca="false">IF(OR(L119="Y",LEFT('P9-002'!$T$49,1)="D"),"",IF(AND(ISNUMBER(J119),J119&lt;ASOF),"⚠ เลยกำหนด",IF(AND(ISNUMBER(I119),I119&lt;=ASOF+14,J119&gt;=ASOF-7),"ช่วงนี้","")))</f>
        <v/>
      </c>
      <c r="L119" s="59"/>
      <c r="M119" s="60"/>
    </row>
    <row r="120" customFormat="false" ht="15" hidden="false" customHeight="false" outlineLevel="0" collapsed="false">
      <c r="A120" s="54" t="s">
        <v>46</v>
      </c>
      <c r="B120" s="55" t="s">
        <v>454</v>
      </c>
      <c r="C120" s="56" t="s">
        <v>455</v>
      </c>
      <c r="D120" s="57" t="s">
        <v>48</v>
      </c>
      <c r="E120" s="57" t="s">
        <v>462</v>
      </c>
      <c r="F120" s="55" t="s">
        <v>463</v>
      </c>
      <c r="G120" s="55" t="s">
        <v>464</v>
      </c>
      <c r="H120" s="57" t="s">
        <v>211</v>
      </c>
      <c r="I120" s="58" t="n">
        <f aca="false">'P9-002'!$N$51</f>
        <v>46356</v>
      </c>
      <c r="J120" s="58" t="n">
        <f aca="false">'P9-002'!$O$51</f>
        <v>46356</v>
      </c>
      <c r="K120" s="56" t="str">
        <f aca="false">IF(OR(L120="Y",LEFT('P9-002'!$T$51,1)="D"),"",IF(AND(ISNUMBER(J120),J120&lt;ASOF),"⚠ เลยกำหนด",IF(AND(ISNUMBER(I120),I120&lt;=ASOF+14,J120&gt;=ASOF-7),"ช่วงนี้","")))</f>
        <v/>
      </c>
      <c r="L120" s="59"/>
      <c r="M120" s="60"/>
    </row>
    <row r="121" customFormat="false" ht="15" hidden="false" customHeight="false" outlineLevel="0" collapsed="false">
      <c r="A121" s="54" t="s">
        <v>46</v>
      </c>
      <c r="B121" s="55" t="s">
        <v>454</v>
      </c>
      <c r="C121" s="56" t="s">
        <v>455</v>
      </c>
      <c r="D121" s="57" t="s">
        <v>48</v>
      </c>
      <c r="E121" s="57" t="s">
        <v>299</v>
      </c>
      <c r="F121" s="55" t="s">
        <v>300</v>
      </c>
      <c r="G121" s="55" t="s">
        <v>301</v>
      </c>
      <c r="H121" s="57" t="s">
        <v>211</v>
      </c>
      <c r="I121" s="58" t="str">
        <f aca="false">'P9-002'!$N$53</f>
        <v/>
      </c>
      <c r="J121" s="58" t="str">
        <f aca="false">'P9-002'!$O$53</f>
        <v/>
      </c>
      <c r="K121" s="56" t="str">
        <f aca="false">IF(OR(L121="Y",LEFT('P9-002'!$T$53,1)="D"),"",IF(AND(ISNUMBER(J121),J121&lt;ASOF),"⚠ เลยกำหนด",IF(AND(ISNUMBER(I121),I121&lt;=ASOF+14,J121&gt;=ASOF-7),"ช่วงนี้","")))</f>
        <v/>
      </c>
      <c r="L121" s="59"/>
      <c r="M121" s="60"/>
    </row>
    <row r="122" customFormat="false" ht="15" hidden="false" customHeight="false" outlineLevel="0" collapsed="false">
      <c r="A122" s="54" t="s">
        <v>46</v>
      </c>
      <c r="B122" s="55" t="s">
        <v>454</v>
      </c>
      <c r="C122" s="56" t="s">
        <v>455</v>
      </c>
      <c r="D122" s="57" t="s">
        <v>48</v>
      </c>
      <c r="E122" s="57" t="s">
        <v>302</v>
      </c>
      <c r="F122" s="55" t="s">
        <v>303</v>
      </c>
      <c r="G122" s="55" t="s">
        <v>304</v>
      </c>
      <c r="H122" s="57" t="s">
        <v>211</v>
      </c>
      <c r="I122" s="58" t="str">
        <f aca="false">'P9-002'!$N$54</f>
        <v/>
      </c>
      <c r="J122" s="58" t="str">
        <f aca="false">'P9-002'!$O$54</f>
        <v/>
      </c>
      <c r="K122" s="56" t="str">
        <f aca="false">IF(OR(L122="Y",LEFT('P9-002'!$T$54,1)="D"),"",IF(AND(ISNUMBER(J122),J122&lt;ASOF),"⚠ เลยกำหนด",IF(AND(ISNUMBER(I122),I122&lt;=ASOF+14,J122&gt;=ASOF-7),"ช่วงนี้","")))</f>
        <v/>
      </c>
      <c r="L122" s="59"/>
      <c r="M122" s="60"/>
    </row>
    <row r="123" customFormat="false" ht="15" hidden="false" customHeight="false" outlineLevel="0" collapsed="false">
      <c r="A123" s="54" t="s">
        <v>46</v>
      </c>
      <c r="B123" s="55" t="s">
        <v>454</v>
      </c>
      <c r="C123" s="56" t="s">
        <v>455</v>
      </c>
      <c r="D123" s="57" t="s">
        <v>48</v>
      </c>
      <c r="E123" s="57" t="s">
        <v>305</v>
      </c>
      <c r="F123" s="55" t="s">
        <v>306</v>
      </c>
      <c r="G123" s="55" t="s">
        <v>307</v>
      </c>
      <c r="H123" s="56" t="str">
        <f aca="false">IF(COUNTIFS(SITE_ST,"P9-002",SITE_TYPE,"?*")&gt;0,"ตามจุดติดตั้ง →","0/100")</f>
        <v>ตามจุดติดตั้ง →</v>
      </c>
      <c r="I123" s="58" t="n">
        <f aca="false">'P9-002'!$N$63</f>
        <v>46328</v>
      </c>
      <c r="J123" s="58" t="n">
        <f aca="false">'P9-002'!$O$63</f>
        <v>46329</v>
      </c>
      <c r="K123" s="56" t="str">
        <f aca="false">IF(OR(L123="Y",LEFT('P9-002'!$T$63,1)="D"),"",IF(AND(ISNUMBER(J123),J123&lt;ASOF),"⚠ เลยกำหนด",IF(AND(ISNUMBER(I123),I123&lt;=ASOF+14,J123&gt;=ASOF-7),"ช่วงนี้","")))</f>
        <v>ช่วงนี้</v>
      </c>
      <c r="L123" s="59"/>
      <c r="M123" s="60"/>
    </row>
    <row r="124" customFormat="false" ht="15" hidden="false" customHeight="false" outlineLevel="0" collapsed="false">
      <c r="A124" s="54" t="s">
        <v>46</v>
      </c>
      <c r="B124" s="55" t="s">
        <v>454</v>
      </c>
      <c r="C124" s="56" t="s">
        <v>455</v>
      </c>
      <c r="D124" s="57" t="s">
        <v>48</v>
      </c>
      <c r="E124" s="57" t="s">
        <v>308</v>
      </c>
      <c r="F124" s="55" t="s">
        <v>309</v>
      </c>
      <c r="G124" s="55" t="s">
        <v>310</v>
      </c>
      <c r="H124" s="57" t="s">
        <v>211</v>
      </c>
      <c r="I124" s="58" t="n">
        <f aca="false">'P9-002'!$N$64</f>
        <v>46328</v>
      </c>
      <c r="J124" s="58" t="n">
        <f aca="false">'P9-002'!$O$64</f>
        <v>46330</v>
      </c>
      <c r="K124" s="56" t="str">
        <f aca="false">IF(OR(L124="Y",LEFT('P9-002'!$T$64,1)="D"),"",IF(AND(ISNUMBER(J124),J124&lt;ASOF),"⚠ เลยกำหนด",IF(AND(ISNUMBER(I124),I124&lt;=ASOF+14,J124&gt;=ASOF-7),"ช่วงนี้","")))</f>
        <v>ช่วงนี้</v>
      </c>
      <c r="L124" s="59"/>
      <c r="M124" s="60"/>
    </row>
    <row r="125" customFormat="false" ht="15" hidden="false" customHeight="false" outlineLevel="0" collapsed="false">
      <c r="A125" s="54" t="s">
        <v>46</v>
      </c>
      <c r="B125" s="55" t="s">
        <v>454</v>
      </c>
      <c r="C125" s="56" t="s">
        <v>455</v>
      </c>
      <c r="D125" s="57" t="s">
        <v>48</v>
      </c>
      <c r="E125" s="57" t="s">
        <v>311</v>
      </c>
      <c r="F125" s="55" t="s">
        <v>312</v>
      </c>
      <c r="G125" s="55" t="s">
        <v>313</v>
      </c>
      <c r="H125" s="56" t="str">
        <f aca="false">IF(COUNTIFS(SITE_ST,"P9-002",SITE_TYPE,"?*")&gt;0,"ตามจุดติดตั้ง →","50/50")</f>
        <v>ตามจุดติดตั้ง →</v>
      </c>
      <c r="I125" s="58" t="n">
        <f aca="false">'P9-002'!$N$65</f>
        <v>46329</v>
      </c>
      <c r="J125" s="58" t="n">
        <f aca="false">'P9-002'!$O$65</f>
        <v>46332</v>
      </c>
      <c r="K125" s="56" t="str">
        <f aca="false">IF(OR(L125="Y",LEFT('P9-002'!$T$65,1)="D"),"",IF(AND(ISNUMBER(J125),J125&lt;ASOF),"⚠ เลยกำหนด",IF(AND(ISNUMBER(I125),I125&lt;=ASOF+14,J125&gt;=ASOF-7),"ช่วงนี้","")))</f>
        <v>ช่วงนี้</v>
      </c>
      <c r="L125" s="59"/>
      <c r="M125" s="60"/>
    </row>
    <row r="126" customFormat="false" ht="15" hidden="false" customHeight="false" outlineLevel="0" collapsed="false">
      <c r="A126" s="54" t="s">
        <v>46</v>
      </c>
      <c r="B126" s="55" t="s">
        <v>454</v>
      </c>
      <c r="C126" s="56" t="s">
        <v>455</v>
      </c>
      <c r="D126" s="57" t="s">
        <v>48</v>
      </c>
      <c r="E126" s="57" t="s">
        <v>314</v>
      </c>
      <c r="F126" s="55" t="s">
        <v>315</v>
      </c>
      <c r="G126" s="61" t="s">
        <v>316</v>
      </c>
      <c r="H126" s="56" t="str">
        <f aca="false">IF(COUNTIFS(SITE_ST,"P9-002",SITE_TYPE,"?*")&gt;0,"ตามจุดติดตั้ง →","50/50")</f>
        <v>ตามจุดติดตั้ง →</v>
      </c>
      <c r="I126" s="58" t="n">
        <f aca="false">'P9-002'!$N$66</f>
        <v>46331</v>
      </c>
      <c r="J126" s="58" t="n">
        <f aca="false">'P9-002'!$O$66</f>
        <v>46335</v>
      </c>
      <c r="K126" s="56" t="str">
        <f aca="false">IF(OR(L126="Y",LEFT('P9-002'!$T$66,1)="D"),"",IF(AND(ISNUMBER(J126),J126&lt;ASOF),"⚠ เลยกำหนด",IF(AND(ISNUMBER(I126),I126&lt;=ASOF+14,J126&gt;=ASOF-7),"ช่วงนี้","")))</f>
        <v>ช่วงนี้</v>
      </c>
      <c r="L126" s="59"/>
      <c r="M126" s="60"/>
    </row>
    <row r="127" customFormat="false" ht="15" hidden="false" customHeight="false" outlineLevel="0" collapsed="false">
      <c r="A127" s="54" t="s">
        <v>46</v>
      </c>
      <c r="B127" s="55" t="s">
        <v>454</v>
      </c>
      <c r="C127" s="56" t="s">
        <v>455</v>
      </c>
      <c r="D127" s="57" t="s">
        <v>48</v>
      </c>
      <c r="E127" s="57" t="s">
        <v>317</v>
      </c>
      <c r="F127" s="61" t="s">
        <v>318</v>
      </c>
      <c r="G127" s="61" t="s">
        <v>319</v>
      </c>
      <c r="H127" s="56" t="str">
        <f aca="false">IF(COUNTIFS(SITE_ST,"P9-002",SITE_TYPE,"?*")&gt;0,"ตามจุดติดตั้ง →","50/50")</f>
        <v>ตามจุดติดตั้ง →</v>
      </c>
      <c r="I127" s="58" t="n">
        <f aca="false">'P9-002'!$N$67</f>
        <v>46333</v>
      </c>
      <c r="J127" s="58" t="n">
        <f aca="false">'P9-002'!$O$67</f>
        <v>46336</v>
      </c>
      <c r="K127" s="56" t="str">
        <f aca="false">IF(OR(L127="Y",LEFT('P9-002'!$T$67,1)="D"),"",IF(AND(ISNUMBER(J127),J127&lt;ASOF),"⚠ เลยกำหนด",IF(AND(ISNUMBER(I127),I127&lt;=ASOF+14,J127&gt;=ASOF-7),"ช่วงนี้","")))</f>
        <v>ช่วงนี้</v>
      </c>
      <c r="L127" s="59"/>
      <c r="M127" s="60"/>
    </row>
    <row r="128" customFormat="false" ht="15" hidden="false" customHeight="false" outlineLevel="0" collapsed="false">
      <c r="A128" s="54" t="s">
        <v>46</v>
      </c>
      <c r="B128" s="55" t="s">
        <v>454</v>
      </c>
      <c r="C128" s="56" t="s">
        <v>455</v>
      </c>
      <c r="D128" s="57" t="s">
        <v>48</v>
      </c>
      <c r="E128" s="57" t="s">
        <v>320</v>
      </c>
      <c r="F128" s="55" t="s">
        <v>321</v>
      </c>
      <c r="G128" s="55" t="s">
        <v>322</v>
      </c>
      <c r="H128" s="56" t="str">
        <f aca="false">IF(COUNTIFS(SITE_ST,"P9-002",SITE_TYPE,"?*")&gt;0,"ตามจุดติดตั้ง →","0/100")</f>
        <v>ตามจุดติดตั้ง →</v>
      </c>
      <c r="I128" s="58" t="n">
        <f aca="false">'P9-002'!$N$68</f>
        <v>46334</v>
      </c>
      <c r="J128" s="58" t="n">
        <f aca="false">'P9-002'!$O$68</f>
        <v>46336</v>
      </c>
      <c r="K128" s="56" t="str">
        <f aca="false">IF(OR(L128="Y",LEFT('P9-002'!$T$68,1)="D"),"",IF(AND(ISNUMBER(J128),J128&lt;ASOF),"⚠ เลยกำหนด",IF(AND(ISNUMBER(I128),I128&lt;=ASOF+14,J128&gt;=ASOF-7),"ช่วงนี้","")))</f>
        <v>ช่วงนี้</v>
      </c>
      <c r="L128" s="59"/>
      <c r="M128" s="60"/>
    </row>
    <row r="129" customFormat="false" ht="15" hidden="false" customHeight="false" outlineLevel="0" collapsed="false">
      <c r="A129" s="54" t="s">
        <v>46</v>
      </c>
      <c r="B129" s="55" t="s">
        <v>454</v>
      </c>
      <c r="C129" s="56" t="s">
        <v>455</v>
      </c>
      <c r="D129" s="57" t="s">
        <v>48</v>
      </c>
      <c r="E129" s="57" t="s">
        <v>323</v>
      </c>
      <c r="F129" s="61" t="s">
        <v>324</v>
      </c>
      <c r="G129" s="55" t="s">
        <v>325</v>
      </c>
      <c r="H129" s="56" t="str">
        <f aca="false">IF(COUNTIFS(SITE_ST,"P9-002",SITE_TYPE,"?*")&gt;0,"ตามจุดติดตั้ง →","0/100")</f>
        <v>ตามจุดติดตั้ง →</v>
      </c>
      <c r="I129" s="58" t="n">
        <f aca="false">'P9-002'!$N$69</f>
        <v>46336</v>
      </c>
      <c r="J129" s="58" t="n">
        <f aca="false">'P9-002'!$O$69</f>
        <v>46336</v>
      </c>
      <c r="K129" s="56" t="str">
        <f aca="false">IF(OR(L129="Y",LEFT('P9-002'!$T$69,1)="D"),"",IF(AND(ISNUMBER(J129),J129&lt;ASOF),"⚠ เลยกำหนด",IF(AND(ISNUMBER(I129),I129&lt;=ASOF+14,J129&gt;=ASOF-7),"ช่วงนี้","")))</f>
        <v>ช่วงนี้</v>
      </c>
      <c r="L129" s="59"/>
      <c r="M129" s="60"/>
    </row>
    <row r="130" customFormat="false" ht="15" hidden="false" customHeight="false" outlineLevel="0" collapsed="false">
      <c r="A130" s="54" t="s">
        <v>46</v>
      </c>
      <c r="B130" s="55" t="s">
        <v>454</v>
      </c>
      <c r="C130" s="56" t="s">
        <v>455</v>
      </c>
      <c r="D130" s="57" t="s">
        <v>48</v>
      </c>
      <c r="E130" s="57" t="s">
        <v>326</v>
      </c>
      <c r="F130" s="55" t="s">
        <v>327</v>
      </c>
      <c r="G130" s="61" t="s">
        <v>328</v>
      </c>
      <c r="H130" s="56" t="str">
        <f aca="false">IF(COUNTIFS(SITE_ST,"P9-002",SITE_TYPE,"?*")&gt;0,"ตามจุดติดตั้ง →","50/50")</f>
        <v>ตามจุดติดตั้ง →</v>
      </c>
      <c r="I130" s="58" t="n">
        <f aca="false">'P9-002'!$N$71</f>
        <v>46343</v>
      </c>
      <c r="J130" s="58" t="n">
        <f aca="false">'P9-002'!$O$71</f>
        <v>46344</v>
      </c>
      <c r="K130" s="56" t="str">
        <f aca="false">IF(OR(L130="Y",LEFT('P9-002'!$T$71,1)="D"),"",IF(AND(ISNUMBER(J130),J130&lt;ASOF),"⚠ เลยกำหนด",IF(AND(ISNUMBER(I130),I130&lt;=ASOF+14,J130&gt;=ASOF-7),"ช่วงนี้","")))</f>
        <v/>
      </c>
      <c r="L130" s="59"/>
      <c r="M130" s="60"/>
    </row>
    <row r="131" customFormat="false" ht="15" hidden="false" customHeight="false" outlineLevel="0" collapsed="false">
      <c r="A131" s="54" t="s">
        <v>46</v>
      </c>
      <c r="B131" s="55" t="s">
        <v>454</v>
      </c>
      <c r="C131" s="56" t="s">
        <v>455</v>
      </c>
      <c r="D131" s="57" t="s">
        <v>48</v>
      </c>
      <c r="E131" s="57" t="s">
        <v>329</v>
      </c>
      <c r="F131" s="55" t="s">
        <v>330</v>
      </c>
      <c r="G131" s="55" t="s">
        <v>331</v>
      </c>
      <c r="H131" s="56" t="str">
        <f aca="false">IF(COUNTIFS(SITE_ST,"P9-002",SITE_TYPE,"?*")&gt;0,"ตามจุดติดตั้ง →","50/50")</f>
        <v>ตามจุดติดตั้ง →</v>
      </c>
      <c r="I131" s="58" t="n">
        <f aca="false">'P9-002'!$N$72</f>
        <v>46344</v>
      </c>
      <c r="J131" s="58" t="n">
        <f aca="false">'P9-002'!$O$72</f>
        <v>46345</v>
      </c>
      <c r="K131" s="56" t="str">
        <f aca="false">IF(OR(L131="Y",LEFT('P9-002'!$T$72,1)="D"),"",IF(AND(ISNUMBER(J131),J131&lt;ASOF),"⚠ เลยกำหนด",IF(AND(ISNUMBER(I131),I131&lt;=ASOF+14,J131&gt;=ASOF-7),"ช่วงนี้","")))</f>
        <v/>
      </c>
      <c r="L131" s="59"/>
      <c r="M131" s="60"/>
    </row>
    <row r="132" customFormat="false" ht="15" hidden="false" customHeight="false" outlineLevel="0" collapsed="false">
      <c r="A132" s="54" t="s">
        <v>46</v>
      </c>
      <c r="B132" s="55" t="s">
        <v>454</v>
      </c>
      <c r="C132" s="56" t="s">
        <v>455</v>
      </c>
      <c r="D132" s="57" t="s">
        <v>48</v>
      </c>
      <c r="E132" s="57" t="s">
        <v>332</v>
      </c>
      <c r="F132" s="55" t="s">
        <v>333</v>
      </c>
      <c r="G132" s="55" t="s">
        <v>334</v>
      </c>
      <c r="H132" s="56" t="str">
        <f aca="false">IF(COUNTIFS(SITE_ST,"P9-002",SITE_TYPE,"?*")&gt;0,"ตามจุดติดตั้ง →","0/100")</f>
        <v>ตามจุดติดตั้ง →</v>
      </c>
      <c r="I132" s="58" t="n">
        <f aca="false">'P9-002'!$N$73</f>
        <v>46344</v>
      </c>
      <c r="J132" s="58" t="n">
        <f aca="false">'P9-002'!$O$73</f>
        <v>46345</v>
      </c>
      <c r="K132" s="56" t="str">
        <f aca="false">IF(OR(L132="Y",LEFT('P9-002'!$T$73,1)="D"),"",IF(AND(ISNUMBER(J132),J132&lt;ASOF),"⚠ เลยกำหนด",IF(AND(ISNUMBER(I132),I132&lt;=ASOF+14,J132&gt;=ASOF-7),"ช่วงนี้","")))</f>
        <v/>
      </c>
      <c r="L132" s="59"/>
      <c r="M132" s="60"/>
    </row>
    <row r="133" customFormat="false" ht="15" hidden="false" customHeight="false" outlineLevel="0" collapsed="false">
      <c r="A133" s="54" t="s">
        <v>46</v>
      </c>
      <c r="B133" s="55" t="s">
        <v>454</v>
      </c>
      <c r="C133" s="56" t="s">
        <v>455</v>
      </c>
      <c r="D133" s="57" t="s">
        <v>48</v>
      </c>
      <c r="E133" s="57" t="s">
        <v>335</v>
      </c>
      <c r="F133" s="55" t="s">
        <v>336</v>
      </c>
      <c r="G133" s="61" t="s">
        <v>337</v>
      </c>
      <c r="H133" s="56" t="str">
        <f aca="false">IF(COUNTIFS(SITE_ST,"P9-002",SITE_TYPE,"?*")&gt;0,"ตามจุดติดตั้ง →","0/100")</f>
        <v>ตามจุดติดตั้ง →</v>
      </c>
      <c r="I133" s="58" t="n">
        <f aca="false">'P9-002'!$N$74</f>
        <v>46345</v>
      </c>
      <c r="J133" s="58" t="n">
        <f aca="false">'P9-002'!$O$74</f>
        <v>46346</v>
      </c>
      <c r="K133" s="56" t="str">
        <f aca="false">IF(OR(L133="Y",LEFT('P9-002'!$T$74,1)="D"),"",IF(AND(ISNUMBER(J133),J133&lt;ASOF),"⚠ เลยกำหนด",IF(AND(ISNUMBER(I133),I133&lt;=ASOF+14,J133&gt;=ASOF-7),"ช่วงนี้","")))</f>
        <v/>
      </c>
      <c r="L133" s="59"/>
      <c r="M133" s="60"/>
    </row>
    <row r="134" customFormat="false" ht="15" hidden="false" customHeight="false" outlineLevel="0" collapsed="false">
      <c r="A134" s="54" t="s">
        <v>46</v>
      </c>
      <c r="B134" s="55" t="s">
        <v>454</v>
      </c>
      <c r="C134" s="56" t="s">
        <v>455</v>
      </c>
      <c r="D134" s="57" t="s">
        <v>48</v>
      </c>
      <c r="E134" s="57" t="s">
        <v>338</v>
      </c>
      <c r="F134" s="61" t="s">
        <v>339</v>
      </c>
      <c r="G134" s="55" t="s">
        <v>340</v>
      </c>
      <c r="H134" s="56" t="str">
        <f aca="false">IF(COUNTIFS(SITE_ST,"P9-002",SITE_TYPE,"?*")&gt;0,"ตามจุดติดตั้ง →","0/100")</f>
        <v>ตามจุดติดตั้ง →</v>
      </c>
      <c r="I134" s="58" t="n">
        <f aca="false">'P9-002'!$N$75</f>
        <v>46345</v>
      </c>
      <c r="J134" s="58" t="n">
        <f aca="false">'P9-002'!$O$75</f>
        <v>46346</v>
      </c>
      <c r="K134" s="56" t="str">
        <f aca="false">IF(OR(L134="Y",LEFT('P9-002'!$T$75,1)="D"),"",IF(AND(ISNUMBER(J134),J134&lt;ASOF),"⚠ เลยกำหนด",IF(AND(ISNUMBER(I134),I134&lt;=ASOF+14,J134&gt;=ASOF-7),"ช่วงนี้","")))</f>
        <v/>
      </c>
      <c r="L134" s="59"/>
      <c r="M134" s="60"/>
    </row>
    <row r="135" customFormat="false" ht="15" hidden="false" customHeight="false" outlineLevel="0" collapsed="false">
      <c r="A135" s="54" t="s">
        <v>46</v>
      </c>
      <c r="B135" s="55" t="s">
        <v>454</v>
      </c>
      <c r="C135" s="56" t="s">
        <v>455</v>
      </c>
      <c r="D135" s="57" t="s">
        <v>48</v>
      </c>
      <c r="E135" s="57" t="s">
        <v>341</v>
      </c>
      <c r="F135" s="55" t="s">
        <v>342</v>
      </c>
      <c r="G135" s="55" t="s">
        <v>343</v>
      </c>
      <c r="H135" s="56" t="str">
        <f aca="false">IF(COUNTIFS(SITE_ST,"P9-002",SITE_TYPE,"?*")&gt;0,"ตามจุดติดตั้ง →","0/100")</f>
        <v>ตามจุดติดตั้ง →</v>
      </c>
      <c r="I135" s="58" t="n">
        <f aca="false">'P9-002'!$N$77</f>
        <v>46337</v>
      </c>
      <c r="J135" s="58" t="n">
        <f aca="false">'P9-002'!$O$77</f>
        <v>46340</v>
      </c>
      <c r="K135" s="56" t="str">
        <f aca="false">IF(OR(L135="Y",LEFT('P9-002'!$T$77,1)="D"),"",IF(AND(ISNUMBER(J135),J135&lt;ASOF),"⚠ เลยกำหนด",IF(AND(ISNUMBER(I135),I135&lt;=ASOF+14,J135&gt;=ASOF-7),"ช่วงนี้","")))</f>
        <v>ช่วงนี้</v>
      </c>
      <c r="L135" s="59"/>
      <c r="M135" s="60"/>
    </row>
    <row r="136" customFormat="false" ht="15" hidden="false" customHeight="false" outlineLevel="0" collapsed="false">
      <c r="A136" s="54" t="s">
        <v>46</v>
      </c>
      <c r="B136" s="55" t="s">
        <v>454</v>
      </c>
      <c r="C136" s="56" t="s">
        <v>455</v>
      </c>
      <c r="D136" s="57" t="s">
        <v>48</v>
      </c>
      <c r="E136" s="57" t="s">
        <v>344</v>
      </c>
      <c r="F136" s="55" t="s">
        <v>345</v>
      </c>
      <c r="G136" s="55" t="s">
        <v>346</v>
      </c>
      <c r="H136" s="56" t="str">
        <f aca="false">IF(COUNTIFS(SITE_ST,"P9-002",SITE_TYPE,"?*")&gt;0,"ตามจุดติดตั้ง →","50/50")</f>
        <v>ตามจุดติดตั้ง →</v>
      </c>
      <c r="I136" s="58" t="n">
        <f aca="false">'P9-002'!$N$78</f>
        <v>46338</v>
      </c>
      <c r="J136" s="58" t="n">
        <f aca="false">'P9-002'!$O$78</f>
        <v>46346</v>
      </c>
      <c r="K136" s="56" t="str">
        <f aca="false">IF(OR(L136="Y",LEFT('P9-002'!$T$78,1)="D"),"",IF(AND(ISNUMBER(J136),J136&lt;ASOF),"⚠ เลยกำหนด",IF(AND(ISNUMBER(I136),I136&lt;=ASOF+14,J136&gt;=ASOF-7),"ช่วงนี้","")))</f>
        <v>ช่วงนี้</v>
      </c>
      <c r="L136" s="59"/>
      <c r="M136" s="60"/>
    </row>
    <row r="137" customFormat="false" ht="15" hidden="false" customHeight="false" outlineLevel="0" collapsed="false">
      <c r="A137" s="54" t="s">
        <v>46</v>
      </c>
      <c r="B137" s="55" t="s">
        <v>454</v>
      </c>
      <c r="C137" s="56" t="s">
        <v>455</v>
      </c>
      <c r="D137" s="57" t="s">
        <v>48</v>
      </c>
      <c r="E137" s="57" t="s">
        <v>347</v>
      </c>
      <c r="F137" s="61" t="s">
        <v>348</v>
      </c>
      <c r="G137" s="55" t="s">
        <v>349</v>
      </c>
      <c r="H137" s="56" t="str">
        <f aca="false">IF(COUNTIFS(SITE_ST,"P9-002",SITE_TYPE,"?*")&gt;0,"ตามจุดติดตั้ง →","50/50")</f>
        <v>ตามจุดติดตั้ง →</v>
      </c>
      <c r="I137" s="58" t="n">
        <f aca="false">'P9-002'!$N$79</f>
        <v>46341</v>
      </c>
      <c r="J137" s="58" t="n">
        <f aca="false">'P9-002'!$O$79</f>
        <v>46347</v>
      </c>
      <c r="K137" s="56" t="str">
        <f aca="false">IF(OR(L137="Y",LEFT('P9-002'!$T$79,1)="D"),"",IF(AND(ISNUMBER(J137),J137&lt;ASOF),"⚠ เลยกำหนด",IF(AND(ISNUMBER(I137),I137&lt;=ASOF+14,J137&gt;=ASOF-7),"ช่วงนี้","")))</f>
        <v>ช่วงนี้</v>
      </c>
      <c r="L137" s="59"/>
      <c r="M137" s="60"/>
    </row>
    <row r="138" customFormat="false" ht="15" hidden="false" customHeight="false" outlineLevel="0" collapsed="false">
      <c r="A138" s="54" t="s">
        <v>46</v>
      </c>
      <c r="B138" s="55" t="s">
        <v>454</v>
      </c>
      <c r="C138" s="56" t="s">
        <v>455</v>
      </c>
      <c r="D138" s="57" t="s">
        <v>48</v>
      </c>
      <c r="E138" s="57" t="s">
        <v>350</v>
      </c>
      <c r="F138" s="61" t="s">
        <v>351</v>
      </c>
      <c r="G138" s="55" t="s">
        <v>352</v>
      </c>
      <c r="H138" s="56" t="str">
        <f aca="false">IF(COUNTIFS(SITE_ST,"P9-002",SITE_TYPE,"?*")&gt;0,"ตามจุดติดตั้ง →","0/100")</f>
        <v>ตามจุดติดตั้ง →</v>
      </c>
      <c r="I138" s="58" t="n">
        <f aca="false">'P9-002'!$N$80</f>
        <v>46345</v>
      </c>
      <c r="J138" s="58" t="n">
        <f aca="false">'P9-002'!$O$80</f>
        <v>46347</v>
      </c>
      <c r="K138" s="56" t="str">
        <f aca="false">IF(OR(L138="Y",LEFT('P9-002'!$T$80,1)="D"),"",IF(AND(ISNUMBER(J138),J138&lt;ASOF),"⚠ เลยกำหนด",IF(AND(ISNUMBER(I138),I138&lt;=ASOF+14,J138&gt;=ASOF-7),"ช่วงนี้","")))</f>
        <v/>
      </c>
      <c r="L138" s="59"/>
      <c r="M138" s="60"/>
    </row>
    <row r="139" customFormat="false" ht="15" hidden="false" customHeight="false" outlineLevel="0" collapsed="false">
      <c r="A139" s="54" t="s">
        <v>46</v>
      </c>
      <c r="B139" s="55" t="s">
        <v>454</v>
      </c>
      <c r="C139" s="56" t="s">
        <v>455</v>
      </c>
      <c r="D139" s="57" t="s">
        <v>48</v>
      </c>
      <c r="E139" s="57" t="s">
        <v>353</v>
      </c>
      <c r="F139" s="61" t="s">
        <v>354</v>
      </c>
      <c r="G139" s="55" t="s">
        <v>355</v>
      </c>
      <c r="H139" s="56" t="str">
        <f aca="false">IF(COUNTIFS(SITE_ST,"P9-002",SITE_TYPE,"?*")&gt;0,"ตามจุดติดตั้ง →","0/100")</f>
        <v>ตามจุดติดตั้ง →</v>
      </c>
      <c r="I139" s="58" t="n">
        <f aca="false">'P9-002'!$N$81</f>
        <v>46347</v>
      </c>
      <c r="J139" s="58" t="n">
        <f aca="false">'P9-002'!$O$81</f>
        <v>46347</v>
      </c>
      <c r="K139" s="56" t="str">
        <f aca="false">IF(OR(L139="Y",LEFT('P9-002'!$T$81,1)="D"),"",IF(AND(ISNUMBER(J139),J139&lt;ASOF),"⚠ เลยกำหนด",IF(AND(ISNUMBER(I139),I139&lt;=ASOF+14,J139&gt;=ASOF-7),"ช่วงนี้","")))</f>
        <v/>
      </c>
      <c r="L139" s="59"/>
      <c r="M139" s="60"/>
    </row>
    <row r="140" customFormat="false" ht="15" hidden="false" customHeight="false" outlineLevel="0" collapsed="false">
      <c r="A140" s="54" t="s">
        <v>46</v>
      </c>
      <c r="B140" s="55" t="s">
        <v>454</v>
      </c>
      <c r="C140" s="56" t="s">
        <v>455</v>
      </c>
      <c r="D140" s="57" t="s">
        <v>48</v>
      </c>
      <c r="E140" s="57" t="s">
        <v>356</v>
      </c>
      <c r="F140" s="55" t="s">
        <v>357</v>
      </c>
      <c r="G140" s="55" t="s">
        <v>358</v>
      </c>
      <c r="H140" s="57" t="s">
        <v>211</v>
      </c>
      <c r="I140" s="58" t="n">
        <f aca="false">'P9-002'!$N$83</f>
        <v>46345</v>
      </c>
      <c r="J140" s="58" t="n">
        <f aca="false">'P9-002'!$O$83</f>
        <v>46346</v>
      </c>
      <c r="K140" s="56" t="str">
        <f aca="false">IF(OR(L140="Y",LEFT('P9-002'!$T$83,1)="D"),"",IF(AND(ISNUMBER(J140),J140&lt;ASOF),"⚠ เลยกำหนด",IF(AND(ISNUMBER(I140),I140&lt;=ASOF+14,J140&gt;=ASOF-7),"ช่วงนี้","")))</f>
        <v/>
      </c>
      <c r="L140" s="59"/>
      <c r="M140" s="60"/>
    </row>
    <row r="141" customFormat="false" ht="15" hidden="false" customHeight="false" outlineLevel="0" collapsed="false">
      <c r="A141" s="54" t="s">
        <v>46</v>
      </c>
      <c r="B141" s="55" t="s">
        <v>454</v>
      </c>
      <c r="C141" s="56" t="s">
        <v>455</v>
      </c>
      <c r="D141" s="57" t="s">
        <v>48</v>
      </c>
      <c r="E141" s="57" t="s">
        <v>359</v>
      </c>
      <c r="F141" s="55" t="s">
        <v>360</v>
      </c>
      <c r="G141" s="55" t="s">
        <v>361</v>
      </c>
      <c r="H141" s="57" t="s">
        <v>211</v>
      </c>
      <c r="I141" s="58" t="n">
        <f aca="false">'P9-002'!$N$84</f>
        <v>46346</v>
      </c>
      <c r="J141" s="58" t="n">
        <f aca="false">'P9-002'!$O$84</f>
        <v>46347</v>
      </c>
      <c r="K141" s="56" t="str">
        <f aca="false">IF(OR(L141="Y",LEFT('P9-002'!$T$84,1)="D"),"",IF(AND(ISNUMBER(J141),J141&lt;ASOF),"⚠ เลยกำหนด",IF(AND(ISNUMBER(I141),I141&lt;=ASOF+14,J141&gt;=ASOF-7),"ช่วงนี้","")))</f>
        <v/>
      </c>
      <c r="L141" s="59"/>
      <c r="M141" s="60"/>
    </row>
    <row r="142" customFormat="false" ht="15" hidden="false" customHeight="false" outlineLevel="0" collapsed="false">
      <c r="A142" s="54" t="s">
        <v>46</v>
      </c>
      <c r="B142" s="55" t="s">
        <v>454</v>
      </c>
      <c r="C142" s="56" t="s">
        <v>455</v>
      </c>
      <c r="D142" s="57" t="s">
        <v>48</v>
      </c>
      <c r="E142" s="57" t="s">
        <v>362</v>
      </c>
      <c r="F142" s="61" t="s">
        <v>363</v>
      </c>
      <c r="G142" s="61" t="s">
        <v>364</v>
      </c>
      <c r="H142" s="56" t="s">
        <v>365</v>
      </c>
      <c r="I142" s="58" t="n">
        <f aca="false">'P9-002'!$N$86</f>
        <v>46343</v>
      </c>
      <c r="J142" s="58" t="n">
        <f aca="false">'P9-002'!$O$86</f>
        <v>46345</v>
      </c>
      <c r="K142" s="56" t="str">
        <f aca="false">IF(OR(L142="Y",LEFT('P9-002'!$T$86,1)="D"),"",IF(AND(ISNUMBER(J142),J142&lt;ASOF),"⚠ เลยกำหนด",IF(AND(ISNUMBER(I142),I142&lt;=ASOF+14,J142&gt;=ASOF-7),"ช่วงนี้","")))</f>
        <v/>
      </c>
      <c r="L142" s="59"/>
      <c r="M142" s="60"/>
    </row>
    <row r="143" customFormat="false" ht="15" hidden="false" customHeight="false" outlineLevel="0" collapsed="false">
      <c r="A143" s="54" t="s">
        <v>46</v>
      </c>
      <c r="B143" s="55" t="s">
        <v>454</v>
      </c>
      <c r="C143" s="56" t="s">
        <v>455</v>
      </c>
      <c r="D143" s="57" t="s">
        <v>48</v>
      </c>
      <c r="E143" s="57" t="s">
        <v>366</v>
      </c>
      <c r="F143" s="61" t="s">
        <v>367</v>
      </c>
      <c r="G143" s="61" t="s">
        <v>368</v>
      </c>
      <c r="H143" s="57" t="s">
        <v>369</v>
      </c>
      <c r="I143" s="58" t="n">
        <f aca="false">'P9-002'!$N$87</f>
        <v>46344</v>
      </c>
      <c r="J143" s="58" t="n">
        <f aca="false">'P9-002'!$O$87</f>
        <v>46346</v>
      </c>
      <c r="K143" s="56" t="str">
        <f aca="false">IF(OR(L143="Y",LEFT('P9-002'!$T$87,1)="D"),"",IF(AND(ISNUMBER(J143),J143&lt;ASOF),"⚠ เลยกำหนด",IF(AND(ISNUMBER(I143),I143&lt;=ASOF+14,J143&gt;=ASOF-7),"ช่วงนี้","")))</f>
        <v/>
      </c>
      <c r="L143" s="59"/>
      <c r="M143" s="60"/>
    </row>
    <row r="144" customFormat="false" ht="15" hidden="false" customHeight="false" outlineLevel="0" collapsed="false">
      <c r="A144" s="54" t="s">
        <v>46</v>
      </c>
      <c r="B144" s="55" t="s">
        <v>454</v>
      </c>
      <c r="C144" s="56" t="s">
        <v>455</v>
      </c>
      <c r="D144" s="57" t="s">
        <v>48</v>
      </c>
      <c r="E144" s="57" t="s">
        <v>370</v>
      </c>
      <c r="F144" s="55" t="s">
        <v>371</v>
      </c>
      <c r="G144" s="55" t="s">
        <v>372</v>
      </c>
      <c r="H144" s="57" t="s">
        <v>211</v>
      </c>
      <c r="I144" s="58" t="n">
        <f aca="false">'P9-002'!$N$88</f>
        <v>46345</v>
      </c>
      <c r="J144" s="58" t="n">
        <f aca="false">'P9-002'!$O$88</f>
        <v>46346</v>
      </c>
      <c r="K144" s="56" t="str">
        <f aca="false">IF(OR(L144="Y",LEFT('P9-002'!$T$88,1)="D"),"",IF(AND(ISNUMBER(J144),J144&lt;ASOF),"⚠ เลยกำหนด",IF(AND(ISNUMBER(I144),I144&lt;=ASOF+14,J144&gt;=ASOF-7),"ช่วงนี้","")))</f>
        <v/>
      </c>
      <c r="L144" s="59"/>
      <c r="M144" s="60"/>
    </row>
    <row r="145" customFormat="false" ht="15" hidden="false" customHeight="false" outlineLevel="0" collapsed="false">
      <c r="A145" s="54" t="s">
        <v>46</v>
      </c>
      <c r="B145" s="55" t="s">
        <v>454</v>
      </c>
      <c r="C145" s="56" t="s">
        <v>455</v>
      </c>
      <c r="D145" s="57" t="s">
        <v>48</v>
      </c>
      <c r="E145" s="57" t="s">
        <v>373</v>
      </c>
      <c r="F145" s="61" t="s">
        <v>374</v>
      </c>
      <c r="G145" s="55" t="s">
        <v>375</v>
      </c>
      <c r="H145" s="57" t="s">
        <v>211</v>
      </c>
      <c r="I145" s="58" t="n">
        <f aca="false">'P9-002'!$N$89</f>
        <v>46346</v>
      </c>
      <c r="J145" s="58" t="n">
        <f aca="false">'P9-002'!$O$89</f>
        <v>46346</v>
      </c>
      <c r="K145" s="56" t="str">
        <f aca="false">IF(OR(L145="Y",LEFT('P9-002'!$T$89,1)="D"),"",IF(AND(ISNUMBER(J145),J145&lt;ASOF),"⚠ เลยกำหนด",IF(AND(ISNUMBER(I145),I145&lt;=ASOF+14,J145&gt;=ASOF-7),"ช่วงนี้","")))</f>
        <v/>
      </c>
      <c r="L145" s="59"/>
      <c r="M145" s="60"/>
    </row>
    <row r="146" customFormat="false" ht="15" hidden="false" customHeight="false" outlineLevel="0" collapsed="false">
      <c r="A146" s="54" t="s">
        <v>46</v>
      </c>
      <c r="B146" s="55" t="s">
        <v>454</v>
      </c>
      <c r="C146" s="56" t="s">
        <v>455</v>
      </c>
      <c r="D146" s="57" t="s">
        <v>48</v>
      </c>
      <c r="E146" s="57" t="s">
        <v>376</v>
      </c>
      <c r="F146" s="55" t="s">
        <v>377</v>
      </c>
      <c r="G146" s="55" t="s">
        <v>378</v>
      </c>
      <c r="H146" s="57" t="s">
        <v>369</v>
      </c>
      <c r="I146" s="58" t="n">
        <f aca="false">'P9-002'!$N$91</f>
        <v>46344</v>
      </c>
      <c r="J146" s="58" t="n">
        <f aca="false">'P9-002'!$O$91</f>
        <v>46346</v>
      </c>
      <c r="K146" s="56" t="str">
        <f aca="false">IF(OR(L146="Y",LEFT('P9-002'!$T$91,1)="D"),"",IF(AND(ISNUMBER(J146),J146&lt;ASOF),"⚠ เลยกำหนด",IF(AND(ISNUMBER(I146),I146&lt;=ASOF+14,J146&gt;=ASOF-7),"ช่วงนี้","")))</f>
        <v/>
      </c>
      <c r="L146" s="59"/>
      <c r="M146" s="60"/>
    </row>
    <row r="147" customFormat="false" ht="15" hidden="false" customHeight="false" outlineLevel="0" collapsed="false">
      <c r="A147" s="54" t="s">
        <v>46</v>
      </c>
      <c r="B147" s="55" t="s">
        <v>454</v>
      </c>
      <c r="C147" s="56" t="s">
        <v>455</v>
      </c>
      <c r="D147" s="57" t="s">
        <v>48</v>
      </c>
      <c r="E147" s="57" t="s">
        <v>379</v>
      </c>
      <c r="F147" s="61" t="s">
        <v>380</v>
      </c>
      <c r="G147" s="61" t="s">
        <v>381</v>
      </c>
      <c r="H147" s="57" t="s">
        <v>211</v>
      </c>
      <c r="I147" s="58" t="n">
        <f aca="false">'P9-002'!$N$92</f>
        <v>46346</v>
      </c>
      <c r="J147" s="58" t="n">
        <f aca="false">'P9-002'!$O$92</f>
        <v>46347</v>
      </c>
      <c r="K147" s="56" t="str">
        <f aca="false">IF(OR(L147="Y",LEFT('P9-002'!$T$92,1)="D"),"",IF(AND(ISNUMBER(J147),J147&lt;ASOF),"⚠ เลยกำหนด",IF(AND(ISNUMBER(I147),I147&lt;=ASOF+14,J147&gt;=ASOF-7),"ช่วงนี้","")))</f>
        <v/>
      </c>
      <c r="L147" s="59"/>
      <c r="M147" s="60"/>
    </row>
    <row r="148" customFormat="false" ht="15" hidden="false" customHeight="false" outlineLevel="0" collapsed="false">
      <c r="A148" s="54" t="s">
        <v>46</v>
      </c>
      <c r="B148" s="55" t="s">
        <v>454</v>
      </c>
      <c r="C148" s="56" t="s">
        <v>455</v>
      </c>
      <c r="D148" s="57" t="s">
        <v>48</v>
      </c>
      <c r="E148" s="57" t="s">
        <v>382</v>
      </c>
      <c r="F148" s="55" t="s">
        <v>383</v>
      </c>
      <c r="G148" s="55" t="s">
        <v>384</v>
      </c>
      <c r="H148" s="57" t="s">
        <v>369</v>
      </c>
      <c r="I148" s="58" t="n">
        <f aca="false">'P9-002'!$N$93</f>
        <v>46344</v>
      </c>
      <c r="J148" s="58" t="n">
        <f aca="false">'P9-002'!$O$93</f>
        <v>46346</v>
      </c>
      <c r="K148" s="56" t="str">
        <f aca="false">IF(OR(L148="Y",LEFT('P9-002'!$T$93,1)="D"),"",IF(AND(ISNUMBER(J148),J148&lt;ASOF),"⚠ เลยกำหนด",IF(AND(ISNUMBER(I148),I148&lt;=ASOF+14,J148&gt;=ASOF-7),"ช่วงนี้","")))</f>
        <v/>
      </c>
      <c r="L148" s="59"/>
      <c r="M148" s="60"/>
    </row>
    <row r="149" customFormat="false" ht="15" hidden="false" customHeight="false" outlineLevel="0" collapsed="false">
      <c r="A149" s="54" t="s">
        <v>46</v>
      </c>
      <c r="B149" s="55" t="s">
        <v>454</v>
      </c>
      <c r="C149" s="56" t="s">
        <v>455</v>
      </c>
      <c r="D149" s="57" t="s">
        <v>48</v>
      </c>
      <c r="E149" s="57" t="s">
        <v>385</v>
      </c>
      <c r="F149" s="55" t="s">
        <v>386</v>
      </c>
      <c r="G149" s="55" t="s">
        <v>387</v>
      </c>
      <c r="H149" s="57" t="s">
        <v>211</v>
      </c>
      <c r="I149" s="58" t="n">
        <f aca="false">'P9-002'!$N$94</f>
        <v>46346</v>
      </c>
      <c r="J149" s="58" t="n">
        <f aca="false">'P9-002'!$O$94</f>
        <v>46347</v>
      </c>
      <c r="K149" s="56" t="str">
        <f aca="false">IF(OR(L149="Y",LEFT('P9-002'!$T$94,1)="D"),"",IF(AND(ISNUMBER(J149),J149&lt;ASOF),"⚠ เลยกำหนด",IF(AND(ISNUMBER(I149),I149&lt;=ASOF+14,J149&gt;=ASOF-7),"ช่วงนี้","")))</f>
        <v/>
      </c>
      <c r="L149" s="59"/>
      <c r="M149" s="60"/>
    </row>
    <row r="150" customFormat="false" ht="15" hidden="false" customHeight="false" outlineLevel="0" collapsed="false">
      <c r="A150" s="54" t="s">
        <v>46</v>
      </c>
      <c r="B150" s="55" t="s">
        <v>454</v>
      </c>
      <c r="C150" s="56" t="s">
        <v>455</v>
      </c>
      <c r="D150" s="57" t="s">
        <v>48</v>
      </c>
      <c r="E150" s="57" t="s">
        <v>388</v>
      </c>
      <c r="F150" s="61" t="s">
        <v>389</v>
      </c>
      <c r="G150" s="55" t="s">
        <v>390</v>
      </c>
      <c r="H150" s="57" t="s">
        <v>211</v>
      </c>
      <c r="I150" s="58" t="n">
        <f aca="false">'P9-002'!$N$95</f>
        <v>46347</v>
      </c>
      <c r="J150" s="58" t="n">
        <f aca="false">'P9-002'!$O$95</f>
        <v>46347</v>
      </c>
      <c r="K150" s="56" t="str">
        <f aca="false">IF(OR(L150="Y",LEFT('P9-002'!$T$95,1)="D"),"",IF(AND(ISNUMBER(J150),J150&lt;ASOF),"⚠ เลยกำหนด",IF(AND(ISNUMBER(I150),I150&lt;=ASOF+14,J150&gt;=ASOF-7),"ช่วงนี้","")))</f>
        <v/>
      </c>
      <c r="L150" s="59"/>
      <c r="M150" s="60"/>
    </row>
    <row r="151" customFormat="false" ht="15" hidden="false" customHeight="false" outlineLevel="0" collapsed="false">
      <c r="A151" s="54" t="s">
        <v>46</v>
      </c>
      <c r="B151" s="55" t="s">
        <v>454</v>
      </c>
      <c r="C151" s="56" t="s">
        <v>455</v>
      </c>
      <c r="D151" s="57" t="s">
        <v>48</v>
      </c>
      <c r="E151" s="57" t="s">
        <v>391</v>
      </c>
      <c r="F151" s="55" t="s">
        <v>392</v>
      </c>
      <c r="G151" s="55" t="s">
        <v>393</v>
      </c>
      <c r="H151" s="57" t="s">
        <v>369</v>
      </c>
      <c r="I151" s="58" t="n">
        <f aca="false">'P9-002'!$N$97</f>
        <v>46345</v>
      </c>
      <c r="J151" s="58" t="n">
        <f aca="false">'P9-002'!$O$97</f>
        <v>46347</v>
      </c>
      <c r="K151" s="56" t="str">
        <f aca="false">IF(OR(L151="Y",LEFT('P9-002'!$T$97,1)="D"),"",IF(AND(ISNUMBER(J151),J151&lt;ASOF),"⚠ เลยกำหนด",IF(AND(ISNUMBER(I151),I151&lt;=ASOF+14,J151&gt;=ASOF-7),"ช่วงนี้","")))</f>
        <v/>
      </c>
      <c r="L151" s="59"/>
      <c r="M151" s="60"/>
    </row>
    <row r="152" customFormat="false" ht="15" hidden="false" customHeight="false" outlineLevel="0" collapsed="false">
      <c r="A152" s="54" t="s">
        <v>46</v>
      </c>
      <c r="B152" s="55" t="s">
        <v>454</v>
      </c>
      <c r="C152" s="56" t="s">
        <v>455</v>
      </c>
      <c r="D152" s="57" t="s">
        <v>48</v>
      </c>
      <c r="E152" s="57" t="s">
        <v>394</v>
      </c>
      <c r="F152" s="55" t="s">
        <v>395</v>
      </c>
      <c r="G152" s="55" t="s">
        <v>396</v>
      </c>
      <c r="H152" s="57" t="s">
        <v>211</v>
      </c>
      <c r="I152" s="58" t="n">
        <f aca="false">'P9-002'!$N$98</f>
        <v>46346</v>
      </c>
      <c r="J152" s="58" t="n">
        <f aca="false">'P9-002'!$O$98</f>
        <v>46347</v>
      </c>
      <c r="K152" s="56" t="str">
        <f aca="false">IF(OR(L152="Y",LEFT('P9-002'!$T$98,1)="D"),"",IF(AND(ISNUMBER(J152),J152&lt;ASOF),"⚠ เลยกำหนด",IF(AND(ISNUMBER(I152),I152&lt;=ASOF+14,J152&gt;=ASOF-7),"ช่วงนี้","")))</f>
        <v/>
      </c>
      <c r="L152" s="59"/>
      <c r="M152" s="60"/>
    </row>
    <row r="153" customFormat="false" ht="15" hidden="false" customHeight="false" outlineLevel="0" collapsed="false">
      <c r="A153" s="54" t="s">
        <v>46</v>
      </c>
      <c r="B153" s="55" t="s">
        <v>454</v>
      </c>
      <c r="C153" s="56" t="s">
        <v>455</v>
      </c>
      <c r="D153" s="57" t="s">
        <v>48</v>
      </c>
      <c r="E153" s="57" t="s">
        <v>397</v>
      </c>
      <c r="F153" s="61" t="s">
        <v>398</v>
      </c>
      <c r="G153" s="55" t="s">
        <v>399</v>
      </c>
      <c r="H153" s="57" t="s">
        <v>211</v>
      </c>
      <c r="I153" s="58" t="n">
        <f aca="false">'P9-002'!$N$99</f>
        <v>46347</v>
      </c>
      <c r="J153" s="58" t="n">
        <f aca="false">'P9-002'!$O$99</f>
        <v>46347</v>
      </c>
      <c r="K153" s="56" t="str">
        <f aca="false">IF(OR(L153="Y",LEFT('P9-002'!$T$99,1)="D"),"",IF(AND(ISNUMBER(J153),J153&lt;ASOF),"⚠ เลยกำหนด",IF(AND(ISNUMBER(I153),I153&lt;=ASOF+14,J153&gt;=ASOF-7),"ช่วงนี้","")))</f>
        <v/>
      </c>
      <c r="L153" s="59"/>
      <c r="M153" s="60"/>
    </row>
    <row r="154" customFormat="false" ht="15" hidden="false" customHeight="false" outlineLevel="0" collapsed="false">
      <c r="A154" s="54" t="s">
        <v>46</v>
      </c>
      <c r="B154" s="55" t="s">
        <v>454</v>
      </c>
      <c r="C154" s="56" t="s">
        <v>455</v>
      </c>
      <c r="D154" s="57" t="s">
        <v>48</v>
      </c>
      <c r="E154" s="57" t="s">
        <v>400</v>
      </c>
      <c r="F154" s="55" t="s">
        <v>401</v>
      </c>
      <c r="G154" s="55" t="s">
        <v>402</v>
      </c>
      <c r="H154" s="57" t="s">
        <v>211</v>
      </c>
      <c r="I154" s="58" t="n">
        <f aca="false">'P9-002'!$N$102</f>
        <v>46346</v>
      </c>
      <c r="J154" s="58" t="n">
        <f aca="false">'P9-002'!$O$102</f>
        <v>46347</v>
      </c>
      <c r="K154" s="56" t="str">
        <f aca="false">IF(OR(L154="Y",LEFT('P9-002'!$T$102,1)="D"),"",IF(AND(ISNUMBER(J154),J154&lt;ASOF),"⚠ เลยกำหนด",IF(AND(ISNUMBER(I154),I154&lt;=ASOF+14,J154&gt;=ASOF-7),"ช่วงนี้","")))</f>
        <v/>
      </c>
      <c r="L154" s="59"/>
      <c r="M154" s="60"/>
    </row>
    <row r="155" customFormat="false" ht="15" hidden="false" customHeight="false" outlineLevel="0" collapsed="false">
      <c r="A155" s="54" t="s">
        <v>46</v>
      </c>
      <c r="B155" s="55" t="s">
        <v>454</v>
      </c>
      <c r="C155" s="56" t="s">
        <v>455</v>
      </c>
      <c r="D155" s="57" t="s">
        <v>48</v>
      </c>
      <c r="E155" s="57" t="s">
        <v>403</v>
      </c>
      <c r="F155" s="55" t="s">
        <v>404</v>
      </c>
      <c r="G155" s="55" t="s">
        <v>405</v>
      </c>
      <c r="H155" s="57" t="s">
        <v>211</v>
      </c>
      <c r="I155" s="58" t="n">
        <f aca="false">'P9-002'!$N$104</f>
        <v>46347</v>
      </c>
      <c r="J155" s="58" t="n">
        <f aca="false">'P9-002'!$O$104</f>
        <v>46348</v>
      </c>
      <c r="K155" s="56" t="str">
        <f aca="false">IF(OR(L155="Y",LEFT('P9-002'!$T$104,1)="D"),"",IF(AND(ISNUMBER(J155),J155&lt;ASOF),"⚠ เลยกำหนด",IF(AND(ISNUMBER(I155),I155&lt;=ASOF+14,J155&gt;=ASOF-7),"ช่วงนี้","")))</f>
        <v/>
      </c>
      <c r="L155" s="59"/>
      <c r="M155" s="60"/>
    </row>
    <row r="156" customFormat="false" ht="15" hidden="false" customHeight="false" outlineLevel="0" collapsed="false">
      <c r="A156" s="54" t="s">
        <v>46</v>
      </c>
      <c r="B156" s="55" t="s">
        <v>454</v>
      </c>
      <c r="C156" s="56" t="s">
        <v>455</v>
      </c>
      <c r="D156" s="57" t="s">
        <v>48</v>
      </c>
      <c r="E156" s="57" t="s">
        <v>406</v>
      </c>
      <c r="F156" s="55" t="s">
        <v>407</v>
      </c>
      <c r="G156" s="55" t="s">
        <v>408</v>
      </c>
      <c r="H156" s="57" t="s">
        <v>211</v>
      </c>
      <c r="I156" s="58" t="n">
        <f aca="false">'P9-002'!$N$105</f>
        <v>46347</v>
      </c>
      <c r="J156" s="58" t="n">
        <f aca="false">'P9-002'!$O$105</f>
        <v>46348</v>
      </c>
      <c r="K156" s="56" t="str">
        <f aca="false">IF(OR(L156="Y",LEFT('P9-002'!$T$105,1)="D"),"",IF(AND(ISNUMBER(J156),J156&lt;ASOF),"⚠ เลยกำหนด",IF(AND(ISNUMBER(I156),I156&lt;=ASOF+14,J156&gt;=ASOF-7),"ช่วงนี้","")))</f>
        <v/>
      </c>
      <c r="L156" s="59"/>
      <c r="M156" s="60"/>
    </row>
    <row r="157" customFormat="false" ht="15" hidden="false" customHeight="false" outlineLevel="0" collapsed="false">
      <c r="A157" s="54" t="s">
        <v>46</v>
      </c>
      <c r="B157" s="55" t="s">
        <v>454</v>
      </c>
      <c r="C157" s="56" t="s">
        <v>455</v>
      </c>
      <c r="D157" s="57" t="s">
        <v>48</v>
      </c>
      <c r="E157" s="57" t="s">
        <v>409</v>
      </c>
      <c r="F157" s="61" t="s">
        <v>410</v>
      </c>
      <c r="G157" s="55" t="s">
        <v>411</v>
      </c>
      <c r="H157" s="57" t="s">
        <v>211</v>
      </c>
      <c r="I157" s="58" t="n">
        <f aca="false">'P9-002'!$N$106</f>
        <v>46348</v>
      </c>
      <c r="J157" s="58" t="n">
        <f aca="false">'P9-002'!$O$106</f>
        <v>46348</v>
      </c>
      <c r="K157" s="56" t="str">
        <f aca="false">IF(OR(L157="Y",LEFT('P9-002'!$T$106,1)="D"),"",IF(AND(ISNUMBER(J157),J157&lt;ASOF),"⚠ เลยกำหนด",IF(AND(ISNUMBER(I157),I157&lt;=ASOF+14,J157&gt;=ASOF-7),"ช่วงนี้","")))</f>
        <v/>
      </c>
      <c r="L157" s="59"/>
      <c r="M157" s="60"/>
    </row>
    <row r="158" customFormat="false" ht="15" hidden="false" customHeight="false" outlineLevel="0" collapsed="false">
      <c r="A158" s="54" t="s">
        <v>46</v>
      </c>
      <c r="B158" s="55" t="s">
        <v>454</v>
      </c>
      <c r="C158" s="56" t="s">
        <v>455</v>
      </c>
      <c r="D158" s="57" t="s">
        <v>48</v>
      </c>
      <c r="E158" s="57" t="s">
        <v>412</v>
      </c>
      <c r="F158" s="61" t="s">
        <v>413</v>
      </c>
      <c r="G158" s="61" t="s">
        <v>414</v>
      </c>
      <c r="H158" s="57" t="s">
        <v>211</v>
      </c>
      <c r="I158" s="58" t="n">
        <f aca="false">'P9-002'!$N$108</f>
        <v>46347</v>
      </c>
      <c r="J158" s="58" t="n">
        <f aca="false">'P9-002'!$O$108</f>
        <v>46348</v>
      </c>
      <c r="K158" s="56" t="str">
        <f aca="false">IF(OR(L158="Y",LEFT('P9-002'!$T$108,1)="D"),"",IF(AND(ISNUMBER(J158),J158&lt;ASOF),"⚠ เลยกำหนด",IF(AND(ISNUMBER(I158),I158&lt;=ASOF+14,J158&gt;=ASOF-7),"ช่วงนี้","")))</f>
        <v/>
      </c>
      <c r="L158" s="59"/>
      <c r="M158" s="60"/>
    </row>
    <row r="159" customFormat="false" ht="15" hidden="false" customHeight="false" outlineLevel="0" collapsed="false">
      <c r="A159" s="54" t="s">
        <v>46</v>
      </c>
      <c r="B159" s="55" t="s">
        <v>454</v>
      </c>
      <c r="C159" s="56" t="s">
        <v>455</v>
      </c>
      <c r="D159" s="57" t="s">
        <v>48</v>
      </c>
      <c r="E159" s="57" t="s">
        <v>415</v>
      </c>
      <c r="F159" s="55" t="s">
        <v>416</v>
      </c>
      <c r="G159" s="55" t="s">
        <v>417</v>
      </c>
      <c r="H159" s="57" t="s">
        <v>211</v>
      </c>
      <c r="I159" s="58" t="n">
        <f aca="false">'P9-002'!$N$109</f>
        <v>46348</v>
      </c>
      <c r="J159" s="58" t="n">
        <f aca="false">'P9-002'!$O$109</f>
        <v>46348</v>
      </c>
      <c r="K159" s="56" t="str">
        <f aca="false">IF(OR(L159="Y",LEFT('P9-002'!$T$109,1)="D"),"",IF(AND(ISNUMBER(J159),J159&lt;ASOF),"⚠ เลยกำหนด",IF(AND(ISNUMBER(I159),I159&lt;=ASOF+14,J159&gt;=ASOF-7),"ช่วงนี้","")))</f>
        <v/>
      </c>
      <c r="L159" s="59"/>
      <c r="M159" s="60"/>
    </row>
    <row r="160" customFormat="false" ht="15" hidden="false" customHeight="false" outlineLevel="0" collapsed="false">
      <c r="A160" s="54" t="s">
        <v>46</v>
      </c>
      <c r="B160" s="55" t="s">
        <v>454</v>
      </c>
      <c r="C160" s="56" t="s">
        <v>455</v>
      </c>
      <c r="D160" s="57" t="s">
        <v>48</v>
      </c>
      <c r="E160" s="57" t="s">
        <v>418</v>
      </c>
      <c r="F160" s="61" t="s">
        <v>419</v>
      </c>
      <c r="G160" s="55" t="s">
        <v>420</v>
      </c>
      <c r="H160" s="57" t="s">
        <v>211</v>
      </c>
      <c r="I160" s="58" t="n">
        <f aca="false">'P9-002'!$N$110</f>
        <v>46347</v>
      </c>
      <c r="J160" s="58" t="n">
        <f aca="false">'P9-002'!$O$110</f>
        <v>46348</v>
      </c>
      <c r="K160" s="56" t="str">
        <f aca="false">IF(OR(L160="Y",LEFT('P9-002'!$T$110,1)="D"),"",IF(AND(ISNUMBER(J160),J160&lt;ASOF),"⚠ เลยกำหนด",IF(AND(ISNUMBER(I160),I160&lt;=ASOF+14,J160&gt;=ASOF-7),"ช่วงนี้","")))</f>
        <v/>
      </c>
      <c r="L160" s="59"/>
      <c r="M160" s="60"/>
    </row>
    <row r="161" customFormat="false" ht="15" hidden="false" customHeight="false" outlineLevel="0" collapsed="false">
      <c r="A161" s="54" t="s">
        <v>46</v>
      </c>
      <c r="B161" s="55" t="s">
        <v>454</v>
      </c>
      <c r="C161" s="56" t="s">
        <v>455</v>
      </c>
      <c r="D161" s="57" t="s">
        <v>48</v>
      </c>
      <c r="E161" s="57" t="s">
        <v>421</v>
      </c>
      <c r="F161" s="55" t="s">
        <v>422</v>
      </c>
      <c r="G161" s="55" t="s">
        <v>423</v>
      </c>
      <c r="H161" s="56" t="str">
        <f aca="false">IF(COUNTIFS(SITE_ST,"P9-002",SITE_TYPE,"?*")&gt;0,"ตามจุดติดตั้ง →","0/100")</f>
        <v>ตามจุดติดตั้ง →</v>
      </c>
      <c r="I161" s="58" t="n">
        <f aca="false">'P9-002'!$N$112</f>
        <v>46349</v>
      </c>
      <c r="J161" s="58" t="n">
        <f aca="false">'P9-002'!$O$112</f>
        <v>46349</v>
      </c>
      <c r="K161" s="56" t="str">
        <f aca="false">IF(OR(L161="Y",LEFT('P9-002'!$T$112,1)="D"),"",IF(AND(ISNUMBER(J161),J161&lt;ASOF),"⚠ เลยกำหนด",IF(AND(ISNUMBER(I161),I161&lt;=ASOF+14,J161&gt;=ASOF-7),"ช่วงนี้","")))</f>
        <v/>
      </c>
      <c r="L161" s="59"/>
      <c r="M161" s="60"/>
    </row>
    <row r="162" customFormat="false" ht="15" hidden="false" customHeight="false" outlineLevel="0" collapsed="false">
      <c r="A162" s="54" t="s">
        <v>46</v>
      </c>
      <c r="B162" s="55" t="s">
        <v>454</v>
      </c>
      <c r="C162" s="56" t="s">
        <v>455</v>
      </c>
      <c r="D162" s="57" t="s">
        <v>48</v>
      </c>
      <c r="E162" s="57" t="s">
        <v>424</v>
      </c>
      <c r="F162" s="55" t="s">
        <v>425</v>
      </c>
      <c r="G162" s="55" t="s">
        <v>426</v>
      </c>
      <c r="H162" s="56" t="str">
        <f aca="false">IF(COUNTIFS(SITE_ST,"P9-002",SITE_TYPE,"?*")&gt;0,"ตามจุดติดตั้ง →","0/100")</f>
        <v>ตามจุดติดตั้ง →</v>
      </c>
      <c r="I162" s="58" t="n">
        <f aca="false">'P9-002'!$N$113</f>
        <v>46349</v>
      </c>
      <c r="J162" s="58" t="n">
        <f aca="false">'P9-002'!$O$113</f>
        <v>46349</v>
      </c>
      <c r="K162" s="56" t="str">
        <f aca="false">IF(OR(L162="Y",LEFT('P9-002'!$T$113,1)="D"),"",IF(AND(ISNUMBER(J162),J162&lt;ASOF),"⚠ เลยกำหนด",IF(AND(ISNUMBER(I162),I162&lt;=ASOF+14,J162&gt;=ASOF-7),"ช่วงนี้","")))</f>
        <v/>
      </c>
      <c r="L162" s="59"/>
      <c r="M162" s="60"/>
    </row>
    <row r="163" customFormat="false" ht="15" hidden="false" customHeight="false" outlineLevel="0" collapsed="false">
      <c r="A163" s="54" t="s">
        <v>46</v>
      </c>
      <c r="B163" s="55" t="s">
        <v>454</v>
      </c>
      <c r="C163" s="56" t="s">
        <v>455</v>
      </c>
      <c r="D163" s="57" t="s">
        <v>48</v>
      </c>
      <c r="E163" s="57" t="s">
        <v>427</v>
      </c>
      <c r="F163" s="61" t="s">
        <v>428</v>
      </c>
      <c r="G163" s="61" t="s">
        <v>429</v>
      </c>
      <c r="H163" s="57" t="s">
        <v>211</v>
      </c>
      <c r="I163" s="58" t="n">
        <f aca="false">'P9-002'!$N$116</f>
        <v>46359</v>
      </c>
      <c r="J163" s="58" t="n">
        <f aca="false">'P9-002'!$O$116</f>
        <v>46359</v>
      </c>
      <c r="K163" s="56" t="str">
        <f aca="false">IF(OR(L163="Y",LEFT('P9-002'!$T$116,1)="D"),"",IF(AND(ISNUMBER(J163),J163&lt;ASOF),"⚠ เลยกำหนด",IF(AND(ISNUMBER(I163),I163&lt;=ASOF+14,J163&gt;=ASOF-7),"ช่วงนี้","")))</f>
        <v/>
      </c>
      <c r="L163" s="59"/>
      <c r="M163" s="60"/>
    </row>
    <row r="164" customFormat="false" ht="15" hidden="false" customHeight="false" outlineLevel="0" collapsed="false">
      <c r="A164" s="54" t="s">
        <v>46</v>
      </c>
      <c r="B164" s="55" t="s">
        <v>454</v>
      </c>
      <c r="C164" s="56" t="s">
        <v>455</v>
      </c>
      <c r="D164" s="57" t="s">
        <v>48</v>
      </c>
      <c r="E164" s="57" t="s">
        <v>430</v>
      </c>
      <c r="F164" s="55" t="s">
        <v>431</v>
      </c>
      <c r="G164" s="55" t="s">
        <v>432</v>
      </c>
      <c r="H164" s="57" t="s">
        <v>211</v>
      </c>
      <c r="I164" s="58" t="n">
        <f aca="false">'P9-002'!$N$117</f>
        <v>46359</v>
      </c>
      <c r="J164" s="58" t="n">
        <f aca="false">'P9-002'!$O$117</f>
        <v>46359</v>
      </c>
      <c r="K164" s="56" t="str">
        <f aca="false">IF(OR(L164="Y",LEFT('P9-002'!$T$117,1)="D"),"",IF(AND(ISNUMBER(J164),J164&lt;ASOF),"⚠ เลยกำหนด",IF(AND(ISNUMBER(I164),I164&lt;=ASOF+14,J164&gt;=ASOF-7),"ช่วงนี้","")))</f>
        <v/>
      </c>
      <c r="L164" s="59"/>
      <c r="M164" s="60"/>
    </row>
    <row r="165" customFormat="false" ht="15" hidden="false" customHeight="false" outlineLevel="0" collapsed="false">
      <c r="A165" s="54" t="s">
        <v>46</v>
      </c>
      <c r="B165" s="55" t="s">
        <v>454</v>
      </c>
      <c r="C165" s="56" t="s">
        <v>455</v>
      </c>
      <c r="D165" s="57" t="s">
        <v>48</v>
      </c>
      <c r="E165" s="57" t="s">
        <v>433</v>
      </c>
      <c r="F165" s="55" t="s">
        <v>434</v>
      </c>
      <c r="G165" s="55" t="s">
        <v>435</v>
      </c>
      <c r="H165" s="57" t="s">
        <v>211</v>
      </c>
      <c r="I165" s="58" t="n">
        <f aca="false">'P9-002'!$N$118</f>
        <v>46359</v>
      </c>
      <c r="J165" s="58" t="n">
        <f aca="false">'P9-002'!$O$118</f>
        <v>46359</v>
      </c>
      <c r="K165" s="56" t="str">
        <f aca="false">IF(OR(L165="Y",LEFT('P9-002'!$T$118,1)="D"),"",IF(AND(ISNUMBER(J165),J165&lt;ASOF),"⚠ เลยกำหนด",IF(AND(ISNUMBER(I165),I165&lt;=ASOF+14,J165&gt;=ASOF-7),"ช่วงนี้","")))</f>
        <v/>
      </c>
      <c r="L165" s="59"/>
      <c r="M165" s="60"/>
    </row>
    <row r="166" customFormat="false" ht="15" hidden="false" customHeight="false" outlineLevel="0" collapsed="false">
      <c r="A166" s="54" t="s">
        <v>46</v>
      </c>
      <c r="B166" s="55" t="s">
        <v>454</v>
      </c>
      <c r="C166" s="56" t="s">
        <v>455</v>
      </c>
      <c r="D166" s="57" t="s">
        <v>48</v>
      </c>
      <c r="E166" s="57" t="s">
        <v>436</v>
      </c>
      <c r="F166" s="55" t="s">
        <v>437</v>
      </c>
      <c r="G166" s="55" t="s">
        <v>438</v>
      </c>
      <c r="H166" s="57" t="s">
        <v>211</v>
      </c>
      <c r="I166" s="58" t="n">
        <f aca="false">'P9-002'!$N$119</f>
        <v>46359</v>
      </c>
      <c r="J166" s="58" t="n">
        <f aca="false">'P9-002'!$O$119</f>
        <v>46359</v>
      </c>
      <c r="K166" s="56" t="str">
        <f aca="false">IF(OR(L166="Y",LEFT('P9-002'!$T$119,1)="D"),"",IF(AND(ISNUMBER(J166),J166&lt;ASOF),"⚠ เลยกำหนด",IF(AND(ISNUMBER(I166),I166&lt;=ASOF+14,J166&gt;=ASOF-7),"ช่วงนี้","")))</f>
        <v/>
      </c>
      <c r="L166" s="59"/>
      <c r="M166" s="60"/>
    </row>
    <row r="167" customFormat="false" ht="15" hidden="false" customHeight="false" outlineLevel="0" collapsed="false">
      <c r="A167" s="54" t="s">
        <v>46</v>
      </c>
      <c r="B167" s="55" t="s">
        <v>454</v>
      </c>
      <c r="C167" s="56" t="s">
        <v>455</v>
      </c>
      <c r="D167" s="57" t="s">
        <v>48</v>
      </c>
      <c r="E167" s="57" t="s">
        <v>439</v>
      </c>
      <c r="F167" s="55" t="s">
        <v>440</v>
      </c>
      <c r="G167" s="55" t="s">
        <v>441</v>
      </c>
      <c r="H167" s="57" t="s">
        <v>211</v>
      </c>
      <c r="I167" s="58" t="n">
        <f aca="false">'P9-002'!$N$120</f>
        <v>46359</v>
      </c>
      <c r="J167" s="58" t="n">
        <f aca="false">'P9-002'!$O$120</f>
        <v>46359</v>
      </c>
      <c r="K167" s="56" t="str">
        <f aca="false">IF(OR(L167="Y",LEFT('P9-002'!$T$120,1)="D"),"",IF(AND(ISNUMBER(J167),J167&lt;ASOF),"⚠ เลยกำหนด",IF(AND(ISNUMBER(I167),I167&lt;=ASOF+14,J167&gt;=ASOF-7),"ช่วงนี้","")))</f>
        <v/>
      </c>
      <c r="L167" s="59"/>
      <c r="M167" s="60"/>
    </row>
    <row r="168" customFormat="false" ht="15" hidden="false" customHeight="false" outlineLevel="0" collapsed="false">
      <c r="A168" s="54" t="s">
        <v>46</v>
      </c>
      <c r="B168" s="55" t="s">
        <v>454</v>
      </c>
      <c r="C168" s="56" t="s">
        <v>455</v>
      </c>
      <c r="D168" s="57" t="s">
        <v>48</v>
      </c>
      <c r="E168" s="57" t="s">
        <v>442</v>
      </c>
      <c r="F168" s="55" t="s">
        <v>443</v>
      </c>
      <c r="G168" s="55" t="s">
        <v>444</v>
      </c>
      <c r="H168" s="57" t="s">
        <v>211</v>
      </c>
      <c r="I168" s="58" t="n">
        <f aca="false">'P9-002'!$N$121</f>
        <v>46359</v>
      </c>
      <c r="J168" s="58" t="n">
        <f aca="false">'P9-002'!$O$121</f>
        <v>46359</v>
      </c>
      <c r="K168" s="56" t="str">
        <f aca="false">IF(OR(L168="Y",LEFT('P9-002'!$T$121,1)="D"),"",IF(AND(ISNUMBER(J168),J168&lt;ASOF),"⚠ เลยกำหนด",IF(AND(ISNUMBER(I168),I168&lt;=ASOF+14,J168&gt;=ASOF-7),"ช่วงนี้","")))</f>
        <v/>
      </c>
      <c r="L168" s="59"/>
      <c r="M168" s="60"/>
    </row>
    <row r="169" customFormat="false" ht="15" hidden="false" customHeight="false" outlineLevel="0" collapsed="false">
      <c r="A169" s="54" t="s">
        <v>46</v>
      </c>
      <c r="B169" s="55" t="s">
        <v>454</v>
      </c>
      <c r="C169" s="56" t="s">
        <v>455</v>
      </c>
      <c r="D169" s="57" t="s">
        <v>48</v>
      </c>
      <c r="E169" s="57" t="s">
        <v>445</v>
      </c>
      <c r="F169" s="55" t="s">
        <v>446</v>
      </c>
      <c r="G169" s="55" t="s">
        <v>447</v>
      </c>
      <c r="H169" s="57" t="s">
        <v>211</v>
      </c>
      <c r="I169" s="58" t="n">
        <f aca="false">'P9-002'!$N$125</f>
        <v>46437</v>
      </c>
      <c r="J169" s="58" t="n">
        <f aca="false">'P9-002'!$O$125</f>
        <v>46441</v>
      </c>
      <c r="K169" s="56" t="str">
        <f aca="false">IF(OR(L169="Y",LEFT('P9-002'!$T$125,1)="D"),"",IF(AND(ISNUMBER(J169),J169&lt;ASOF),"⚠ เลยกำหนด",IF(AND(ISNUMBER(I169),I169&lt;=ASOF+14,J169&gt;=ASOF-7),"ช่วงนี้","")))</f>
        <v/>
      </c>
      <c r="L169" s="59"/>
      <c r="M169" s="60"/>
    </row>
    <row r="170" customFormat="false" ht="15" hidden="false" customHeight="false" outlineLevel="0" collapsed="false">
      <c r="A170" s="54" t="s">
        <v>46</v>
      </c>
      <c r="B170" s="55" t="s">
        <v>454</v>
      </c>
      <c r="C170" s="56" t="s">
        <v>455</v>
      </c>
      <c r="D170" s="57" t="s">
        <v>48</v>
      </c>
      <c r="E170" s="57" t="s">
        <v>448</v>
      </c>
      <c r="F170" s="55" t="s">
        <v>449</v>
      </c>
      <c r="G170" s="61" t="s">
        <v>450</v>
      </c>
      <c r="H170" s="57" t="s">
        <v>211</v>
      </c>
      <c r="I170" s="58" t="n">
        <f aca="false">'P9-002'!$N$126</f>
        <v>46440</v>
      </c>
      <c r="J170" s="58" t="n">
        <f aca="false">'P9-002'!$O$126</f>
        <v>46447</v>
      </c>
      <c r="K170" s="56" t="str">
        <f aca="false">IF(OR(L170="Y",LEFT('P9-002'!$T$126,1)="D"),"",IF(AND(ISNUMBER(J170),J170&lt;ASOF),"⚠ เลยกำหนด",IF(AND(ISNUMBER(I170),I170&lt;=ASOF+14,J170&gt;=ASOF-7),"ช่วงนี้","")))</f>
        <v/>
      </c>
      <c r="L170" s="59"/>
      <c r="M170" s="60"/>
    </row>
    <row r="171" customFormat="false" ht="15" hidden="false" customHeight="false" outlineLevel="0" collapsed="false">
      <c r="A171" s="54" t="s">
        <v>46</v>
      </c>
      <c r="B171" s="55" t="s">
        <v>454</v>
      </c>
      <c r="C171" s="56" t="s">
        <v>455</v>
      </c>
      <c r="D171" s="57" t="s">
        <v>48</v>
      </c>
      <c r="E171" s="57" t="s">
        <v>451</v>
      </c>
      <c r="F171" s="61" t="s">
        <v>452</v>
      </c>
      <c r="G171" s="61" t="s">
        <v>453</v>
      </c>
      <c r="H171" s="57" t="s">
        <v>211</v>
      </c>
      <c r="I171" s="58" t="n">
        <f aca="false">'P9-002'!$N$127</f>
        <v>46447</v>
      </c>
      <c r="J171" s="58" t="n">
        <f aca="false">'P9-002'!$O$127</f>
        <v>46450</v>
      </c>
      <c r="K171" s="56" t="str">
        <f aca="false">IF(OR(L171="Y",LEFT('P9-002'!$T$127,1)="D"),"",IF(AND(ISNUMBER(J171),J171&lt;ASOF),"⚠ เลยกำหนด",IF(AND(ISNUMBER(I171),I171&lt;=ASOF+14,J171&gt;=ASOF-7),"ช่วงนี้","")))</f>
        <v/>
      </c>
      <c r="L171" s="59"/>
      <c r="M171" s="60"/>
    </row>
    <row r="172" customFormat="false" ht="15" hidden="false" customHeight="false" outlineLevel="0" collapsed="false">
      <c r="A172" s="54" t="s">
        <v>50</v>
      </c>
      <c r="B172" s="55" t="s">
        <v>465</v>
      </c>
      <c r="C172" s="56" t="s">
        <v>466</v>
      </c>
      <c r="D172" s="57" t="s">
        <v>52</v>
      </c>
      <c r="E172" s="57" t="s">
        <v>208</v>
      </c>
      <c r="F172" s="55" t="s">
        <v>209</v>
      </c>
      <c r="G172" s="55" t="s">
        <v>210</v>
      </c>
      <c r="H172" s="57" t="s">
        <v>211</v>
      </c>
      <c r="I172" s="58" t="n">
        <f aca="false">'P9-003'!$N$10</f>
        <v>46328</v>
      </c>
      <c r="J172" s="58" t="n">
        <f aca="false">'P9-003'!$O$10</f>
        <v>46340</v>
      </c>
      <c r="K172" s="56" t="str">
        <f aca="false">IF(OR(L172="Y",LEFT('P9-003'!$T$10,1)="D"),"",IF(AND(ISNUMBER(J172),J172&lt;ASOF),"⚠ เลยกำหนด",IF(AND(ISNUMBER(I172),I172&lt;=ASOF+14,J172&gt;=ASOF-7),"ช่วงนี้","")))</f>
        <v>ช่วงนี้</v>
      </c>
      <c r="L172" s="59"/>
      <c r="M172" s="60"/>
    </row>
    <row r="173" customFormat="false" ht="15" hidden="false" customHeight="false" outlineLevel="0" collapsed="false">
      <c r="A173" s="54" t="s">
        <v>50</v>
      </c>
      <c r="B173" s="55" t="s">
        <v>465</v>
      </c>
      <c r="C173" s="56" t="s">
        <v>466</v>
      </c>
      <c r="D173" s="57" t="s">
        <v>52</v>
      </c>
      <c r="E173" s="57" t="s">
        <v>212</v>
      </c>
      <c r="F173" s="55" t="s">
        <v>213</v>
      </c>
      <c r="G173" s="55" t="s">
        <v>214</v>
      </c>
      <c r="H173" s="57" t="s">
        <v>211</v>
      </c>
      <c r="I173" s="58" t="n">
        <f aca="false">'P9-003'!$N$11</f>
        <v>46328</v>
      </c>
      <c r="J173" s="58" t="n">
        <f aca="false">'P9-003'!$O$11</f>
        <v>46340</v>
      </c>
      <c r="K173" s="56" t="str">
        <f aca="false">IF(OR(L173="Y",LEFT('P9-003'!$T$11,1)="D"),"",IF(AND(ISNUMBER(J173),J173&lt;ASOF),"⚠ เลยกำหนด",IF(AND(ISNUMBER(I173),I173&lt;=ASOF+14,J173&gt;=ASOF-7),"ช่วงนี้","")))</f>
        <v>ช่วงนี้</v>
      </c>
      <c r="L173" s="59"/>
      <c r="M173" s="60"/>
    </row>
    <row r="174" customFormat="false" ht="15" hidden="false" customHeight="false" outlineLevel="0" collapsed="false">
      <c r="A174" s="54" t="s">
        <v>50</v>
      </c>
      <c r="B174" s="55" t="s">
        <v>465</v>
      </c>
      <c r="C174" s="56" t="s">
        <v>466</v>
      </c>
      <c r="D174" s="57" t="s">
        <v>52</v>
      </c>
      <c r="E174" s="57" t="s">
        <v>215</v>
      </c>
      <c r="F174" s="55" t="s">
        <v>216</v>
      </c>
      <c r="G174" s="61" t="s">
        <v>217</v>
      </c>
      <c r="H174" s="57" t="s">
        <v>211</v>
      </c>
      <c r="I174" s="58" t="n">
        <f aca="false">'P9-003'!$N$12</f>
        <v>46328</v>
      </c>
      <c r="J174" s="58" t="n">
        <f aca="false">'P9-003'!$O$12</f>
        <v>46340</v>
      </c>
      <c r="K174" s="56" t="str">
        <f aca="false">IF(OR(L174="Y",LEFT('P9-003'!$T$12,1)="D"),"",IF(AND(ISNUMBER(J174),J174&lt;ASOF),"⚠ เลยกำหนด",IF(AND(ISNUMBER(I174),I174&lt;=ASOF+14,J174&gt;=ASOF-7),"ช่วงนี้","")))</f>
        <v>ช่วงนี้</v>
      </c>
      <c r="L174" s="59"/>
      <c r="M174" s="60"/>
    </row>
    <row r="175" customFormat="false" ht="15" hidden="false" customHeight="false" outlineLevel="0" collapsed="false">
      <c r="A175" s="54" t="s">
        <v>50</v>
      </c>
      <c r="B175" s="55" t="s">
        <v>465</v>
      </c>
      <c r="C175" s="56" t="s">
        <v>466</v>
      </c>
      <c r="D175" s="57" t="s">
        <v>52</v>
      </c>
      <c r="E175" s="57" t="s">
        <v>218</v>
      </c>
      <c r="F175" s="55" t="s">
        <v>219</v>
      </c>
      <c r="G175" s="55" t="s">
        <v>220</v>
      </c>
      <c r="H175" s="57" t="s">
        <v>211</v>
      </c>
      <c r="I175" s="58" t="n">
        <f aca="false">'P9-003'!$N$13</f>
        <v>46328</v>
      </c>
      <c r="J175" s="58" t="n">
        <f aca="false">'P9-003'!$O$13</f>
        <v>46346</v>
      </c>
      <c r="K175" s="56" t="str">
        <f aca="false">IF(OR(L175="Y",LEFT('P9-003'!$T$13,1)="D"),"",IF(AND(ISNUMBER(J175),J175&lt;ASOF),"⚠ เลยกำหนด",IF(AND(ISNUMBER(I175),I175&lt;=ASOF+14,J175&gt;=ASOF-7),"ช่วงนี้","")))</f>
        <v>ช่วงนี้</v>
      </c>
      <c r="L175" s="59"/>
      <c r="M175" s="60"/>
    </row>
    <row r="176" customFormat="false" ht="15" hidden="false" customHeight="false" outlineLevel="0" collapsed="false">
      <c r="A176" s="54" t="s">
        <v>50</v>
      </c>
      <c r="B176" s="55" t="s">
        <v>465</v>
      </c>
      <c r="C176" s="56" t="s">
        <v>466</v>
      </c>
      <c r="D176" s="57" t="s">
        <v>52</v>
      </c>
      <c r="E176" s="57" t="s">
        <v>221</v>
      </c>
      <c r="F176" s="55" t="s">
        <v>222</v>
      </c>
      <c r="G176" s="55" t="s">
        <v>223</v>
      </c>
      <c r="H176" s="57" t="s">
        <v>211</v>
      </c>
      <c r="I176" s="58" t="n">
        <f aca="false">'P9-003'!$N$14</f>
        <v>46340</v>
      </c>
      <c r="J176" s="58" t="n">
        <f aca="false">'P9-003'!$O$14</f>
        <v>46450</v>
      </c>
      <c r="K176" s="56" t="str">
        <f aca="false">IF(OR(L176="Y",LEFT('P9-003'!$T$14,1)="D"),"",IF(AND(ISNUMBER(J176),J176&lt;ASOF),"⚠ เลยกำหนด",IF(AND(ISNUMBER(I176),I176&lt;=ASOF+14,J176&gt;=ASOF-7),"ช่วงนี้","")))</f>
        <v>ช่วงนี้</v>
      </c>
      <c r="L176" s="59"/>
      <c r="M176" s="60"/>
    </row>
    <row r="177" customFormat="false" ht="15" hidden="false" customHeight="false" outlineLevel="0" collapsed="false">
      <c r="A177" s="54" t="s">
        <v>50</v>
      </c>
      <c r="B177" s="55" t="s">
        <v>465</v>
      </c>
      <c r="C177" s="56" t="s">
        <v>466</v>
      </c>
      <c r="D177" s="57" t="s">
        <v>52</v>
      </c>
      <c r="E177" s="57" t="s">
        <v>224</v>
      </c>
      <c r="F177" s="55" t="s">
        <v>225</v>
      </c>
      <c r="G177" s="61" t="s">
        <v>226</v>
      </c>
      <c r="H177" s="57" t="s">
        <v>211</v>
      </c>
      <c r="I177" s="58" t="n">
        <f aca="false">'P9-003'!$N$15</f>
        <v>46340</v>
      </c>
      <c r="J177" s="58" t="n">
        <f aca="false">'P9-003'!$O$15</f>
        <v>46450</v>
      </c>
      <c r="K177" s="56" t="str">
        <f aca="false">IF(OR(L177="Y",LEFT('P9-003'!$T$15,1)="D"),"",IF(AND(ISNUMBER(J177),J177&lt;ASOF),"⚠ เลยกำหนด",IF(AND(ISNUMBER(I177),I177&lt;=ASOF+14,J177&gt;=ASOF-7),"ช่วงนี้","")))</f>
        <v>ช่วงนี้</v>
      </c>
      <c r="L177" s="59"/>
      <c r="M177" s="60"/>
    </row>
    <row r="178" customFormat="false" ht="15" hidden="false" customHeight="false" outlineLevel="0" collapsed="false">
      <c r="A178" s="54" t="s">
        <v>50</v>
      </c>
      <c r="B178" s="55" t="s">
        <v>465</v>
      </c>
      <c r="C178" s="56" t="s">
        <v>466</v>
      </c>
      <c r="D178" s="57" t="s">
        <v>52</v>
      </c>
      <c r="E178" s="57" t="s">
        <v>227</v>
      </c>
      <c r="F178" s="55" t="s">
        <v>228</v>
      </c>
      <c r="G178" s="55" t="s">
        <v>229</v>
      </c>
      <c r="H178" s="57" t="s">
        <v>211</v>
      </c>
      <c r="I178" s="58" t="n">
        <f aca="false">'P9-003'!$N$17</f>
        <v>46328</v>
      </c>
      <c r="J178" s="58" t="n">
        <f aca="false">'P9-003'!$O$17</f>
        <v>46328</v>
      </c>
      <c r="K178" s="56" t="str">
        <f aca="false">IF(OR(L178="Y",LEFT('P9-003'!$T$17,1)="D"),"",IF(AND(ISNUMBER(J178),J178&lt;ASOF),"⚠ เลยกำหนด",IF(AND(ISNUMBER(I178),I178&lt;=ASOF+14,J178&gt;=ASOF-7),"ช่วงนี้","")))</f>
        <v>ช่วงนี้</v>
      </c>
      <c r="L178" s="59"/>
      <c r="M178" s="60"/>
    </row>
    <row r="179" customFormat="false" ht="15" hidden="false" customHeight="false" outlineLevel="0" collapsed="false">
      <c r="A179" s="54" t="s">
        <v>50</v>
      </c>
      <c r="B179" s="55" t="s">
        <v>465</v>
      </c>
      <c r="C179" s="56" t="s">
        <v>466</v>
      </c>
      <c r="D179" s="57" t="s">
        <v>52</v>
      </c>
      <c r="E179" s="57" t="s">
        <v>230</v>
      </c>
      <c r="F179" s="55" t="s">
        <v>231</v>
      </c>
      <c r="G179" s="55" t="s">
        <v>232</v>
      </c>
      <c r="H179" s="57" t="s">
        <v>211</v>
      </c>
      <c r="I179" s="58" t="n">
        <f aca="false">'P9-003'!$N$18</f>
        <v>46328</v>
      </c>
      <c r="J179" s="58" t="n">
        <f aca="false">'P9-003'!$O$18</f>
        <v>46328</v>
      </c>
      <c r="K179" s="56" t="str">
        <f aca="false">IF(OR(L179="Y",LEFT('P9-003'!$T$18,1)="D"),"",IF(AND(ISNUMBER(J179),J179&lt;ASOF),"⚠ เลยกำหนด",IF(AND(ISNUMBER(I179),I179&lt;=ASOF+14,J179&gt;=ASOF-7),"ช่วงนี้","")))</f>
        <v>ช่วงนี้</v>
      </c>
      <c r="L179" s="59"/>
      <c r="M179" s="60"/>
    </row>
    <row r="180" customFormat="false" ht="15" hidden="false" customHeight="false" outlineLevel="0" collapsed="false">
      <c r="A180" s="54" t="s">
        <v>50</v>
      </c>
      <c r="B180" s="55" t="s">
        <v>465</v>
      </c>
      <c r="C180" s="56" t="s">
        <v>466</v>
      </c>
      <c r="D180" s="57" t="s">
        <v>52</v>
      </c>
      <c r="E180" s="57" t="s">
        <v>233</v>
      </c>
      <c r="F180" s="55" t="s">
        <v>234</v>
      </c>
      <c r="G180" s="55" t="s">
        <v>235</v>
      </c>
      <c r="H180" s="57" t="s">
        <v>211</v>
      </c>
      <c r="I180" s="58" t="n">
        <f aca="false">'P9-003'!$N$19</f>
        <v>46328</v>
      </c>
      <c r="J180" s="58" t="n">
        <f aca="false">'P9-003'!$O$19</f>
        <v>46328</v>
      </c>
      <c r="K180" s="56" t="str">
        <f aca="false">IF(OR(L180="Y",LEFT('P9-003'!$T$19,1)="D"),"",IF(AND(ISNUMBER(J180),J180&lt;ASOF),"⚠ เลยกำหนด",IF(AND(ISNUMBER(I180),I180&lt;=ASOF+14,J180&gt;=ASOF-7),"ช่วงนี้","")))</f>
        <v>ช่วงนี้</v>
      </c>
      <c r="L180" s="59"/>
      <c r="M180" s="60"/>
    </row>
    <row r="181" customFormat="false" ht="15" hidden="false" customHeight="false" outlineLevel="0" collapsed="false">
      <c r="A181" s="54" t="s">
        <v>50</v>
      </c>
      <c r="B181" s="55" t="s">
        <v>465</v>
      </c>
      <c r="C181" s="56" t="s">
        <v>466</v>
      </c>
      <c r="D181" s="57" t="s">
        <v>52</v>
      </c>
      <c r="E181" s="57" t="s">
        <v>236</v>
      </c>
      <c r="F181" s="55" t="s">
        <v>237</v>
      </c>
      <c r="G181" s="55" t="s">
        <v>238</v>
      </c>
      <c r="H181" s="57" t="s">
        <v>211</v>
      </c>
      <c r="I181" s="58" t="n">
        <f aca="false">'P9-003'!$N$20</f>
        <v>46328</v>
      </c>
      <c r="J181" s="58" t="n">
        <f aca="false">'P9-003'!$O$20</f>
        <v>46328</v>
      </c>
      <c r="K181" s="56" t="str">
        <f aca="false">IF(OR(L181="Y",LEFT('P9-003'!$T$20,1)="D"),"",IF(AND(ISNUMBER(J181),J181&lt;ASOF),"⚠ เลยกำหนด",IF(AND(ISNUMBER(I181),I181&lt;=ASOF+14,J181&gt;=ASOF-7),"ช่วงนี้","")))</f>
        <v>ช่วงนี้</v>
      </c>
      <c r="L181" s="59"/>
      <c r="M181" s="60"/>
    </row>
    <row r="182" customFormat="false" ht="15" hidden="false" customHeight="false" outlineLevel="0" collapsed="false">
      <c r="A182" s="54" t="s">
        <v>50</v>
      </c>
      <c r="B182" s="55" t="s">
        <v>465</v>
      </c>
      <c r="C182" s="56" t="s">
        <v>466</v>
      </c>
      <c r="D182" s="57" t="s">
        <v>52</v>
      </c>
      <c r="E182" s="57" t="s">
        <v>239</v>
      </c>
      <c r="F182" s="55" t="s">
        <v>240</v>
      </c>
      <c r="G182" s="55" t="s">
        <v>241</v>
      </c>
      <c r="H182" s="57" t="s">
        <v>211</v>
      </c>
      <c r="I182" s="58" t="n">
        <f aca="false">'P9-003'!$N$21</f>
        <v>46328</v>
      </c>
      <c r="J182" s="58" t="n">
        <f aca="false">'P9-003'!$O$21</f>
        <v>46328</v>
      </c>
      <c r="K182" s="56" t="str">
        <f aca="false">IF(OR(L182="Y",LEFT('P9-003'!$T$21,1)="D"),"",IF(AND(ISNUMBER(J182),J182&lt;ASOF),"⚠ เลยกำหนด",IF(AND(ISNUMBER(I182),I182&lt;=ASOF+14,J182&gt;=ASOF-7),"ช่วงนี้","")))</f>
        <v>ช่วงนี้</v>
      </c>
      <c r="L182" s="59"/>
      <c r="M182" s="60"/>
    </row>
    <row r="183" customFormat="false" ht="15" hidden="false" customHeight="false" outlineLevel="0" collapsed="false">
      <c r="A183" s="54" t="s">
        <v>50</v>
      </c>
      <c r="B183" s="55" t="s">
        <v>465</v>
      </c>
      <c r="C183" s="56" t="s">
        <v>466</v>
      </c>
      <c r="D183" s="57" t="s">
        <v>52</v>
      </c>
      <c r="E183" s="57" t="s">
        <v>242</v>
      </c>
      <c r="F183" s="55" t="s">
        <v>243</v>
      </c>
      <c r="G183" s="55" t="s">
        <v>244</v>
      </c>
      <c r="H183" s="57" t="s">
        <v>211</v>
      </c>
      <c r="I183" s="58" t="n">
        <f aca="false">'P9-003'!$N$22</f>
        <v>46328</v>
      </c>
      <c r="J183" s="58" t="n">
        <f aca="false">'P9-003'!$O$22</f>
        <v>46328</v>
      </c>
      <c r="K183" s="56" t="str">
        <f aca="false">IF(OR(L183="Y",LEFT('P9-003'!$T$22,1)="D"),"",IF(AND(ISNUMBER(J183),J183&lt;ASOF),"⚠ เลยกำหนด",IF(AND(ISNUMBER(I183),I183&lt;=ASOF+14,J183&gt;=ASOF-7),"ช่วงนี้","")))</f>
        <v>ช่วงนี้</v>
      </c>
      <c r="L183" s="59"/>
      <c r="M183" s="60"/>
    </row>
    <row r="184" customFormat="false" ht="15" hidden="false" customHeight="false" outlineLevel="0" collapsed="false">
      <c r="A184" s="54" t="s">
        <v>50</v>
      </c>
      <c r="B184" s="55" t="s">
        <v>465</v>
      </c>
      <c r="C184" s="56" t="s">
        <v>466</v>
      </c>
      <c r="D184" s="57" t="s">
        <v>52</v>
      </c>
      <c r="E184" s="57" t="s">
        <v>248</v>
      </c>
      <c r="F184" s="55" t="s">
        <v>249</v>
      </c>
      <c r="G184" s="55" t="s">
        <v>250</v>
      </c>
      <c r="H184" s="57" t="s">
        <v>211</v>
      </c>
      <c r="I184" s="58" t="n">
        <f aca="false">'P9-003'!$N$24</f>
        <v>46328</v>
      </c>
      <c r="J184" s="58" t="n">
        <f aca="false">'P9-003'!$O$24</f>
        <v>46328</v>
      </c>
      <c r="K184" s="56" t="str">
        <f aca="false">IF(OR(L184="Y",LEFT('P9-003'!$T$24,1)="D"),"",IF(AND(ISNUMBER(J184),J184&lt;ASOF),"⚠ เลยกำหนด",IF(AND(ISNUMBER(I184),I184&lt;=ASOF+14,J184&gt;=ASOF-7),"ช่วงนี้","")))</f>
        <v>ช่วงนี้</v>
      </c>
      <c r="L184" s="59"/>
      <c r="M184" s="60"/>
    </row>
    <row r="185" customFormat="false" ht="15" hidden="false" customHeight="false" outlineLevel="0" collapsed="false">
      <c r="A185" s="54" t="s">
        <v>50</v>
      </c>
      <c r="B185" s="55" t="s">
        <v>465</v>
      </c>
      <c r="C185" s="56" t="s">
        <v>466</v>
      </c>
      <c r="D185" s="57" t="s">
        <v>52</v>
      </c>
      <c r="E185" s="57" t="s">
        <v>251</v>
      </c>
      <c r="F185" s="55" t="s">
        <v>252</v>
      </c>
      <c r="G185" s="55" t="s">
        <v>253</v>
      </c>
      <c r="H185" s="57" t="s">
        <v>211</v>
      </c>
      <c r="I185" s="58" t="n">
        <f aca="false">'P9-003'!$N$26</f>
        <v>46329</v>
      </c>
      <c r="J185" s="58" t="n">
        <f aca="false">'P9-003'!$O$26</f>
        <v>46329</v>
      </c>
      <c r="K185" s="56" t="str">
        <f aca="false">IF(OR(L185="Y",LEFT('P9-003'!$T$26,1)="D"),"",IF(AND(ISNUMBER(J185),J185&lt;ASOF),"⚠ เลยกำหนด",IF(AND(ISNUMBER(I185),I185&lt;=ASOF+14,J185&gt;=ASOF-7),"ช่วงนี้","")))</f>
        <v>ช่วงนี้</v>
      </c>
      <c r="L185" s="59"/>
      <c r="M185" s="60"/>
    </row>
    <row r="186" customFormat="false" ht="15" hidden="false" customHeight="false" outlineLevel="0" collapsed="false">
      <c r="A186" s="54" t="s">
        <v>50</v>
      </c>
      <c r="B186" s="55" t="s">
        <v>465</v>
      </c>
      <c r="C186" s="56" t="s">
        <v>466</v>
      </c>
      <c r="D186" s="57" t="s">
        <v>52</v>
      </c>
      <c r="E186" s="57" t="s">
        <v>254</v>
      </c>
      <c r="F186" s="55" t="s">
        <v>255</v>
      </c>
      <c r="G186" s="55" t="s">
        <v>256</v>
      </c>
      <c r="H186" s="57" t="s">
        <v>211</v>
      </c>
      <c r="I186" s="58" t="n">
        <f aca="false">'P9-003'!$N$27</f>
        <v>46329</v>
      </c>
      <c r="J186" s="58" t="n">
        <f aca="false">'P9-003'!$O$27</f>
        <v>46329</v>
      </c>
      <c r="K186" s="56" t="str">
        <f aca="false">IF(OR(L186="Y",LEFT('P9-003'!$T$27,1)="D"),"",IF(AND(ISNUMBER(J186),J186&lt;ASOF),"⚠ เลยกำหนด",IF(AND(ISNUMBER(I186),I186&lt;=ASOF+14,J186&gt;=ASOF-7),"ช่วงนี้","")))</f>
        <v>ช่วงนี้</v>
      </c>
      <c r="L186" s="59"/>
      <c r="M186" s="60"/>
    </row>
    <row r="187" customFormat="false" ht="15" hidden="false" customHeight="false" outlineLevel="0" collapsed="false">
      <c r="A187" s="54" t="s">
        <v>50</v>
      </c>
      <c r="B187" s="55" t="s">
        <v>465</v>
      </c>
      <c r="C187" s="56" t="s">
        <v>466</v>
      </c>
      <c r="D187" s="57" t="s">
        <v>52</v>
      </c>
      <c r="E187" s="57" t="s">
        <v>257</v>
      </c>
      <c r="F187" s="55" t="s">
        <v>258</v>
      </c>
      <c r="G187" s="55" t="s">
        <v>259</v>
      </c>
      <c r="H187" s="57" t="s">
        <v>211</v>
      </c>
      <c r="I187" s="58" t="n">
        <f aca="false">'P9-003'!$N$28</f>
        <v>46329</v>
      </c>
      <c r="J187" s="58" t="n">
        <f aca="false">'P9-003'!$O$28</f>
        <v>46329</v>
      </c>
      <c r="K187" s="56" t="str">
        <f aca="false">IF(OR(L187="Y",LEFT('P9-003'!$T$28,1)="D"),"",IF(AND(ISNUMBER(J187),J187&lt;ASOF),"⚠ เลยกำหนด",IF(AND(ISNUMBER(I187),I187&lt;=ASOF+14,J187&gt;=ASOF-7),"ช่วงนี้","")))</f>
        <v>ช่วงนี้</v>
      </c>
      <c r="L187" s="59"/>
      <c r="M187" s="60"/>
    </row>
    <row r="188" customFormat="false" ht="15" hidden="false" customHeight="false" outlineLevel="0" collapsed="false">
      <c r="A188" s="54" t="s">
        <v>50</v>
      </c>
      <c r="B188" s="55" t="s">
        <v>465</v>
      </c>
      <c r="C188" s="56" t="s">
        <v>466</v>
      </c>
      <c r="D188" s="57" t="s">
        <v>52</v>
      </c>
      <c r="E188" s="57" t="s">
        <v>260</v>
      </c>
      <c r="F188" s="55" t="s">
        <v>261</v>
      </c>
      <c r="G188" s="55" t="s">
        <v>262</v>
      </c>
      <c r="H188" s="57" t="s">
        <v>211</v>
      </c>
      <c r="I188" s="58" t="n">
        <f aca="false">'P9-003'!$N$31</f>
        <v>46328</v>
      </c>
      <c r="J188" s="58" t="n">
        <f aca="false">'P9-003'!$O$31</f>
        <v>46328</v>
      </c>
      <c r="K188" s="56" t="str">
        <f aca="false">IF(OR(L188="Y",LEFT('P9-003'!$T$31,1)="D"),"",IF(AND(ISNUMBER(J188),J188&lt;ASOF),"⚠ เลยกำหนด",IF(AND(ISNUMBER(I188),I188&lt;=ASOF+14,J188&gt;=ASOF-7),"ช่วงนี้","")))</f>
        <v>ช่วงนี้</v>
      </c>
      <c r="L188" s="59"/>
      <c r="M188" s="60"/>
    </row>
    <row r="189" customFormat="false" ht="15" hidden="false" customHeight="false" outlineLevel="0" collapsed="false">
      <c r="A189" s="54" t="s">
        <v>50</v>
      </c>
      <c r="B189" s="55" t="s">
        <v>465</v>
      </c>
      <c r="C189" s="56" t="s">
        <v>466</v>
      </c>
      <c r="D189" s="57" t="s">
        <v>52</v>
      </c>
      <c r="E189" s="57" t="s">
        <v>263</v>
      </c>
      <c r="F189" s="55" t="s">
        <v>264</v>
      </c>
      <c r="G189" s="55" t="s">
        <v>265</v>
      </c>
      <c r="H189" s="57" t="s">
        <v>211</v>
      </c>
      <c r="I189" s="58" t="n">
        <f aca="false">'P9-003'!$N$32</f>
        <v>46328</v>
      </c>
      <c r="J189" s="58" t="n">
        <f aca="false">'P9-003'!$O$32</f>
        <v>46328</v>
      </c>
      <c r="K189" s="56" t="str">
        <f aca="false">IF(OR(L189="Y",LEFT('P9-003'!$T$32,1)="D"),"",IF(AND(ISNUMBER(J189),J189&lt;ASOF),"⚠ เลยกำหนด",IF(AND(ISNUMBER(I189),I189&lt;=ASOF+14,J189&gt;=ASOF-7),"ช่วงนี้","")))</f>
        <v>ช่วงนี้</v>
      </c>
      <c r="L189" s="59"/>
      <c r="M189" s="60"/>
    </row>
    <row r="190" customFormat="false" ht="15" hidden="false" customHeight="false" outlineLevel="0" collapsed="false">
      <c r="A190" s="54" t="s">
        <v>50</v>
      </c>
      <c r="B190" s="55" t="s">
        <v>465</v>
      </c>
      <c r="C190" s="56" t="s">
        <v>466</v>
      </c>
      <c r="D190" s="57" t="s">
        <v>52</v>
      </c>
      <c r="E190" s="57" t="s">
        <v>266</v>
      </c>
      <c r="F190" s="55" t="s">
        <v>267</v>
      </c>
      <c r="G190" s="55" t="s">
        <v>268</v>
      </c>
      <c r="H190" s="57" t="s">
        <v>211</v>
      </c>
      <c r="I190" s="58" t="n">
        <f aca="false">'P9-003'!$N$33</f>
        <v>46328</v>
      </c>
      <c r="J190" s="58" t="n">
        <f aca="false">'P9-003'!$O$33</f>
        <v>46328</v>
      </c>
      <c r="K190" s="56" t="str">
        <f aca="false">IF(OR(L190="Y",LEFT('P9-003'!$T$33,1)="D"),"",IF(AND(ISNUMBER(J190),J190&lt;ASOF),"⚠ เลยกำหนด",IF(AND(ISNUMBER(I190),I190&lt;=ASOF+14,J190&gt;=ASOF-7),"ช่วงนี้","")))</f>
        <v>ช่วงนี้</v>
      </c>
      <c r="L190" s="59"/>
      <c r="M190" s="60"/>
    </row>
    <row r="191" customFormat="false" ht="15" hidden="false" customHeight="false" outlineLevel="0" collapsed="false">
      <c r="A191" s="54" t="s">
        <v>50</v>
      </c>
      <c r="B191" s="55" t="s">
        <v>465</v>
      </c>
      <c r="C191" s="56" t="s">
        <v>466</v>
      </c>
      <c r="D191" s="57" t="s">
        <v>52</v>
      </c>
      <c r="E191" s="57" t="s">
        <v>269</v>
      </c>
      <c r="F191" s="61" t="s">
        <v>270</v>
      </c>
      <c r="G191" s="61" t="s">
        <v>271</v>
      </c>
      <c r="H191" s="57" t="s">
        <v>211</v>
      </c>
      <c r="I191" s="58" t="n">
        <f aca="false">'P9-003'!$N$35</f>
        <v>46328</v>
      </c>
      <c r="J191" s="58" t="n">
        <f aca="false">'P9-003'!$O$35</f>
        <v>46328</v>
      </c>
      <c r="K191" s="56" t="str">
        <f aca="false">IF(OR(L191="Y",LEFT('P9-003'!$T$35,1)="D"),"",IF(AND(ISNUMBER(J191),J191&lt;ASOF),"⚠ เลยกำหนด",IF(AND(ISNUMBER(I191),I191&lt;=ASOF+14,J191&gt;=ASOF-7),"ช่วงนี้","")))</f>
        <v>ช่วงนี้</v>
      </c>
      <c r="L191" s="59"/>
      <c r="M191" s="60"/>
    </row>
    <row r="192" customFormat="false" ht="15" hidden="false" customHeight="false" outlineLevel="0" collapsed="false">
      <c r="A192" s="54" t="s">
        <v>50</v>
      </c>
      <c r="B192" s="55" t="s">
        <v>465</v>
      </c>
      <c r="C192" s="56" t="s">
        <v>466</v>
      </c>
      <c r="D192" s="57" t="s">
        <v>52</v>
      </c>
      <c r="E192" s="57" t="s">
        <v>272</v>
      </c>
      <c r="F192" s="55" t="s">
        <v>273</v>
      </c>
      <c r="G192" s="55" t="s">
        <v>274</v>
      </c>
      <c r="H192" s="57" t="s">
        <v>211</v>
      </c>
      <c r="I192" s="58" t="n">
        <f aca="false">'P9-003'!$N$36</f>
        <v>46328</v>
      </c>
      <c r="J192" s="58" t="n">
        <f aca="false">'P9-003'!$O$36</f>
        <v>46328</v>
      </c>
      <c r="K192" s="56" t="str">
        <f aca="false">IF(OR(L192="Y",LEFT('P9-003'!$T$36,1)="D"),"",IF(AND(ISNUMBER(J192),J192&lt;ASOF),"⚠ เลยกำหนด",IF(AND(ISNUMBER(I192),I192&lt;=ASOF+14,J192&gt;=ASOF-7),"ช่วงนี้","")))</f>
        <v>ช่วงนี้</v>
      </c>
      <c r="L192" s="59"/>
      <c r="M192" s="60"/>
    </row>
    <row r="193" customFormat="false" ht="15" hidden="false" customHeight="false" outlineLevel="0" collapsed="false">
      <c r="A193" s="54" t="s">
        <v>50</v>
      </c>
      <c r="B193" s="55" t="s">
        <v>465</v>
      </c>
      <c r="C193" s="56" t="s">
        <v>466</v>
      </c>
      <c r="D193" s="57" t="s">
        <v>52</v>
      </c>
      <c r="E193" s="57" t="s">
        <v>275</v>
      </c>
      <c r="F193" s="55" t="s">
        <v>276</v>
      </c>
      <c r="G193" s="55" t="s">
        <v>277</v>
      </c>
      <c r="H193" s="57" t="s">
        <v>211</v>
      </c>
      <c r="I193" s="58" t="n">
        <f aca="false">'P9-003'!$N$37</f>
        <v>46328</v>
      </c>
      <c r="J193" s="58" t="n">
        <f aca="false">'P9-003'!$O$37</f>
        <v>46328</v>
      </c>
      <c r="K193" s="56" t="str">
        <f aca="false">IF(OR(L193="Y",LEFT('P9-003'!$T$37,1)="D"),"",IF(AND(ISNUMBER(J193),J193&lt;ASOF),"⚠ เลยกำหนด",IF(AND(ISNUMBER(I193),I193&lt;=ASOF+14,J193&gt;=ASOF-7),"ช่วงนี้","")))</f>
        <v>ช่วงนี้</v>
      </c>
      <c r="L193" s="59"/>
      <c r="M193" s="60"/>
    </row>
    <row r="194" customFormat="false" ht="15" hidden="false" customHeight="false" outlineLevel="0" collapsed="false">
      <c r="A194" s="54" t="s">
        <v>50</v>
      </c>
      <c r="B194" s="55" t="s">
        <v>465</v>
      </c>
      <c r="C194" s="56" t="s">
        <v>466</v>
      </c>
      <c r="D194" s="57" t="s">
        <v>52</v>
      </c>
      <c r="E194" s="57" t="s">
        <v>278</v>
      </c>
      <c r="F194" s="55" t="s">
        <v>279</v>
      </c>
      <c r="G194" s="55" t="s">
        <v>280</v>
      </c>
      <c r="H194" s="57" t="s">
        <v>211</v>
      </c>
      <c r="I194" s="58" t="n">
        <f aca="false">'P9-003'!$N$38</f>
        <v>46328</v>
      </c>
      <c r="J194" s="58" t="n">
        <f aca="false">'P9-003'!$O$38</f>
        <v>46328</v>
      </c>
      <c r="K194" s="56" t="str">
        <f aca="false">IF(OR(L194="Y",LEFT('P9-003'!$T$38,1)="D"),"",IF(AND(ISNUMBER(J194),J194&lt;ASOF),"⚠ เลยกำหนด",IF(AND(ISNUMBER(I194),I194&lt;=ASOF+14,J194&gt;=ASOF-7),"ช่วงนี้","")))</f>
        <v>ช่วงนี้</v>
      </c>
      <c r="L194" s="59"/>
      <c r="M194" s="60"/>
    </row>
    <row r="195" customFormat="false" ht="15" hidden="false" customHeight="false" outlineLevel="0" collapsed="false">
      <c r="A195" s="54" t="s">
        <v>50</v>
      </c>
      <c r="B195" s="55" t="s">
        <v>465</v>
      </c>
      <c r="C195" s="56" t="s">
        <v>466</v>
      </c>
      <c r="D195" s="57" t="s">
        <v>52</v>
      </c>
      <c r="E195" s="57" t="s">
        <v>281</v>
      </c>
      <c r="F195" s="55" t="s">
        <v>282</v>
      </c>
      <c r="G195" s="55" t="s">
        <v>283</v>
      </c>
      <c r="H195" s="57" t="s">
        <v>211</v>
      </c>
      <c r="I195" s="58" t="n">
        <f aca="false">'P9-003'!$N$40</f>
        <v>46328</v>
      </c>
      <c r="J195" s="58" t="n">
        <f aca="false">'P9-003'!$O$40</f>
        <v>46328</v>
      </c>
      <c r="K195" s="56" t="str">
        <f aca="false">IF(OR(L195="Y",LEFT('P9-003'!$T$40,1)="D"),"",IF(AND(ISNUMBER(J195),J195&lt;ASOF),"⚠ เลยกำหนด",IF(AND(ISNUMBER(I195),I195&lt;=ASOF+14,J195&gt;=ASOF-7),"ช่วงนี้","")))</f>
        <v>ช่วงนี้</v>
      </c>
      <c r="L195" s="59"/>
      <c r="M195" s="60"/>
    </row>
    <row r="196" customFormat="false" ht="15" hidden="false" customHeight="false" outlineLevel="0" collapsed="false">
      <c r="A196" s="54" t="s">
        <v>50</v>
      </c>
      <c r="B196" s="55" t="s">
        <v>465</v>
      </c>
      <c r="C196" s="56" t="s">
        <v>466</v>
      </c>
      <c r="D196" s="57" t="s">
        <v>52</v>
      </c>
      <c r="E196" s="57" t="s">
        <v>284</v>
      </c>
      <c r="F196" s="55" t="s">
        <v>285</v>
      </c>
      <c r="G196" s="61" t="s">
        <v>286</v>
      </c>
      <c r="H196" s="57" t="s">
        <v>211</v>
      </c>
      <c r="I196" s="58" t="n">
        <f aca="false">'P9-003'!$N$41</f>
        <v>46328</v>
      </c>
      <c r="J196" s="58" t="n">
        <f aca="false">'P9-003'!$O$41</f>
        <v>46328</v>
      </c>
      <c r="K196" s="56" t="str">
        <f aca="false">IF(OR(L196="Y",LEFT('P9-003'!$T$41,1)="D"),"",IF(AND(ISNUMBER(J196),J196&lt;ASOF),"⚠ เลยกำหนด",IF(AND(ISNUMBER(I196),I196&lt;=ASOF+14,J196&gt;=ASOF-7),"ช่วงนี้","")))</f>
        <v>ช่วงนี้</v>
      </c>
      <c r="L196" s="59"/>
      <c r="M196" s="60"/>
    </row>
    <row r="197" customFormat="false" ht="15" hidden="false" customHeight="false" outlineLevel="0" collapsed="false">
      <c r="A197" s="54" t="s">
        <v>50</v>
      </c>
      <c r="B197" s="55" t="s">
        <v>465</v>
      </c>
      <c r="C197" s="56" t="s">
        <v>466</v>
      </c>
      <c r="D197" s="57" t="s">
        <v>52</v>
      </c>
      <c r="E197" s="57" t="s">
        <v>287</v>
      </c>
      <c r="F197" s="55" t="s">
        <v>288</v>
      </c>
      <c r="G197" s="61" t="s">
        <v>289</v>
      </c>
      <c r="H197" s="57" t="s">
        <v>211</v>
      </c>
      <c r="I197" s="58" t="n">
        <f aca="false">'P9-003'!$N$42</f>
        <v>46328</v>
      </c>
      <c r="J197" s="58" t="n">
        <f aca="false">'P9-003'!$O$42</f>
        <v>46328</v>
      </c>
      <c r="K197" s="56" t="str">
        <f aca="false">IF(OR(L197="Y",LEFT('P9-003'!$T$42,1)="D"),"",IF(AND(ISNUMBER(J197),J197&lt;ASOF),"⚠ เลยกำหนด",IF(AND(ISNUMBER(I197),I197&lt;=ASOF+14,J197&gt;=ASOF-7),"ช่วงนี้","")))</f>
        <v>ช่วงนี้</v>
      </c>
      <c r="L197" s="59"/>
      <c r="M197" s="60"/>
    </row>
    <row r="198" customFormat="false" ht="15" hidden="false" customHeight="false" outlineLevel="0" collapsed="false">
      <c r="A198" s="54" t="s">
        <v>50</v>
      </c>
      <c r="B198" s="55" t="s">
        <v>465</v>
      </c>
      <c r="C198" s="56" t="s">
        <v>466</v>
      </c>
      <c r="D198" s="57" t="s">
        <v>52</v>
      </c>
      <c r="E198" s="57" t="s">
        <v>290</v>
      </c>
      <c r="F198" s="55" t="s">
        <v>291</v>
      </c>
      <c r="G198" s="55" t="s">
        <v>292</v>
      </c>
      <c r="H198" s="57" t="s">
        <v>211</v>
      </c>
      <c r="I198" s="58" t="n">
        <f aca="false">'P9-003'!$N$44</f>
        <v>46328</v>
      </c>
      <c r="J198" s="58" t="n">
        <f aca="false">'P9-003'!$O$44</f>
        <v>46328</v>
      </c>
      <c r="K198" s="56" t="str">
        <f aca="false">IF(OR(L198="Y",LEFT('P9-003'!$T$44,1)="D"),"",IF(AND(ISNUMBER(J198),J198&lt;ASOF),"⚠ เลยกำหนด",IF(AND(ISNUMBER(I198),I198&lt;=ASOF+14,J198&gt;=ASOF-7),"ช่วงนี้","")))</f>
        <v>ช่วงนี้</v>
      </c>
      <c r="L198" s="59"/>
      <c r="M198" s="60"/>
    </row>
    <row r="199" customFormat="false" ht="15" hidden="false" customHeight="false" outlineLevel="0" collapsed="false">
      <c r="A199" s="54" t="s">
        <v>50</v>
      </c>
      <c r="B199" s="55" t="s">
        <v>465</v>
      </c>
      <c r="C199" s="56" t="s">
        <v>466</v>
      </c>
      <c r="D199" s="57" t="s">
        <v>52</v>
      </c>
      <c r="E199" s="57" t="s">
        <v>293</v>
      </c>
      <c r="F199" s="55" t="s">
        <v>294</v>
      </c>
      <c r="G199" s="55" t="s">
        <v>295</v>
      </c>
      <c r="H199" s="57" t="s">
        <v>211</v>
      </c>
      <c r="I199" s="58" t="n">
        <f aca="false">'P9-003'!$N$45</f>
        <v>46328</v>
      </c>
      <c r="J199" s="58" t="n">
        <f aca="false">'P9-003'!$O$45</f>
        <v>46328</v>
      </c>
      <c r="K199" s="56" t="str">
        <f aca="false">IF(OR(L199="Y",LEFT('P9-003'!$T$45,1)="D"),"",IF(AND(ISNUMBER(J199),J199&lt;ASOF),"⚠ เลยกำหนด",IF(AND(ISNUMBER(I199),I199&lt;=ASOF+14,J199&gt;=ASOF-7),"ช่วงนี้","")))</f>
        <v>ช่วงนี้</v>
      </c>
      <c r="L199" s="59"/>
      <c r="M199" s="60"/>
    </row>
    <row r="200" customFormat="false" ht="15" hidden="false" customHeight="false" outlineLevel="0" collapsed="false">
      <c r="A200" s="54" t="s">
        <v>50</v>
      </c>
      <c r="B200" s="55" t="s">
        <v>465</v>
      </c>
      <c r="C200" s="56" t="s">
        <v>466</v>
      </c>
      <c r="D200" s="57" t="s">
        <v>52</v>
      </c>
      <c r="E200" s="57" t="s">
        <v>296</v>
      </c>
      <c r="F200" s="55" t="s">
        <v>297</v>
      </c>
      <c r="G200" s="55" t="s">
        <v>298</v>
      </c>
      <c r="H200" s="57" t="s">
        <v>211</v>
      </c>
      <c r="I200" s="58" t="n">
        <f aca="false">'P9-003'!$N$46</f>
        <v>46328</v>
      </c>
      <c r="J200" s="58" t="n">
        <f aca="false">'P9-003'!$O$46</f>
        <v>46328</v>
      </c>
      <c r="K200" s="56" t="str">
        <f aca="false">IF(OR(L200="Y",LEFT('P9-003'!$T$46,1)="D"),"",IF(AND(ISNUMBER(J200),J200&lt;ASOF),"⚠ เลยกำหนด",IF(AND(ISNUMBER(I200),I200&lt;=ASOF+14,J200&gt;=ASOF-7),"ช่วงนี้","")))</f>
        <v>ช่วงนี้</v>
      </c>
      <c r="L200" s="59"/>
      <c r="M200" s="60"/>
    </row>
    <row r="201" customFormat="false" ht="15" hidden="false" customHeight="false" outlineLevel="0" collapsed="false">
      <c r="A201" s="54" t="s">
        <v>50</v>
      </c>
      <c r="B201" s="55" t="s">
        <v>465</v>
      </c>
      <c r="C201" s="56" t="s">
        <v>466</v>
      </c>
      <c r="D201" s="57" t="s">
        <v>52</v>
      </c>
      <c r="E201" s="57" t="s">
        <v>299</v>
      </c>
      <c r="F201" s="55" t="s">
        <v>300</v>
      </c>
      <c r="G201" s="55" t="s">
        <v>301</v>
      </c>
      <c r="H201" s="57" t="s">
        <v>211</v>
      </c>
      <c r="I201" s="58" t="str">
        <f aca="false">'P9-003'!$N$53</f>
        <v/>
      </c>
      <c r="J201" s="58" t="str">
        <f aca="false">'P9-003'!$O$53</f>
        <v/>
      </c>
      <c r="K201" s="56" t="str">
        <f aca="false">IF(OR(L201="Y",LEFT('P9-003'!$T$53,1)="D"),"",IF(AND(ISNUMBER(J201),J201&lt;ASOF),"⚠ เลยกำหนด",IF(AND(ISNUMBER(I201),I201&lt;=ASOF+14,J201&gt;=ASOF-7),"ช่วงนี้","")))</f>
        <v/>
      </c>
      <c r="L201" s="59"/>
      <c r="M201" s="60"/>
    </row>
    <row r="202" customFormat="false" ht="15" hidden="false" customHeight="false" outlineLevel="0" collapsed="false">
      <c r="A202" s="54" t="s">
        <v>50</v>
      </c>
      <c r="B202" s="55" t="s">
        <v>465</v>
      </c>
      <c r="C202" s="56" t="s">
        <v>466</v>
      </c>
      <c r="D202" s="57" t="s">
        <v>52</v>
      </c>
      <c r="E202" s="57" t="s">
        <v>302</v>
      </c>
      <c r="F202" s="55" t="s">
        <v>303</v>
      </c>
      <c r="G202" s="55" t="s">
        <v>304</v>
      </c>
      <c r="H202" s="57" t="s">
        <v>211</v>
      </c>
      <c r="I202" s="58" t="str">
        <f aca="false">'P9-003'!$N$54</f>
        <v/>
      </c>
      <c r="J202" s="58" t="str">
        <f aca="false">'P9-003'!$O$54</f>
        <v/>
      </c>
      <c r="K202" s="56" t="str">
        <f aca="false">IF(OR(L202="Y",LEFT('P9-003'!$T$54,1)="D"),"",IF(AND(ISNUMBER(J202),J202&lt;ASOF),"⚠ เลยกำหนด",IF(AND(ISNUMBER(I202),I202&lt;=ASOF+14,J202&gt;=ASOF-7),"ช่วงนี้","")))</f>
        <v/>
      </c>
      <c r="L202" s="59"/>
      <c r="M202" s="60"/>
    </row>
    <row r="203" customFormat="false" ht="15" hidden="false" customHeight="false" outlineLevel="0" collapsed="false">
      <c r="A203" s="54" t="s">
        <v>50</v>
      </c>
      <c r="B203" s="55" t="s">
        <v>465</v>
      </c>
      <c r="C203" s="56" t="s">
        <v>466</v>
      </c>
      <c r="D203" s="57" t="s">
        <v>52</v>
      </c>
      <c r="E203" s="57" t="s">
        <v>305</v>
      </c>
      <c r="F203" s="55" t="s">
        <v>306</v>
      </c>
      <c r="G203" s="55" t="s">
        <v>307</v>
      </c>
      <c r="H203" s="56" t="str">
        <f aca="false">IF(COUNTIFS(SITE_ST,"P9-003",SITE_TYPE,"?*")&gt;0,"ตามจุดติดตั้ง →","0/100")</f>
        <v>ตามจุดติดตั้ง →</v>
      </c>
      <c r="I203" s="58" t="n">
        <f aca="false">'P9-003'!$N$63</f>
        <v>46328</v>
      </c>
      <c r="J203" s="58" t="n">
        <f aca="false">'P9-003'!$O$63</f>
        <v>46329</v>
      </c>
      <c r="K203" s="56" t="str">
        <f aca="false">IF(OR(L203="Y",LEFT('P9-003'!$T$63,1)="D"),"",IF(AND(ISNUMBER(J203),J203&lt;ASOF),"⚠ เลยกำหนด",IF(AND(ISNUMBER(I203),I203&lt;=ASOF+14,J203&gt;=ASOF-7),"ช่วงนี้","")))</f>
        <v>ช่วงนี้</v>
      </c>
      <c r="L203" s="59"/>
      <c r="M203" s="60"/>
    </row>
    <row r="204" customFormat="false" ht="15" hidden="false" customHeight="false" outlineLevel="0" collapsed="false">
      <c r="A204" s="54" t="s">
        <v>50</v>
      </c>
      <c r="B204" s="55" t="s">
        <v>465</v>
      </c>
      <c r="C204" s="56" t="s">
        <v>466</v>
      </c>
      <c r="D204" s="57" t="s">
        <v>52</v>
      </c>
      <c r="E204" s="57" t="s">
        <v>308</v>
      </c>
      <c r="F204" s="55" t="s">
        <v>309</v>
      </c>
      <c r="G204" s="55" t="s">
        <v>310</v>
      </c>
      <c r="H204" s="57" t="s">
        <v>211</v>
      </c>
      <c r="I204" s="58" t="n">
        <f aca="false">'P9-003'!$N$64</f>
        <v>46328</v>
      </c>
      <c r="J204" s="58" t="n">
        <f aca="false">'P9-003'!$O$64</f>
        <v>46331</v>
      </c>
      <c r="K204" s="56" t="str">
        <f aca="false">IF(OR(L204="Y",LEFT('P9-003'!$T$64,1)="D"),"",IF(AND(ISNUMBER(J204),J204&lt;ASOF),"⚠ เลยกำหนด",IF(AND(ISNUMBER(I204),I204&lt;=ASOF+14,J204&gt;=ASOF-7),"ช่วงนี้","")))</f>
        <v>ช่วงนี้</v>
      </c>
      <c r="L204" s="59"/>
      <c r="M204" s="60"/>
    </row>
    <row r="205" customFormat="false" ht="15" hidden="false" customHeight="false" outlineLevel="0" collapsed="false">
      <c r="A205" s="54" t="s">
        <v>50</v>
      </c>
      <c r="B205" s="55" t="s">
        <v>465</v>
      </c>
      <c r="C205" s="56" t="s">
        <v>466</v>
      </c>
      <c r="D205" s="57" t="s">
        <v>52</v>
      </c>
      <c r="E205" s="57" t="s">
        <v>311</v>
      </c>
      <c r="F205" s="55" t="s">
        <v>312</v>
      </c>
      <c r="G205" s="55" t="s">
        <v>313</v>
      </c>
      <c r="H205" s="56" t="str">
        <f aca="false">IF(COUNTIFS(SITE_ST,"P9-003",SITE_TYPE,"?*")&gt;0,"ตามจุดติดตั้ง →","50/50")</f>
        <v>ตามจุดติดตั้ง →</v>
      </c>
      <c r="I205" s="58" t="n">
        <f aca="false">'P9-003'!$N$65</f>
        <v>46329</v>
      </c>
      <c r="J205" s="58" t="n">
        <f aca="false">'P9-003'!$O$65</f>
        <v>46335</v>
      </c>
      <c r="K205" s="56" t="str">
        <f aca="false">IF(OR(L205="Y",LEFT('P9-003'!$T$65,1)="D"),"",IF(AND(ISNUMBER(J205),J205&lt;ASOF),"⚠ เลยกำหนด",IF(AND(ISNUMBER(I205),I205&lt;=ASOF+14,J205&gt;=ASOF-7),"ช่วงนี้","")))</f>
        <v>ช่วงนี้</v>
      </c>
      <c r="L205" s="59"/>
      <c r="M205" s="60"/>
    </row>
    <row r="206" customFormat="false" ht="15" hidden="false" customHeight="false" outlineLevel="0" collapsed="false">
      <c r="A206" s="54" t="s">
        <v>50</v>
      </c>
      <c r="B206" s="55" t="s">
        <v>465</v>
      </c>
      <c r="C206" s="56" t="s">
        <v>466</v>
      </c>
      <c r="D206" s="57" t="s">
        <v>52</v>
      </c>
      <c r="E206" s="57" t="s">
        <v>314</v>
      </c>
      <c r="F206" s="55" t="s">
        <v>315</v>
      </c>
      <c r="G206" s="61" t="s">
        <v>316</v>
      </c>
      <c r="H206" s="56" t="str">
        <f aca="false">IF(COUNTIFS(SITE_ST,"P9-003",SITE_TYPE,"?*")&gt;0,"ตามจุดติดตั้ง →","50/50")</f>
        <v>ตามจุดติดตั้ง →</v>
      </c>
      <c r="I206" s="58" t="n">
        <f aca="false">'P9-003'!$N$66</f>
        <v>46333</v>
      </c>
      <c r="J206" s="58" t="n">
        <f aca="false">'P9-003'!$O$66</f>
        <v>46339</v>
      </c>
      <c r="K206" s="56" t="str">
        <f aca="false">IF(OR(L206="Y",LEFT('P9-003'!$T$66,1)="D"),"",IF(AND(ISNUMBER(J206),J206&lt;ASOF),"⚠ เลยกำหนด",IF(AND(ISNUMBER(I206),I206&lt;=ASOF+14,J206&gt;=ASOF-7),"ช่วงนี้","")))</f>
        <v>ช่วงนี้</v>
      </c>
      <c r="L206" s="59"/>
      <c r="M206" s="60"/>
    </row>
    <row r="207" customFormat="false" ht="15" hidden="false" customHeight="false" outlineLevel="0" collapsed="false">
      <c r="A207" s="54" t="s">
        <v>50</v>
      </c>
      <c r="B207" s="55" t="s">
        <v>465</v>
      </c>
      <c r="C207" s="56" t="s">
        <v>466</v>
      </c>
      <c r="D207" s="57" t="s">
        <v>52</v>
      </c>
      <c r="E207" s="57" t="s">
        <v>317</v>
      </c>
      <c r="F207" s="61" t="s">
        <v>318</v>
      </c>
      <c r="G207" s="61" t="s">
        <v>319</v>
      </c>
      <c r="H207" s="56" t="str">
        <f aca="false">IF(COUNTIFS(SITE_ST,"P9-003",SITE_TYPE,"?*")&gt;0,"ตามจุดติดตั้ง →","50/50")</f>
        <v>ตามจุดติดตั้ง →</v>
      </c>
      <c r="I207" s="58" t="n">
        <f aca="false">'P9-003'!$N$67</f>
        <v>46336</v>
      </c>
      <c r="J207" s="58" t="n">
        <f aca="false">'P9-003'!$O$67</f>
        <v>46340</v>
      </c>
      <c r="K207" s="56" t="str">
        <f aca="false">IF(OR(L207="Y",LEFT('P9-003'!$T$67,1)="D"),"",IF(AND(ISNUMBER(J207),J207&lt;ASOF),"⚠ เลยกำหนด",IF(AND(ISNUMBER(I207),I207&lt;=ASOF+14,J207&gt;=ASOF-7),"ช่วงนี้","")))</f>
        <v>ช่วงนี้</v>
      </c>
      <c r="L207" s="59"/>
      <c r="M207" s="60"/>
    </row>
    <row r="208" customFormat="false" ht="15" hidden="false" customHeight="false" outlineLevel="0" collapsed="false">
      <c r="A208" s="54" t="s">
        <v>50</v>
      </c>
      <c r="B208" s="55" t="s">
        <v>465</v>
      </c>
      <c r="C208" s="56" t="s">
        <v>466</v>
      </c>
      <c r="D208" s="57" t="s">
        <v>52</v>
      </c>
      <c r="E208" s="57" t="s">
        <v>320</v>
      </c>
      <c r="F208" s="55" t="s">
        <v>321</v>
      </c>
      <c r="G208" s="55" t="s">
        <v>322</v>
      </c>
      <c r="H208" s="56" t="str">
        <f aca="false">IF(COUNTIFS(SITE_ST,"P9-003",SITE_TYPE,"?*")&gt;0,"ตามจุดติดตั้ง →","0/100")</f>
        <v>ตามจุดติดตั้ง →</v>
      </c>
      <c r="I208" s="58" t="n">
        <f aca="false">'P9-003'!$N$68</f>
        <v>46338</v>
      </c>
      <c r="J208" s="58" t="n">
        <f aca="false">'P9-003'!$O$68</f>
        <v>46341</v>
      </c>
      <c r="K208" s="56" t="str">
        <f aca="false">IF(OR(L208="Y",LEFT('P9-003'!$T$68,1)="D"),"",IF(AND(ISNUMBER(J208),J208&lt;ASOF),"⚠ เลยกำหนด",IF(AND(ISNUMBER(I208),I208&lt;=ASOF+14,J208&gt;=ASOF-7),"ช่วงนี้","")))</f>
        <v>ช่วงนี้</v>
      </c>
      <c r="L208" s="59"/>
      <c r="M208" s="60"/>
    </row>
    <row r="209" customFormat="false" ht="15" hidden="false" customHeight="false" outlineLevel="0" collapsed="false">
      <c r="A209" s="54" t="s">
        <v>50</v>
      </c>
      <c r="B209" s="55" t="s">
        <v>465</v>
      </c>
      <c r="C209" s="56" t="s">
        <v>466</v>
      </c>
      <c r="D209" s="57" t="s">
        <v>52</v>
      </c>
      <c r="E209" s="57" t="s">
        <v>323</v>
      </c>
      <c r="F209" s="61" t="s">
        <v>324</v>
      </c>
      <c r="G209" s="55" t="s">
        <v>325</v>
      </c>
      <c r="H209" s="56" t="str">
        <f aca="false">IF(COUNTIFS(SITE_ST,"P9-003",SITE_TYPE,"?*")&gt;0,"ตามจุดติดตั้ง →","0/100")</f>
        <v>ตามจุดติดตั้ง →</v>
      </c>
      <c r="I209" s="58" t="n">
        <f aca="false">'P9-003'!$N$69</f>
        <v>46340</v>
      </c>
      <c r="J209" s="58" t="n">
        <f aca="false">'P9-003'!$O$69</f>
        <v>46341</v>
      </c>
      <c r="K209" s="56" t="str">
        <f aca="false">IF(OR(L209="Y",LEFT('P9-003'!$T$69,1)="D"),"",IF(AND(ISNUMBER(J209),J209&lt;ASOF),"⚠ เลยกำหนด",IF(AND(ISNUMBER(I209),I209&lt;=ASOF+14,J209&gt;=ASOF-7),"ช่วงนี้","")))</f>
        <v>ช่วงนี้</v>
      </c>
      <c r="L209" s="59"/>
      <c r="M209" s="60"/>
    </row>
    <row r="210" customFormat="false" ht="15" hidden="false" customHeight="false" outlineLevel="0" collapsed="false">
      <c r="A210" s="54" t="s">
        <v>50</v>
      </c>
      <c r="B210" s="55" t="s">
        <v>465</v>
      </c>
      <c r="C210" s="56" t="s">
        <v>466</v>
      </c>
      <c r="D210" s="57" t="s">
        <v>52</v>
      </c>
      <c r="E210" s="57" t="s">
        <v>326</v>
      </c>
      <c r="F210" s="55" t="s">
        <v>327</v>
      </c>
      <c r="G210" s="61" t="s">
        <v>328</v>
      </c>
      <c r="H210" s="56" t="str">
        <f aca="false">IF(COUNTIFS(SITE_ST,"P9-003",SITE_TYPE,"?*")&gt;0,"ตามจุดติดตั้ง →","50/50")</f>
        <v>ตามจุดติดตั้ง →</v>
      </c>
      <c r="I210" s="58" t="n">
        <f aca="false">'P9-003'!$N$71</f>
        <v>46343</v>
      </c>
      <c r="J210" s="58" t="n">
        <f aca="false">'P9-003'!$O$71</f>
        <v>46344</v>
      </c>
      <c r="K210" s="56" t="str">
        <f aca="false">IF(OR(L210="Y",LEFT('P9-003'!$T$71,1)="D"),"",IF(AND(ISNUMBER(J210),J210&lt;ASOF),"⚠ เลยกำหนด",IF(AND(ISNUMBER(I210),I210&lt;=ASOF+14,J210&gt;=ASOF-7),"ช่วงนี้","")))</f>
        <v/>
      </c>
      <c r="L210" s="59"/>
      <c r="M210" s="60"/>
    </row>
    <row r="211" customFormat="false" ht="15" hidden="false" customHeight="false" outlineLevel="0" collapsed="false">
      <c r="A211" s="54" t="s">
        <v>50</v>
      </c>
      <c r="B211" s="55" t="s">
        <v>465</v>
      </c>
      <c r="C211" s="56" t="s">
        <v>466</v>
      </c>
      <c r="D211" s="57" t="s">
        <v>52</v>
      </c>
      <c r="E211" s="57" t="s">
        <v>329</v>
      </c>
      <c r="F211" s="55" t="s">
        <v>330</v>
      </c>
      <c r="G211" s="55" t="s">
        <v>331</v>
      </c>
      <c r="H211" s="56" t="str">
        <f aca="false">IF(COUNTIFS(SITE_ST,"P9-003",SITE_TYPE,"?*")&gt;0,"ตามจุดติดตั้ง →","50/50")</f>
        <v>ตามจุดติดตั้ง →</v>
      </c>
      <c r="I211" s="58" t="n">
        <f aca="false">'P9-003'!$N$72</f>
        <v>46344</v>
      </c>
      <c r="J211" s="58" t="n">
        <f aca="false">'P9-003'!$O$72</f>
        <v>46345</v>
      </c>
      <c r="K211" s="56" t="str">
        <f aca="false">IF(OR(L211="Y",LEFT('P9-003'!$T$72,1)="D"),"",IF(AND(ISNUMBER(J211),J211&lt;ASOF),"⚠ เลยกำหนด",IF(AND(ISNUMBER(I211),I211&lt;=ASOF+14,J211&gt;=ASOF-7),"ช่วงนี้","")))</f>
        <v/>
      </c>
      <c r="L211" s="59"/>
      <c r="M211" s="60"/>
    </row>
    <row r="212" customFormat="false" ht="15" hidden="false" customHeight="false" outlineLevel="0" collapsed="false">
      <c r="A212" s="54" t="s">
        <v>50</v>
      </c>
      <c r="B212" s="55" t="s">
        <v>465</v>
      </c>
      <c r="C212" s="56" t="s">
        <v>466</v>
      </c>
      <c r="D212" s="57" t="s">
        <v>52</v>
      </c>
      <c r="E212" s="57" t="s">
        <v>332</v>
      </c>
      <c r="F212" s="55" t="s">
        <v>333</v>
      </c>
      <c r="G212" s="55" t="s">
        <v>334</v>
      </c>
      <c r="H212" s="56" t="str">
        <f aca="false">IF(COUNTIFS(SITE_ST,"P9-003",SITE_TYPE,"?*")&gt;0,"ตามจุดติดตั้ง →","0/100")</f>
        <v>ตามจุดติดตั้ง →</v>
      </c>
      <c r="I212" s="58" t="n">
        <f aca="false">'P9-003'!$N$73</f>
        <v>46344</v>
      </c>
      <c r="J212" s="58" t="n">
        <f aca="false">'P9-003'!$O$73</f>
        <v>46345</v>
      </c>
      <c r="K212" s="56" t="str">
        <f aca="false">IF(OR(L212="Y",LEFT('P9-003'!$T$73,1)="D"),"",IF(AND(ISNUMBER(J212),J212&lt;ASOF),"⚠ เลยกำหนด",IF(AND(ISNUMBER(I212),I212&lt;=ASOF+14,J212&gt;=ASOF-7),"ช่วงนี้","")))</f>
        <v/>
      </c>
      <c r="L212" s="59"/>
      <c r="M212" s="60"/>
    </row>
    <row r="213" customFormat="false" ht="15" hidden="false" customHeight="false" outlineLevel="0" collapsed="false">
      <c r="A213" s="54" t="s">
        <v>50</v>
      </c>
      <c r="B213" s="55" t="s">
        <v>465</v>
      </c>
      <c r="C213" s="56" t="s">
        <v>466</v>
      </c>
      <c r="D213" s="57" t="s">
        <v>52</v>
      </c>
      <c r="E213" s="57" t="s">
        <v>335</v>
      </c>
      <c r="F213" s="55" t="s">
        <v>336</v>
      </c>
      <c r="G213" s="61" t="s">
        <v>337</v>
      </c>
      <c r="H213" s="56" t="str">
        <f aca="false">IF(COUNTIFS(SITE_ST,"P9-003",SITE_TYPE,"?*")&gt;0,"ตามจุดติดตั้ง →","0/100")</f>
        <v>ตามจุดติดตั้ง →</v>
      </c>
      <c r="I213" s="58" t="n">
        <f aca="false">'P9-003'!$N$74</f>
        <v>46345</v>
      </c>
      <c r="J213" s="58" t="n">
        <f aca="false">'P9-003'!$O$74</f>
        <v>46346</v>
      </c>
      <c r="K213" s="56" t="str">
        <f aca="false">IF(OR(L213="Y",LEFT('P9-003'!$T$74,1)="D"),"",IF(AND(ISNUMBER(J213),J213&lt;ASOF),"⚠ เลยกำหนด",IF(AND(ISNUMBER(I213),I213&lt;=ASOF+14,J213&gt;=ASOF-7),"ช่วงนี้","")))</f>
        <v/>
      </c>
      <c r="L213" s="59"/>
      <c r="M213" s="60"/>
    </row>
    <row r="214" customFormat="false" ht="15" hidden="false" customHeight="false" outlineLevel="0" collapsed="false">
      <c r="A214" s="54" t="s">
        <v>50</v>
      </c>
      <c r="B214" s="55" t="s">
        <v>465</v>
      </c>
      <c r="C214" s="56" t="s">
        <v>466</v>
      </c>
      <c r="D214" s="57" t="s">
        <v>52</v>
      </c>
      <c r="E214" s="57" t="s">
        <v>338</v>
      </c>
      <c r="F214" s="61" t="s">
        <v>339</v>
      </c>
      <c r="G214" s="55" t="s">
        <v>340</v>
      </c>
      <c r="H214" s="56" t="str">
        <f aca="false">IF(COUNTIFS(SITE_ST,"P9-003",SITE_TYPE,"?*")&gt;0,"ตามจุดติดตั้ง →","0/100")</f>
        <v>ตามจุดติดตั้ง →</v>
      </c>
      <c r="I214" s="58" t="n">
        <f aca="false">'P9-003'!$N$75</f>
        <v>46345</v>
      </c>
      <c r="J214" s="58" t="n">
        <f aca="false">'P9-003'!$O$75</f>
        <v>46346</v>
      </c>
      <c r="K214" s="56" t="str">
        <f aca="false">IF(OR(L214="Y",LEFT('P9-003'!$T$75,1)="D"),"",IF(AND(ISNUMBER(J214),J214&lt;ASOF),"⚠ เลยกำหนด",IF(AND(ISNUMBER(I214),I214&lt;=ASOF+14,J214&gt;=ASOF-7),"ช่วงนี้","")))</f>
        <v/>
      </c>
      <c r="L214" s="59"/>
      <c r="M214" s="60"/>
    </row>
    <row r="215" customFormat="false" ht="15" hidden="false" customHeight="false" outlineLevel="0" collapsed="false">
      <c r="A215" s="54" t="s">
        <v>50</v>
      </c>
      <c r="B215" s="55" t="s">
        <v>465</v>
      </c>
      <c r="C215" s="56" t="s">
        <v>466</v>
      </c>
      <c r="D215" s="57" t="s">
        <v>52</v>
      </c>
      <c r="E215" s="57" t="s">
        <v>341</v>
      </c>
      <c r="F215" s="55" t="s">
        <v>342</v>
      </c>
      <c r="G215" s="55" t="s">
        <v>343</v>
      </c>
      <c r="H215" s="56" t="str">
        <f aca="false">IF(COUNTIFS(SITE_ST,"P9-003",SITE_TYPE,"?*")&gt;0,"ตามจุดติดตั้ง →","0/100")</f>
        <v>ตามจุดติดตั้ง →</v>
      </c>
      <c r="I215" s="58" t="n">
        <f aca="false">'P9-003'!$N$77</f>
        <v>46342</v>
      </c>
      <c r="J215" s="58" t="n">
        <f aca="false">'P9-003'!$O$77</f>
        <v>46344</v>
      </c>
      <c r="K215" s="56" t="str">
        <f aca="false">IF(OR(L215="Y",LEFT('P9-003'!$T$77,1)="D"),"",IF(AND(ISNUMBER(J215),J215&lt;ASOF),"⚠ เลยกำหนด",IF(AND(ISNUMBER(I215),I215&lt;=ASOF+14,J215&gt;=ASOF-7),"ช่วงนี้","")))</f>
        <v>ช่วงนี้</v>
      </c>
      <c r="L215" s="59"/>
      <c r="M215" s="60"/>
    </row>
    <row r="216" customFormat="false" ht="15" hidden="false" customHeight="false" outlineLevel="0" collapsed="false">
      <c r="A216" s="54" t="s">
        <v>50</v>
      </c>
      <c r="B216" s="55" t="s">
        <v>465</v>
      </c>
      <c r="C216" s="56" t="s">
        <v>466</v>
      </c>
      <c r="D216" s="57" t="s">
        <v>52</v>
      </c>
      <c r="E216" s="57" t="s">
        <v>344</v>
      </c>
      <c r="F216" s="55" t="s">
        <v>345</v>
      </c>
      <c r="G216" s="55" t="s">
        <v>346</v>
      </c>
      <c r="H216" s="56" t="str">
        <f aca="false">IF(COUNTIFS(SITE_ST,"P9-003",SITE_TYPE,"?*")&gt;0,"ตามจุดติดตั้ง →","50/50")</f>
        <v>ตามจุดติดตั้ง →</v>
      </c>
      <c r="I216" s="58" t="n">
        <f aca="false">'P9-003'!$N$78</f>
        <v>46343</v>
      </c>
      <c r="J216" s="58" t="n">
        <f aca="false">'P9-003'!$O$78</f>
        <v>46346</v>
      </c>
      <c r="K216" s="56" t="str">
        <f aca="false">IF(OR(L216="Y",LEFT('P9-003'!$T$78,1)="D"),"",IF(AND(ISNUMBER(J216),J216&lt;ASOF),"⚠ เลยกำหนด",IF(AND(ISNUMBER(I216),I216&lt;=ASOF+14,J216&gt;=ASOF-7),"ช่วงนี้","")))</f>
        <v/>
      </c>
      <c r="L216" s="59"/>
      <c r="M216" s="60"/>
    </row>
    <row r="217" customFormat="false" ht="15" hidden="false" customHeight="false" outlineLevel="0" collapsed="false">
      <c r="A217" s="54" t="s">
        <v>50</v>
      </c>
      <c r="B217" s="55" t="s">
        <v>465</v>
      </c>
      <c r="C217" s="56" t="s">
        <v>466</v>
      </c>
      <c r="D217" s="57" t="s">
        <v>52</v>
      </c>
      <c r="E217" s="57" t="s">
        <v>347</v>
      </c>
      <c r="F217" s="61" t="s">
        <v>348</v>
      </c>
      <c r="G217" s="55" t="s">
        <v>349</v>
      </c>
      <c r="H217" s="56" t="str">
        <f aca="false">IF(COUNTIFS(SITE_ST,"P9-003",SITE_TYPE,"?*")&gt;0,"ตามจุดติดตั้ง →","50/50")</f>
        <v>ตามจุดติดตั้ง →</v>
      </c>
      <c r="I217" s="58" t="n">
        <f aca="false">'P9-003'!$N$79</f>
        <v>46344</v>
      </c>
      <c r="J217" s="58" t="n">
        <f aca="false">'P9-003'!$O$79</f>
        <v>46347</v>
      </c>
      <c r="K217" s="56" t="str">
        <f aca="false">IF(OR(L217="Y",LEFT('P9-003'!$T$79,1)="D"),"",IF(AND(ISNUMBER(J217),J217&lt;ASOF),"⚠ เลยกำหนด",IF(AND(ISNUMBER(I217),I217&lt;=ASOF+14,J217&gt;=ASOF-7),"ช่วงนี้","")))</f>
        <v/>
      </c>
      <c r="L217" s="59"/>
      <c r="M217" s="60"/>
    </row>
    <row r="218" customFormat="false" ht="15" hidden="false" customHeight="false" outlineLevel="0" collapsed="false">
      <c r="A218" s="54" t="s">
        <v>50</v>
      </c>
      <c r="B218" s="55" t="s">
        <v>465</v>
      </c>
      <c r="C218" s="56" t="s">
        <v>466</v>
      </c>
      <c r="D218" s="57" t="s">
        <v>52</v>
      </c>
      <c r="E218" s="57" t="s">
        <v>350</v>
      </c>
      <c r="F218" s="61" t="s">
        <v>351</v>
      </c>
      <c r="G218" s="55" t="s">
        <v>352</v>
      </c>
      <c r="H218" s="56" t="str">
        <f aca="false">IF(COUNTIFS(SITE_ST,"P9-003",SITE_TYPE,"?*")&gt;0,"ตามจุดติดตั้ง →","0/100")</f>
        <v>ตามจุดติดตั้ง →</v>
      </c>
      <c r="I218" s="58" t="n">
        <f aca="false">'P9-003'!$N$80</f>
        <v>46346</v>
      </c>
      <c r="J218" s="58" t="n">
        <f aca="false">'P9-003'!$O$80</f>
        <v>46347</v>
      </c>
      <c r="K218" s="56" t="str">
        <f aca="false">IF(OR(L218="Y",LEFT('P9-003'!$T$80,1)="D"),"",IF(AND(ISNUMBER(J218),J218&lt;ASOF),"⚠ เลยกำหนด",IF(AND(ISNUMBER(I218),I218&lt;=ASOF+14,J218&gt;=ASOF-7),"ช่วงนี้","")))</f>
        <v/>
      </c>
      <c r="L218" s="59"/>
      <c r="M218" s="60"/>
    </row>
    <row r="219" customFormat="false" ht="15" hidden="false" customHeight="false" outlineLevel="0" collapsed="false">
      <c r="A219" s="54" t="s">
        <v>50</v>
      </c>
      <c r="B219" s="55" t="s">
        <v>465</v>
      </c>
      <c r="C219" s="56" t="s">
        <v>466</v>
      </c>
      <c r="D219" s="57" t="s">
        <v>52</v>
      </c>
      <c r="E219" s="57" t="s">
        <v>353</v>
      </c>
      <c r="F219" s="61" t="s">
        <v>354</v>
      </c>
      <c r="G219" s="55" t="s">
        <v>355</v>
      </c>
      <c r="H219" s="56" t="str">
        <f aca="false">IF(COUNTIFS(SITE_ST,"P9-003",SITE_TYPE,"?*")&gt;0,"ตามจุดติดตั้ง →","0/100")</f>
        <v>ตามจุดติดตั้ง →</v>
      </c>
      <c r="I219" s="58" t="n">
        <f aca="false">'P9-003'!$N$81</f>
        <v>46347</v>
      </c>
      <c r="J219" s="58" t="n">
        <f aca="false">'P9-003'!$O$81</f>
        <v>46347</v>
      </c>
      <c r="K219" s="56" t="str">
        <f aca="false">IF(OR(L219="Y",LEFT('P9-003'!$T$81,1)="D"),"",IF(AND(ISNUMBER(J219),J219&lt;ASOF),"⚠ เลยกำหนด",IF(AND(ISNUMBER(I219),I219&lt;=ASOF+14,J219&gt;=ASOF-7),"ช่วงนี้","")))</f>
        <v/>
      </c>
      <c r="L219" s="59"/>
      <c r="M219" s="60"/>
    </row>
    <row r="220" customFormat="false" ht="15" hidden="false" customHeight="false" outlineLevel="0" collapsed="false">
      <c r="A220" s="54" t="s">
        <v>50</v>
      </c>
      <c r="B220" s="55" t="s">
        <v>465</v>
      </c>
      <c r="C220" s="56" t="s">
        <v>466</v>
      </c>
      <c r="D220" s="57" t="s">
        <v>52</v>
      </c>
      <c r="E220" s="57" t="s">
        <v>356</v>
      </c>
      <c r="F220" s="55" t="s">
        <v>357</v>
      </c>
      <c r="G220" s="55" t="s">
        <v>358</v>
      </c>
      <c r="H220" s="57" t="s">
        <v>211</v>
      </c>
      <c r="I220" s="58" t="n">
        <f aca="false">'P9-003'!$N$83</f>
        <v>46345</v>
      </c>
      <c r="J220" s="58" t="n">
        <f aca="false">'P9-003'!$O$83</f>
        <v>46346</v>
      </c>
      <c r="K220" s="56" t="str">
        <f aca="false">IF(OR(L220="Y",LEFT('P9-003'!$T$83,1)="D"),"",IF(AND(ISNUMBER(J220),J220&lt;ASOF),"⚠ เลยกำหนด",IF(AND(ISNUMBER(I220),I220&lt;=ASOF+14,J220&gt;=ASOF-7),"ช่วงนี้","")))</f>
        <v/>
      </c>
      <c r="L220" s="59"/>
      <c r="M220" s="60"/>
    </row>
    <row r="221" customFormat="false" ht="15" hidden="false" customHeight="false" outlineLevel="0" collapsed="false">
      <c r="A221" s="54" t="s">
        <v>50</v>
      </c>
      <c r="B221" s="55" t="s">
        <v>465</v>
      </c>
      <c r="C221" s="56" t="s">
        <v>466</v>
      </c>
      <c r="D221" s="57" t="s">
        <v>52</v>
      </c>
      <c r="E221" s="57" t="s">
        <v>359</v>
      </c>
      <c r="F221" s="55" t="s">
        <v>360</v>
      </c>
      <c r="G221" s="55" t="s">
        <v>361</v>
      </c>
      <c r="H221" s="57" t="s">
        <v>211</v>
      </c>
      <c r="I221" s="58" t="n">
        <f aca="false">'P9-003'!$N$84</f>
        <v>46346</v>
      </c>
      <c r="J221" s="58" t="n">
        <f aca="false">'P9-003'!$O$84</f>
        <v>46347</v>
      </c>
      <c r="K221" s="56" t="str">
        <f aca="false">IF(OR(L221="Y",LEFT('P9-003'!$T$84,1)="D"),"",IF(AND(ISNUMBER(J221),J221&lt;ASOF),"⚠ เลยกำหนด",IF(AND(ISNUMBER(I221),I221&lt;=ASOF+14,J221&gt;=ASOF-7),"ช่วงนี้","")))</f>
        <v/>
      </c>
      <c r="L221" s="59"/>
      <c r="M221" s="60"/>
    </row>
    <row r="222" customFormat="false" ht="15" hidden="false" customHeight="false" outlineLevel="0" collapsed="false">
      <c r="A222" s="54" t="s">
        <v>50</v>
      </c>
      <c r="B222" s="55" t="s">
        <v>465</v>
      </c>
      <c r="C222" s="56" t="s">
        <v>466</v>
      </c>
      <c r="D222" s="57" t="s">
        <v>52</v>
      </c>
      <c r="E222" s="57" t="s">
        <v>362</v>
      </c>
      <c r="F222" s="61" t="s">
        <v>363</v>
      </c>
      <c r="G222" s="61" t="s">
        <v>364</v>
      </c>
      <c r="H222" s="56" t="s">
        <v>365</v>
      </c>
      <c r="I222" s="58" t="n">
        <f aca="false">'P9-003'!$N$86</f>
        <v>46343</v>
      </c>
      <c r="J222" s="58" t="n">
        <f aca="false">'P9-003'!$O$86</f>
        <v>46345</v>
      </c>
      <c r="K222" s="56" t="str">
        <f aca="false">IF(OR(L222="Y",LEFT('P9-003'!$T$86,1)="D"),"",IF(AND(ISNUMBER(J222),J222&lt;ASOF),"⚠ เลยกำหนด",IF(AND(ISNUMBER(I222),I222&lt;=ASOF+14,J222&gt;=ASOF-7),"ช่วงนี้","")))</f>
        <v/>
      </c>
      <c r="L222" s="59"/>
      <c r="M222" s="60"/>
    </row>
    <row r="223" customFormat="false" ht="15" hidden="false" customHeight="false" outlineLevel="0" collapsed="false">
      <c r="A223" s="54" t="s">
        <v>50</v>
      </c>
      <c r="B223" s="55" t="s">
        <v>465</v>
      </c>
      <c r="C223" s="56" t="s">
        <v>466</v>
      </c>
      <c r="D223" s="57" t="s">
        <v>52</v>
      </c>
      <c r="E223" s="57" t="s">
        <v>366</v>
      </c>
      <c r="F223" s="61" t="s">
        <v>367</v>
      </c>
      <c r="G223" s="61" t="s">
        <v>368</v>
      </c>
      <c r="H223" s="57" t="s">
        <v>369</v>
      </c>
      <c r="I223" s="58" t="n">
        <f aca="false">'P9-003'!$N$87</f>
        <v>46344</v>
      </c>
      <c r="J223" s="58" t="n">
        <f aca="false">'P9-003'!$O$87</f>
        <v>46346</v>
      </c>
      <c r="K223" s="56" t="str">
        <f aca="false">IF(OR(L223="Y",LEFT('P9-003'!$T$87,1)="D"),"",IF(AND(ISNUMBER(J223),J223&lt;ASOF),"⚠ เลยกำหนด",IF(AND(ISNUMBER(I223),I223&lt;=ASOF+14,J223&gt;=ASOF-7),"ช่วงนี้","")))</f>
        <v/>
      </c>
      <c r="L223" s="59"/>
      <c r="M223" s="60"/>
    </row>
    <row r="224" customFormat="false" ht="15" hidden="false" customHeight="false" outlineLevel="0" collapsed="false">
      <c r="A224" s="54" t="s">
        <v>50</v>
      </c>
      <c r="B224" s="55" t="s">
        <v>465</v>
      </c>
      <c r="C224" s="56" t="s">
        <v>466</v>
      </c>
      <c r="D224" s="57" t="s">
        <v>52</v>
      </c>
      <c r="E224" s="57" t="s">
        <v>370</v>
      </c>
      <c r="F224" s="55" t="s">
        <v>371</v>
      </c>
      <c r="G224" s="55" t="s">
        <v>372</v>
      </c>
      <c r="H224" s="57" t="s">
        <v>211</v>
      </c>
      <c r="I224" s="58" t="n">
        <f aca="false">'P9-003'!$N$88</f>
        <v>46345</v>
      </c>
      <c r="J224" s="58" t="n">
        <f aca="false">'P9-003'!$O$88</f>
        <v>46346</v>
      </c>
      <c r="K224" s="56" t="str">
        <f aca="false">IF(OR(L224="Y",LEFT('P9-003'!$T$88,1)="D"),"",IF(AND(ISNUMBER(J224),J224&lt;ASOF),"⚠ เลยกำหนด",IF(AND(ISNUMBER(I224),I224&lt;=ASOF+14,J224&gt;=ASOF-7),"ช่วงนี้","")))</f>
        <v/>
      </c>
      <c r="L224" s="59"/>
      <c r="M224" s="60"/>
    </row>
    <row r="225" customFormat="false" ht="15" hidden="false" customHeight="false" outlineLevel="0" collapsed="false">
      <c r="A225" s="54" t="s">
        <v>50</v>
      </c>
      <c r="B225" s="55" t="s">
        <v>465</v>
      </c>
      <c r="C225" s="56" t="s">
        <v>466</v>
      </c>
      <c r="D225" s="57" t="s">
        <v>52</v>
      </c>
      <c r="E225" s="57" t="s">
        <v>373</v>
      </c>
      <c r="F225" s="61" t="s">
        <v>374</v>
      </c>
      <c r="G225" s="55" t="s">
        <v>375</v>
      </c>
      <c r="H225" s="57" t="s">
        <v>211</v>
      </c>
      <c r="I225" s="58" t="n">
        <f aca="false">'P9-003'!$N$89</f>
        <v>46346</v>
      </c>
      <c r="J225" s="58" t="n">
        <f aca="false">'P9-003'!$O$89</f>
        <v>46346</v>
      </c>
      <c r="K225" s="56" t="str">
        <f aca="false">IF(OR(L225="Y",LEFT('P9-003'!$T$89,1)="D"),"",IF(AND(ISNUMBER(J225),J225&lt;ASOF),"⚠ เลยกำหนด",IF(AND(ISNUMBER(I225),I225&lt;=ASOF+14,J225&gt;=ASOF-7),"ช่วงนี้","")))</f>
        <v/>
      </c>
      <c r="L225" s="59"/>
      <c r="M225" s="60"/>
    </row>
    <row r="226" customFormat="false" ht="15" hidden="false" customHeight="false" outlineLevel="0" collapsed="false">
      <c r="A226" s="54" t="s">
        <v>50</v>
      </c>
      <c r="B226" s="55" t="s">
        <v>465</v>
      </c>
      <c r="C226" s="56" t="s">
        <v>466</v>
      </c>
      <c r="D226" s="57" t="s">
        <v>52</v>
      </c>
      <c r="E226" s="57" t="s">
        <v>376</v>
      </c>
      <c r="F226" s="55" t="s">
        <v>377</v>
      </c>
      <c r="G226" s="55" t="s">
        <v>378</v>
      </c>
      <c r="H226" s="57" t="s">
        <v>369</v>
      </c>
      <c r="I226" s="58" t="n">
        <f aca="false">'P9-003'!$N$91</f>
        <v>46344</v>
      </c>
      <c r="J226" s="58" t="n">
        <f aca="false">'P9-003'!$O$91</f>
        <v>46346</v>
      </c>
      <c r="K226" s="56" t="str">
        <f aca="false">IF(OR(L226="Y",LEFT('P9-003'!$T$91,1)="D"),"",IF(AND(ISNUMBER(J226),J226&lt;ASOF),"⚠ เลยกำหนด",IF(AND(ISNUMBER(I226),I226&lt;=ASOF+14,J226&gt;=ASOF-7),"ช่วงนี้","")))</f>
        <v/>
      </c>
      <c r="L226" s="59"/>
      <c r="M226" s="60"/>
    </row>
    <row r="227" customFormat="false" ht="15" hidden="false" customHeight="false" outlineLevel="0" collapsed="false">
      <c r="A227" s="54" t="s">
        <v>50</v>
      </c>
      <c r="B227" s="55" t="s">
        <v>465</v>
      </c>
      <c r="C227" s="56" t="s">
        <v>466</v>
      </c>
      <c r="D227" s="57" t="s">
        <v>52</v>
      </c>
      <c r="E227" s="57" t="s">
        <v>379</v>
      </c>
      <c r="F227" s="61" t="s">
        <v>380</v>
      </c>
      <c r="G227" s="61" t="s">
        <v>381</v>
      </c>
      <c r="H227" s="57" t="s">
        <v>211</v>
      </c>
      <c r="I227" s="58" t="n">
        <f aca="false">'P9-003'!$N$92</f>
        <v>46346</v>
      </c>
      <c r="J227" s="58" t="n">
        <f aca="false">'P9-003'!$O$92</f>
        <v>46347</v>
      </c>
      <c r="K227" s="56" t="str">
        <f aca="false">IF(OR(L227="Y",LEFT('P9-003'!$T$92,1)="D"),"",IF(AND(ISNUMBER(J227),J227&lt;ASOF),"⚠ เลยกำหนด",IF(AND(ISNUMBER(I227),I227&lt;=ASOF+14,J227&gt;=ASOF-7),"ช่วงนี้","")))</f>
        <v/>
      </c>
      <c r="L227" s="59"/>
      <c r="M227" s="60"/>
    </row>
    <row r="228" customFormat="false" ht="15" hidden="false" customHeight="false" outlineLevel="0" collapsed="false">
      <c r="A228" s="54" t="s">
        <v>50</v>
      </c>
      <c r="B228" s="55" t="s">
        <v>465</v>
      </c>
      <c r="C228" s="56" t="s">
        <v>466</v>
      </c>
      <c r="D228" s="57" t="s">
        <v>52</v>
      </c>
      <c r="E228" s="57" t="s">
        <v>382</v>
      </c>
      <c r="F228" s="55" t="s">
        <v>383</v>
      </c>
      <c r="G228" s="55" t="s">
        <v>384</v>
      </c>
      <c r="H228" s="57" t="s">
        <v>369</v>
      </c>
      <c r="I228" s="58" t="n">
        <f aca="false">'P9-003'!$N$93</f>
        <v>46344</v>
      </c>
      <c r="J228" s="58" t="n">
        <f aca="false">'P9-003'!$O$93</f>
        <v>46346</v>
      </c>
      <c r="K228" s="56" t="str">
        <f aca="false">IF(OR(L228="Y",LEFT('P9-003'!$T$93,1)="D"),"",IF(AND(ISNUMBER(J228),J228&lt;ASOF),"⚠ เลยกำหนด",IF(AND(ISNUMBER(I228),I228&lt;=ASOF+14,J228&gt;=ASOF-7),"ช่วงนี้","")))</f>
        <v/>
      </c>
      <c r="L228" s="59"/>
      <c r="M228" s="60"/>
    </row>
    <row r="229" customFormat="false" ht="15" hidden="false" customHeight="false" outlineLevel="0" collapsed="false">
      <c r="A229" s="54" t="s">
        <v>50</v>
      </c>
      <c r="B229" s="55" t="s">
        <v>465</v>
      </c>
      <c r="C229" s="56" t="s">
        <v>466</v>
      </c>
      <c r="D229" s="57" t="s">
        <v>52</v>
      </c>
      <c r="E229" s="57" t="s">
        <v>385</v>
      </c>
      <c r="F229" s="55" t="s">
        <v>386</v>
      </c>
      <c r="G229" s="55" t="s">
        <v>387</v>
      </c>
      <c r="H229" s="57" t="s">
        <v>211</v>
      </c>
      <c r="I229" s="58" t="n">
        <f aca="false">'P9-003'!$N$94</f>
        <v>46346</v>
      </c>
      <c r="J229" s="58" t="n">
        <f aca="false">'P9-003'!$O$94</f>
        <v>46347</v>
      </c>
      <c r="K229" s="56" t="str">
        <f aca="false">IF(OR(L229="Y",LEFT('P9-003'!$T$94,1)="D"),"",IF(AND(ISNUMBER(J229),J229&lt;ASOF),"⚠ เลยกำหนด",IF(AND(ISNUMBER(I229),I229&lt;=ASOF+14,J229&gt;=ASOF-7),"ช่วงนี้","")))</f>
        <v/>
      </c>
      <c r="L229" s="59"/>
      <c r="M229" s="60"/>
    </row>
    <row r="230" customFormat="false" ht="15" hidden="false" customHeight="false" outlineLevel="0" collapsed="false">
      <c r="A230" s="54" t="s">
        <v>50</v>
      </c>
      <c r="B230" s="55" t="s">
        <v>465</v>
      </c>
      <c r="C230" s="56" t="s">
        <v>466</v>
      </c>
      <c r="D230" s="57" t="s">
        <v>52</v>
      </c>
      <c r="E230" s="57" t="s">
        <v>388</v>
      </c>
      <c r="F230" s="61" t="s">
        <v>389</v>
      </c>
      <c r="G230" s="55" t="s">
        <v>390</v>
      </c>
      <c r="H230" s="57" t="s">
        <v>211</v>
      </c>
      <c r="I230" s="58" t="n">
        <f aca="false">'P9-003'!$N$95</f>
        <v>46347</v>
      </c>
      <c r="J230" s="58" t="n">
        <f aca="false">'P9-003'!$O$95</f>
        <v>46347</v>
      </c>
      <c r="K230" s="56" t="str">
        <f aca="false">IF(OR(L230="Y",LEFT('P9-003'!$T$95,1)="D"),"",IF(AND(ISNUMBER(J230),J230&lt;ASOF),"⚠ เลยกำหนด",IF(AND(ISNUMBER(I230),I230&lt;=ASOF+14,J230&gt;=ASOF-7),"ช่วงนี้","")))</f>
        <v/>
      </c>
      <c r="L230" s="59"/>
      <c r="M230" s="60"/>
    </row>
    <row r="231" customFormat="false" ht="15" hidden="false" customHeight="false" outlineLevel="0" collapsed="false">
      <c r="A231" s="54" t="s">
        <v>50</v>
      </c>
      <c r="B231" s="55" t="s">
        <v>465</v>
      </c>
      <c r="C231" s="56" t="s">
        <v>466</v>
      </c>
      <c r="D231" s="57" t="s">
        <v>52</v>
      </c>
      <c r="E231" s="57" t="s">
        <v>391</v>
      </c>
      <c r="F231" s="55" t="s">
        <v>392</v>
      </c>
      <c r="G231" s="55" t="s">
        <v>393</v>
      </c>
      <c r="H231" s="57" t="s">
        <v>369</v>
      </c>
      <c r="I231" s="58" t="n">
        <f aca="false">'P9-003'!$N$97</f>
        <v>46345</v>
      </c>
      <c r="J231" s="58" t="n">
        <f aca="false">'P9-003'!$O$97</f>
        <v>46347</v>
      </c>
      <c r="K231" s="56" t="str">
        <f aca="false">IF(OR(L231="Y",LEFT('P9-003'!$T$97,1)="D"),"",IF(AND(ISNUMBER(J231),J231&lt;ASOF),"⚠ เลยกำหนด",IF(AND(ISNUMBER(I231),I231&lt;=ASOF+14,J231&gt;=ASOF-7),"ช่วงนี้","")))</f>
        <v/>
      </c>
      <c r="L231" s="59"/>
      <c r="M231" s="60"/>
    </row>
    <row r="232" customFormat="false" ht="15" hidden="false" customHeight="false" outlineLevel="0" collapsed="false">
      <c r="A232" s="54" t="s">
        <v>50</v>
      </c>
      <c r="B232" s="55" t="s">
        <v>465</v>
      </c>
      <c r="C232" s="56" t="s">
        <v>466</v>
      </c>
      <c r="D232" s="57" t="s">
        <v>52</v>
      </c>
      <c r="E232" s="57" t="s">
        <v>394</v>
      </c>
      <c r="F232" s="55" t="s">
        <v>395</v>
      </c>
      <c r="G232" s="55" t="s">
        <v>396</v>
      </c>
      <c r="H232" s="57" t="s">
        <v>211</v>
      </c>
      <c r="I232" s="58" t="n">
        <f aca="false">'P9-003'!$N$98</f>
        <v>46346</v>
      </c>
      <c r="J232" s="58" t="n">
        <f aca="false">'P9-003'!$O$98</f>
        <v>46347</v>
      </c>
      <c r="K232" s="56" t="str">
        <f aca="false">IF(OR(L232="Y",LEFT('P9-003'!$T$98,1)="D"),"",IF(AND(ISNUMBER(J232),J232&lt;ASOF),"⚠ เลยกำหนด",IF(AND(ISNUMBER(I232),I232&lt;=ASOF+14,J232&gt;=ASOF-7),"ช่วงนี้","")))</f>
        <v/>
      </c>
      <c r="L232" s="59"/>
      <c r="M232" s="60"/>
    </row>
    <row r="233" customFormat="false" ht="15" hidden="false" customHeight="false" outlineLevel="0" collapsed="false">
      <c r="A233" s="54" t="s">
        <v>50</v>
      </c>
      <c r="B233" s="55" t="s">
        <v>465</v>
      </c>
      <c r="C233" s="56" t="s">
        <v>466</v>
      </c>
      <c r="D233" s="57" t="s">
        <v>52</v>
      </c>
      <c r="E233" s="57" t="s">
        <v>397</v>
      </c>
      <c r="F233" s="61" t="s">
        <v>398</v>
      </c>
      <c r="G233" s="55" t="s">
        <v>399</v>
      </c>
      <c r="H233" s="57" t="s">
        <v>211</v>
      </c>
      <c r="I233" s="58" t="n">
        <f aca="false">'P9-003'!$N$99</f>
        <v>46347</v>
      </c>
      <c r="J233" s="58" t="n">
        <f aca="false">'P9-003'!$O$99</f>
        <v>46347</v>
      </c>
      <c r="K233" s="56" t="str">
        <f aca="false">IF(OR(L233="Y",LEFT('P9-003'!$T$99,1)="D"),"",IF(AND(ISNUMBER(J233),J233&lt;ASOF),"⚠ เลยกำหนด",IF(AND(ISNUMBER(I233),I233&lt;=ASOF+14,J233&gt;=ASOF-7),"ช่วงนี้","")))</f>
        <v/>
      </c>
      <c r="L233" s="59"/>
      <c r="M233" s="60"/>
    </row>
    <row r="234" customFormat="false" ht="15" hidden="false" customHeight="false" outlineLevel="0" collapsed="false">
      <c r="A234" s="54" t="s">
        <v>50</v>
      </c>
      <c r="B234" s="55" t="s">
        <v>465</v>
      </c>
      <c r="C234" s="56" t="s">
        <v>466</v>
      </c>
      <c r="D234" s="57" t="s">
        <v>52</v>
      </c>
      <c r="E234" s="57" t="s">
        <v>467</v>
      </c>
      <c r="F234" s="61" t="s">
        <v>468</v>
      </c>
      <c r="G234" s="61" t="s">
        <v>469</v>
      </c>
      <c r="H234" s="57" t="s">
        <v>211</v>
      </c>
      <c r="I234" s="58" t="n">
        <f aca="false">'P9-003'!$N$103</f>
        <v>46346</v>
      </c>
      <c r="J234" s="58" t="n">
        <f aca="false">'P9-003'!$O$103</f>
        <v>46347</v>
      </c>
      <c r="K234" s="56" t="str">
        <f aca="false">IF(OR(L234="Y",LEFT('P9-003'!$T$103,1)="D"),"",IF(AND(ISNUMBER(J234),J234&lt;ASOF),"⚠ เลยกำหนด",IF(AND(ISNUMBER(I234),I234&lt;=ASOF+14,J234&gt;=ASOF-7),"ช่วงนี้","")))</f>
        <v/>
      </c>
      <c r="L234" s="59"/>
      <c r="M234" s="60"/>
    </row>
    <row r="235" customFormat="false" ht="15" hidden="false" customHeight="false" outlineLevel="0" collapsed="false">
      <c r="A235" s="54" t="s">
        <v>50</v>
      </c>
      <c r="B235" s="55" t="s">
        <v>465</v>
      </c>
      <c r="C235" s="56" t="s">
        <v>466</v>
      </c>
      <c r="D235" s="57" t="s">
        <v>52</v>
      </c>
      <c r="E235" s="57" t="s">
        <v>403</v>
      </c>
      <c r="F235" s="55" t="s">
        <v>404</v>
      </c>
      <c r="G235" s="55" t="s">
        <v>405</v>
      </c>
      <c r="H235" s="57" t="s">
        <v>211</v>
      </c>
      <c r="I235" s="58" t="n">
        <f aca="false">'P9-003'!$N$104</f>
        <v>46347</v>
      </c>
      <c r="J235" s="58" t="n">
        <f aca="false">'P9-003'!$O$104</f>
        <v>46348</v>
      </c>
      <c r="K235" s="56" t="str">
        <f aca="false">IF(OR(L235="Y",LEFT('P9-003'!$T$104,1)="D"),"",IF(AND(ISNUMBER(J235),J235&lt;ASOF),"⚠ เลยกำหนด",IF(AND(ISNUMBER(I235),I235&lt;=ASOF+14,J235&gt;=ASOF-7),"ช่วงนี้","")))</f>
        <v/>
      </c>
      <c r="L235" s="59"/>
      <c r="M235" s="60"/>
    </row>
    <row r="236" customFormat="false" ht="15" hidden="false" customHeight="false" outlineLevel="0" collapsed="false">
      <c r="A236" s="54" t="s">
        <v>50</v>
      </c>
      <c r="B236" s="55" t="s">
        <v>465</v>
      </c>
      <c r="C236" s="56" t="s">
        <v>466</v>
      </c>
      <c r="D236" s="57" t="s">
        <v>52</v>
      </c>
      <c r="E236" s="57" t="s">
        <v>406</v>
      </c>
      <c r="F236" s="55" t="s">
        <v>407</v>
      </c>
      <c r="G236" s="55" t="s">
        <v>408</v>
      </c>
      <c r="H236" s="57" t="s">
        <v>211</v>
      </c>
      <c r="I236" s="58" t="n">
        <f aca="false">'P9-003'!$N$105</f>
        <v>46347</v>
      </c>
      <c r="J236" s="58" t="n">
        <f aca="false">'P9-003'!$O$105</f>
        <v>46348</v>
      </c>
      <c r="K236" s="56" t="str">
        <f aca="false">IF(OR(L236="Y",LEFT('P9-003'!$T$105,1)="D"),"",IF(AND(ISNUMBER(J236),J236&lt;ASOF),"⚠ เลยกำหนด",IF(AND(ISNUMBER(I236),I236&lt;=ASOF+14,J236&gt;=ASOF-7),"ช่วงนี้","")))</f>
        <v/>
      </c>
      <c r="L236" s="59"/>
      <c r="M236" s="60"/>
    </row>
    <row r="237" customFormat="false" ht="15" hidden="false" customHeight="false" outlineLevel="0" collapsed="false">
      <c r="A237" s="54" t="s">
        <v>50</v>
      </c>
      <c r="B237" s="55" t="s">
        <v>465</v>
      </c>
      <c r="C237" s="56" t="s">
        <v>466</v>
      </c>
      <c r="D237" s="57" t="s">
        <v>52</v>
      </c>
      <c r="E237" s="57" t="s">
        <v>409</v>
      </c>
      <c r="F237" s="61" t="s">
        <v>410</v>
      </c>
      <c r="G237" s="55" t="s">
        <v>411</v>
      </c>
      <c r="H237" s="57" t="s">
        <v>211</v>
      </c>
      <c r="I237" s="58" t="n">
        <f aca="false">'P9-003'!$N$106</f>
        <v>46348</v>
      </c>
      <c r="J237" s="58" t="n">
        <f aca="false">'P9-003'!$O$106</f>
        <v>46348</v>
      </c>
      <c r="K237" s="56" t="str">
        <f aca="false">IF(OR(L237="Y",LEFT('P9-003'!$T$106,1)="D"),"",IF(AND(ISNUMBER(J237),J237&lt;ASOF),"⚠ เลยกำหนด",IF(AND(ISNUMBER(I237),I237&lt;=ASOF+14,J237&gt;=ASOF-7),"ช่วงนี้","")))</f>
        <v/>
      </c>
      <c r="L237" s="59"/>
      <c r="M237" s="60"/>
    </row>
    <row r="238" customFormat="false" ht="15" hidden="false" customHeight="false" outlineLevel="0" collapsed="false">
      <c r="A238" s="54" t="s">
        <v>50</v>
      </c>
      <c r="B238" s="55" t="s">
        <v>465</v>
      </c>
      <c r="C238" s="56" t="s">
        <v>466</v>
      </c>
      <c r="D238" s="57" t="s">
        <v>52</v>
      </c>
      <c r="E238" s="57" t="s">
        <v>412</v>
      </c>
      <c r="F238" s="61" t="s">
        <v>413</v>
      </c>
      <c r="G238" s="61" t="s">
        <v>414</v>
      </c>
      <c r="H238" s="57" t="s">
        <v>211</v>
      </c>
      <c r="I238" s="58" t="n">
        <f aca="false">'P9-003'!$N$108</f>
        <v>46347</v>
      </c>
      <c r="J238" s="58" t="n">
        <f aca="false">'P9-003'!$O$108</f>
        <v>46348</v>
      </c>
      <c r="K238" s="56" t="str">
        <f aca="false">IF(OR(L238="Y",LEFT('P9-003'!$T$108,1)="D"),"",IF(AND(ISNUMBER(J238),J238&lt;ASOF),"⚠ เลยกำหนด",IF(AND(ISNUMBER(I238),I238&lt;=ASOF+14,J238&gt;=ASOF-7),"ช่วงนี้","")))</f>
        <v/>
      </c>
      <c r="L238" s="59"/>
      <c r="M238" s="60"/>
    </row>
    <row r="239" customFormat="false" ht="15" hidden="false" customHeight="false" outlineLevel="0" collapsed="false">
      <c r="A239" s="54" t="s">
        <v>50</v>
      </c>
      <c r="B239" s="55" t="s">
        <v>465</v>
      </c>
      <c r="C239" s="56" t="s">
        <v>466</v>
      </c>
      <c r="D239" s="57" t="s">
        <v>52</v>
      </c>
      <c r="E239" s="57" t="s">
        <v>415</v>
      </c>
      <c r="F239" s="55" t="s">
        <v>416</v>
      </c>
      <c r="G239" s="55" t="s">
        <v>417</v>
      </c>
      <c r="H239" s="57" t="s">
        <v>211</v>
      </c>
      <c r="I239" s="58" t="n">
        <f aca="false">'P9-003'!$N$109</f>
        <v>46348</v>
      </c>
      <c r="J239" s="58" t="n">
        <f aca="false">'P9-003'!$O$109</f>
        <v>46348</v>
      </c>
      <c r="K239" s="56" t="str">
        <f aca="false">IF(OR(L239="Y",LEFT('P9-003'!$T$109,1)="D"),"",IF(AND(ISNUMBER(J239),J239&lt;ASOF),"⚠ เลยกำหนด",IF(AND(ISNUMBER(I239),I239&lt;=ASOF+14,J239&gt;=ASOF-7),"ช่วงนี้","")))</f>
        <v/>
      </c>
      <c r="L239" s="59"/>
      <c r="M239" s="60"/>
    </row>
    <row r="240" customFormat="false" ht="15" hidden="false" customHeight="false" outlineLevel="0" collapsed="false">
      <c r="A240" s="54" t="s">
        <v>50</v>
      </c>
      <c r="B240" s="55" t="s">
        <v>465</v>
      </c>
      <c r="C240" s="56" t="s">
        <v>466</v>
      </c>
      <c r="D240" s="57" t="s">
        <v>52</v>
      </c>
      <c r="E240" s="57" t="s">
        <v>418</v>
      </c>
      <c r="F240" s="61" t="s">
        <v>419</v>
      </c>
      <c r="G240" s="55" t="s">
        <v>420</v>
      </c>
      <c r="H240" s="57" t="s">
        <v>211</v>
      </c>
      <c r="I240" s="58" t="n">
        <f aca="false">'P9-003'!$N$110</f>
        <v>46347</v>
      </c>
      <c r="J240" s="58" t="n">
        <f aca="false">'P9-003'!$O$110</f>
        <v>46348</v>
      </c>
      <c r="K240" s="56" t="str">
        <f aca="false">IF(OR(L240="Y",LEFT('P9-003'!$T$110,1)="D"),"",IF(AND(ISNUMBER(J240),J240&lt;ASOF),"⚠ เลยกำหนด",IF(AND(ISNUMBER(I240),I240&lt;=ASOF+14,J240&gt;=ASOF-7),"ช่วงนี้","")))</f>
        <v/>
      </c>
      <c r="L240" s="59"/>
      <c r="M240" s="60"/>
    </row>
    <row r="241" customFormat="false" ht="15" hidden="false" customHeight="false" outlineLevel="0" collapsed="false">
      <c r="A241" s="54" t="s">
        <v>50</v>
      </c>
      <c r="B241" s="55" t="s">
        <v>465</v>
      </c>
      <c r="C241" s="56" t="s">
        <v>466</v>
      </c>
      <c r="D241" s="57" t="s">
        <v>52</v>
      </c>
      <c r="E241" s="57" t="s">
        <v>421</v>
      </c>
      <c r="F241" s="55" t="s">
        <v>422</v>
      </c>
      <c r="G241" s="55" t="s">
        <v>423</v>
      </c>
      <c r="H241" s="56" t="str">
        <f aca="false">IF(COUNTIFS(SITE_ST,"P9-003",SITE_TYPE,"?*")&gt;0,"ตามจุดติดตั้ง →","0/100")</f>
        <v>ตามจุดติดตั้ง →</v>
      </c>
      <c r="I241" s="58" t="n">
        <f aca="false">'P9-003'!$N$112</f>
        <v>46349</v>
      </c>
      <c r="J241" s="58" t="n">
        <f aca="false">'P9-003'!$O$112</f>
        <v>46349</v>
      </c>
      <c r="K241" s="56" t="str">
        <f aca="false">IF(OR(L241="Y",LEFT('P9-003'!$T$112,1)="D"),"",IF(AND(ISNUMBER(J241),J241&lt;ASOF),"⚠ เลยกำหนด",IF(AND(ISNUMBER(I241),I241&lt;=ASOF+14,J241&gt;=ASOF-7),"ช่วงนี้","")))</f>
        <v/>
      </c>
      <c r="L241" s="59"/>
      <c r="M241" s="60"/>
    </row>
    <row r="242" customFormat="false" ht="15" hidden="false" customHeight="false" outlineLevel="0" collapsed="false">
      <c r="A242" s="54" t="s">
        <v>50</v>
      </c>
      <c r="B242" s="55" t="s">
        <v>465</v>
      </c>
      <c r="C242" s="56" t="s">
        <v>466</v>
      </c>
      <c r="D242" s="57" t="s">
        <v>52</v>
      </c>
      <c r="E242" s="57" t="s">
        <v>424</v>
      </c>
      <c r="F242" s="55" t="s">
        <v>425</v>
      </c>
      <c r="G242" s="55" t="s">
        <v>426</v>
      </c>
      <c r="H242" s="56" t="str">
        <f aca="false">IF(COUNTIFS(SITE_ST,"P9-003",SITE_TYPE,"?*")&gt;0,"ตามจุดติดตั้ง →","0/100")</f>
        <v>ตามจุดติดตั้ง →</v>
      </c>
      <c r="I242" s="58" t="n">
        <f aca="false">'P9-003'!$N$113</f>
        <v>46349</v>
      </c>
      <c r="J242" s="58" t="n">
        <f aca="false">'P9-003'!$O$113</f>
        <v>46349</v>
      </c>
      <c r="K242" s="56" t="str">
        <f aca="false">IF(OR(L242="Y",LEFT('P9-003'!$T$113,1)="D"),"",IF(AND(ISNUMBER(J242),J242&lt;ASOF),"⚠ เลยกำหนด",IF(AND(ISNUMBER(I242),I242&lt;=ASOF+14,J242&gt;=ASOF-7),"ช่วงนี้","")))</f>
        <v/>
      </c>
      <c r="L242" s="59"/>
      <c r="M242" s="60"/>
    </row>
    <row r="243" customFormat="false" ht="15" hidden="false" customHeight="false" outlineLevel="0" collapsed="false">
      <c r="A243" s="54" t="s">
        <v>50</v>
      </c>
      <c r="B243" s="55" t="s">
        <v>465</v>
      </c>
      <c r="C243" s="56" t="s">
        <v>466</v>
      </c>
      <c r="D243" s="57" t="s">
        <v>52</v>
      </c>
      <c r="E243" s="57" t="s">
        <v>427</v>
      </c>
      <c r="F243" s="61" t="s">
        <v>428</v>
      </c>
      <c r="G243" s="61" t="s">
        <v>429</v>
      </c>
      <c r="H243" s="57" t="s">
        <v>211</v>
      </c>
      <c r="I243" s="58" t="n">
        <f aca="false">'P9-003'!$N$116</f>
        <v>46359</v>
      </c>
      <c r="J243" s="58" t="n">
        <f aca="false">'P9-003'!$O$116</f>
        <v>46359</v>
      </c>
      <c r="K243" s="56" t="str">
        <f aca="false">IF(OR(L243="Y",LEFT('P9-003'!$T$116,1)="D"),"",IF(AND(ISNUMBER(J243),J243&lt;ASOF),"⚠ เลยกำหนด",IF(AND(ISNUMBER(I243),I243&lt;=ASOF+14,J243&gt;=ASOF-7),"ช่วงนี้","")))</f>
        <v/>
      </c>
      <c r="L243" s="59"/>
      <c r="M243" s="60"/>
    </row>
    <row r="244" customFormat="false" ht="15" hidden="false" customHeight="false" outlineLevel="0" collapsed="false">
      <c r="A244" s="54" t="s">
        <v>50</v>
      </c>
      <c r="B244" s="55" t="s">
        <v>465</v>
      </c>
      <c r="C244" s="56" t="s">
        <v>466</v>
      </c>
      <c r="D244" s="57" t="s">
        <v>52</v>
      </c>
      <c r="E244" s="57" t="s">
        <v>430</v>
      </c>
      <c r="F244" s="55" t="s">
        <v>431</v>
      </c>
      <c r="G244" s="55" t="s">
        <v>432</v>
      </c>
      <c r="H244" s="57" t="s">
        <v>211</v>
      </c>
      <c r="I244" s="58" t="n">
        <f aca="false">'P9-003'!$N$117</f>
        <v>46359</v>
      </c>
      <c r="J244" s="58" t="n">
        <f aca="false">'P9-003'!$O$117</f>
        <v>46359</v>
      </c>
      <c r="K244" s="56" t="str">
        <f aca="false">IF(OR(L244="Y",LEFT('P9-003'!$T$117,1)="D"),"",IF(AND(ISNUMBER(J244),J244&lt;ASOF),"⚠ เลยกำหนด",IF(AND(ISNUMBER(I244),I244&lt;=ASOF+14,J244&gt;=ASOF-7),"ช่วงนี้","")))</f>
        <v/>
      </c>
      <c r="L244" s="59"/>
      <c r="M244" s="60"/>
    </row>
    <row r="245" customFormat="false" ht="15" hidden="false" customHeight="false" outlineLevel="0" collapsed="false">
      <c r="A245" s="54" t="s">
        <v>50</v>
      </c>
      <c r="B245" s="55" t="s">
        <v>465</v>
      </c>
      <c r="C245" s="56" t="s">
        <v>466</v>
      </c>
      <c r="D245" s="57" t="s">
        <v>52</v>
      </c>
      <c r="E245" s="57" t="s">
        <v>433</v>
      </c>
      <c r="F245" s="55" t="s">
        <v>434</v>
      </c>
      <c r="G245" s="55" t="s">
        <v>435</v>
      </c>
      <c r="H245" s="57" t="s">
        <v>211</v>
      </c>
      <c r="I245" s="58" t="n">
        <f aca="false">'P9-003'!$N$118</f>
        <v>46359</v>
      </c>
      <c r="J245" s="58" t="n">
        <f aca="false">'P9-003'!$O$118</f>
        <v>46359</v>
      </c>
      <c r="K245" s="56" t="str">
        <f aca="false">IF(OR(L245="Y",LEFT('P9-003'!$T$118,1)="D"),"",IF(AND(ISNUMBER(J245),J245&lt;ASOF),"⚠ เลยกำหนด",IF(AND(ISNUMBER(I245),I245&lt;=ASOF+14,J245&gt;=ASOF-7),"ช่วงนี้","")))</f>
        <v/>
      </c>
      <c r="L245" s="59"/>
      <c r="M245" s="60"/>
    </row>
    <row r="246" customFormat="false" ht="15" hidden="false" customHeight="false" outlineLevel="0" collapsed="false">
      <c r="A246" s="54" t="s">
        <v>50</v>
      </c>
      <c r="B246" s="55" t="s">
        <v>465</v>
      </c>
      <c r="C246" s="56" t="s">
        <v>466</v>
      </c>
      <c r="D246" s="57" t="s">
        <v>52</v>
      </c>
      <c r="E246" s="57" t="s">
        <v>436</v>
      </c>
      <c r="F246" s="55" t="s">
        <v>437</v>
      </c>
      <c r="G246" s="55" t="s">
        <v>438</v>
      </c>
      <c r="H246" s="57" t="s">
        <v>211</v>
      </c>
      <c r="I246" s="58" t="n">
        <f aca="false">'P9-003'!$N$119</f>
        <v>46359</v>
      </c>
      <c r="J246" s="58" t="n">
        <f aca="false">'P9-003'!$O$119</f>
        <v>46359</v>
      </c>
      <c r="K246" s="56" t="str">
        <f aca="false">IF(OR(L246="Y",LEFT('P9-003'!$T$119,1)="D"),"",IF(AND(ISNUMBER(J246),J246&lt;ASOF),"⚠ เลยกำหนด",IF(AND(ISNUMBER(I246),I246&lt;=ASOF+14,J246&gt;=ASOF-7),"ช่วงนี้","")))</f>
        <v/>
      </c>
      <c r="L246" s="59"/>
      <c r="M246" s="60"/>
    </row>
    <row r="247" customFormat="false" ht="15" hidden="false" customHeight="false" outlineLevel="0" collapsed="false">
      <c r="A247" s="54" t="s">
        <v>50</v>
      </c>
      <c r="B247" s="55" t="s">
        <v>465</v>
      </c>
      <c r="C247" s="56" t="s">
        <v>466</v>
      </c>
      <c r="D247" s="57" t="s">
        <v>52</v>
      </c>
      <c r="E247" s="57" t="s">
        <v>439</v>
      </c>
      <c r="F247" s="55" t="s">
        <v>440</v>
      </c>
      <c r="G247" s="55" t="s">
        <v>441</v>
      </c>
      <c r="H247" s="57" t="s">
        <v>211</v>
      </c>
      <c r="I247" s="58" t="n">
        <f aca="false">'P9-003'!$N$120</f>
        <v>46359</v>
      </c>
      <c r="J247" s="58" t="n">
        <f aca="false">'P9-003'!$O$120</f>
        <v>46359</v>
      </c>
      <c r="K247" s="56" t="str">
        <f aca="false">IF(OR(L247="Y",LEFT('P9-003'!$T$120,1)="D"),"",IF(AND(ISNUMBER(J247),J247&lt;ASOF),"⚠ เลยกำหนด",IF(AND(ISNUMBER(I247),I247&lt;=ASOF+14,J247&gt;=ASOF-7),"ช่วงนี้","")))</f>
        <v/>
      </c>
      <c r="L247" s="59"/>
      <c r="M247" s="60"/>
    </row>
    <row r="248" customFormat="false" ht="15" hidden="false" customHeight="false" outlineLevel="0" collapsed="false">
      <c r="A248" s="54" t="s">
        <v>50</v>
      </c>
      <c r="B248" s="55" t="s">
        <v>465</v>
      </c>
      <c r="C248" s="56" t="s">
        <v>466</v>
      </c>
      <c r="D248" s="57" t="s">
        <v>52</v>
      </c>
      <c r="E248" s="57" t="s">
        <v>442</v>
      </c>
      <c r="F248" s="55" t="s">
        <v>443</v>
      </c>
      <c r="G248" s="55" t="s">
        <v>444</v>
      </c>
      <c r="H248" s="57" t="s">
        <v>211</v>
      </c>
      <c r="I248" s="58" t="n">
        <f aca="false">'P9-003'!$N$121</f>
        <v>46359</v>
      </c>
      <c r="J248" s="58" t="n">
        <f aca="false">'P9-003'!$O$121</f>
        <v>46359</v>
      </c>
      <c r="K248" s="56" t="str">
        <f aca="false">IF(OR(L248="Y",LEFT('P9-003'!$T$121,1)="D"),"",IF(AND(ISNUMBER(J248),J248&lt;ASOF),"⚠ เลยกำหนด",IF(AND(ISNUMBER(I248),I248&lt;=ASOF+14,J248&gt;=ASOF-7),"ช่วงนี้","")))</f>
        <v/>
      </c>
      <c r="L248" s="59"/>
      <c r="M248" s="60"/>
    </row>
    <row r="249" customFormat="false" ht="15" hidden="false" customHeight="false" outlineLevel="0" collapsed="false">
      <c r="A249" s="54" t="s">
        <v>50</v>
      </c>
      <c r="B249" s="55" t="s">
        <v>465</v>
      </c>
      <c r="C249" s="56" t="s">
        <v>466</v>
      </c>
      <c r="D249" s="57" t="s">
        <v>52</v>
      </c>
      <c r="E249" s="57" t="s">
        <v>445</v>
      </c>
      <c r="F249" s="55" t="s">
        <v>446</v>
      </c>
      <c r="G249" s="55" t="s">
        <v>447</v>
      </c>
      <c r="H249" s="57" t="s">
        <v>211</v>
      </c>
      <c r="I249" s="58" t="n">
        <f aca="false">'P9-003'!$N$125</f>
        <v>46437</v>
      </c>
      <c r="J249" s="58" t="n">
        <f aca="false">'P9-003'!$O$125</f>
        <v>46441</v>
      </c>
      <c r="K249" s="56" t="str">
        <f aca="false">IF(OR(L249="Y",LEFT('P9-003'!$T$125,1)="D"),"",IF(AND(ISNUMBER(J249),J249&lt;ASOF),"⚠ เลยกำหนด",IF(AND(ISNUMBER(I249),I249&lt;=ASOF+14,J249&gt;=ASOF-7),"ช่วงนี้","")))</f>
        <v/>
      </c>
      <c r="L249" s="59"/>
      <c r="M249" s="60"/>
    </row>
    <row r="250" customFormat="false" ht="15" hidden="false" customHeight="false" outlineLevel="0" collapsed="false">
      <c r="A250" s="54" t="s">
        <v>50</v>
      </c>
      <c r="B250" s="55" t="s">
        <v>465</v>
      </c>
      <c r="C250" s="56" t="s">
        <v>466</v>
      </c>
      <c r="D250" s="57" t="s">
        <v>52</v>
      </c>
      <c r="E250" s="57" t="s">
        <v>448</v>
      </c>
      <c r="F250" s="55" t="s">
        <v>449</v>
      </c>
      <c r="G250" s="61" t="s">
        <v>450</v>
      </c>
      <c r="H250" s="57" t="s">
        <v>211</v>
      </c>
      <c r="I250" s="58" t="n">
        <f aca="false">'P9-003'!$N$126</f>
        <v>46440</v>
      </c>
      <c r="J250" s="58" t="n">
        <f aca="false">'P9-003'!$O$126</f>
        <v>46447</v>
      </c>
      <c r="K250" s="56" t="str">
        <f aca="false">IF(OR(L250="Y",LEFT('P9-003'!$T$126,1)="D"),"",IF(AND(ISNUMBER(J250),J250&lt;ASOF),"⚠ เลยกำหนด",IF(AND(ISNUMBER(I250),I250&lt;=ASOF+14,J250&gt;=ASOF-7),"ช่วงนี้","")))</f>
        <v/>
      </c>
      <c r="L250" s="59"/>
      <c r="M250" s="60"/>
    </row>
    <row r="251" customFormat="false" ht="15" hidden="false" customHeight="false" outlineLevel="0" collapsed="false">
      <c r="A251" s="54" t="s">
        <v>50</v>
      </c>
      <c r="B251" s="55" t="s">
        <v>465</v>
      </c>
      <c r="C251" s="56" t="s">
        <v>466</v>
      </c>
      <c r="D251" s="57" t="s">
        <v>52</v>
      </c>
      <c r="E251" s="57" t="s">
        <v>451</v>
      </c>
      <c r="F251" s="61" t="s">
        <v>452</v>
      </c>
      <c r="G251" s="61" t="s">
        <v>453</v>
      </c>
      <c r="H251" s="57" t="s">
        <v>211</v>
      </c>
      <c r="I251" s="58" t="n">
        <f aca="false">'P9-003'!$N$127</f>
        <v>46447</v>
      </c>
      <c r="J251" s="58" t="n">
        <f aca="false">'P9-003'!$O$127</f>
        <v>46450</v>
      </c>
      <c r="K251" s="56" t="str">
        <f aca="false">IF(OR(L251="Y",LEFT('P9-003'!$T$127,1)="D"),"",IF(AND(ISNUMBER(J251),J251&lt;ASOF),"⚠ เลยกำหนด",IF(AND(ISNUMBER(I251),I251&lt;=ASOF+14,J251&gt;=ASOF-7),"ช่วงนี้","")))</f>
        <v/>
      </c>
      <c r="L251" s="59"/>
      <c r="M251" s="60"/>
    </row>
    <row r="252" customFormat="false" ht="15" hidden="false" customHeight="false" outlineLevel="0" collapsed="false">
      <c r="A252" s="54" t="s">
        <v>54</v>
      </c>
      <c r="B252" s="55" t="s">
        <v>470</v>
      </c>
      <c r="C252" s="56" t="s">
        <v>471</v>
      </c>
      <c r="D252" s="57" t="s">
        <v>56</v>
      </c>
      <c r="E252" s="57" t="s">
        <v>208</v>
      </c>
      <c r="F252" s="55" t="s">
        <v>209</v>
      </c>
      <c r="G252" s="55" t="s">
        <v>210</v>
      </c>
      <c r="H252" s="57" t="s">
        <v>211</v>
      </c>
      <c r="I252" s="58" t="n">
        <f aca="false">'P9-004'!$N$10</f>
        <v>46328</v>
      </c>
      <c r="J252" s="58" t="n">
        <f aca="false">'P9-004'!$O$10</f>
        <v>46340</v>
      </c>
      <c r="K252" s="56" t="str">
        <f aca="false">IF(OR(L252="Y",LEFT('P9-004'!$T$10,1)="D"),"",IF(AND(ISNUMBER(J252),J252&lt;ASOF),"⚠ เลยกำหนด",IF(AND(ISNUMBER(I252),I252&lt;=ASOF+14,J252&gt;=ASOF-7),"ช่วงนี้","")))</f>
        <v>ช่วงนี้</v>
      </c>
      <c r="L252" s="59"/>
      <c r="M252" s="60"/>
    </row>
    <row r="253" customFormat="false" ht="15" hidden="false" customHeight="false" outlineLevel="0" collapsed="false">
      <c r="A253" s="54" t="s">
        <v>54</v>
      </c>
      <c r="B253" s="55" t="s">
        <v>470</v>
      </c>
      <c r="C253" s="56" t="s">
        <v>471</v>
      </c>
      <c r="D253" s="57" t="s">
        <v>56</v>
      </c>
      <c r="E253" s="57" t="s">
        <v>212</v>
      </c>
      <c r="F253" s="55" t="s">
        <v>213</v>
      </c>
      <c r="G253" s="55" t="s">
        <v>214</v>
      </c>
      <c r="H253" s="57" t="s">
        <v>211</v>
      </c>
      <c r="I253" s="58" t="n">
        <f aca="false">'P9-004'!$N$11</f>
        <v>46328</v>
      </c>
      <c r="J253" s="58" t="n">
        <f aca="false">'P9-004'!$O$11</f>
        <v>46340</v>
      </c>
      <c r="K253" s="56" t="str">
        <f aca="false">IF(OR(L253="Y",LEFT('P9-004'!$T$11,1)="D"),"",IF(AND(ISNUMBER(J253),J253&lt;ASOF),"⚠ เลยกำหนด",IF(AND(ISNUMBER(I253),I253&lt;=ASOF+14,J253&gt;=ASOF-7),"ช่วงนี้","")))</f>
        <v>ช่วงนี้</v>
      </c>
      <c r="L253" s="59"/>
      <c r="M253" s="60"/>
    </row>
    <row r="254" customFormat="false" ht="15" hidden="false" customHeight="false" outlineLevel="0" collapsed="false">
      <c r="A254" s="54" t="s">
        <v>54</v>
      </c>
      <c r="B254" s="55" t="s">
        <v>470</v>
      </c>
      <c r="C254" s="56" t="s">
        <v>471</v>
      </c>
      <c r="D254" s="57" t="s">
        <v>56</v>
      </c>
      <c r="E254" s="57" t="s">
        <v>215</v>
      </c>
      <c r="F254" s="55" t="s">
        <v>216</v>
      </c>
      <c r="G254" s="61" t="s">
        <v>217</v>
      </c>
      <c r="H254" s="57" t="s">
        <v>211</v>
      </c>
      <c r="I254" s="58" t="n">
        <f aca="false">'P9-004'!$N$12</f>
        <v>46328</v>
      </c>
      <c r="J254" s="58" t="n">
        <f aca="false">'P9-004'!$O$12</f>
        <v>46340</v>
      </c>
      <c r="K254" s="56" t="str">
        <f aca="false">IF(OR(L254="Y",LEFT('P9-004'!$T$12,1)="D"),"",IF(AND(ISNUMBER(J254),J254&lt;ASOF),"⚠ เลยกำหนด",IF(AND(ISNUMBER(I254),I254&lt;=ASOF+14,J254&gt;=ASOF-7),"ช่วงนี้","")))</f>
        <v>ช่วงนี้</v>
      </c>
      <c r="L254" s="59"/>
      <c r="M254" s="60"/>
    </row>
    <row r="255" customFormat="false" ht="15" hidden="false" customHeight="false" outlineLevel="0" collapsed="false">
      <c r="A255" s="54" t="s">
        <v>54</v>
      </c>
      <c r="B255" s="55" t="s">
        <v>470</v>
      </c>
      <c r="C255" s="56" t="s">
        <v>471</v>
      </c>
      <c r="D255" s="57" t="s">
        <v>56</v>
      </c>
      <c r="E255" s="57" t="s">
        <v>218</v>
      </c>
      <c r="F255" s="55" t="s">
        <v>219</v>
      </c>
      <c r="G255" s="55" t="s">
        <v>220</v>
      </c>
      <c r="H255" s="57" t="s">
        <v>211</v>
      </c>
      <c r="I255" s="58" t="n">
        <f aca="false">'P9-004'!$N$13</f>
        <v>46328</v>
      </c>
      <c r="J255" s="58" t="n">
        <f aca="false">'P9-004'!$O$13</f>
        <v>46346</v>
      </c>
      <c r="K255" s="56" t="str">
        <f aca="false">IF(OR(L255="Y",LEFT('P9-004'!$T$13,1)="D"),"",IF(AND(ISNUMBER(J255),J255&lt;ASOF),"⚠ เลยกำหนด",IF(AND(ISNUMBER(I255),I255&lt;=ASOF+14,J255&gt;=ASOF-7),"ช่วงนี้","")))</f>
        <v>ช่วงนี้</v>
      </c>
      <c r="L255" s="59"/>
      <c r="M255" s="60"/>
    </row>
    <row r="256" customFormat="false" ht="15" hidden="false" customHeight="false" outlineLevel="0" collapsed="false">
      <c r="A256" s="54" t="s">
        <v>54</v>
      </c>
      <c r="B256" s="55" t="s">
        <v>470</v>
      </c>
      <c r="C256" s="56" t="s">
        <v>471</v>
      </c>
      <c r="D256" s="57" t="s">
        <v>56</v>
      </c>
      <c r="E256" s="57" t="s">
        <v>221</v>
      </c>
      <c r="F256" s="55" t="s">
        <v>222</v>
      </c>
      <c r="G256" s="55" t="s">
        <v>223</v>
      </c>
      <c r="H256" s="57" t="s">
        <v>211</v>
      </c>
      <c r="I256" s="58" t="n">
        <f aca="false">'P9-004'!$N$14</f>
        <v>46340</v>
      </c>
      <c r="J256" s="58" t="n">
        <f aca="false">'P9-004'!$O$14</f>
        <v>46450</v>
      </c>
      <c r="K256" s="56" t="str">
        <f aca="false">IF(OR(L256="Y",LEFT('P9-004'!$T$14,1)="D"),"",IF(AND(ISNUMBER(J256),J256&lt;ASOF),"⚠ เลยกำหนด",IF(AND(ISNUMBER(I256),I256&lt;=ASOF+14,J256&gt;=ASOF-7),"ช่วงนี้","")))</f>
        <v>ช่วงนี้</v>
      </c>
      <c r="L256" s="59"/>
      <c r="M256" s="60"/>
    </row>
    <row r="257" customFormat="false" ht="15" hidden="false" customHeight="false" outlineLevel="0" collapsed="false">
      <c r="A257" s="54" t="s">
        <v>54</v>
      </c>
      <c r="B257" s="55" t="s">
        <v>470</v>
      </c>
      <c r="C257" s="56" t="s">
        <v>471</v>
      </c>
      <c r="D257" s="57" t="s">
        <v>56</v>
      </c>
      <c r="E257" s="57" t="s">
        <v>224</v>
      </c>
      <c r="F257" s="55" t="s">
        <v>225</v>
      </c>
      <c r="G257" s="61" t="s">
        <v>226</v>
      </c>
      <c r="H257" s="57" t="s">
        <v>211</v>
      </c>
      <c r="I257" s="58" t="n">
        <f aca="false">'P9-004'!$N$15</f>
        <v>46340</v>
      </c>
      <c r="J257" s="58" t="n">
        <f aca="false">'P9-004'!$O$15</f>
        <v>46450</v>
      </c>
      <c r="K257" s="56" t="str">
        <f aca="false">IF(OR(L257="Y",LEFT('P9-004'!$T$15,1)="D"),"",IF(AND(ISNUMBER(J257),J257&lt;ASOF),"⚠ เลยกำหนด",IF(AND(ISNUMBER(I257),I257&lt;=ASOF+14,J257&gt;=ASOF-7),"ช่วงนี้","")))</f>
        <v>ช่วงนี้</v>
      </c>
      <c r="L257" s="59"/>
      <c r="M257" s="60"/>
    </row>
    <row r="258" customFormat="false" ht="15" hidden="false" customHeight="false" outlineLevel="0" collapsed="false">
      <c r="A258" s="54" t="s">
        <v>54</v>
      </c>
      <c r="B258" s="55" t="s">
        <v>470</v>
      </c>
      <c r="C258" s="56" t="s">
        <v>471</v>
      </c>
      <c r="D258" s="57" t="s">
        <v>56</v>
      </c>
      <c r="E258" s="57" t="s">
        <v>227</v>
      </c>
      <c r="F258" s="55" t="s">
        <v>228</v>
      </c>
      <c r="G258" s="55" t="s">
        <v>229</v>
      </c>
      <c r="H258" s="57" t="s">
        <v>211</v>
      </c>
      <c r="I258" s="58" t="n">
        <f aca="false">'P9-004'!$N$17</f>
        <v>46328</v>
      </c>
      <c r="J258" s="58" t="n">
        <f aca="false">'P9-004'!$O$17</f>
        <v>46328</v>
      </c>
      <c r="K258" s="56" t="str">
        <f aca="false">IF(OR(L258="Y",LEFT('P9-004'!$T$17,1)="D"),"",IF(AND(ISNUMBER(J258),J258&lt;ASOF),"⚠ เลยกำหนด",IF(AND(ISNUMBER(I258),I258&lt;=ASOF+14,J258&gt;=ASOF-7),"ช่วงนี้","")))</f>
        <v>ช่วงนี้</v>
      </c>
      <c r="L258" s="59"/>
      <c r="M258" s="60"/>
    </row>
    <row r="259" customFormat="false" ht="15" hidden="false" customHeight="false" outlineLevel="0" collapsed="false">
      <c r="A259" s="54" t="s">
        <v>54</v>
      </c>
      <c r="B259" s="55" t="s">
        <v>470</v>
      </c>
      <c r="C259" s="56" t="s">
        <v>471</v>
      </c>
      <c r="D259" s="57" t="s">
        <v>56</v>
      </c>
      <c r="E259" s="57" t="s">
        <v>230</v>
      </c>
      <c r="F259" s="55" t="s">
        <v>231</v>
      </c>
      <c r="G259" s="55" t="s">
        <v>232</v>
      </c>
      <c r="H259" s="57" t="s">
        <v>211</v>
      </c>
      <c r="I259" s="58" t="n">
        <f aca="false">'P9-004'!$N$18</f>
        <v>46328</v>
      </c>
      <c r="J259" s="58" t="n">
        <f aca="false">'P9-004'!$O$18</f>
        <v>46328</v>
      </c>
      <c r="K259" s="56" t="str">
        <f aca="false">IF(OR(L259="Y",LEFT('P9-004'!$T$18,1)="D"),"",IF(AND(ISNUMBER(J259),J259&lt;ASOF),"⚠ เลยกำหนด",IF(AND(ISNUMBER(I259),I259&lt;=ASOF+14,J259&gt;=ASOF-7),"ช่วงนี้","")))</f>
        <v>ช่วงนี้</v>
      </c>
      <c r="L259" s="59"/>
      <c r="M259" s="60"/>
    </row>
    <row r="260" customFormat="false" ht="15" hidden="false" customHeight="false" outlineLevel="0" collapsed="false">
      <c r="A260" s="54" t="s">
        <v>54</v>
      </c>
      <c r="B260" s="55" t="s">
        <v>470</v>
      </c>
      <c r="C260" s="56" t="s">
        <v>471</v>
      </c>
      <c r="D260" s="57" t="s">
        <v>56</v>
      </c>
      <c r="E260" s="57" t="s">
        <v>233</v>
      </c>
      <c r="F260" s="55" t="s">
        <v>234</v>
      </c>
      <c r="G260" s="55" t="s">
        <v>235</v>
      </c>
      <c r="H260" s="57" t="s">
        <v>211</v>
      </c>
      <c r="I260" s="58" t="n">
        <f aca="false">'P9-004'!$N$19</f>
        <v>46328</v>
      </c>
      <c r="J260" s="58" t="n">
        <f aca="false">'P9-004'!$O$19</f>
        <v>46328</v>
      </c>
      <c r="K260" s="56" t="str">
        <f aca="false">IF(OR(L260="Y",LEFT('P9-004'!$T$19,1)="D"),"",IF(AND(ISNUMBER(J260),J260&lt;ASOF),"⚠ เลยกำหนด",IF(AND(ISNUMBER(I260),I260&lt;=ASOF+14,J260&gt;=ASOF-7),"ช่วงนี้","")))</f>
        <v>ช่วงนี้</v>
      </c>
      <c r="L260" s="59"/>
      <c r="M260" s="60"/>
    </row>
    <row r="261" customFormat="false" ht="15" hidden="false" customHeight="false" outlineLevel="0" collapsed="false">
      <c r="A261" s="54" t="s">
        <v>54</v>
      </c>
      <c r="B261" s="55" t="s">
        <v>470</v>
      </c>
      <c r="C261" s="56" t="s">
        <v>471</v>
      </c>
      <c r="D261" s="57" t="s">
        <v>56</v>
      </c>
      <c r="E261" s="57" t="s">
        <v>236</v>
      </c>
      <c r="F261" s="55" t="s">
        <v>237</v>
      </c>
      <c r="G261" s="55" t="s">
        <v>238</v>
      </c>
      <c r="H261" s="57" t="s">
        <v>211</v>
      </c>
      <c r="I261" s="58" t="n">
        <f aca="false">'P9-004'!$N$20</f>
        <v>46328</v>
      </c>
      <c r="J261" s="58" t="n">
        <f aca="false">'P9-004'!$O$20</f>
        <v>46328</v>
      </c>
      <c r="K261" s="56" t="str">
        <f aca="false">IF(OR(L261="Y",LEFT('P9-004'!$T$20,1)="D"),"",IF(AND(ISNUMBER(J261),J261&lt;ASOF),"⚠ เลยกำหนด",IF(AND(ISNUMBER(I261),I261&lt;=ASOF+14,J261&gt;=ASOF-7),"ช่วงนี้","")))</f>
        <v>ช่วงนี้</v>
      </c>
      <c r="L261" s="59"/>
      <c r="M261" s="60"/>
    </row>
    <row r="262" customFormat="false" ht="15" hidden="false" customHeight="false" outlineLevel="0" collapsed="false">
      <c r="A262" s="54" t="s">
        <v>54</v>
      </c>
      <c r="B262" s="55" t="s">
        <v>470</v>
      </c>
      <c r="C262" s="56" t="s">
        <v>471</v>
      </c>
      <c r="D262" s="57" t="s">
        <v>56</v>
      </c>
      <c r="E262" s="57" t="s">
        <v>239</v>
      </c>
      <c r="F262" s="55" t="s">
        <v>240</v>
      </c>
      <c r="G262" s="55" t="s">
        <v>241</v>
      </c>
      <c r="H262" s="57" t="s">
        <v>211</v>
      </c>
      <c r="I262" s="58" t="n">
        <f aca="false">'P9-004'!$N$21</f>
        <v>46328</v>
      </c>
      <c r="J262" s="58" t="n">
        <f aca="false">'P9-004'!$O$21</f>
        <v>46328</v>
      </c>
      <c r="K262" s="56" t="str">
        <f aca="false">IF(OR(L262="Y",LEFT('P9-004'!$T$21,1)="D"),"",IF(AND(ISNUMBER(J262),J262&lt;ASOF),"⚠ เลยกำหนด",IF(AND(ISNUMBER(I262),I262&lt;=ASOF+14,J262&gt;=ASOF-7),"ช่วงนี้","")))</f>
        <v>ช่วงนี้</v>
      </c>
      <c r="L262" s="59"/>
      <c r="M262" s="60"/>
    </row>
    <row r="263" customFormat="false" ht="15" hidden="false" customHeight="false" outlineLevel="0" collapsed="false">
      <c r="A263" s="54" t="s">
        <v>54</v>
      </c>
      <c r="B263" s="55" t="s">
        <v>470</v>
      </c>
      <c r="C263" s="56" t="s">
        <v>471</v>
      </c>
      <c r="D263" s="57" t="s">
        <v>56</v>
      </c>
      <c r="E263" s="57" t="s">
        <v>242</v>
      </c>
      <c r="F263" s="55" t="s">
        <v>243</v>
      </c>
      <c r="G263" s="55" t="s">
        <v>244</v>
      </c>
      <c r="H263" s="57" t="s">
        <v>211</v>
      </c>
      <c r="I263" s="58" t="n">
        <f aca="false">'P9-004'!$N$22</f>
        <v>46328</v>
      </c>
      <c r="J263" s="58" t="n">
        <f aca="false">'P9-004'!$O$22</f>
        <v>46328</v>
      </c>
      <c r="K263" s="56" t="str">
        <f aca="false">IF(OR(L263="Y",LEFT('P9-004'!$T$22,1)="D"),"",IF(AND(ISNUMBER(J263),J263&lt;ASOF),"⚠ เลยกำหนด",IF(AND(ISNUMBER(I263),I263&lt;=ASOF+14,J263&gt;=ASOF-7),"ช่วงนี้","")))</f>
        <v>ช่วงนี้</v>
      </c>
      <c r="L263" s="59"/>
      <c r="M263" s="60"/>
    </row>
    <row r="264" customFormat="false" ht="15" hidden="false" customHeight="false" outlineLevel="0" collapsed="false">
      <c r="A264" s="54" t="s">
        <v>54</v>
      </c>
      <c r="B264" s="55" t="s">
        <v>470</v>
      </c>
      <c r="C264" s="56" t="s">
        <v>471</v>
      </c>
      <c r="D264" s="57" t="s">
        <v>56</v>
      </c>
      <c r="E264" s="57" t="s">
        <v>248</v>
      </c>
      <c r="F264" s="55" t="s">
        <v>249</v>
      </c>
      <c r="G264" s="55" t="s">
        <v>250</v>
      </c>
      <c r="H264" s="57" t="s">
        <v>211</v>
      </c>
      <c r="I264" s="58" t="n">
        <f aca="false">'P9-004'!$N$24</f>
        <v>46328</v>
      </c>
      <c r="J264" s="58" t="n">
        <f aca="false">'P9-004'!$O$24</f>
        <v>46328</v>
      </c>
      <c r="K264" s="56" t="str">
        <f aca="false">IF(OR(L264="Y",LEFT('P9-004'!$T$24,1)="D"),"",IF(AND(ISNUMBER(J264),J264&lt;ASOF),"⚠ เลยกำหนด",IF(AND(ISNUMBER(I264),I264&lt;=ASOF+14,J264&gt;=ASOF-7),"ช่วงนี้","")))</f>
        <v>ช่วงนี้</v>
      </c>
      <c r="L264" s="59"/>
      <c r="M264" s="60"/>
    </row>
    <row r="265" customFormat="false" ht="15" hidden="false" customHeight="false" outlineLevel="0" collapsed="false">
      <c r="A265" s="54" t="s">
        <v>54</v>
      </c>
      <c r="B265" s="55" t="s">
        <v>470</v>
      </c>
      <c r="C265" s="56" t="s">
        <v>471</v>
      </c>
      <c r="D265" s="57" t="s">
        <v>56</v>
      </c>
      <c r="E265" s="57" t="s">
        <v>251</v>
      </c>
      <c r="F265" s="55" t="s">
        <v>252</v>
      </c>
      <c r="G265" s="55" t="s">
        <v>253</v>
      </c>
      <c r="H265" s="57" t="s">
        <v>211</v>
      </c>
      <c r="I265" s="58" t="n">
        <f aca="false">'P9-004'!$N$26</f>
        <v>46329</v>
      </c>
      <c r="J265" s="58" t="n">
        <f aca="false">'P9-004'!$O$26</f>
        <v>46329</v>
      </c>
      <c r="K265" s="56" t="str">
        <f aca="false">IF(OR(L265="Y",LEFT('P9-004'!$T$26,1)="D"),"",IF(AND(ISNUMBER(J265),J265&lt;ASOF),"⚠ เลยกำหนด",IF(AND(ISNUMBER(I265),I265&lt;=ASOF+14,J265&gt;=ASOF-7),"ช่วงนี้","")))</f>
        <v>ช่วงนี้</v>
      </c>
      <c r="L265" s="59"/>
      <c r="M265" s="60"/>
    </row>
    <row r="266" customFormat="false" ht="15" hidden="false" customHeight="false" outlineLevel="0" collapsed="false">
      <c r="A266" s="54" t="s">
        <v>54</v>
      </c>
      <c r="B266" s="55" t="s">
        <v>470</v>
      </c>
      <c r="C266" s="56" t="s">
        <v>471</v>
      </c>
      <c r="D266" s="57" t="s">
        <v>56</v>
      </c>
      <c r="E266" s="57" t="s">
        <v>254</v>
      </c>
      <c r="F266" s="55" t="s">
        <v>255</v>
      </c>
      <c r="G266" s="55" t="s">
        <v>256</v>
      </c>
      <c r="H266" s="57" t="s">
        <v>211</v>
      </c>
      <c r="I266" s="58" t="n">
        <f aca="false">'P9-004'!$N$27</f>
        <v>46329</v>
      </c>
      <c r="J266" s="58" t="n">
        <f aca="false">'P9-004'!$O$27</f>
        <v>46329</v>
      </c>
      <c r="K266" s="56" t="str">
        <f aca="false">IF(OR(L266="Y",LEFT('P9-004'!$T$27,1)="D"),"",IF(AND(ISNUMBER(J266),J266&lt;ASOF),"⚠ เลยกำหนด",IF(AND(ISNUMBER(I266),I266&lt;=ASOF+14,J266&gt;=ASOF-7),"ช่วงนี้","")))</f>
        <v>ช่วงนี้</v>
      </c>
      <c r="L266" s="59"/>
      <c r="M266" s="60"/>
    </row>
    <row r="267" customFormat="false" ht="15" hidden="false" customHeight="false" outlineLevel="0" collapsed="false">
      <c r="A267" s="54" t="s">
        <v>54</v>
      </c>
      <c r="B267" s="55" t="s">
        <v>470</v>
      </c>
      <c r="C267" s="56" t="s">
        <v>471</v>
      </c>
      <c r="D267" s="57" t="s">
        <v>56</v>
      </c>
      <c r="E267" s="57" t="s">
        <v>257</v>
      </c>
      <c r="F267" s="55" t="s">
        <v>258</v>
      </c>
      <c r="G267" s="55" t="s">
        <v>259</v>
      </c>
      <c r="H267" s="57" t="s">
        <v>211</v>
      </c>
      <c r="I267" s="58" t="n">
        <f aca="false">'P9-004'!$N$28</f>
        <v>46329</v>
      </c>
      <c r="J267" s="58" t="n">
        <f aca="false">'P9-004'!$O$28</f>
        <v>46329</v>
      </c>
      <c r="K267" s="56" t="str">
        <f aca="false">IF(OR(L267="Y",LEFT('P9-004'!$T$28,1)="D"),"",IF(AND(ISNUMBER(J267),J267&lt;ASOF),"⚠ เลยกำหนด",IF(AND(ISNUMBER(I267),I267&lt;=ASOF+14,J267&gt;=ASOF-7),"ช่วงนี้","")))</f>
        <v>ช่วงนี้</v>
      </c>
      <c r="L267" s="59"/>
      <c r="M267" s="60"/>
    </row>
    <row r="268" customFormat="false" ht="15" hidden="false" customHeight="false" outlineLevel="0" collapsed="false">
      <c r="A268" s="54" t="s">
        <v>54</v>
      </c>
      <c r="B268" s="55" t="s">
        <v>470</v>
      </c>
      <c r="C268" s="56" t="s">
        <v>471</v>
      </c>
      <c r="D268" s="57" t="s">
        <v>56</v>
      </c>
      <c r="E268" s="57" t="s">
        <v>260</v>
      </c>
      <c r="F268" s="55" t="s">
        <v>261</v>
      </c>
      <c r="G268" s="55" t="s">
        <v>262</v>
      </c>
      <c r="H268" s="57" t="s">
        <v>211</v>
      </c>
      <c r="I268" s="58" t="n">
        <f aca="false">'P9-004'!$N$31</f>
        <v>46328</v>
      </c>
      <c r="J268" s="58" t="n">
        <f aca="false">'P9-004'!$O$31</f>
        <v>46328</v>
      </c>
      <c r="K268" s="56" t="str">
        <f aca="false">IF(OR(L268="Y",LEFT('P9-004'!$T$31,1)="D"),"",IF(AND(ISNUMBER(J268),J268&lt;ASOF),"⚠ เลยกำหนด",IF(AND(ISNUMBER(I268),I268&lt;=ASOF+14,J268&gt;=ASOF-7),"ช่วงนี้","")))</f>
        <v>ช่วงนี้</v>
      </c>
      <c r="L268" s="59"/>
      <c r="M268" s="60"/>
    </row>
    <row r="269" customFormat="false" ht="15" hidden="false" customHeight="false" outlineLevel="0" collapsed="false">
      <c r="A269" s="54" t="s">
        <v>54</v>
      </c>
      <c r="B269" s="55" t="s">
        <v>470</v>
      </c>
      <c r="C269" s="56" t="s">
        <v>471</v>
      </c>
      <c r="D269" s="57" t="s">
        <v>56</v>
      </c>
      <c r="E269" s="57" t="s">
        <v>263</v>
      </c>
      <c r="F269" s="55" t="s">
        <v>264</v>
      </c>
      <c r="G269" s="55" t="s">
        <v>265</v>
      </c>
      <c r="H269" s="57" t="s">
        <v>211</v>
      </c>
      <c r="I269" s="58" t="n">
        <f aca="false">'P9-004'!$N$32</f>
        <v>46328</v>
      </c>
      <c r="J269" s="58" t="n">
        <f aca="false">'P9-004'!$O$32</f>
        <v>46328</v>
      </c>
      <c r="K269" s="56" t="str">
        <f aca="false">IF(OR(L269="Y",LEFT('P9-004'!$T$32,1)="D"),"",IF(AND(ISNUMBER(J269),J269&lt;ASOF),"⚠ เลยกำหนด",IF(AND(ISNUMBER(I269),I269&lt;=ASOF+14,J269&gt;=ASOF-7),"ช่วงนี้","")))</f>
        <v>ช่วงนี้</v>
      </c>
      <c r="L269" s="59"/>
      <c r="M269" s="60"/>
    </row>
    <row r="270" customFormat="false" ht="15" hidden="false" customHeight="false" outlineLevel="0" collapsed="false">
      <c r="A270" s="54" t="s">
        <v>54</v>
      </c>
      <c r="B270" s="55" t="s">
        <v>470</v>
      </c>
      <c r="C270" s="56" t="s">
        <v>471</v>
      </c>
      <c r="D270" s="57" t="s">
        <v>56</v>
      </c>
      <c r="E270" s="57" t="s">
        <v>266</v>
      </c>
      <c r="F270" s="55" t="s">
        <v>267</v>
      </c>
      <c r="G270" s="55" t="s">
        <v>268</v>
      </c>
      <c r="H270" s="57" t="s">
        <v>211</v>
      </c>
      <c r="I270" s="58" t="n">
        <f aca="false">'P9-004'!$N$33</f>
        <v>46328</v>
      </c>
      <c r="J270" s="58" t="n">
        <f aca="false">'P9-004'!$O$33</f>
        <v>46328</v>
      </c>
      <c r="K270" s="56" t="str">
        <f aca="false">IF(OR(L270="Y",LEFT('P9-004'!$T$33,1)="D"),"",IF(AND(ISNUMBER(J270),J270&lt;ASOF),"⚠ เลยกำหนด",IF(AND(ISNUMBER(I270),I270&lt;=ASOF+14,J270&gt;=ASOF-7),"ช่วงนี้","")))</f>
        <v>ช่วงนี้</v>
      </c>
      <c r="L270" s="59"/>
      <c r="M270" s="60"/>
    </row>
    <row r="271" customFormat="false" ht="15" hidden="false" customHeight="false" outlineLevel="0" collapsed="false">
      <c r="A271" s="54" t="s">
        <v>54</v>
      </c>
      <c r="B271" s="55" t="s">
        <v>470</v>
      </c>
      <c r="C271" s="56" t="s">
        <v>471</v>
      </c>
      <c r="D271" s="57" t="s">
        <v>56</v>
      </c>
      <c r="E271" s="57" t="s">
        <v>269</v>
      </c>
      <c r="F271" s="61" t="s">
        <v>270</v>
      </c>
      <c r="G271" s="61" t="s">
        <v>271</v>
      </c>
      <c r="H271" s="57" t="s">
        <v>211</v>
      </c>
      <c r="I271" s="58" t="n">
        <f aca="false">'P9-004'!$N$35</f>
        <v>46328</v>
      </c>
      <c r="J271" s="58" t="n">
        <f aca="false">'P9-004'!$O$35</f>
        <v>46328</v>
      </c>
      <c r="K271" s="56" t="str">
        <f aca="false">IF(OR(L271="Y",LEFT('P9-004'!$T$35,1)="D"),"",IF(AND(ISNUMBER(J271),J271&lt;ASOF),"⚠ เลยกำหนด",IF(AND(ISNUMBER(I271),I271&lt;=ASOF+14,J271&gt;=ASOF-7),"ช่วงนี้","")))</f>
        <v>ช่วงนี้</v>
      </c>
      <c r="L271" s="59"/>
      <c r="M271" s="60"/>
    </row>
    <row r="272" customFormat="false" ht="15" hidden="false" customHeight="false" outlineLevel="0" collapsed="false">
      <c r="A272" s="54" t="s">
        <v>54</v>
      </c>
      <c r="B272" s="55" t="s">
        <v>470</v>
      </c>
      <c r="C272" s="56" t="s">
        <v>471</v>
      </c>
      <c r="D272" s="57" t="s">
        <v>56</v>
      </c>
      <c r="E272" s="57" t="s">
        <v>272</v>
      </c>
      <c r="F272" s="55" t="s">
        <v>273</v>
      </c>
      <c r="G272" s="55" t="s">
        <v>274</v>
      </c>
      <c r="H272" s="57" t="s">
        <v>211</v>
      </c>
      <c r="I272" s="58" t="n">
        <f aca="false">'P9-004'!$N$36</f>
        <v>46328</v>
      </c>
      <c r="J272" s="58" t="n">
        <f aca="false">'P9-004'!$O$36</f>
        <v>46328</v>
      </c>
      <c r="K272" s="56" t="str">
        <f aca="false">IF(OR(L272="Y",LEFT('P9-004'!$T$36,1)="D"),"",IF(AND(ISNUMBER(J272),J272&lt;ASOF),"⚠ เลยกำหนด",IF(AND(ISNUMBER(I272),I272&lt;=ASOF+14,J272&gt;=ASOF-7),"ช่วงนี้","")))</f>
        <v>ช่วงนี้</v>
      </c>
      <c r="L272" s="59"/>
      <c r="M272" s="60"/>
    </row>
    <row r="273" customFormat="false" ht="15" hidden="false" customHeight="false" outlineLevel="0" collapsed="false">
      <c r="A273" s="54" t="s">
        <v>54</v>
      </c>
      <c r="B273" s="55" t="s">
        <v>470</v>
      </c>
      <c r="C273" s="56" t="s">
        <v>471</v>
      </c>
      <c r="D273" s="57" t="s">
        <v>56</v>
      </c>
      <c r="E273" s="57" t="s">
        <v>275</v>
      </c>
      <c r="F273" s="55" t="s">
        <v>276</v>
      </c>
      <c r="G273" s="55" t="s">
        <v>277</v>
      </c>
      <c r="H273" s="57" t="s">
        <v>211</v>
      </c>
      <c r="I273" s="58" t="n">
        <f aca="false">'P9-004'!$N$37</f>
        <v>46328</v>
      </c>
      <c r="J273" s="58" t="n">
        <f aca="false">'P9-004'!$O$37</f>
        <v>46328</v>
      </c>
      <c r="K273" s="56" t="str">
        <f aca="false">IF(OR(L273="Y",LEFT('P9-004'!$T$37,1)="D"),"",IF(AND(ISNUMBER(J273),J273&lt;ASOF),"⚠ เลยกำหนด",IF(AND(ISNUMBER(I273),I273&lt;=ASOF+14,J273&gt;=ASOF-7),"ช่วงนี้","")))</f>
        <v>ช่วงนี้</v>
      </c>
      <c r="L273" s="59"/>
      <c r="M273" s="60"/>
    </row>
    <row r="274" customFormat="false" ht="15" hidden="false" customHeight="false" outlineLevel="0" collapsed="false">
      <c r="A274" s="54" t="s">
        <v>54</v>
      </c>
      <c r="B274" s="55" t="s">
        <v>470</v>
      </c>
      <c r="C274" s="56" t="s">
        <v>471</v>
      </c>
      <c r="D274" s="57" t="s">
        <v>56</v>
      </c>
      <c r="E274" s="57" t="s">
        <v>278</v>
      </c>
      <c r="F274" s="55" t="s">
        <v>279</v>
      </c>
      <c r="G274" s="55" t="s">
        <v>280</v>
      </c>
      <c r="H274" s="57" t="s">
        <v>211</v>
      </c>
      <c r="I274" s="58" t="n">
        <f aca="false">'P9-004'!$N$38</f>
        <v>46328</v>
      </c>
      <c r="J274" s="58" t="n">
        <f aca="false">'P9-004'!$O$38</f>
        <v>46328</v>
      </c>
      <c r="K274" s="56" t="str">
        <f aca="false">IF(OR(L274="Y",LEFT('P9-004'!$T$38,1)="D"),"",IF(AND(ISNUMBER(J274),J274&lt;ASOF),"⚠ เลยกำหนด",IF(AND(ISNUMBER(I274),I274&lt;=ASOF+14,J274&gt;=ASOF-7),"ช่วงนี้","")))</f>
        <v>ช่วงนี้</v>
      </c>
      <c r="L274" s="59"/>
      <c r="M274" s="60"/>
    </row>
    <row r="275" customFormat="false" ht="15" hidden="false" customHeight="false" outlineLevel="0" collapsed="false">
      <c r="A275" s="54" t="s">
        <v>54</v>
      </c>
      <c r="B275" s="55" t="s">
        <v>470</v>
      </c>
      <c r="C275" s="56" t="s">
        <v>471</v>
      </c>
      <c r="D275" s="57" t="s">
        <v>56</v>
      </c>
      <c r="E275" s="57" t="s">
        <v>281</v>
      </c>
      <c r="F275" s="55" t="s">
        <v>282</v>
      </c>
      <c r="G275" s="55" t="s">
        <v>283</v>
      </c>
      <c r="H275" s="57" t="s">
        <v>211</v>
      </c>
      <c r="I275" s="58" t="n">
        <f aca="false">'P9-004'!$N$40</f>
        <v>46328</v>
      </c>
      <c r="J275" s="58" t="n">
        <f aca="false">'P9-004'!$O$40</f>
        <v>46328</v>
      </c>
      <c r="K275" s="56" t="str">
        <f aca="false">IF(OR(L275="Y",LEFT('P9-004'!$T$40,1)="D"),"",IF(AND(ISNUMBER(J275),J275&lt;ASOF),"⚠ เลยกำหนด",IF(AND(ISNUMBER(I275),I275&lt;=ASOF+14,J275&gt;=ASOF-7),"ช่วงนี้","")))</f>
        <v>ช่วงนี้</v>
      </c>
      <c r="L275" s="59"/>
      <c r="M275" s="60"/>
    </row>
    <row r="276" customFormat="false" ht="15" hidden="false" customHeight="false" outlineLevel="0" collapsed="false">
      <c r="A276" s="54" t="s">
        <v>54</v>
      </c>
      <c r="B276" s="55" t="s">
        <v>470</v>
      </c>
      <c r="C276" s="56" t="s">
        <v>471</v>
      </c>
      <c r="D276" s="57" t="s">
        <v>56</v>
      </c>
      <c r="E276" s="57" t="s">
        <v>284</v>
      </c>
      <c r="F276" s="55" t="s">
        <v>285</v>
      </c>
      <c r="G276" s="61" t="s">
        <v>286</v>
      </c>
      <c r="H276" s="57" t="s">
        <v>211</v>
      </c>
      <c r="I276" s="58" t="n">
        <f aca="false">'P9-004'!$N$41</f>
        <v>46328</v>
      </c>
      <c r="J276" s="58" t="n">
        <f aca="false">'P9-004'!$O$41</f>
        <v>46328</v>
      </c>
      <c r="K276" s="56" t="str">
        <f aca="false">IF(OR(L276="Y",LEFT('P9-004'!$T$41,1)="D"),"",IF(AND(ISNUMBER(J276),J276&lt;ASOF),"⚠ เลยกำหนด",IF(AND(ISNUMBER(I276),I276&lt;=ASOF+14,J276&gt;=ASOF-7),"ช่วงนี้","")))</f>
        <v>ช่วงนี้</v>
      </c>
      <c r="L276" s="59"/>
      <c r="M276" s="60"/>
    </row>
    <row r="277" customFormat="false" ht="15" hidden="false" customHeight="false" outlineLevel="0" collapsed="false">
      <c r="A277" s="54" t="s">
        <v>54</v>
      </c>
      <c r="B277" s="55" t="s">
        <v>470</v>
      </c>
      <c r="C277" s="56" t="s">
        <v>471</v>
      </c>
      <c r="D277" s="57" t="s">
        <v>56</v>
      </c>
      <c r="E277" s="57" t="s">
        <v>287</v>
      </c>
      <c r="F277" s="55" t="s">
        <v>288</v>
      </c>
      <c r="G277" s="61" t="s">
        <v>289</v>
      </c>
      <c r="H277" s="57" t="s">
        <v>211</v>
      </c>
      <c r="I277" s="58" t="n">
        <f aca="false">'P9-004'!$N$42</f>
        <v>46328</v>
      </c>
      <c r="J277" s="58" t="n">
        <f aca="false">'P9-004'!$O$42</f>
        <v>46328</v>
      </c>
      <c r="K277" s="56" t="str">
        <f aca="false">IF(OR(L277="Y",LEFT('P9-004'!$T$42,1)="D"),"",IF(AND(ISNUMBER(J277),J277&lt;ASOF),"⚠ เลยกำหนด",IF(AND(ISNUMBER(I277),I277&lt;=ASOF+14,J277&gt;=ASOF-7),"ช่วงนี้","")))</f>
        <v>ช่วงนี้</v>
      </c>
      <c r="L277" s="59"/>
      <c r="M277" s="60"/>
    </row>
    <row r="278" customFormat="false" ht="15" hidden="false" customHeight="false" outlineLevel="0" collapsed="false">
      <c r="A278" s="54" t="s">
        <v>54</v>
      </c>
      <c r="B278" s="55" t="s">
        <v>470</v>
      </c>
      <c r="C278" s="56" t="s">
        <v>471</v>
      </c>
      <c r="D278" s="57" t="s">
        <v>56</v>
      </c>
      <c r="E278" s="57" t="s">
        <v>290</v>
      </c>
      <c r="F278" s="55" t="s">
        <v>291</v>
      </c>
      <c r="G278" s="55" t="s">
        <v>292</v>
      </c>
      <c r="H278" s="57" t="s">
        <v>211</v>
      </c>
      <c r="I278" s="58" t="n">
        <f aca="false">'P9-004'!$N$44</f>
        <v>46328</v>
      </c>
      <c r="J278" s="58" t="n">
        <f aca="false">'P9-004'!$O$44</f>
        <v>46328</v>
      </c>
      <c r="K278" s="56" t="str">
        <f aca="false">IF(OR(L278="Y",LEFT('P9-004'!$T$44,1)="D"),"",IF(AND(ISNUMBER(J278),J278&lt;ASOF),"⚠ เลยกำหนด",IF(AND(ISNUMBER(I278),I278&lt;=ASOF+14,J278&gt;=ASOF-7),"ช่วงนี้","")))</f>
        <v>ช่วงนี้</v>
      </c>
      <c r="L278" s="59"/>
      <c r="M278" s="60"/>
    </row>
    <row r="279" customFormat="false" ht="15" hidden="false" customHeight="false" outlineLevel="0" collapsed="false">
      <c r="A279" s="54" t="s">
        <v>54</v>
      </c>
      <c r="B279" s="55" t="s">
        <v>470</v>
      </c>
      <c r="C279" s="56" t="s">
        <v>471</v>
      </c>
      <c r="D279" s="57" t="s">
        <v>56</v>
      </c>
      <c r="E279" s="57" t="s">
        <v>293</v>
      </c>
      <c r="F279" s="55" t="s">
        <v>294</v>
      </c>
      <c r="G279" s="55" t="s">
        <v>295</v>
      </c>
      <c r="H279" s="57" t="s">
        <v>211</v>
      </c>
      <c r="I279" s="58" t="n">
        <f aca="false">'P9-004'!$N$45</f>
        <v>46328</v>
      </c>
      <c r="J279" s="58" t="n">
        <f aca="false">'P9-004'!$O$45</f>
        <v>46328</v>
      </c>
      <c r="K279" s="56" t="str">
        <f aca="false">IF(OR(L279="Y",LEFT('P9-004'!$T$45,1)="D"),"",IF(AND(ISNUMBER(J279),J279&lt;ASOF),"⚠ เลยกำหนด",IF(AND(ISNUMBER(I279),I279&lt;=ASOF+14,J279&gt;=ASOF-7),"ช่วงนี้","")))</f>
        <v>ช่วงนี้</v>
      </c>
      <c r="L279" s="59"/>
      <c r="M279" s="60"/>
    </row>
    <row r="280" customFormat="false" ht="15" hidden="false" customHeight="false" outlineLevel="0" collapsed="false">
      <c r="A280" s="54" t="s">
        <v>54</v>
      </c>
      <c r="B280" s="55" t="s">
        <v>470</v>
      </c>
      <c r="C280" s="56" t="s">
        <v>471</v>
      </c>
      <c r="D280" s="57" t="s">
        <v>56</v>
      </c>
      <c r="E280" s="57" t="s">
        <v>296</v>
      </c>
      <c r="F280" s="55" t="s">
        <v>297</v>
      </c>
      <c r="G280" s="55" t="s">
        <v>298</v>
      </c>
      <c r="H280" s="57" t="s">
        <v>211</v>
      </c>
      <c r="I280" s="58" t="n">
        <f aca="false">'P9-004'!$N$46</f>
        <v>46328</v>
      </c>
      <c r="J280" s="58" t="n">
        <f aca="false">'P9-004'!$O$46</f>
        <v>46328</v>
      </c>
      <c r="K280" s="56" t="str">
        <f aca="false">IF(OR(L280="Y",LEFT('P9-004'!$T$46,1)="D"),"",IF(AND(ISNUMBER(J280),J280&lt;ASOF),"⚠ เลยกำหนด",IF(AND(ISNUMBER(I280),I280&lt;=ASOF+14,J280&gt;=ASOF-7),"ช่วงนี้","")))</f>
        <v>ช่วงนี้</v>
      </c>
      <c r="L280" s="59"/>
      <c r="M280" s="60"/>
    </row>
    <row r="281" customFormat="false" ht="15" hidden="false" customHeight="false" outlineLevel="0" collapsed="false">
      <c r="A281" s="54" t="s">
        <v>54</v>
      </c>
      <c r="B281" s="55" t="s">
        <v>470</v>
      </c>
      <c r="C281" s="56" t="s">
        <v>471</v>
      </c>
      <c r="D281" s="57" t="s">
        <v>56</v>
      </c>
      <c r="E281" s="57" t="s">
        <v>456</v>
      </c>
      <c r="F281" s="61" t="s">
        <v>457</v>
      </c>
      <c r="G281" s="61" t="s">
        <v>458</v>
      </c>
      <c r="H281" s="57" t="s">
        <v>211</v>
      </c>
      <c r="I281" s="58" t="n">
        <f aca="false">'P9-004'!$N$48</f>
        <v>46356</v>
      </c>
      <c r="J281" s="58" t="n">
        <f aca="false">'P9-004'!$O$48</f>
        <v>46356</v>
      </c>
      <c r="K281" s="56" t="str">
        <f aca="false">IF(OR(L281="Y",LEFT('P9-004'!$T$48,1)="D"),"",IF(AND(ISNUMBER(J281),J281&lt;ASOF),"⚠ เลยกำหนด",IF(AND(ISNUMBER(I281),I281&lt;=ASOF+14,J281&gt;=ASOF-7),"ช่วงนี้","")))</f>
        <v/>
      </c>
      <c r="L281" s="59"/>
      <c r="M281" s="60"/>
    </row>
    <row r="282" customFormat="false" ht="15" hidden="false" customHeight="false" outlineLevel="0" collapsed="false">
      <c r="A282" s="54" t="s">
        <v>54</v>
      </c>
      <c r="B282" s="55" t="s">
        <v>470</v>
      </c>
      <c r="C282" s="56" t="s">
        <v>471</v>
      </c>
      <c r="D282" s="57" t="s">
        <v>56</v>
      </c>
      <c r="E282" s="57" t="s">
        <v>459</v>
      </c>
      <c r="F282" s="55" t="s">
        <v>460</v>
      </c>
      <c r="G282" s="55" t="s">
        <v>461</v>
      </c>
      <c r="H282" s="57" t="s">
        <v>211</v>
      </c>
      <c r="I282" s="58" t="n">
        <f aca="false">'P9-004'!$N$49</f>
        <v>46356</v>
      </c>
      <c r="J282" s="58" t="n">
        <f aca="false">'P9-004'!$O$49</f>
        <v>46356</v>
      </c>
      <c r="K282" s="56" t="str">
        <f aca="false">IF(OR(L282="Y",LEFT('P9-004'!$T$49,1)="D"),"",IF(AND(ISNUMBER(J282),J282&lt;ASOF),"⚠ เลยกำหนด",IF(AND(ISNUMBER(I282),I282&lt;=ASOF+14,J282&gt;=ASOF-7),"ช่วงนี้","")))</f>
        <v/>
      </c>
      <c r="L282" s="59"/>
      <c r="M282" s="60"/>
    </row>
    <row r="283" customFormat="false" ht="15" hidden="false" customHeight="false" outlineLevel="0" collapsed="false">
      <c r="A283" s="54" t="s">
        <v>54</v>
      </c>
      <c r="B283" s="55" t="s">
        <v>470</v>
      </c>
      <c r="C283" s="56" t="s">
        <v>471</v>
      </c>
      <c r="D283" s="57" t="s">
        <v>56</v>
      </c>
      <c r="E283" s="57" t="s">
        <v>462</v>
      </c>
      <c r="F283" s="55" t="s">
        <v>463</v>
      </c>
      <c r="G283" s="55" t="s">
        <v>464</v>
      </c>
      <c r="H283" s="57" t="s">
        <v>211</v>
      </c>
      <c r="I283" s="58" t="n">
        <f aca="false">'P9-004'!$N$51</f>
        <v>46356</v>
      </c>
      <c r="J283" s="58" t="n">
        <f aca="false">'P9-004'!$O$51</f>
        <v>46356</v>
      </c>
      <c r="K283" s="56" t="str">
        <f aca="false">IF(OR(L283="Y",LEFT('P9-004'!$T$51,1)="D"),"",IF(AND(ISNUMBER(J283),J283&lt;ASOF),"⚠ เลยกำหนด",IF(AND(ISNUMBER(I283),I283&lt;=ASOF+14,J283&gt;=ASOF-7),"ช่วงนี้","")))</f>
        <v/>
      </c>
      <c r="L283" s="59"/>
      <c r="M283" s="60"/>
    </row>
    <row r="284" customFormat="false" ht="15" hidden="false" customHeight="false" outlineLevel="0" collapsed="false">
      <c r="A284" s="54" t="s">
        <v>54</v>
      </c>
      <c r="B284" s="55" t="s">
        <v>470</v>
      </c>
      <c r="C284" s="56" t="s">
        <v>471</v>
      </c>
      <c r="D284" s="57" t="s">
        <v>56</v>
      </c>
      <c r="E284" s="57" t="s">
        <v>299</v>
      </c>
      <c r="F284" s="55" t="s">
        <v>300</v>
      </c>
      <c r="G284" s="55" t="s">
        <v>301</v>
      </c>
      <c r="H284" s="57" t="s">
        <v>211</v>
      </c>
      <c r="I284" s="58" t="str">
        <f aca="false">'P9-004'!$N$53</f>
        <v/>
      </c>
      <c r="J284" s="58" t="str">
        <f aca="false">'P9-004'!$O$53</f>
        <v/>
      </c>
      <c r="K284" s="56" t="str">
        <f aca="false">IF(OR(L284="Y",LEFT('P9-004'!$T$53,1)="D"),"",IF(AND(ISNUMBER(J284),J284&lt;ASOF),"⚠ เลยกำหนด",IF(AND(ISNUMBER(I284),I284&lt;=ASOF+14,J284&gt;=ASOF-7),"ช่วงนี้","")))</f>
        <v/>
      </c>
      <c r="L284" s="59"/>
      <c r="M284" s="60"/>
    </row>
    <row r="285" customFormat="false" ht="15" hidden="false" customHeight="false" outlineLevel="0" collapsed="false">
      <c r="A285" s="54" t="s">
        <v>54</v>
      </c>
      <c r="B285" s="55" t="s">
        <v>470</v>
      </c>
      <c r="C285" s="56" t="s">
        <v>471</v>
      </c>
      <c r="D285" s="57" t="s">
        <v>56</v>
      </c>
      <c r="E285" s="57" t="s">
        <v>302</v>
      </c>
      <c r="F285" s="55" t="s">
        <v>303</v>
      </c>
      <c r="G285" s="55" t="s">
        <v>304</v>
      </c>
      <c r="H285" s="57" t="s">
        <v>211</v>
      </c>
      <c r="I285" s="58" t="str">
        <f aca="false">'P9-004'!$N$54</f>
        <v/>
      </c>
      <c r="J285" s="58" t="str">
        <f aca="false">'P9-004'!$O$54</f>
        <v/>
      </c>
      <c r="K285" s="56" t="str">
        <f aca="false">IF(OR(L285="Y",LEFT('P9-004'!$T$54,1)="D"),"",IF(AND(ISNUMBER(J285),J285&lt;ASOF),"⚠ เลยกำหนด",IF(AND(ISNUMBER(I285),I285&lt;=ASOF+14,J285&gt;=ASOF-7),"ช่วงนี้","")))</f>
        <v/>
      </c>
      <c r="L285" s="59"/>
      <c r="M285" s="60"/>
    </row>
    <row r="286" customFormat="false" ht="15" hidden="false" customHeight="false" outlineLevel="0" collapsed="false">
      <c r="A286" s="54" t="s">
        <v>54</v>
      </c>
      <c r="B286" s="55" t="s">
        <v>470</v>
      </c>
      <c r="C286" s="56" t="s">
        <v>471</v>
      </c>
      <c r="D286" s="57" t="s">
        <v>56</v>
      </c>
      <c r="E286" s="57" t="s">
        <v>305</v>
      </c>
      <c r="F286" s="55" t="s">
        <v>306</v>
      </c>
      <c r="G286" s="55" t="s">
        <v>307</v>
      </c>
      <c r="H286" s="56" t="str">
        <f aca="false">IF(COUNTIFS(SITE_ST,"P9-004",SITE_TYPE,"?*")&gt;0,"ตามจุดติดตั้ง →","0/100")</f>
        <v>ตามจุดติดตั้ง →</v>
      </c>
      <c r="I286" s="58" t="n">
        <f aca="false">'P9-004'!$N$63</f>
        <v>46328</v>
      </c>
      <c r="J286" s="58" t="n">
        <f aca="false">'P9-004'!$O$63</f>
        <v>46329</v>
      </c>
      <c r="K286" s="56" t="str">
        <f aca="false">IF(OR(L286="Y",LEFT('P9-004'!$T$63,1)="D"),"",IF(AND(ISNUMBER(J286),J286&lt;ASOF),"⚠ เลยกำหนด",IF(AND(ISNUMBER(I286),I286&lt;=ASOF+14,J286&gt;=ASOF-7),"ช่วงนี้","")))</f>
        <v>ช่วงนี้</v>
      </c>
      <c r="L286" s="59"/>
      <c r="M286" s="60"/>
    </row>
    <row r="287" customFormat="false" ht="15" hidden="false" customHeight="false" outlineLevel="0" collapsed="false">
      <c r="A287" s="54" t="s">
        <v>54</v>
      </c>
      <c r="B287" s="55" t="s">
        <v>470</v>
      </c>
      <c r="C287" s="56" t="s">
        <v>471</v>
      </c>
      <c r="D287" s="57" t="s">
        <v>56</v>
      </c>
      <c r="E287" s="57" t="s">
        <v>308</v>
      </c>
      <c r="F287" s="55" t="s">
        <v>309</v>
      </c>
      <c r="G287" s="55" t="s">
        <v>310</v>
      </c>
      <c r="H287" s="57" t="s">
        <v>211</v>
      </c>
      <c r="I287" s="58" t="n">
        <f aca="false">'P9-004'!$N$64</f>
        <v>46328</v>
      </c>
      <c r="J287" s="58" t="n">
        <f aca="false">'P9-004'!$O$64</f>
        <v>46330</v>
      </c>
      <c r="K287" s="56" t="str">
        <f aca="false">IF(OR(L287="Y",LEFT('P9-004'!$T$64,1)="D"),"",IF(AND(ISNUMBER(J287),J287&lt;ASOF),"⚠ เลยกำหนด",IF(AND(ISNUMBER(I287),I287&lt;=ASOF+14,J287&gt;=ASOF-7),"ช่วงนี้","")))</f>
        <v>ช่วงนี้</v>
      </c>
      <c r="L287" s="59"/>
      <c r="M287" s="60"/>
    </row>
    <row r="288" customFormat="false" ht="15" hidden="false" customHeight="false" outlineLevel="0" collapsed="false">
      <c r="A288" s="54" t="s">
        <v>54</v>
      </c>
      <c r="B288" s="55" t="s">
        <v>470</v>
      </c>
      <c r="C288" s="56" t="s">
        <v>471</v>
      </c>
      <c r="D288" s="57" t="s">
        <v>56</v>
      </c>
      <c r="E288" s="57" t="s">
        <v>311</v>
      </c>
      <c r="F288" s="55" t="s">
        <v>312</v>
      </c>
      <c r="G288" s="55" t="s">
        <v>313</v>
      </c>
      <c r="H288" s="56" t="str">
        <f aca="false">IF(COUNTIFS(SITE_ST,"P9-004",SITE_TYPE,"?*")&gt;0,"ตามจุดติดตั้ง →","50/50")</f>
        <v>ตามจุดติดตั้ง →</v>
      </c>
      <c r="I288" s="58" t="n">
        <f aca="false">'P9-004'!$N$65</f>
        <v>46329</v>
      </c>
      <c r="J288" s="58" t="n">
        <f aca="false">'P9-004'!$O$65</f>
        <v>46332</v>
      </c>
      <c r="K288" s="56" t="str">
        <f aca="false">IF(OR(L288="Y",LEFT('P9-004'!$T$65,1)="D"),"",IF(AND(ISNUMBER(J288),J288&lt;ASOF),"⚠ เลยกำหนด",IF(AND(ISNUMBER(I288),I288&lt;=ASOF+14,J288&gt;=ASOF-7),"ช่วงนี้","")))</f>
        <v>ช่วงนี้</v>
      </c>
      <c r="L288" s="59"/>
      <c r="M288" s="60"/>
    </row>
    <row r="289" customFormat="false" ht="15" hidden="false" customHeight="false" outlineLevel="0" collapsed="false">
      <c r="A289" s="54" t="s">
        <v>54</v>
      </c>
      <c r="B289" s="55" t="s">
        <v>470</v>
      </c>
      <c r="C289" s="56" t="s">
        <v>471</v>
      </c>
      <c r="D289" s="57" t="s">
        <v>56</v>
      </c>
      <c r="E289" s="57" t="s">
        <v>314</v>
      </c>
      <c r="F289" s="55" t="s">
        <v>315</v>
      </c>
      <c r="G289" s="61" t="s">
        <v>316</v>
      </c>
      <c r="H289" s="56" t="str">
        <f aca="false">IF(COUNTIFS(SITE_ST,"P9-004",SITE_TYPE,"?*")&gt;0,"ตามจุดติดตั้ง →","50/50")</f>
        <v>ตามจุดติดตั้ง →</v>
      </c>
      <c r="I289" s="58" t="n">
        <f aca="false">'P9-004'!$N$66</f>
        <v>46331</v>
      </c>
      <c r="J289" s="58" t="n">
        <f aca="false">'P9-004'!$O$66</f>
        <v>46335</v>
      </c>
      <c r="K289" s="56" t="str">
        <f aca="false">IF(OR(L289="Y",LEFT('P9-004'!$T$66,1)="D"),"",IF(AND(ISNUMBER(J289),J289&lt;ASOF),"⚠ เลยกำหนด",IF(AND(ISNUMBER(I289),I289&lt;=ASOF+14,J289&gt;=ASOF-7),"ช่วงนี้","")))</f>
        <v>ช่วงนี้</v>
      </c>
      <c r="L289" s="59"/>
      <c r="M289" s="60"/>
    </row>
    <row r="290" customFormat="false" ht="15" hidden="false" customHeight="false" outlineLevel="0" collapsed="false">
      <c r="A290" s="54" t="s">
        <v>54</v>
      </c>
      <c r="B290" s="55" t="s">
        <v>470</v>
      </c>
      <c r="C290" s="56" t="s">
        <v>471</v>
      </c>
      <c r="D290" s="57" t="s">
        <v>56</v>
      </c>
      <c r="E290" s="57" t="s">
        <v>317</v>
      </c>
      <c r="F290" s="61" t="s">
        <v>318</v>
      </c>
      <c r="G290" s="61" t="s">
        <v>319</v>
      </c>
      <c r="H290" s="56" t="str">
        <f aca="false">IF(COUNTIFS(SITE_ST,"P9-004",SITE_TYPE,"?*")&gt;0,"ตามจุดติดตั้ง →","50/50")</f>
        <v>ตามจุดติดตั้ง →</v>
      </c>
      <c r="I290" s="58" t="n">
        <f aca="false">'P9-004'!$N$67</f>
        <v>46333</v>
      </c>
      <c r="J290" s="58" t="n">
        <f aca="false">'P9-004'!$O$67</f>
        <v>46336</v>
      </c>
      <c r="K290" s="56" t="str">
        <f aca="false">IF(OR(L290="Y",LEFT('P9-004'!$T$67,1)="D"),"",IF(AND(ISNUMBER(J290),J290&lt;ASOF),"⚠ เลยกำหนด",IF(AND(ISNUMBER(I290),I290&lt;=ASOF+14,J290&gt;=ASOF-7),"ช่วงนี้","")))</f>
        <v>ช่วงนี้</v>
      </c>
      <c r="L290" s="59"/>
      <c r="M290" s="60"/>
    </row>
    <row r="291" customFormat="false" ht="15" hidden="false" customHeight="false" outlineLevel="0" collapsed="false">
      <c r="A291" s="54" t="s">
        <v>54</v>
      </c>
      <c r="B291" s="55" t="s">
        <v>470</v>
      </c>
      <c r="C291" s="56" t="s">
        <v>471</v>
      </c>
      <c r="D291" s="57" t="s">
        <v>56</v>
      </c>
      <c r="E291" s="57" t="s">
        <v>320</v>
      </c>
      <c r="F291" s="55" t="s">
        <v>321</v>
      </c>
      <c r="G291" s="55" t="s">
        <v>322</v>
      </c>
      <c r="H291" s="56" t="str">
        <f aca="false">IF(COUNTIFS(SITE_ST,"P9-004",SITE_TYPE,"?*")&gt;0,"ตามจุดติดตั้ง →","0/100")</f>
        <v>ตามจุดติดตั้ง →</v>
      </c>
      <c r="I291" s="58" t="n">
        <f aca="false">'P9-004'!$N$68</f>
        <v>46334</v>
      </c>
      <c r="J291" s="58" t="n">
        <f aca="false">'P9-004'!$O$68</f>
        <v>46336</v>
      </c>
      <c r="K291" s="56" t="str">
        <f aca="false">IF(OR(L291="Y",LEFT('P9-004'!$T$68,1)="D"),"",IF(AND(ISNUMBER(J291),J291&lt;ASOF),"⚠ เลยกำหนด",IF(AND(ISNUMBER(I291),I291&lt;=ASOF+14,J291&gt;=ASOF-7),"ช่วงนี้","")))</f>
        <v>ช่วงนี้</v>
      </c>
      <c r="L291" s="59"/>
      <c r="M291" s="60"/>
    </row>
    <row r="292" customFormat="false" ht="15" hidden="false" customHeight="false" outlineLevel="0" collapsed="false">
      <c r="A292" s="54" t="s">
        <v>54</v>
      </c>
      <c r="B292" s="55" t="s">
        <v>470</v>
      </c>
      <c r="C292" s="56" t="s">
        <v>471</v>
      </c>
      <c r="D292" s="57" t="s">
        <v>56</v>
      </c>
      <c r="E292" s="57" t="s">
        <v>323</v>
      </c>
      <c r="F292" s="61" t="s">
        <v>324</v>
      </c>
      <c r="G292" s="55" t="s">
        <v>325</v>
      </c>
      <c r="H292" s="56" t="str">
        <f aca="false">IF(COUNTIFS(SITE_ST,"P9-004",SITE_TYPE,"?*")&gt;0,"ตามจุดติดตั้ง →","0/100")</f>
        <v>ตามจุดติดตั้ง →</v>
      </c>
      <c r="I292" s="58" t="n">
        <f aca="false">'P9-004'!$N$69</f>
        <v>46336</v>
      </c>
      <c r="J292" s="58" t="n">
        <f aca="false">'P9-004'!$O$69</f>
        <v>46336</v>
      </c>
      <c r="K292" s="56" t="str">
        <f aca="false">IF(OR(L292="Y",LEFT('P9-004'!$T$69,1)="D"),"",IF(AND(ISNUMBER(J292),J292&lt;ASOF),"⚠ เลยกำหนด",IF(AND(ISNUMBER(I292),I292&lt;=ASOF+14,J292&gt;=ASOF-7),"ช่วงนี้","")))</f>
        <v>ช่วงนี้</v>
      </c>
      <c r="L292" s="59"/>
      <c r="M292" s="60"/>
    </row>
    <row r="293" customFormat="false" ht="15" hidden="false" customHeight="false" outlineLevel="0" collapsed="false">
      <c r="A293" s="54" t="s">
        <v>54</v>
      </c>
      <c r="B293" s="55" t="s">
        <v>470</v>
      </c>
      <c r="C293" s="56" t="s">
        <v>471</v>
      </c>
      <c r="D293" s="57" t="s">
        <v>56</v>
      </c>
      <c r="E293" s="57" t="s">
        <v>326</v>
      </c>
      <c r="F293" s="55" t="s">
        <v>327</v>
      </c>
      <c r="G293" s="61" t="s">
        <v>328</v>
      </c>
      <c r="H293" s="56" t="str">
        <f aca="false">IF(COUNTIFS(SITE_ST,"P9-004",SITE_TYPE,"?*")&gt;0,"ตามจุดติดตั้ง →","50/50")</f>
        <v>ตามจุดติดตั้ง →</v>
      </c>
      <c r="I293" s="58" t="n">
        <f aca="false">'P9-004'!$N$71</f>
        <v>46343</v>
      </c>
      <c r="J293" s="58" t="n">
        <f aca="false">'P9-004'!$O$71</f>
        <v>46344</v>
      </c>
      <c r="K293" s="56" t="str">
        <f aca="false">IF(OR(L293="Y",LEFT('P9-004'!$T$71,1)="D"),"",IF(AND(ISNUMBER(J293),J293&lt;ASOF),"⚠ เลยกำหนด",IF(AND(ISNUMBER(I293),I293&lt;=ASOF+14,J293&gt;=ASOF-7),"ช่วงนี้","")))</f>
        <v/>
      </c>
      <c r="L293" s="59"/>
      <c r="M293" s="60"/>
    </row>
    <row r="294" customFormat="false" ht="15" hidden="false" customHeight="false" outlineLevel="0" collapsed="false">
      <c r="A294" s="54" t="s">
        <v>54</v>
      </c>
      <c r="B294" s="55" t="s">
        <v>470</v>
      </c>
      <c r="C294" s="56" t="s">
        <v>471</v>
      </c>
      <c r="D294" s="57" t="s">
        <v>56</v>
      </c>
      <c r="E294" s="57" t="s">
        <v>329</v>
      </c>
      <c r="F294" s="55" t="s">
        <v>330</v>
      </c>
      <c r="G294" s="55" t="s">
        <v>331</v>
      </c>
      <c r="H294" s="56" t="str">
        <f aca="false">IF(COUNTIFS(SITE_ST,"P9-004",SITE_TYPE,"?*")&gt;0,"ตามจุดติดตั้ง →","50/50")</f>
        <v>ตามจุดติดตั้ง →</v>
      </c>
      <c r="I294" s="58" t="n">
        <f aca="false">'P9-004'!$N$72</f>
        <v>46344</v>
      </c>
      <c r="J294" s="58" t="n">
        <f aca="false">'P9-004'!$O$72</f>
        <v>46345</v>
      </c>
      <c r="K294" s="56" t="str">
        <f aca="false">IF(OR(L294="Y",LEFT('P9-004'!$T$72,1)="D"),"",IF(AND(ISNUMBER(J294),J294&lt;ASOF),"⚠ เลยกำหนด",IF(AND(ISNUMBER(I294),I294&lt;=ASOF+14,J294&gt;=ASOF-7),"ช่วงนี้","")))</f>
        <v/>
      </c>
      <c r="L294" s="59"/>
      <c r="M294" s="60"/>
    </row>
    <row r="295" customFormat="false" ht="15" hidden="false" customHeight="false" outlineLevel="0" collapsed="false">
      <c r="A295" s="54" t="s">
        <v>54</v>
      </c>
      <c r="B295" s="55" t="s">
        <v>470</v>
      </c>
      <c r="C295" s="56" t="s">
        <v>471</v>
      </c>
      <c r="D295" s="57" t="s">
        <v>56</v>
      </c>
      <c r="E295" s="57" t="s">
        <v>332</v>
      </c>
      <c r="F295" s="55" t="s">
        <v>333</v>
      </c>
      <c r="G295" s="55" t="s">
        <v>334</v>
      </c>
      <c r="H295" s="56" t="str">
        <f aca="false">IF(COUNTIFS(SITE_ST,"P9-004",SITE_TYPE,"?*")&gt;0,"ตามจุดติดตั้ง →","0/100")</f>
        <v>ตามจุดติดตั้ง →</v>
      </c>
      <c r="I295" s="58" t="n">
        <f aca="false">'P9-004'!$N$73</f>
        <v>46344</v>
      </c>
      <c r="J295" s="58" t="n">
        <f aca="false">'P9-004'!$O$73</f>
        <v>46345</v>
      </c>
      <c r="K295" s="56" t="str">
        <f aca="false">IF(OR(L295="Y",LEFT('P9-004'!$T$73,1)="D"),"",IF(AND(ISNUMBER(J295),J295&lt;ASOF),"⚠ เลยกำหนด",IF(AND(ISNUMBER(I295),I295&lt;=ASOF+14,J295&gt;=ASOF-7),"ช่วงนี้","")))</f>
        <v/>
      </c>
      <c r="L295" s="59"/>
      <c r="M295" s="60"/>
    </row>
    <row r="296" customFormat="false" ht="15" hidden="false" customHeight="false" outlineLevel="0" collapsed="false">
      <c r="A296" s="54" t="s">
        <v>54</v>
      </c>
      <c r="B296" s="55" t="s">
        <v>470</v>
      </c>
      <c r="C296" s="56" t="s">
        <v>471</v>
      </c>
      <c r="D296" s="57" t="s">
        <v>56</v>
      </c>
      <c r="E296" s="57" t="s">
        <v>335</v>
      </c>
      <c r="F296" s="55" t="s">
        <v>336</v>
      </c>
      <c r="G296" s="61" t="s">
        <v>337</v>
      </c>
      <c r="H296" s="56" t="str">
        <f aca="false">IF(COUNTIFS(SITE_ST,"P9-004",SITE_TYPE,"?*")&gt;0,"ตามจุดติดตั้ง →","0/100")</f>
        <v>ตามจุดติดตั้ง →</v>
      </c>
      <c r="I296" s="58" t="n">
        <f aca="false">'P9-004'!$N$74</f>
        <v>46345</v>
      </c>
      <c r="J296" s="58" t="n">
        <f aca="false">'P9-004'!$O$74</f>
        <v>46346</v>
      </c>
      <c r="K296" s="56" t="str">
        <f aca="false">IF(OR(L296="Y",LEFT('P9-004'!$T$74,1)="D"),"",IF(AND(ISNUMBER(J296),J296&lt;ASOF),"⚠ เลยกำหนด",IF(AND(ISNUMBER(I296),I296&lt;=ASOF+14,J296&gt;=ASOF-7),"ช่วงนี้","")))</f>
        <v/>
      </c>
      <c r="L296" s="59"/>
      <c r="M296" s="60"/>
    </row>
    <row r="297" customFormat="false" ht="15" hidden="false" customHeight="false" outlineLevel="0" collapsed="false">
      <c r="A297" s="54" t="s">
        <v>54</v>
      </c>
      <c r="B297" s="55" t="s">
        <v>470</v>
      </c>
      <c r="C297" s="56" t="s">
        <v>471</v>
      </c>
      <c r="D297" s="57" t="s">
        <v>56</v>
      </c>
      <c r="E297" s="57" t="s">
        <v>338</v>
      </c>
      <c r="F297" s="61" t="s">
        <v>339</v>
      </c>
      <c r="G297" s="55" t="s">
        <v>340</v>
      </c>
      <c r="H297" s="56" t="str">
        <f aca="false">IF(COUNTIFS(SITE_ST,"P9-004",SITE_TYPE,"?*")&gt;0,"ตามจุดติดตั้ง →","0/100")</f>
        <v>ตามจุดติดตั้ง →</v>
      </c>
      <c r="I297" s="58" t="n">
        <f aca="false">'P9-004'!$N$75</f>
        <v>46345</v>
      </c>
      <c r="J297" s="58" t="n">
        <f aca="false">'P9-004'!$O$75</f>
        <v>46346</v>
      </c>
      <c r="K297" s="56" t="str">
        <f aca="false">IF(OR(L297="Y",LEFT('P9-004'!$T$75,1)="D"),"",IF(AND(ISNUMBER(J297),J297&lt;ASOF),"⚠ เลยกำหนด",IF(AND(ISNUMBER(I297),I297&lt;=ASOF+14,J297&gt;=ASOF-7),"ช่วงนี้","")))</f>
        <v/>
      </c>
      <c r="L297" s="59"/>
      <c r="M297" s="60"/>
    </row>
    <row r="298" customFormat="false" ht="15" hidden="false" customHeight="false" outlineLevel="0" collapsed="false">
      <c r="A298" s="54" t="s">
        <v>54</v>
      </c>
      <c r="B298" s="55" t="s">
        <v>470</v>
      </c>
      <c r="C298" s="56" t="s">
        <v>471</v>
      </c>
      <c r="D298" s="57" t="s">
        <v>56</v>
      </c>
      <c r="E298" s="57" t="s">
        <v>341</v>
      </c>
      <c r="F298" s="55" t="s">
        <v>342</v>
      </c>
      <c r="G298" s="55" t="s">
        <v>343</v>
      </c>
      <c r="H298" s="56" t="str">
        <f aca="false">IF(COUNTIFS(SITE_ST,"P9-004",SITE_TYPE,"?*")&gt;0,"ตามจุดติดตั้ง →","0/100")</f>
        <v>ตามจุดติดตั้ง →</v>
      </c>
      <c r="I298" s="58" t="n">
        <f aca="false">'P9-004'!$N$77</f>
        <v>46337</v>
      </c>
      <c r="J298" s="58" t="n">
        <f aca="false">'P9-004'!$O$77</f>
        <v>46340</v>
      </c>
      <c r="K298" s="56" t="str">
        <f aca="false">IF(OR(L298="Y",LEFT('P9-004'!$T$77,1)="D"),"",IF(AND(ISNUMBER(J298),J298&lt;ASOF),"⚠ เลยกำหนด",IF(AND(ISNUMBER(I298),I298&lt;=ASOF+14,J298&gt;=ASOF-7),"ช่วงนี้","")))</f>
        <v>ช่วงนี้</v>
      </c>
      <c r="L298" s="59"/>
      <c r="M298" s="60"/>
    </row>
    <row r="299" customFormat="false" ht="15" hidden="false" customHeight="false" outlineLevel="0" collapsed="false">
      <c r="A299" s="54" t="s">
        <v>54</v>
      </c>
      <c r="B299" s="55" t="s">
        <v>470</v>
      </c>
      <c r="C299" s="56" t="s">
        <v>471</v>
      </c>
      <c r="D299" s="57" t="s">
        <v>56</v>
      </c>
      <c r="E299" s="57" t="s">
        <v>344</v>
      </c>
      <c r="F299" s="55" t="s">
        <v>345</v>
      </c>
      <c r="G299" s="55" t="s">
        <v>346</v>
      </c>
      <c r="H299" s="56" t="str">
        <f aca="false">IF(COUNTIFS(SITE_ST,"P9-004",SITE_TYPE,"?*")&gt;0,"ตามจุดติดตั้ง →","50/50")</f>
        <v>ตามจุดติดตั้ง →</v>
      </c>
      <c r="I299" s="58" t="n">
        <f aca="false">'P9-004'!$N$78</f>
        <v>46338</v>
      </c>
      <c r="J299" s="58" t="n">
        <f aca="false">'P9-004'!$O$78</f>
        <v>46346</v>
      </c>
      <c r="K299" s="56" t="str">
        <f aca="false">IF(OR(L299="Y",LEFT('P9-004'!$T$78,1)="D"),"",IF(AND(ISNUMBER(J299),J299&lt;ASOF),"⚠ เลยกำหนด",IF(AND(ISNUMBER(I299),I299&lt;=ASOF+14,J299&gt;=ASOF-7),"ช่วงนี้","")))</f>
        <v>ช่วงนี้</v>
      </c>
      <c r="L299" s="59"/>
      <c r="M299" s="60"/>
    </row>
    <row r="300" customFormat="false" ht="15" hidden="false" customHeight="false" outlineLevel="0" collapsed="false">
      <c r="A300" s="54" t="s">
        <v>54</v>
      </c>
      <c r="B300" s="55" t="s">
        <v>470</v>
      </c>
      <c r="C300" s="56" t="s">
        <v>471</v>
      </c>
      <c r="D300" s="57" t="s">
        <v>56</v>
      </c>
      <c r="E300" s="57" t="s">
        <v>347</v>
      </c>
      <c r="F300" s="61" t="s">
        <v>348</v>
      </c>
      <c r="G300" s="55" t="s">
        <v>349</v>
      </c>
      <c r="H300" s="56" t="str">
        <f aca="false">IF(COUNTIFS(SITE_ST,"P9-004",SITE_TYPE,"?*")&gt;0,"ตามจุดติดตั้ง →","50/50")</f>
        <v>ตามจุดติดตั้ง →</v>
      </c>
      <c r="I300" s="58" t="n">
        <f aca="false">'P9-004'!$N$79</f>
        <v>46341</v>
      </c>
      <c r="J300" s="58" t="n">
        <f aca="false">'P9-004'!$O$79</f>
        <v>46347</v>
      </c>
      <c r="K300" s="56" t="str">
        <f aca="false">IF(OR(L300="Y",LEFT('P9-004'!$T$79,1)="D"),"",IF(AND(ISNUMBER(J300),J300&lt;ASOF),"⚠ เลยกำหนด",IF(AND(ISNUMBER(I300),I300&lt;=ASOF+14,J300&gt;=ASOF-7),"ช่วงนี้","")))</f>
        <v>ช่วงนี้</v>
      </c>
      <c r="L300" s="59"/>
      <c r="M300" s="60"/>
    </row>
    <row r="301" customFormat="false" ht="15" hidden="false" customHeight="false" outlineLevel="0" collapsed="false">
      <c r="A301" s="54" t="s">
        <v>54</v>
      </c>
      <c r="B301" s="55" t="s">
        <v>470</v>
      </c>
      <c r="C301" s="56" t="s">
        <v>471</v>
      </c>
      <c r="D301" s="57" t="s">
        <v>56</v>
      </c>
      <c r="E301" s="57" t="s">
        <v>350</v>
      </c>
      <c r="F301" s="61" t="s">
        <v>351</v>
      </c>
      <c r="G301" s="55" t="s">
        <v>352</v>
      </c>
      <c r="H301" s="56" t="str">
        <f aca="false">IF(COUNTIFS(SITE_ST,"P9-004",SITE_TYPE,"?*")&gt;0,"ตามจุดติดตั้ง →","0/100")</f>
        <v>ตามจุดติดตั้ง →</v>
      </c>
      <c r="I301" s="58" t="n">
        <f aca="false">'P9-004'!$N$80</f>
        <v>46345</v>
      </c>
      <c r="J301" s="58" t="n">
        <f aca="false">'P9-004'!$O$80</f>
        <v>46347</v>
      </c>
      <c r="K301" s="56" t="str">
        <f aca="false">IF(OR(L301="Y",LEFT('P9-004'!$T$80,1)="D"),"",IF(AND(ISNUMBER(J301),J301&lt;ASOF),"⚠ เลยกำหนด",IF(AND(ISNUMBER(I301),I301&lt;=ASOF+14,J301&gt;=ASOF-7),"ช่วงนี้","")))</f>
        <v/>
      </c>
      <c r="L301" s="59"/>
      <c r="M301" s="60"/>
    </row>
    <row r="302" customFormat="false" ht="15" hidden="false" customHeight="false" outlineLevel="0" collapsed="false">
      <c r="A302" s="54" t="s">
        <v>54</v>
      </c>
      <c r="B302" s="55" t="s">
        <v>470</v>
      </c>
      <c r="C302" s="56" t="s">
        <v>471</v>
      </c>
      <c r="D302" s="57" t="s">
        <v>56</v>
      </c>
      <c r="E302" s="57" t="s">
        <v>353</v>
      </c>
      <c r="F302" s="61" t="s">
        <v>354</v>
      </c>
      <c r="G302" s="55" t="s">
        <v>355</v>
      </c>
      <c r="H302" s="56" t="str">
        <f aca="false">IF(COUNTIFS(SITE_ST,"P9-004",SITE_TYPE,"?*")&gt;0,"ตามจุดติดตั้ง →","0/100")</f>
        <v>ตามจุดติดตั้ง →</v>
      </c>
      <c r="I302" s="58" t="n">
        <f aca="false">'P9-004'!$N$81</f>
        <v>46347</v>
      </c>
      <c r="J302" s="58" t="n">
        <f aca="false">'P9-004'!$O$81</f>
        <v>46347</v>
      </c>
      <c r="K302" s="56" t="str">
        <f aca="false">IF(OR(L302="Y",LEFT('P9-004'!$T$81,1)="D"),"",IF(AND(ISNUMBER(J302),J302&lt;ASOF),"⚠ เลยกำหนด",IF(AND(ISNUMBER(I302),I302&lt;=ASOF+14,J302&gt;=ASOF-7),"ช่วงนี้","")))</f>
        <v/>
      </c>
      <c r="L302" s="59"/>
      <c r="M302" s="60"/>
    </row>
    <row r="303" customFormat="false" ht="15" hidden="false" customHeight="false" outlineLevel="0" collapsed="false">
      <c r="A303" s="54" t="s">
        <v>54</v>
      </c>
      <c r="B303" s="55" t="s">
        <v>470</v>
      </c>
      <c r="C303" s="56" t="s">
        <v>471</v>
      </c>
      <c r="D303" s="57" t="s">
        <v>56</v>
      </c>
      <c r="E303" s="57" t="s">
        <v>356</v>
      </c>
      <c r="F303" s="55" t="s">
        <v>357</v>
      </c>
      <c r="G303" s="55" t="s">
        <v>358</v>
      </c>
      <c r="H303" s="57" t="s">
        <v>211</v>
      </c>
      <c r="I303" s="58" t="n">
        <f aca="false">'P9-004'!$N$83</f>
        <v>46345</v>
      </c>
      <c r="J303" s="58" t="n">
        <f aca="false">'P9-004'!$O$83</f>
        <v>46346</v>
      </c>
      <c r="K303" s="56" t="str">
        <f aca="false">IF(OR(L303="Y",LEFT('P9-004'!$T$83,1)="D"),"",IF(AND(ISNUMBER(J303),J303&lt;ASOF),"⚠ เลยกำหนด",IF(AND(ISNUMBER(I303),I303&lt;=ASOF+14,J303&gt;=ASOF-7),"ช่วงนี้","")))</f>
        <v/>
      </c>
      <c r="L303" s="59"/>
      <c r="M303" s="60"/>
    </row>
    <row r="304" customFormat="false" ht="15" hidden="false" customHeight="false" outlineLevel="0" collapsed="false">
      <c r="A304" s="54" t="s">
        <v>54</v>
      </c>
      <c r="B304" s="55" t="s">
        <v>470</v>
      </c>
      <c r="C304" s="56" t="s">
        <v>471</v>
      </c>
      <c r="D304" s="57" t="s">
        <v>56</v>
      </c>
      <c r="E304" s="57" t="s">
        <v>359</v>
      </c>
      <c r="F304" s="55" t="s">
        <v>360</v>
      </c>
      <c r="G304" s="55" t="s">
        <v>361</v>
      </c>
      <c r="H304" s="57" t="s">
        <v>211</v>
      </c>
      <c r="I304" s="58" t="n">
        <f aca="false">'P9-004'!$N$84</f>
        <v>46346</v>
      </c>
      <c r="J304" s="58" t="n">
        <f aca="false">'P9-004'!$O$84</f>
        <v>46347</v>
      </c>
      <c r="K304" s="56" t="str">
        <f aca="false">IF(OR(L304="Y",LEFT('P9-004'!$T$84,1)="D"),"",IF(AND(ISNUMBER(J304),J304&lt;ASOF),"⚠ เลยกำหนด",IF(AND(ISNUMBER(I304),I304&lt;=ASOF+14,J304&gt;=ASOF-7),"ช่วงนี้","")))</f>
        <v/>
      </c>
      <c r="L304" s="59"/>
      <c r="M304" s="60"/>
    </row>
    <row r="305" customFormat="false" ht="15" hidden="false" customHeight="false" outlineLevel="0" collapsed="false">
      <c r="A305" s="54" t="s">
        <v>54</v>
      </c>
      <c r="B305" s="55" t="s">
        <v>470</v>
      </c>
      <c r="C305" s="56" t="s">
        <v>471</v>
      </c>
      <c r="D305" s="57" t="s">
        <v>56</v>
      </c>
      <c r="E305" s="57" t="s">
        <v>362</v>
      </c>
      <c r="F305" s="61" t="s">
        <v>363</v>
      </c>
      <c r="G305" s="61" t="s">
        <v>364</v>
      </c>
      <c r="H305" s="56" t="s">
        <v>365</v>
      </c>
      <c r="I305" s="58" t="n">
        <f aca="false">'P9-004'!$N$86</f>
        <v>46343</v>
      </c>
      <c r="J305" s="58" t="n">
        <f aca="false">'P9-004'!$O$86</f>
        <v>46345</v>
      </c>
      <c r="K305" s="56" t="str">
        <f aca="false">IF(OR(L305="Y",LEFT('P9-004'!$T$86,1)="D"),"",IF(AND(ISNUMBER(J305),J305&lt;ASOF),"⚠ เลยกำหนด",IF(AND(ISNUMBER(I305),I305&lt;=ASOF+14,J305&gt;=ASOF-7),"ช่วงนี้","")))</f>
        <v/>
      </c>
      <c r="L305" s="59"/>
      <c r="M305" s="60"/>
    </row>
    <row r="306" customFormat="false" ht="15" hidden="false" customHeight="false" outlineLevel="0" collapsed="false">
      <c r="A306" s="54" t="s">
        <v>54</v>
      </c>
      <c r="B306" s="55" t="s">
        <v>470</v>
      </c>
      <c r="C306" s="56" t="s">
        <v>471</v>
      </c>
      <c r="D306" s="57" t="s">
        <v>56</v>
      </c>
      <c r="E306" s="57" t="s">
        <v>366</v>
      </c>
      <c r="F306" s="61" t="s">
        <v>367</v>
      </c>
      <c r="G306" s="61" t="s">
        <v>368</v>
      </c>
      <c r="H306" s="57" t="s">
        <v>369</v>
      </c>
      <c r="I306" s="58" t="n">
        <f aca="false">'P9-004'!$N$87</f>
        <v>46344</v>
      </c>
      <c r="J306" s="58" t="n">
        <f aca="false">'P9-004'!$O$87</f>
        <v>46346</v>
      </c>
      <c r="K306" s="56" t="str">
        <f aca="false">IF(OR(L306="Y",LEFT('P9-004'!$T$87,1)="D"),"",IF(AND(ISNUMBER(J306),J306&lt;ASOF),"⚠ เลยกำหนด",IF(AND(ISNUMBER(I306),I306&lt;=ASOF+14,J306&gt;=ASOF-7),"ช่วงนี้","")))</f>
        <v/>
      </c>
      <c r="L306" s="59"/>
      <c r="M306" s="60"/>
    </row>
    <row r="307" customFormat="false" ht="15" hidden="false" customHeight="false" outlineLevel="0" collapsed="false">
      <c r="A307" s="54" t="s">
        <v>54</v>
      </c>
      <c r="B307" s="55" t="s">
        <v>470</v>
      </c>
      <c r="C307" s="56" t="s">
        <v>471</v>
      </c>
      <c r="D307" s="57" t="s">
        <v>56</v>
      </c>
      <c r="E307" s="57" t="s">
        <v>370</v>
      </c>
      <c r="F307" s="55" t="s">
        <v>371</v>
      </c>
      <c r="G307" s="55" t="s">
        <v>372</v>
      </c>
      <c r="H307" s="57" t="s">
        <v>211</v>
      </c>
      <c r="I307" s="58" t="n">
        <f aca="false">'P9-004'!$N$88</f>
        <v>46345</v>
      </c>
      <c r="J307" s="58" t="n">
        <f aca="false">'P9-004'!$O$88</f>
        <v>46346</v>
      </c>
      <c r="K307" s="56" t="str">
        <f aca="false">IF(OR(L307="Y",LEFT('P9-004'!$T$88,1)="D"),"",IF(AND(ISNUMBER(J307),J307&lt;ASOF),"⚠ เลยกำหนด",IF(AND(ISNUMBER(I307),I307&lt;=ASOF+14,J307&gt;=ASOF-7),"ช่วงนี้","")))</f>
        <v/>
      </c>
      <c r="L307" s="59"/>
      <c r="M307" s="60"/>
    </row>
    <row r="308" customFormat="false" ht="15" hidden="false" customHeight="false" outlineLevel="0" collapsed="false">
      <c r="A308" s="54" t="s">
        <v>54</v>
      </c>
      <c r="B308" s="55" t="s">
        <v>470</v>
      </c>
      <c r="C308" s="56" t="s">
        <v>471</v>
      </c>
      <c r="D308" s="57" t="s">
        <v>56</v>
      </c>
      <c r="E308" s="57" t="s">
        <v>373</v>
      </c>
      <c r="F308" s="61" t="s">
        <v>374</v>
      </c>
      <c r="G308" s="55" t="s">
        <v>375</v>
      </c>
      <c r="H308" s="57" t="s">
        <v>211</v>
      </c>
      <c r="I308" s="58" t="n">
        <f aca="false">'P9-004'!$N$89</f>
        <v>46346</v>
      </c>
      <c r="J308" s="58" t="n">
        <f aca="false">'P9-004'!$O$89</f>
        <v>46346</v>
      </c>
      <c r="K308" s="56" t="str">
        <f aca="false">IF(OR(L308="Y",LEFT('P9-004'!$T$89,1)="D"),"",IF(AND(ISNUMBER(J308),J308&lt;ASOF),"⚠ เลยกำหนด",IF(AND(ISNUMBER(I308),I308&lt;=ASOF+14,J308&gt;=ASOF-7),"ช่วงนี้","")))</f>
        <v/>
      </c>
      <c r="L308" s="59"/>
      <c r="M308" s="60"/>
    </row>
    <row r="309" customFormat="false" ht="15" hidden="false" customHeight="false" outlineLevel="0" collapsed="false">
      <c r="A309" s="54" t="s">
        <v>54</v>
      </c>
      <c r="B309" s="55" t="s">
        <v>470</v>
      </c>
      <c r="C309" s="56" t="s">
        <v>471</v>
      </c>
      <c r="D309" s="57" t="s">
        <v>56</v>
      </c>
      <c r="E309" s="57" t="s">
        <v>376</v>
      </c>
      <c r="F309" s="55" t="s">
        <v>377</v>
      </c>
      <c r="G309" s="55" t="s">
        <v>378</v>
      </c>
      <c r="H309" s="57" t="s">
        <v>369</v>
      </c>
      <c r="I309" s="58" t="n">
        <f aca="false">'P9-004'!$N$91</f>
        <v>46344</v>
      </c>
      <c r="J309" s="58" t="n">
        <f aca="false">'P9-004'!$O$91</f>
        <v>46346</v>
      </c>
      <c r="K309" s="56" t="str">
        <f aca="false">IF(OR(L309="Y",LEFT('P9-004'!$T$91,1)="D"),"",IF(AND(ISNUMBER(J309),J309&lt;ASOF),"⚠ เลยกำหนด",IF(AND(ISNUMBER(I309),I309&lt;=ASOF+14,J309&gt;=ASOF-7),"ช่วงนี้","")))</f>
        <v/>
      </c>
      <c r="L309" s="59"/>
      <c r="M309" s="60"/>
    </row>
    <row r="310" customFormat="false" ht="15" hidden="false" customHeight="false" outlineLevel="0" collapsed="false">
      <c r="A310" s="54" t="s">
        <v>54</v>
      </c>
      <c r="B310" s="55" t="s">
        <v>470</v>
      </c>
      <c r="C310" s="56" t="s">
        <v>471</v>
      </c>
      <c r="D310" s="57" t="s">
        <v>56</v>
      </c>
      <c r="E310" s="57" t="s">
        <v>379</v>
      </c>
      <c r="F310" s="61" t="s">
        <v>380</v>
      </c>
      <c r="G310" s="61" t="s">
        <v>381</v>
      </c>
      <c r="H310" s="57" t="s">
        <v>211</v>
      </c>
      <c r="I310" s="58" t="n">
        <f aca="false">'P9-004'!$N$92</f>
        <v>46346</v>
      </c>
      <c r="J310" s="58" t="n">
        <f aca="false">'P9-004'!$O$92</f>
        <v>46347</v>
      </c>
      <c r="K310" s="56" t="str">
        <f aca="false">IF(OR(L310="Y",LEFT('P9-004'!$T$92,1)="D"),"",IF(AND(ISNUMBER(J310),J310&lt;ASOF),"⚠ เลยกำหนด",IF(AND(ISNUMBER(I310),I310&lt;=ASOF+14,J310&gt;=ASOF-7),"ช่วงนี้","")))</f>
        <v/>
      </c>
      <c r="L310" s="59"/>
      <c r="M310" s="60"/>
    </row>
    <row r="311" customFormat="false" ht="15" hidden="false" customHeight="false" outlineLevel="0" collapsed="false">
      <c r="A311" s="54" t="s">
        <v>54</v>
      </c>
      <c r="B311" s="55" t="s">
        <v>470</v>
      </c>
      <c r="C311" s="56" t="s">
        <v>471</v>
      </c>
      <c r="D311" s="57" t="s">
        <v>56</v>
      </c>
      <c r="E311" s="57" t="s">
        <v>382</v>
      </c>
      <c r="F311" s="55" t="s">
        <v>383</v>
      </c>
      <c r="G311" s="55" t="s">
        <v>384</v>
      </c>
      <c r="H311" s="57" t="s">
        <v>369</v>
      </c>
      <c r="I311" s="58" t="n">
        <f aca="false">'P9-004'!$N$93</f>
        <v>46344</v>
      </c>
      <c r="J311" s="58" t="n">
        <f aca="false">'P9-004'!$O$93</f>
        <v>46346</v>
      </c>
      <c r="K311" s="56" t="str">
        <f aca="false">IF(OR(L311="Y",LEFT('P9-004'!$T$93,1)="D"),"",IF(AND(ISNUMBER(J311),J311&lt;ASOF),"⚠ เลยกำหนด",IF(AND(ISNUMBER(I311),I311&lt;=ASOF+14,J311&gt;=ASOF-7),"ช่วงนี้","")))</f>
        <v/>
      </c>
      <c r="L311" s="59"/>
      <c r="M311" s="60"/>
    </row>
    <row r="312" customFormat="false" ht="15" hidden="false" customHeight="false" outlineLevel="0" collapsed="false">
      <c r="A312" s="54" t="s">
        <v>54</v>
      </c>
      <c r="B312" s="55" t="s">
        <v>470</v>
      </c>
      <c r="C312" s="56" t="s">
        <v>471</v>
      </c>
      <c r="D312" s="57" t="s">
        <v>56</v>
      </c>
      <c r="E312" s="57" t="s">
        <v>385</v>
      </c>
      <c r="F312" s="55" t="s">
        <v>386</v>
      </c>
      <c r="G312" s="55" t="s">
        <v>387</v>
      </c>
      <c r="H312" s="57" t="s">
        <v>211</v>
      </c>
      <c r="I312" s="58" t="n">
        <f aca="false">'P9-004'!$N$94</f>
        <v>46346</v>
      </c>
      <c r="J312" s="58" t="n">
        <f aca="false">'P9-004'!$O$94</f>
        <v>46347</v>
      </c>
      <c r="K312" s="56" t="str">
        <f aca="false">IF(OR(L312="Y",LEFT('P9-004'!$T$94,1)="D"),"",IF(AND(ISNUMBER(J312),J312&lt;ASOF),"⚠ เลยกำหนด",IF(AND(ISNUMBER(I312),I312&lt;=ASOF+14,J312&gt;=ASOF-7),"ช่วงนี้","")))</f>
        <v/>
      </c>
      <c r="L312" s="59"/>
      <c r="M312" s="60"/>
    </row>
    <row r="313" customFormat="false" ht="15" hidden="false" customHeight="false" outlineLevel="0" collapsed="false">
      <c r="A313" s="54" t="s">
        <v>54</v>
      </c>
      <c r="B313" s="55" t="s">
        <v>470</v>
      </c>
      <c r="C313" s="56" t="s">
        <v>471</v>
      </c>
      <c r="D313" s="57" t="s">
        <v>56</v>
      </c>
      <c r="E313" s="57" t="s">
        <v>388</v>
      </c>
      <c r="F313" s="61" t="s">
        <v>389</v>
      </c>
      <c r="G313" s="55" t="s">
        <v>390</v>
      </c>
      <c r="H313" s="57" t="s">
        <v>211</v>
      </c>
      <c r="I313" s="58" t="n">
        <f aca="false">'P9-004'!$N$95</f>
        <v>46347</v>
      </c>
      <c r="J313" s="58" t="n">
        <f aca="false">'P9-004'!$O$95</f>
        <v>46347</v>
      </c>
      <c r="K313" s="56" t="str">
        <f aca="false">IF(OR(L313="Y",LEFT('P9-004'!$T$95,1)="D"),"",IF(AND(ISNUMBER(J313),J313&lt;ASOF),"⚠ เลยกำหนด",IF(AND(ISNUMBER(I313),I313&lt;=ASOF+14,J313&gt;=ASOF-7),"ช่วงนี้","")))</f>
        <v/>
      </c>
      <c r="L313" s="59"/>
      <c r="M313" s="60"/>
    </row>
    <row r="314" customFormat="false" ht="15" hidden="false" customHeight="false" outlineLevel="0" collapsed="false">
      <c r="A314" s="54" t="s">
        <v>54</v>
      </c>
      <c r="B314" s="55" t="s">
        <v>470</v>
      </c>
      <c r="C314" s="56" t="s">
        <v>471</v>
      </c>
      <c r="D314" s="57" t="s">
        <v>56</v>
      </c>
      <c r="E314" s="57" t="s">
        <v>391</v>
      </c>
      <c r="F314" s="55" t="s">
        <v>392</v>
      </c>
      <c r="G314" s="55" t="s">
        <v>393</v>
      </c>
      <c r="H314" s="57" t="s">
        <v>369</v>
      </c>
      <c r="I314" s="58" t="n">
        <f aca="false">'P9-004'!$N$97</f>
        <v>46345</v>
      </c>
      <c r="J314" s="58" t="n">
        <f aca="false">'P9-004'!$O$97</f>
        <v>46347</v>
      </c>
      <c r="K314" s="56" t="str">
        <f aca="false">IF(OR(L314="Y",LEFT('P9-004'!$T$97,1)="D"),"",IF(AND(ISNUMBER(J314),J314&lt;ASOF),"⚠ เลยกำหนด",IF(AND(ISNUMBER(I314),I314&lt;=ASOF+14,J314&gt;=ASOF-7),"ช่วงนี้","")))</f>
        <v/>
      </c>
      <c r="L314" s="59"/>
      <c r="M314" s="60"/>
    </row>
    <row r="315" customFormat="false" ht="15" hidden="false" customHeight="false" outlineLevel="0" collapsed="false">
      <c r="A315" s="54" t="s">
        <v>54</v>
      </c>
      <c r="B315" s="55" t="s">
        <v>470</v>
      </c>
      <c r="C315" s="56" t="s">
        <v>471</v>
      </c>
      <c r="D315" s="57" t="s">
        <v>56</v>
      </c>
      <c r="E315" s="57" t="s">
        <v>394</v>
      </c>
      <c r="F315" s="55" t="s">
        <v>395</v>
      </c>
      <c r="G315" s="55" t="s">
        <v>396</v>
      </c>
      <c r="H315" s="57" t="s">
        <v>211</v>
      </c>
      <c r="I315" s="58" t="n">
        <f aca="false">'P9-004'!$N$98</f>
        <v>46346</v>
      </c>
      <c r="J315" s="58" t="n">
        <f aca="false">'P9-004'!$O$98</f>
        <v>46347</v>
      </c>
      <c r="K315" s="56" t="str">
        <f aca="false">IF(OR(L315="Y",LEFT('P9-004'!$T$98,1)="D"),"",IF(AND(ISNUMBER(J315),J315&lt;ASOF),"⚠ เลยกำหนด",IF(AND(ISNUMBER(I315),I315&lt;=ASOF+14,J315&gt;=ASOF-7),"ช่วงนี้","")))</f>
        <v/>
      </c>
      <c r="L315" s="59"/>
      <c r="M315" s="60"/>
    </row>
    <row r="316" customFormat="false" ht="15" hidden="false" customHeight="false" outlineLevel="0" collapsed="false">
      <c r="A316" s="54" t="s">
        <v>54</v>
      </c>
      <c r="B316" s="55" t="s">
        <v>470</v>
      </c>
      <c r="C316" s="56" t="s">
        <v>471</v>
      </c>
      <c r="D316" s="57" t="s">
        <v>56</v>
      </c>
      <c r="E316" s="57" t="s">
        <v>397</v>
      </c>
      <c r="F316" s="61" t="s">
        <v>398</v>
      </c>
      <c r="G316" s="55" t="s">
        <v>399</v>
      </c>
      <c r="H316" s="57" t="s">
        <v>211</v>
      </c>
      <c r="I316" s="58" t="n">
        <f aca="false">'P9-004'!$N$99</f>
        <v>46347</v>
      </c>
      <c r="J316" s="58" t="n">
        <f aca="false">'P9-004'!$O$99</f>
        <v>46347</v>
      </c>
      <c r="K316" s="56" t="str">
        <f aca="false">IF(OR(L316="Y",LEFT('P9-004'!$T$99,1)="D"),"",IF(AND(ISNUMBER(J316),J316&lt;ASOF),"⚠ เลยกำหนด",IF(AND(ISNUMBER(I316),I316&lt;=ASOF+14,J316&gt;=ASOF-7),"ช่วงนี้","")))</f>
        <v/>
      </c>
      <c r="L316" s="59"/>
      <c r="M316" s="60"/>
    </row>
    <row r="317" customFormat="false" ht="15" hidden="false" customHeight="false" outlineLevel="0" collapsed="false">
      <c r="A317" s="54" t="s">
        <v>54</v>
      </c>
      <c r="B317" s="55" t="s">
        <v>470</v>
      </c>
      <c r="C317" s="56" t="s">
        <v>471</v>
      </c>
      <c r="D317" s="57" t="s">
        <v>56</v>
      </c>
      <c r="E317" s="57" t="s">
        <v>467</v>
      </c>
      <c r="F317" s="61" t="s">
        <v>468</v>
      </c>
      <c r="G317" s="61" t="s">
        <v>469</v>
      </c>
      <c r="H317" s="57" t="s">
        <v>211</v>
      </c>
      <c r="I317" s="58" t="n">
        <f aca="false">'P9-004'!$N$103</f>
        <v>46346</v>
      </c>
      <c r="J317" s="58" t="n">
        <f aca="false">'P9-004'!$O$103</f>
        <v>46347</v>
      </c>
      <c r="K317" s="56" t="str">
        <f aca="false">IF(OR(L317="Y",LEFT('P9-004'!$T$103,1)="D"),"",IF(AND(ISNUMBER(J317),J317&lt;ASOF),"⚠ เลยกำหนด",IF(AND(ISNUMBER(I317),I317&lt;=ASOF+14,J317&gt;=ASOF-7),"ช่วงนี้","")))</f>
        <v/>
      </c>
      <c r="L317" s="59"/>
      <c r="M317" s="60"/>
    </row>
    <row r="318" customFormat="false" ht="15" hidden="false" customHeight="false" outlineLevel="0" collapsed="false">
      <c r="A318" s="54" t="s">
        <v>54</v>
      </c>
      <c r="B318" s="55" t="s">
        <v>470</v>
      </c>
      <c r="C318" s="56" t="s">
        <v>471</v>
      </c>
      <c r="D318" s="57" t="s">
        <v>56</v>
      </c>
      <c r="E318" s="57" t="s">
        <v>403</v>
      </c>
      <c r="F318" s="55" t="s">
        <v>404</v>
      </c>
      <c r="G318" s="55" t="s">
        <v>405</v>
      </c>
      <c r="H318" s="57" t="s">
        <v>211</v>
      </c>
      <c r="I318" s="58" t="n">
        <f aca="false">'P9-004'!$N$104</f>
        <v>46347</v>
      </c>
      <c r="J318" s="58" t="n">
        <f aca="false">'P9-004'!$O$104</f>
        <v>46348</v>
      </c>
      <c r="K318" s="56" t="str">
        <f aca="false">IF(OR(L318="Y",LEFT('P9-004'!$T$104,1)="D"),"",IF(AND(ISNUMBER(J318),J318&lt;ASOF),"⚠ เลยกำหนด",IF(AND(ISNUMBER(I318),I318&lt;=ASOF+14,J318&gt;=ASOF-7),"ช่วงนี้","")))</f>
        <v/>
      </c>
      <c r="L318" s="59"/>
      <c r="M318" s="60"/>
    </row>
    <row r="319" customFormat="false" ht="15" hidden="false" customHeight="false" outlineLevel="0" collapsed="false">
      <c r="A319" s="54" t="s">
        <v>54</v>
      </c>
      <c r="B319" s="55" t="s">
        <v>470</v>
      </c>
      <c r="C319" s="56" t="s">
        <v>471</v>
      </c>
      <c r="D319" s="57" t="s">
        <v>56</v>
      </c>
      <c r="E319" s="57" t="s">
        <v>406</v>
      </c>
      <c r="F319" s="55" t="s">
        <v>407</v>
      </c>
      <c r="G319" s="55" t="s">
        <v>408</v>
      </c>
      <c r="H319" s="57" t="s">
        <v>211</v>
      </c>
      <c r="I319" s="58" t="n">
        <f aca="false">'P9-004'!$N$105</f>
        <v>46347</v>
      </c>
      <c r="J319" s="58" t="n">
        <f aca="false">'P9-004'!$O$105</f>
        <v>46348</v>
      </c>
      <c r="K319" s="56" t="str">
        <f aca="false">IF(OR(L319="Y",LEFT('P9-004'!$T$105,1)="D"),"",IF(AND(ISNUMBER(J319),J319&lt;ASOF),"⚠ เลยกำหนด",IF(AND(ISNUMBER(I319),I319&lt;=ASOF+14,J319&gt;=ASOF-7),"ช่วงนี้","")))</f>
        <v/>
      </c>
      <c r="L319" s="59"/>
      <c r="M319" s="60"/>
    </row>
    <row r="320" customFormat="false" ht="15" hidden="false" customHeight="false" outlineLevel="0" collapsed="false">
      <c r="A320" s="54" t="s">
        <v>54</v>
      </c>
      <c r="B320" s="55" t="s">
        <v>470</v>
      </c>
      <c r="C320" s="56" t="s">
        <v>471</v>
      </c>
      <c r="D320" s="57" t="s">
        <v>56</v>
      </c>
      <c r="E320" s="57" t="s">
        <v>409</v>
      </c>
      <c r="F320" s="61" t="s">
        <v>410</v>
      </c>
      <c r="G320" s="55" t="s">
        <v>411</v>
      </c>
      <c r="H320" s="57" t="s">
        <v>211</v>
      </c>
      <c r="I320" s="58" t="n">
        <f aca="false">'P9-004'!$N$106</f>
        <v>46348</v>
      </c>
      <c r="J320" s="58" t="n">
        <f aca="false">'P9-004'!$O$106</f>
        <v>46348</v>
      </c>
      <c r="K320" s="56" t="str">
        <f aca="false">IF(OR(L320="Y",LEFT('P9-004'!$T$106,1)="D"),"",IF(AND(ISNUMBER(J320),J320&lt;ASOF),"⚠ เลยกำหนด",IF(AND(ISNUMBER(I320),I320&lt;=ASOF+14,J320&gt;=ASOF-7),"ช่วงนี้","")))</f>
        <v/>
      </c>
      <c r="L320" s="59"/>
      <c r="M320" s="60"/>
    </row>
    <row r="321" customFormat="false" ht="15" hidden="false" customHeight="false" outlineLevel="0" collapsed="false">
      <c r="A321" s="54" t="s">
        <v>54</v>
      </c>
      <c r="B321" s="55" t="s">
        <v>470</v>
      </c>
      <c r="C321" s="56" t="s">
        <v>471</v>
      </c>
      <c r="D321" s="57" t="s">
        <v>56</v>
      </c>
      <c r="E321" s="57" t="s">
        <v>412</v>
      </c>
      <c r="F321" s="61" t="s">
        <v>413</v>
      </c>
      <c r="G321" s="61" t="s">
        <v>414</v>
      </c>
      <c r="H321" s="57" t="s">
        <v>211</v>
      </c>
      <c r="I321" s="58" t="n">
        <f aca="false">'P9-004'!$N$108</f>
        <v>46347</v>
      </c>
      <c r="J321" s="58" t="n">
        <f aca="false">'P9-004'!$O$108</f>
        <v>46348</v>
      </c>
      <c r="K321" s="56" t="str">
        <f aca="false">IF(OR(L321="Y",LEFT('P9-004'!$T$108,1)="D"),"",IF(AND(ISNUMBER(J321),J321&lt;ASOF),"⚠ เลยกำหนด",IF(AND(ISNUMBER(I321),I321&lt;=ASOF+14,J321&gt;=ASOF-7),"ช่วงนี้","")))</f>
        <v/>
      </c>
      <c r="L321" s="59"/>
      <c r="M321" s="60"/>
    </row>
    <row r="322" customFormat="false" ht="15" hidden="false" customHeight="false" outlineLevel="0" collapsed="false">
      <c r="A322" s="54" t="s">
        <v>54</v>
      </c>
      <c r="B322" s="55" t="s">
        <v>470</v>
      </c>
      <c r="C322" s="56" t="s">
        <v>471</v>
      </c>
      <c r="D322" s="57" t="s">
        <v>56</v>
      </c>
      <c r="E322" s="57" t="s">
        <v>415</v>
      </c>
      <c r="F322" s="55" t="s">
        <v>416</v>
      </c>
      <c r="G322" s="55" t="s">
        <v>417</v>
      </c>
      <c r="H322" s="57" t="s">
        <v>211</v>
      </c>
      <c r="I322" s="58" t="n">
        <f aca="false">'P9-004'!$N$109</f>
        <v>46348</v>
      </c>
      <c r="J322" s="58" t="n">
        <f aca="false">'P9-004'!$O$109</f>
        <v>46348</v>
      </c>
      <c r="K322" s="56" t="str">
        <f aca="false">IF(OR(L322="Y",LEFT('P9-004'!$T$109,1)="D"),"",IF(AND(ISNUMBER(J322),J322&lt;ASOF),"⚠ เลยกำหนด",IF(AND(ISNUMBER(I322),I322&lt;=ASOF+14,J322&gt;=ASOF-7),"ช่วงนี้","")))</f>
        <v/>
      </c>
      <c r="L322" s="59"/>
      <c r="M322" s="60"/>
    </row>
    <row r="323" customFormat="false" ht="15" hidden="false" customHeight="false" outlineLevel="0" collapsed="false">
      <c r="A323" s="54" t="s">
        <v>54</v>
      </c>
      <c r="B323" s="55" t="s">
        <v>470</v>
      </c>
      <c r="C323" s="56" t="s">
        <v>471</v>
      </c>
      <c r="D323" s="57" t="s">
        <v>56</v>
      </c>
      <c r="E323" s="57" t="s">
        <v>418</v>
      </c>
      <c r="F323" s="61" t="s">
        <v>419</v>
      </c>
      <c r="G323" s="55" t="s">
        <v>420</v>
      </c>
      <c r="H323" s="57" t="s">
        <v>211</v>
      </c>
      <c r="I323" s="58" t="n">
        <f aca="false">'P9-004'!$N$110</f>
        <v>46347</v>
      </c>
      <c r="J323" s="58" t="n">
        <f aca="false">'P9-004'!$O$110</f>
        <v>46348</v>
      </c>
      <c r="K323" s="56" t="str">
        <f aca="false">IF(OR(L323="Y",LEFT('P9-004'!$T$110,1)="D"),"",IF(AND(ISNUMBER(J323),J323&lt;ASOF),"⚠ เลยกำหนด",IF(AND(ISNUMBER(I323),I323&lt;=ASOF+14,J323&gt;=ASOF-7),"ช่วงนี้","")))</f>
        <v/>
      </c>
      <c r="L323" s="59"/>
      <c r="M323" s="60"/>
    </row>
    <row r="324" customFormat="false" ht="15" hidden="false" customHeight="false" outlineLevel="0" collapsed="false">
      <c r="A324" s="54" t="s">
        <v>54</v>
      </c>
      <c r="B324" s="55" t="s">
        <v>470</v>
      </c>
      <c r="C324" s="56" t="s">
        <v>471</v>
      </c>
      <c r="D324" s="57" t="s">
        <v>56</v>
      </c>
      <c r="E324" s="57" t="s">
        <v>421</v>
      </c>
      <c r="F324" s="55" t="s">
        <v>422</v>
      </c>
      <c r="G324" s="55" t="s">
        <v>423</v>
      </c>
      <c r="H324" s="56" t="str">
        <f aca="false">IF(COUNTIFS(SITE_ST,"P9-004",SITE_TYPE,"?*")&gt;0,"ตามจุดติดตั้ง →","0/100")</f>
        <v>ตามจุดติดตั้ง →</v>
      </c>
      <c r="I324" s="58" t="n">
        <f aca="false">'P9-004'!$N$112</f>
        <v>46349</v>
      </c>
      <c r="J324" s="58" t="n">
        <f aca="false">'P9-004'!$O$112</f>
        <v>46349</v>
      </c>
      <c r="K324" s="56" t="str">
        <f aca="false">IF(OR(L324="Y",LEFT('P9-004'!$T$112,1)="D"),"",IF(AND(ISNUMBER(J324),J324&lt;ASOF),"⚠ เลยกำหนด",IF(AND(ISNUMBER(I324),I324&lt;=ASOF+14,J324&gt;=ASOF-7),"ช่วงนี้","")))</f>
        <v/>
      </c>
      <c r="L324" s="59"/>
      <c r="M324" s="60"/>
    </row>
    <row r="325" customFormat="false" ht="15" hidden="false" customHeight="false" outlineLevel="0" collapsed="false">
      <c r="A325" s="54" t="s">
        <v>54</v>
      </c>
      <c r="B325" s="55" t="s">
        <v>470</v>
      </c>
      <c r="C325" s="56" t="s">
        <v>471</v>
      </c>
      <c r="D325" s="57" t="s">
        <v>56</v>
      </c>
      <c r="E325" s="57" t="s">
        <v>424</v>
      </c>
      <c r="F325" s="55" t="s">
        <v>425</v>
      </c>
      <c r="G325" s="55" t="s">
        <v>426</v>
      </c>
      <c r="H325" s="56" t="str">
        <f aca="false">IF(COUNTIFS(SITE_ST,"P9-004",SITE_TYPE,"?*")&gt;0,"ตามจุดติดตั้ง →","0/100")</f>
        <v>ตามจุดติดตั้ง →</v>
      </c>
      <c r="I325" s="58" t="n">
        <f aca="false">'P9-004'!$N$113</f>
        <v>46349</v>
      </c>
      <c r="J325" s="58" t="n">
        <f aca="false">'P9-004'!$O$113</f>
        <v>46349</v>
      </c>
      <c r="K325" s="56" t="str">
        <f aca="false">IF(OR(L325="Y",LEFT('P9-004'!$T$113,1)="D"),"",IF(AND(ISNUMBER(J325),J325&lt;ASOF),"⚠ เลยกำหนด",IF(AND(ISNUMBER(I325),I325&lt;=ASOF+14,J325&gt;=ASOF-7),"ช่วงนี้","")))</f>
        <v/>
      </c>
      <c r="L325" s="59"/>
      <c r="M325" s="60"/>
    </row>
    <row r="326" customFormat="false" ht="15" hidden="false" customHeight="false" outlineLevel="0" collapsed="false">
      <c r="A326" s="54" t="s">
        <v>54</v>
      </c>
      <c r="B326" s="55" t="s">
        <v>470</v>
      </c>
      <c r="C326" s="56" t="s">
        <v>471</v>
      </c>
      <c r="D326" s="57" t="s">
        <v>56</v>
      </c>
      <c r="E326" s="57" t="s">
        <v>427</v>
      </c>
      <c r="F326" s="61" t="s">
        <v>428</v>
      </c>
      <c r="G326" s="61" t="s">
        <v>429</v>
      </c>
      <c r="H326" s="57" t="s">
        <v>211</v>
      </c>
      <c r="I326" s="58" t="n">
        <f aca="false">'P9-004'!$N$116</f>
        <v>46359</v>
      </c>
      <c r="J326" s="58" t="n">
        <f aca="false">'P9-004'!$O$116</f>
        <v>46359</v>
      </c>
      <c r="K326" s="56" t="str">
        <f aca="false">IF(OR(L326="Y",LEFT('P9-004'!$T$116,1)="D"),"",IF(AND(ISNUMBER(J326),J326&lt;ASOF),"⚠ เลยกำหนด",IF(AND(ISNUMBER(I326),I326&lt;=ASOF+14,J326&gt;=ASOF-7),"ช่วงนี้","")))</f>
        <v/>
      </c>
      <c r="L326" s="59"/>
      <c r="M326" s="60"/>
    </row>
    <row r="327" customFormat="false" ht="15" hidden="false" customHeight="false" outlineLevel="0" collapsed="false">
      <c r="A327" s="54" t="s">
        <v>54</v>
      </c>
      <c r="B327" s="55" t="s">
        <v>470</v>
      </c>
      <c r="C327" s="56" t="s">
        <v>471</v>
      </c>
      <c r="D327" s="57" t="s">
        <v>56</v>
      </c>
      <c r="E327" s="57" t="s">
        <v>430</v>
      </c>
      <c r="F327" s="55" t="s">
        <v>431</v>
      </c>
      <c r="G327" s="55" t="s">
        <v>432</v>
      </c>
      <c r="H327" s="57" t="s">
        <v>211</v>
      </c>
      <c r="I327" s="58" t="n">
        <f aca="false">'P9-004'!$N$117</f>
        <v>46359</v>
      </c>
      <c r="J327" s="58" t="n">
        <f aca="false">'P9-004'!$O$117</f>
        <v>46359</v>
      </c>
      <c r="K327" s="56" t="str">
        <f aca="false">IF(OR(L327="Y",LEFT('P9-004'!$T$117,1)="D"),"",IF(AND(ISNUMBER(J327),J327&lt;ASOF),"⚠ เลยกำหนด",IF(AND(ISNUMBER(I327),I327&lt;=ASOF+14,J327&gt;=ASOF-7),"ช่วงนี้","")))</f>
        <v/>
      </c>
      <c r="L327" s="59"/>
      <c r="M327" s="60"/>
    </row>
    <row r="328" customFormat="false" ht="15" hidden="false" customHeight="false" outlineLevel="0" collapsed="false">
      <c r="A328" s="54" t="s">
        <v>54</v>
      </c>
      <c r="B328" s="55" t="s">
        <v>470</v>
      </c>
      <c r="C328" s="56" t="s">
        <v>471</v>
      </c>
      <c r="D328" s="57" t="s">
        <v>56</v>
      </c>
      <c r="E328" s="57" t="s">
        <v>433</v>
      </c>
      <c r="F328" s="55" t="s">
        <v>434</v>
      </c>
      <c r="G328" s="55" t="s">
        <v>435</v>
      </c>
      <c r="H328" s="57" t="s">
        <v>211</v>
      </c>
      <c r="I328" s="58" t="n">
        <f aca="false">'P9-004'!$N$118</f>
        <v>46359</v>
      </c>
      <c r="J328" s="58" t="n">
        <f aca="false">'P9-004'!$O$118</f>
        <v>46359</v>
      </c>
      <c r="K328" s="56" t="str">
        <f aca="false">IF(OR(L328="Y",LEFT('P9-004'!$T$118,1)="D"),"",IF(AND(ISNUMBER(J328),J328&lt;ASOF),"⚠ เลยกำหนด",IF(AND(ISNUMBER(I328),I328&lt;=ASOF+14,J328&gt;=ASOF-7),"ช่วงนี้","")))</f>
        <v/>
      </c>
      <c r="L328" s="59"/>
      <c r="M328" s="60"/>
    </row>
    <row r="329" customFormat="false" ht="15" hidden="false" customHeight="false" outlineLevel="0" collapsed="false">
      <c r="A329" s="54" t="s">
        <v>54</v>
      </c>
      <c r="B329" s="55" t="s">
        <v>470</v>
      </c>
      <c r="C329" s="56" t="s">
        <v>471</v>
      </c>
      <c r="D329" s="57" t="s">
        <v>56</v>
      </c>
      <c r="E329" s="57" t="s">
        <v>436</v>
      </c>
      <c r="F329" s="55" t="s">
        <v>437</v>
      </c>
      <c r="G329" s="55" t="s">
        <v>438</v>
      </c>
      <c r="H329" s="57" t="s">
        <v>211</v>
      </c>
      <c r="I329" s="58" t="n">
        <f aca="false">'P9-004'!$N$119</f>
        <v>46359</v>
      </c>
      <c r="J329" s="58" t="n">
        <f aca="false">'P9-004'!$O$119</f>
        <v>46359</v>
      </c>
      <c r="K329" s="56" t="str">
        <f aca="false">IF(OR(L329="Y",LEFT('P9-004'!$T$119,1)="D"),"",IF(AND(ISNUMBER(J329),J329&lt;ASOF),"⚠ เลยกำหนด",IF(AND(ISNUMBER(I329),I329&lt;=ASOF+14,J329&gt;=ASOF-7),"ช่วงนี้","")))</f>
        <v/>
      </c>
      <c r="L329" s="59"/>
      <c r="M329" s="60"/>
    </row>
    <row r="330" customFormat="false" ht="15" hidden="false" customHeight="false" outlineLevel="0" collapsed="false">
      <c r="A330" s="54" t="s">
        <v>54</v>
      </c>
      <c r="B330" s="55" t="s">
        <v>470</v>
      </c>
      <c r="C330" s="56" t="s">
        <v>471</v>
      </c>
      <c r="D330" s="57" t="s">
        <v>56</v>
      </c>
      <c r="E330" s="57" t="s">
        <v>439</v>
      </c>
      <c r="F330" s="55" t="s">
        <v>440</v>
      </c>
      <c r="G330" s="55" t="s">
        <v>441</v>
      </c>
      <c r="H330" s="57" t="s">
        <v>211</v>
      </c>
      <c r="I330" s="58" t="n">
        <f aca="false">'P9-004'!$N$120</f>
        <v>46359</v>
      </c>
      <c r="J330" s="58" t="n">
        <f aca="false">'P9-004'!$O$120</f>
        <v>46359</v>
      </c>
      <c r="K330" s="56" t="str">
        <f aca="false">IF(OR(L330="Y",LEFT('P9-004'!$T$120,1)="D"),"",IF(AND(ISNUMBER(J330),J330&lt;ASOF),"⚠ เลยกำหนด",IF(AND(ISNUMBER(I330),I330&lt;=ASOF+14,J330&gt;=ASOF-7),"ช่วงนี้","")))</f>
        <v/>
      </c>
      <c r="L330" s="59"/>
      <c r="M330" s="60"/>
    </row>
    <row r="331" customFormat="false" ht="15" hidden="false" customHeight="false" outlineLevel="0" collapsed="false">
      <c r="A331" s="54" t="s">
        <v>54</v>
      </c>
      <c r="B331" s="55" t="s">
        <v>470</v>
      </c>
      <c r="C331" s="56" t="s">
        <v>471</v>
      </c>
      <c r="D331" s="57" t="s">
        <v>56</v>
      </c>
      <c r="E331" s="57" t="s">
        <v>442</v>
      </c>
      <c r="F331" s="55" t="s">
        <v>443</v>
      </c>
      <c r="G331" s="55" t="s">
        <v>444</v>
      </c>
      <c r="H331" s="57" t="s">
        <v>211</v>
      </c>
      <c r="I331" s="58" t="n">
        <f aca="false">'P9-004'!$N$121</f>
        <v>46359</v>
      </c>
      <c r="J331" s="58" t="n">
        <f aca="false">'P9-004'!$O$121</f>
        <v>46359</v>
      </c>
      <c r="K331" s="56" t="str">
        <f aca="false">IF(OR(L331="Y",LEFT('P9-004'!$T$121,1)="D"),"",IF(AND(ISNUMBER(J331),J331&lt;ASOF),"⚠ เลยกำหนด",IF(AND(ISNUMBER(I331),I331&lt;=ASOF+14,J331&gt;=ASOF-7),"ช่วงนี้","")))</f>
        <v/>
      </c>
      <c r="L331" s="59"/>
      <c r="M331" s="60"/>
    </row>
    <row r="332" customFormat="false" ht="15" hidden="false" customHeight="false" outlineLevel="0" collapsed="false">
      <c r="A332" s="54" t="s">
        <v>54</v>
      </c>
      <c r="B332" s="55" t="s">
        <v>470</v>
      </c>
      <c r="C332" s="56" t="s">
        <v>471</v>
      </c>
      <c r="D332" s="57" t="s">
        <v>56</v>
      </c>
      <c r="E332" s="57" t="s">
        <v>445</v>
      </c>
      <c r="F332" s="55" t="s">
        <v>446</v>
      </c>
      <c r="G332" s="55" t="s">
        <v>447</v>
      </c>
      <c r="H332" s="57" t="s">
        <v>211</v>
      </c>
      <c r="I332" s="58" t="n">
        <f aca="false">'P9-004'!$N$125</f>
        <v>46437</v>
      </c>
      <c r="J332" s="58" t="n">
        <f aca="false">'P9-004'!$O$125</f>
        <v>46441</v>
      </c>
      <c r="K332" s="56" t="str">
        <f aca="false">IF(OR(L332="Y",LEFT('P9-004'!$T$125,1)="D"),"",IF(AND(ISNUMBER(J332),J332&lt;ASOF),"⚠ เลยกำหนด",IF(AND(ISNUMBER(I332),I332&lt;=ASOF+14,J332&gt;=ASOF-7),"ช่วงนี้","")))</f>
        <v/>
      </c>
      <c r="L332" s="59"/>
      <c r="M332" s="60"/>
    </row>
    <row r="333" customFormat="false" ht="15" hidden="false" customHeight="false" outlineLevel="0" collapsed="false">
      <c r="A333" s="54" t="s">
        <v>54</v>
      </c>
      <c r="B333" s="55" t="s">
        <v>470</v>
      </c>
      <c r="C333" s="56" t="s">
        <v>471</v>
      </c>
      <c r="D333" s="57" t="s">
        <v>56</v>
      </c>
      <c r="E333" s="57" t="s">
        <v>448</v>
      </c>
      <c r="F333" s="55" t="s">
        <v>449</v>
      </c>
      <c r="G333" s="61" t="s">
        <v>450</v>
      </c>
      <c r="H333" s="57" t="s">
        <v>211</v>
      </c>
      <c r="I333" s="58" t="n">
        <f aca="false">'P9-004'!$N$126</f>
        <v>46440</v>
      </c>
      <c r="J333" s="58" t="n">
        <f aca="false">'P9-004'!$O$126</f>
        <v>46447</v>
      </c>
      <c r="K333" s="56" t="str">
        <f aca="false">IF(OR(L333="Y",LEFT('P9-004'!$T$126,1)="D"),"",IF(AND(ISNUMBER(J333),J333&lt;ASOF),"⚠ เลยกำหนด",IF(AND(ISNUMBER(I333),I333&lt;=ASOF+14,J333&gt;=ASOF-7),"ช่วงนี้","")))</f>
        <v/>
      </c>
      <c r="L333" s="59"/>
      <c r="M333" s="60"/>
    </row>
    <row r="334" customFormat="false" ht="15" hidden="false" customHeight="false" outlineLevel="0" collapsed="false">
      <c r="A334" s="54" t="s">
        <v>54</v>
      </c>
      <c r="B334" s="55" t="s">
        <v>470</v>
      </c>
      <c r="C334" s="56" t="s">
        <v>471</v>
      </c>
      <c r="D334" s="57" t="s">
        <v>56</v>
      </c>
      <c r="E334" s="57" t="s">
        <v>451</v>
      </c>
      <c r="F334" s="61" t="s">
        <v>452</v>
      </c>
      <c r="G334" s="61" t="s">
        <v>453</v>
      </c>
      <c r="H334" s="57" t="s">
        <v>211</v>
      </c>
      <c r="I334" s="58" t="n">
        <f aca="false">'P9-004'!$N$127</f>
        <v>46447</v>
      </c>
      <c r="J334" s="58" t="n">
        <f aca="false">'P9-004'!$O$127</f>
        <v>46450</v>
      </c>
      <c r="K334" s="56" t="str">
        <f aca="false">IF(OR(L334="Y",LEFT('P9-004'!$T$127,1)="D"),"",IF(AND(ISNUMBER(J334),J334&lt;ASOF),"⚠ เลยกำหนด",IF(AND(ISNUMBER(I334),I334&lt;=ASOF+14,J334&gt;=ASOF-7),"ช่วงนี้","")))</f>
        <v/>
      </c>
      <c r="L334" s="59"/>
      <c r="M334" s="60"/>
    </row>
    <row r="335" customFormat="false" ht="15" hidden="false" customHeight="false" outlineLevel="0" collapsed="false">
      <c r="A335" s="54" t="s">
        <v>58</v>
      </c>
      <c r="B335" s="55" t="s">
        <v>472</v>
      </c>
      <c r="C335" s="56" t="s">
        <v>473</v>
      </c>
      <c r="D335" s="57" t="s">
        <v>60</v>
      </c>
      <c r="E335" s="57" t="s">
        <v>208</v>
      </c>
      <c r="F335" s="55" t="s">
        <v>209</v>
      </c>
      <c r="G335" s="55" t="s">
        <v>210</v>
      </c>
      <c r="H335" s="57" t="s">
        <v>211</v>
      </c>
      <c r="I335" s="58" t="n">
        <f aca="false">'P9-005'!$N$10</f>
        <v>46328</v>
      </c>
      <c r="J335" s="58" t="n">
        <f aca="false">'P9-005'!$O$10</f>
        <v>46340</v>
      </c>
      <c r="K335" s="56" t="str">
        <f aca="false">IF(OR(L335="Y",LEFT('P9-005'!$T$10,1)="D"),"",IF(AND(ISNUMBER(J335),J335&lt;ASOF),"⚠ เลยกำหนด",IF(AND(ISNUMBER(I335),I335&lt;=ASOF+14,J335&gt;=ASOF-7),"ช่วงนี้","")))</f>
        <v>ช่วงนี้</v>
      </c>
      <c r="L335" s="59"/>
      <c r="M335" s="60"/>
    </row>
    <row r="336" customFormat="false" ht="15" hidden="false" customHeight="false" outlineLevel="0" collapsed="false">
      <c r="A336" s="54" t="s">
        <v>58</v>
      </c>
      <c r="B336" s="55" t="s">
        <v>472</v>
      </c>
      <c r="C336" s="56" t="s">
        <v>473</v>
      </c>
      <c r="D336" s="57" t="s">
        <v>60</v>
      </c>
      <c r="E336" s="57" t="s">
        <v>212</v>
      </c>
      <c r="F336" s="55" t="s">
        <v>213</v>
      </c>
      <c r="G336" s="55" t="s">
        <v>214</v>
      </c>
      <c r="H336" s="57" t="s">
        <v>211</v>
      </c>
      <c r="I336" s="58" t="n">
        <f aca="false">'P9-005'!$N$11</f>
        <v>46328</v>
      </c>
      <c r="J336" s="58" t="n">
        <f aca="false">'P9-005'!$O$11</f>
        <v>46340</v>
      </c>
      <c r="K336" s="56" t="str">
        <f aca="false">IF(OR(L336="Y",LEFT('P9-005'!$T$11,1)="D"),"",IF(AND(ISNUMBER(J336),J336&lt;ASOF),"⚠ เลยกำหนด",IF(AND(ISNUMBER(I336),I336&lt;=ASOF+14,J336&gt;=ASOF-7),"ช่วงนี้","")))</f>
        <v>ช่วงนี้</v>
      </c>
      <c r="L336" s="59"/>
      <c r="M336" s="60"/>
    </row>
    <row r="337" customFormat="false" ht="15" hidden="false" customHeight="false" outlineLevel="0" collapsed="false">
      <c r="A337" s="54" t="s">
        <v>58</v>
      </c>
      <c r="B337" s="55" t="s">
        <v>472</v>
      </c>
      <c r="C337" s="56" t="s">
        <v>473</v>
      </c>
      <c r="D337" s="57" t="s">
        <v>60</v>
      </c>
      <c r="E337" s="57" t="s">
        <v>215</v>
      </c>
      <c r="F337" s="55" t="s">
        <v>216</v>
      </c>
      <c r="G337" s="61" t="s">
        <v>217</v>
      </c>
      <c r="H337" s="57" t="s">
        <v>211</v>
      </c>
      <c r="I337" s="58" t="n">
        <f aca="false">'P9-005'!$N$12</f>
        <v>46328</v>
      </c>
      <c r="J337" s="58" t="n">
        <f aca="false">'P9-005'!$O$12</f>
        <v>46340</v>
      </c>
      <c r="K337" s="56" t="str">
        <f aca="false">IF(OR(L337="Y",LEFT('P9-005'!$T$12,1)="D"),"",IF(AND(ISNUMBER(J337),J337&lt;ASOF),"⚠ เลยกำหนด",IF(AND(ISNUMBER(I337),I337&lt;=ASOF+14,J337&gt;=ASOF-7),"ช่วงนี้","")))</f>
        <v>ช่วงนี้</v>
      </c>
      <c r="L337" s="59"/>
      <c r="M337" s="60"/>
    </row>
    <row r="338" customFormat="false" ht="15" hidden="false" customHeight="false" outlineLevel="0" collapsed="false">
      <c r="A338" s="54" t="s">
        <v>58</v>
      </c>
      <c r="B338" s="55" t="s">
        <v>472</v>
      </c>
      <c r="C338" s="56" t="s">
        <v>473</v>
      </c>
      <c r="D338" s="57" t="s">
        <v>60</v>
      </c>
      <c r="E338" s="57" t="s">
        <v>218</v>
      </c>
      <c r="F338" s="55" t="s">
        <v>219</v>
      </c>
      <c r="G338" s="55" t="s">
        <v>220</v>
      </c>
      <c r="H338" s="57" t="s">
        <v>211</v>
      </c>
      <c r="I338" s="58" t="n">
        <f aca="false">'P9-005'!$N$13</f>
        <v>46328</v>
      </c>
      <c r="J338" s="58" t="n">
        <f aca="false">'P9-005'!$O$13</f>
        <v>46346</v>
      </c>
      <c r="K338" s="56" t="str">
        <f aca="false">IF(OR(L338="Y",LEFT('P9-005'!$T$13,1)="D"),"",IF(AND(ISNUMBER(J338),J338&lt;ASOF),"⚠ เลยกำหนด",IF(AND(ISNUMBER(I338),I338&lt;=ASOF+14,J338&gt;=ASOF-7),"ช่วงนี้","")))</f>
        <v>ช่วงนี้</v>
      </c>
      <c r="L338" s="59"/>
      <c r="M338" s="60"/>
    </row>
    <row r="339" customFormat="false" ht="15" hidden="false" customHeight="false" outlineLevel="0" collapsed="false">
      <c r="A339" s="54" t="s">
        <v>58</v>
      </c>
      <c r="B339" s="55" t="s">
        <v>472</v>
      </c>
      <c r="C339" s="56" t="s">
        <v>473</v>
      </c>
      <c r="D339" s="57" t="s">
        <v>60</v>
      </c>
      <c r="E339" s="57" t="s">
        <v>221</v>
      </c>
      <c r="F339" s="55" t="s">
        <v>222</v>
      </c>
      <c r="G339" s="55" t="s">
        <v>223</v>
      </c>
      <c r="H339" s="57" t="s">
        <v>211</v>
      </c>
      <c r="I339" s="58" t="n">
        <f aca="false">'P9-005'!$N$14</f>
        <v>46340</v>
      </c>
      <c r="J339" s="58" t="n">
        <f aca="false">'P9-005'!$O$14</f>
        <v>46450</v>
      </c>
      <c r="K339" s="56" t="str">
        <f aca="false">IF(OR(L339="Y",LEFT('P9-005'!$T$14,1)="D"),"",IF(AND(ISNUMBER(J339),J339&lt;ASOF),"⚠ เลยกำหนด",IF(AND(ISNUMBER(I339),I339&lt;=ASOF+14,J339&gt;=ASOF-7),"ช่วงนี้","")))</f>
        <v>ช่วงนี้</v>
      </c>
      <c r="L339" s="59"/>
      <c r="M339" s="60"/>
    </row>
    <row r="340" customFormat="false" ht="15" hidden="false" customHeight="false" outlineLevel="0" collapsed="false">
      <c r="A340" s="54" t="s">
        <v>58</v>
      </c>
      <c r="B340" s="55" t="s">
        <v>472</v>
      </c>
      <c r="C340" s="56" t="s">
        <v>473</v>
      </c>
      <c r="D340" s="57" t="s">
        <v>60</v>
      </c>
      <c r="E340" s="57" t="s">
        <v>224</v>
      </c>
      <c r="F340" s="55" t="s">
        <v>225</v>
      </c>
      <c r="G340" s="61" t="s">
        <v>226</v>
      </c>
      <c r="H340" s="57" t="s">
        <v>211</v>
      </c>
      <c r="I340" s="58" t="n">
        <f aca="false">'P9-005'!$N$15</f>
        <v>46340</v>
      </c>
      <c r="J340" s="58" t="n">
        <f aca="false">'P9-005'!$O$15</f>
        <v>46450</v>
      </c>
      <c r="K340" s="56" t="str">
        <f aca="false">IF(OR(L340="Y",LEFT('P9-005'!$T$15,1)="D"),"",IF(AND(ISNUMBER(J340),J340&lt;ASOF),"⚠ เลยกำหนด",IF(AND(ISNUMBER(I340),I340&lt;=ASOF+14,J340&gt;=ASOF-7),"ช่วงนี้","")))</f>
        <v>ช่วงนี้</v>
      </c>
      <c r="L340" s="59"/>
      <c r="M340" s="60"/>
    </row>
    <row r="341" customFormat="false" ht="15" hidden="false" customHeight="false" outlineLevel="0" collapsed="false">
      <c r="A341" s="54" t="s">
        <v>58</v>
      </c>
      <c r="B341" s="55" t="s">
        <v>472</v>
      </c>
      <c r="C341" s="56" t="s">
        <v>473</v>
      </c>
      <c r="D341" s="57" t="s">
        <v>60</v>
      </c>
      <c r="E341" s="57" t="s">
        <v>227</v>
      </c>
      <c r="F341" s="55" t="s">
        <v>228</v>
      </c>
      <c r="G341" s="55" t="s">
        <v>229</v>
      </c>
      <c r="H341" s="57" t="s">
        <v>211</v>
      </c>
      <c r="I341" s="58" t="n">
        <f aca="false">'P9-005'!$N$17</f>
        <v>46328</v>
      </c>
      <c r="J341" s="58" t="n">
        <f aca="false">'P9-005'!$O$17</f>
        <v>46328</v>
      </c>
      <c r="K341" s="56" t="str">
        <f aca="false">IF(OR(L341="Y",LEFT('P9-005'!$T$17,1)="D"),"",IF(AND(ISNUMBER(J341),J341&lt;ASOF),"⚠ เลยกำหนด",IF(AND(ISNUMBER(I341),I341&lt;=ASOF+14,J341&gt;=ASOF-7),"ช่วงนี้","")))</f>
        <v>ช่วงนี้</v>
      </c>
      <c r="L341" s="59"/>
      <c r="M341" s="60"/>
    </row>
    <row r="342" customFormat="false" ht="15" hidden="false" customHeight="false" outlineLevel="0" collapsed="false">
      <c r="A342" s="54" t="s">
        <v>58</v>
      </c>
      <c r="B342" s="55" t="s">
        <v>472</v>
      </c>
      <c r="C342" s="56" t="s">
        <v>473</v>
      </c>
      <c r="D342" s="57" t="s">
        <v>60</v>
      </c>
      <c r="E342" s="57" t="s">
        <v>230</v>
      </c>
      <c r="F342" s="55" t="s">
        <v>231</v>
      </c>
      <c r="G342" s="55" t="s">
        <v>232</v>
      </c>
      <c r="H342" s="57" t="s">
        <v>211</v>
      </c>
      <c r="I342" s="58" t="n">
        <f aca="false">'P9-005'!$N$18</f>
        <v>46328</v>
      </c>
      <c r="J342" s="58" t="n">
        <f aca="false">'P9-005'!$O$18</f>
        <v>46328</v>
      </c>
      <c r="K342" s="56" t="str">
        <f aca="false">IF(OR(L342="Y",LEFT('P9-005'!$T$18,1)="D"),"",IF(AND(ISNUMBER(J342),J342&lt;ASOF),"⚠ เลยกำหนด",IF(AND(ISNUMBER(I342),I342&lt;=ASOF+14,J342&gt;=ASOF-7),"ช่วงนี้","")))</f>
        <v>ช่วงนี้</v>
      </c>
      <c r="L342" s="59"/>
      <c r="M342" s="60"/>
    </row>
    <row r="343" customFormat="false" ht="15" hidden="false" customHeight="false" outlineLevel="0" collapsed="false">
      <c r="A343" s="54" t="s">
        <v>58</v>
      </c>
      <c r="B343" s="55" t="s">
        <v>472</v>
      </c>
      <c r="C343" s="56" t="s">
        <v>473</v>
      </c>
      <c r="D343" s="57" t="s">
        <v>60</v>
      </c>
      <c r="E343" s="57" t="s">
        <v>233</v>
      </c>
      <c r="F343" s="55" t="s">
        <v>234</v>
      </c>
      <c r="G343" s="55" t="s">
        <v>235</v>
      </c>
      <c r="H343" s="57" t="s">
        <v>211</v>
      </c>
      <c r="I343" s="58" t="n">
        <f aca="false">'P9-005'!$N$19</f>
        <v>46328</v>
      </c>
      <c r="J343" s="58" t="n">
        <f aca="false">'P9-005'!$O$19</f>
        <v>46328</v>
      </c>
      <c r="K343" s="56" t="str">
        <f aca="false">IF(OR(L343="Y",LEFT('P9-005'!$T$19,1)="D"),"",IF(AND(ISNUMBER(J343),J343&lt;ASOF),"⚠ เลยกำหนด",IF(AND(ISNUMBER(I343),I343&lt;=ASOF+14,J343&gt;=ASOF-7),"ช่วงนี้","")))</f>
        <v>ช่วงนี้</v>
      </c>
      <c r="L343" s="59"/>
      <c r="M343" s="60"/>
    </row>
    <row r="344" customFormat="false" ht="15" hidden="false" customHeight="false" outlineLevel="0" collapsed="false">
      <c r="A344" s="54" t="s">
        <v>58</v>
      </c>
      <c r="B344" s="55" t="s">
        <v>472</v>
      </c>
      <c r="C344" s="56" t="s">
        <v>473</v>
      </c>
      <c r="D344" s="57" t="s">
        <v>60</v>
      </c>
      <c r="E344" s="57" t="s">
        <v>236</v>
      </c>
      <c r="F344" s="55" t="s">
        <v>237</v>
      </c>
      <c r="G344" s="55" t="s">
        <v>238</v>
      </c>
      <c r="H344" s="57" t="s">
        <v>211</v>
      </c>
      <c r="I344" s="58" t="n">
        <f aca="false">'P9-005'!$N$20</f>
        <v>46328</v>
      </c>
      <c r="J344" s="58" t="n">
        <f aca="false">'P9-005'!$O$20</f>
        <v>46328</v>
      </c>
      <c r="K344" s="56" t="str">
        <f aca="false">IF(OR(L344="Y",LEFT('P9-005'!$T$20,1)="D"),"",IF(AND(ISNUMBER(J344),J344&lt;ASOF),"⚠ เลยกำหนด",IF(AND(ISNUMBER(I344),I344&lt;=ASOF+14,J344&gt;=ASOF-7),"ช่วงนี้","")))</f>
        <v>ช่วงนี้</v>
      </c>
      <c r="L344" s="59"/>
      <c r="M344" s="60"/>
    </row>
    <row r="345" customFormat="false" ht="15" hidden="false" customHeight="false" outlineLevel="0" collapsed="false">
      <c r="A345" s="54" t="s">
        <v>58</v>
      </c>
      <c r="B345" s="55" t="s">
        <v>472</v>
      </c>
      <c r="C345" s="56" t="s">
        <v>473</v>
      </c>
      <c r="D345" s="57" t="s">
        <v>60</v>
      </c>
      <c r="E345" s="57" t="s">
        <v>239</v>
      </c>
      <c r="F345" s="55" t="s">
        <v>240</v>
      </c>
      <c r="G345" s="55" t="s">
        <v>241</v>
      </c>
      <c r="H345" s="57" t="s">
        <v>211</v>
      </c>
      <c r="I345" s="58" t="n">
        <f aca="false">'P9-005'!$N$21</f>
        <v>46328</v>
      </c>
      <c r="J345" s="58" t="n">
        <f aca="false">'P9-005'!$O$21</f>
        <v>46328</v>
      </c>
      <c r="K345" s="56" t="str">
        <f aca="false">IF(OR(L345="Y",LEFT('P9-005'!$T$21,1)="D"),"",IF(AND(ISNUMBER(J345),J345&lt;ASOF),"⚠ เลยกำหนด",IF(AND(ISNUMBER(I345),I345&lt;=ASOF+14,J345&gt;=ASOF-7),"ช่วงนี้","")))</f>
        <v>ช่วงนี้</v>
      </c>
      <c r="L345" s="59"/>
      <c r="M345" s="60"/>
    </row>
    <row r="346" customFormat="false" ht="15" hidden="false" customHeight="false" outlineLevel="0" collapsed="false">
      <c r="A346" s="54" t="s">
        <v>58</v>
      </c>
      <c r="B346" s="55" t="s">
        <v>472</v>
      </c>
      <c r="C346" s="56" t="s">
        <v>473</v>
      </c>
      <c r="D346" s="57" t="s">
        <v>60</v>
      </c>
      <c r="E346" s="57" t="s">
        <v>242</v>
      </c>
      <c r="F346" s="55" t="s">
        <v>243</v>
      </c>
      <c r="G346" s="55" t="s">
        <v>244</v>
      </c>
      <c r="H346" s="57" t="s">
        <v>211</v>
      </c>
      <c r="I346" s="58" t="n">
        <f aca="false">'P9-005'!$N$22</f>
        <v>46328</v>
      </c>
      <c r="J346" s="58" t="n">
        <f aca="false">'P9-005'!$O$22</f>
        <v>46328</v>
      </c>
      <c r="K346" s="56" t="str">
        <f aca="false">IF(OR(L346="Y",LEFT('P9-005'!$T$22,1)="D"),"",IF(AND(ISNUMBER(J346),J346&lt;ASOF),"⚠ เลยกำหนด",IF(AND(ISNUMBER(I346),I346&lt;=ASOF+14,J346&gt;=ASOF-7),"ช่วงนี้","")))</f>
        <v>ช่วงนี้</v>
      </c>
      <c r="L346" s="59"/>
      <c r="M346" s="60"/>
    </row>
    <row r="347" customFormat="false" ht="15" hidden="false" customHeight="false" outlineLevel="0" collapsed="false">
      <c r="A347" s="54" t="s">
        <v>58</v>
      </c>
      <c r="B347" s="55" t="s">
        <v>472</v>
      </c>
      <c r="C347" s="56" t="s">
        <v>473</v>
      </c>
      <c r="D347" s="57" t="s">
        <v>60</v>
      </c>
      <c r="E347" s="57" t="s">
        <v>245</v>
      </c>
      <c r="F347" s="55" t="s">
        <v>246</v>
      </c>
      <c r="G347" s="55" t="s">
        <v>247</v>
      </c>
      <c r="H347" s="57" t="s">
        <v>211</v>
      </c>
      <c r="I347" s="58" t="n">
        <f aca="false">'P9-005'!$N$23</f>
        <v>46328</v>
      </c>
      <c r="J347" s="58" t="n">
        <f aca="false">'P9-005'!$O$23</f>
        <v>46328</v>
      </c>
      <c r="K347" s="56" t="str">
        <f aca="false">IF(OR(L347="Y",LEFT('P9-005'!$T$23,1)="D"),"",IF(AND(ISNUMBER(J347),J347&lt;ASOF),"⚠ เลยกำหนด",IF(AND(ISNUMBER(I347),I347&lt;=ASOF+14,J347&gt;=ASOF-7),"ช่วงนี้","")))</f>
        <v>ช่วงนี้</v>
      </c>
      <c r="L347" s="59"/>
      <c r="M347" s="60"/>
    </row>
    <row r="348" customFormat="false" ht="15" hidden="false" customHeight="false" outlineLevel="0" collapsed="false">
      <c r="A348" s="54" t="s">
        <v>58</v>
      </c>
      <c r="B348" s="55" t="s">
        <v>472</v>
      </c>
      <c r="C348" s="56" t="s">
        <v>473</v>
      </c>
      <c r="D348" s="57" t="s">
        <v>60</v>
      </c>
      <c r="E348" s="57" t="s">
        <v>248</v>
      </c>
      <c r="F348" s="55" t="s">
        <v>249</v>
      </c>
      <c r="G348" s="55" t="s">
        <v>250</v>
      </c>
      <c r="H348" s="57" t="s">
        <v>211</v>
      </c>
      <c r="I348" s="58" t="n">
        <f aca="false">'P9-005'!$N$24</f>
        <v>46328</v>
      </c>
      <c r="J348" s="58" t="n">
        <f aca="false">'P9-005'!$O$24</f>
        <v>46328</v>
      </c>
      <c r="K348" s="56" t="str">
        <f aca="false">IF(OR(L348="Y",LEFT('P9-005'!$T$24,1)="D"),"",IF(AND(ISNUMBER(J348),J348&lt;ASOF),"⚠ เลยกำหนด",IF(AND(ISNUMBER(I348),I348&lt;=ASOF+14,J348&gt;=ASOF-7),"ช่วงนี้","")))</f>
        <v>ช่วงนี้</v>
      </c>
      <c r="L348" s="59"/>
      <c r="M348" s="60"/>
    </row>
    <row r="349" customFormat="false" ht="15" hidden="false" customHeight="false" outlineLevel="0" collapsed="false">
      <c r="A349" s="54" t="s">
        <v>58</v>
      </c>
      <c r="B349" s="55" t="s">
        <v>472</v>
      </c>
      <c r="C349" s="56" t="s">
        <v>473</v>
      </c>
      <c r="D349" s="57" t="s">
        <v>60</v>
      </c>
      <c r="E349" s="57" t="s">
        <v>251</v>
      </c>
      <c r="F349" s="55" t="s">
        <v>252</v>
      </c>
      <c r="G349" s="55" t="s">
        <v>253</v>
      </c>
      <c r="H349" s="57" t="s">
        <v>211</v>
      </c>
      <c r="I349" s="58" t="n">
        <f aca="false">'P9-005'!$N$26</f>
        <v>46329</v>
      </c>
      <c r="J349" s="58" t="n">
        <f aca="false">'P9-005'!$O$26</f>
        <v>46329</v>
      </c>
      <c r="K349" s="56" t="str">
        <f aca="false">IF(OR(L349="Y",LEFT('P9-005'!$T$26,1)="D"),"",IF(AND(ISNUMBER(J349),J349&lt;ASOF),"⚠ เลยกำหนด",IF(AND(ISNUMBER(I349),I349&lt;=ASOF+14,J349&gt;=ASOF-7),"ช่วงนี้","")))</f>
        <v>ช่วงนี้</v>
      </c>
      <c r="L349" s="59"/>
      <c r="M349" s="60"/>
    </row>
    <row r="350" customFormat="false" ht="15" hidden="false" customHeight="false" outlineLevel="0" collapsed="false">
      <c r="A350" s="54" t="s">
        <v>58</v>
      </c>
      <c r="B350" s="55" t="s">
        <v>472</v>
      </c>
      <c r="C350" s="56" t="s">
        <v>473</v>
      </c>
      <c r="D350" s="57" t="s">
        <v>60</v>
      </c>
      <c r="E350" s="57" t="s">
        <v>254</v>
      </c>
      <c r="F350" s="55" t="s">
        <v>255</v>
      </c>
      <c r="G350" s="55" t="s">
        <v>256</v>
      </c>
      <c r="H350" s="57" t="s">
        <v>211</v>
      </c>
      <c r="I350" s="58" t="n">
        <f aca="false">'P9-005'!$N$27</f>
        <v>46329</v>
      </c>
      <c r="J350" s="58" t="n">
        <f aca="false">'P9-005'!$O$27</f>
        <v>46329</v>
      </c>
      <c r="K350" s="56" t="str">
        <f aca="false">IF(OR(L350="Y",LEFT('P9-005'!$T$27,1)="D"),"",IF(AND(ISNUMBER(J350),J350&lt;ASOF),"⚠ เลยกำหนด",IF(AND(ISNUMBER(I350),I350&lt;=ASOF+14,J350&gt;=ASOF-7),"ช่วงนี้","")))</f>
        <v>ช่วงนี้</v>
      </c>
      <c r="L350" s="59"/>
      <c r="M350" s="60"/>
    </row>
    <row r="351" customFormat="false" ht="15" hidden="false" customHeight="false" outlineLevel="0" collapsed="false">
      <c r="A351" s="54" t="s">
        <v>58</v>
      </c>
      <c r="B351" s="55" t="s">
        <v>472</v>
      </c>
      <c r="C351" s="56" t="s">
        <v>473</v>
      </c>
      <c r="D351" s="57" t="s">
        <v>60</v>
      </c>
      <c r="E351" s="57" t="s">
        <v>257</v>
      </c>
      <c r="F351" s="55" t="s">
        <v>258</v>
      </c>
      <c r="G351" s="55" t="s">
        <v>259</v>
      </c>
      <c r="H351" s="57" t="s">
        <v>211</v>
      </c>
      <c r="I351" s="58" t="n">
        <f aca="false">'P9-005'!$N$28</f>
        <v>46329</v>
      </c>
      <c r="J351" s="58" t="n">
        <f aca="false">'P9-005'!$O$28</f>
        <v>46329</v>
      </c>
      <c r="K351" s="56" t="str">
        <f aca="false">IF(OR(L351="Y",LEFT('P9-005'!$T$28,1)="D"),"",IF(AND(ISNUMBER(J351),J351&lt;ASOF),"⚠ เลยกำหนด",IF(AND(ISNUMBER(I351),I351&lt;=ASOF+14,J351&gt;=ASOF-7),"ช่วงนี้","")))</f>
        <v>ช่วงนี้</v>
      </c>
      <c r="L351" s="59"/>
      <c r="M351" s="60"/>
    </row>
    <row r="352" customFormat="false" ht="15" hidden="false" customHeight="false" outlineLevel="0" collapsed="false">
      <c r="A352" s="54" t="s">
        <v>58</v>
      </c>
      <c r="B352" s="55" t="s">
        <v>472</v>
      </c>
      <c r="C352" s="56" t="s">
        <v>473</v>
      </c>
      <c r="D352" s="57" t="s">
        <v>60</v>
      </c>
      <c r="E352" s="57" t="s">
        <v>260</v>
      </c>
      <c r="F352" s="55" t="s">
        <v>261</v>
      </c>
      <c r="G352" s="55" t="s">
        <v>262</v>
      </c>
      <c r="H352" s="57" t="s">
        <v>211</v>
      </c>
      <c r="I352" s="58" t="n">
        <f aca="false">'P9-005'!$N$31</f>
        <v>46328</v>
      </c>
      <c r="J352" s="58" t="n">
        <f aca="false">'P9-005'!$O$31</f>
        <v>46328</v>
      </c>
      <c r="K352" s="56" t="str">
        <f aca="false">IF(OR(L352="Y",LEFT('P9-005'!$T$31,1)="D"),"",IF(AND(ISNUMBER(J352),J352&lt;ASOF),"⚠ เลยกำหนด",IF(AND(ISNUMBER(I352),I352&lt;=ASOF+14,J352&gt;=ASOF-7),"ช่วงนี้","")))</f>
        <v>ช่วงนี้</v>
      </c>
      <c r="L352" s="59"/>
      <c r="M352" s="60"/>
    </row>
    <row r="353" customFormat="false" ht="15" hidden="false" customHeight="false" outlineLevel="0" collapsed="false">
      <c r="A353" s="54" t="s">
        <v>58</v>
      </c>
      <c r="B353" s="55" t="s">
        <v>472</v>
      </c>
      <c r="C353" s="56" t="s">
        <v>473</v>
      </c>
      <c r="D353" s="57" t="s">
        <v>60</v>
      </c>
      <c r="E353" s="57" t="s">
        <v>263</v>
      </c>
      <c r="F353" s="55" t="s">
        <v>264</v>
      </c>
      <c r="G353" s="55" t="s">
        <v>265</v>
      </c>
      <c r="H353" s="57" t="s">
        <v>211</v>
      </c>
      <c r="I353" s="58" t="n">
        <f aca="false">'P9-005'!$N$32</f>
        <v>46328</v>
      </c>
      <c r="J353" s="58" t="n">
        <f aca="false">'P9-005'!$O$32</f>
        <v>46328</v>
      </c>
      <c r="K353" s="56" t="str">
        <f aca="false">IF(OR(L353="Y",LEFT('P9-005'!$T$32,1)="D"),"",IF(AND(ISNUMBER(J353),J353&lt;ASOF),"⚠ เลยกำหนด",IF(AND(ISNUMBER(I353),I353&lt;=ASOF+14,J353&gt;=ASOF-7),"ช่วงนี้","")))</f>
        <v>ช่วงนี้</v>
      </c>
      <c r="L353" s="59"/>
      <c r="M353" s="60"/>
    </row>
    <row r="354" customFormat="false" ht="15" hidden="false" customHeight="false" outlineLevel="0" collapsed="false">
      <c r="A354" s="54" t="s">
        <v>58</v>
      </c>
      <c r="B354" s="55" t="s">
        <v>472</v>
      </c>
      <c r="C354" s="56" t="s">
        <v>473</v>
      </c>
      <c r="D354" s="57" t="s">
        <v>60</v>
      </c>
      <c r="E354" s="57" t="s">
        <v>266</v>
      </c>
      <c r="F354" s="55" t="s">
        <v>267</v>
      </c>
      <c r="G354" s="55" t="s">
        <v>268</v>
      </c>
      <c r="H354" s="57" t="s">
        <v>211</v>
      </c>
      <c r="I354" s="58" t="n">
        <f aca="false">'P9-005'!$N$33</f>
        <v>46328</v>
      </c>
      <c r="J354" s="58" t="n">
        <f aca="false">'P9-005'!$O$33</f>
        <v>46328</v>
      </c>
      <c r="K354" s="56" t="str">
        <f aca="false">IF(OR(L354="Y",LEFT('P9-005'!$T$33,1)="D"),"",IF(AND(ISNUMBER(J354),J354&lt;ASOF),"⚠ เลยกำหนด",IF(AND(ISNUMBER(I354),I354&lt;=ASOF+14,J354&gt;=ASOF-7),"ช่วงนี้","")))</f>
        <v>ช่วงนี้</v>
      </c>
      <c r="L354" s="59"/>
      <c r="M354" s="60"/>
    </row>
    <row r="355" customFormat="false" ht="15" hidden="false" customHeight="false" outlineLevel="0" collapsed="false">
      <c r="A355" s="54" t="s">
        <v>58</v>
      </c>
      <c r="B355" s="55" t="s">
        <v>472</v>
      </c>
      <c r="C355" s="56" t="s">
        <v>473</v>
      </c>
      <c r="D355" s="57" t="s">
        <v>60</v>
      </c>
      <c r="E355" s="57" t="s">
        <v>269</v>
      </c>
      <c r="F355" s="61" t="s">
        <v>270</v>
      </c>
      <c r="G355" s="61" t="s">
        <v>271</v>
      </c>
      <c r="H355" s="57" t="s">
        <v>211</v>
      </c>
      <c r="I355" s="58" t="n">
        <f aca="false">'P9-005'!$N$35</f>
        <v>46328</v>
      </c>
      <c r="J355" s="58" t="n">
        <f aca="false">'P9-005'!$O$35</f>
        <v>46328</v>
      </c>
      <c r="K355" s="56" t="str">
        <f aca="false">IF(OR(L355="Y",LEFT('P9-005'!$T$35,1)="D"),"",IF(AND(ISNUMBER(J355),J355&lt;ASOF),"⚠ เลยกำหนด",IF(AND(ISNUMBER(I355),I355&lt;=ASOF+14,J355&gt;=ASOF-7),"ช่วงนี้","")))</f>
        <v>ช่วงนี้</v>
      </c>
      <c r="L355" s="59"/>
      <c r="M355" s="60"/>
    </row>
    <row r="356" customFormat="false" ht="15" hidden="false" customHeight="false" outlineLevel="0" collapsed="false">
      <c r="A356" s="54" t="s">
        <v>58</v>
      </c>
      <c r="B356" s="55" t="s">
        <v>472</v>
      </c>
      <c r="C356" s="56" t="s">
        <v>473</v>
      </c>
      <c r="D356" s="57" t="s">
        <v>60</v>
      </c>
      <c r="E356" s="57" t="s">
        <v>272</v>
      </c>
      <c r="F356" s="55" t="s">
        <v>273</v>
      </c>
      <c r="G356" s="55" t="s">
        <v>274</v>
      </c>
      <c r="H356" s="57" t="s">
        <v>211</v>
      </c>
      <c r="I356" s="58" t="n">
        <f aca="false">'P9-005'!$N$36</f>
        <v>46328</v>
      </c>
      <c r="J356" s="58" t="n">
        <f aca="false">'P9-005'!$O$36</f>
        <v>46328</v>
      </c>
      <c r="K356" s="56" t="str">
        <f aca="false">IF(OR(L356="Y",LEFT('P9-005'!$T$36,1)="D"),"",IF(AND(ISNUMBER(J356),J356&lt;ASOF),"⚠ เลยกำหนด",IF(AND(ISNUMBER(I356),I356&lt;=ASOF+14,J356&gt;=ASOF-7),"ช่วงนี้","")))</f>
        <v>ช่วงนี้</v>
      </c>
      <c r="L356" s="59"/>
      <c r="M356" s="60"/>
    </row>
    <row r="357" customFormat="false" ht="15" hidden="false" customHeight="false" outlineLevel="0" collapsed="false">
      <c r="A357" s="54" t="s">
        <v>58</v>
      </c>
      <c r="B357" s="55" t="s">
        <v>472</v>
      </c>
      <c r="C357" s="56" t="s">
        <v>473</v>
      </c>
      <c r="D357" s="57" t="s">
        <v>60</v>
      </c>
      <c r="E357" s="57" t="s">
        <v>275</v>
      </c>
      <c r="F357" s="55" t="s">
        <v>276</v>
      </c>
      <c r="G357" s="55" t="s">
        <v>277</v>
      </c>
      <c r="H357" s="57" t="s">
        <v>211</v>
      </c>
      <c r="I357" s="58" t="n">
        <f aca="false">'P9-005'!$N$37</f>
        <v>46328</v>
      </c>
      <c r="J357" s="58" t="n">
        <f aca="false">'P9-005'!$O$37</f>
        <v>46328</v>
      </c>
      <c r="K357" s="56" t="str">
        <f aca="false">IF(OR(L357="Y",LEFT('P9-005'!$T$37,1)="D"),"",IF(AND(ISNUMBER(J357),J357&lt;ASOF),"⚠ เลยกำหนด",IF(AND(ISNUMBER(I357),I357&lt;=ASOF+14,J357&gt;=ASOF-7),"ช่วงนี้","")))</f>
        <v>ช่วงนี้</v>
      </c>
      <c r="L357" s="59"/>
      <c r="M357" s="60"/>
    </row>
    <row r="358" customFormat="false" ht="15" hidden="false" customHeight="false" outlineLevel="0" collapsed="false">
      <c r="A358" s="54" t="s">
        <v>58</v>
      </c>
      <c r="B358" s="55" t="s">
        <v>472</v>
      </c>
      <c r="C358" s="56" t="s">
        <v>473</v>
      </c>
      <c r="D358" s="57" t="s">
        <v>60</v>
      </c>
      <c r="E358" s="57" t="s">
        <v>278</v>
      </c>
      <c r="F358" s="55" t="s">
        <v>279</v>
      </c>
      <c r="G358" s="55" t="s">
        <v>280</v>
      </c>
      <c r="H358" s="57" t="s">
        <v>211</v>
      </c>
      <c r="I358" s="58" t="n">
        <f aca="false">'P9-005'!$N$38</f>
        <v>46328</v>
      </c>
      <c r="J358" s="58" t="n">
        <f aca="false">'P9-005'!$O$38</f>
        <v>46328</v>
      </c>
      <c r="K358" s="56" t="str">
        <f aca="false">IF(OR(L358="Y",LEFT('P9-005'!$T$38,1)="D"),"",IF(AND(ISNUMBER(J358),J358&lt;ASOF),"⚠ เลยกำหนด",IF(AND(ISNUMBER(I358),I358&lt;=ASOF+14,J358&gt;=ASOF-7),"ช่วงนี้","")))</f>
        <v>ช่วงนี้</v>
      </c>
      <c r="L358" s="59"/>
      <c r="M358" s="60"/>
    </row>
    <row r="359" customFormat="false" ht="15" hidden="false" customHeight="false" outlineLevel="0" collapsed="false">
      <c r="A359" s="54" t="s">
        <v>58</v>
      </c>
      <c r="B359" s="55" t="s">
        <v>472</v>
      </c>
      <c r="C359" s="56" t="s">
        <v>473</v>
      </c>
      <c r="D359" s="57" t="s">
        <v>60</v>
      </c>
      <c r="E359" s="57" t="s">
        <v>281</v>
      </c>
      <c r="F359" s="55" t="s">
        <v>282</v>
      </c>
      <c r="G359" s="55" t="s">
        <v>283</v>
      </c>
      <c r="H359" s="57" t="s">
        <v>211</v>
      </c>
      <c r="I359" s="58" t="n">
        <f aca="false">'P9-005'!$N$40</f>
        <v>46328</v>
      </c>
      <c r="J359" s="58" t="n">
        <f aca="false">'P9-005'!$O$40</f>
        <v>46328</v>
      </c>
      <c r="K359" s="56" t="str">
        <f aca="false">IF(OR(L359="Y",LEFT('P9-005'!$T$40,1)="D"),"",IF(AND(ISNUMBER(J359),J359&lt;ASOF),"⚠ เลยกำหนด",IF(AND(ISNUMBER(I359),I359&lt;=ASOF+14,J359&gt;=ASOF-7),"ช่วงนี้","")))</f>
        <v>ช่วงนี้</v>
      </c>
      <c r="L359" s="59"/>
      <c r="M359" s="60"/>
    </row>
    <row r="360" customFormat="false" ht="15" hidden="false" customHeight="false" outlineLevel="0" collapsed="false">
      <c r="A360" s="54" t="s">
        <v>58</v>
      </c>
      <c r="B360" s="55" t="s">
        <v>472</v>
      </c>
      <c r="C360" s="56" t="s">
        <v>473</v>
      </c>
      <c r="D360" s="57" t="s">
        <v>60</v>
      </c>
      <c r="E360" s="57" t="s">
        <v>284</v>
      </c>
      <c r="F360" s="55" t="s">
        <v>285</v>
      </c>
      <c r="G360" s="61" t="s">
        <v>286</v>
      </c>
      <c r="H360" s="57" t="s">
        <v>211</v>
      </c>
      <c r="I360" s="58" t="n">
        <f aca="false">'P9-005'!$N$41</f>
        <v>46328</v>
      </c>
      <c r="J360" s="58" t="n">
        <f aca="false">'P9-005'!$O$41</f>
        <v>46328</v>
      </c>
      <c r="K360" s="56" t="str">
        <f aca="false">IF(OR(L360="Y",LEFT('P9-005'!$T$41,1)="D"),"",IF(AND(ISNUMBER(J360),J360&lt;ASOF),"⚠ เลยกำหนด",IF(AND(ISNUMBER(I360),I360&lt;=ASOF+14,J360&gt;=ASOF-7),"ช่วงนี้","")))</f>
        <v>ช่วงนี้</v>
      </c>
      <c r="L360" s="59"/>
      <c r="M360" s="60"/>
    </row>
    <row r="361" customFormat="false" ht="15" hidden="false" customHeight="false" outlineLevel="0" collapsed="false">
      <c r="A361" s="54" t="s">
        <v>58</v>
      </c>
      <c r="B361" s="55" t="s">
        <v>472</v>
      </c>
      <c r="C361" s="56" t="s">
        <v>473</v>
      </c>
      <c r="D361" s="57" t="s">
        <v>60</v>
      </c>
      <c r="E361" s="57" t="s">
        <v>287</v>
      </c>
      <c r="F361" s="55" t="s">
        <v>288</v>
      </c>
      <c r="G361" s="61" t="s">
        <v>289</v>
      </c>
      <c r="H361" s="57" t="s">
        <v>211</v>
      </c>
      <c r="I361" s="58" t="n">
        <f aca="false">'P9-005'!$N$42</f>
        <v>46328</v>
      </c>
      <c r="J361" s="58" t="n">
        <f aca="false">'P9-005'!$O$42</f>
        <v>46328</v>
      </c>
      <c r="K361" s="56" t="str">
        <f aca="false">IF(OR(L361="Y",LEFT('P9-005'!$T$42,1)="D"),"",IF(AND(ISNUMBER(J361),J361&lt;ASOF),"⚠ เลยกำหนด",IF(AND(ISNUMBER(I361),I361&lt;=ASOF+14,J361&gt;=ASOF-7),"ช่วงนี้","")))</f>
        <v>ช่วงนี้</v>
      </c>
      <c r="L361" s="59"/>
      <c r="M361" s="60"/>
    </row>
    <row r="362" customFormat="false" ht="15" hidden="false" customHeight="false" outlineLevel="0" collapsed="false">
      <c r="A362" s="54" t="s">
        <v>58</v>
      </c>
      <c r="B362" s="55" t="s">
        <v>472</v>
      </c>
      <c r="C362" s="56" t="s">
        <v>473</v>
      </c>
      <c r="D362" s="57" t="s">
        <v>60</v>
      </c>
      <c r="E362" s="57" t="s">
        <v>290</v>
      </c>
      <c r="F362" s="55" t="s">
        <v>291</v>
      </c>
      <c r="G362" s="55" t="s">
        <v>292</v>
      </c>
      <c r="H362" s="57" t="s">
        <v>211</v>
      </c>
      <c r="I362" s="58" t="n">
        <f aca="false">'P9-005'!$N$44</f>
        <v>46328</v>
      </c>
      <c r="J362" s="58" t="n">
        <f aca="false">'P9-005'!$O$44</f>
        <v>46328</v>
      </c>
      <c r="K362" s="56" t="str">
        <f aca="false">IF(OR(L362="Y",LEFT('P9-005'!$T$44,1)="D"),"",IF(AND(ISNUMBER(J362),J362&lt;ASOF),"⚠ เลยกำหนด",IF(AND(ISNUMBER(I362),I362&lt;=ASOF+14,J362&gt;=ASOF-7),"ช่วงนี้","")))</f>
        <v>ช่วงนี้</v>
      </c>
      <c r="L362" s="59"/>
      <c r="M362" s="60"/>
    </row>
    <row r="363" customFormat="false" ht="15" hidden="false" customHeight="false" outlineLevel="0" collapsed="false">
      <c r="A363" s="54" t="s">
        <v>58</v>
      </c>
      <c r="B363" s="55" t="s">
        <v>472</v>
      </c>
      <c r="C363" s="56" t="s">
        <v>473</v>
      </c>
      <c r="D363" s="57" t="s">
        <v>60</v>
      </c>
      <c r="E363" s="57" t="s">
        <v>293</v>
      </c>
      <c r="F363" s="55" t="s">
        <v>294</v>
      </c>
      <c r="G363" s="55" t="s">
        <v>295</v>
      </c>
      <c r="H363" s="57" t="s">
        <v>211</v>
      </c>
      <c r="I363" s="58" t="n">
        <f aca="false">'P9-005'!$N$45</f>
        <v>46328</v>
      </c>
      <c r="J363" s="58" t="n">
        <f aca="false">'P9-005'!$O$45</f>
        <v>46328</v>
      </c>
      <c r="K363" s="56" t="str">
        <f aca="false">IF(OR(L363="Y",LEFT('P9-005'!$T$45,1)="D"),"",IF(AND(ISNUMBER(J363),J363&lt;ASOF),"⚠ เลยกำหนด",IF(AND(ISNUMBER(I363),I363&lt;=ASOF+14,J363&gt;=ASOF-7),"ช่วงนี้","")))</f>
        <v>ช่วงนี้</v>
      </c>
      <c r="L363" s="59"/>
      <c r="M363" s="60"/>
    </row>
    <row r="364" customFormat="false" ht="15" hidden="false" customHeight="false" outlineLevel="0" collapsed="false">
      <c r="A364" s="54" t="s">
        <v>58</v>
      </c>
      <c r="B364" s="55" t="s">
        <v>472</v>
      </c>
      <c r="C364" s="56" t="s">
        <v>473</v>
      </c>
      <c r="D364" s="57" t="s">
        <v>60</v>
      </c>
      <c r="E364" s="57" t="s">
        <v>296</v>
      </c>
      <c r="F364" s="55" t="s">
        <v>297</v>
      </c>
      <c r="G364" s="55" t="s">
        <v>298</v>
      </c>
      <c r="H364" s="57" t="s">
        <v>211</v>
      </c>
      <c r="I364" s="58" t="n">
        <f aca="false">'P9-005'!$N$46</f>
        <v>46328</v>
      </c>
      <c r="J364" s="58" t="n">
        <f aca="false">'P9-005'!$O$46</f>
        <v>46328</v>
      </c>
      <c r="K364" s="56" t="str">
        <f aca="false">IF(OR(L364="Y",LEFT('P9-005'!$T$46,1)="D"),"",IF(AND(ISNUMBER(J364),J364&lt;ASOF),"⚠ เลยกำหนด",IF(AND(ISNUMBER(I364),I364&lt;=ASOF+14,J364&gt;=ASOF-7),"ช่วงนี้","")))</f>
        <v>ช่วงนี้</v>
      </c>
      <c r="L364" s="59"/>
      <c r="M364" s="60"/>
    </row>
    <row r="365" customFormat="false" ht="15" hidden="false" customHeight="false" outlineLevel="0" collapsed="false">
      <c r="A365" s="54" t="s">
        <v>58</v>
      </c>
      <c r="B365" s="55" t="s">
        <v>472</v>
      </c>
      <c r="C365" s="56" t="s">
        <v>473</v>
      </c>
      <c r="D365" s="57" t="s">
        <v>60</v>
      </c>
      <c r="E365" s="57" t="s">
        <v>299</v>
      </c>
      <c r="F365" s="55" t="s">
        <v>300</v>
      </c>
      <c r="G365" s="55" t="s">
        <v>301</v>
      </c>
      <c r="H365" s="57" t="s">
        <v>211</v>
      </c>
      <c r="I365" s="58" t="str">
        <f aca="false">'P9-005'!$N$53</f>
        <v/>
      </c>
      <c r="J365" s="58" t="str">
        <f aca="false">'P9-005'!$O$53</f>
        <v/>
      </c>
      <c r="K365" s="56" t="str">
        <f aca="false">IF(OR(L365="Y",LEFT('P9-005'!$T$53,1)="D"),"",IF(AND(ISNUMBER(J365),J365&lt;ASOF),"⚠ เลยกำหนด",IF(AND(ISNUMBER(I365),I365&lt;=ASOF+14,J365&gt;=ASOF-7),"ช่วงนี้","")))</f>
        <v/>
      </c>
      <c r="L365" s="59"/>
      <c r="M365" s="60"/>
    </row>
    <row r="366" customFormat="false" ht="15" hidden="false" customHeight="false" outlineLevel="0" collapsed="false">
      <c r="A366" s="54" t="s">
        <v>58</v>
      </c>
      <c r="B366" s="55" t="s">
        <v>472</v>
      </c>
      <c r="C366" s="56" t="s">
        <v>473</v>
      </c>
      <c r="D366" s="57" t="s">
        <v>60</v>
      </c>
      <c r="E366" s="57" t="s">
        <v>302</v>
      </c>
      <c r="F366" s="55" t="s">
        <v>303</v>
      </c>
      <c r="G366" s="55" t="s">
        <v>304</v>
      </c>
      <c r="H366" s="57" t="s">
        <v>211</v>
      </c>
      <c r="I366" s="58" t="str">
        <f aca="false">'P9-005'!$N$54</f>
        <v/>
      </c>
      <c r="J366" s="58" t="str">
        <f aca="false">'P9-005'!$O$54</f>
        <v/>
      </c>
      <c r="K366" s="56" t="str">
        <f aca="false">IF(OR(L366="Y",LEFT('P9-005'!$T$54,1)="D"),"",IF(AND(ISNUMBER(J366),J366&lt;ASOF),"⚠ เลยกำหนด",IF(AND(ISNUMBER(I366),I366&lt;=ASOF+14,J366&gt;=ASOF-7),"ช่วงนี้","")))</f>
        <v/>
      </c>
      <c r="L366" s="59"/>
      <c r="M366" s="60"/>
    </row>
    <row r="367" customFormat="false" ht="15" hidden="false" customHeight="false" outlineLevel="0" collapsed="false">
      <c r="A367" s="54" t="s">
        <v>58</v>
      </c>
      <c r="B367" s="55" t="s">
        <v>472</v>
      </c>
      <c r="C367" s="56" t="s">
        <v>473</v>
      </c>
      <c r="D367" s="57" t="s">
        <v>60</v>
      </c>
      <c r="E367" s="57" t="s">
        <v>305</v>
      </c>
      <c r="F367" s="55" t="s">
        <v>306</v>
      </c>
      <c r="G367" s="55" t="s">
        <v>307</v>
      </c>
      <c r="H367" s="56" t="str">
        <f aca="false">IF(COUNTIFS(SITE_ST,"P9-005",SITE_TYPE,"?*")&gt;0,"ตามจุดติดตั้ง →","0/100")</f>
        <v>ตามจุดติดตั้ง →</v>
      </c>
      <c r="I367" s="58" t="n">
        <f aca="false">'P9-005'!$N$63</f>
        <v>46328</v>
      </c>
      <c r="J367" s="58" t="n">
        <f aca="false">'P9-005'!$O$63</f>
        <v>46329</v>
      </c>
      <c r="K367" s="56" t="str">
        <f aca="false">IF(OR(L367="Y",LEFT('P9-005'!$T$63,1)="D"),"",IF(AND(ISNUMBER(J367),J367&lt;ASOF),"⚠ เลยกำหนด",IF(AND(ISNUMBER(I367),I367&lt;=ASOF+14,J367&gt;=ASOF-7),"ช่วงนี้","")))</f>
        <v>ช่วงนี้</v>
      </c>
      <c r="L367" s="59"/>
      <c r="M367" s="60"/>
    </row>
    <row r="368" customFormat="false" ht="15" hidden="false" customHeight="false" outlineLevel="0" collapsed="false">
      <c r="A368" s="54" t="s">
        <v>58</v>
      </c>
      <c r="B368" s="55" t="s">
        <v>472</v>
      </c>
      <c r="C368" s="56" t="s">
        <v>473</v>
      </c>
      <c r="D368" s="57" t="s">
        <v>60</v>
      </c>
      <c r="E368" s="57" t="s">
        <v>308</v>
      </c>
      <c r="F368" s="55" t="s">
        <v>309</v>
      </c>
      <c r="G368" s="55" t="s">
        <v>310</v>
      </c>
      <c r="H368" s="57" t="s">
        <v>211</v>
      </c>
      <c r="I368" s="58" t="n">
        <f aca="false">'P9-005'!$N$64</f>
        <v>46328</v>
      </c>
      <c r="J368" s="58" t="n">
        <f aca="false">'P9-005'!$O$64</f>
        <v>46331</v>
      </c>
      <c r="K368" s="56" t="str">
        <f aca="false">IF(OR(L368="Y",LEFT('P9-005'!$T$64,1)="D"),"",IF(AND(ISNUMBER(J368),J368&lt;ASOF),"⚠ เลยกำหนด",IF(AND(ISNUMBER(I368),I368&lt;=ASOF+14,J368&gt;=ASOF-7),"ช่วงนี้","")))</f>
        <v>ช่วงนี้</v>
      </c>
      <c r="L368" s="59"/>
      <c r="M368" s="60"/>
    </row>
    <row r="369" customFormat="false" ht="15" hidden="false" customHeight="false" outlineLevel="0" collapsed="false">
      <c r="A369" s="54" t="s">
        <v>58</v>
      </c>
      <c r="B369" s="55" t="s">
        <v>472</v>
      </c>
      <c r="C369" s="56" t="s">
        <v>473</v>
      </c>
      <c r="D369" s="57" t="s">
        <v>60</v>
      </c>
      <c r="E369" s="57" t="s">
        <v>311</v>
      </c>
      <c r="F369" s="55" t="s">
        <v>312</v>
      </c>
      <c r="G369" s="55" t="s">
        <v>313</v>
      </c>
      <c r="H369" s="56" t="str">
        <f aca="false">IF(COUNTIFS(SITE_ST,"P9-005",SITE_TYPE,"?*")&gt;0,"ตามจุดติดตั้ง →","50/50")</f>
        <v>ตามจุดติดตั้ง →</v>
      </c>
      <c r="I369" s="58" t="n">
        <f aca="false">'P9-005'!$N$65</f>
        <v>46329</v>
      </c>
      <c r="J369" s="58" t="n">
        <f aca="false">'P9-005'!$O$65</f>
        <v>46335</v>
      </c>
      <c r="K369" s="56" t="str">
        <f aca="false">IF(OR(L369="Y",LEFT('P9-005'!$T$65,1)="D"),"",IF(AND(ISNUMBER(J369),J369&lt;ASOF),"⚠ เลยกำหนด",IF(AND(ISNUMBER(I369),I369&lt;=ASOF+14,J369&gt;=ASOF-7),"ช่วงนี้","")))</f>
        <v>ช่วงนี้</v>
      </c>
      <c r="L369" s="59"/>
      <c r="M369" s="60"/>
    </row>
    <row r="370" customFormat="false" ht="15" hidden="false" customHeight="false" outlineLevel="0" collapsed="false">
      <c r="A370" s="54" t="s">
        <v>58</v>
      </c>
      <c r="B370" s="55" t="s">
        <v>472</v>
      </c>
      <c r="C370" s="56" t="s">
        <v>473</v>
      </c>
      <c r="D370" s="57" t="s">
        <v>60</v>
      </c>
      <c r="E370" s="57" t="s">
        <v>314</v>
      </c>
      <c r="F370" s="55" t="s">
        <v>315</v>
      </c>
      <c r="G370" s="61" t="s">
        <v>316</v>
      </c>
      <c r="H370" s="56" t="str">
        <f aca="false">IF(COUNTIFS(SITE_ST,"P9-005",SITE_TYPE,"?*")&gt;0,"ตามจุดติดตั้ง →","50/50")</f>
        <v>ตามจุดติดตั้ง →</v>
      </c>
      <c r="I370" s="58" t="n">
        <f aca="false">'P9-005'!$N$66</f>
        <v>46333</v>
      </c>
      <c r="J370" s="58" t="n">
        <f aca="false">'P9-005'!$O$66</f>
        <v>46339</v>
      </c>
      <c r="K370" s="56" t="str">
        <f aca="false">IF(OR(L370="Y",LEFT('P9-005'!$T$66,1)="D"),"",IF(AND(ISNUMBER(J370),J370&lt;ASOF),"⚠ เลยกำหนด",IF(AND(ISNUMBER(I370),I370&lt;=ASOF+14,J370&gt;=ASOF-7),"ช่วงนี้","")))</f>
        <v>ช่วงนี้</v>
      </c>
      <c r="L370" s="59"/>
      <c r="M370" s="60"/>
    </row>
    <row r="371" customFormat="false" ht="15" hidden="false" customHeight="false" outlineLevel="0" collapsed="false">
      <c r="A371" s="54" t="s">
        <v>58</v>
      </c>
      <c r="B371" s="55" t="s">
        <v>472</v>
      </c>
      <c r="C371" s="56" t="s">
        <v>473</v>
      </c>
      <c r="D371" s="57" t="s">
        <v>60</v>
      </c>
      <c r="E371" s="57" t="s">
        <v>317</v>
      </c>
      <c r="F371" s="61" t="s">
        <v>318</v>
      </c>
      <c r="G371" s="61" t="s">
        <v>319</v>
      </c>
      <c r="H371" s="56" t="str">
        <f aca="false">IF(COUNTIFS(SITE_ST,"P9-005",SITE_TYPE,"?*")&gt;0,"ตามจุดติดตั้ง →","50/50")</f>
        <v>ตามจุดติดตั้ง →</v>
      </c>
      <c r="I371" s="58" t="n">
        <f aca="false">'P9-005'!$N$67</f>
        <v>46336</v>
      </c>
      <c r="J371" s="58" t="n">
        <f aca="false">'P9-005'!$O$67</f>
        <v>46340</v>
      </c>
      <c r="K371" s="56" t="str">
        <f aca="false">IF(OR(L371="Y",LEFT('P9-005'!$T$67,1)="D"),"",IF(AND(ISNUMBER(J371),J371&lt;ASOF),"⚠ เลยกำหนด",IF(AND(ISNUMBER(I371),I371&lt;=ASOF+14,J371&gt;=ASOF-7),"ช่วงนี้","")))</f>
        <v>ช่วงนี้</v>
      </c>
      <c r="L371" s="59"/>
      <c r="M371" s="60"/>
    </row>
    <row r="372" customFormat="false" ht="15" hidden="false" customHeight="false" outlineLevel="0" collapsed="false">
      <c r="A372" s="54" t="s">
        <v>58</v>
      </c>
      <c r="B372" s="55" t="s">
        <v>472</v>
      </c>
      <c r="C372" s="56" t="s">
        <v>473</v>
      </c>
      <c r="D372" s="57" t="s">
        <v>60</v>
      </c>
      <c r="E372" s="57" t="s">
        <v>320</v>
      </c>
      <c r="F372" s="55" t="s">
        <v>321</v>
      </c>
      <c r="G372" s="55" t="s">
        <v>322</v>
      </c>
      <c r="H372" s="56" t="str">
        <f aca="false">IF(COUNTIFS(SITE_ST,"P9-005",SITE_TYPE,"?*")&gt;0,"ตามจุดติดตั้ง →","0/100")</f>
        <v>ตามจุดติดตั้ง →</v>
      </c>
      <c r="I372" s="58" t="n">
        <f aca="false">'P9-005'!$N$68</f>
        <v>46338</v>
      </c>
      <c r="J372" s="58" t="n">
        <f aca="false">'P9-005'!$O$68</f>
        <v>46341</v>
      </c>
      <c r="K372" s="56" t="str">
        <f aca="false">IF(OR(L372="Y",LEFT('P9-005'!$T$68,1)="D"),"",IF(AND(ISNUMBER(J372),J372&lt;ASOF),"⚠ เลยกำหนด",IF(AND(ISNUMBER(I372),I372&lt;=ASOF+14,J372&gt;=ASOF-7),"ช่วงนี้","")))</f>
        <v>ช่วงนี้</v>
      </c>
      <c r="L372" s="59"/>
      <c r="M372" s="60"/>
    </row>
    <row r="373" customFormat="false" ht="15" hidden="false" customHeight="false" outlineLevel="0" collapsed="false">
      <c r="A373" s="54" t="s">
        <v>58</v>
      </c>
      <c r="B373" s="55" t="s">
        <v>472</v>
      </c>
      <c r="C373" s="56" t="s">
        <v>473</v>
      </c>
      <c r="D373" s="57" t="s">
        <v>60</v>
      </c>
      <c r="E373" s="57" t="s">
        <v>323</v>
      </c>
      <c r="F373" s="61" t="s">
        <v>324</v>
      </c>
      <c r="G373" s="55" t="s">
        <v>325</v>
      </c>
      <c r="H373" s="56" t="str">
        <f aca="false">IF(COUNTIFS(SITE_ST,"P9-005",SITE_TYPE,"?*")&gt;0,"ตามจุดติดตั้ง →","0/100")</f>
        <v>ตามจุดติดตั้ง →</v>
      </c>
      <c r="I373" s="58" t="n">
        <f aca="false">'P9-005'!$N$69</f>
        <v>46340</v>
      </c>
      <c r="J373" s="58" t="n">
        <f aca="false">'P9-005'!$O$69</f>
        <v>46341</v>
      </c>
      <c r="K373" s="56" t="str">
        <f aca="false">IF(OR(L373="Y",LEFT('P9-005'!$T$69,1)="D"),"",IF(AND(ISNUMBER(J373),J373&lt;ASOF),"⚠ เลยกำหนด",IF(AND(ISNUMBER(I373),I373&lt;=ASOF+14,J373&gt;=ASOF-7),"ช่วงนี้","")))</f>
        <v>ช่วงนี้</v>
      </c>
      <c r="L373" s="59"/>
      <c r="M373" s="60"/>
    </row>
    <row r="374" customFormat="false" ht="15" hidden="false" customHeight="false" outlineLevel="0" collapsed="false">
      <c r="A374" s="54" t="s">
        <v>58</v>
      </c>
      <c r="B374" s="55" t="s">
        <v>472</v>
      </c>
      <c r="C374" s="56" t="s">
        <v>473</v>
      </c>
      <c r="D374" s="57" t="s">
        <v>60</v>
      </c>
      <c r="E374" s="57" t="s">
        <v>326</v>
      </c>
      <c r="F374" s="55" t="s">
        <v>327</v>
      </c>
      <c r="G374" s="61" t="s">
        <v>328</v>
      </c>
      <c r="H374" s="56" t="str">
        <f aca="false">IF(COUNTIFS(SITE_ST,"P9-005",SITE_TYPE,"?*")&gt;0,"ตามจุดติดตั้ง →","50/50")</f>
        <v>ตามจุดติดตั้ง →</v>
      </c>
      <c r="I374" s="58" t="n">
        <f aca="false">'P9-005'!$N$71</f>
        <v>46343</v>
      </c>
      <c r="J374" s="58" t="n">
        <f aca="false">'P9-005'!$O$71</f>
        <v>46344</v>
      </c>
      <c r="K374" s="56" t="str">
        <f aca="false">IF(OR(L374="Y",LEFT('P9-005'!$T$71,1)="D"),"",IF(AND(ISNUMBER(J374),J374&lt;ASOF),"⚠ เลยกำหนด",IF(AND(ISNUMBER(I374),I374&lt;=ASOF+14,J374&gt;=ASOF-7),"ช่วงนี้","")))</f>
        <v/>
      </c>
      <c r="L374" s="59"/>
      <c r="M374" s="60"/>
    </row>
    <row r="375" customFormat="false" ht="15" hidden="false" customHeight="false" outlineLevel="0" collapsed="false">
      <c r="A375" s="54" t="s">
        <v>58</v>
      </c>
      <c r="B375" s="55" t="s">
        <v>472</v>
      </c>
      <c r="C375" s="56" t="s">
        <v>473</v>
      </c>
      <c r="D375" s="57" t="s">
        <v>60</v>
      </c>
      <c r="E375" s="57" t="s">
        <v>329</v>
      </c>
      <c r="F375" s="55" t="s">
        <v>330</v>
      </c>
      <c r="G375" s="55" t="s">
        <v>331</v>
      </c>
      <c r="H375" s="56" t="str">
        <f aca="false">IF(COUNTIFS(SITE_ST,"P9-005",SITE_TYPE,"?*")&gt;0,"ตามจุดติดตั้ง →","50/50")</f>
        <v>ตามจุดติดตั้ง →</v>
      </c>
      <c r="I375" s="58" t="n">
        <f aca="false">'P9-005'!$N$72</f>
        <v>46344</v>
      </c>
      <c r="J375" s="58" t="n">
        <f aca="false">'P9-005'!$O$72</f>
        <v>46345</v>
      </c>
      <c r="K375" s="56" t="str">
        <f aca="false">IF(OR(L375="Y",LEFT('P9-005'!$T$72,1)="D"),"",IF(AND(ISNUMBER(J375),J375&lt;ASOF),"⚠ เลยกำหนด",IF(AND(ISNUMBER(I375),I375&lt;=ASOF+14,J375&gt;=ASOF-7),"ช่วงนี้","")))</f>
        <v/>
      </c>
      <c r="L375" s="59"/>
      <c r="M375" s="60"/>
    </row>
    <row r="376" customFormat="false" ht="15" hidden="false" customHeight="false" outlineLevel="0" collapsed="false">
      <c r="A376" s="54" t="s">
        <v>58</v>
      </c>
      <c r="B376" s="55" t="s">
        <v>472</v>
      </c>
      <c r="C376" s="56" t="s">
        <v>473</v>
      </c>
      <c r="D376" s="57" t="s">
        <v>60</v>
      </c>
      <c r="E376" s="57" t="s">
        <v>332</v>
      </c>
      <c r="F376" s="55" t="s">
        <v>333</v>
      </c>
      <c r="G376" s="55" t="s">
        <v>334</v>
      </c>
      <c r="H376" s="56" t="str">
        <f aca="false">IF(COUNTIFS(SITE_ST,"P9-005",SITE_TYPE,"?*")&gt;0,"ตามจุดติดตั้ง →","0/100")</f>
        <v>ตามจุดติดตั้ง →</v>
      </c>
      <c r="I376" s="58" t="n">
        <f aca="false">'P9-005'!$N$73</f>
        <v>46344</v>
      </c>
      <c r="J376" s="58" t="n">
        <f aca="false">'P9-005'!$O$73</f>
        <v>46345</v>
      </c>
      <c r="K376" s="56" t="str">
        <f aca="false">IF(OR(L376="Y",LEFT('P9-005'!$T$73,1)="D"),"",IF(AND(ISNUMBER(J376),J376&lt;ASOF),"⚠ เลยกำหนด",IF(AND(ISNUMBER(I376),I376&lt;=ASOF+14,J376&gt;=ASOF-7),"ช่วงนี้","")))</f>
        <v/>
      </c>
      <c r="L376" s="59"/>
      <c r="M376" s="60"/>
    </row>
    <row r="377" customFormat="false" ht="15" hidden="false" customHeight="false" outlineLevel="0" collapsed="false">
      <c r="A377" s="54" t="s">
        <v>58</v>
      </c>
      <c r="B377" s="55" t="s">
        <v>472</v>
      </c>
      <c r="C377" s="56" t="s">
        <v>473</v>
      </c>
      <c r="D377" s="57" t="s">
        <v>60</v>
      </c>
      <c r="E377" s="57" t="s">
        <v>335</v>
      </c>
      <c r="F377" s="55" t="s">
        <v>336</v>
      </c>
      <c r="G377" s="61" t="s">
        <v>337</v>
      </c>
      <c r="H377" s="56" t="str">
        <f aca="false">IF(COUNTIFS(SITE_ST,"P9-005",SITE_TYPE,"?*")&gt;0,"ตามจุดติดตั้ง →","0/100")</f>
        <v>ตามจุดติดตั้ง →</v>
      </c>
      <c r="I377" s="58" t="n">
        <f aca="false">'P9-005'!$N$74</f>
        <v>46345</v>
      </c>
      <c r="J377" s="58" t="n">
        <f aca="false">'P9-005'!$O$74</f>
        <v>46346</v>
      </c>
      <c r="K377" s="56" t="str">
        <f aca="false">IF(OR(L377="Y",LEFT('P9-005'!$T$74,1)="D"),"",IF(AND(ISNUMBER(J377),J377&lt;ASOF),"⚠ เลยกำหนด",IF(AND(ISNUMBER(I377),I377&lt;=ASOF+14,J377&gt;=ASOF-7),"ช่วงนี้","")))</f>
        <v/>
      </c>
      <c r="L377" s="59"/>
      <c r="M377" s="60"/>
    </row>
    <row r="378" customFormat="false" ht="15" hidden="false" customHeight="false" outlineLevel="0" collapsed="false">
      <c r="A378" s="54" t="s">
        <v>58</v>
      </c>
      <c r="B378" s="55" t="s">
        <v>472</v>
      </c>
      <c r="C378" s="56" t="s">
        <v>473</v>
      </c>
      <c r="D378" s="57" t="s">
        <v>60</v>
      </c>
      <c r="E378" s="57" t="s">
        <v>338</v>
      </c>
      <c r="F378" s="61" t="s">
        <v>339</v>
      </c>
      <c r="G378" s="55" t="s">
        <v>340</v>
      </c>
      <c r="H378" s="56" t="str">
        <f aca="false">IF(COUNTIFS(SITE_ST,"P9-005",SITE_TYPE,"?*")&gt;0,"ตามจุดติดตั้ง →","0/100")</f>
        <v>ตามจุดติดตั้ง →</v>
      </c>
      <c r="I378" s="58" t="n">
        <f aca="false">'P9-005'!$N$75</f>
        <v>46345</v>
      </c>
      <c r="J378" s="58" t="n">
        <f aca="false">'P9-005'!$O$75</f>
        <v>46346</v>
      </c>
      <c r="K378" s="56" t="str">
        <f aca="false">IF(OR(L378="Y",LEFT('P9-005'!$T$75,1)="D"),"",IF(AND(ISNUMBER(J378),J378&lt;ASOF),"⚠ เลยกำหนด",IF(AND(ISNUMBER(I378),I378&lt;=ASOF+14,J378&gt;=ASOF-7),"ช่วงนี้","")))</f>
        <v/>
      </c>
      <c r="L378" s="59"/>
      <c r="M378" s="60"/>
    </row>
    <row r="379" customFormat="false" ht="15" hidden="false" customHeight="false" outlineLevel="0" collapsed="false">
      <c r="A379" s="54" t="s">
        <v>58</v>
      </c>
      <c r="B379" s="55" t="s">
        <v>472</v>
      </c>
      <c r="C379" s="56" t="s">
        <v>473</v>
      </c>
      <c r="D379" s="57" t="s">
        <v>60</v>
      </c>
      <c r="E379" s="57" t="s">
        <v>341</v>
      </c>
      <c r="F379" s="55" t="s">
        <v>342</v>
      </c>
      <c r="G379" s="55" t="s">
        <v>343</v>
      </c>
      <c r="H379" s="56" t="str">
        <f aca="false">IF(COUNTIFS(SITE_ST,"P9-005",SITE_TYPE,"?*")&gt;0,"ตามจุดติดตั้ง →","0/100")</f>
        <v>ตามจุดติดตั้ง →</v>
      </c>
      <c r="I379" s="58" t="n">
        <f aca="false">'P9-005'!$N$77</f>
        <v>46342</v>
      </c>
      <c r="J379" s="58" t="n">
        <f aca="false">'P9-005'!$O$77</f>
        <v>46344</v>
      </c>
      <c r="K379" s="56" t="str">
        <f aca="false">IF(OR(L379="Y",LEFT('P9-005'!$T$77,1)="D"),"",IF(AND(ISNUMBER(J379),J379&lt;ASOF),"⚠ เลยกำหนด",IF(AND(ISNUMBER(I379),I379&lt;=ASOF+14,J379&gt;=ASOF-7),"ช่วงนี้","")))</f>
        <v>ช่วงนี้</v>
      </c>
      <c r="L379" s="59"/>
      <c r="M379" s="60"/>
    </row>
    <row r="380" customFormat="false" ht="15" hidden="false" customHeight="false" outlineLevel="0" collapsed="false">
      <c r="A380" s="54" t="s">
        <v>58</v>
      </c>
      <c r="B380" s="55" t="s">
        <v>472</v>
      </c>
      <c r="C380" s="56" t="s">
        <v>473</v>
      </c>
      <c r="D380" s="57" t="s">
        <v>60</v>
      </c>
      <c r="E380" s="57" t="s">
        <v>344</v>
      </c>
      <c r="F380" s="55" t="s">
        <v>345</v>
      </c>
      <c r="G380" s="55" t="s">
        <v>346</v>
      </c>
      <c r="H380" s="56" t="str">
        <f aca="false">IF(COUNTIFS(SITE_ST,"P9-005",SITE_TYPE,"?*")&gt;0,"ตามจุดติดตั้ง →","50/50")</f>
        <v>ตามจุดติดตั้ง →</v>
      </c>
      <c r="I380" s="58" t="n">
        <f aca="false">'P9-005'!$N$78</f>
        <v>46343</v>
      </c>
      <c r="J380" s="58" t="n">
        <f aca="false">'P9-005'!$O$78</f>
        <v>46346</v>
      </c>
      <c r="K380" s="56" t="str">
        <f aca="false">IF(OR(L380="Y",LEFT('P9-005'!$T$78,1)="D"),"",IF(AND(ISNUMBER(J380),J380&lt;ASOF),"⚠ เลยกำหนด",IF(AND(ISNUMBER(I380),I380&lt;=ASOF+14,J380&gt;=ASOF-7),"ช่วงนี้","")))</f>
        <v/>
      </c>
      <c r="L380" s="59"/>
      <c r="M380" s="60"/>
    </row>
    <row r="381" customFormat="false" ht="15" hidden="false" customHeight="false" outlineLevel="0" collapsed="false">
      <c r="A381" s="54" t="s">
        <v>58</v>
      </c>
      <c r="B381" s="55" t="s">
        <v>472</v>
      </c>
      <c r="C381" s="56" t="s">
        <v>473</v>
      </c>
      <c r="D381" s="57" t="s">
        <v>60</v>
      </c>
      <c r="E381" s="57" t="s">
        <v>347</v>
      </c>
      <c r="F381" s="61" t="s">
        <v>348</v>
      </c>
      <c r="G381" s="55" t="s">
        <v>349</v>
      </c>
      <c r="H381" s="56" t="str">
        <f aca="false">IF(COUNTIFS(SITE_ST,"P9-005",SITE_TYPE,"?*")&gt;0,"ตามจุดติดตั้ง →","50/50")</f>
        <v>ตามจุดติดตั้ง →</v>
      </c>
      <c r="I381" s="58" t="n">
        <f aca="false">'P9-005'!$N$79</f>
        <v>46344</v>
      </c>
      <c r="J381" s="58" t="n">
        <f aca="false">'P9-005'!$O$79</f>
        <v>46347</v>
      </c>
      <c r="K381" s="56" t="str">
        <f aca="false">IF(OR(L381="Y",LEFT('P9-005'!$T$79,1)="D"),"",IF(AND(ISNUMBER(J381),J381&lt;ASOF),"⚠ เลยกำหนด",IF(AND(ISNUMBER(I381),I381&lt;=ASOF+14,J381&gt;=ASOF-7),"ช่วงนี้","")))</f>
        <v/>
      </c>
      <c r="L381" s="59"/>
      <c r="M381" s="60"/>
    </row>
    <row r="382" customFormat="false" ht="15" hidden="false" customHeight="false" outlineLevel="0" collapsed="false">
      <c r="A382" s="54" t="s">
        <v>58</v>
      </c>
      <c r="B382" s="55" t="s">
        <v>472</v>
      </c>
      <c r="C382" s="56" t="s">
        <v>473</v>
      </c>
      <c r="D382" s="57" t="s">
        <v>60</v>
      </c>
      <c r="E382" s="57" t="s">
        <v>350</v>
      </c>
      <c r="F382" s="61" t="s">
        <v>351</v>
      </c>
      <c r="G382" s="55" t="s">
        <v>352</v>
      </c>
      <c r="H382" s="56" t="str">
        <f aca="false">IF(COUNTIFS(SITE_ST,"P9-005",SITE_TYPE,"?*")&gt;0,"ตามจุดติดตั้ง →","0/100")</f>
        <v>ตามจุดติดตั้ง →</v>
      </c>
      <c r="I382" s="58" t="n">
        <f aca="false">'P9-005'!$N$80</f>
        <v>46346</v>
      </c>
      <c r="J382" s="58" t="n">
        <f aca="false">'P9-005'!$O$80</f>
        <v>46347</v>
      </c>
      <c r="K382" s="56" t="str">
        <f aca="false">IF(OR(L382="Y",LEFT('P9-005'!$T$80,1)="D"),"",IF(AND(ISNUMBER(J382),J382&lt;ASOF),"⚠ เลยกำหนด",IF(AND(ISNUMBER(I382),I382&lt;=ASOF+14,J382&gt;=ASOF-7),"ช่วงนี้","")))</f>
        <v/>
      </c>
      <c r="L382" s="59"/>
      <c r="M382" s="60"/>
    </row>
    <row r="383" customFormat="false" ht="15" hidden="false" customHeight="false" outlineLevel="0" collapsed="false">
      <c r="A383" s="54" t="s">
        <v>58</v>
      </c>
      <c r="B383" s="55" t="s">
        <v>472</v>
      </c>
      <c r="C383" s="56" t="s">
        <v>473</v>
      </c>
      <c r="D383" s="57" t="s">
        <v>60</v>
      </c>
      <c r="E383" s="57" t="s">
        <v>353</v>
      </c>
      <c r="F383" s="61" t="s">
        <v>354</v>
      </c>
      <c r="G383" s="55" t="s">
        <v>355</v>
      </c>
      <c r="H383" s="56" t="str">
        <f aca="false">IF(COUNTIFS(SITE_ST,"P9-005",SITE_TYPE,"?*")&gt;0,"ตามจุดติดตั้ง →","0/100")</f>
        <v>ตามจุดติดตั้ง →</v>
      </c>
      <c r="I383" s="58" t="n">
        <f aca="false">'P9-005'!$N$81</f>
        <v>46347</v>
      </c>
      <c r="J383" s="58" t="n">
        <f aca="false">'P9-005'!$O$81</f>
        <v>46347</v>
      </c>
      <c r="K383" s="56" t="str">
        <f aca="false">IF(OR(L383="Y",LEFT('P9-005'!$T$81,1)="D"),"",IF(AND(ISNUMBER(J383),J383&lt;ASOF),"⚠ เลยกำหนด",IF(AND(ISNUMBER(I383),I383&lt;=ASOF+14,J383&gt;=ASOF-7),"ช่วงนี้","")))</f>
        <v/>
      </c>
      <c r="L383" s="59"/>
      <c r="M383" s="60"/>
    </row>
    <row r="384" customFormat="false" ht="15" hidden="false" customHeight="false" outlineLevel="0" collapsed="false">
      <c r="A384" s="54" t="s">
        <v>58</v>
      </c>
      <c r="B384" s="55" t="s">
        <v>472</v>
      </c>
      <c r="C384" s="56" t="s">
        <v>473</v>
      </c>
      <c r="D384" s="57" t="s">
        <v>60</v>
      </c>
      <c r="E384" s="57" t="s">
        <v>356</v>
      </c>
      <c r="F384" s="55" t="s">
        <v>357</v>
      </c>
      <c r="G384" s="55" t="s">
        <v>358</v>
      </c>
      <c r="H384" s="57" t="s">
        <v>211</v>
      </c>
      <c r="I384" s="58" t="n">
        <f aca="false">'P9-005'!$N$83</f>
        <v>46345</v>
      </c>
      <c r="J384" s="58" t="n">
        <f aca="false">'P9-005'!$O$83</f>
        <v>46346</v>
      </c>
      <c r="K384" s="56" t="str">
        <f aca="false">IF(OR(L384="Y",LEFT('P9-005'!$T$83,1)="D"),"",IF(AND(ISNUMBER(J384),J384&lt;ASOF),"⚠ เลยกำหนด",IF(AND(ISNUMBER(I384),I384&lt;=ASOF+14,J384&gt;=ASOF-7),"ช่วงนี้","")))</f>
        <v/>
      </c>
      <c r="L384" s="59"/>
      <c r="M384" s="60"/>
    </row>
    <row r="385" customFormat="false" ht="15" hidden="false" customHeight="false" outlineLevel="0" collapsed="false">
      <c r="A385" s="54" t="s">
        <v>58</v>
      </c>
      <c r="B385" s="55" t="s">
        <v>472</v>
      </c>
      <c r="C385" s="56" t="s">
        <v>473</v>
      </c>
      <c r="D385" s="57" t="s">
        <v>60</v>
      </c>
      <c r="E385" s="57" t="s">
        <v>359</v>
      </c>
      <c r="F385" s="55" t="s">
        <v>360</v>
      </c>
      <c r="G385" s="55" t="s">
        <v>361</v>
      </c>
      <c r="H385" s="57" t="s">
        <v>211</v>
      </c>
      <c r="I385" s="58" t="n">
        <f aca="false">'P9-005'!$N$84</f>
        <v>46346</v>
      </c>
      <c r="J385" s="58" t="n">
        <f aca="false">'P9-005'!$O$84</f>
        <v>46347</v>
      </c>
      <c r="K385" s="56" t="str">
        <f aca="false">IF(OR(L385="Y",LEFT('P9-005'!$T$84,1)="D"),"",IF(AND(ISNUMBER(J385),J385&lt;ASOF),"⚠ เลยกำหนด",IF(AND(ISNUMBER(I385),I385&lt;=ASOF+14,J385&gt;=ASOF-7),"ช่วงนี้","")))</f>
        <v/>
      </c>
      <c r="L385" s="59"/>
      <c r="M385" s="60"/>
    </row>
    <row r="386" customFormat="false" ht="15" hidden="false" customHeight="false" outlineLevel="0" collapsed="false">
      <c r="A386" s="54" t="s">
        <v>58</v>
      </c>
      <c r="B386" s="55" t="s">
        <v>472</v>
      </c>
      <c r="C386" s="56" t="s">
        <v>473</v>
      </c>
      <c r="D386" s="57" t="s">
        <v>60</v>
      </c>
      <c r="E386" s="57" t="s">
        <v>362</v>
      </c>
      <c r="F386" s="61" t="s">
        <v>363</v>
      </c>
      <c r="G386" s="61" t="s">
        <v>364</v>
      </c>
      <c r="H386" s="56" t="s">
        <v>365</v>
      </c>
      <c r="I386" s="58" t="n">
        <f aca="false">'P9-005'!$N$86</f>
        <v>46343</v>
      </c>
      <c r="J386" s="58" t="n">
        <f aca="false">'P9-005'!$O$86</f>
        <v>46345</v>
      </c>
      <c r="K386" s="56" t="str">
        <f aca="false">IF(OR(L386="Y",LEFT('P9-005'!$T$86,1)="D"),"",IF(AND(ISNUMBER(J386),J386&lt;ASOF),"⚠ เลยกำหนด",IF(AND(ISNUMBER(I386),I386&lt;=ASOF+14,J386&gt;=ASOF-7),"ช่วงนี้","")))</f>
        <v/>
      </c>
      <c r="L386" s="59"/>
      <c r="M386" s="60"/>
    </row>
    <row r="387" customFormat="false" ht="15" hidden="false" customHeight="false" outlineLevel="0" collapsed="false">
      <c r="A387" s="54" t="s">
        <v>58</v>
      </c>
      <c r="B387" s="55" t="s">
        <v>472</v>
      </c>
      <c r="C387" s="56" t="s">
        <v>473</v>
      </c>
      <c r="D387" s="57" t="s">
        <v>60</v>
      </c>
      <c r="E387" s="57" t="s">
        <v>366</v>
      </c>
      <c r="F387" s="61" t="s">
        <v>367</v>
      </c>
      <c r="G387" s="61" t="s">
        <v>368</v>
      </c>
      <c r="H387" s="57" t="s">
        <v>369</v>
      </c>
      <c r="I387" s="58" t="n">
        <f aca="false">'P9-005'!$N$87</f>
        <v>46344</v>
      </c>
      <c r="J387" s="58" t="n">
        <f aca="false">'P9-005'!$O$87</f>
        <v>46346</v>
      </c>
      <c r="K387" s="56" t="str">
        <f aca="false">IF(OR(L387="Y",LEFT('P9-005'!$T$87,1)="D"),"",IF(AND(ISNUMBER(J387),J387&lt;ASOF),"⚠ เลยกำหนด",IF(AND(ISNUMBER(I387),I387&lt;=ASOF+14,J387&gt;=ASOF-7),"ช่วงนี้","")))</f>
        <v/>
      </c>
      <c r="L387" s="59"/>
      <c r="M387" s="60"/>
    </row>
    <row r="388" customFormat="false" ht="15" hidden="false" customHeight="false" outlineLevel="0" collapsed="false">
      <c r="A388" s="54" t="s">
        <v>58</v>
      </c>
      <c r="B388" s="55" t="s">
        <v>472</v>
      </c>
      <c r="C388" s="56" t="s">
        <v>473</v>
      </c>
      <c r="D388" s="57" t="s">
        <v>60</v>
      </c>
      <c r="E388" s="57" t="s">
        <v>370</v>
      </c>
      <c r="F388" s="55" t="s">
        <v>371</v>
      </c>
      <c r="G388" s="55" t="s">
        <v>372</v>
      </c>
      <c r="H388" s="57" t="s">
        <v>211</v>
      </c>
      <c r="I388" s="58" t="n">
        <f aca="false">'P9-005'!$N$88</f>
        <v>46345</v>
      </c>
      <c r="J388" s="58" t="n">
        <f aca="false">'P9-005'!$O$88</f>
        <v>46346</v>
      </c>
      <c r="K388" s="56" t="str">
        <f aca="false">IF(OR(L388="Y",LEFT('P9-005'!$T$88,1)="D"),"",IF(AND(ISNUMBER(J388),J388&lt;ASOF),"⚠ เลยกำหนด",IF(AND(ISNUMBER(I388),I388&lt;=ASOF+14,J388&gt;=ASOF-7),"ช่วงนี้","")))</f>
        <v/>
      </c>
      <c r="L388" s="59"/>
      <c r="M388" s="60"/>
    </row>
    <row r="389" customFormat="false" ht="15" hidden="false" customHeight="false" outlineLevel="0" collapsed="false">
      <c r="A389" s="54" t="s">
        <v>58</v>
      </c>
      <c r="B389" s="55" t="s">
        <v>472</v>
      </c>
      <c r="C389" s="56" t="s">
        <v>473</v>
      </c>
      <c r="D389" s="57" t="s">
        <v>60</v>
      </c>
      <c r="E389" s="57" t="s">
        <v>373</v>
      </c>
      <c r="F389" s="61" t="s">
        <v>374</v>
      </c>
      <c r="G389" s="55" t="s">
        <v>375</v>
      </c>
      <c r="H389" s="57" t="s">
        <v>211</v>
      </c>
      <c r="I389" s="58" t="n">
        <f aca="false">'P9-005'!$N$89</f>
        <v>46346</v>
      </c>
      <c r="J389" s="58" t="n">
        <f aca="false">'P9-005'!$O$89</f>
        <v>46346</v>
      </c>
      <c r="K389" s="56" t="str">
        <f aca="false">IF(OR(L389="Y",LEFT('P9-005'!$T$89,1)="D"),"",IF(AND(ISNUMBER(J389),J389&lt;ASOF),"⚠ เลยกำหนด",IF(AND(ISNUMBER(I389),I389&lt;=ASOF+14,J389&gt;=ASOF-7),"ช่วงนี้","")))</f>
        <v/>
      </c>
      <c r="L389" s="59"/>
      <c r="M389" s="60"/>
    </row>
    <row r="390" customFormat="false" ht="15" hidden="false" customHeight="false" outlineLevel="0" collapsed="false">
      <c r="A390" s="54" t="s">
        <v>58</v>
      </c>
      <c r="B390" s="55" t="s">
        <v>472</v>
      </c>
      <c r="C390" s="56" t="s">
        <v>473</v>
      </c>
      <c r="D390" s="57" t="s">
        <v>60</v>
      </c>
      <c r="E390" s="57" t="s">
        <v>376</v>
      </c>
      <c r="F390" s="55" t="s">
        <v>377</v>
      </c>
      <c r="G390" s="55" t="s">
        <v>378</v>
      </c>
      <c r="H390" s="57" t="s">
        <v>369</v>
      </c>
      <c r="I390" s="58" t="n">
        <f aca="false">'P9-005'!$N$91</f>
        <v>46344</v>
      </c>
      <c r="J390" s="58" t="n">
        <f aca="false">'P9-005'!$O$91</f>
        <v>46346</v>
      </c>
      <c r="K390" s="56" t="str">
        <f aca="false">IF(OR(L390="Y",LEFT('P9-005'!$T$91,1)="D"),"",IF(AND(ISNUMBER(J390),J390&lt;ASOF),"⚠ เลยกำหนด",IF(AND(ISNUMBER(I390),I390&lt;=ASOF+14,J390&gt;=ASOF-7),"ช่วงนี้","")))</f>
        <v/>
      </c>
      <c r="L390" s="59"/>
      <c r="M390" s="60"/>
    </row>
    <row r="391" customFormat="false" ht="15" hidden="false" customHeight="false" outlineLevel="0" collapsed="false">
      <c r="A391" s="54" t="s">
        <v>58</v>
      </c>
      <c r="B391" s="55" t="s">
        <v>472</v>
      </c>
      <c r="C391" s="56" t="s">
        <v>473</v>
      </c>
      <c r="D391" s="57" t="s">
        <v>60</v>
      </c>
      <c r="E391" s="57" t="s">
        <v>379</v>
      </c>
      <c r="F391" s="61" t="s">
        <v>380</v>
      </c>
      <c r="G391" s="61" t="s">
        <v>381</v>
      </c>
      <c r="H391" s="57" t="s">
        <v>211</v>
      </c>
      <c r="I391" s="58" t="n">
        <f aca="false">'P9-005'!$N$92</f>
        <v>46346</v>
      </c>
      <c r="J391" s="58" t="n">
        <f aca="false">'P9-005'!$O$92</f>
        <v>46347</v>
      </c>
      <c r="K391" s="56" t="str">
        <f aca="false">IF(OR(L391="Y",LEFT('P9-005'!$T$92,1)="D"),"",IF(AND(ISNUMBER(J391),J391&lt;ASOF),"⚠ เลยกำหนด",IF(AND(ISNUMBER(I391),I391&lt;=ASOF+14,J391&gt;=ASOF-7),"ช่วงนี้","")))</f>
        <v/>
      </c>
      <c r="L391" s="59"/>
      <c r="M391" s="60"/>
    </row>
    <row r="392" customFormat="false" ht="15" hidden="false" customHeight="false" outlineLevel="0" collapsed="false">
      <c r="A392" s="54" t="s">
        <v>58</v>
      </c>
      <c r="B392" s="55" t="s">
        <v>472</v>
      </c>
      <c r="C392" s="56" t="s">
        <v>473</v>
      </c>
      <c r="D392" s="57" t="s">
        <v>60</v>
      </c>
      <c r="E392" s="57" t="s">
        <v>382</v>
      </c>
      <c r="F392" s="55" t="s">
        <v>383</v>
      </c>
      <c r="G392" s="55" t="s">
        <v>384</v>
      </c>
      <c r="H392" s="57" t="s">
        <v>369</v>
      </c>
      <c r="I392" s="58" t="n">
        <f aca="false">'P9-005'!$N$93</f>
        <v>46344</v>
      </c>
      <c r="J392" s="58" t="n">
        <f aca="false">'P9-005'!$O$93</f>
        <v>46346</v>
      </c>
      <c r="K392" s="56" t="str">
        <f aca="false">IF(OR(L392="Y",LEFT('P9-005'!$T$93,1)="D"),"",IF(AND(ISNUMBER(J392),J392&lt;ASOF),"⚠ เลยกำหนด",IF(AND(ISNUMBER(I392),I392&lt;=ASOF+14,J392&gt;=ASOF-7),"ช่วงนี้","")))</f>
        <v/>
      </c>
      <c r="L392" s="59"/>
      <c r="M392" s="60"/>
    </row>
    <row r="393" customFormat="false" ht="15" hidden="false" customHeight="false" outlineLevel="0" collapsed="false">
      <c r="A393" s="54" t="s">
        <v>58</v>
      </c>
      <c r="B393" s="55" t="s">
        <v>472</v>
      </c>
      <c r="C393" s="56" t="s">
        <v>473</v>
      </c>
      <c r="D393" s="57" t="s">
        <v>60</v>
      </c>
      <c r="E393" s="57" t="s">
        <v>385</v>
      </c>
      <c r="F393" s="55" t="s">
        <v>386</v>
      </c>
      <c r="G393" s="55" t="s">
        <v>387</v>
      </c>
      <c r="H393" s="57" t="s">
        <v>211</v>
      </c>
      <c r="I393" s="58" t="n">
        <f aca="false">'P9-005'!$N$94</f>
        <v>46346</v>
      </c>
      <c r="J393" s="58" t="n">
        <f aca="false">'P9-005'!$O$94</f>
        <v>46347</v>
      </c>
      <c r="K393" s="56" t="str">
        <f aca="false">IF(OR(L393="Y",LEFT('P9-005'!$T$94,1)="D"),"",IF(AND(ISNUMBER(J393),J393&lt;ASOF),"⚠ เลยกำหนด",IF(AND(ISNUMBER(I393),I393&lt;=ASOF+14,J393&gt;=ASOF-7),"ช่วงนี้","")))</f>
        <v/>
      </c>
      <c r="L393" s="59"/>
      <c r="M393" s="60"/>
    </row>
    <row r="394" customFormat="false" ht="15" hidden="false" customHeight="false" outlineLevel="0" collapsed="false">
      <c r="A394" s="54" t="s">
        <v>58</v>
      </c>
      <c r="B394" s="55" t="s">
        <v>472</v>
      </c>
      <c r="C394" s="56" t="s">
        <v>473</v>
      </c>
      <c r="D394" s="57" t="s">
        <v>60</v>
      </c>
      <c r="E394" s="57" t="s">
        <v>388</v>
      </c>
      <c r="F394" s="61" t="s">
        <v>389</v>
      </c>
      <c r="G394" s="55" t="s">
        <v>390</v>
      </c>
      <c r="H394" s="57" t="s">
        <v>211</v>
      </c>
      <c r="I394" s="58" t="n">
        <f aca="false">'P9-005'!$N$95</f>
        <v>46347</v>
      </c>
      <c r="J394" s="58" t="n">
        <f aca="false">'P9-005'!$O$95</f>
        <v>46347</v>
      </c>
      <c r="K394" s="56" t="str">
        <f aca="false">IF(OR(L394="Y",LEFT('P9-005'!$T$95,1)="D"),"",IF(AND(ISNUMBER(J394),J394&lt;ASOF),"⚠ เลยกำหนด",IF(AND(ISNUMBER(I394),I394&lt;=ASOF+14,J394&gt;=ASOF-7),"ช่วงนี้","")))</f>
        <v/>
      </c>
      <c r="L394" s="59"/>
      <c r="M394" s="60"/>
    </row>
    <row r="395" customFormat="false" ht="15" hidden="false" customHeight="false" outlineLevel="0" collapsed="false">
      <c r="A395" s="54" t="s">
        <v>58</v>
      </c>
      <c r="B395" s="55" t="s">
        <v>472</v>
      </c>
      <c r="C395" s="56" t="s">
        <v>473</v>
      </c>
      <c r="D395" s="57" t="s">
        <v>60</v>
      </c>
      <c r="E395" s="57" t="s">
        <v>391</v>
      </c>
      <c r="F395" s="55" t="s">
        <v>392</v>
      </c>
      <c r="G395" s="55" t="s">
        <v>393</v>
      </c>
      <c r="H395" s="57" t="s">
        <v>369</v>
      </c>
      <c r="I395" s="58" t="n">
        <f aca="false">'P9-005'!$N$97</f>
        <v>46345</v>
      </c>
      <c r="J395" s="58" t="n">
        <f aca="false">'P9-005'!$O$97</f>
        <v>46347</v>
      </c>
      <c r="K395" s="56" t="str">
        <f aca="false">IF(OR(L395="Y",LEFT('P9-005'!$T$97,1)="D"),"",IF(AND(ISNUMBER(J395),J395&lt;ASOF),"⚠ เลยกำหนด",IF(AND(ISNUMBER(I395),I395&lt;=ASOF+14,J395&gt;=ASOF-7),"ช่วงนี้","")))</f>
        <v/>
      </c>
      <c r="L395" s="59"/>
      <c r="M395" s="60"/>
    </row>
    <row r="396" customFormat="false" ht="15" hidden="false" customHeight="false" outlineLevel="0" collapsed="false">
      <c r="A396" s="54" t="s">
        <v>58</v>
      </c>
      <c r="B396" s="55" t="s">
        <v>472</v>
      </c>
      <c r="C396" s="56" t="s">
        <v>473</v>
      </c>
      <c r="D396" s="57" t="s">
        <v>60</v>
      </c>
      <c r="E396" s="57" t="s">
        <v>394</v>
      </c>
      <c r="F396" s="55" t="s">
        <v>395</v>
      </c>
      <c r="G396" s="55" t="s">
        <v>396</v>
      </c>
      <c r="H396" s="57" t="s">
        <v>211</v>
      </c>
      <c r="I396" s="58" t="n">
        <f aca="false">'P9-005'!$N$98</f>
        <v>46346</v>
      </c>
      <c r="J396" s="58" t="n">
        <f aca="false">'P9-005'!$O$98</f>
        <v>46347</v>
      </c>
      <c r="K396" s="56" t="str">
        <f aca="false">IF(OR(L396="Y",LEFT('P9-005'!$T$98,1)="D"),"",IF(AND(ISNUMBER(J396),J396&lt;ASOF),"⚠ เลยกำหนด",IF(AND(ISNUMBER(I396),I396&lt;=ASOF+14,J396&gt;=ASOF-7),"ช่วงนี้","")))</f>
        <v/>
      </c>
      <c r="L396" s="59"/>
      <c r="M396" s="60"/>
    </row>
    <row r="397" customFormat="false" ht="15" hidden="false" customHeight="false" outlineLevel="0" collapsed="false">
      <c r="A397" s="54" t="s">
        <v>58</v>
      </c>
      <c r="B397" s="55" t="s">
        <v>472</v>
      </c>
      <c r="C397" s="56" t="s">
        <v>473</v>
      </c>
      <c r="D397" s="57" t="s">
        <v>60</v>
      </c>
      <c r="E397" s="57" t="s">
        <v>397</v>
      </c>
      <c r="F397" s="61" t="s">
        <v>398</v>
      </c>
      <c r="G397" s="55" t="s">
        <v>399</v>
      </c>
      <c r="H397" s="57" t="s">
        <v>211</v>
      </c>
      <c r="I397" s="58" t="n">
        <f aca="false">'P9-005'!$N$99</f>
        <v>46347</v>
      </c>
      <c r="J397" s="58" t="n">
        <f aca="false">'P9-005'!$O$99</f>
        <v>46347</v>
      </c>
      <c r="K397" s="56" t="str">
        <f aca="false">IF(OR(L397="Y",LEFT('P9-005'!$T$99,1)="D"),"",IF(AND(ISNUMBER(J397),J397&lt;ASOF),"⚠ เลยกำหนด",IF(AND(ISNUMBER(I397),I397&lt;=ASOF+14,J397&gt;=ASOF-7),"ช่วงนี้","")))</f>
        <v/>
      </c>
      <c r="L397" s="59"/>
      <c r="M397" s="60"/>
    </row>
    <row r="398" customFormat="false" ht="15" hidden="false" customHeight="false" outlineLevel="0" collapsed="false">
      <c r="A398" s="54" t="s">
        <v>58</v>
      </c>
      <c r="B398" s="55" t="s">
        <v>472</v>
      </c>
      <c r="C398" s="56" t="s">
        <v>473</v>
      </c>
      <c r="D398" s="57" t="s">
        <v>60</v>
      </c>
      <c r="E398" s="57" t="s">
        <v>400</v>
      </c>
      <c r="F398" s="55" t="s">
        <v>401</v>
      </c>
      <c r="G398" s="55" t="s">
        <v>402</v>
      </c>
      <c r="H398" s="57" t="s">
        <v>211</v>
      </c>
      <c r="I398" s="58" t="n">
        <f aca="false">'P9-005'!$N$102</f>
        <v>46346</v>
      </c>
      <c r="J398" s="58" t="n">
        <f aca="false">'P9-005'!$O$102</f>
        <v>46347</v>
      </c>
      <c r="K398" s="56" t="str">
        <f aca="false">IF(OR(L398="Y",LEFT('P9-005'!$T$102,1)="D"),"",IF(AND(ISNUMBER(J398),J398&lt;ASOF),"⚠ เลยกำหนด",IF(AND(ISNUMBER(I398),I398&lt;=ASOF+14,J398&gt;=ASOF-7),"ช่วงนี้","")))</f>
        <v/>
      </c>
      <c r="L398" s="59"/>
      <c r="M398" s="60"/>
    </row>
    <row r="399" customFormat="false" ht="15" hidden="false" customHeight="false" outlineLevel="0" collapsed="false">
      <c r="A399" s="54" t="s">
        <v>58</v>
      </c>
      <c r="B399" s="55" t="s">
        <v>472</v>
      </c>
      <c r="C399" s="56" t="s">
        <v>473</v>
      </c>
      <c r="D399" s="57" t="s">
        <v>60</v>
      </c>
      <c r="E399" s="57" t="s">
        <v>403</v>
      </c>
      <c r="F399" s="55" t="s">
        <v>404</v>
      </c>
      <c r="G399" s="55" t="s">
        <v>405</v>
      </c>
      <c r="H399" s="57" t="s">
        <v>211</v>
      </c>
      <c r="I399" s="58" t="n">
        <f aca="false">'P9-005'!$N$104</f>
        <v>46347</v>
      </c>
      <c r="J399" s="58" t="n">
        <f aca="false">'P9-005'!$O$104</f>
        <v>46348</v>
      </c>
      <c r="K399" s="56" t="str">
        <f aca="false">IF(OR(L399="Y",LEFT('P9-005'!$T$104,1)="D"),"",IF(AND(ISNUMBER(J399),J399&lt;ASOF),"⚠ เลยกำหนด",IF(AND(ISNUMBER(I399),I399&lt;=ASOF+14,J399&gt;=ASOF-7),"ช่วงนี้","")))</f>
        <v/>
      </c>
      <c r="L399" s="59"/>
      <c r="M399" s="60"/>
    </row>
    <row r="400" customFormat="false" ht="15" hidden="false" customHeight="false" outlineLevel="0" collapsed="false">
      <c r="A400" s="54" t="s">
        <v>58</v>
      </c>
      <c r="B400" s="55" t="s">
        <v>472</v>
      </c>
      <c r="C400" s="56" t="s">
        <v>473</v>
      </c>
      <c r="D400" s="57" t="s">
        <v>60</v>
      </c>
      <c r="E400" s="57" t="s">
        <v>406</v>
      </c>
      <c r="F400" s="55" t="s">
        <v>407</v>
      </c>
      <c r="G400" s="55" t="s">
        <v>408</v>
      </c>
      <c r="H400" s="57" t="s">
        <v>211</v>
      </c>
      <c r="I400" s="58" t="n">
        <f aca="false">'P9-005'!$N$105</f>
        <v>46347</v>
      </c>
      <c r="J400" s="58" t="n">
        <f aca="false">'P9-005'!$O$105</f>
        <v>46348</v>
      </c>
      <c r="K400" s="56" t="str">
        <f aca="false">IF(OR(L400="Y",LEFT('P9-005'!$T$105,1)="D"),"",IF(AND(ISNUMBER(J400),J400&lt;ASOF),"⚠ เลยกำหนด",IF(AND(ISNUMBER(I400),I400&lt;=ASOF+14,J400&gt;=ASOF-7),"ช่วงนี้","")))</f>
        <v/>
      </c>
      <c r="L400" s="59"/>
      <c r="M400" s="60"/>
    </row>
    <row r="401" customFormat="false" ht="15" hidden="false" customHeight="false" outlineLevel="0" collapsed="false">
      <c r="A401" s="54" t="s">
        <v>58</v>
      </c>
      <c r="B401" s="55" t="s">
        <v>472</v>
      </c>
      <c r="C401" s="56" t="s">
        <v>473</v>
      </c>
      <c r="D401" s="57" t="s">
        <v>60</v>
      </c>
      <c r="E401" s="57" t="s">
        <v>409</v>
      </c>
      <c r="F401" s="61" t="s">
        <v>410</v>
      </c>
      <c r="G401" s="55" t="s">
        <v>411</v>
      </c>
      <c r="H401" s="57" t="s">
        <v>211</v>
      </c>
      <c r="I401" s="58" t="n">
        <f aca="false">'P9-005'!$N$106</f>
        <v>46348</v>
      </c>
      <c r="J401" s="58" t="n">
        <f aca="false">'P9-005'!$O$106</f>
        <v>46348</v>
      </c>
      <c r="K401" s="56" t="str">
        <f aca="false">IF(OR(L401="Y",LEFT('P9-005'!$T$106,1)="D"),"",IF(AND(ISNUMBER(J401),J401&lt;ASOF),"⚠ เลยกำหนด",IF(AND(ISNUMBER(I401),I401&lt;=ASOF+14,J401&gt;=ASOF-7),"ช่วงนี้","")))</f>
        <v/>
      </c>
      <c r="L401" s="59"/>
      <c r="M401" s="60"/>
    </row>
    <row r="402" customFormat="false" ht="15" hidden="false" customHeight="false" outlineLevel="0" collapsed="false">
      <c r="A402" s="54" t="s">
        <v>58</v>
      </c>
      <c r="B402" s="55" t="s">
        <v>472</v>
      </c>
      <c r="C402" s="56" t="s">
        <v>473</v>
      </c>
      <c r="D402" s="57" t="s">
        <v>60</v>
      </c>
      <c r="E402" s="57" t="s">
        <v>412</v>
      </c>
      <c r="F402" s="61" t="s">
        <v>413</v>
      </c>
      <c r="G402" s="61" t="s">
        <v>414</v>
      </c>
      <c r="H402" s="57" t="s">
        <v>211</v>
      </c>
      <c r="I402" s="58" t="n">
        <f aca="false">'P9-005'!$N$108</f>
        <v>46347</v>
      </c>
      <c r="J402" s="58" t="n">
        <f aca="false">'P9-005'!$O$108</f>
        <v>46348</v>
      </c>
      <c r="K402" s="56" t="str">
        <f aca="false">IF(OR(L402="Y",LEFT('P9-005'!$T$108,1)="D"),"",IF(AND(ISNUMBER(J402),J402&lt;ASOF),"⚠ เลยกำหนด",IF(AND(ISNUMBER(I402),I402&lt;=ASOF+14,J402&gt;=ASOF-7),"ช่วงนี้","")))</f>
        <v/>
      </c>
      <c r="L402" s="59"/>
      <c r="M402" s="60"/>
    </row>
    <row r="403" customFormat="false" ht="15" hidden="false" customHeight="false" outlineLevel="0" collapsed="false">
      <c r="A403" s="54" t="s">
        <v>58</v>
      </c>
      <c r="B403" s="55" t="s">
        <v>472</v>
      </c>
      <c r="C403" s="56" t="s">
        <v>473</v>
      </c>
      <c r="D403" s="57" t="s">
        <v>60</v>
      </c>
      <c r="E403" s="57" t="s">
        <v>415</v>
      </c>
      <c r="F403" s="55" t="s">
        <v>416</v>
      </c>
      <c r="G403" s="55" t="s">
        <v>417</v>
      </c>
      <c r="H403" s="57" t="s">
        <v>211</v>
      </c>
      <c r="I403" s="58" t="n">
        <f aca="false">'P9-005'!$N$109</f>
        <v>46348</v>
      </c>
      <c r="J403" s="58" t="n">
        <f aca="false">'P9-005'!$O$109</f>
        <v>46348</v>
      </c>
      <c r="K403" s="56" t="str">
        <f aca="false">IF(OR(L403="Y",LEFT('P9-005'!$T$109,1)="D"),"",IF(AND(ISNUMBER(J403),J403&lt;ASOF),"⚠ เลยกำหนด",IF(AND(ISNUMBER(I403),I403&lt;=ASOF+14,J403&gt;=ASOF-7),"ช่วงนี้","")))</f>
        <v/>
      </c>
      <c r="L403" s="59"/>
      <c r="M403" s="60"/>
    </row>
    <row r="404" customFormat="false" ht="15" hidden="false" customHeight="false" outlineLevel="0" collapsed="false">
      <c r="A404" s="54" t="s">
        <v>58</v>
      </c>
      <c r="B404" s="55" t="s">
        <v>472</v>
      </c>
      <c r="C404" s="56" t="s">
        <v>473</v>
      </c>
      <c r="D404" s="57" t="s">
        <v>60</v>
      </c>
      <c r="E404" s="57" t="s">
        <v>418</v>
      </c>
      <c r="F404" s="61" t="s">
        <v>419</v>
      </c>
      <c r="G404" s="55" t="s">
        <v>420</v>
      </c>
      <c r="H404" s="57" t="s">
        <v>211</v>
      </c>
      <c r="I404" s="58" t="n">
        <f aca="false">'P9-005'!$N$110</f>
        <v>46347</v>
      </c>
      <c r="J404" s="58" t="n">
        <f aca="false">'P9-005'!$O$110</f>
        <v>46348</v>
      </c>
      <c r="K404" s="56" t="str">
        <f aca="false">IF(OR(L404="Y",LEFT('P9-005'!$T$110,1)="D"),"",IF(AND(ISNUMBER(J404),J404&lt;ASOF),"⚠ เลยกำหนด",IF(AND(ISNUMBER(I404),I404&lt;=ASOF+14,J404&gt;=ASOF-7),"ช่วงนี้","")))</f>
        <v/>
      </c>
      <c r="L404" s="59"/>
      <c r="M404" s="60"/>
    </row>
    <row r="405" customFormat="false" ht="15" hidden="false" customHeight="false" outlineLevel="0" collapsed="false">
      <c r="A405" s="54" t="s">
        <v>58</v>
      </c>
      <c r="B405" s="55" t="s">
        <v>472</v>
      </c>
      <c r="C405" s="56" t="s">
        <v>473</v>
      </c>
      <c r="D405" s="57" t="s">
        <v>60</v>
      </c>
      <c r="E405" s="57" t="s">
        <v>421</v>
      </c>
      <c r="F405" s="55" t="s">
        <v>422</v>
      </c>
      <c r="G405" s="55" t="s">
        <v>423</v>
      </c>
      <c r="H405" s="56" t="str">
        <f aca="false">IF(COUNTIFS(SITE_ST,"P9-005",SITE_TYPE,"?*")&gt;0,"ตามจุดติดตั้ง →","0/100")</f>
        <v>ตามจุดติดตั้ง →</v>
      </c>
      <c r="I405" s="58" t="n">
        <f aca="false">'P9-005'!$N$112</f>
        <v>46349</v>
      </c>
      <c r="J405" s="58" t="n">
        <f aca="false">'P9-005'!$O$112</f>
        <v>46349</v>
      </c>
      <c r="K405" s="56" t="str">
        <f aca="false">IF(OR(L405="Y",LEFT('P9-005'!$T$112,1)="D"),"",IF(AND(ISNUMBER(J405),J405&lt;ASOF),"⚠ เลยกำหนด",IF(AND(ISNUMBER(I405),I405&lt;=ASOF+14,J405&gt;=ASOF-7),"ช่วงนี้","")))</f>
        <v/>
      </c>
      <c r="L405" s="59"/>
      <c r="M405" s="60"/>
    </row>
    <row r="406" customFormat="false" ht="15" hidden="false" customHeight="false" outlineLevel="0" collapsed="false">
      <c r="A406" s="54" t="s">
        <v>58</v>
      </c>
      <c r="B406" s="55" t="s">
        <v>472</v>
      </c>
      <c r="C406" s="56" t="s">
        <v>473</v>
      </c>
      <c r="D406" s="57" t="s">
        <v>60</v>
      </c>
      <c r="E406" s="57" t="s">
        <v>424</v>
      </c>
      <c r="F406" s="55" t="s">
        <v>425</v>
      </c>
      <c r="G406" s="55" t="s">
        <v>426</v>
      </c>
      <c r="H406" s="56" t="str">
        <f aca="false">IF(COUNTIFS(SITE_ST,"P9-005",SITE_TYPE,"?*")&gt;0,"ตามจุดติดตั้ง →","0/100")</f>
        <v>ตามจุดติดตั้ง →</v>
      </c>
      <c r="I406" s="58" t="n">
        <f aca="false">'P9-005'!$N$113</f>
        <v>46349</v>
      </c>
      <c r="J406" s="58" t="n">
        <f aca="false">'P9-005'!$O$113</f>
        <v>46349</v>
      </c>
      <c r="K406" s="56" t="str">
        <f aca="false">IF(OR(L406="Y",LEFT('P9-005'!$T$113,1)="D"),"",IF(AND(ISNUMBER(J406),J406&lt;ASOF),"⚠ เลยกำหนด",IF(AND(ISNUMBER(I406),I406&lt;=ASOF+14,J406&gt;=ASOF-7),"ช่วงนี้","")))</f>
        <v/>
      </c>
      <c r="L406" s="59"/>
      <c r="M406" s="60"/>
    </row>
    <row r="407" customFormat="false" ht="15" hidden="false" customHeight="false" outlineLevel="0" collapsed="false">
      <c r="A407" s="54" t="s">
        <v>58</v>
      </c>
      <c r="B407" s="55" t="s">
        <v>472</v>
      </c>
      <c r="C407" s="56" t="s">
        <v>473</v>
      </c>
      <c r="D407" s="57" t="s">
        <v>60</v>
      </c>
      <c r="E407" s="57" t="s">
        <v>427</v>
      </c>
      <c r="F407" s="61" t="s">
        <v>428</v>
      </c>
      <c r="G407" s="61" t="s">
        <v>429</v>
      </c>
      <c r="H407" s="57" t="s">
        <v>211</v>
      </c>
      <c r="I407" s="58" t="n">
        <f aca="false">'P9-005'!$N$116</f>
        <v>46359</v>
      </c>
      <c r="J407" s="58" t="n">
        <f aca="false">'P9-005'!$O$116</f>
        <v>46359</v>
      </c>
      <c r="K407" s="56" t="str">
        <f aca="false">IF(OR(L407="Y",LEFT('P9-005'!$T$116,1)="D"),"",IF(AND(ISNUMBER(J407),J407&lt;ASOF),"⚠ เลยกำหนด",IF(AND(ISNUMBER(I407),I407&lt;=ASOF+14,J407&gt;=ASOF-7),"ช่วงนี้","")))</f>
        <v/>
      </c>
      <c r="L407" s="59"/>
      <c r="M407" s="60"/>
    </row>
    <row r="408" customFormat="false" ht="15" hidden="false" customHeight="false" outlineLevel="0" collapsed="false">
      <c r="A408" s="54" t="s">
        <v>58</v>
      </c>
      <c r="B408" s="55" t="s">
        <v>472</v>
      </c>
      <c r="C408" s="56" t="s">
        <v>473</v>
      </c>
      <c r="D408" s="57" t="s">
        <v>60</v>
      </c>
      <c r="E408" s="57" t="s">
        <v>430</v>
      </c>
      <c r="F408" s="55" t="s">
        <v>431</v>
      </c>
      <c r="G408" s="55" t="s">
        <v>432</v>
      </c>
      <c r="H408" s="57" t="s">
        <v>211</v>
      </c>
      <c r="I408" s="58" t="n">
        <f aca="false">'P9-005'!$N$117</f>
        <v>46359</v>
      </c>
      <c r="J408" s="58" t="n">
        <f aca="false">'P9-005'!$O$117</f>
        <v>46359</v>
      </c>
      <c r="K408" s="56" t="str">
        <f aca="false">IF(OR(L408="Y",LEFT('P9-005'!$T$117,1)="D"),"",IF(AND(ISNUMBER(J408),J408&lt;ASOF),"⚠ เลยกำหนด",IF(AND(ISNUMBER(I408),I408&lt;=ASOF+14,J408&gt;=ASOF-7),"ช่วงนี้","")))</f>
        <v/>
      </c>
      <c r="L408" s="59"/>
      <c r="M408" s="60"/>
    </row>
    <row r="409" customFormat="false" ht="15" hidden="false" customHeight="false" outlineLevel="0" collapsed="false">
      <c r="A409" s="54" t="s">
        <v>58</v>
      </c>
      <c r="B409" s="55" t="s">
        <v>472</v>
      </c>
      <c r="C409" s="56" t="s">
        <v>473</v>
      </c>
      <c r="D409" s="57" t="s">
        <v>60</v>
      </c>
      <c r="E409" s="57" t="s">
        <v>433</v>
      </c>
      <c r="F409" s="55" t="s">
        <v>434</v>
      </c>
      <c r="G409" s="55" t="s">
        <v>435</v>
      </c>
      <c r="H409" s="57" t="s">
        <v>211</v>
      </c>
      <c r="I409" s="58" t="n">
        <f aca="false">'P9-005'!$N$118</f>
        <v>46359</v>
      </c>
      <c r="J409" s="58" t="n">
        <f aca="false">'P9-005'!$O$118</f>
        <v>46359</v>
      </c>
      <c r="K409" s="56" t="str">
        <f aca="false">IF(OR(L409="Y",LEFT('P9-005'!$T$118,1)="D"),"",IF(AND(ISNUMBER(J409),J409&lt;ASOF),"⚠ เลยกำหนด",IF(AND(ISNUMBER(I409),I409&lt;=ASOF+14,J409&gt;=ASOF-7),"ช่วงนี้","")))</f>
        <v/>
      </c>
      <c r="L409" s="59"/>
      <c r="M409" s="60"/>
    </row>
    <row r="410" customFormat="false" ht="15" hidden="false" customHeight="false" outlineLevel="0" collapsed="false">
      <c r="A410" s="54" t="s">
        <v>58</v>
      </c>
      <c r="B410" s="55" t="s">
        <v>472</v>
      </c>
      <c r="C410" s="56" t="s">
        <v>473</v>
      </c>
      <c r="D410" s="57" t="s">
        <v>60</v>
      </c>
      <c r="E410" s="57" t="s">
        <v>436</v>
      </c>
      <c r="F410" s="55" t="s">
        <v>437</v>
      </c>
      <c r="G410" s="55" t="s">
        <v>438</v>
      </c>
      <c r="H410" s="57" t="s">
        <v>211</v>
      </c>
      <c r="I410" s="58" t="n">
        <f aca="false">'P9-005'!$N$119</f>
        <v>46359</v>
      </c>
      <c r="J410" s="58" t="n">
        <f aca="false">'P9-005'!$O$119</f>
        <v>46359</v>
      </c>
      <c r="K410" s="56" t="str">
        <f aca="false">IF(OR(L410="Y",LEFT('P9-005'!$T$119,1)="D"),"",IF(AND(ISNUMBER(J410),J410&lt;ASOF),"⚠ เลยกำหนด",IF(AND(ISNUMBER(I410),I410&lt;=ASOF+14,J410&gt;=ASOF-7),"ช่วงนี้","")))</f>
        <v/>
      </c>
      <c r="L410" s="59"/>
      <c r="M410" s="60"/>
    </row>
    <row r="411" customFormat="false" ht="15" hidden="false" customHeight="false" outlineLevel="0" collapsed="false">
      <c r="A411" s="54" t="s">
        <v>58</v>
      </c>
      <c r="B411" s="55" t="s">
        <v>472</v>
      </c>
      <c r="C411" s="56" t="s">
        <v>473</v>
      </c>
      <c r="D411" s="57" t="s">
        <v>60</v>
      </c>
      <c r="E411" s="57" t="s">
        <v>439</v>
      </c>
      <c r="F411" s="55" t="s">
        <v>440</v>
      </c>
      <c r="G411" s="55" t="s">
        <v>441</v>
      </c>
      <c r="H411" s="57" t="s">
        <v>211</v>
      </c>
      <c r="I411" s="58" t="n">
        <f aca="false">'P9-005'!$N$120</f>
        <v>46359</v>
      </c>
      <c r="J411" s="58" t="n">
        <f aca="false">'P9-005'!$O$120</f>
        <v>46359</v>
      </c>
      <c r="K411" s="56" t="str">
        <f aca="false">IF(OR(L411="Y",LEFT('P9-005'!$T$120,1)="D"),"",IF(AND(ISNUMBER(J411),J411&lt;ASOF),"⚠ เลยกำหนด",IF(AND(ISNUMBER(I411),I411&lt;=ASOF+14,J411&gt;=ASOF-7),"ช่วงนี้","")))</f>
        <v/>
      </c>
      <c r="L411" s="59"/>
      <c r="M411" s="60"/>
    </row>
    <row r="412" customFormat="false" ht="15" hidden="false" customHeight="false" outlineLevel="0" collapsed="false">
      <c r="A412" s="54" t="s">
        <v>58</v>
      </c>
      <c r="B412" s="55" t="s">
        <v>472</v>
      </c>
      <c r="C412" s="56" t="s">
        <v>473</v>
      </c>
      <c r="D412" s="57" t="s">
        <v>60</v>
      </c>
      <c r="E412" s="57" t="s">
        <v>442</v>
      </c>
      <c r="F412" s="55" t="s">
        <v>443</v>
      </c>
      <c r="G412" s="55" t="s">
        <v>444</v>
      </c>
      <c r="H412" s="57" t="s">
        <v>211</v>
      </c>
      <c r="I412" s="58" t="n">
        <f aca="false">'P9-005'!$N$121</f>
        <v>46359</v>
      </c>
      <c r="J412" s="58" t="n">
        <f aca="false">'P9-005'!$O$121</f>
        <v>46359</v>
      </c>
      <c r="K412" s="56" t="str">
        <f aca="false">IF(OR(L412="Y",LEFT('P9-005'!$T$121,1)="D"),"",IF(AND(ISNUMBER(J412),J412&lt;ASOF),"⚠ เลยกำหนด",IF(AND(ISNUMBER(I412),I412&lt;=ASOF+14,J412&gt;=ASOF-7),"ช่วงนี้","")))</f>
        <v/>
      </c>
      <c r="L412" s="59"/>
      <c r="M412" s="60"/>
    </row>
    <row r="413" customFormat="false" ht="15" hidden="false" customHeight="false" outlineLevel="0" collapsed="false">
      <c r="A413" s="54" t="s">
        <v>58</v>
      </c>
      <c r="B413" s="55" t="s">
        <v>472</v>
      </c>
      <c r="C413" s="56" t="s">
        <v>473</v>
      </c>
      <c r="D413" s="57" t="s">
        <v>60</v>
      </c>
      <c r="E413" s="57" t="s">
        <v>445</v>
      </c>
      <c r="F413" s="55" t="s">
        <v>446</v>
      </c>
      <c r="G413" s="55" t="s">
        <v>447</v>
      </c>
      <c r="H413" s="57" t="s">
        <v>211</v>
      </c>
      <c r="I413" s="58" t="n">
        <f aca="false">'P9-005'!$N$125</f>
        <v>46437</v>
      </c>
      <c r="J413" s="58" t="n">
        <f aca="false">'P9-005'!$O$125</f>
        <v>46441</v>
      </c>
      <c r="K413" s="56" t="str">
        <f aca="false">IF(OR(L413="Y",LEFT('P9-005'!$T$125,1)="D"),"",IF(AND(ISNUMBER(J413),J413&lt;ASOF),"⚠ เลยกำหนด",IF(AND(ISNUMBER(I413),I413&lt;=ASOF+14,J413&gt;=ASOF-7),"ช่วงนี้","")))</f>
        <v/>
      </c>
      <c r="L413" s="59"/>
      <c r="M413" s="60"/>
    </row>
    <row r="414" customFormat="false" ht="15" hidden="false" customHeight="false" outlineLevel="0" collapsed="false">
      <c r="A414" s="54" t="s">
        <v>58</v>
      </c>
      <c r="B414" s="55" t="s">
        <v>472</v>
      </c>
      <c r="C414" s="56" t="s">
        <v>473</v>
      </c>
      <c r="D414" s="57" t="s">
        <v>60</v>
      </c>
      <c r="E414" s="57" t="s">
        <v>448</v>
      </c>
      <c r="F414" s="55" t="s">
        <v>449</v>
      </c>
      <c r="G414" s="61" t="s">
        <v>450</v>
      </c>
      <c r="H414" s="57" t="s">
        <v>211</v>
      </c>
      <c r="I414" s="58" t="n">
        <f aca="false">'P9-005'!$N$126</f>
        <v>46440</v>
      </c>
      <c r="J414" s="58" t="n">
        <f aca="false">'P9-005'!$O$126</f>
        <v>46447</v>
      </c>
      <c r="K414" s="56" t="str">
        <f aca="false">IF(OR(L414="Y",LEFT('P9-005'!$T$126,1)="D"),"",IF(AND(ISNUMBER(J414),J414&lt;ASOF),"⚠ เลยกำหนด",IF(AND(ISNUMBER(I414),I414&lt;=ASOF+14,J414&gt;=ASOF-7),"ช่วงนี้","")))</f>
        <v/>
      </c>
      <c r="L414" s="59"/>
      <c r="M414" s="60"/>
    </row>
    <row r="415" customFormat="false" ht="15" hidden="false" customHeight="false" outlineLevel="0" collapsed="false">
      <c r="A415" s="54" t="s">
        <v>58</v>
      </c>
      <c r="B415" s="55" t="s">
        <v>472</v>
      </c>
      <c r="C415" s="56" t="s">
        <v>473</v>
      </c>
      <c r="D415" s="57" t="s">
        <v>60</v>
      </c>
      <c r="E415" s="57" t="s">
        <v>451</v>
      </c>
      <c r="F415" s="61" t="s">
        <v>452</v>
      </c>
      <c r="G415" s="61" t="s">
        <v>453</v>
      </c>
      <c r="H415" s="57" t="s">
        <v>211</v>
      </c>
      <c r="I415" s="58" t="n">
        <f aca="false">'P9-005'!$N$127</f>
        <v>46447</v>
      </c>
      <c r="J415" s="58" t="n">
        <f aca="false">'P9-005'!$O$127</f>
        <v>46450</v>
      </c>
      <c r="K415" s="56" t="str">
        <f aca="false">IF(OR(L415="Y",LEFT('P9-005'!$T$127,1)="D"),"",IF(AND(ISNUMBER(J415),J415&lt;ASOF),"⚠ เลยกำหนด",IF(AND(ISNUMBER(I415),I415&lt;=ASOF+14,J415&gt;=ASOF-7),"ช่วงนี้","")))</f>
        <v/>
      </c>
      <c r="L415" s="59"/>
      <c r="M415" s="60"/>
    </row>
    <row r="416" customFormat="false" ht="15" hidden="false" customHeight="false" outlineLevel="0" collapsed="false">
      <c r="A416" s="54" t="s">
        <v>62</v>
      </c>
      <c r="B416" s="55" t="s">
        <v>474</v>
      </c>
      <c r="C416" s="56" t="s">
        <v>475</v>
      </c>
      <c r="D416" s="57" t="s">
        <v>64</v>
      </c>
      <c r="E416" s="57" t="s">
        <v>208</v>
      </c>
      <c r="F416" s="55" t="s">
        <v>209</v>
      </c>
      <c r="G416" s="55" t="s">
        <v>210</v>
      </c>
      <c r="H416" s="57" t="s">
        <v>211</v>
      </c>
      <c r="I416" s="58" t="n">
        <f aca="false">'P9-006'!$N$10</f>
        <v>46328</v>
      </c>
      <c r="J416" s="58" t="n">
        <f aca="false">'P9-006'!$O$10</f>
        <v>46340</v>
      </c>
      <c r="K416" s="56" t="str">
        <f aca="false">IF(OR(L416="Y",LEFT('P9-006'!$T$10,1)="D"),"",IF(AND(ISNUMBER(J416),J416&lt;ASOF),"⚠ เลยกำหนด",IF(AND(ISNUMBER(I416),I416&lt;=ASOF+14,J416&gt;=ASOF-7),"ช่วงนี้","")))</f>
        <v>ช่วงนี้</v>
      </c>
      <c r="L416" s="59"/>
      <c r="M416" s="60"/>
    </row>
    <row r="417" customFormat="false" ht="15" hidden="false" customHeight="false" outlineLevel="0" collapsed="false">
      <c r="A417" s="54" t="s">
        <v>62</v>
      </c>
      <c r="B417" s="55" t="s">
        <v>474</v>
      </c>
      <c r="C417" s="56" t="s">
        <v>475</v>
      </c>
      <c r="D417" s="57" t="s">
        <v>64</v>
      </c>
      <c r="E417" s="57" t="s">
        <v>212</v>
      </c>
      <c r="F417" s="55" t="s">
        <v>213</v>
      </c>
      <c r="G417" s="55" t="s">
        <v>214</v>
      </c>
      <c r="H417" s="57" t="s">
        <v>211</v>
      </c>
      <c r="I417" s="58" t="n">
        <f aca="false">'P9-006'!$N$11</f>
        <v>46328</v>
      </c>
      <c r="J417" s="58" t="n">
        <f aca="false">'P9-006'!$O$11</f>
        <v>46340</v>
      </c>
      <c r="K417" s="56" t="str">
        <f aca="false">IF(OR(L417="Y",LEFT('P9-006'!$T$11,1)="D"),"",IF(AND(ISNUMBER(J417),J417&lt;ASOF),"⚠ เลยกำหนด",IF(AND(ISNUMBER(I417),I417&lt;=ASOF+14,J417&gt;=ASOF-7),"ช่วงนี้","")))</f>
        <v>ช่วงนี้</v>
      </c>
      <c r="L417" s="59"/>
      <c r="M417" s="60"/>
    </row>
    <row r="418" customFormat="false" ht="15" hidden="false" customHeight="false" outlineLevel="0" collapsed="false">
      <c r="A418" s="54" t="s">
        <v>62</v>
      </c>
      <c r="B418" s="55" t="s">
        <v>474</v>
      </c>
      <c r="C418" s="56" t="s">
        <v>475</v>
      </c>
      <c r="D418" s="57" t="s">
        <v>64</v>
      </c>
      <c r="E418" s="57" t="s">
        <v>215</v>
      </c>
      <c r="F418" s="55" t="s">
        <v>216</v>
      </c>
      <c r="G418" s="61" t="s">
        <v>217</v>
      </c>
      <c r="H418" s="57" t="s">
        <v>211</v>
      </c>
      <c r="I418" s="58" t="n">
        <f aca="false">'P9-006'!$N$12</f>
        <v>46328</v>
      </c>
      <c r="J418" s="58" t="n">
        <f aca="false">'P9-006'!$O$12</f>
        <v>46340</v>
      </c>
      <c r="K418" s="56" t="str">
        <f aca="false">IF(OR(L418="Y",LEFT('P9-006'!$T$12,1)="D"),"",IF(AND(ISNUMBER(J418),J418&lt;ASOF),"⚠ เลยกำหนด",IF(AND(ISNUMBER(I418),I418&lt;=ASOF+14,J418&gt;=ASOF-7),"ช่วงนี้","")))</f>
        <v>ช่วงนี้</v>
      </c>
      <c r="L418" s="59"/>
      <c r="M418" s="60"/>
    </row>
    <row r="419" customFormat="false" ht="15" hidden="false" customHeight="false" outlineLevel="0" collapsed="false">
      <c r="A419" s="54" t="s">
        <v>62</v>
      </c>
      <c r="B419" s="55" t="s">
        <v>474</v>
      </c>
      <c r="C419" s="56" t="s">
        <v>475</v>
      </c>
      <c r="D419" s="57" t="s">
        <v>64</v>
      </c>
      <c r="E419" s="57" t="s">
        <v>218</v>
      </c>
      <c r="F419" s="55" t="s">
        <v>219</v>
      </c>
      <c r="G419" s="55" t="s">
        <v>220</v>
      </c>
      <c r="H419" s="57" t="s">
        <v>211</v>
      </c>
      <c r="I419" s="58" t="n">
        <f aca="false">'P9-006'!$N$13</f>
        <v>46328</v>
      </c>
      <c r="J419" s="58" t="n">
        <f aca="false">'P9-006'!$O$13</f>
        <v>46346</v>
      </c>
      <c r="K419" s="56" t="str">
        <f aca="false">IF(OR(L419="Y",LEFT('P9-006'!$T$13,1)="D"),"",IF(AND(ISNUMBER(J419),J419&lt;ASOF),"⚠ เลยกำหนด",IF(AND(ISNUMBER(I419),I419&lt;=ASOF+14,J419&gt;=ASOF-7),"ช่วงนี้","")))</f>
        <v>ช่วงนี้</v>
      </c>
      <c r="L419" s="59"/>
      <c r="M419" s="60"/>
    </row>
    <row r="420" customFormat="false" ht="15" hidden="false" customHeight="false" outlineLevel="0" collapsed="false">
      <c r="A420" s="54" t="s">
        <v>62</v>
      </c>
      <c r="B420" s="55" t="s">
        <v>474</v>
      </c>
      <c r="C420" s="56" t="s">
        <v>475</v>
      </c>
      <c r="D420" s="57" t="s">
        <v>64</v>
      </c>
      <c r="E420" s="57" t="s">
        <v>221</v>
      </c>
      <c r="F420" s="55" t="s">
        <v>222</v>
      </c>
      <c r="G420" s="55" t="s">
        <v>223</v>
      </c>
      <c r="H420" s="57" t="s">
        <v>211</v>
      </c>
      <c r="I420" s="58" t="n">
        <f aca="false">'P9-006'!$N$14</f>
        <v>46340</v>
      </c>
      <c r="J420" s="58" t="n">
        <f aca="false">'P9-006'!$O$14</f>
        <v>46450</v>
      </c>
      <c r="K420" s="56" t="str">
        <f aca="false">IF(OR(L420="Y",LEFT('P9-006'!$T$14,1)="D"),"",IF(AND(ISNUMBER(J420),J420&lt;ASOF),"⚠ เลยกำหนด",IF(AND(ISNUMBER(I420),I420&lt;=ASOF+14,J420&gt;=ASOF-7),"ช่วงนี้","")))</f>
        <v>ช่วงนี้</v>
      </c>
      <c r="L420" s="59"/>
      <c r="M420" s="60"/>
    </row>
    <row r="421" customFormat="false" ht="15" hidden="false" customHeight="false" outlineLevel="0" collapsed="false">
      <c r="A421" s="54" t="s">
        <v>62</v>
      </c>
      <c r="B421" s="55" t="s">
        <v>474</v>
      </c>
      <c r="C421" s="56" t="s">
        <v>475</v>
      </c>
      <c r="D421" s="57" t="s">
        <v>64</v>
      </c>
      <c r="E421" s="57" t="s">
        <v>224</v>
      </c>
      <c r="F421" s="55" t="s">
        <v>225</v>
      </c>
      <c r="G421" s="61" t="s">
        <v>226</v>
      </c>
      <c r="H421" s="57" t="s">
        <v>211</v>
      </c>
      <c r="I421" s="58" t="n">
        <f aca="false">'P9-006'!$N$15</f>
        <v>46340</v>
      </c>
      <c r="J421" s="58" t="n">
        <f aca="false">'P9-006'!$O$15</f>
        <v>46450</v>
      </c>
      <c r="K421" s="56" t="str">
        <f aca="false">IF(OR(L421="Y",LEFT('P9-006'!$T$15,1)="D"),"",IF(AND(ISNUMBER(J421),J421&lt;ASOF),"⚠ เลยกำหนด",IF(AND(ISNUMBER(I421),I421&lt;=ASOF+14,J421&gt;=ASOF-7),"ช่วงนี้","")))</f>
        <v>ช่วงนี้</v>
      </c>
      <c r="L421" s="59"/>
      <c r="M421" s="60"/>
    </row>
    <row r="422" customFormat="false" ht="15" hidden="false" customHeight="false" outlineLevel="0" collapsed="false">
      <c r="A422" s="54" t="s">
        <v>62</v>
      </c>
      <c r="B422" s="55" t="s">
        <v>474</v>
      </c>
      <c r="C422" s="56" t="s">
        <v>475</v>
      </c>
      <c r="D422" s="57" t="s">
        <v>64</v>
      </c>
      <c r="E422" s="57" t="s">
        <v>227</v>
      </c>
      <c r="F422" s="55" t="s">
        <v>228</v>
      </c>
      <c r="G422" s="55" t="s">
        <v>229</v>
      </c>
      <c r="H422" s="57" t="s">
        <v>211</v>
      </c>
      <c r="I422" s="58" t="n">
        <f aca="false">'P9-006'!$N$17</f>
        <v>46328</v>
      </c>
      <c r="J422" s="58" t="n">
        <f aca="false">'P9-006'!$O$17</f>
        <v>46328</v>
      </c>
      <c r="K422" s="56" t="str">
        <f aca="false">IF(OR(L422="Y",LEFT('P9-006'!$T$17,1)="D"),"",IF(AND(ISNUMBER(J422),J422&lt;ASOF),"⚠ เลยกำหนด",IF(AND(ISNUMBER(I422),I422&lt;=ASOF+14,J422&gt;=ASOF-7),"ช่วงนี้","")))</f>
        <v>ช่วงนี้</v>
      </c>
      <c r="L422" s="59"/>
      <c r="M422" s="60"/>
    </row>
    <row r="423" customFormat="false" ht="15" hidden="false" customHeight="false" outlineLevel="0" collapsed="false">
      <c r="A423" s="54" t="s">
        <v>62</v>
      </c>
      <c r="B423" s="55" t="s">
        <v>474</v>
      </c>
      <c r="C423" s="56" t="s">
        <v>475</v>
      </c>
      <c r="D423" s="57" t="s">
        <v>64</v>
      </c>
      <c r="E423" s="57" t="s">
        <v>230</v>
      </c>
      <c r="F423" s="55" t="s">
        <v>231</v>
      </c>
      <c r="G423" s="55" t="s">
        <v>232</v>
      </c>
      <c r="H423" s="57" t="s">
        <v>211</v>
      </c>
      <c r="I423" s="58" t="n">
        <f aca="false">'P9-006'!$N$18</f>
        <v>46328</v>
      </c>
      <c r="J423" s="58" t="n">
        <f aca="false">'P9-006'!$O$18</f>
        <v>46328</v>
      </c>
      <c r="K423" s="56" t="str">
        <f aca="false">IF(OR(L423="Y",LEFT('P9-006'!$T$18,1)="D"),"",IF(AND(ISNUMBER(J423),J423&lt;ASOF),"⚠ เลยกำหนด",IF(AND(ISNUMBER(I423),I423&lt;=ASOF+14,J423&gt;=ASOF-7),"ช่วงนี้","")))</f>
        <v>ช่วงนี้</v>
      </c>
      <c r="L423" s="59"/>
      <c r="M423" s="60"/>
    </row>
    <row r="424" customFormat="false" ht="15" hidden="false" customHeight="false" outlineLevel="0" collapsed="false">
      <c r="A424" s="54" t="s">
        <v>62</v>
      </c>
      <c r="B424" s="55" t="s">
        <v>474</v>
      </c>
      <c r="C424" s="56" t="s">
        <v>475</v>
      </c>
      <c r="D424" s="57" t="s">
        <v>64</v>
      </c>
      <c r="E424" s="57" t="s">
        <v>233</v>
      </c>
      <c r="F424" s="55" t="s">
        <v>234</v>
      </c>
      <c r="G424" s="55" t="s">
        <v>235</v>
      </c>
      <c r="H424" s="57" t="s">
        <v>211</v>
      </c>
      <c r="I424" s="58" t="n">
        <f aca="false">'P9-006'!$N$19</f>
        <v>46328</v>
      </c>
      <c r="J424" s="58" t="n">
        <f aca="false">'P9-006'!$O$19</f>
        <v>46328</v>
      </c>
      <c r="K424" s="56" t="str">
        <f aca="false">IF(OR(L424="Y",LEFT('P9-006'!$T$19,1)="D"),"",IF(AND(ISNUMBER(J424),J424&lt;ASOF),"⚠ เลยกำหนด",IF(AND(ISNUMBER(I424),I424&lt;=ASOF+14,J424&gt;=ASOF-7),"ช่วงนี้","")))</f>
        <v>ช่วงนี้</v>
      </c>
      <c r="L424" s="59"/>
      <c r="M424" s="60"/>
    </row>
    <row r="425" customFormat="false" ht="15" hidden="false" customHeight="false" outlineLevel="0" collapsed="false">
      <c r="A425" s="54" t="s">
        <v>62</v>
      </c>
      <c r="B425" s="55" t="s">
        <v>474</v>
      </c>
      <c r="C425" s="56" t="s">
        <v>475</v>
      </c>
      <c r="D425" s="57" t="s">
        <v>64</v>
      </c>
      <c r="E425" s="57" t="s">
        <v>236</v>
      </c>
      <c r="F425" s="55" t="s">
        <v>237</v>
      </c>
      <c r="G425" s="55" t="s">
        <v>238</v>
      </c>
      <c r="H425" s="57" t="s">
        <v>211</v>
      </c>
      <c r="I425" s="58" t="n">
        <f aca="false">'P9-006'!$N$20</f>
        <v>46328</v>
      </c>
      <c r="J425" s="58" t="n">
        <f aca="false">'P9-006'!$O$20</f>
        <v>46328</v>
      </c>
      <c r="K425" s="56" t="str">
        <f aca="false">IF(OR(L425="Y",LEFT('P9-006'!$T$20,1)="D"),"",IF(AND(ISNUMBER(J425),J425&lt;ASOF),"⚠ เลยกำหนด",IF(AND(ISNUMBER(I425),I425&lt;=ASOF+14,J425&gt;=ASOF-7),"ช่วงนี้","")))</f>
        <v>ช่วงนี้</v>
      </c>
      <c r="L425" s="59"/>
      <c r="M425" s="60"/>
    </row>
    <row r="426" customFormat="false" ht="15" hidden="false" customHeight="false" outlineLevel="0" collapsed="false">
      <c r="A426" s="54" t="s">
        <v>62</v>
      </c>
      <c r="B426" s="55" t="s">
        <v>474</v>
      </c>
      <c r="C426" s="56" t="s">
        <v>475</v>
      </c>
      <c r="D426" s="57" t="s">
        <v>64</v>
      </c>
      <c r="E426" s="57" t="s">
        <v>239</v>
      </c>
      <c r="F426" s="55" t="s">
        <v>240</v>
      </c>
      <c r="G426" s="55" t="s">
        <v>241</v>
      </c>
      <c r="H426" s="57" t="s">
        <v>211</v>
      </c>
      <c r="I426" s="58" t="n">
        <f aca="false">'P9-006'!$N$21</f>
        <v>46328</v>
      </c>
      <c r="J426" s="58" t="n">
        <f aca="false">'P9-006'!$O$21</f>
        <v>46328</v>
      </c>
      <c r="K426" s="56" t="str">
        <f aca="false">IF(OR(L426="Y",LEFT('P9-006'!$T$21,1)="D"),"",IF(AND(ISNUMBER(J426),J426&lt;ASOF),"⚠ เลยกำหนด",IF(AND(ISNUMBER(I426),I426&lt;=ASOF+14,J426&gt;=ASOF-7),"ช่วงนี้","")))</f>
        <v>ช่วงนี้</v>
      </c>
      <c r="L426" s="59"/>
      <c r="M426" s="60"/>
    </row>
    <row r="427" customFormat="false" ht="15" hidden="false" customHeight="false" outlineLevel="0" collapsed="false">
      <c r="A427" s="54" t="s">
        <v>62</v>
      </c>
      <c r="B427" s="55" t="s">
        <v>474</v>
      </c>
      <c r="C427" s="56" t="s">
        <v>475</v>
      </c>
      <c r="D427" s="57" t="s">
        <v>64</v>
      </c>
      <c r="E427" s="57" t="s">
        <v>242</v>
      </c>
      <c r="F427" s="55" t="s">
        <v>243</v>
      </c>
      <c r="G427" s="55" t="s">
        <v>244</v>
      </c>
      <c r="H427" s="57" t="s">
        <v>211</v>
      </c>
      <c r="I427" s="58" t="n">
        <f aca="false">'P9-006'!$N$22</f>
        <v>46328</v>
      </c>
      <c r="J427" s="58" t="n">
        <f aca="false">'P9-006'!$O$22</f>
        <v>46328</v>
      </c>
      <c r="K427" s="56" t="str">
        <f aca="false">IF(OR(L427="Y",LEFT('P9-006'!$T$22,1)="D"),"",IF(AND(ISNUMBER(J427),J427&lt;ASOF),"⚠ เลยกำหนด",IF(AND(ISNUMBER(I427),I427&lt;=ASOF+14,J427&gt;=ASOF-7),"ช่วงนี้","")))</f>
        <v>ช่วงนี้</v>
      </c>
      <c r="L427" s="59"/>
      <c r="M427" s="60"/>
    </row>
    <row r="428" customFormat="false" ht="15" hidden="false" customHeight="false" outlineLevel="0" collapsed="false">
      <c r="A428" s="54" t="s">
        <v>62</v>
      </c>
      <c r="B428" s="55" t="s">
        <v>474</v>
      </c>
      <c r="C428" s="56" t="s">
        <v>475</v>
      </c>
      <c r="D428" s="57" t="s">
        <v>64</v>
      </c>
      <c r="E428" s="57" t="s">
        <v>245</v>
      </c>
      <c r="F428" s="55" t="s">
        <v>246</v>
      </c>
      <c r="G428" s="55" t="s">
        <v>247</v>
      </c>
      <c r="H428" s="57" t="s">
        <v>211</v>
      </c>
      <c r="I428" s="58" t="n">
        <f aca="false">'P9-006'!$N$23</f>
        <v>46328</v>
      </c>
      <c r="J428" s="58" t="n">
        <f aca="false">'P9-006'!$O$23</f>
        <v>46328</v>
      </c>
      <c r="K428" s="56" t="str">
        <f aca="false">IF(OR(L428="Y",LEFT('P9-006'!$T$23,1)="D"),"",IF(AND(ISNUMBER(J428),J428&lt;ASOF),"⚠ เลยกำหนด",IF(AND(ISNUMBER(I428),I428&lt;=ASOF+14,J428&gt;=ASOF-7),"ช่วงนี้","")))</f>
        <v>ช่วงนี้</v>
      </c>
      <c r="L428" s="59"/>
      <c r="M428" s="60"/>
    </row>
    <row r="429" customFormat="false" ht="15" hidden="false" customHeight="false" outlineLevel="0" collapsed="false">
      <c r="A429" s="54" t="s">
        <v>62</v>
      </c>
      <c r="B429" s="55" t="s">
        <v>474</v>
      </c>
      <c r="C429" s="56" t="s">
        <v>475</v>
      </c>
      <c r="D429" s="57" t="s">
        <v>64</v>
      </c>
      <c r="E429" s="57" t="s">
        <v>248</v>
      </c>
      <c r="F429" s="55" t="s">
        <v>249</v>
      </c>
      <c r="G429" s="55" t="s">
        <v>250</v>
      </c>
      <c r="H429" s="57" t="s">
        <v>211</v>
      </c>
      <c r="I429" s="58" t="n">
        <f aca="false">'P9-006'!$N$24</f>
        <v>46328</v>
      </c>
      <c r="J429" s="58" t="n">
        <f aca="false">'P9-006'!$O$24</f>
        <v>46328</v>
      </c>
      <c r="K429" s="56" t="str">
        <f aca="false">IF(OR(L429="Y",LEFT('P9-006'!$T$24,1)="D"),"",IF(AND(ISNUMBER(J429),J429&lt;ASOF),"⚠ เลยกำหนด",IF(AND(ISNUMBER(I429),I429&lt;=ASOF+14,J429&gt;=ASOF-7),"ช่วงนี้","")))</f>
        <v>ช่วงนี้</v>
      </c>
      <c r="L429" s="59"/>
      <c r="M429" s="60"/>
    </row>
    <row r="430" customFormat="false" ht="15" hidden="false" customHeight="false" outlineLevel="0" collapsed="false">
      <c r="A430" s="54" t="s">
        <v>62</v>
      </c>
      <c r="B430" s="55" t="s">
        <v>474</v>
      </c>
      <c r="C430" s="56" t="s">
        <v>475</v>
      </c>
      <c r="D430" s="57" t="s">
        <v>64</v>
      </c>
      <c r="E430" s="57" t="s">
        <v>251</v>
      </c>
      <c r="F430" s="55" t="s">
        <v>252</v>
      </c>
      <c r="G430" s="55" t="s">
        <v>253</v>
      </c>
      <c r="H430" s="57" t="s">
        <v>211</v>
      </c>
      <c r="I430" s="58" t="n">
        <f aca="false">'P9-006'!$N$26</f>
        <v>46329</v>
      </c>
      <c r="J430" s="58" t="n">
        <f aca="false">'P9-006'!$O$26</f>
        <v>46329</v>
      </c>
      <c r="K430" s="56" t="str">
        <f aca="false">IF(OR(L430="Y",LEFT('P9-006'!$T$26,1)="D"),"",IF(AND(ISNUMBER(J430),J430&lt;ASOF),"⚠ เลยกำหนด",IF(AND(ISNUMBER(I430),I430&lt;=ASOF+14,J430&gt;=ASOF-7),"ช่วงนี้","")))</f>
        <v>ช่วงนี้</v>
      </c>
      <c r="L430" s="59"/>
      <c r="M430" s="60"/>
    </row>
    <row r="431" customFormat="false" ht="15" hidden="false" customHeight="false" outlineLevel="0" collapsed="false">
      <c r="A431" s="54" t="s">
        <v>62</v>
      </c>
      <c r="B431" s="55" t="s">
        <v>474</v>
      </c>
      <c r="C431" s="56" t="s">
        <v>475</v>
      </c>
      <c r="D431" s="57" t="s">
        <v>64</v>
      </c>
      <c r="E431" s="57" t="s">
        <v>254</v>
      </c>
      <c r="F431" s="55" t="s">
        <v>255</v>
      </c>
      <c r="G431" s="55" t="s">
        <v>256</v>
      </c>
      <c r="H431" s="57" t="s">
        <v>211</v>
      </c>
      <c r="I431" s="58" t="n">
        <f aca="false">'P9-006'!$N$27</f>
        <v>46329</v>
      </c>
      <c r="J431" s="58" t="n">
        <f aca="false">'P9-006'!$O$27</f>
        <v>46329</v>
      </c>
      <c r="K431" s="56" t="str">
        <f aca="false">IF(OR(L431="Y",LEFT('P9-006'!$T$27,1)="D"),"",IF(AND(ISNUMBER(J431),J431&lt;ASOF),"⚠ เลยกำหนด",IF(AND(ISNUMBER(I431),I431&lt;=ASOF+14,J431&gt;=ASOF-7),"ช่วงนี้","")))</f>
        <v>ช่วงนี้</v>
      </c>
      <c r="L431" s="59"/>
      <c r="M431" s="60"/>
    </row>
    <row r="432" customFormat="false" ht="15" hidden="false" customHeight="false" outlineLevel="0" collapsed="false">
      <c r="A432" s="54" t="s">
        <v>62</v>
      </c>
      <c r="B432" s="55" t="s">
        <v>474</v>
      </c>
      <c r="C432" s="56" t="s">
        <v>475</v>
      </c>
      <c r="D432" s="57" t="s">
        <v>64</v>
      </c>
      <c r="E432" s="57" t="s">
        <v>257</v>
      </c>
      <c r="F432" s="55" t="s">
        <v>258</v>
      </c>
      <c r="G432" s="55" t="s">
        <v>259</v>
      </c>
      <c r="H432" s="57" t="s">
        <v>211</v>
      </c>
      <c r="I432" s="58" t="n">
        <f aca="false">'P9-006'!$N$28</f>
        <v>46329</v>
      </c>
      <c r="J432" s="58" t="n">
        <f aca="false">'P9-006'!$O$28</f>
        <v>46329</v>
      </c>
      <c r="K432" s="56" t="str">
        <f aca="false">IF(OR(L432="Y",LEFT('P9-006'!$T$28,1)="D"),"",IF(AND(ISNUMBER(J432),J432&lt;ASOF),"⚠ เลยกำหนด",IF(AND(ISNUMBER(I432),I432&lt;=ASOF+14,J432&gt;=ASOF-7),"ช่วงนี้","")))</f>
        <v>ช่วงนี้</v>
      </c>
      <c r="L432" s="59"/>
      <c r="M432" s="60"/>
    </row>
    <row r="433" customFormat="false" ht="15" hidden="false" customHeight="false" outlineLevel="0" collapsed="false">
      <c r="A433" s="54" t="s">
        <v>62</v>
      </c>
      <c r="B433" s="55" t="s">
        <v>474</v>
      </c>
      <c r="C433" s="56" t="s">
        <v>475</v>
      </c>
      <c r="D433" s="57" t="s">
        <v>64</v>
      </c>
      <c r="E433" s="57" t="s">
        <v>260</v>
      </c>
      <c r="F433" s="55" t="s">
        <v>261</v>
      </c>
      <c r="G433" s="55" t="s">
        <v>262</v>
      </c>
      <c r="H433" s="57" t="s">
        <v>211</v>
      </c>
      <c r="I433" s="58" t="n">
        <f aca="false">'P9-006'!$N$31</f>
        <v>46328</v>
      </c>
      <c r="J433" s="58" t="n">
        <f aca="false">'P9-006'!$O$31</f>
        <v>46328</v>
      </c>
      <c r="K433" s="56" t="str">
        <f aca="false">IF(OR(L433="Y",LEFT('P9-006'!$T$31,1)="D"),"",IF(AND(ISNUMBER(J433),J433&lt;ASOF),"⚠ เลยกำหนด",IF(AND(ISNUMBER(I433),I433&lt;=ASOF+14,J433&gt;=ASOF-7),"ช่วงนี้","")))</f>
        <v>ช่วงนี้</v>
      </c>
      <c r="L433" s="59"/>
      <c r="M433" s="60"/>
    </row>
    <row r="434" customFormat="false" ht="15" hidden="false" customHeight="false" outlineLevel="0" collapsed="false">
      <c r="A434" s="54" t="s">
        <v>62</v>
      </c>
      <c r="B434" s="55" t="s">
        <v>474</v>
      </c>
      <c r="C434" s="56" t="s">
        <v>475</v>
      </c>
      <c r="D434" s="57" t="s">
        <v>64</v>
      </c>
      <c r="E434" s="57" t="s">
        <v>263</v>
      </c>
      <c r="F434" s="55" t="s">
        <v>264</v>
      </c>
      <c r="G434" s="55" t="s">
        <v>265</v>
      </c>
      <c r="H434" s="57" t="s">
        <v>211</v>
      </c>
      <c r="I434" s="58" t="n">
        <f aca="false">'P9-006'!$N$32</f>
        <v>46328</v>
      </c>
      <c r="J434" s="58" t="n">
        <f aca="false">'P9-006'!$O$32</f>
        <v>46328</v>
      </c>
      <c r="K434" s="56" t="str">
        <f aca="false">IF(OR(L434="Y",LEFT('P9-006'!$T$32,1)="D"),"",IF(AND(ISNUMBER(J434),J434&lt;ASOF),"⚠ เลยกำหนด",IF(AND(ISNUMBER(I434),I434&lt;=ASOF+14,J434&gt;=ASOF-7),"ช่วงนี้","")))</f>
        <v>ช่วงนี้</v>
      </c>
      <c r="L434" s="59"/>
      <c r="M434" s="60"/>
    </row>
    <row r="435" customFormat="false" ht="15" hidden="false" customHeight="false" outlineLevel="0" collapsed="false">
      <c r="A435" s="54" t="s">
        <v>62</v>
      </c>
      <c r="B435" s="55" t="s">
        <v>474</v>
      </c>
      <c r="C435" s="56" t="s">
        <v>475</v>
      </c>
      <c r="D435" s="57" t="s">
        <v>64</v>
      </c>
      <c r="E435" s="57" t="s">
        <v>266</v>
      </c>
      <c r="F435" s="55" t="s">
        <v>267</v>
      </c>
      <c r="G435" s="55" t="s">
        <v>268</v>
      </c>
      <c r="H435" s="57" t="s">
        <v>211</v>
      </c>
      <c r="I435" s="58" t="n">
        <f aca="false">'P9-006'!$N$33</f>
        <v>46328</v>
      </c>
      <c r="J435" s="58" t="n">
        <f aca="false">'P9-006'!$O$33</f>
        <v>46328</v>
      </c>
      <c r="K435" s="56" t="str">
        <f aca="false">IF(OR(L435="Y",LEFT('P9-006'!$T$33,1)="D"),"",IF(AND(ISNUMBER(J435),J435&lt;ASOF),"⚠ เลยกำหนด",IF(AND(ISNUMBER(I435),I435&lt;=ASOF+14,J435&gt;=ASOF-7),"ช่วงนี้","")))</f>
        <v>ช่วงนี้</v>
      </c>
      <c r="L435" s="59"/>
      <c r="M435" s="60"/>
    </row>
    <row r="436" customFormat="false" ht="15" hidden="false" customHeight="false" outlineLevel="0" collapsed="false">
      <c r="A436" s="54" t="s">
        <v>62</v>
      </c>
      <c r="B436" s="55" t="s">
        <v>474</v>
      </c>
      <c r="C436" s="56" t="s">
        <v>475</v>
      </c>
      <c r="D436" s="57" t="s">
        <v>64</v>
      </c>
      <c r="E436" s="57" t="s">
        <v>269</v>
      </c>
      <c r="F436" s="61" t="s">
        <v>270</v>
      </c>
      <c r="G436" s="61" t="s">
        <v>271</v>
      </c>
      <c r="H436" s="57" t="s">
        <v>211</v>
      </c>
      <c r="I436" s="58" t="n">
        <f aca="false">'P9-006'!$N$35</f>
        <v>46328</v>
      </c>
      <c r="J436" s="58" t="n">
        <f aca="false">'P9-006'!$O$35</f>
        <v>46328</v>
      </c>
      <c r="K436" s="56" t="str">
        <f aca="false">IF(OR(L436="Y",LEFT('P9-006'!$T$35,1)="D"),"",IF(AND(ISNUMBER(J436),J436&lt;ASOF),"⚠ เลยกำหนด",IF(AND(ISNUMBER(I436),I436&lt;=ASOF+14,J436&gt;=ASOF-7),"ช่วงนี้","")))</f>
        <v>ช่วงนี้</v>
      </c>
      <c r="L436" s="59"/>
      <c r="M436" s="60"/>
    </row>
    <row r="437" customFormat="false" ht="15" hidden="false" customHeight="false" outlineLevel="0" collapsed="false">
      <c r="A437" s="54" t="s">
        <v>62</v>
      </c>
      <c r="B437" s="55" t="s">
        <v>474</v>
      </c>
      <c r="C437" s="56" t="s">
        <v>475</v>
      </c>
      <c r="D437" s="57" t="s">
        <v>64</v>
      </c>
      <c r="E437" s="57" t="s">
        <v>272</v>
      </c>
      <c r="F437" s="55" t="s">
        <v>273</v>
      </c>
      <c r="G437" s="55" t="s">
        <v>274</v>
      </c>
      <c r="H437" s="57" t="s">
        <v>211</v>
      </c>
      <c r="I437" s="58" t="n">
        <f aca="false">'P9-006'!$N$36</f>
        <v>46328</v>
      </c>
      <c r="J437" s="58" t="n">
        <f aca="false">'P9-006'!$O$36</f>
        <v>46328</v>
      </c>
      <c r="K437" s="56" t="str">
        <f aca="false">IF(OR(L437="Y",LEFT('P9-006'!$T$36,1)="D"),"",IF(AND(ISNUMBER(J437),J437&lt;ASOF),"⚠ เลยกำหนด",IF(AND(ISNUMBER(I437),I437&lt;=ASOF+14,J437&gt;=ASOF-7),"ช่วงนี้","")))</f>
        <v>ช่วงนี้</v>
      </c>
      <c r="L437" s="59"/>
      <c r="M437" s="60"/>
    </row>
    <row r="438" customFormat="false" ht="15" hidden="false" customHeight="false" outlineLevel="0" collapsed="false">
      <c r="A438" s="54" t="s">
        <v>62</v>
      </c>
      <c r="B438" s="55" t="s">
        <v>474</v>
      </c>
      <c r="C438" s="56" t="s">
        <v>475</v>
      </c>
      <c r="D438" s="57" t="s">
        <v>64</v>
      </c>
      <c r="E438" s="57" t="s">
        <v>275</v>
      </c>
      <c r="F438" s="55" t="s">
        <v>276</v>
      </c>
      <c r="G438" s="55" t="s">
        <v>277</v>
      </c>
      <c r="H438" s="57" t="s">
        <v>211</v>
      </c>
      <c r="I438" s="58" t="n">
        <f aca="false">'P9-006'!$N$37</f>
        <v>46328</v>
      </c>
      <c r="J438" s="58" t="n">
        <f aca="false">'P9-006'!$O$37</f>
        <v>46328</v>
      </c>
      <c r="K438" s="56" t="str">
        <f aca="false">IF(OR(L438="Y",LEFT('P9-006'!$T$37,1)="D"),"",IF(AND(ISNUMBER(J438),J438&lt;ASOF),"⚠ เลยกำหนด",IF(AND(ISNUMBER(I438),I438&lt;=ASOF+14,J438&gt;=ASOF-7),"ช่วงนี้","")))</f>
        <v>ช่วงนี้</v>
      </c>
      <c r="L438" s="59"/>
      <c r="M438" s="60"/>
    </row>
    <row r="439" customFormat="false" ht="15" hidden="false" customHeight="false" outlineLevel="0" collapsed="false">
      <c r="A439" s="54" t="s">
        <v>62</v>
      </c>
      <c r="B439" s="55" t="s">
        <v>474</v>
      </c>
      <c r="C439" s="56" t="s">
        <v>475</v>
      </c>
      <c r="D439" s="57" t="s">
        <v>64</v>
      </c>
      <c r="E439" s="57" t="s">
        <v>278</v>
      </c>
      <c r="F439" s="55" t="s">
        <v>279</v>
      </c>
      <c r="G439" s="55" t="s">
        <v>280</v>
      </c>
      <c r="H439" s="57" t="s">
        <v>211</v>
      </c>
      <c r="I439" s="58" t="n">
        <f aca="false">'P9-006'!$N$38</f>
        <v>46328</v>
      </c>
      <c r="J439" s="58" t="n">
        <f aca="false">'P9-006'!$O$38</f>
        <v>46328</v>
      </c>
      <c r="K439" s="56" t="str">
        <f aca="false">IF(OR(L439="Y",LEFT('P9-006'!$T$38,1)="D"),"",IF(AND(ISNUMBER(J439),J439&lt;ASOF),"⚠ เลยกำหนด",IF(AND(ISNUMBER(I439),I439&lt;=ASOF+14,J439&gt;=ASOF-7),"ช่วงนี้","")))</f>
        <v>ช่วงนี้</v>
      </c>
      <c r="L439" s="59"/>
      <c r="M439" s="60"/>
    </row>
    <row r="440" customFormat="false" ht="15" hidden="false" customHeight="false" outlineLevel="0" collapsed="false">
      <c r="A440" s="54" t="s">
        <v>62</v>
      </c>
      <c r="B440" s="55" t="s">
        <v>474</v>
      </c>
      <c r="C440" s="56" t="s">
        <v>475</v>
      </c>
      <c r="D440" s="57" t="s">
        <v>64</v>
      </c>
      <c r="E440" s="57" t="s">
        <v>281</v>
      </c>
      <c r="F440" s="55" t="s">
        <v>282</v>
      </c>
      <c r="G440" s="55" t="s">
        <v>283</v>
      </c>
      <c r="H440" s="57" t="s">
        <v>211</v>
      </c>
      <c r="I440" s="58" t="n">
        <f aca="false">'P9-006'!$N$40</f>
        <v>46328</v>
      </c>
      <c r="J440" s="58" t="n">
        <f aca="false">'P9-006'!$O$40</f>
        <v>46328</v>
      </c>
      <c r="K440" s="56" t="str">
        <f aca="false">IF(OR(L440="Y",LEFT('P9-006'!$T$40,1)="D"),"",IF(AND(ISNUMBER(J440),J440&lt;ASOF),"⚠ เลยกำหนด",IF(AND(ISNUMBER(I440),I440&lt;=ASOF+14,J440&gt;=ASOF-7),"ช่วงนี้","")))</f>
        <v>ช่วงนี้</v>
      </c>
      <c r="L440" s="59"/>
      <c r="M440" s="60"/>
    </row>
    <row r="441" customFormat="false" ht="15" hidden="false" customHeight="false" outlineLevel="0" collapsed="false">
      <c r="A441" s="54" t="s">
        <v>62</v>
      </c>
      <c r="B441" s="55" t="s">
        <v>474</v>
      </c>
      <c r="C441" s="56" t="s">
        <v>475</v>
      </c>
      <c r="D441" s="57" t="s">
        <v>64</v>
      </c>
      <c r="E441" s="57" t="s">
        <v>284</v>
      </c>
      <c r="F441" s="55" t="s">
        <v>285</v>
      </c>
      <c r="G441" s="61" t="s">
        <v>286</v>
      </c>
      <c r="H441" s="57" t="s">
        <v>211</v>
      </c>
      <c r="I441" s="58" t="n">
        <f aca="false">'P9-006'!$N$41</f>
        <v>46328</v>
      </c>
      <c r="J441" s="58" t="n">
        <f aca="false">'P9-006'!$O$41</f>
        <v>46328</v>
      </c>
      <c r="K441" s="56" t="str">
        <f aca="false">IF(OR(L441="Y",LEFT('P9-006'!$T$41,1)="D"),"",IF(AND(ISNUMBER(J441),J441&lt;ASOF),"⚠ เลยกำหนด",IF(AND(ISNUMBER(I441),I441&lt;=ASOF+14,J441&gt;=ASOF-7),"ช่วงนี้","")))</f>
        <v>ช่วงนี้</v>
      </c>
      <c r="L441" s="59"/>
      <c r="M441" s="60"/>
    </row>
    <row r="442" customFormat="false" ht="15" hidden="false" customHeight="false" outlineLevel="0" collapsed="false">
      <c r="A442" s="54" t="s">
        <v>62</v>
      </c>
      <c r="B442" s="55" t="s">
        <v>474</v>
      </c>
      <c r="C442" s="56" t="s">
        <v>475</v>
      </c>
      <c r="D442" s="57" t="s">
        <v>64</v>
      </c>
      <c r="E442" s="57" t="s">
        <v>287</v>
      </c>
      <c r="F442" s="55" t="s">
        <v>288</v>
      </c>
      <c r="G442" s="61" t="s">
        <v>289</v>
      </c>
      <c r="H442" s="57" t="s">
        <v>211</v>
      </c>
      <c r="I442" s="58" t="n">
        <f aca="false">'P9-006'!$N$42</f>
        <v>46328</v>
      </c>
      <c r="J442" s="58" t="n">
        <f aca="false">'P9-006'!$O$42</f>
        <v>46328</v>
      </c>
      <c r="K442" s="56" t="str">
        <f aca="false">IF(OR(L442="Y",LEFT('P9-006'!$T$42,1)="D"),"",IF(AND(ISNUMBER(J442),J442&lt;ASOF),"⚠ เลยกำหนด",IF(AND(ISNUMBER(I442),I442&lt;=ASOF+14,J442&gt;=ASOF-7),"ช่วงนี้","")))</f>
        <v>ช่วงนี้</v>
      </c>
      <c r="L442" s="59"/>
      <c r="M442" s="60"/>
    </row>
    <row r="443" customFormat="false" ht="15" hidden="false" customHeight="false" outlineLevel="0" collapsed="false">
      <c r="A443" s="54" t="s">
        <v>62</v>
      </c>
      <c r="B443" s="55" t="s">
        <v>474</v>
      </c>
      <c r="C443" s="56" t="s">
        <v>475</v>
      </c>
      <c r="D443" s="57" t="s">
        <v>64</v>
      </c>
      <c r="E443" s="57" t="s">
        <v>290</v>
      </c>
      <c r="F443" s="55" t="s">
        <v>291</v>
      </c>
      <c r="G443" s="55" t="s">
        <v>292</v>
      </c>
      <c r="H443" s="57" t="s">
        <v>211</v>
      </c>
      <c r="I443" s="58" t="n">
        <f aca="false">'P9-006'!$N$44</f>
        <v>46328</v>
      </c>
      <c r="J443" s="58" t="n">
        <f aca="false">'P9-006'!$O$44</f>
        <v>46328</v>
      </c>
      <c r="K443" s="56" t="str">
        <f aca="false">IF(OR(L443="Y",LEFT('P9-006'!$T$44,1)="D"),"",IF(AND(ISNUMBER(J443),J443&lt;ASOF),"⚠ เลยกำหนด",IF(AND(ISNUMBER(I443),I443&lt;=ASOF+14,J443&gt;=ASOF-7),"ช่วงนี้","")))</f>
        <v>ช่วงนี้</v>
      </c>
      <c r="L443" s="59"/>
      <c r="M443" s="60"/>
    </row>
    <row r="444" customFormat="false" ht="15" hidden="false" customHeight="false" outlineLevel="0" collapsed="false">
      <c r="A444" s="54" t="s">
        <v>62</v>
      </c>
      <c r="B444" s="55" t="s">
        <v>474</v>
      </c>
      <c r="C444" s="56" t="s">
        <v>475</v>
      </c>
      <c r="D444" s="57" t="s">
        <v>64</v>
      </c>
      <c r="E444" s="57" t="s">
        <v>293</v>
      </c>
      <c r="F444" s="55" t="s">
        <v>294</v>
      </c>
      <c r="G444" s="55" t="s">
        <v>295</v>
      </c>
      <c r="H444" s="57" t="s">
        <v>211</v>
      </c>
      <c r="I444" s="58" t="n">
        <f aca="false">'P9-006'!$N$45</f>
        <v>46328</v>
      </c>
      <c r="J444" s="58" t="n">
        <f aca="false">'P9-006'!$O$45</f>
        <v>46328</v>
      </c>
      <c r="K444" s="56" t="str">
        <f aca="false">IF(OR(L444="Y",LEFT('P9-006'!$T$45,1)="D"),"",IF(AND(ISNUMBER(J444),J444&lt;ASOF),"⚠ เลยกำหนด",IF(AND(ISNUMBER(I444),I444&lt;=ASOF+14,J444&gt;=ASOF-7),"ช่วงนี้","")))</f>
        <v>ช่วงนี้</v>
      </c>
      <c r="L444" s="59"/>
      <c r="M444" s="60"/>
    </row>
    <row r="445" customFormat="false" ht="15" hidden="false" customHeight="false" outlineLevel="0" collapsed="false">
      <c r="A445" s="54" t="s">
        <v>62</v>
      </c>
      <c r="B445" s="55" t="s">
        <v>474</v>
      </c>
      <c r="C445" s="56" t="s">
        <v>475</v>
      </c>
      <c r="D445" s="57" t="s">
        <v>64</v>
      </c>
      <c r="E445" s="57" t="s">
        <v>296</v>
      </c>
      <c r="F445" s="55" t="s">
        <v>297</v>
      </c>
      <c r="G445" s="55" t="s">
        <v>298</v>
      </c>
      <c r="H445" s="57" t="s">
        <v>211</v>
      </c>
      <c r="I445" s="58" t="n">
        <f aca="false">'P9-006'!$N$46</f>
        <v>46328</v>
      </c>
      <c r="J445" s="58" t="n">
        <f aca="false">'P9-006'!$O$46</f>
        <v>46328</v>
      </c>
      <c r="K445" s="56" t="str">
        <f aca="false">IF(OR(L445="Y",LEFT('P9-006'!$T$46,1)="D"),"",IF(AND(ISNUMBER(J445),J445&lt;ASOF),"⚠ เลยกำหนด",IF(AND(ISNUMBER(I445),I445&lt;=ASOF+14,J445&gt;=ASOF-7),"ช่วงนี้","")))</f>
        <v>ช่วงนี้</v>
      </c>
      <c r="L445" s="59"/>
      <c r="M445" s="60"/>
    </row>
    <row r="446" customFormat="false" ht="15" hidden="false" customHeight="false" outlineLevel="0" collapsed="false">
      <c r="A446" s="54" t="s">
        <v>62</v>
      </c>
      <c r="B446" s="55" t="s">
        <v>474</v>
      </c>
      <c r="C446" s="56" t="s">
        <v>475</v>
      </c>
      <c r="D446" s="57" t="s">
        <v>64</v>
      </c>
      <c r="E446" s="57" t="s">
        <v>456</v>
      </c>
      <c r="F446" s="61" t="s">
        <v>457</v>
      </c>
      <c r="G446" s="61" t="s">
        <v>458</v>
      </c>
      <c r="H446" s="57" t="s">
        <v>211</v>
      </c>
      <c r="I446" s="58" t="n">
        <f aca="false">'P9-006'!$N$48</f>
        <v>46356</v>
      </c>
      <c r="J446" s="58" t="n">
        <f aca="false">'P9-006'!$O$48</f>
        <v>46356</v>
      </c>
      <c r="K446" s="56" t="str">
        <f aca="false">IF(OR(L446="Y",LEFT('P9-006'!$T$48,1)="D"),"",IF(AND(ISNUMBER(J446),J446&lt;ASOF),"⚠ เลยกำหนด",IF(AND(ISNUMBER(I446),I446&lt;=ASOF+14,J446&gt;=ASOF-7),"ช่วงนี้","")))</f>
        <v/>
      </c>
      <c r="L446" s="59"/>
      <c r="M446" s="60"/>
    </row>
    <row r="447" customFormat="false" ht="15" hidden="false" customHeight="false" outlineLevel="0" collapsed="false">
      <c r="A447" s="54" t="s">
        <v>62</v>
      </c>
      <c r="B447" s="55" t="s">
        <v>474</v>
      </c>
      <c r="C447" s="56" t="s">
        <v>475</v>
      </c>
      <c r="D447" s="57" t="s">
        <v>64</v>
      </c>
      <c r="E447" s="57" t="s">
        <v>459</v>
      </c>
      <c r="F447" s="55" t="s">
        <v>460</v>
      </c>
      <c r="G447" s="55" t="s">
        <v>461</v>
      </c>
      <c r="H447" s="57" t="s">
        <v>211</v>
      </c>
      <c r="I447" s="58" t="n">
        <f aca="false">'P9-006'!$N$49</f>
        <v>46356</v>
      </c>
      <c r="J447" s="58" t="n">
        <f aca="false">'P9-006'!$O$49</f>
        <v>46356</v>
      </c>
      <c r="K447" s="56" t="str">
        <f aca="false">IF(OR(L447="Y",LEFT('P9-006'!$T$49,1)="D"),"",IF(AND(ISNUMBER(J447),J447&lt;ASOF),"⚠ เลยกำหนด",IF(AND(ISNUMBER(I447),I447&lt;=ASOF+14,J447&gt;=ASOF-7),"ช่วงนี้","")))</f>
        <v/>
      </c>
      <c r="L447" s="59"/>
      <c r="M447" s="60"/>
    </row>
    <row r="448" customFormat="false" ht="15" hidden="false" customHeight="false" outlineLevel="0" collapsed="false">
      <c r="A448" s="54" t="s">
        <v>62</v>
      </c>
      <c r="B448" s="55" t="s">
        <v>474</v>
      </c>
      <c r="C448" s="56" t="s">
        <v>475</v>
      </c>
      <c r="D448" s="57" t="s">
        <v>64</v>
      </c>
      <c r="E448" s="57" t="s">
        <v>462</v>
      </c>
      <c r="F448" s="55" t="s">
        <v>463</v>
      </c>
      <c r="G448" s="55" t="s">
        <v>464</v>
      </c>
      <c r="H448" s="57" t="s">
        <v>211</v>
      </c>
      <c r="I448" s="58" t="n">
        <f aca="false">'P9-006'!$N$51</f>
        <v>46356</v>
      </c>
      <c r="J448" s="58" t="n">
        <f aca="false">'P9-006'!$O$51</f>
        <v>46356</v>
      </c>
      <c r="K448" s="56" t="str">
        <f aca="false">IF(OR(L448="Y",LEFT('P9-006'!$T$51,1)="D"),"",IF(AND(ISNUMBER(J448),J448&lt;ASOF),"⚠ เลยกำหนด",IF(AND(ISNUMBER(I448),I448&lt;=ASOF+14,J448&gt;=ASOF-7),"ช่วงนี้","")))</f>
        <v/>
      </c>
      <c r="L448" s="59"/>
      <c r="M448" s="60"/>
    </row>
    <row r="449" customFormat="false" ht="15" hidden="false" customHeight="false" outlineLevel="0" collapsed="false">
      <c r="A449" s="54" t="s">
        <v>62</v>
      </c>
      <c r="B449" s="55" t="s">
        <v>474</v>
      </c>
      <c r="C449" s="56" t="s">
        <v>475</v>
      </c>
      <c r="D449" s="57" t="s">
        <v>64</v>
      </c>
      <c r="E449" s="57" t="s">
        <v>299</v>
      </c>
      <c r="F449" s="55" t="s">
        <v>300</v>
      </c>
      <c r="G449" s="55" t="s">
        <v>301</v>
      </c>
      <c r="H449" s="57" t="s">
        <v>211</v>
      </c>
      <c r="I449" s="58" t="str">
        <f aca="false">'P9-006'!$N$53</f>
        <v/>
      </c>
      <c r="J449" s="58" t="str">
        <f aca="false">'P9-006'!$O$53</f>
        <v/>
      </c>
      <c r="K449" s="56" t="str">
        <f aca="false">IF(OR(L449="Y",LEFT('P9-006'!$T$53,1)="D"),"",IF(AND(ISNUMBER(J449),J449&lt;ASOF),"⚠ เลยกำหนด",IF(AND(ISNUMBER(I449),I449&lt;=ASOF+14,J449&gt;=ASOF-7),"ช่วงนี้","")))</f>
        <v/>
      </c>
      <c r="L449" s="59"/>
      <c r="M449" s="60"/>
    </row>
    <row r="450" customFormat="false" ht="15" hidden="false" customHeight="false" outlineLevel="0" collapsed="false">
      <c r="A450" s="54" t="s">
        <v>62</v>
      </c>
      <c r="B450" s="55" t="s">
        <v>474</v>
      </c>
      <c r="C450" s="56" t="s">
        <v>475</v>
      </c>
      <c r="D450" s="57" t="s">
        <v>64</v>
      </c>
      <c r="E450" s="57" t="s">
        <v>302</v>
      </c>
      <c r="F450" s="55" t="s">
        <v>303</v>
      </c>
      <c r="G450" s="55" t="s">
        <v>304</v>
      </c>
      <c r="H450" s="57" t="s">
        <v>211</v>
      </c>
      <c r="I450" s="58" t="str">
        <f aca="false">'P9-006'!$N$54</f>
        <v/>
      </c>
      <c r="J450" s="58" t="str">
        <f aca="false">'P9-006'!$O$54</f>
        <v/>
      </c>
      <c r="K450" s="56" t="str">
        <f aca="false">IF(OR(L450="Y",LEFT('P9-006'!$T$54,1)="D"),"",IF(AND(ISNUMBER(J450),J450&lt;ASOF),"⚠ เลยกำหนด",IF(AND(ISNUMBER(I450),I450&lt;=ASOF+14,J450&gt;=ASOF-7),"ช่วงนี้","")))</f>
        <v/>
      </c>
      <c r="L450" s="59"/>
      <c r="M450" s="60"/>
    </row>
    <row r="451" customFormat="false" ht="15" hidden="false" customHeight="false" outlineLevel="0" collapsed="false">
      <c r="A451" s="54" t="s">
        <v>62</v>
      </c>
      <c r="B451" s="55" t="s">
        <v>474</v>
      </c>
      <c r="C451" s="56" t="s">
        <v>475</v>
      </c>
      <c r="D451" s="57" t="s">
        <v>64</v>
      </c>
      <c r="E451" s="57" t="s">
        <v>305</v>
      </c>
      <c r="F451" s="55" t="s">
        <v>306</v>
      </c>
      <c r="G451" s="55" t="s">
        <v>307</v>
      </c>
      <c r="H451" s="56" t="str">
        <f aca="false">IF(COUNTIFS(SITE_ST,"P9-006",SITE_TYPE,"?*")&gt;0,"ตามจุดติดตั้ง →","0/100")</f>
        <v>ตามจุดติดตั้ง →</v>
      </c>
      <c r="I451" s="58" t="n">
        <f aca="false">'P9-006'!$N$63</f>
        <v>46328</v>
      </c>
      <c r="J451" s="58" t="n">
        <f aca="false">'P9-006'!$O$63</f>
        <v>46329</v>
      </c>
      <c r="K451" s="56" t="str">
        <f aca="false">IF(OR(L451="Y",LEFT('P9-006'!$T$63,1)="D"),"",IF(AND(ISNUMBER(J451),J451&lt;ASOF),"⚠ เลยกำหนด",IF(AND(ISNUMBER(I451),I451&lt;=ASOF+14,J451&gt;=ASOF-7),"ช่วงนี้","")))</f>
        <v>ช่วงนี้</v>
      </c>
      <c r="L451" s="59"/>
      <c r="M451" s="60"/>
    </row>
    <row r="452" customFormat="false" ht="15" hidden="false" customHeight="false" outlineLevel="0" collapsed="false">
      <c r="A452" s="54" t="s">
        <v>62</v>
      </c>
      <c r="B452" s="55" t="s">
        <v>474</v>
      </c>
      <c r="C452" s="56" t="s">
        <v>475</v>
      </c>
      <c r="D452" s="57" t="s">
        <v>64</v>
      </c>
      <c r="E452" s="57" t="s">
        <v>308</v>
      </c>
      <c r="F452" s="55" t="s">
        <v>309</v>
      </c>
      <c r="G452" s="55" t="s">
        <v>310</v>
      </c>
      <c r="H452" s="57" t="s">
        <v>211</v>
      </c>
      <c r="I452" s="58" t="n">
        <f aca="false">'P9-006'!$N$64</f>
        <v>46328</v>
      </c>
      <c r="J452" s="58" t="n">
        <f aca="false">'P9-006'!$O$64</f>
        <v>46330</v>
      </c>
      <c r="K452" s="56" t="str">
        <f aca="false">IF(OR(L452="Y",LEFT('P9-006'!$T$64,1)="D"),"",IF(AND(ISNUMBER(J452),J452&lt;ASOF),"⚠ เลยกำหนด",IF(AND(ISNUMBER(I452),I452&lt;=ASOF+14,J452&gt;=ASOF-7),"ช่วงนี้","")))</f>
        <v>ช่วงนี้</v>
      </c>
      <c r="L452" s="59"/>
      <c r="M452" s="60"/>
    </row>
    <row r="453" customFormat="false" ht="15" hidden="false" customHeight="false" outlineLevel="0" collapsed="false">
      <c r="A453" s="54" t="s">
        <v>62</v>
      </c>
      <c r="B453" s="55" t="s">
        <v>474</v>
      </c>
      <c r="C453" s="56" t="s">
        <v>475</v>
      </c>
      <c r="D453" s="57" t="s">
        <v>64</v>
      </c>
      <c r="E453" s="57" t="s">
        <v>311</v>
      </c>
      <c r="F453" s="55" t="s">
        <v>312</v>
      </c>
      <c r="G453" s="55" t="s">
        <v>313</v>
      </c>
      <c r="H453" s="56" t="str">
        <f aca="false">IF(COUNTIFS(SITE_ST,"P9-006",SITE_TYPE,"?*")&gt;0,"ตามจุดติดตั้ง →","50/50")</f>
        <v>ตามจุดติดตั้ง →</v>
      </c>
      <c r="I453" s="58" t="n">
        <f aca="false">'P9-006'!$N$65</f>
        <v>46329</v>
      </c>
      <c r="J453" s="58" t="n">
        <f aca="false">'P9-006'!$O$65</f>
        <v>46332</v>
      </c>
      <c r="K453" s="56" t="str">
        <f aca="false">IF(OR(L453="Y",LEFT('P9-006'!$T$65,1)="D"),"",IF(AND(ISNUMBER(J453),J453&lt;ASOF),"⚠ เลยกำหนด",IF(AND(ISNUMBER(I453),I453&lt;=ASOF+14,J453&gt;=ASOF-7),"ช่วงนี้","")))</f>
        <v>ช่วงนี้</v>
      </c>
      <c r="L453" s="59"/>
      <c r="M453" s="60"/>
    </row>
    <row r="454" customFormat="false" ht="15" hidden="false" customHeight="false" outlineLevel="0" collapsed="false">
      <c r="A454" s="54" t="s">
        <v>62</v>
      </c>
      <c r="B454" s="55" t="s">
        <v>474</v>
      </c>
      <c r="C454" s="56" t="s">
        <v>475</v>
      </c>
      <c r="D454" s="57" t="s">
        <v>64</v>
      </c>
      <c r="E454" s="57" t="s">
        <v>314</v>
      </c>
      <c r="F454" s="55" t="s">
        <v>315</v>
      </c>
      <c r="G454" s="61" t="s">
        <v>316</v>
      </c>
      <c r="H454" s="56" t="str">
        <f aca="false">IF(COUNTIFS(SITE_ST,"P9-006",SITE_TYPE,"?*")&gt;0,"ตามจุดติดตั้ง →","50/50")</f>
        <v>ตามจุดติดตั้ง →</v>
      </c>
      <c r="I454" s="58" t="n">
        <f aca="false">'P9-006'!$N$66</f>
        <v>46331</v>
      </c>
      <c r="J454" s="58" t="n">
        <f aca="false">'P9-006'!$O$66</f>
        <v>46335</v>
      </c>
      <c r="K454" s="56" t="str">
        <f aca="false">IF(OR(L454="Y",LEFT('P9-006'!$T$66,1)="D"),"",IF(AND(ISNUMBER(J454),J454&lt;ASOF),"⚠ เลยกำหนด",IF(AND(ISNUMBER(I454),I454&lt;=ASOF+14,J454&gt;=ASOF-7),"ช่วงนี้","")))</f>
        <v>ช่วงนี้</v>
      </c>
      <c r="L454" s="59"/>
      <c r="M454" s="60"/>
    </row>
    <row r="455" customFormat="false" ht="15" hidden="false" customHeight="false" outlineLevel="0" collapsed="false">
      <c r="A455" s="54" t="s">
        <v>62</v>
      </c>
      <c r="B455" s="55" t="s">
        <v>474</v>
      </c>
      <c r="C455" s="56" t="s">
        <v>475</v>
      </c>
      <c r="D455" s="57" t="s">
        <v>64</v>
      </c>
      <c r="E455" s="57" t="s">
        <v>317</v>
      </c>
      <c r="F455" s="61" t="s">
        <v>318</v>
      </c>
      <c r="G455" s="61" t="s">
        <v>319</v>
      </c>
      <c r="H455" s="56" t="str">
        <f aca="false">IF(COUNTIFS(SITE_ST,"P9-006",SITE_TYPE,"?*")&gt;0,"ตามจุดติดตั้ง →","50/50")</f>
        <v>ตามจุดติดตั้ง →</v>
      </c>
      <c r="I455" s="58" t="n">
        <f aca="false">'P9-006'!$N$67</f>
        <v>46333</v>
      </c>
      <c r="J455" s="58" t="n">
        <f aca="false">'P9-006'!$O$67</f>
        <v>46336</v>
      </c>
      <c r="K455" s="56" t="str">
        <f aca="false">IF(OR(L455="Y",LEFT('P9-006'!$T$67,1)="D"),"",IF(AND(ISNUMBER(J455),J455&lt;ASOF),"⚠ เลยกำหนด",IF(AND(ISNUMBER(I455),I455&lt;=ASOF+14,J455&gt;=ASOF-7),"ช่วงนี้","")))</f>
        <v>ช่วงนี้</v>
      </c>
      <c r="L455" s="59"/>
      <c r="M455" s="60"/>
    </row>
    <row r="456" customFormat="false" ht="15" hidden="false" customHeight="false" outlineLevel="0" collapsed="false">
      <c r="A456" s="54" t="s">
        <v>62</v>
      </c>
      <c r="B456" s="55" t="s">
        <v>474</v>
      </c>
      <c r="C456" s="56" t="s">
        <v>475</v>
      </c>
      <c r="D456" s="57" t="s">
        <v>64</v>
      </c>
      <c r="E456" s="57" t="s">
        <v>320</v>
      </c>
      <c r="F456" s="55" t="s">
        <v>321</v>
      </c>
      <c r="G456" s="55" t="s">
        <v>322</v>
      </c>
      <c r="H456" s="56" t="str">
        <f aca="false">IF(COUNTIFS(SITE_ST,"P9-006",SITE_TYPE,"?*")&gt;0,"ตามจุดติดตั้ง →","0/100")</f>
        <v>ตามจุดติดตั้ง →</v>
      </c>
      <c r="I456" s="58" t="n">
        <f aca="false">'P9-006'!$N$68</f>
        <v>46334</v>
      </c>
      <c r="J456" s="58" t="n">
        <f aca="false">'P9-006'!$O$68</f>
        <v>46336</v>
      </c>
      <c r="K456" s="56" t="str">
        <f aca="false">IF(OR(L456="Y",LEFT('P9-006'!$T$68,1)="D"),"",IF(AND(ISNUMBER(J456),J456&lt;ASOF),"⚠ เลยกำหนด",IF(AND(ISNUMBER(I456),I456&lt;=ASOF+14,J456&gt;=ASOF-7),"ช่วงนี้","")))</f>
        <v>ช่วงนี้</v>
      </c>
      <c r="L456" s="59"/>
      <c r="M456" s="60"/>
    </row>
    <row r="457" customFormat="false" ht="15" hidden="false" customHeight="false" outlineLevel="0" collapsed="false">
      <c r="A457" s="54" t="s">
        <v>62</v>
      </c>
      <c r="B457" s="55" t="s">
        <v>474</v>
      </c>
      <c r="C457" s="56" t="s">
        <v>475</v>
      </c>
      <c r="D457" s="57" t="s">
        <v>64</v>
      </c>
      <c r="E457" s="57" t="s">
        <v>323</v>
      </c>
      <c r="F457" s="61" t="s">
        <v>324</v>
      </c>
      <c r="G457" s="55" t="s">
        <v>325</v>
      </c>
      <c r="H457" s="56" t="str">
        <f aca="false">IF(COUNTIFS(SITE_ST,"P9-006",SITE_TYPE,"?*")&gt;0,"ตามจุดติดตั้ง →","0/100")</f>
        <v>ตามจุดติดตั้ง →</v>
      </c>
      <c r="I457" s="58" t="n">
        <f aca="false">'P9-006'!$N$69</f>
        <v>46336</v>
      </c>
      <c r="J457" s="58" t="n">
        <f aca="false">'P9-006'!$O$69</f>
        <v>46336</v>
      </c>
      <c r="K457" s="56" t="str">
        <f aca="false">IF(OR(L457="Y",LEFT('P9-006'!$T$69,1)="D"),"",IF(AND(ISNUMBER(J457),J457&lt;ASOF),"⚠ เลยกำหนด",IF(AND(ISNUMBER(I457),I457&lt;=ASOF+14,J457&gt;=ASOF-7),"ช่วงนี้","")))</f>
        <v>ช่วงนี้</v>
      </c>
      <c r="L457" s="59"/>
      <c r="M457" s="60"/>
    </row>
    <row r="458" customFormat="false" ht="15" hidden="false" customHeight="false" outlineLevel="0" collapsed="false">
      <c r="A458" s="54" t="s">
        <v>62</v>
      </c>
      <c r="B458" s="55" t="s">
        <v>474</v>
      </c>
      <c r="C458" s="56" t="s">
        <v>475</v>
      </c>
      <c r="D458" s="57" t="s">
        <v>64</v>
      </c>
      <c r="E458" s="57" t="s">
        <v>326</v>
      </c>
      <c r="F458" s="55" t="s">
        <v>327</v>
      </c>
      <c r="G458" s="61" t="s">
        <v>328</v>
      </c>
      <c r="H458" s="56" t="str">
        <f aca="false">IF(COUNTIFS(SITE_ST,"P9-006",SITE_TYPE,"?*")&gt;0,"ตามจุดติดตั้ง →","50/50")</f>
        <v>ตามจุดติดตั้ง →</v>
      </c>
      <c r="I458" s="58" t="n">
        <f aca="false">'P9-006'!$N$71</f>
        <v>46343</v>
      </c>
      <c r="J458" s="58" t="n">
        <f aca="false">'P9-006'!$O$71</f>
        <v>46344</v>
      </c>
      <c r="K458" s="56" t="str">
        <f aca="false">IF(OR(L458="Y",LEFT('P9-006'!$T$71,1)="D"),"",IF(AND(ISNUMBER(J458),J458&lt;ASOF),"⚠ เลยกำหนด",IF(AND(ISNUMBER(I458),I458&lt;=ASOF+14,J458&gt;=ASOF-7),"ช่วงนี้","")))</f>
        <v/>
      </c>
      <c r="L458" s="59"/>
      <c r="M458" s="60"/>
    </row>
    <row r="459" customFormat="false" ht="15" hidden="false" customHeight="false" outlineLevel="0" collapsed="false">
      <c r="A459" s="54" t="s">
        <v>62</v>
      </c>
      <c r="B459" s="55" t="s">
        <v>474</v>
      </c>
      <c r="C459" s="56" t="s">
        <v>475</v>
      </c>
      <c r="D459" s="57" t="s">
        <v>64</v>
      </c>
      <c r="E459" s="57" t="s">
        <v>329</v>
      </c>
      <c r="F459" s="55" t="s">
        <v>330</v>
      </c>
      <c r="G459" s="55" t="s">
        <v>331</v>
      </c>
      <c r="H459" s="56" t="str">
        <f aca="false">IF(COUNTIFS(SITE_ST,"P9-006",SITE_TYPE,"?*")&gt;0,"ตามจุดติดตั้ง →","50/50")</f>
        <v>ตามจุดติดตั้ง →</v>
      </c>
      <c r="I459" s="58" t="n">
        <f aca="false">'P9-006'!$N$72</f>
        <v>46344</v>
      </c>
      <c r="J459" s="58" t="n">
        <f aca="false">'P9-006'!$O$72</f>
        <v>46345</v>
      </c>
      <c r="K459" s="56" t="str">
        <f aca="false">IF(OR(L459="Y",LEFT('P9-006'!$T$72,1)="D"),"",IF(AND(ISNUMBER(J459),J459&lt;ASOF),"⚠ เลยกำหนด",IF(AND(ISNUMBER(I459),I459&lt;=ASOF+14,J459&gt;=ASOF-7),"ช่วงนี้","")))</f>
        <v/>
      </c>
      <c r="L459" s="59"/>
      <c r="M459" s="60"/>
    </row>
    <row r="460" customFormat="false" ht="15" hidden="false" customHeight="false" outlineLevel="0" collapsed="false">
      <c r="A460" s="54" t="s">
        <v>62</v>
      </c>
      <c r="B460" s="55" t="s">
        <v>474</v>
      </c>
      <c r="C460" s="56" t="s">
        <v>475</v>
      </c>
      <c r="D460" s="57" t="s">
        <v>64</v>
      </c>
      <c r="E460" s="57" t="s">
        <v>332</v>
      </c>
      <c r="F460" s="55" t="s">
        <v>333</v>
      </c>
      <c r="G460" s="55" t="s">
        <v>334</v>
      </c>
      <c r="H460" s="56" t="str">
        <f aca="false">IF(COUNTIFS(SITE_ST,"P9-006",SITE_TYPE,"?*")&gt;0,"ตามจุดติดตั้ง →","0/100")</f>
        <v>ตามจุดติดตั้ง →</v>
      </c>
      <c r="I460" s="58" t="n">
        <f aca="false">'P9-006'!$N$73</f>
        <v>46344</v>
      </c>
      <c r="J460" s="58" t="n">
        <f aca="false">'P9-006'!$O$73</f>
        <v>46345</v>
      </c>
      <c r="K460" s="56" t="str">
        <f aca="false">IF(OR(L460="Y",LEFT('P9-006'!$T$73,1)="D"),"",IF(AND(ISNUMBER(J460),J460&lt;ASOF),"⚠ เลยกำหนด",IF(AND(ISNUMBER(I460),I460&lt;=ASOF+14,J460&gt;=ASOF-7),"ช่วงนี้","")))</f>
        <v/>
      </c>
      <c r="L460" s="59"/>
      <c r="M460" s="60"/>
    </row>
    <row r="461" customFormat="false" ht="15" hidden="false" customHeight="false" outlineLevel="0" collapsed="false">
      <c r="A461" s="54" t="s">
        <v>62</v>
      </c>
      <c r="B461" s="55" t="s">
        <v>474</v>
      </c>
      <c r="C461" s="56" t="s">
        <v>475</v>
      </c>
      <c r="D461" s="57" t="s">
        <v>64</v>
      </c>
      <c r="E461" s="57" t="s">
        <v>335</v>
      </c>
      <c r="F461" s="55" t="s">
        <v>336</v>
      </c>
      <c r="G461" s="61" t="s">
        <v>337</v>
      </c>
      <c r="H461" s="56" t="str">
        <f aca="false">IF(COUNTIFS(SITE_ST,"P9-006",SITE_TYPE,"?*")&gt;0,"ตามจุดติดตั้ง →","0/100")</f>
        <v>ตามจุดติดตั้ง →</v>
      </c>
      <c r="I461" s="58" t="n">
        <f aca="false">'P9-006'!$N$74</f>
        <v>46345</v>
      </c>
      <c r="J461" s="58" t="n">
        <f aca="false">'P9-006'!$O$74</f>
        <v>46346</v>
      </c>
      <c r="K461" s="56" t="str">
        <f aca="false">IF(OR(L461="Y",LEFT('P9-006'!$T$74,1)="D"),"",IF(AND(ISNUMBER(J461),J461&lt;ASOF),"⚠ เลยกำหนด",IF(AND(ISNUMBER(I461),I461&lt;=ASOF+14,J461&gt;=ASOF-7),"ช่วงนี้","")))</f>
        <v/>
      </c>
      <c r="L461" s="59"/>
      <c r="M461" s="60"/>
    </row>
    <row r="462" customFormat="false" ht="15" hidden="false" customHeight="false" outlineLevel="0" collapsed="false">
      <c r="A462" s="54" t="s">
        <v>62</v>
      </c>
      <c r="B462" s="55" t="s">
        <v>474</v>
      </c>
      <c r="C462" s="56" t="s">
        <v>475</v>
      </c>
      <c r="D462" s="57" t="s">
        <v>64</v>
      </c>
      <c r="E462" s="57" t="s">
        <v>338</v>
      </c>
      <c r="F462" s="61" t="s">
        <v>339</v>
      </c>
      <c r="G462" s="55" t="s">
        <v>340</v>
      </c>
      <c r="H462" s="56" t="str">
        <f aca="false">IF(COUNTIFS(SITE_ST,"P9-006",SITE_TYPE,"?*")&gt;0,"ตามจุดติดตั้ง →","0/100")</f>
        <v>ตามจุดติดตั้ง →</v>
      </c>
      <c r="I462" s="58" t="n">
        <f aca="false">'P9-006'!$N$75</f>
        <v>46345</v>
      </c>
      <c r="J462" s="58" t="n">
        <f aca="false">'P9-006'!$O$75</f>
        <v>46346</v>
      </c>
      <c r="K462" s="56" t="str">
        <f aca="false">IF(OR(L462="Y",LEFT('P9-006'!$T$75,1)="D"),"",IF(AND(ISNUMBER(J462),J462&lt;ASOF),"⚠ เลยกำหนด",IF(AND(ISNUMBER(I462),I462&lt;=ASOF+14,J462&gt;=ASOF-7),"ช่วงนี้","")))</f>
        <v/>
      </c>
      <c r="L462" s="59"/>
      <c r="M462" s="60"/>
    </row>
    <row r="463" customFormat="false" ht="15" hidden="false" customHeight="false" outlineLevel="0" collapsed="false">
      <c r="A463" s="54" t="s">
        <v>62</v>
      </c>
      <c r="B463" s="55" t="s">
        <v>474</v>
      </c>
      <c r="C463" s="56" t="s">
        <v>475</v>
      </c>
      <c r="D463" s="57" t="s">
        <v>64</v>
      </c>
      <c r="E463" s="57" t="s">
        <v>341</v>
      </c>
      <c r="F463" s="55" t="s">
        <v>342</v>
      </c>
      <c r="G463" s="55" t="s">
        <v>343</v>
      </c>
      <c r="H463" s="56" t="str">
        <f aca="false">IF(COUNTIFS(SITE_ST,"P9-006",SITE_TYPE,"?*")&gt;0,"ตามจุดติดตั้ง →","0/100")</f>
        <v>ตามจุดติดตั้ง →</v>
      </c>
      <c r="I463" s="58" t="n">
        <f aca="false">'P9-006'!$N$77</f>
        <v>46337</v>
      </c>
      <c r="J463" s="58" t="n">
        <f aca="false">'P9-006'!$O$77</f>
        <v>46340</v>
      </c>
      <c r="K463" s="56" t="str">
        <f aca="false">IF(OR(L463="Y",LEFT('P9-006'!$T$77,1)="D"),"",IF(AND(ISNUMBER(J463),J463&lt;ASOF),"⚠ เลยกำหนด",IF(AND(ISNUMBER(I463),I463&lt;=ASOF+14,J463&gt;=ASOF-7),"ช่วงนี้","")))</f>
        <v>ช่วงนี้</v>
      </c>
      <c r="L463" s="59"/>
      <c r="M463" s="60"/>
    </row>
    <row r="464" customFormat="false" ht="15" hidden="false" customHeight="false" outlineLevel="0" collapsed="false">
      <c r="A464" s="54" t="s">
        <v>62</v>
      </c>
      <c r="B464" s="55" t="s">
        <v>474</v>
      </c>
      <c r="C464" s="56" t="s">
        <v>475</v>
      </c>
      <c r="D464" s="57" t="s">
        <v>64</v>
      </c>
      <c r="E464" s="57" t="s">
        <v>344</v>
      </c>
      <c r="F464" s="55" t="s">
        <v>345</v>
      </c>
      <c r="G464" s="55" t="s">
        <v>346</v>
      </c>
      <c r="H464" s="56" t="str">
        <f aca="false">IF(COUNTIFS(SITE_ST,"P9-006",SITE_TYPE,"?*")&gt;0,"ตามจุดติดตั้ง →","50/50")</f>
        <v>ตามจุดติดตั้ง →</v>
      </c>
      <c r="I464" s="58" t="n">
        <f aca="false">'P9-006'!$N$78</f>
        <v>46338</v>
      </c>
      <c r="J464" s="58" t="n">
        <f aca="false">'P9-006'!$O$78</f>
        <v>46346</v>
      </c>
      <c r="K464" s="56" t="str">
        <f aca="false">IF(OR(L464="Y",LEFT('P9-006'!$T$78,1)="D"),"",IF(AND(ISNUMBER(J464),J464&lt;ASOF),"⚠ เลยกำหนด",IF(AND(ISNUMBER(I464),I464&lt;=ASOF+14,J464&gt;=ASOF-7),"ช่วงนี้","")))</f>
        <v>ช่วงนี้</v>
      </c>
      <c r="L464" s="59"/>
      <c r="M464" s="60"/>
    </row>
    <row r="465" customFormat="false" ht="15" hidden="false" customHeight="false" outlineLevel="0" collapsed="false">
      <c r="A465" s="54" t="s">
        <v>62</v>
      </c>
      <c r="B465" s="55" t="s">
        <v>474</v>
      </c>
      <c r="C465" s="56" t="s">
        <v>475</v>
      </c>
      <c r="D465" s="57" t="s">
        <v>64</v>
      </c>
      <c r="E465" s="57" t="s">
        <v>347</v>
      </c>
      <c r="F465" s="61" t="s">
        <v>348</v>
      </c>
      <c r="G465" s="55" t="s">
        <v>349</v>
      </c>
      <c r="H465" s="56" t="str">
        <f aca="false">IF(COUNTIFS(SITE_ST,"P9-006",SITE_TYPE,"?*")&gt;0,"ตามจุดติดตั้ง →","50/50")</f>
        <v>ตามจุดติดตั้ง →</v>
      </c>
      <c r="I465" s="58" t="n">
        <f aca="false">'P9-006'!$N$79</f>
        <v>46341</v>
      </c>
      <c r="J465" s="58" t="n">
        <f aca="false">'P9-006'!$O$79</f>
        <v>46347</v>
      </c>
      <c r="K465" s="56" t="str">
        <f aca="false">IF(OR(L465="Y",LEFT('P9-006'!$T$79,1)="D"),"",IF(AND(ISNUMBER(J465),J465&lt;ASOF),"⚠ เลยกำหนด",IF(AND(ISNUMBER(I465),I465&lt;=ASOF+14,J465&gt;=ASOF-7),"ช่วงนี้","")))</f>
        <v>ช่วงนี้</v>
      </c>
      <c r="L465" s="59"/>
      <c r="M465" s="60"/>
    </row>
    <row r="466" customFormat="false" ht="15" hidden="false" customHeight="false" outlineLevel="0" collapsed="false">
      <c r="A466" s="54" t="s">
        <v>62</v>
      </c>
      <c r="B466" s="55" t="s">
        <v>474</v>
      </c>
      <c r="C466" s="56" t="s">
        <v>475</v>
      </c>
      <c r="D466" s="57" t="s">
        <v>64</v>
      </c>
      <c r="E466" s="57" t="s">
        <v>350</v>
      </c>
      <c r="F466" s="61" t="s">
        <v>351</v>
      </c>
      <c r="G466" s="55" t="s">
        <v>352</v>
      </c>
      <c r="H466" s="56" t="str">
        <f aca="false">IF(COUNTIFS(SITE_ST,"P9-006",SITE_TYPE,"?*")&gt;0,"ตามจุดติดตั้ง →","0/100")</f>
        <v>ตามจุดติดตั้ง →</v>
      </c>
      <c r="I466" s="58" t="n">
        <f aca="false">'P9-006'!$N$80</f>
        <v>46345</v>
      </c>
      <c r="J466" s="58" t="n">
        <f aca="false">'P9-006'!$O$80</f>
        <v>46347</v>
      </c>
      <c r="K466" s="56" t="str">
        <f aca="false">IF(OR(L466="Y",LEFT('P9-006'!$T$80,1)="D"),"",IF(AND(ISNUMBER(J466),J466&lt;ASOF),"⚠ เลยกำหนด",IF(AND(ISNUMBER(I466),I466&lt;=ASOF+14,J466&gt;=ASOF-7),"ช่วงนี้","")))</f>
        <v/>
      </c>
      <c r="L466" s="59"/>
      <c r="M466" s="60"/>
    </row>
    <row r="467" customFormat="false" ht="15" hidden="false" customHeight="false" outlineLevel="0" collapsed="false">
      <c r="A467" s="54" t="s">
        <v>62</v>
      </c>
      <c r="B467" s="55" t="s">
        <v>474</v>
      </c>
      <c r="C467" s="56" t="s">
        <v>475</v>
      </c>
      <c r="D467" s="57" t="s">
        <v>64</v>
      </c>
      <c r="E467" s="57" t="s">
        <v>353</v>
      </c>
      <c r="F467" s="61" t="s">
        <v>354</v>
      </c>
      <c r="G467" s="55" t="s">
        <v>355</v>
      </c>
      <c r="H467" s="56" t="str">
        <f aca="false">IF(COUNTIFS(SITE_ST,"P9-006",SITE_TYPE,"?*")&gt;0,"ตามจุดติดตั้ง →","0/100")</f>
        <v>ตามจุดติดตั้ง →</v>
      </c>
      <c r="I467" s="58" t="n">
        <f aca="false">'P9-006'!$N$81</f>
        <v>46347</v>
      </c>
      <c r="J467" s="58" t="n">
        <f aca="false">'P9-006'!$O$81</f>
        <v>46347</v>
      </c>
      <c r="K467" s="56" t="str">
        <f aca="false">IF(OR(L467="Y",LEFT('P9-006'!$T$81,1)="D"),"",IF(AND(ISNUMBER(J467),J467&lt;ASOF),"⚠ เลยกำหนด",IF(AND(ISNUMBER(I467),I467&lt;=ASOF+14,J467&gt;=ASOF-7),"ช่วงนี้","")))</f>
        <v/>
      </c>
      <c r="L467" s="59"/>
      <c r="M467" s="60"/>
    </row>
    <row r="468" customFormat="false" ht="15" hidden="false" customHeight="false" outlineLevel="0" collapsed="false">
      <c r="A468" s="54" t="s">
        <v>62</v>
      </c>
      <c r="B468" s="55" t="s">
        <v>474</v>
      </c>
      <c r="C468" s="56" t="s">
        <v>475</v>
      </c>
      <c r="D468" s="57" t="s">
        <v>64</v>
      </c>
      <c r="E468" s="57" t="s">
        <v>356</v>
      </c>
      <c r="F468" s="55" t="s">
        <v>357</v>
      </c>
      <c r="G468" s="55" t="s">
        <v>358</v>
      </c>
      <c r="H468" s="57" t="s">
        <v>211</v>
      </c>
      <c r="I468" s="58" t="n">
        <f aca="false">'P9-006'!$N$83</f>
        <v>46345</v>
      </c>
      <c r="J468" s="58" t="n">
        <f aca="false">'P9-006'!$O$83</f>
        <v>46346</v>
      </c>
      <c r="K468" s="56" t="str">
        <f aca="false">IF(OR(L468="Y",LEFT('P9-006'!$T$83,1)="D"),"",IF(AND(ISNUMBER(J468),J468&lt;ASOF),"⚠ เลยกำหนด",IF(AND(ISNUMBER(I468),I468&lt;=ASOF+14,J468&gt;=ASOF-7),"ช่วงนี้","")))</f>
        <v/>
      </c>
      <c r="L468" s="59"/>
      <c r="M468" s="60"/>
    </row>
    <row r="469" customFormat="false" ht="15" hidden="false" customHeight="false" outlineLevel="0" collapsed="false">
      <c r="A469" s="54" t="s">
        <v>62</v>
      </c>
      <c r="B469" s="55" t="s">
        <v>474</v>
      </c>
      <c r="C469" s="56" t="s">
        <v>475</v>
      </c>
      <c r="D469" s="57" t="s">
        <v>64</v>
      </c>
      <c r="E469" s="57" t="s">
        <v>359</v>
      </c>
      <c r="F469" s="55" t="s">
        <v>360</v>
      </c>
      <c r="G469" s="55" t="s">
        <v>361</v>
      </c>
      <c r="H469" s="57" t="s">
        <v>211</v>
      </c>
      <c r="I469" s="58" t="n">
        <f aca="false">'P9-006'!$N$84</f>
        <v>46346</v>
      </c>
      <c r="J469" s="58" t="n">
        <f aca="false">'P9-006'!$O$84</f>
        <v>46347</v>
      </c>
      <c r="K469" s="56" t="str">
        <f aca="false">IF(OR(L469="Y",LEFT('P9-006'!$T$84,1)="D"),"",IF(AND(ISNUMBER(J469),J469&lt;ASOF),"⚠ เลยกำหนด",IF(AND(ISNUMBER(I469),I469&lt;=ASOF+14,J469&gt;=ASOF-7),"ช่วงนี้","")))</f>
        <v/>
      </c>
      <c r="L469" s="59"/>
      <c r="M469" s="60"/>
    </row>
    <row r="470" customFormat="false" ht="15" hidden="false" customHeight="false" outlineLevel="0" collapsed="false">
      <c r="A470" s="54" t="s">
        <v>62</v>
      </c>
      <c r="B470" s="55" t="s">
        <v>474</v>
      </c>
      <c r="C470" s="56" t="s">
        <v>475</v>
      </c>
      <c r="D470" s="57" t="s">
        <v>64</v>
      </c>
      <c r="E470" s="57" t="s">
        <v>362</v>
      </c>
      <c r="F470" s="61" t="s">
        <v>363</v>
      </c>
      <c r="G470" s="61" t="s">
        <v>364</v>
      </c>
      <c r="H470" s="56" t="s">
        <v>365</v>
      </c>
      <c r="I470" s="58" t="n">
        <f aca="false">'P9-006'!$N$86</f>
        <v>46343</v>
      </c>
      <c r="J470" s="58" t="n">
        <f aca="false">'P9-006'!$O$86</f>
        <v>46345</v>
      </c>
      <c r="K470" s="56" t="str">
        <f aca="false">IF(OR(L470="Y",LEFT('P9-006'!$T$86,1)="D"),"",IF(AND(ISNUMBER(J470),J470&lt;ASOF),"⚠ เลยกำหนด",IF(AND(ISNUMBER(I470),I470&lt;=ASOF+14,J470&gt;=ASOF-7),"ช่วงนี้","")))</f>
        <v/>
      </c>
      <c r="L470" s="59"/>
      <c r="M470" s="60"/>
    </row>
    <row r="471" customFormat="false" ht="15" hidden="false" customHeight="false" outlineLevel="0" collapsed="false">
      <c r="A471" s="54" t="s">
        <v>62</v>
      </c>
      <c r="B471" s="55" t="s">
        <v>474</v>
      </c>
      <c r="C471" s="56" t="s">
        <v>475</v>
      </c>
      <c r="D471" s="57" t="s">
        <v>64</v>
      </c>
      <c r="E471" s="57" t="s">
        <v>366</v>
      </c>
      <c r="F471" s="61" t="s">
        <v>367</v>
      </c>
      <c r="G471" s="61" t="s">
        <v>368</v>
      </c>
      <c r="H471" s="57" t="s">
        <v>369</v>
      </c>
      <c r="I471" s="58" t="n">
        <f aca="false">'P9-006'!$N$87</f>
        <v>46344</v>
      </c>
      <c r="J471" s="58" t="n">
        <f aca="false">'P9-006'!$O$87</f>
        <v>46346</v>
      </c>
      <c r="K471" s="56" t="str">
        <f aca="false">IF(OR(L471="Y",LEFT('P9-006'!$T$87,1)="D"),"",IF(AND(ISNUMBER(J471),J471&lt;ASOF),"⚠ เลยกำหนด",IF(AND(ISNUMBER(I471),I471&lt;=ASOF+14,J471&gt;=ASOF-7),"ช่วงนี้","")))</f>
        <v/>
      </c>
      <c r="L471" s="59"/>
      <c r="M471" s="60"/>
    </row>
    <row r="472" customFormat="false" ht="15" hidden="false" customHeight="false" outlineLevel="0" collapsed="false">
      <c r="A472" s="54" t="s">
        <v>62</v>
      </c>
      <c r="B472" s="55" t="s">
        <v>474</v>
      </c>
      <c r="C472" s="56" t="s">
        <v>475</v>
      </c>
      <c r="D472" s="57" t="s">
        <v>64</v>
      </c>
      <c r="E472" s="57" t="s">
        <v>370</v>
      </c>
      <c r="F472" s="55" t="s">
        <v>371</v>
      </c>
      <c r="G472" s="55" t="s">
        <v>372</v>
      </c>
      <c r="H472" s="57" t="s">
        <v>211</v>
      </c>
      <c r="I472" s="58" t="n">
        <f aca="false">'P9-006'!$N$88</f>
        <v>46345</v>
      </c>
      <c r="J472" s="58" t="n">
        <f aca="false">'P9-006'!$O$88</f>
        <v>46346</v>
      </c>
      <c r="K472" s="56" t="str">
        <f aca="false">IF(OR(L472="Y",LEFT('P9-006'!$T$88,1)="D"),"",IF(AND(ISNUMBER(J472),J472&lt;ASOF),"⚠ เลยกำหนด",IF(AND(ISNUMBER(I472),I472&lt;=ASOF+14,J472&gt;=ASOF-7),"ช่วงนี้","")))</f>
        <v/>
      </c>
      <c r="L472" s="59"/>
      <c r="M472" s="60"/>
    </row>
    <row r="473" customFormat="false" ht="15" hidden="false" customHeight="false" outlineLevel="0" collapsed="false">
      <c r="A473" s="54" t="s">
        <v>62</v>
      </c>
      <c r="B473" s="55" t="s">
        <v>474</v>
      </c>
      <c r="C473" s="56" t="s">
        <v>475</v>
      </c>
      <c r="D473" s="57" t="s">
        <v>64</v>
      </c>
      <c r="E473" s="57" t="s">
        <v>373</v>
      </c>
      <c r="F473" s="61" t="s">
        <v>374</v>
      </c>
      <c r="G473" s="55" t="s">
        <v>375</v>
      </c>
      <c r="H473" s="57" t="s">
        <v>211</v>
      </c>
      <c r="I473" s="58" t="n">
        <f aca="false">'P9-006'!$N$89</f>
        <v>46346</v>
      </c>
      <c r="J473" s="58" t="n">
        <f aca="false">'P9-006'!$O$89</f>
        <v>46346</v>
      </c>
      <c r="K473" s="56" t="str">
        <f aca="false">IF(OR(L473="Y",LEFT('P9-006'!$T$89,1)="D"),"",IF(AND(ISNUMBER(J473),J473&lt;ASOF),"⚠ เลยกำหนด",IF(AND(ISNUMBER(I473),I473&lt;=ASOF+14,J473&gt;=ASOF-7),"ช่วงนี้","")))</f>
        <v/>
      </c>
      <c r="L473" s="59"/>
      <c r="M473" s="60"/>
    </row>
    <row r="474" customFormat="false" ht="15" hidden="false" customHeight="false" outlineLevel="0" collapsed="false">
      <c r="A474" s="54" t="s">
        <v>62</v>
      </c>
      <c r="B474" s="55" t="s">
        <v>474</v>
      </c>
      <c r="C474" s="56" t="s">
        <v>475</v>
      </c>
      <c r="D474" s="57" t="s">
        <v>64</v>
      </c>
      <c r="E474" s="57" t="s">
        <v>376</v>
      </c>
      <c r="F474" s="55" t="s">
        <v>377</v>
      </c>
      <c r="G474" s="55" t="s">
        <v>378</v>
      </c>
      <c r="H474" s="57" t="s">
        <v>369</v>
      </c>
      <c r="I474" s="58" t="n">
        <f aca="false">'P9-006'!$N$91</f>
        <v>46344</v>
      </c>
      <c r="J474" s="58" t="n">
        <f aca="false">'P9-006'!$O$91</f>
        <v>46346</v>
      </c>
      <c r="K474" s="56" t="str">
        <f aca="false">IF(OR(L474="Y",LEFT('P9-006'!$T$91,1)="D"),"",IF(AND(ISNUMBER(J474),J474&lt;ASOF),"⚠ เลยกำหนด",IF(AND(ISNUMBER(I474),I474&lt;=ASOF+14,J474&gt;=ASOF-7),"ช่วงนี้","")))</f>
        <v/>
      </c>
      <c r="L474" s="59"/>
      <c r="M474" s="60"/>
    </row>
    <row r="475" customFormat="false" ht="15" hidden="false" customHeight="false" outlineLevel="0" collapsed="false">
      <c r="A475" s="54" t="s">
        <v>62</v>
      </c>
      <c r="B475" s="55" t="s">
        <v>474</v>
      </c>
      <c r="C475" s="56" t="s">
        <v>475</v>
      </c>
      <c r="D475" s="57" t="s">
        <v>64</v>
      </c>
      <c r="E475" s="57" t="s">
        <v>379</v>
      </c>
      <c r="F475" s="61" t="s">
        <v>380</v>
      </c>
      <c r="G475" s="61" t="s">
        <v>381</v>
      </c>
      <c r="H475" s="57" t="s">
        <v>211</v>
      </c>
      <c r="I475" s="58" t="n">
        <f aca="false">'P9-006'!$N$92</f>
        <v>46346</v>
      </c>
      <c r="J475" s="58" t="n">
        <f aca="false">'P9-006'!$O$92</f>
        <v>46347</v>
      </c>
      <c r="K475" s="56" t="str">
        <f aca="false">IF(OR(L475="Y",LEFT('P9-006'!$T$92,1)="D"),"",IF(AND(ISNUMBER(J475),J475&lt;ASOF),"⚠ เลยกำหนด",IF(AND(ISNUMBER(I475),I475&lt;=ASOF+14,J475&gt;=ASOF-7),"ช่วงนี้","")))</f>
        <v/>
      </c>
      <c r="L475" s="59"/>
      <c r="M475" s="60"/>
    </row>
    <row r="476" customFormat="false" ht="15" hidden="false" customHeight="false" outlineLevel="0" collapsed="false">
      <c r="A476" s="54" t="s">
        <v>62</v>
      </c>
      <c r="B476" s="55" t="s">
        <v>474</v>
      </c>
      <c r="C476" s="56" t="s">
        <v>475</v>
      </c>
      <c r="D476" s="57" t="s">
        <v>64</v>
      </c>
      <c r="E476" s="57" t="s">
        <v>382</v>
      </c>
      <c r="F476" s="55" t="s">
        <v>383</v>
      </c>
      <c r="G476" s="55" t="s">
        <v>384</v>
      </c>
      <c r="H476" s="57" t="s">
        <v>369</v>
      </c>
      <c r="I476" s="58" t="n">
        <f aca="false">'P9-006'!$N$93</f>
        <v>46344</v>
      </c>
      <c r="J476" s="58" t="n">
        <f aca="false">'P9-006'!$O$93</f>
        <v>46346</v>
      </c>
      <c r="K476" s="56" t="str">
        <f aca="false">IF(OR(L476="Y",LEFT('P9-006'!$T$93,1)="D"),"",IF(AND(ISNUMBER(J476),J476&lt;ASOF),"⚠ เลยกำหนด",IF(AND(ISNUMBER(I476),I476&lt;=ASOF+14,J476&gt;=ASOF-7),"ช่วงนี้","")))</f>
        <v/>
      </c>
      <c r="L476" s="59"/>
      <c r="M476" s="60"/>
    </row>
    <row r="477" customFormat="false" ht="15" hidden="false" customHeight="false" outlineLevel="0" collapsed="false">
      <c r="A477" s="54" t="s">
        <v>62</v>
      </c>
      <c r="B477" s="55" t="s">
        <v>474</v>
      </c>
      <c r="C477" s="56" t="s">
        <v>475</v>
      </c>
      <c r="D477" s="57" t="s">
        <v>64</v>
      </c>
      <c r="E477" s="57" t="s">
        <v>385</v>
      </c>
      <c r="F477" s="55" t="s">
        <v>386</v>
      </c>
      <c r="G477" s="55" t="s">
        <v>387</v>
      </c>
      <c r="H477" s="57" t="s">
        <v>211</v>
      </c>
      <c r="I477" s="58" t="n">
        <f aca="false">'P9-006'!$N$94</f>
        <v>46346</v>
      </c>
      <c r="J477" s="58" t="n">
        <f aca="false">'P9-006'!$O$94</f>
        <v>46347</v>
      </c>
      <c r="K477" s="56" t="str">
        <f aca="false">IF(OR(L477="Y",LEFT('P9-006'!$T$94,1)="D"),"",IF(AND(ISNUMBER(J477),J477&lt;ASOF),"⚠ เลยกำหนด",IF(AND(ISNUMBER(I477),I477&lt;=ASOF+14,J477&gt;=ASOF-7),"ช่วงนี้","")))</f>
        <v/>
      </c>
      <c r="L477" s="59"/>
      <c r="M477" s="60"/>
    </row>
    <row r="478" customFormat="false" ht="15" hidden="false" customHeight="false" outlineLevel="0" collapsed="false">
      <c r="A478" s="54" t="s">
        <v>62</v>
      </c>
      <c r="B478" s="55" t="s">
        <v>474</v>
      </c>
      <c r="C478" s="56" t="s">
        <v>475</v>
      </c>
      <c r="D478" s="57" t="s">
        <v>64</v>
      </c>
      <c r="E478" s="57" t="s">
        <v>388</v>
      </c>
      <c r="F478" s="61" t="s">
        <v>389</v>
      </c>
      <c r="G478" s="55" t="s">
        <v>390</v>
      </c>
      <c r="H478" s="57" t="s">
        <v>211</v>
      </c>
      <c r="I478" s="58" t="n">
        <f aca="false">'P9-006'!$N$95</f>
        <v>46347</v>
      </c>
      <c r="J478" s="58" t="n">
        <f aca="false">'P9-006'!$O$95</f>
        <v>46347</v>
      </c>
      <c r="K478" s="56" t="str">
        <f aca="false">IF(OR(L478="Y",LEFT('P9-006'!$T$95,1)="D"),"",IF(AND(ISNUMBER(J478),J478&lt;ASOF),"⚠ เลยกำหนด",IF(AND(ISNUMBER(I478),I478&lt;=ASOF+14,J478&gt;=ASOF-7),"ช่วงนี้","")))</f>
        <v/>
      </c>
      <c r="L478" s="59"/>
      <c r="M478" s="60"/>
    </row>
    <row r="479" customFormat="false" ht="15" hidden="false" customHeight="false" outlineLevel="0" collapsed="false">
      <c r="A479" s="54" t="s">
        <v>62</v>
      </c>
      <c r="B479" s="55" t="s">
        <v>474</v>
      </c>
      <c r="C479" s="56" t="s">
        <v>475</v>
      </c>
      <c r="D479" s="57" t="s">
        <v>64</v>
      </c>
      <c r="E479" s="57" t="s">
        <v>391</v>
      </c>
      <c r="F479" s="55" t="s">
        <v>392</v>
      </c>
      <c r="G479" s="55" t="s">
        <v>393</v>
      </c>
      <c r="H479" s="57" t="s">
        <v>369</v>
      </c>
      <c r="I479" s="58" t="n">
        <f aca="false">'P9-006'!$N$97</f>
        <v>46345</v>
      </c>
      <c r="J479" s="58" t="n">
        <f aca="false">'P9-006'!$O$97</f>
        <v>46347</v>
      </c>
      <c r="K479" s="56" t="str">
        <f aca="false">IF(OR(L479="Y",LEFT('P9-006'!$T$97,1)="D"),"",IF(AND(ISNUMBER(J479),J479&lt;ASOF),"⚠ เลยกำหนด",IF(AND(ISNUMBER(I479),I479&lt;=ASOF+14,J479&gt;=ASOF-7),"ช่วงนี้","")))</f>
        <v/>
      </c>
      <c r="L479" s="59"/>
      <c r="M479" s="60"/>
    </row>
    <row r="480" customFormat="false" ht="15" hidden="false" customHeight="false" outlineLevel="0" collapsed="false">
      <c r="A480" s="54" t="s">
        <v>62</v>
      </c>
      <c r="B480" s="55" t="s">
        <v>474</v>
      </c>
      <c r="C480" s="56" t="s">
        <v>475</v>
      </c>
      <c r="D480" s="57" t="s">
        <v>64</v>
      </c>
      <c r="E480" s="57" t="s">
        <v>394</v>
      </c>
      <c r="F480" s="55" t="s">
        <v>395</v>
      </c>
      <c r="G480" s="55" t="s">
        <v>396</v>
      </c>
      <c r="H480" s="57" t="s">
        <v>211</v>
      </c>
      <c r="I480" s="58" t="n">
        <f aca="false">'P9-006'!$N$98</f>
        <v>46346</v>
      </c>
      <c r="J480" s="58" t="n">
        <f aca="false">'P9-006'!$O$98</f>
        <v>46347</v>
      </c>
      <c r="K480" s="56" t="str">
        <f aca="false">IF(OR(L480="Y",LEFT('P9-006'!$T$98,1)="D"),"",IF(AND(ISNUMBER(J480),J480&lt;ASOF),"⚠ เลยกำหนด",IF(AND(ISNUMBER(I480),I480&lt;=ASOF+14,J480&gt;=ASOF-7),"ช่วงนี้","")))</f>
        <v/>
      </c>
      <c r="L480" s="59"/>
      <c r="M480" s="60"/>
    </row>
    <row r="481" customFormat="false" ht="15" hidden="false" customHeight="false" outlineLevel="0" collapsed="false">
      <c r="A481" s="54" t="s">
        <v>62</v>
      </c>
      <c r="B481" s="55" t="s">
        <v>474</v>
      </c>
      <c r="C481" s="56" t="s">
        <v>475</v>
      </c>
      <c r="D481" s="57" t="s">
        <v>64</v>
      </c>
      <c r="E481" s="57" t="s">
        <v>397</v>
      </c>
      <c r="F481" s="61" t="s">
        <v>398</v>
      </c>
      <c r="G481" s="55" t="s">
        <v>399</v>
      </c>
      <c r="H481" s="57" t="s">
        <v>211</v>
      </c>
      <c r="I481" s="58" t="n">
        <f aca="false">'P9-006'!$N$99</f>
        <v>46347</v>
      </c>
      <c r="J481" s="58" t="n">
        <f aca="false">'P9-006'!$O$99</f>
        <v>46347</v>
      </c>
      <c r="K481" s="56" t="str">
        <f aca="false">IF(OR(L481="Y",LEFT('P9-006'!$T$99,1)="D"),"",IF(AND(ISNUMBER(J481),J481&lt;ASOF),"⚠ เลยกำหนด",IF(AND(ISNUMBER(I481),I481&lt;=ASOF+14,J481&gt;=ASOF-7),"ช่วงนี้","")))</f>
        <v/>
      </c>
      <c r="L481" s="59"/>
      <c r="M481" s="60"/>
    </row>
    <row r="482" customFormat="false" ht="15" hidden="false" customHeight="false" outlineLevel="0" collapsed="false">
      <c r="A482" s="54" t="s">
        <v>62</v>
      </c>
      <c r="B482" s="55" t="s">
        <v>474</v>
      </c>
      <c r="C482" s="56" t="s">
        <v>475</v>
      </c>
      <c r="D482" s="57" t="s">
        <v>64</v>
      </c>
      <c r="E482" s="57" t="s">
        <v>400</v>
      </c>
      <c r="F482" s="55" t="s">
        <v>401</v>
      </c>
      <c r="G482" s="55" t="s">
        <v>402</v>
      </c>
      <c r="H482" s="57" t="s">
        <v>211</v>
      </c>
      <c r="I482" s="58" t="n">
        <f aca="false">'P9-006'!$N$102</f>
        <v>46346</v>
      </c>
      <c r="J482" s="58" t="n">
        <f aca="false">'P9-006'!$O$102</f>
        <v>46347</v>
      </c>
      <c r="K482" s="56" t="str">
        <f aca="false">IF(OR(L482="Y",LEFT('P9-006'!$T$102,1)="D"),"",IF(AND(ISNUMBER(J482),J482&lt;ASOF),"⚠ เลยกำหนด",IF(AND(ISNUMBER(I482),I482&lt;=ASOF+14,J482&gt;=ASOF-7),"ช่วงนี้","")))</f>
        <v/>
      </c>
      <c r="L482" s="59"/>
      <c r="M482" s="60"/>
    </row>
    <row r="483" customFormat="false" ht="15" hidden="false" customHeight="false" outlineLevel="0" collapsed="false">
      <c r="A483" s="54" t="s">
        <v>62</v>
      </c>
      <c r="B483" s="55" t="s">
        <v>474</v>
      </c>
      <c r="C483" s="56" t="s">
        <v>475</v>
      </c>
      <c r="D483" s="57" t="s">
        <v>64</v>
      </c>
      <c r="E483" s="57" t="s">
        <v>403</v>
      </c>
      <c r="F483" s="55" t="s">
        <v>404</v>
      </c>
      <c r="G483" s="55" t="s">
        <v>405</v>
      </c>
      <c r="H483" s="57" t="s">
        <v>211</v>
      </c>
      <c r="I483" s="58" t="n">
        <f aca="false">'P9-006'!$N$104</f>
        <v>46347</v>
      </c>
      <c r="J483" s="58" t="n">
        <f aca="false">'P9-006'!$O$104</f>
        <v>46348</v>
      </c>
      <c r="K483" s="56" t="str">
        <f aca="false">IF(OR(L483="Y",LEFT('P9-006'!$T$104,1)="D"),"",IF(AND(ISNUMBER(J483),J483&lt;ASOF),"⚠ เลยกำหนด",IF(AND(ISNUMBER(I483),I483&lt;=ASOF+14,J483&gt;=ASOF-7),"ช่วงนี้","")))</f>
        <v/>
      </c>
      <c r="L483" s="59"/>
      <c r="M483" s="60"/>
    </row>
    <row r="484" customFormat="false" ht="15" hidden="false" customHeight="false" outlineLevel="0" collapsed="false">
      <c r="A484" s="54" t="s">
        <v>62</v>
      </c>
      <c r="B484" s="55" t="s">
        <v>474</v>
      </c>
      <c r="C484" s="56" t="s">
        <v>475</v>
      </c>
      <c r="D484" s="57" t="s">
        <v>64</v>
      </c>
      <c r="E484" s="57" t="s">
        <v>406</v>
      </c>
      <c r="F484" s="55" t="s">
        <v>407</v>
      </c>
      <c r="G484" s="55" t="s">
        <v>408</v>
      </c>
      <c r="H484" s="57" t="s">
        <v>211</v>
      </c>
      <c r="I484" s="58" t="n">
        <f aca="false">'P9-006'!$N$105</f>
        <v>46347</v>
      </c>
      <c r="J484" s="58" t="n">
        <f aca="false">'P9-006'!$O$105</f>
        <v>46348</v>
      </c>
      <c r="K484" s="56" t="str">
        <f aca="false">IF(OR(L484="Y",LEFT('P9-006'!$T$105,1)="D"),"",IF(AND(ISNUMBER(J484),J484&lt;ASOF),"⚠ เลยกำหนด",IF(AND(ISNUMBER(I484),I484&lt;=ASOF+14,J484&gt;=ASOF-7),"ช่วงนี้","")))</f>
        <v/>
      </c>
      <c r="L484" s="59"/>
      <c r="M484" s="60"/>
    </row>
    <row r="485" customFormat="false" ht="15" hidden="false" customHeight="false" outlineLevel="0" collapsed="false">
      <c r="A485" s="54" t="s">
        <v>62</v>
      </c>
      <c r="B485" s="55" t="s">
        <v>474</v>
      </c>
      <c r="C485" s="56" t="s">
        <v>475</v>
      </c>
      <c r="D485" s="57" t="s">
        <v>64</v>
      </c>
      <c r="E485" s="57" t="s">
        <v>409</v>
      </c>
      <c r="F485" s="61" t="s">
        <v>410</v>
      </c>
      <c r="G485" s="55" t="s">
        <v>411</v>
      </c>
      <c r="H485" s="57" t="s">
        <v>211</v>
      </c>
      <c r="I485" s="58" t="n">
        <f aca="false">'P9-006'!$N$106</f>
        <v>46348</v>
      </c>
      <c r="J485" s="58" t="n">
        <f aca="false">'P9-006'!$O$106</f>
        <v>46348</v>
      </c>
      <c r="K485" s="56" t="str">
        <f aca="false">IF(OR(L485="Y",LEFT('P9-006'!$T$106,1)="D"),"",IF(AND(ISNUMBER(J485),J485&lt;ASOF),"⚠ เลยกำหนด",IF(AND(ISNUMBER(I485),I485&lt;=ASOF+14,J485&gt;=ASOF-7),"ช่วงนี้","")))</f>
        <v/>
      </c>
      <c r="L485" s="59"/>
      <c r="M485" s="60"/>
    </row>
    <row r="486" customFormat="false" ht="15" hidden="false" customHeight="false" outlineLevel="0" collapsed="false">
      <c r="A486" s="54" t="s">
        <v>62</v>
      </c>
      <c r="B486" s="55" t="s">
        <v>474</v>
      </c>
      <c r="C486" s="56" t="s">
        <v>475</v>
      </c>
      <c r="D486" s="57" t="s">
        <v>64</v>
      </c>
      <c r="E486" s="57" t="s">
        <v>412</v>
      </c>
      <c r="F486" s="61" t="s">
        <v>413</v>
      </c>
      <c r="G486" s="61" t="s">
        <v>414</v>
      </c>
      <c r="H486" s="57" t="s">
        <v>211</v>
      </c>
      <c r="I486" s="58" t="n">
        <f aca="false">'P9-006'!$N$108</f>
        <v>46347</v>
      </c>
      <c r="J486" s="58" t="n">
        <f aca="false">'P9-006'!$O$108</f>
        <v>46348</v>
      </c>
      <c r="K486" s="56" t="str">
        <f aca="false">IF(OR(L486="Y",LEFT('P9-006'!$T$108,1)="D"),"",IF(AND(ISNUMBER(J486),J486&lt;ASOF),"⚠ เลยกำหนด",IF(AND(ISNUMBER(I486),I486&lt;=ASOF+14,J486&gt;=ASOF-7),"ช่วงนี้","")))</f>
        <v/>
      </c>
      <c r="L486" s="59"/>
      <c r="M486" s="60"/>
    </row>
    <row r="487" customFormat="false" ht="15" hidden="false" customHeight="false" outlineLevel="0" collapsed="false">
      <c r="A487" s="54" t="s">
        <v>62</v>
      </c>
      <c r="B487" s="55" t="s">
        <v>474</v>
      </c>
      <c r="C487" s="56" t="s">
        <v>475</v>
      </c>
      <c r="D487" s="57" t="s">
        <v>64</v>
      </c>
      <c r="E487" s="57" t="s">
        <v>415</v>
      </c>
      <c r="F487" s="55" t="s">
        <v>416</v>
      </c>
      <c r="G487" s="55" t="s">
        <v>417</v>
      </c>
      <c r="H487" s="57" t="s">
        <v>211</v>
      </c>
      <c r="I487" s="58" t="n">
        <f aca="false">'P9-006'!$N$109</f>
        <v>46348</v>
      </c>
      <c r="J487" s="58" t="n">
        <f aca="false">'P9-006'!$O$109</f>
        <v>46348</v>
      </c>
      <c r="K487" s="56" t="str">
        <f aca="false">IF(OR(L487="Y",LEFT('P9-006'!$T$109,1)="D"),"",IF(AND(ISNUMBER(J487),J487&lt;ASOF),"⚠ เลยกำหนด",IF(AND(ISNUMBER(I487),I487&lt;=ASOF+14,J487&gt;=ASOF-7),"ช่วงนี้","")))</f>
        <v/>
      </c>
      <c r="L487" s="59"/>
      <c r="M487" s="60"/>
    </row>
    <row r="488" customFormat="false" ht="15" hidden="false" customHeight="false" outlineLevel="0" collapsed="false">
      <c r="A488" s="54" t="s">
        <v>62</v>
      </c>
      <c r="B488" s="55" t="s">
        <v>474</v>
      </c>
      <c r="C488" s="56" t="s">
        <v>475</v>
      </c>
      <c r="D488" s="57" t="s">
        <v>64</v>
      </c>
      <c r="E488" s="57" t="s">
        <v>418</v>
      </c>
      <c r="F488" s="61" t="s">
        <v>419</v>
      </c>
      <c r="G488" s="55" t="s">
        <v>420</v>
      </c>
      <c r="H488" s="57" t="s">
        <v>211</v>
      </c>
      <c r="I488" s="58" t="n">
        <f aca="false">'P9-006'!$N$110</f>
        <v>46347</v>
      </c>
      <c r="J488" s="58" t="n">
        <f aca="false">'P9-006'!$O$110</f>
        <v>46348</v>
      </c>
      <c r="K488" s="56" t="str">
        <f aca="false">IF(OR(L488="Y",LEFT('P9-006'!$T$110,1)="D"),"",IF(AND(ISNUMBER(J488),J488&lt;ASOF),"⚠ เลยกำหนด",IF(AND(ISNUMBER(I488),I488&lt;=ASOF+14,J488&gt;=ASOF-7),"ช่วงนี้","")))</f>
        <v/>
      </c>
      <c r="L488" s="59"/>
      <c r="M488" s="60"/>
    </row>
    <row r="489" customFormat="false" ht="15" hidden="false" customHeight="false" outlineLevel="0" collapsed="false">
      <c r="A489" s="54" t="s">
        <v>62</v>
      </c>
      <c r="B489" s="55" t="s">
        <v>474</v>
      </c>
      <c r="C489" s="56" t="s">
        <v>475</v>
      </c>
      <c r="D489" s="57" t="s">
        <v>64</v>
      </c>
      <c r="E489" s="57" t="s">
        <v>421</v>
      </c>
      <c r="F489" s="55" t="s">
        <v>422</v>
      </c>
      <c r="G489" s="55" t="s">
        <v>423</v>
      </c>
      <c r="H489" s="56" t="str">
        <f aca="false">IF(COUNTIFS(SITE_ST,"P9-006",SITE_TYPE,"?*")&gt;0,"ตามจุดติดตั้ง →","0/100")</f>
        <v>ตามจุดติดตั้ง →</v>
      </c>
      <c r="I489" s="58" t="n">
        <f aca="false">'P9-006'!$N$112</f>
        <v>46349</v>
      </c>
      <c r="J489" s="58" t="n">
        <f aca="false">'P9-006'!$O$112</f>
        <v>46349</v>
      </c>
      <c r="K489" s="56" t="str">
        <f aca="false">IF(OR(L489="Y",LEFT('P9-006'!$T$112,1)="D"),"",IF(AND(ISNUMBER(J489),J489&lt;ASOF),"⚠ เลยกำหนด",IF(AND(ISNUMBER(I489),I489&lt;=ASOF+14,J489&gt;=ASOF-7),"ช่วงนี้","")))</f>
        <v/>
      </c>
      <c r="L489" s="59"/>
      <c r="M489" s="60"/>
    </row>
    <row r="490" customFormat="false" ht="15" hidden="false" customHeight="false" outlineLevel="0" collapsed="false">
      <c r="A490" s="54" t="s">
        <v>62</v>
      </c>
      <c r="B490" s="55" t="s">
        <v>474</v>
      </c>
      <c r="C490" s="56" t="s">
        <v>475</v>
      </c>
      <c r="D490" s="57" t="s">
        <v>64</v>
      </c>
      <c r="E490" s="57" t="s">
        <v>424</v>
      </c>
      <c r="F490" s="55" t="s">
        <v>425</v>
      </c>
      <c r="G490" s="55" t="s">
        <v>426</v>
      </c>
      <c r="H490" s="56" t="str">
        <f aca="false">IF(COUNTIFS(SITE_ST,"P9-006",SITE_TYPE,"?*")&gt;0,"ตามจุดติดตั้ง →","0/100")</f>
        <v>ตามจุดติดตั้ง →</v>
      </c>
      <c r="I490" s="58" t="n">
        <f aca="false">'P9-006'!$N$113</f>
        <v>46349</v>
      </c>
      <c r="J490" s="58" t="n">
        <f aca="false">'P9-006'!$O$113</f>
        <v>46349</v>
      </c>
      <c r="K490" s="56" t="str">
        <f aca="false">IF(OR(L490="Y",LEFT('P9-006'!$T$113,1)="D"),"",IF(AND(ISNUMBER(J490),J490&lt;ASOF),"⚠ เลยกำหนด",IF(AND(ISNUMBER(I490),I490&lt;=ASOF+14,J490&gt;=ASOF-7),"ช่วงนี้","")))</f>
        <v/>
      </c>
      <c r="L490" s="59"/>
      <c r="M490" s="60"/>
    </row>
    <row r="491" customFormat="false" ht="15" hidden="false" customHeight="false" outlineLevel="0" collapsed="false">
      <c r="A491" s="54" t="s">
        <v>62</v>
      </c>
      <c r="B491" s="55" t="s">
        <v>474</v>
      </c>
      <c r="C491" s="56" t="s">
        <v>475</v>
      </c>
      <c r="D491" s="57" t="s">
        <v>64</v>
      </c>
      <c r="E491" s="57" t="s">
        <v>427</v>
      </c>
      <c r="F491" s="61" t="s">
        <v>428</v>
      </c>
      <c r="G491" s="61" t="s">
        <v>429</v>
      </c>
      <c r="H491" s="57" t="s">
        <v>211</v>
      </c>
      <c r="I491" s="58" t="n">
        <f aca="false">'P9-006'!$N$116</f>
        <v>46359</v>
      </c>
      <c r="J491" s="58" t="n">
        <f aca="false">'P9-006'!$O$116</f>
        <v>46359</v>
      </c>
      <c r="K491" s="56" t="str">
        <f aca="false">IF(OR(L491="Y",LEFT('P9-006'!$T$116,1)="D"),"",IF(AND(ISNUMBER(J491),J491&lt;ASOF),"⚠ เลยกำหนด",IF(AND(ISNUMBER(I491),I491&lt;=ASOF+14,J491&gt;=ASOF-7),"ช่วงนี้","")))</f>
        <v/>
      </c>
      <c r="L491" s="59"/>
      <c r="M491" s="60"/>
    </row>
    <row r="492" customFormat="false" ht="15" hidden="false" customHeight="false" outlineLevel="0" collapsed="false">
      <c r="A492" s="54" t="s">
        <v>62</v>
      </c>
      <c r="B492" s="55" t="s">
        <v>474</v>
      </c>
      <c r="C492" s="56" t="s">
        <v>475</v>
      </c>
      <c r="D492" s="57" t="s">
        <v>64</v>
      </c>
      <c r="E492" s="57" t="s">
        <v>430</v>
      </c>
      <c r="F492" s="55" t="s">
        <v>431</v>
      </c>
      <c r="G492" s="55" t="s">
        <v>432</v>
      </c>
      <c r="H492" s="57" t="s">
        <v>211</v>
      </c>
      <c r="I492" s="58" t="n">
        <f aca="false">'P9-006'!$N$117</f>
        <v>46359</v>
      </c>
      <c r="J492" s="58" t="n">
        <f aca="false">'P9-006'!$O$117</f>
        <v>46359</v>
      </c>
      <c r="K492" s="56" t="str">
        <f aca="false">IF(OR(L492="Y",LEFT('P9-006'!$T$117,1)="D"),"",IF(AND(ISNUMBER(J492),J492&lt;ASOF),"⚠ เลยกำหนด",IF(AND(ISNUMBER(I492),I492&lt;=ASOF+14,J492&gt;=ASOF-7),"ช่วงนี้","")))</f>
        <v/>
      </c>
      <c r="L492" s="59"/>
      <c r="M492" s="60"/>
    </row>
    <row r="493" customFormat="false" ht="15" hidden="false" customHeight="false" outlineLevel="0" collapsed="false">
      <c r="A493" s="54" t="s">
        <v>62</v>
      </c>
      <c r="B493" s="55" t="s">
        <v>474</v>
      </c>
      <c r="C493" s="56" t="s">
        <v>475</v>
      </c>
      <c r="D493" s="57" t="s">
        <v>64</v>
      </c>
      <c r="E493" s="57" t="s">
        <v>433</v>
      </c>
      <c r="F493" s="55" t="s">
        <v>434</v>
      </c>
      <c r="G493" s="55" t="s">
        <v>435</v>
      </c>
      <c r="H493" s="57" t="s">
        <v>211</v>
      </c>
      <c r="I493" s="58" t="n">
        <f aca="false">'P9-006'!$N$118</f>
        <v>46359</v>
      </c>
      <c r="J493" s="58" t="n">
        <f aca="false">'P9-006'!$O$118</f>
        <v>46359</v>
      </c>
      <c r="K493" s="56" t="str">
        <f aca="false">IF(OR(L493="Y",LEFT('P9-006'!$T$118,1)="D"),"",IF(AND(ISNUMBER(J493),J493&lt;ASOF),"⚠ เลยกำหนด",IF(AND(ISNUMBER(I493),I493&lt;=ASOF+14,J493&gt;=ASOF-7),"ช่วงนี้","")))</f>
        <v/>
      </c>
      <c r="L493" s="59"/>
      <c r="M493" s="60"/>
    </row>
    <row r="494" customFormat="false" ht="15" hidden="false" customHeight="false" outlineLevel="0" collapsed="false">
      <c r="A494" s="54" t="s">
        <v>62</v>
      </c>
      <c r="B494" s="55" t="s">
        <v>474</v>
      </c>
      <c r="C494" s="56" t="s">
        <v>475</v>
      </c>
      <c r="D494" s="57" t="s">
        <v>64</v>
      </c>
      <c r="E494" s="57" t="s">
        <v>436</v>
      </c>
      <c r="F494" s="55" t="s">
        <v>437</v>
      </c>
      <c r="G494" s="55" t="s">
        <v>438</v>
      </c>
      <c r="H494" s="57" t="s">
        <v>211</v>
      </c>
      <c r="I494" s="58" t="n">
        <f aca="false">'P9-006'!$N$119</f>
        <v>46359</v>
      </c>
      <c r="J494" s="58" t="n">
        <f aca="false">'P9-006'!$O$119</f>
        <v>46359</v>
      </c>
      <c r="K494" s="56" t="str">
        <f aca="false">IF(OR(L494="Y",LEFT('P9-006'!$T$119,1)="D"),"",IF(AND(ISNUMBER(J494),J494&lt;ASOF),"⚠ เลยกำหนด",IF(AND(ISNUMBER(I494),I494&lt;=ASOF+14,J494&gt;=ASOF-7),"ช่วงนี้","")))</f>
        <v/>
      </c>
      <c r="L494" s="59"/>
      <c r="M494" s="60"/>
    </row>
    <row r="495" customFormat="false" ht="15" hidden="false" customHeight="false" outlineLevel="0" collapsed="false">
      <c r="A495" s="54" t="s">
        <v>62</v>
      </c>
      <c r="B495" s="55" t="s">
        <v>474</v>
      </c>
      <c r="C495" s="56" t="s">
        <v>475</v>
      </c>
      <c r="D495" s="57" t="s">
        <v>64</v>
      </c>
      <c r="E495" s="57" t="s">
        <v>439</v>
      </c>
      <c r="F495" s="55" t="s">
        <v>440</v>
      </c>
      <c r="G495" s="55" t="s">
        <v>441</v>
      </c>
      <c r="H495" s="57" t="s">
        <v>211</v>
      </c>
      <c r="I495" s="58" t="n">
        <f aca="false">'P9-006'!$N$120</f>
        <v>46359</v>
      </c>
      <c r="J495" s="58" t="n">
        <f aca="false">'P9-006'!$O$120</f>
        <v>46359</v>
      </c>
      <c r="K495" s="56" t="str">
        <f aca="false">IF(OR(L495="Y",LEFT('P9-006'!$T$120,1)="D"),"",IF(AND(ISNUMBER(J495),J495&lt;ASOF),"⚠ เลยกำหนด",IF(AND(ISNUMBER(I495),I495&lt;=ASOF+14,J495&gt;=ASOF-7),"ช่วงนี้","")))</f>
        <v/>
      </c>
      <c r="L495" s="59"/>
      <c r="M495" s="60"/>
    </row>
    <row r="496" customFormat="false" ht="15" hidden="false" customHeight="false" outlineLevel="0" collapsed="false">
      <c r="A496" s="54" t="s">
        <v>62</v>
      </c>
      <c r="B496" s="55" t="s">
        <v>474</v>
      </c>
      <c r="C496" s="56" t="s">
        <v>475</v>
      </c>
      <c r="D496" s="57" t="s">
        <v>64</v>
      </c>
      <c r="E496" s="57" t="s">
        <v>442</v>
      </c>
      <c r="F496" s="55" t="s">
        <v>443</v>
      </c>
      <c r="G496" s="55" t="s">
        <v>444</v>
      </c>
      <c r="H496" s="57" t="s">
        <v>211</v>
      </c>
      <c r="I496" s="58" t="n">
        <f aca="false">'P9-006'!$N$121</f>
        <v>46359</v>
      </c>
      <c r="J496" s="58" t="n">
        <f aca="false">'P9-006'!$O$121</f>
        <v>46359</v>
      </c>
      <c r="K496" s="56" t="str">
        <f aca="false">IF(OR(L496="Y",LEFT('P9-006'!$T$121,1)="D"),"",IF(AND(ISNUMBER(J496),J496&lt;ASOF),"⚠ เลยกำหนด",IF(AND(ISNUMBER(I496),I496&lt;=ASOF+14,J496&gt;=ASOF-7),"ช่วงนี้","")))</f>
        <v/>
      </c>
      <c r="L496" s="59"/>
      <c r="M496" s="60"/>
    </row>
    <row r="497" customFormat="false" ht="15" hidden="false" customHeight="false" outlineLevel="0" collapsed="false">
      <c r="A497" s="54" t="s">
        <v>62</v>
      </c>
      <c r="B497" s="55" t="s">
        <v>474</v>
      </c>
      <c r="C497" s="56" t="s">
        <v>475</v>
      </c>
      <c r="D497" s="57" t="s">
        <v>64</v>
      </c>
      <c r="E497" s="57" t="s">
        <v>445</v>
      </c>
      <c r="F497" s="55" t="s">
        <v>446</v>
      </c>
      <c r="G497" s="55" t="s">
        <v>447</v>
      </c>
      <c r="H497" s="57" t="s">
        <v>211</v>
      </c>
      <c r="I497" s="58" t="n">
        <f aca="false">'P9-006'!$N$125</f>
        <v>46437</v>
      </c>
      <c r="J497" s="58" t="n">
        <f aca="false">'P9-006'!$O$125</f>
        <v>46441</v>
      </c>
      <c r="K497" s="56" t="str">
        <f aca="false">IF(OR(L497="Y",LEFT('P9-006'!$T$125,1)="D"),"",IF(AND(ISNUMBER(J497),J497&lt;ASOF),"⚠ เลยกำหนด",IF(AND(ISNUMBER(I497),I497&lt;=ASOF+14,J497&gt;=ASOF-7),"ช่วงนี้","")))</f>
        <v/>
      </c>
      <c r="L497" s="59"/>
      <c r="M497" s="60"/>
    </row>
    <row r="498" customFormat="false" ht="15" hidden="false" customHeight="false" outlineLevel="0" collapsed="false">
      <c r="A498" s="54" t="s">
        <v>62</v>
      </c>
      <c r="B498" s="55" t="s">
        <v>474</v>
      </c>
      <c r="C498" s="56" t="s">
        <v>475</v>
      </c>
      <c r="D498" s="57" t="s">
        <v>64</v>
      </c>
      <c r="E498" s="57" t="s">
        <v>448</v>
      </c>
      <c r="F498" s="55" t="s">
        <v>449</v>
      </c>
      <c r="G498" s="61" t="s">
        <v>450</v>
      </c>
      <c r="H498" s="57" t="s">
        <v>211</v>
      </c>
      <c r="I498" s="58" t="n">
        <f aca="false">'P9-006'!$N$126</f>
        <v>46440</v>
      </c>
      <c r="J498" s="58" t="n">
        <f aca="false">'P9-006'!$O$126</f>
        <v>46447</v>
      </c>
      <c r="K498" s="56" t="str">
        <f aca="false">IF(OR(L498="Y",LEFT('P9-006'!$T$126,1)="D"),"",IF(AND(ISNUMBER(J498),J498&lt;ASOF),"⚠ เลยกำหนด",IF(AND(ISNUMBER(I498),I498&lt;=ASOF+14,J498&gt;=ASOF-7),"ช่วงนี้","")))</f>
        <v/>
      </c>
      <c r="L498" s="59"/>
      <c r="M498" s="60"/>
    </row>
    <row r="499" customFormat="false" ht="15" hidden="false" customHeight="false" outlineLevel="0" collapsed="false">
      <c r="A499" s="54" t="s">
        <v>62</v>
      </c>
      <c r="B499" s="55" t="s">
        <v>474</v>
      </c>
      <c r="C499" s="56" t="s">
        <v>475</v>
      </c>
      <c r="D499" s="57" t="s">
        <v>64</v>
      </c>
      <c r="E499" s="57" t="s">
        <v>451</v>
      </c>
      <c r="F499" s="61" t="s">
        <v>452</v>
      </c>
      <c r="G499" s="61" t="s">
        <v>453</v>
      </c>
      <c r="H499" s="57" t="s">
        <v>211</v>
      </c>
      <c r="I499" s="58" t="n">
        <f aca="false">'P9-006'!$N$127</f>
        <v>46447</v>
      </c>
      <c r="J499" s="58" t="n">
        <f aca="false">'P9-006'!$O$127</f>
        <v>46450</v>
      </c>
      <c r="K499" s="56" t="str">
        <f aca="false">IF(OR(L499="Y",LEFT('P9-006'!$T$127,1)="D"),"",IF(AND(ISNUMBER(J499),J499&lt;ASOF),"⚠ เลยกำหนด",IF(AND(ISNUMBER(I499),I499&lt;=ASOF+14,J499&gt;=ASOF-7),"ช่วงนี้","")))</f>
        <v/>
      </c>
      <c r="L499" s="59"/>
      <c r="M499" s="60"/>
    </row>
    <row r="500" customFormat="false" ht="15" hidden="false" customHeight="false" outlineLevel="0" collapsed="false">
      <c r="A500" s="54" t="s">
        <v>66</v>
      </c>
      <c r="B500" s="55" t="s">
        <v>476</v>
      </c>
      <c r="C500" s="56" t="s">
        <v>477</v>
      </c>
      <c r="D500" s="57" t="s">
        <v>68</v>
      </c>
      <c r="E500" s="57" t="s">
        <v>208</v>
      </c>
      <c r="F500" s="55" t="s">
        <v>209</v>
      </c>
      <c r="G500" s="55" t="s">
        <v>210</v>
      </c>
      <c r="H500" s="57" t="s">
        <v>211</v>
      </c>
      <c r="I500" s="58" t="n">
        <f aca="false">'P9-007'!$N$10</f>
        <v>46328</v>
      </c>
      <c r="J500" s="58" t="n">
        <f aca="false">'P9-007'!$O$10</f>
        <v>46340</v>
      </c>
      <c r="K500" s="56" t="str">
        <f aca="false">IF(OR(L500="Y",LEFT('P9-007'!$T$10,1)="D"),"",IF(AND(ISNUMBER(J500),J500&lt;ASOF),"⚠ เลยกำหนด",IF(AND(ISNUMBER(I500),I500&lt;=ASOF+14,J500&gt;=ASOF-7),"ช่วงนี้","")))</f>
        <v>ช่วงนี้</v>
      </c>
      <c r="L500" s="59"/>
      <c r="M500" s="60"/>
    </row>
    <row r="501" customFormat="false" ht="15" hidden="false" customHeight="false" outlineLevel="0" collapsed="false">
      <c r="A501" s="54" t="s">
        <v>66</v>
      </c>
      <c r="B501" s="55" t="s">
        <v>476</v>
      </c>
      <c r="C501" s="56" t="s">
        <v>477</v>
      </c>
      <c r="D501" s="57" t="s">
        <v>68</v>
      </c>
      <c r="E501" s="57" t="s">
        <v>212</v>
      </c>
      <c r="F501" s="55" t="s">
        <v>213</v>
      </c>
      <c r="G501" s="55" t="s">
        <v>214</v>
      </c>
      <c r="H501" s="57" t="s">
        <v>211</v>
      </c>
      <c r="I501" s="58" t="n">
        <f aca="false">'P9-007'!$N$11</f>
        <v>46328</v>
      </c>
      <c r="J501" s="58" t="n">
        <f aca="false">'P9-007'!$O$11</f>
        <v>46340</v>
      </c>
      <c r="K501" s="56" t="str">
        <f aca="false">IF(OR(L501="Y",LEFT('P9-007'!$T$11,1)="D"),"",IF(AND(ISNUMBER(J501),J501&lt;ASOF),"⚠ เลยกำหนด",IF(AND(ISNUMBER(I501),I501&lt;=ASOF+14,J501&gt;=ASOF-7),"ช่วงนี้","")))</f>
        <v>ช่วงนี้</v>
      </c>
      <c r="L501" s="59"/>
      <c r="M501" s="60"/>
    </row>
    <row r="502" customFormat="false" ht="15" hidden="false" customHeight="false" outlineLevel="0" collapsed="false">
      <c r="A502" s="54" t="s">
        <v>66</v>
      </c>
      <c r="B502" s="55" t="s">
        <v>476</v>
      </c>
      <c r="C502" s="56" t="s">
        <v>477</v>
      </c>
      <c r="D502" s="57" t="s">
        <v>68</v>
      </c>
      <c r="E502" s="57" t="s">
        <v>215</v>
      </c>
      <c r="F502" s="55" t="s">
        <v>216</v>
      </c>
      <c r="G502" s="61" t="s">
        <v>217</v>
      </c>
      <c r="H502" s="57" t="s">
        <v>211</v>
      </c>
      <c r="I502" s="58" t="n">
        <f aca="false">'P9-007'!$N$12</f>
        <v>46328</v>
      </c>
      <c r="J502" s="58" t="n">
        <f aca="false">'P9-007'!$O$12</f>
        <v>46340</v>
      </c>
      <c r="K502" s="56" t="str">
        <f aca="false">IF(OR(L502="Y",LEFT('P9-007'!$T$12,1)="D"),"",IF(AND(ISNUMBER(J502),J502&lt;ASOF),"⚠ เลยกำหนด",IF(AND(ISNUMBER(I502),I502&lt;=ASOF+14,J502&gt;=ASOF-7),"ช่วงนี้","")))</f>
        <v>ช่วงนี้</v>
      </c>
      <c r="L502" s="59"/>
      <c r="M502" s="60"/>
    </row>
    <row r="503" customFormat="false" ht="15" hidden="false" customHeight="false" outlineLevel="0" collapsed="false">
      <c r="A503" s="54" t="s">
        <v>66</v>
      </c>
      <c r="B503" s="55" t="s">
        <v>476</v>
      </c>
      <c r="C503" s="56" t="s">
        <v>477</v>
      </c>
      <c r="D503" s="57" t="s">
        <v>68</v>
      </c>
      <c r="E503" s="57" t="s">
        <v>218</v>
      </c>
      <c r="F503" s="55" t="s">
        <v>219</v>
      </c>
      <c r="G503" s="55" t="s">
        <v>220</v>
      </c>
      <c r="H503" s="57" t="s">
        <v>211</v>
      </c>
      <c r="I503" s="58" t="n">
        <f aca="false">'P9-007'!$N$13</f>
        <v>46328</v>
      </c>
      <c r="J503" s="58" t="n">
        <f aca="false">'P9-007'!$O$13</f>
        <v>46346</v>
      </c>
      <c r="K503" s="56" t="str">
        <f aca="false">IF(OR(L503="Y",LEFT('P9-007'!$T$13,1)="D"),"",IF(AND(ISNUMBER(J503),J503&lt;ASOF),"⚠ เลยกำหนด",IF(AND(ISNUMBER(I503),I503&lt;=ASOF+14,J503&gt;=ASOF-7),"ช่วงนี้","")))</f>
        <v>ช่วงนี้</v>
      </c>
      <c r="L503" s="59"/>
      <c r="M503" s="60"/>
    </row>
    <row r="504" customFormat="false" ht="15" hidden="false" customHeight="false" outlineLevel="0" collapsed="false">
      <c r="A504" s="54" t="s">
        <v>66</v>
      </c>
      <c r="B504" s="55" t="s">
        <v>476</v>
      </c>
      <c r="C504" s="56" t="s">
        <v>477</v>
      </c>
      <c r="D504" s="57" t="s">
        <v>68</v>
      </c>
      <c r="E504" s="57" t="s">
        <v>221</v>
      </c>
      <c r="F504" s="55" t="s">
        <v>222</v>
      </c>
      <c r="G504" s="55" t="s">
        <v>223</v>
      </c>
      <c r="H504" s="57" t="s">
        <v>211</v>
      </c>
      <c r="I504" s="58" t="n">
        <f aca="false">'P9-007'!$N$14</f>
        <v>46340</v>
      </c>
      <c r="J504" s="58" t="n">
        <f aca="false">'P9-007'!$O$14</f>
        <v>46450</v>
      </c>
      <c r="K504" s="56" t="str">
        <f aca="false">IF(OR(L504="Y",LEFT('P9-007'!$T$14,1)="D"),"",IF(AND(ISNUMBER(J504),J504&lt;ASOF),"⚠ เลยกำหนด",IF(AND(ISNUMBER(I504),I504&lt;=ASOF+14,J504&gt;=ASOF-7),"ช่วงนี้","")))</f>
        <v>ช่วงนี้</v>
      </c>
      <c r="L504" s="59"/>
      <c r="M504" s="60"/>
    </row>
    <row r="505" customFormat="false" ht="15" hidden="false" customHeight="false" outlineLevel="0" collapsed="false">
      <c r="A505" s="54" t="s">
        <v>66</v>
      </c>
      <c r="B505" s="55" t="s">
        <v>476</v>
      </c>
      <c r="C505" s="56" t="s">
        <v>477</v>
      </c>
      <c r="D505" s="57" t="s">
        <v>68</v>
      </c>
      <c r="E505" s="57" t="s">
        <v>224</v>
      </c>
      <c r="F505" s="55" t="s">
        <v>225</v>
      </c>
      <c r="G505" s="61" t="s">
        <v>226</v>
      </c>
      <c r="H505" s="57" t="s">
        <v>211</v>
      </c>
      <c r="I505" s="58" t="n">
        <f aca="false">'P9-007'!$N$15</f>
        <v>46340</v>
      </c>
      <c r="J505" s="58" t="n">
        <f aca="false">'P9-007'!$O$15</f>
        <v>46450</v>
      </c>
      <c r="K505" s="56" t="str">
        <f aca="false">IF(OR(L505="Y",LEFT('P9-007'!$T$15,1)="D"),"",IF(AND(ISNUMBER(J505),J505&lt;ASOF),"⚠ เลยกำหนด",IF(AND(ISNUMBER(I505),I505&lt;=ASOF+14,J505&gt;=ASOF-7),"ช่วงนี้","")))</f>
        <v>ช่วงนี้</v>
      </c>
      <c r="L505" s="59"/>
      <c r="M505" s="60"/>
    </row>
    <row r="506" customFormat="false" ht="15" hidden="false" customHeight="false" outlineLevel="0" collapsed="false">
      <c r="A506" s="54" t="s">
        <v>66</v>
      </c>
      <c r="B506" s="55" t="s">
        <v>476</v>
      </c>
      <c r="C506" s="56" t="s">
        <v>477</v>
      </c>
      <c r="D506" s="57" t="s">
        <v>68</v>
      </c>
      <c r="E506" s="57" t="s">
        <v>227</v>
      </c>
      <c r="F506" s="55" t="s">
        <v>228</v>
      </c>
      <c r="G506" s="55" t="s">
        <v>229</v>
      </c>
      <c r="H506" s="57" t="s">
        <v>211</v>
      </c>
      <c r="I506" s="58" t="n">
        <f aca="false">'P9-007'!$N$17</f>
        <v>46328</v>
      </c>
      <c r="J506" s="58" t="n">
        <f aca="false">'P9-007'!$O$17</f>
        <v>46328</v>
      </c>
      <c r="K506" s="56" t="str">
        <f aca="false">IF(OR(L506="Y",LEFT('P9-007'!$T$17,1)="D"),"",IF(AND(ISNUMBER(J506),J506&lt;ASOF),"⚠ เลยกำหนด",IF(AND(ISNUMBER(I506),I506&lt;=ASOF+14,J506&gt;=ASOF-7),"ช่วงนี้","")))</f>
        <v>ช่วงนี้</v>
      </c>
      <c r="L506" s="59"/>
      <c r="M506" s="60"/>
    </row>
    <row r="507" customFormat="false" ht="15" hidden="false" customHeight="false" outlineLevel="0" collapsed="false">
      <c r="A507" s="54" t="s">
        <v>66</v>
      </c>
      <c r="B507" s="55" t="s">
        <v>476</v>
      </c>
      <c r="C507" s="56" t="s">
        <v>477</v>
      </c>
      <c r="D507" s="57" t="s">
        <v>68</v>
      </c>
      <c r="E507" s="57" t="s">
        <v>230</v>
      </c>
      <c r="F507" s="55" t="s">
        <v>231</v>
      </c>
      <c r="G507" s="55" t="s">
        <v>232</v>
      </c>
      <c r="H507" s="57" t="s">
        <v>211</v>
      </c>
      <c r="I507" s="58" t="n">
        <f aca="false">'P9-007'!$N$18</f>
        <v>46328</v>
      </c>
      <c r="J507" s="58" t="n">
        <f aca="false">'P9-007'!$O$18</f>
        <v>46328</v>
      </c>
      <c r="K507" s="56" t="str">
        <f aca="false">IF(OR(L507="Y",LEFT('P9-007'!$T$18,1)="D"),"",IF(AND(ISNUMBER(J507),J507&lt;ASOF),"⚠ เลยกำหนด",IF(AND(ISNUMBER(I507),I507&lt;=ASOF+14,J507&gt;=ASOF-7),"ช่วงนี้","")))</f>
        <v>ช่วงนี้</v>
      </c>
      <c r="L507" s="59"/>
      <c r="M507" s="60"/>
    </row>
    <row r="508" customFormat="false" ht="15" hidden="false" customHeight="false" outlineLevel="0" collapsed="false">
      <c r="A508" s="54" t="s">
        <v>66</v>
      </c>
      <c r="B508" s="55" t="s">
        <v>476</v>
      </c>
      <c r="C508" s="56" t="s">
        <v>477</v>
      </c>
      <c r="D508" s="57" t="s">
        <v>68</v>
      </c>
      <c r="E508" s="57" t="s">
        <v>233</v>
      </c>
      <c r="F508" s="55" t="s">
        <v>234</v>
      </c>
      <c r="G508" s="55" t="s">
        <v>235</v>
      </c>
      <c r="H508" s="57" t="s">
        <v>211</v>
      </c>
      <c r="I508" s="58" t="n">
        <f aca="false">'P9-007'!$N$19</f>
        <v>46328</v>
      </c>
      <c r="J508" s="58" t="n">
        <f aca="false">'P9-007'!$O$19</f>
        <v>46328</v>
      </c>
      <c r="K508" s="56" t="str">
        <f aca="false">IF(OR(L508="Y",LEFT('P9-007'!$T$19,1)="D"),"",IF(AND(ISNUMBER(J508),J508&lt;ASOF),"⚠ เลยกำหนด",IF(AND(ISNUMBER(I508),I508&lt;=ASOF+14,J508&gt;=ASOF-7),"ช่วงนี้","")))</f>
        <v>ช่วงนี้</v>
      </c>
      <c r="L508" s="59"/>
      <c r="M508" s="60"/>
    </row>
    <row r="509" customFormat="false" ht="15" hidden="false" customHeight="false" outlineLevel="0" collapsed="false">
      <c r="A509" s="54" t="s">
        <v>66</v>
      </c>
      <c r="B509" s="55" t="s">
        <v>476</v>
      </c>
      <c r="C509" s="56" t="s">
        <v>477</v>
      </c>
      <c r="D509" s="57" t="s">
        <v>68</v>
      </c>
      <c r="E509" s="57" t="s">
        <v>236</v>
      </c>
      <c r="F509" s="55" t="s">
        <v>237</v>
      </c>
      <c r="G509" s="55" t="s">
        <v>238</v>
      </c>
      <c r="H509" s="57" t="s">
        <v>211</v>
      </c>
      <c r="I509" s="58" t="n">
        <f aca="false">'P9-007'!$N$20</f>
        <v>46328</v>
      </c>
      <c r="J509" s="58" t="n">
        <f aca="false">'P9-007'!$O$20</f>
        <v>46328</v>
      </c>
      <c r="K509" s="56" t="str">
        <f aca="false">IF(OR(L509="Y",LEFT('P9-007'!$T$20,1)="D"),"",IF(AND(ISNUMBER(J509),J509&lt;ASOF),"⚠ เลยกำหนด",IF(AND(ISNUMBER(I509),I509&lt;=ASOF+14,J509&gt;=ASOF-7),"ช่วงนี้","")))</f>
        <v>ช่วงนี้</v>
      </c>
      <c r="L509" s="59"/>
      <c r="M509" s="60"/>
    </row>
    <row r="510" customFormat="false" ht="15" hidden="false" customHeight="false" outlineLevel="0" collapsed="false">
      <c r="A510" s="54" t="s">
        <v>66</v>
      </c>
      <c r="B510" s="55" t="s">
        <v>476</v>
      </c>
      <c r="C510" s="56" t="s">
        <v>477</v>
      </c>
      <c r="D510" s="57" t="s">
        <v>68</v>
      </c>
      <c r="E510" s="57" t="s">
        <v>239</v>
      </c>
      <c r="F510" s="55" t="s">
        <v>240</v>
      </c>
      <c r="G510" s="55" t="s">
        <v>241</v>
      </c>
      <c r="H510" s="57" t="s">
        <v>211</v>
      </c>
      <c r="I510" s="58" t="n">
        <f aca="false">'P9-007'!$N$21</f>
        <v>46328</v>
      </c>
      <c r="J510" s="58" t="n">
        <f aca="false">'P9-007'!$O$21</f>
        <v>46328</v>
      </c>
      <c r="K510" s="56" t="str">
        <f aca="false">IF(OR(L510="Y",LEFT('P9-007'!$T$21,1)="D"),"",IF(AND(ISNUMBER(J510),J510&lt;ASOF),"⚠ เลยกำหนด",IF(AND(ISNUMBER(I510),I510&lt;=ASOF+14,J510&gt;=ASOF-7),"ช่วงนี้","")))</f>
        <v>ช่วงนี้</v>
      </c>
      <c r="L510" s="59"/>
      <c r="M510" s="60"/>
    </row>
    <row r="511" customFormat="false" ht="15" hidden="false" customHeight="false" outlineLevel="0" collapsed="false">
      <c r="A511" s="54" t="s">
        <v>66</v>
      </c>
      <c r="B511" s="55" t="s">
        <v>476</v>
      </c>
      <c r="C511" s="56" t="s">
        <v>477</v>
      </c>
      <c r="D511" s="57" t="s">
        <v>68</v>
      </c>
      <c r="E511" s="57" t="s">
        <v>242</v>
      </c>
      <c r="F511" s="55" t="s">
        <v>243</v>
      </c>
      <c r="G511" s="55" t="s">
        <v>244</v>
      </c>
      <c r="H511" s="57" t="s">
        <v>211</v>
      </c>
      <c r="I511" s="58" t="n">
        <f aca="false">'P9-007'!$N$22</f>
        <v>46328</v>
      </c>
      <c r="J511" s="58" t="n">
        <f aca="false">'P9-007'!$O$22</f>
        <v>46328</v>
      </c>
      <c r="K511" s="56" t="str">
        <f aca="false">IF(OR(L511="Y",LEFT('P9-007'!$T$22,1)="D"),"",IF(AND(ISNUMBER(J511),J511&lt;ASOF),"⚠ เลยกำหนด",IF(AND(ISNUMBER(I511),I511&lt;=ASOF+14,J511&gt;=ASOF-7),"ช่วงนี้","")))</f>
        <v>ช่วงนี้</v>
      </c>
      <c r="L511" s="59"/>
      <c r="M511" s="60"/>
    </row>
    <row r="512" customFormat="false" ht="15" hidden="false" customHeight="false" outlineLevel="0" collapsed="false">
      <c r="A512" s="54" t="s">
        <v>66</v>
      </c>
      <c r="B512" s="55" t="s">
        <v>476</v>
      </c>
      <c r="C512" s="56" t="s">
        <v>477</v>
      </c>
      <c r="D512" s="57" t="s">
        <v>68</v>
      </c>
      <c r="E512" s="57" t="s">
        <v>248</v>
      </c>
      <c r="F512" s="55" t="s">
        <v>249</v>
      </c>
      <c r="G512" s="55" t="s">
        <v>250</v>
      </c>
      <c r="H512" s="57" t="s">
        <v>211</v>
      </c>
      <c r="I512" s="58" t="n">
        <f aca="false">'P9-007'!$N$24</f>
        <v>46328</v>
      </c>
      <c r="J512" s="58" t="n">
        <f aca="false">'P9-007'!$O$24</f>
        <v>46328</v>
      </c>
      <c r="K512" s="56" t="str">
        <f aca="false">IF(OR(L512="Y",LEFT('P9-007'!$T$24,1)="D"),"",IF(AND(ISNUMBER(J512),J512&lt;ASOF),"⚠ เลยกำหนด",IF(AND(ISNUMBER(I512),I512&lt;=ASOF+14,J512&gt;=ASOF-7),"ช่วงนี้","")))</f>
        <v>ช่วงนี้</v>
      </c>
      <c r="L512" s="59"/>
      <c r="M512" s="60"/>
    </row>
    <row r="513" customFormat="false" ht="15" hidden="false" customHeight="false" outlineLevel="0" collapsed="false">
      <c r="A513" s="54" t="s">
        <v>66</v>
      </c>
      <c r="B513" s="55" t="s">
        <v>476</v>
      </c>
      <c r="C513" s="56" t="s">
        <v>477</v>
      </c>
      <c r="D513" s="57" t="s">
        <v>68</v>
      </c>
      <c r="E513" s="57" t="s">
        <v>251</v>
      </c>
      <c r="F513" s="55" t="s">
        <v>252</v>
      </c>
      <c r="G513" s="55" t="s">
        <v>253</v>
      </c>
      <c r="H513" s="57" t="s">
        <v>211</v>
      </c>
      <c r="I513" s="58" t="n">
        <f aca="false">'P9-007'!$N$26</f>
        <v>46329</v>
      </c>
      <c r="J513" s="58" t="n">
        <f aca="false">'P9-007'!$O$26</f>
        <v>46329</v>
      </c>
      <c r="K513" s="56" t="str">
        <f aca="false">IF(OR(L513="Y",LEFT('P9-007'!$T$26,1)="D"),"",IF(AND(ISNUMBER(J513),J513&lt;ASOF),"⚠ เลยกำหนด",IF(AND(ISNUMBER(I513),I513&lt;=ASOF+14,J513&gt;=ASOF-7),"ช่วงนี้","")))</f>
        <v>ช่วงนี้</v>
      </c>
      <c r="L513" s="59"/>
      <c r="M513" s="60"/>
    </row>
    <row r="514" customFormat="false" ht="15" hidden="false" customHeight="false" outlineLevel="0" collapsed="false">
      <c r="A514" s="54" t="s">
        <v>66</v>
      </c>
      <c r="B514" s="55" t="s">
        <v>476</v>
      </c>
      <c r="C514" s="56" t="s">
        <v>477</v>
      </c>
      <c r="D514" s="57" t="s">
        <v>68</v>
      </c>
      <c r="E514" s="57" t="s">
        <v>254</v>
      </c>
      <c r="F514" s="55" t="s">
        <v>255</v>
      </c>
      <c r="G514" s="55" t="s">
        <v>256</v>
      </c>
      <c r="H514" s="57" t="s">
        <v>211</v>
      </c>
      <c r="I514" s="58" t="n">
        <f aca="false">'P9-007'!$N$27</f>
        <v>46329</v>
      </c>
      <c r="J514" s="58" t="n">
        <f aca="false">'P9-007'!$O$27</f>
        <v>46329</v>
      </c>
      <c r="K514" s="56" t="str">
        <f aca="false">IF(OR(L514="Y",LEFT('P9-007'!$T$27,1)="D"),"",IF(AND(ISNUMBER(J514),J514&lt;ASOF),"⚠ เลยกำหนด",IF(AND(ISNUMBER(I514),I514&lt;=ASOF+14,J514&gt;=ASOF-7),"ช่วงนี้","")))</f>
        <v>ช่วงนี้</v>
      </c>
      <c r="L514" s="59"/>
      <c r="M514" s="60"/>
    </row>
    <row r="515" customFormat="false" ht="15" hidden="false" customHeight="false" outlineLevel="0" collapsed="false">
      <c r="A515" s="54" t="s">
        <v>66</v>
      </c>
      <c r="B515" s="55" t="s">
        <v>476</v>
      </c>
      <c r="C515" s="56" t="s">
        <v>477</v>
      </c>
      <c r="D515" s="57" t="s">
        <v>68</v>
      </c>
      <c r="E515" s="57" t="s">
        <v>257</v>
      </c>
      <c r="F515" s="55" t="s">
        <v>258</v>
      </c>
      <c r="G515" s="55" t="s">
        <v>259</v>
      </c>
      <c r="H515" s="57" t="s">
        <v>211</v>
      </c>
      <c r="I515" s="58" t="n">
        <f aca="false">'P9-007'!$N$28</f>
        <v>46329</v>
      </c>
      <c r="J515" s="58" t="n">
        <f aca="false">'P9-007'!$O$28</f>
        <v>46329</v>
      </c>
      <c r="K515" s="56" t="str">
        <f aca="false">IF(OR(L515="Y",LEFT('P9-007'!$T$28,1)="D"),"",IF(AND(ISNUMBER(J515),J515&lt;ASOF),"⚠ เลยกำหนด",IF(AND(ISNUMBER(I515),I515&lt;=ASOF+14,J515&gt;=ASOF-7),"ช่วงนี้","")))</f>
        <v>ช่วงนี้</v>
      </c>
      <c r="L515" s="59"/>
      <c r="M515" s="60"/>
    </row>
    <row r="516" customFormat="false" ht="15" hidden="false" customHeight="false" outlineLevel="0" collapsed="false">
      <c r="A516" s="54" t="s">
        <v>66</v>
      </c>
      <c r="B516" s="55" t="s">
        <v>476</v>
      </c>
      <c r="C516" s="56" t="s">
        <v>477</v>
      </c>
      <c r="D516" s="57" t="s">
        <v>68</v>
      </c>
      <c r="E516" s="57" t="s">
        <v>260</v>
      </c>
      <c r="F516" s="55" t="s">
        <v>261</v>
      </c>
      <c r="G516" s="55" t="s">
        <v>262</v>
      </c>
      <c r="H516" s="57" t="s">
        <v>211</v>
      </c>
      <c r="I516" s="58" t="n">
        <f aca="false">'P9-007'!$N$31</f>
        <v>46328</v>
      </c>
      <c r="J516" s="58" t="n">
        <f aca="false">'P9-007'!$O$31</f>
        <v>46328</v>
      </c>
      <c r="K516" s="56" t="str">
        <f aca="false">IF(OR(L516="Y",LEFT('P9-007'!$T$31,1)="D"),"",IF(AND(ISNUMBER(J516),J516&lt;ASOF),"⚠ เลยกำหนด",IF(AND(ISNUMBER(I516),I516&lt;=ASOF+14,J516&gt;=ASOF-7),"ช่วงนี้","")))</f>
        <v>ช่วงนี้</v>
      </c>
      <c r="L516" s="59"/>
      <c r="M516" s="60"/>
    </row>
    <row r="517" customFormat="false" ht="15" hidden="false" customHeight="false" outlineLevel="0" collapsed="false">
      <c r="A517" s="54" t="s">
        <v>66</v>
      </c>
      <c r="B517" s="55" t="s">
        <v>476</v>
      </c>
      <c r="C517" s="56" t="s">
        <v>477</v>
      </c>
      <c r="D517" s="57" t="s">
        <v>68</v>
      </c>
      <c r="E517" s="57" t="s">
        <v>263</v>
      </c>
      <c r="F517" s="55" t="s">
        <v>264</v>
      </c>
      <c r="G517" s="55" t="s">
        <v>265</v>
      </c>
      <c r="H517" s="57" t="s">
        <v>211</v>
      </c>
      <c r="I517" s="58" t="n">
        <f aca="false">'P9-007'!$N$32</f>
        <v>46328</v>
      </c>
      <c r="J517" s="58" t="n">
        <f aca="false">'P9-007'!$O$32</f>
        <v>46328</v>
      </c>
      <c r="K517" s="56" t="str">
        <f aca="false">IF(OR(L517="Y",LEFT('P9-007'!$T$32,1)="D"),"",IF(AND(ISNUMBER(J517),J517&lt;ASOF),"⚠ เลยกำหนด",IF(AND(ISNUMBER(I517),I517&lt;=ASOF+14,J517&gt;=ASOF-7),"ช่วงนี้","")))</f>
        <v>ช่วงนี้</v>
      </c>
      <c r="L517" s="59"/>
      <c r="M517" s="60"/>
    </row>
    <row r="518" customFormat="false" ht="15" hidden="false" customHeight="false" outlineLevel="0" collapsed="false">
      <c r="A518" s="54" t="s">
        <v>66</v>
      </c>
      <c r="B518" s="55" t="s">
        <v>476</v>
      </c>
      <c r="C518" s="56" t="s">
        <v>477</v>
      </c>
      <c r="D518" s="57" t="s">
        <v>68</v>
      </c>
      <c r="E518" s="57" t="s">
        <v>266</v>
      </c>
      <c r="F518" s="55" t="s">
        <v>267</v>
      </c>
      <c r="G518" s="55" t="s">
        <v>268</v>
      </c>
      <c r="H518" s="57" t="s">
        <v>211</v>
      </c>
      <c r="I518" s="58" t="n">
        <f aca="false">'P9-007'!$N$33</f>
        <v>46328</v>
      </c>
      <c r="J518" s="58" t="n">
        <f aca="false">'P9-007'!$O$33</f>
        <v>46328</v>
      </c>
      <c r="K518" s="56" t="str">
        <f aca="false">IF(OR(L518="Y",LEFT('P9-007'!$T$33,1)="D"),"",IF(AND(ISNUMBER(J518),J518&lt;ASOF),"⚠ เลยกำหนด",IF(AND(ISNUMBER(I518),I518&lt;=ASOF+14,J518&gt;=ASOF-7),"ช่วงนี้","")))</f>
        <v>ช่วงนี้</v>
      </c>
      <c r="L518" s="59"/>
      <c r="M518" s="60"/>
    </row>
    <row r="519" customFormat="false" ht="15" hidden="false" customHeight="false" outlineLevel="0" collapsed="false">
      <c r="A519" s="54" t="s">
        <v>66</v>
      </c>
      <c r="B519" s="55" t="s">
        <v>476</v>
      </c>
      <c r="C519" s="56" t="s">
        <v>477</v>
      </c>
      <c r="D519" s="57" t="s">
        <v>68</v>
      </c>
      <c r="E519" s="57" t="s">
        <v>269</v>
      </c>
      <c r="F519" s="61" t="s">
        <v>270</v>
      </c>
      <c r="G519" s="61" t="s">
        <v>271</v>
      </c>
      <c r="H519" s="57" t="s">
        <v>211</v>
      </c>
      <c r="I519" s="58" t="n">
        <f aca="false">'P9-007'!$N$35</f>
        <v>46328</v>
      </c>
      <c r="J519" s="58" t="n">
        <f aca="false">'P9-007'!$O$35</f>
        <v>46328</v>
      </c>
      <c r="K519" s="56" t="str">
        <f aca="false">IF(OR(L519="Y",LEFT('P9-007'!$T$35,1)="D"),"",IF(AND(ISNUMBER(J519),J519&lt;ASOF),"⚠ เลยกำหนด",IF(AND(ISNUMBER(I519),I519&lt;=ASOF+14,J519&gt;=ASOF-7),"ช่วงนี้","")))</f>
        <v>ช่วงนี้</v>
      </c>
      <c r="L519" s="59"/>
      <c r="M519" s="60"/>
    </row>
    <row r="520" customFormat="false" ht="15" hidden="false" customHeight="false" outlineLevel="0" collapsed="false">
      <c r="A520" s="54" t="s">
        <v>66</v>
      </c>
      <c r="B520" s="55" t="s">
        <v>476</v>
      </c>
      <c r="C520" s="56" t="s">
        <v>477</v>
      </c>
      <c r="D520" s="57" t="s">
        <v>68</v>
      </c>
      <c r="E520" s="57" t="s">
        <v>272</v>
      </c>
      <c r="F520" s="55" t="s">
        <v>273</v>
      </c>
      <c r="G520" s="55" t="s">
        <v>274</v>
      </c>
      <c r="H520" s="57" t="s">
        <v>211</v>
      </c>
      <c r="I520" s="58" t="n">
        <f aca="false">'P9-007'!$N$36</f>
        <v>46328</v>
      </c>
      <c r="J520" s="58" t="n">
        <f aca="false">'P9-007'!$O$36</f>
        <v>46328</v>
      </c>
      <c r="K520" s="56" t="str">
        <f aca="false">IF(OR(L520="Y",LEFT('P9-007'!$T$36,1)="D"),"",IF(AND(ISNUMBER(J520),J520&lt;ASOF),"⚠ เลยกำหนด",IF(AND(ISNUMBER(I520),I520&lt;=ASOF+14,J520&gt;=ASOF-7),"ช่วงนี้","")))</f>
        <v>ช่วงนี้</v>
      </c>
      <c r="L520" s="59"/>
      <c r="M520" s="60"/>
    </row>
    <row r="521" customFormat="false" ht="15" hidden="false" customHeight="false" outlineLevel="0" collapsed="false">
      <c r="A521" s="54" t="s">
        <v>66</v>
      </c>
      <c r="B521" s="55" t="s">
        <v>476</v>
      </c>
      <c r="C521" s="56" t="s">
        <v>477</v>
      </c>
      <c r="D521" s="57" t="s">
        <v>68</v>
      </c>
      <c r="E521" s="57" t="s">
        <v>275</v>
      </c>
      <c r="F521" s="55" t="s">
        <v>276</v>
      </c>
      <c r="G521" s="55" t="s">
        <v>277</v>
      </c>
      <c r="H521" s="57" t="s">
        <v>211</v>
      </c>
      <c r="I521" s="58" t="n">
        <f aca="false">'P9-007'!$N$37</f>
        <v>46328</v>
      </c>
      <c r="J521" s="58" t="n">
        <f aca="false">'P9-007'!$O$37</f>
        <v>46328</v>
      </c>
      <c r="K521" s="56" t="str">
        <f aca="false">IF(OR(L521="Y",LEFT('P9-007'!$T$37,1)="D"),"",IF(AND(ISNUMBER(J521),J521&lt;ASOF),"⚠ เลยกำหนด",IF(AND(ISNUMBER(I521),I521&lt;=ASOF+14,J521&gt;=ASOF-7),"ช่วงนี้","")))</f>
        <v>ช่วงนี้</v>
      </c>
      <c r="L521" s="59"/>
      <c r="M521" s="60"/>
    </row>
    <row r="522" customFormat="false" ht="15" hidden="false" customHeight="false" outlineLevel="0" collapsed="false">
      <c r="A522" s="54" t="s">
        <v>66</v>
      </c>
      <c r="B522" s="55" t="s">
        <v>476</v>
      </c>
      <c r="C522" s="56" t="s">
        <v>477</v>
      </c>
      <c r="D522" s="57" t="s">
        <v>68</v>
      </c>
      <c r="E522" s="57" t="s">
        <v>278</v>
      </c>
      <c r="F522" s="55" t="s">
        <v>279</v>
      </c>
      <c r="G522" s="55" t="s">
        <v>280</v>
      </c>
      <c r="H522" s="57" t="s">
        <v>211</v>
      </c>
      <c r="I522" s="58" t="n">
        <f aca="false">'P9-007'!$N$38</f>
        <v>46328</v>
      </c>
      <c r="J522" s="58" t="n">
        <f aca="false">'P9-007'!$O$38</f>
        <v>46328</v>
      </c>
      <c r="K522" s="56" t="str">
        <f aca="false">IF(OR(L522="Y",LEFT('P9-007'!$T$38,1)="D"),"",IF(AND(ISNUMBER(J522),J522&lt;ASOF),"⚠ เลยกำหนด",IF(AND(ISNUMBER(I522),I522&lt;=ASOF+14,J522&gt;=ASOF-7),"ช่วงนี้","")))</f>
        <v>ช่วงนี้</v>
      </c>
      <c r="L522" s="59"/>
      <c r="M522" s="60"/>
    </row>
    <row r="523" customFormat="false" ht="15" hidden="false" customHeight="false" outlineLevel="0" collapsed="false">
      <c r="A523" s="54" t="s">
        <v>66</v>
      </c>
      <c r="B523" s="55" t="s">
        <v>476</v>
      </c>
      <c r="C523" s="56" t="s">
        <v>477</v>
      </c>
      <c r="D523" s="57" t="s">
        <v>68</v>
      </c>
      <c r="E523" s="57" t="s">
        <v>281</v>
      </c>
      <c r="F523" s="55" t="s">
        <v>282</v>
      </c>
      <c r="G523" s="55" t="s">
        <v>283</v>
      </c>
      <c r="H523" s="57" t="s">
        <v>211</v>
      </c>
      <c r="I523" s="58" t="n">
        <f aca="false">'P9-007'!$N$40</f>
        <v>46328</v>
      </c>
      <c r="J523" s="58" t="n">
        <f aca="false">'P9-007'!$O$40</f>
        <v>46328</v>
      </c>
      <c r="K523" s="56" t="str">
        <f aca="false">IF(OR(L523="Y",LEFT('P9-007'!$T$40,1)="D"),"",IF(AND(ISNUMBER(J523),J523&lt;ASOF),"⚠ เลยกำหนด",IF(AND(ISNUMBER(I523),I523&lt;=ASOF+14,J523&gt;=ASOF-7),"ช่วงนี้","")))</f>
        <v>ช่วงนี้</v>
      </c>
      <c r="L523" s="59"/>
      <c r="M523" s="60"/>
    </row>
    <row r="524" customFormat="false" ht="15" hidden="false" customHeight="false" outlineLevel="0" collapsed="false">
      <c r="A524" s="54" t="s">
        <v>66</v>
      </c>
      <c r="B524" s="55" t="s">
        <v>476</v>
      </c>
      <c r="C524" s="56" t="s">
        <v>477</v>
      </c>
      <c r="D524" s="57" t="s">
        <v>68</v>
      </c>
      <c r="E524" s="57" t="s">
        <v>284</v>
      </c>
      <c r="F524" s="55" t="s">
        <v>285</v>
      </c>
      <c r="G524" s="61" t="s">
        <v>286</v>
      </c>
      <c r="H524" s="57" t="s">
        <v>211</v>
      </c>
      <c r="I524" s="58" t="n">
        <f aca="false">'P9-007'!$N$41</f>
        <v>46328</v>
      </c>
      <c r="J524" s="58" t="n">
        <f aca="false">'P9-007'!$O$41</f>
        <v>46328</v>
      </c>
      <c r="K524" s="56" t="str">
        <f aca="false">IF(OR(L524="Y",LEFT('P9-007'!$T$41,1)="D"),"",IF(AND(ISNUMBER(J524),J524&lt;ASOF),"⚠ เลยกำหนด",IF(AND(ISNUMBER(I524),I524&lt;=ASOF+14,J524&gt;=ASOF-7),"ช่วงนี้","")))</f>
        <v>ช่วงนี้</v>
      </c>
      <c r="L524" s="59"/>
      <c r="M524" s="60"/>
    </row>
    <row r="525" customFormat="false" ht="15" hidden="false" customHeight="false" outlineLevel="0" collapsed="false">
      <c r="A525" s="54" t="s">
        <v>66</v>
      </c>
      <c r="B525" s="55" t="s">
        <v>476</v>
      </c>
      <c r="C525" s="56" t="s">
        <v>477</v>
      </c>
      <c r="D525" s="57" t="s">
        <v>68</v>
      </c>
      <c r="E525" s="57" t="s">
        <v>287</v>
      </c>
      <c r="F525" s="55" t="s">
        <v>288</v>
      </c>
      <c r="G525" s="61" t="s">
        <v>289</v>
      </c>
      <c r="H525" s="57" t="s">
        <v>211</v>
      </c>
      <c r="I525" s="58" t="n">
        <f aca="false">'P9-007'!$N$42</f>
        <v>46328</v>
      </c>
      <c r="J525" s="58" t="n">
        <f aca="false">'P9-007'!$O$42</f>
        <v>46328</v>
      </c>
      <c r="K525" s="56" t="str">
        <f aca="false">IF(OR(L525="Y",LEFT('P9-007'!$T$42,1)="D"),"",IF(AND(ISNUMBER(J525),J525&lt;ASOF),"⚠ เลยกำหนด",IF(AND(ISNUMBER(I525),I525&lt;=ASOF+14,J525&gt;=ASOF-7),"ช่วงนี้","")))</f>
        <v>ช่วงนี้</v>
      </c>
      <c r="L525" s="59"/>
      <c r="M525" s="60"/>
    </row>
    <row r="526" customFormat="false" ht="15" hidden="false" customHeight="false" outlineLevel="0" collapsed="false">
      <c r="A526" s="54" t="s">
        <v>66</v>
      </c>
      <c r="B526" s="55" t="s">
        <v>476</v>
      </c>
      <c r="C526" s="56" t="s">
        <v>477</v>
      </c>
      <c r="D526" s="57" t="s">
        <v>68</v>
      </c>
      <c r="E526" s="57" t="s">
        <v>290</v>
      </c>
      <c r="F526" s="55" t="s">
        <v>291</v>
      </c>
      <c r="G526" s="55" t="s">
        <v>292</v>
      </c>
      <c r="H526" s="57" t="s">
        <v>211</v>
      </c>
      <c r="I526" s="58" t="n">
        <f aca="false">'P9-007'!$N$44</f>
        <v>46328</v>
      </c>
      <c r="J526" s="58" t="n">
        <f aca="false">'P9-007'!$O$44</f>
        <v>46328</v>
      </c>
      <c r="K526" s="56" t="str">
        <f aca="false">IF(OR(L526="Y",LEFT('P9-007'!$T$44,1)="D"),"",IF(AND(ISNUMBER(J526),J526&lt;ASOF),"⚠ เลยกำหนด",IF(AND(ISNUMBER(I526),I526&lt;=ASOF+14,J526&gt;=ASOF-7),"ช่วงนี้","")))</f>
        <v>ช่วงนี้</v>
      </c>
      <c r="L526" s="59"/>
      <c r="M526" s="60"/>
    </row>
    <row r="527" customFormat="false" ht="15" hidden="false" customHeight="false" outlineLevel="0" collapsed="false">
      <c r="A527" s="54" t="s">
        <v>66</v>
      </c>
      <c r="B527" s="55" t="s">
        <v>476</v>
      </c>
      <c r="C527" s="56" t="s">
        <v>477</v>
      </c>
      <c r="D527" s="57" t="s">
        <v>68</v>
      </c>
      <c r="E527" s="57" t="s">
        <v>293</v>
      </c>
      <c r="F527" s="55" t="s">
        <v>294</v>
      </c>
      <c r="G527" s="55" t="s">
        <v>295</v>
      </c>
      <c r="H527" s="57" t="s">
        <v>211</v>
      </c>
      <c r="I527" s="58" t="n">
        <f aca="false">'P9-007'!$N$45</f>
        <v>46328</v>
      </c>
      <c r="J527" s="58" t="n">
        <f aca="false">'P9-007'!$O$45</f>
        <v>46328</v>
      </c>
      <c r="K527" s="56" t="str">
        <f aca="false">IF(OR(L527="Y",LEFT('P9-007'!$T$45,1)="D"),"",IF(AND(ISNUMBER(J527),J527&lt;ASOF),"⚠ เลยกำหนด",IF(AND(ISNUMBER(I527),I527&lt;=ASOF+14,J527&gt;=ASOF-7),"ช่วงนี้","")))</f>
        <v>ช่วงนี้</v>
      </c>
      <c r="L527" s="59"/>
      <c r="M527" s="60"/>
    </row>
    <row r="528" customFormat="false" ht="15" hidden="false" customHeight="false" outlineLevel="0" collapsed="false">
      <c r="A528" s="54" t="s">
        <v>66</v>
      </c>
      <c r="B528" s="55" t="s">
        <v>476</v>
      </c>
      <c r="C528" s="56" t="s">
        <v>477</v>
      </c>
      <c r="D528" s="57" t="s">
        <v>68</v>
      </c>
      <c r="E528" s="57" t="s">
        <v>296</v>
      </c>
      <c r="F528" s="55" t="s">
        <v>297</v>
      </c>
      <c r="G528" s="55" t="s">
        <v>298</v>
      </c>
      <c r="H528" s="57" t="s">
        <v>211</v>
      </c>
      <c r="I528" s="58" t="n">
        <f aca="false">'P9-007'!$N$46</f>
        <v>46328</v>
      </c>
      <c r="J528" s="58" t="n">
        <f aca="false">'P9-007'!$O$46</f>
        <v>46328</v>
      </c>
      <c r="K528" s="56" t="str">
        <f aca="false">IF(OR(L528="Y",LEFT('P9-007'!$T$46,1)="D"),"",IF(AND(ISNUMBER(J528),J528&lt;ASOF),"⚠ เลยกำหนด",IF(AND(ISNUMBER(I528),I528&lt;=ASOF+14,J528&gt;=ASOF-7),"ช่วงนี้","")))</f>
        <v>ช่วงนี้</v>
      </c>
      <c r="L528" s="59"/>
      <c r="M528" s="60"/>
    </row>
    <row r="529" customFormat="false" ht="15" hidden="false" customHeight="false" outlineLevel="0" collapsed="false">
      <c r="A529" s="54" t="s">
        <v>66</v>
      </c>
      <c r="B529" s="55" t="s">
        <v>476</v>
      </c>
      <c r="C529" s="56" t="s">
        <v>477</v>
      </c>
      <c r="D529" s="57" t="s">
        <v>68</v>
      </c>
      <c r="E529" s="57" t="s">
        <v>299</v>
      </c>
      <c r="F529" s="55" t="s">
        <v>300</v>
      </c>
      <c r="G529" s="55" t="s">
        <v>301</v>
      </c>
      <c r="H529" s="57" t="s">
        <v>211</v>
      </c>
      <c r="I529" s="58" t="str">
        <f aca="false">'P9-007'!$N$53</f>
        <v/>
      </c>
      <c r="J529" s="58" t="str">
        <f aca="false">'P9-007'!$O$53</f>
        <v/>
      </c>
      <c r="K529" s="56" t="str">
        <f aca="false">IF(OR(L529="Y",LEFT('P9-007'!$T$53,1)="D"),"",IF(AND(ISNUMBER(J529),J529&lt;ASOF),"⚠ เลยกำหนด",IF(AND(ISNUMBER(I529),I529&lt;=ASOF+14,J529&gt;=ASOF-7),"ช่วงนี้","")))</f>
        <v/>
      </c>
      <c r="L529" s="59"/>
      <c r="M529" s="60"/>
    </row>
    <row r="530" customFormat="false" ht="15" hidden="false" customHeight="false" outlineLevel="0" collapsed="false">
      <c r="A530" s="54" t="s">
        <v>66</v>
      </c>
      <c r="B530" s="55" t="s">
        <v>476</v>
      </c>
      <c r="C530" s="56" t="s">
        <v>477</v>
      </c>
      <c r="D530" s="57" t="s">
        <v>68</v>
      </c>
      <c r="E530" s="57" t="s">
        <v>302</v>
      </c>
      <c r="F530" s="55" t="s">
        <v>303</v>
      </c>
      <c r="G530" s="55" t="s">
        <v>304</v>
      </c>
      <c r="H530" s="57" t="s">
        <v>211</v>
      </c>
      <c r="I530" s="58" t="str">
        <f aca="false">'P9-007'!$N$54</f>
        <v/>
      </c>
      <c r="J530" s="58" t="str">
        <f aca="false">'P9-007'!$O$54</f>
        <v/>
      </c>
      <c r="K530" s="56" t="str">
        <f aca="false">IF(OR(L530="Y",LEFT('P9-007'!$T$54,1)="D"),"",IF(AND(ISNUMBER(J530),J530&lt;ASOF),"⚠ เลยกำหนด",IF(AND(ISNUMBER(I530),I530&lt;=ASOF+14,J530&gt;=ASOF-7),"ช่วงนี้","")))</f>
        <v/>
      </c>
      <c r="L530" s="59"/>
      <c r="M530" s="60"/>
    </row>
    <row r="531" customFormat="false" ht="15" hidden="false" customHeight="false" outlineLevel="0" collapsed="false">
      <c r="A531" s="54" t="s">
        <v>66</v>
      </c>
      <c r="B531" s="55" t="s">
        <v>476</v>
      </c>
      <c r="C531" s="56" t="s">
        <v>477</v>
      </c>
      <c r="D531" s="57" t="s">
        <v>68</v>
      </c>
      <c r="E531" s="57" t="s">
        <v>305</v>
      </c>
      <c r="F531" s="55" t="s">
        <v>306</v>
      </c>
      <c r="G531" s="55" t="s">
        <v>307</v>
      </c>
      <c r="H531" s="56" t="str">
        <f aca="false">IF(COUNTIFS(SITE_ST,"P9-007",SITE_TYPE,"?*")&gt;0,"ตามจุดติดตั้ง →","0/100")</f>
        <v>ตามจุดติดตั้ง →</v>
      </c>
      <c r="I531" s="58" t="n">
        <f aca="false">'P9-007'!$N$63</f>
        <v>46328</v>
      </c>
      <c r="J531" s="58" t="n">
        <f aca="false">'P9-007'!$O$63</f>
        <v>46329</v>
      </c>
      <c r="K531" s="56" t="str">
        <f aca="false">IF(OR(L531="Y",LEFT('P9-007'!$T$63,1)="D"),"",IF(AND(ISNUMBER(J531),J531&lt;ASOF),"⚠ เลยกำหนด",IF(AND(ISNUMBER(I531),I531&lt;=ASOF+14,J531&gt;=ASOF-7),"ช่วงนี้","")))</f>
        <v>ช่วงนี้</v>
      </c>
      <c r="L531" s="59"/>
      <c r="M531" s="60"/>
    </row>
    <row r="532" customFormat="false" ht="15" hidden="false" customHeight="false" outlineLevel="0" collapsed="false">
      <c r="A532" s="54" t="s">
        <v>66</v>
      </c>
      <c r="B532" s="55" t="s">
        <v>476</v>
      </c>
      <c r="C532" s="56" t="s">
        <v>477</v>
      </c>
      <c r="D532" s="57" t="s">
        <v>68</v>
      </c>
      <c r="E532" s="57" t="s">
        <v>308</v>
      </c>
      <c r="F532" s="55" t="s">
        <v>309</v>
      </c>
      <c r="G532" s="55" t="s">
        <v>310</v>
      </c>
      <c r="H532" s="57" t="s">
        <v>211</v>
      </c>
      <c r="I532" s="58" t="n">
        <f aca="false">'P9-007'!$N$64</f>
        <v>46328</v>
      </c>
      <c r="J532" s="58" t="n">
        <f aca="false">'P9-007'!$O$64</f>
        <v>46331</v>
      </c>
      <c r="K532" s="56" t="str">
        <f aca="false">IF(OR(L532="Y",LEFT('P9-007'!$T$64,1)="D"),"",IF(AND(ISNUMBER(J532),J532&lt;ASOF),"⚠ เลยกำหนด",IF(AND(ISNUMBER(I532),I532&lt;=ASOF+14,J532&gt;=ASOF-7),"ช่วงนี้","")))</f>
        <v>ช่วงนี้</v>
      </c>
      <c r="L532" s="59"/>
      <c r="M532" s="60"/>
    </row>
    <row r="533" customFormat="false" ht="15" hidden="false" customHeight="false" outlineLevel="0" collapsed="false">
      <c r="A533" s="54" t="s">
        <v>66</v>
      </c>
      <c r="B533" s="55" t="s">
        <v>476</v>
      </c>
      <c r="C533" s="56" t="s">
        <v>477</v>
      </c>
      <c r="D533" s="57" t="s">
        <v>68</v>
      </c>
      <c r="E533" s="57" t="s">
        <v>311</v>
      </c>
      <c r="F533" s="55" t="s">
        <v>312</v>
      </c>
      <c r="G533" s="55" t="s">
        <v>313</v>
      </c>
      <c r="H533" s="56" t="str">
        <f aca="false">IF(COUNTIFS(SITE_ST,"P9-007",SITE_TYPE,"?*")&gt;0,"ตามจุดติดตั้ง →","50/50")</f>
        <v>ตามจุดติดตั้ง →</v>
      </c>
      <c r="I533" s="58" t="n">
        <f aca="false">'P9-007'!$N$65</f>
        <v>46329</v>
      </c>
      <c r="J533" s="58" t="n">
        <f aca="false">'P9-007'!$O$65</f>
        <v>46335</v>
      </c>
      <c r="K533" s="56" t="str">
        <f aca="false">IF(OR(L533="Y",LEFT('P9-007'!$T$65,1)="D"),"",IF(AND(ISNUMBER(J533),J533&lt;ASOF),"⚠ เลยกำหนด",IF(AND(ISNUMBER(I533),I533&lt;=ASOF+14,J533&gt;=ASOF-7),"ช่วงนี้","")))</f>
        <v>ช่วงนี้</v>
      </c>
      <c r="L533" s="59"/>
      <c r="M533" s="60"/>
    </row>
    <row r="534" customFormat="false" ht="15" hidden="false" customHeight="false" outlineLevel="0" collapsed="false">
      <c r="A534" s="54" t="s">
        <v>66</v>
      </c>
      <c r="B534" s="55" t="s">
        <v>476</v>
      </c>
      <c r="C534" s="56" t="s">
        <v>477</v>
      </c>
      <c r="D534" s="57" t="s">
        <v>68</v>
      </c>
      <c r="E534" s="57" t="s">
        <v>314</v>
      </c>
      <c r="F534" s="55" t="s">
        <v>315</v>
      </c>
      <c r="G534" s="61" t="s">
        <v>316</v>
      </c>
      <c r="H534" s="56" t="str">
        <f aca="false">IF(COUNTIFS(SITE_ST,"P9-007",SITE_TYPE,"?*")&gt;0,"ตามจุดติดตั้ง →","50/50")</f>
        <v>ตามจุดติดตั้ง →</v>
      </c>
      <c r="I534" s="58" t="n">
        <f aca="false">'P9-007'!$N$66</f>
        <v>46333</v>
      </c>
      <c r="J534" s="58" t="n">
        <f aca="false">'P9-007'!$O$66</f>
        <v>46339</v>
      </c>
      <c r="K534" s="56" t="str">
        <f aca="false">IF(OR(L534="Y",LEFT('P9-007'!$T$66,1)="D"),"",IF(AND(ISNUMBER(J534),J534&lt;ASOF),"⚠ เลยกำหนด",IF(AND(ISNUMBER(I534),I534&lt;=ASOF+14,J534&gt;=ASOF-7),"ช่วงนี้","")))</f>
        <v>ช่วงนี้</v>
      </c>
      <c r="L534" s="59"/>
      <c r="M534" s="60"/>
    </row>
    <row r="535" customFormat="false" ht="15" hidden="false" customHeight="false" outlineLevel="0" collapsed="false">
      <c r="A535" s="54" t="s">
        <v>66</v>
      </c>
      <c r="B535" s="55" t="s">
        <v>476</v>
      </c>
      <c r="C535" s="56" t="s">
        <v>477</v>
      </c>
      <c r="D535" s="57" t="s">
        <v>68</v>
      </c>
      <c r="E535" s="57" t="s">
        <v>317</v>
      </c>
      <c r="F535" s="61" t="s">
        <v>318</v>
      </c>
      <c r="G535" s="61" t="s">
        <v>319</v>
      </c>
      <c r="H535" s="56" t="str">
        <f aca="false">IF(COUNTIFS(SITE_ST,"P9-007",SITE_TYPE,"?*")&gt;0,"ตามจุดติดตั้ง →","50/50")</f>
        <v>ตามจุดติดตั้ง →</v>
      </c>
      <c r="I535" s="58" t="n">
        <f aca="false">'P9-007'!$N$67</f>
        <v>46336</v>
      </c>
      <c r="J535" s="58" t="n">
        <f aca="false">'P9-007'!$O$67</f>
        <v>46340</v>
      </c>
      <c r="K535" s="56" t="str">
        <f aca="false">IF(OR(L535="Y",LEFT('P9-007'!$T$67,1)="D"),"",IF(AND(ISNUMBER(J535),J535&lt;ASOF),"⚠ เลยกำหนด",IF(AND(ISNUMBER(I535),I535&lt;=ASOF+14,J535&gt;=ASOF-7),"ช่วงนี้","")))</f>
        <v>ช่วงนี้</v>
      </c>
      <c r="L535" s="59"/>
      <c r="M535" s="60"/>
    </row>
    <row r="536" customFormat="false" ht="15" hidden="false" customHeight="false" outlineLevel="0" collapsed="false">
      <c r="A536" s="54" t="s">
        <v>66</v>
      </c>
      <c r="B536" s="55" t="s">
        <v>476</v>
      </c>
      <c r="C536" s="56" t="s">
        <v>477</v>
      </c>
      <c r="D536" s="57" t="s">
        <v>68</v>
      </c>
      <c r="E536" s="57" t="s">
        <v>320</v>
      </c>
      <c r="F536" s="55" t="s">
        <v>321</v>
      </c>
      <c r="G536" s="55" t="s">
        <v>322</v>
      </c>
      <c r="H536" s="56" t="str">
        <f aca="false">IF(COUNTIFS(SITE_ST,"P9-007",SITE_TYPE,"?*")&gt;0,"ตามจุดติดตั้ง →","0/100")</f>
        <v>ตามจุดติดตั้ง →</v>
      </c>
      <c r="I536" s="58" t="n">
        <f aca="false">'P9-007'!$N$68</f>
        <v>46338</v>
      </c>
      <c r="J536" s="58" t="n">
        <f aca="false">'P9-007'!$O$68</f>
        <v>46341</v>
      </c>
      <c r="K536" s="56" t="str">
        <f aca="false">IF(OR(L536="Y",LEFT('P9-007'!$T$68,1)="D"),"",IF(AND(ISNUMBER(J536),J536&lt;ASOF),"⚠ เลยกำหนด",IF(AND(ISNUMBER(I536),I536&lt;=ASOF+14,J536&gt;=ASOF-7),"ช่วงนี้","")))</f>
        <v>ช่วงนี้</v>
      </c>
      <c r="L536" s="59"/>
      <c r="M536" s="60"/>
    </row>
    <row r="537" customFormat="false" ht="15" hidden="false" customHeight="false" outlineLevel="0" collapsed="false">
      <c r="A537" s="54" t="s">
        <v>66</v>
      </c>
      <c r="B537" s="55" t="s">
        <v>476</v>
      </c>
      <c r="C537" s="56" t="s">
        <v>477</v>
      </c>
      <c r="D537" s="57" t="s">
        <v>68</v>
      </c>
      <c r="E537" s="57" t="s">
        <v>323</v>
      </c>
      <c r="F537" s="61" t="s">
        <v>324</v>
      </c>
      <c r="G537" s="55" t="s">
        <v>325</v>
      </c>
      <c r="H537" s="56" t="str">
        <f aca="false">IF(COUNTIFS(SITE_ST,"P9-007",SITE_TYPE,"?*")&gt;0,"ตามจุดติดตั้ง →","0/100")</f>
        <v>ตามจุดติดตั้ง →</v>
      </c>
      <c r="I537" s="58" t="n">
        <f aca="false">'P9-007'!$N$69</f>
        <v>46340</v>
      </c>
      <c r="J537" s="58" t="n">
        <f aca="false">'P9-007'!$O$69</f>
        <v>46341</v>
      </c>
      <c r="K537" s="56" t="str">
        <f aca="false">IF(OR(L537="Y",LEFT('P9-007'!$T$69,1)="D"),"",IF(AND(ISNUMBER(J537),J537&lt;ASOF),"⚠ เลยกำหนด",IF(AND(ISNUMBER(I537),I537&lt;=ASOF+14,J537&gt;=ASOF-7),"ช่วงนี้","")))</f>
        <v>ช่วงนี้</v>
      </c>
      <c r="L537" s="59"/>
      <c r="M537" s="60"/>
    </row>
    <row r="538" customFormat="false" ht="15" hidden="false" customHeight="false" outlineLevel="0" collapsed="false">
      <c r="A538" s="54" t="s">
        <v>66</v>
      </c>
      <c r="B538" s="55" t="s">
        <v>476</v>
      </c>
      <c r="C538" s="56" t="s">
        <v>477</v>
      </c>
      <c r="D538" s="57" t="s">
        <v>68</v>
      </c>
      <c r="E538" s="57" t="s">
        <v>326</v>
      </c>
      <c r="F538" s="55" t="s">
        <v>327</v>
      </c>
      <c r="G538" s="61" t="s">
        <v>328</v>
      </c>
      <c r="H538" s="56" t="str">
        <f aca="false">IF(COUNTIFS(SITE_ST,"P9-007",SITE_TYPE,"?*")&gt;0,"ตามจุดติดตั้ง →","50/50")</f>
        <v>ตามจุดติดตั้ง →</v>
      </c>
      <c r="I538" s="58" t="n">
        <f aca="false">'P9-007'!$N$71</f>
        <v>46343</v>
      </c>
      <c r="J538" s="58" t="n">
        <f aca="false">'P9-007'!$O$71</f>
        <v>46344</v>
      </c>
      <c r="K538" s="56" t="str">
        <f aca="false">IF(OR(L538="Y",LEFT('P9-007'!$T$71,1)="D"),"",IF(AND(ISNUMBER(J538),J538&lt;ASOF),"⚠ เลยกำหนด",IF(AND(ISNUMBER(I538),I538&lt;=ASOF+14,J538&gt;=ASOF-7),"ช่วงนี้","")))</f>
        <v/>
      </c>
      <c r="L538" s="59"/>
      <c r="M538" s="60"/>
    </row>
    <row r="539" customFormat="false" ht="15" hidden="false" customHeight="false" outlineLevel="0" collapsed="false">
      <c r="A539" s="54" t="s">
        <v>66</v>
      </c>
      <c r="B539" s="55" t="s">
        <v>476</v>
      </c>
      <c r="C539" s="56" t="s">
        <v>477</v>
      </c>
      <c r="D539" s="57" t="s">
        <v>68</v>
      </c>
      <c r="E539" s="57" t="s">
        <v>329</v>
      </c>
      <c r="F539" s="55" t="s">
        <v>330</v>
      </c>
      <c r="G539" s="55" t="s">
        <v>331</v>
      </c>
      <c r="H539" s="56" t="str">
        <f aca="false">IF(COUNTIFS(SITE_ST,"P9-007",SITE_TYPE,"?*")&gt;0,"ตามจุดติดตั้ง →","50/50")</f>
        <v>ตามจุดติดตั้ง →</v>
      </c>
      <c r="I539" s="58" t="n">
        <f aca="false">'P9-007'!$N$72</f>
        <v>46344</v>
      </c>
      <c r="J539" s="58" t="n">
        <f aca="false">'P9-007'!$O$72</f>
        <v>46345</v>
      </c>
      <c r="K539" s="56" t="str">
        <f aca="false">IF(OR(L539="Y",LEFT('P9-007'!$T$72,1)="D"),"",IF(AND(ISNUMBER(J539),J539&lt;ASOF),"⚠ เลยกำหนด",IF(AND(ISNUMBER(I539),I539&lt;=ASOF+14,J539&gt;=ASOF-7),"ช่วงนี้","")))</f>
        <v/>
      </c>
      <c r="L539" s="59"/>
      <c r="M539" s="60"/>
    </row>
    <row r="540" customFormat="false" ht="15" hidden="false" customHeight="false" outlineLevel="0" collapsed="false">
      <c r="A540" s="54" t="s">
        <v>66</v>
      </c>
      <c r="B540" s="55" t="s">
        <v>476</v>
      </c>
      <c r="C540" s="56" t="s">
        <v>477</v>
      </c>
      <c r="D540" s="57" t="s">
        <v>68</v>
      </c>
      <c r="E540" s="57" t="s">
        <v>332</v>
      </c>
      <c r="F540" s="55" t="s">
        <v>333</v>
      </c>
      <c r="G540" s="55" t="s">
        <v>334</v>
      </c>
      <c r="H540" s="56" t="str">
        <f aca="false">IF(COUNTIFS(SITE_ST,"P9-007",SITE_TYPE,"?*")&gt;0,"ตามจุดติดตั้ง →","0/100")</f>
        <v>ตามจุดติดตั้ง →</v>
      </c>
      <c r="I540" s="58" t="n">
        <f aca="false">'P9-007'!$N$73</f>
        <v>46344</v>
      </c>
      <c r="J540" s="58" t="n">
        <f aca="false">'P9-007'!$O$73</f>
        <v>46345</v>
      </c>
      <c r="K540" s="56" t="str">
        <f aca="false">IF(OR(L540="Y",LEFT('P9-007'!$T$73,1)="D"),"",IF(AND(ISNUMBER(J540),J540&lt;ASOF),"⚠ เลยกำหนด",IF(AND(ISNUMBER(I540),I540&lt;=ASOF+14,J540&gt;=ASOF-7),"ช่วงนี้","")))</f>
        <v/>
      </c>
      <c r="L540" s="59"/>
      <c r="M540" s="60"/>
    </row>
    <row r="541" customFormat="false" ht="15" hidden="false" customHeight="false" outlineLevel="0" collapsed="false">
      <c r="A541" s="54" t="s">
        <v>66</v>
      </c>
      <c r="B541" s="55" t="s">
        <v>476</v>
      </c>
      <c r="C541" s="56" t="s">
        <v>477</v>
      </c>
      <c r="D541" s="57" t="s">
        <v>68</v>
      </c>
      <c r="E541" s="57" t="s">
        <v>335</v>
      </c>
      <c r="F541" s="55" t="s">
        <v>336</v>
      </c>
      <c r="G541" s="61" t="s">
        <v>337</v>
      </c>
      <c r="H541" s="56" t="str">
        <f aca="false">IF(COUNTIFS(SITE_ST,"P9-007",SITE_TYPE,"?*")&gt;0,"ตามจุดติดตั้ง →","0/100")</f>
        <v>ตามจุดติดตั้ง →</v>
      </c>
      <c r="I541" s="58" t="n">
        <f aca="false">'P9-007'!$N$74</f>
        <v>46345</v>
      </c>
      <c r="J541" s="58" t="n">
        <f aca="false">'P9-007'!$O$74</f>
        <v>46346</v>
      </c>
      <c r="K541" s="56" t="str">
        <f aca="false">IF(OR(L541="Y",LEFT('P9-007'!$T$74,1)="D"),"",IF(AND(ISNUMBER(J541),J541&lt;ASOF),"⚠ เลยกำหนด",IF(AND(ISNUMBER(I541),I541&lt;=ASOF+14,J541&gt;=ASOF-7),"ช่วงนี้","")))</f>
        <v/>
      </c>
      <c r="L541" s="59"/>
      <c r="M541" s="60"/>
    </row>
    <row r="542" customFormat="false" ht="15" hidden="false" customHeight="false" outlineLevel="0" collapsed="false">
      <c r="A542" s="54" t="s">
        <v>66</v>
      </c>
      <c r="B542" s="55" t="s">
        <v>476</v>
      </c>
      <c r="C542" s="56" t="s">
        <v>477</v>
      </c>
      <c r="D542" s="57" t="s">
        <v>68</v>
      </c>
      <c r="E542" s="57" t="s">
        <v>338</v>
      </c>
      <c r="F542" s="61" t="s">
        <v>339</v>
      </c>
      <c r="G542" s="55" t="s">
        <v>340</v>
      </c>
      <c r="H542" s="56" t="str">
        <f aca="false">IF(COUNTIFS(SITE_ST,"P9-007",SITE_TYPE,"?*")&gt;0,"ตามจุดติดตั้ง →","0/100")</f>
        <v>ตามจุดติดตั้ง →</v>
      </c>
      <c r="I542" s="58" t="n">
        <f aca="false">'P9-007'!$N$75</f>
        <v>46345</v>
      </c>
      <c r="J542" s="58" t="n">
        <f aca="false">'P9-007'!$O$75</f>
        <v>46346</v>
      </c>
      <c r="K542" s="56" t="str">
        <f aca="false">IF(OR(L542="Y",LEFT('P9-007'!$T$75,1)="D"),"",IF(AND(ISNUMBER(J542),J542&lt;ASOF),"⚠ เลยกำหนด",IF(AND(ISNUMBER(I542),I542&lt;=ASOF+14,J542&gt;=ASOF-7),"ช่วงนี้","")))</f>
        <v/>
      </c>
      <c r="L542" s="59"/>
      <c r="M542" s="60"/>
    </row>
    <row r="543" customFormat="false" ht="15" hidden="false" customHeight="false" outlineLevel="0" collapsed="false">
      <c r="A543" s="54" t="s">
        <v>66</v>
      </c>
      <c r="B543" s="55" t="s">
        <v>476</v>
      </c>
      <c r="C543" s="56" t="s">
        <v>477</v>
      </c>
      <c r="D543" s="57" t="s">
        <v>68</v>
      </c>
      <c r="E543" s="57" t="s">
        <v>341</v>
      </c>
      <c r="F543" s="55" t="s">
        <v>342</v>
      </c>
      <c r="G543" s="55" t="s">
        <v>343</v>
      </c>
      <c r="H543" s="56" t="str">
        <f aca="false">IF(COUNTIFS(SITE_ST,"P9-007",SITE_TYPE,"?*")&gt;0,"ตามจุดติดตั้ง →","0/100")</f>
        <v>ตามจุดติดตั้ง →</v>
      </c>
      <c r="I543" s="58" t="n">
        <f aca="false">'P9-007'!$N$77</f>
        <v>46342</v>
      </c>
      <c r="J543" s="58" t="n">
        <f aca="false">'P9-007'!$O$77</f>
        <v>46344</v>
      </c>
      <c r="K543" s="56" t="str">
        <f aca="false">IF(OR(L543="Y",LEFT('P9-007'!$T$77,1)="D"),"",IF(AND(ISNUMBER(J543),J543&lt;ASOF),"⚠ เลยกำหนด",IF(AND(ISNUMBER(I543),I543&lt;=ASOF+14,J543&gt;=ASOF-7),"ช่วงนี้","")))</f>
        <v>ช่วงนี้</v>
      </c>
      <c r="L543" s="59"/>
      <c r="M543" s="60"/>
    </row>
    <row r="544" customFormat="false" ht="15" hidden="false" customHeight="false" outlineLevel="0" collapsed="false">
      <c r="A544" s="54" t="s">
        <v>66</v>
      </c>
      <c r="B544" s="55" t="s">
        <v>476</v>
      </c>
      <c r="C544" s="56" t="s">
        <v>477</v>
      </c>
      <c r="D544" s="57" t="s">
        <v>68</v>
      </c>
      <c r="E544" s="57" t="s">
        <v>344</v>
      </c>
      <c r="F544" s="55" t="s">
        <v>345</v>
      </c>
      <c r="G544" s="55" t="s">
        <v>346</v>
      </c>
      <c r="H544" s="56" t="str">
        <f aca="false">IF(COUNTIFS(SITE_ST,"P9-007",SITE_TYPE,"?*")&gt;0,"ตามจุดติดตั้ง →","50/50")</f>
        <v>ตามจุดติดตั้ง →</v>
      </c>
      <c r="I544" s="58" t="n">
        <f aca="false">'P9-007'!$N$78</f>
        <v>46343</v>
      </c>
      <c r="J544" s="58" t="n">
        <f aca="false">'P9-007'!$O$78</f>
        <v>46346</v>
      </c>
      <c r="K544" s="56" t="str">
        <f aca="false">IF(OR(L544="Y",LEFT('P9-007'!$T$78,1)="D"),"",IF(AND(ISNUMBER(J544),J544&lt;ASOF),"⚠ เลยกำหนด",IF(AND(ISNUMBER(I544),I544&lt;=ASOF+14,J544&gt;=ASOF-7),"ช่วงนี้","")))</f>
        <v/>
      </c>
      <c r="L544" s="59"/>
      <c r="M544" s="60"/>
    </row>
    <row r="545" customFormat="false" ht="15" hidden="false" customHeight="false" outlineLevel="0" collapsed="false">
      <c r="A545" s="54" t="s">
        <v>66</v>
      </c>
      <c r="B545" s="55" t="s">
        <v>476</v>
      </c>
      <c r="C545" s="56" t="s">
        <v>477</v>
      </c>
      <c r="D545" s="57" t="s">
        <v>68</v>
      </c>
      <c r="E545" s="57" t="s">
        <v>347</v>
      </c>
      <c r="F545" s="61" t="s">
        <v>348</v>
      </c>
      <c r="G545" s="55" t="s">
        <v>349</v>
      </c>
      <c r="H545" s="56" t="str">
        <f aca="false">IF(COUNTIFS(SITE_ST,"P9-007",SITE_TYPE,"?*")&gt;0,"ตามจุดติดตั้ง →","50/50")</f>
        <v>ตามจุดติดตั้ง →</v>
      </c>
      <c r="I545" s="58" t="n">
        <f aca="false">'P9-007'!$N$79</f>
        <v>46344</v>
      </c>
      <c r="J545" s="58" t="n">
        <f aca="false">'P9-007'!$O$79</f>
        <v>46347</v>
      </c>
      <c r="K545" s="56" t="str">
        <f aca="false">IF(OR(L545="Y",LEFT('P9-007'!$T$79,1)="D"),"",IF(AND(ISNUMBER(J545),J545&lt;ASOF),"⚠ เลยกำหนด",IF(AND(ISNUMBER(I545),I545&lt;=ASOF+14,J545&gt;=ASOF-7),"ช่วงนี้","")))</f>
        <v/>
      </c>
      <c r="L545" s="59"/>
      <c r="M545" s="60"/>
    </row>
    <row r="546" customFormat="false" ht="15" hidden="false" customHeight="false" outlineLevel="0" collapsed="false">
      <c r="A546" s="54" t="s">
        <v>66</v>
      </c>
      <c r="B546" s="55" t="s">
        <v>476</v>
      </c>
      <c r="C546" s="56" t="s">
        <v>477</v>
      </c>
      <c r="D546" s="57" t="s">
        <v>68</v>
      </c>
      <c r="E546" s="57" t="s">
        <v>350</v>
      </c>
      <c r="F546" s="61" t="s">
        <v>351</v>
      </c>
      <c r="G546" s="55" t="s">
        <v>352</v>
      </c>
      <c r="H546" s="56" t="str">
        <f aca="false">IF(COUNTIFS(SITE_ST,"P9-007",SITE_TYPE,"?*")&gt;0,"ตามจุดติดตั้ง →","0/100")</f>
        <v>ตามจุดติดตั้ง →</v>
      </c>
      <c r="I546" s="58" t="n">
        <f aca="false">'P9-007'!$N$80</f>
        <v>46346</v>
      </c>
      <c r="J546" s="58" t="n">
        <f aca="false">'P9-007'!$O$80</f>
        <v>46347</v>
      </c>
      <c r="K546" s="56" t="str">
        <f aca="false">IF(OR(L546="Y",LEFT('P9-007'!$T$80,1)="D"),"",IF(AND(ISNUMBER(J546),J546&lt;ASOF),"⚠ เลยกำหนด",IF(AND(ISNUMBER(I546),I546&lt;=ASOF+14,J546&gt;=ASOF-7),"ช่วงนี้","")))</f>
        <v/>
      </c>
      <c r="L546" s="59"/>
      <c r="M546" s="60"/>
    </row>
    <row r="547" customFormat="false" ht="15" hidden="false" customHeight="false" outlineLevel="0" collapsed="false">
      <c r="A547" s="54" t="s">
        <v>66</v>
      </c>
      <c r="B547" s="55" t="s">
        <v>476</v>
      </c>
      <c r="C547" s="56" t="s">
        <v>477</v>
      </c>
      <c r="D547" s="57" t="s">
        <v>68</v>
      </c>
      <c r="E547" s="57" t="s">
        <v>353</v>
      </c>
      <c r="F547" s="61" t="s">
        <v>354</v>
      </c>
      <c r="G547" s="55" t="s">
        <v>355</v>
      </c>
      <c r="H547" s="56" t="str">
        <f aca="false">IF(COUNTIFS(SITE_ST,"P9-007",SITE_TYPE,"?*")&gt;0,"ตามจุดติดตั้ง →","0/100")</f>
        <v>ตามจุดติดตั้ง →</v>
      </c>
      <c r="I547" s="58" t="n">
        <f aca="false">'P9-007'!$N$81</f>
        <v>46347</v>
      </c>
      <c r="J547" s="58" t="n">
        <f aca="false">'P9-007'!$O$81</f>
        <v>46347</v>
      </c>
      <c r="K547" s="56" t="str">
        <f aca="false">IF(OR(L547="Y",LEFT('P9-007'!$T$81,1)="D"),"",IF(AND(ISNUMBER(J547),J547&lt;ASOF),"⚠ เลยกำหนด",IF(AND(ISNUMBER(I547),I547&lt;=ASOF+14,J547&gt;=ASOF-7),"ช่วงนี้","")))</f>
        <v/>
      </c>
      <c r="L547" s="59"/>
      <c r="M547" s="60"/>
    </row>
    <row r="548" customFormat="false" ht="15" hidden="false" customHeight="false" outlineLevel="0" collapsed="false">
      <c r="A548" s="54" t="s">
        <v>66</v>
      </c>
      <c r="B548" s="55" t="s">
        <v>476</v>
      </c>
      <c r="C548" s="56" t="s">
        <v>477</v>
      </c>
      <c r="D548" s="57" t="s">
        <v>68</v>
      </c>
      <c r="E548" s="57" t="s">
        <v>356</v>
      </c>
      <c r="F548" s="55" t="s">
        <v>357</v>
      </c>
      <c r="G548" s="55" t="s">
        <v>358</v>
      </c>
      <c r="H548" s="57" t="s">
        <v>211</v>
      </c>
      <c r="I548" s="58" t="n">
        <f aca="false">'P9-007'!$N$83</f>
        <v>46345</v>
      </c>
      <c r="J548" s="58" t="n">
        <f aca="false">'P9-007'!$O$83</f>
        <v>46346</v>
      </c>
      <c r="K548" s="56" t="str">
        <f aca="false">IF(OR(L548="Y",LEFT('P9-007'!$T$83,1)="D"),"",IF(AND(ISNUMBER(J548),J548&lt;ASOF),"⚠ เลยกำหนด",IF(AND(ISNUMBER(I548),I548&lt;=ASOF+14,J548&gt;=ASOF-7),"ช่วงนี้","")))</f>
        <v/>
      </c>
      <c r="L548" s="59"/>
      <c r="M548" s="60"/>
    </row>
    <row r="549" customFormat="false" ht="15" hidden="false" customHeight="false" outlineLevel="0" collapsed="false">
      <c r="A549" s="54" t="s">
        <v>66</v>
      </c>
      <c r="B549" s="55" t="s">
        <v>476</v>
      </c>
      <c r="C549" s="56" t="s">
        <v>477</v>
      </c>
      <c r="D549" s="57" t="s">
        <v>68</v>
      </c>
      <c r="E549" s="57" t="s">
        <v>359</v>
      </c>
      <c r="F549" s="55" t="s">
        <v>360</v>
      </c>
      <c r="G549" s="55" t="s">
        <v>361</v>
      </c>
      <c r="H549" s="57" t="s">
        <v>211</v>
      </c>
      <c r="I549" s="58" t="n">
        <f aca="false">'P9-007'!$N$84</f>
        <v>46346</v>
      </c>
      <c r="J549" s="58" t="n">
        <f aca="false">'P9-007'!$O$84</f>
        <v>46347</v>
      </c>
      <c r="K549" s="56" t="str">
        <f aca="false">IF(OR(L549="Y",LEFT('P9-007'!$T$84,1)="D"),"",IF(AND(ISNUMBER(J549),J549&lt;ASOF),"⚠ เลยกำหนด",IF(AND(ISNUMBER(I549),I549&lt;=ASOF+14,J549&gt;=ASOF-7),"ช่วงนี้","")))</f>
        <v/>
      </c>
      <c r="L549" s="59"/>
      <c r="M549" s="60"/>
    </row>
    <row r="550" customFormat="false" ht="15" hidden="false" customHeight="false" outlineLevel="0" collapsed="false">
      <c r="A550" s="54" t="s">
        <v>66</v>
      </c>
      <c r="B550" s="55" t="s">
        <v>476</v>
      </c>
      <c r="C550" s="56" t="s">
        <v>477</v>
      </c>
      <c r="D550" s="57" t="s">
        <v>68</v>
      </c>
      <c r="E550" s="57" t="s">
        <v>362</v>
      </c>
      <c r="F550" s="61" t="s">
        <v>363</v>
      </c>
      <c r="G550" s="61" t="s">
        <v>364</v>
      </c>
      <c r="H550" s="56" t="s">
        <v>365</v>
      </c>
      <c r="I550" s="58" t="n">
        <f aca="false">'P9-007'!$N$86</f>
        <v>46343</v>
      </c>
      <c r="J550" s="58" t="n">
        <f aca="false">'P9-007'!$O$86</f>
        <v>46345</v>
      </c>
      <c r="K550" s="56" t="str">
        <f aca="false">IF(OR(L550="Y",LEFT('P9-007'!$T$86,1)="D"),"",IF(AND(ISNUMBER(J550),J550&lt;ASOF),"⚠ เลยกำหนด",IF(AND(ISNUMBER(I550),I550&lt;=ASOF+14,J550&gt;=ASOF-7),"ช่วงนี้","")))</f>
        <v/>
      </c>
      <c r="L550" s="59"/>
      <c r="M550" s="60"/>
    </row>
    <row r="551" customFormat="false" ht="15" hidden="false" customHeight="false" outlineLevel="0" collapsed="false">
      <c r="A551" s="54" t="s">
        <v>66</v>
      </c>
      <c r="B551" s="55" t="s">
        <v>476</v>
      </c>
      <c r="C551" s="56" t="s">
        <v>477</v>
      </c>
      <c r="D551" s="57" t="s">
        <v>68</v>
      </c>
      <c r="E551" s="57" t="s">
        <v>366</v>
      </c>
      <c r="F551" s="61" t="s">
        <v>367</v>
      </c>
      <c r="G551" s="61" t="s">
        <v>368</v>
      </c>
      <c r="H551" s="57" t="s">
        <v>369</v>
      </c>
      <c r="I551" s="58" t="n">
        <f aca="false">'P9-007'!$N$87</f>
        <v>46344</v>
      </c>
      <c r="J551" s="58" t="n">
        <f aca="false">'P9-007'!$O$87</f>
        <v>46346</v>
      </c>
      <c r="K551" s="56" t="str">
        <f aca="false">IF(OR(L551="Y",LEFT('P9-007'!$T$87,1)="D"),"",IF(AND(ISNUMBER(J551),J551&lt;ASOF),"⚠ เลยกำหนด",IF(AND(ISNUMBER(I551),I551&lt;=ASOF+14,J551&gt;=ASOF-7),"ช่วงนี้","")))</f>
        <v/>
      </c>
      <c r="L551" s="59"/>
      <c r="M551" s="60"/>
    </row>
    <row r="552" customFormat="false" ht="15" hidden="false" customHeight="false" outlineLevel="0" collapsed="false">
      <c r="A552" s="54" t="s">
        <v>66</v>
      </c>
      <c r="B552" s="55" t="s">
        <v>476</v>
      </c>
      <c r="C552" s="56" t="s">
        <v>477</v>
      </c>
      <c r="D552" s="57" t="s">
        <v>68</v>
      </c>
      <c r="E552" s="57" t="s">
        <v>370</v>
      </c>
      <c r="F552" s="55" t="s">
        <v>371</v>
      </c>
      <c r="G552" s="55" t="s">
        <v>372</v>
      </c>
      <c r="H552" s="57" t="s">
        <v>211</v>
      </c>
      <c r="I552" s="58" t="n">
        <f aca="false">'P9-007'!$N$88</f>
        <v>46345</v>
      </c>
      <c r="J552" s="58" t="n">
        <f aca="false">'P9-007'!$O$88</f>
        <v>46346</v>
      </c>
      <c r="K552" s="56" t="str">
        <f aca="false">IF(OR(L552="Y",LEFT('P9-007'!$T$88,1)="D"),"",IF(AND(ISNUMBER(J552),J552&lt;ASOF),"⚠ เลยกำหนด",IF(AND(ISNUMBER(I552),I552&lt;=ASOF+14,J552&gt;=ASOF-7),"ช่วงนี้","")))</f>
        <v/>
      </c>
      <c r="L552" s="59"/>
      <c r="M552" s="60"/>
    </row>
    <row r="553" customFormat="false" ht="15" hidden="false" customHeight="false" outlineLevel="0" collapsed="false">
      <c r="A553" s="54" t="s">
        <v>66</v>
      </c>
      <c r="B553" s="55" t="s">
        <v>476</v>
      </c>
      <c r="C553" s="56" t="s">
        <v>477</v>
      </c>
      <c r="D553" s="57" t="s">
        <v>68</v>
      </c>
      <c r="E553" s="57" t="s">
        <v>373</v>
      </c>
      <c r="F553" s="61" t="s">
        <v>374</v>
      </c>
      <c r="G553" s="55" t="s">
        <v>375</v>
      </c>
      <c r="H553" s="57" t="s">
        <v>211</v>
      </c>
      <c r="I553" s="58" t="n">
        <f aca="false">'P9-007'!$N$89</f>
        <v>46346</v>
      </c>
      <c r="J553" s="58" t="n">
        <f aca="false">'P9-007'!$O$89</f>
        <v>46346</v>
      </c>
      <c r="K553" s="56" t="str">
        <f aca="false">IF(OR(L553="Y",LEFT('P9-007'!$T$89,1)="D"),"",IF(AND(ISNUMBER(J553),J553&lt;ASOF),"⚠ เลยกำหนด",IF(AND(ISNUMBER(I553),I553&lt;=ASOF+14,J553&gt;=ASOF-7),"ช่วงนี้","")))</f>
        <v/>
      </c>
      <c r="L553" s="59"/>
      <c r="M553" s="60"/>
    </row>
    <row r="554" customFormat="false" ht="15" hidden="false" customHeight="false" outlineLevel="0" collapsed="false">
      <c r="A554" s="54" t="s">
        <v>66</v>
      </c>
      <c r="B554" s="55" t="s">
        <v>476</v>
      </c>
      <c r="C554" s="56" t="s">
        <v>477</v>
      </c>
      <c r="D554" s="57" t="s">
        <v>68</v>
      </c>
      <c r="E554" s="57" t="s">
        <v>376</v>
      </c>
      <c r="F554" s="55" t="s">
        <v>377</v>
      </c>
      <c r="G554" s="55" t="s">
        <v>378</v>
      </c>
      <c r="H554" s="57" t="s">
        <v>369</v>
      </c>
      <c r="I554" s="58" t="n">
        <f aca="false">'P9-007'!$N$91</f>
        <v>46344</v>
      </c>
      <c r="J554" s="58" t="n">
        <f aca="false">'P9-007'!$O$91</f>
        <v>46346</v>
      </c>
      <c r="K554" s="56" t="str">
        <f aca="false">IF(OR(L554="Y",LEFT('P9-007'!$T$91,1)="D"),"",IF(AND(ISNUMBER(J554),J554&lt;ASOF),"⚠ เลยกำหนด",IF(AND(ISNUMBER(I554),I554&lt;=ASOF+14,J554&gt;=ASOF-7),"ช่วงนี้","")))</f>
        <v/>
      </c>
      <c r="L554" s="59"/>
      <c r="M554" s="60"/>
    </row>
    <row r="555" customFormat="false" ht="15" hidden="false" customHeight="false" outlineLevel="0" collapsed="false">
      <c r="A555" s="54" t="s">
        <v>66</v>
      </c>
      <c r="B555" s="55" t="s">
        <v>476</v>
      </c>
      <c r="C555" s="56" t="s">
        <v>477</v>
      </c>
      <c r="D555" s="57" t="s">
        <v>68</v>
      </c>
      <c r="E555" s="57" t="s">
        <v>379</v>
      </c>
      <c r="F555" s="61" t="s">
        <v>380</v>
      </c>
      <c r="G555" s="61" t="s">
        <v>381</v>
      </c>
      <c r="H555" s="57" t="s">
        <v>211</v>
      </c>
      <c r="I555" s="58" t="n">
        <f aca="false">'P9-007'!$N$92</f>
        <v>46346</v>
      </c>
      <c r="J555" s="58" t="n">
        <f aca="false">'P9-007'!$O$92</f>
        <v>46347</v>
      </c>
      <c r="K555" s="56" t="str">
        <f aca="false">IF(OR(L555="Y",LEFT('P9-007'!$T$92,1)="D"),"",IF(AND(ISNUMBER(J555),J555&lt;ASOF),"⚠ เลยกำหนด",IF(AND(ISNUMBER(I555),I555&lt;=ASOF+14,J555&gt;=ASOF-7),"ช่วงนี้","")))</f>
        <v/>
      </c>
      <c r="L555" s="59"/>
      <c r="M555" s="60"/>
    </row>
    <row r="556" customFormat="false" ht="15" hidden="false" customHeight="false" outlineLevel="0" collapsed="false">
      <c r="A556" s="54" t="s">
        <v>66</v>
      </c>
      <c r="B556" s="55" t="s">
        <v>476</v>
      </c>
      <c r="C556" s="56" t="s">
        <v>477</v>
      </c>
      <c r="D556" s="57" t="s">
        <v>68</v>
      </c>
      <c r="E556" s="57" t="s">
        <v>382</v>
      </c>
      <c r="F556" s="55" t="s">
        <v>383</v>
      </c>
      <c r="G556" s="55" t="s">
        <v>384</v>
      </c>
      <c r="H556" s="57" t="s">
        <v>369</v>
      </c>
      <c r="I556" s="58" t="n">
        <f aca="false">'P9-007'!$N$93</f>
        <v>46344</v>
      </c>
      <c r="J556" s="58" t="n">
        <f aca="false">'P9-007'!$O$93</f>
        <v>46346</v>
      </c>
      <c r="K556" s="56" t="str">
        <f aca="false">IF(OR(L556="Y",LEFT('P9-007'!$T$93,1)="D"),"",IF(AND(ISNUMBER(J556),J556&lt;ASOF),"⚠ เลยกำหนด",IF(AND(ISNUMBER(I556),I556&lt;=ASOF+14,J556&gt;=ASOF-7),"ช่วงนี้","")))</f>
        <v/>
      </c>
      <c r="L556" s="59"/>
      <c r="M556" s="60"/>
    </row>
    <row r="557" customFormat="false" ht="15" hidden="false" customHeight="false" outlineLevel="0" collapsed="false">
      <c r="A557" s="54" t="s">
        <v>66</v>
      </c>
      <c r="B557" s="55" t="s">
        <v>476</v>
      </c>
      <c r="C557" s="56" t="s">
        <v>477</v>
      </c>
      <c r="D557" s="57" t="s">
        <v>68</v>
      </c>
      <c r="E557" s="57" t="s">
        <v>385</v>
      </c>
      <c r="F557" s="55" t="s">
        <v>386</v>
      </c>
      <c r="G557" s="55" t="s">
        <v>387</v>
      </c>
      <c r="H557" s="57" t="s">
        <v>211</v>
      </c>
      <c r="I557" s="58" t="n">
        <f aca="false">'P9-007'!$N$94</f>
        <v>46346</v>
      </c>
      <c r="J557" s="58" t="n">
        <f aca="false">'P9-007'!$O$94</f>
        <v>46347</v>
      </c>
      <c r="K557" s="56" t="str">
        <f aca="false">IF(OR(L557="Y",LEFT('P9-007'!$T$94,1)="D"),"",IF(AND(ISNUMBER(J557),J557&lt;ASOF),"⚠ เลยกำหนด",IF(AND(ISNUMBER(I557),I557&lt;=ASOF+14,J557&gt;=ASOF-7),"ช่วงนี้","")))</f>
        <v/>
      </c>
      <c r="L557" s="59"/>
      <c r="M557" s="60"/>
    </row>
    <row r="558" customFormat="false" ht="15" hidden="false" customHeight="false" outlineLevel="0" collapsed="false">
      <c r="A558" s="54" t="s">
        <v>66</v>
      </c>
      <c r="B558" s="55" t="s">
        <v>476</v>
      </c>
      <c r="C558" s="56" t="s">
        <v>477</v>
      </c>
      <c r="D558" s="57" t="s">
        <v>68</v>
      </c>
      <c r="E558" s="57" t="s">
        <v>388</v>
      </c>
      <c r="F558" s="61" t="s">
        <v>389</v>
      </c>
      <c r="G558" s="55" t="s">
        <v>390</v>
      </c>
      <c r="H558" s="57" t="s">
        <v>211</v>
      </c>
      <c r="I558" s="58" t="n">
        <f aca="false">'P9-007'!$N$95</f>
        <v>46347</v>
      </c>
      <c r="J558" s="58" t="n">
        <f aca="false">'P9-007'!$O$95</f>
        <v>46347</v>
      </c>
      <c r="K558" s="56" t="str">
        <f aca="false">IF(OR(L558="Y",LEFT('P9-007'!$T$95,1)="D"),"",IF(AND(ISNUMBER(J558),J558&lt;ASOF),"⚠ เลยกำหนด",IF(AND(ISNUMBER(I558),I558&lt;=ASOF+14,J558&gt;=ASOF-7),"ช่วงนี้","")))</f>
        <v/>
      </c>
      <c r="L558" s="59"/>
      <c r="M558" s="60"/>
    </row>
    <row r="559" customFormat="false" ht="15" hidden="false" customHeight="false" outlineLevel="0" collapsed="false">
      <c r="A559" s="54" t="s">
        <v>66</v>
      </c>
      <c r="B559" s="55" t="s">
        <v>476</v>
      </c>
      <c r="C559" s="56" t="s">
        <v>477</v>
      </c>
      <c r="D559" s="57" t="s">
        <v>68</v>
      </c>
      <c r="E559" s="57" t="s">
        <v>391</v>
      </c>
      <c r="F559" s="55" t="s">
        <v>392</v>
      </c>
      <c r="G559" s="55" t="s">
        <v>393</v>
      </c>
      <c r="H559" s="57" t="s">
        <v>369</v>
      </c>
      <c r="I559" s="58" t="n">
        <f aca="false">'P9-007'!$N$97</f>
        <v>46345</v>
      </c>
      <c r="J559" s="58" t="n">
        <f aca="false">'P9-007'!$O$97</f>
        <v>46347</v>
      </c>
      <c r="K559" s="56" t="str">
        <f aca="false">IF(OR(L559="Y",LEFT('P9-007'!$T$97,1)="D"),"",IF(AND(ISNUMBER(J559),J559&lt;ASOF),"⚠ เลยกำหนด",IF(AND(ISNUMBER(I559),I559&lt;=ASOF+14,J559&gt;=ASOF-7),"ช่วงนี้","")))</f>
        <v/>
      </c>
      <c r="L559" s="59"/>
      <c r="M559" s="60"/>
    </row>
    <row r="560" customFormat="false" ht="15" hidden="false" customHeight="false" outlineLevel="0" collapsed="false">
      <c r="A560" s="54" t="s">
        <v>66</v>
      </c>
      <c r="B560" s="55" t="s">
        <v>476</v>
      </c>
      <c r="C560" s="56" t="s">
        <v>477</v>
      </c>
      <c r="D560" s="57" t="s">
        <v>68</v>
      </c>
      <c r="E560" s="57" t="s">
        <v>394</v>
      </c>
      <c r="F560" s="55" t="s">
        <v>395</v>
      </c>
      <c r="G560" s="55" t="s">
        <v>396</v>
      </c>
      <c r="H560" s="57" t="s">
        <v>211</v>
      </c>
      <c r="I560" s="58" t="n">
        <f aca="false">'P9-007'!$N$98</f>
        <v>46346</v>
      </c>
      <c r="J560" s="58" t="n">
        <f aca="false">'P9-007'!$O$98</f>
        <v>46347</v>
      </c>
      <c r="K560" s="56" t="str">
        <f aca="false">IF(OR(L560="Y",LEFT('P9-007'!$T$98,1)="D"),"",IF(AND(ISNUMBER(J560),J560&lt;ASOF),"⚠ เลยกำหนด",IF(AND(ISNUMBER(I560),I560&lt;=ASOF+14,J560&gt;=ASOF-7),"ช่วงนี้","")))</f>
        <v/>
      </c>
      <c r="L560" s="59"/>
      <c r="M560" s="60"/>
    </row>
    <row r="561" customFormat="false" ht="15" hidden="false" customHeight="false" outlineLevel="0" collapsed="false">
      <c r="A561" s="54" t="s">
        <v>66</v>
      </c>
      <c r="B561" s="55" t="s">
        <v>476</v>
      </c>
      <c r="C561" s="56" t="s">
        <v>477</v>
      </c>
      <c r="D561" s="57" t="s">
        <v>68</v>
      </c>
      <c r="E561" s="57" t="s">
        <v>397</v>
      </c>
      <c r="F561" s="61" t="s">
        <v>398</v>
      </c>
      <c r="G561" s="55" t="s">
        <v>399</v>
      </c>
      <c r="H561" s="57" t="s">
        <v>211</v>
      </c>
      <c r="I561" s="58" t="n">
        <f aca="false">'P9-007'!$N$99</f>
        <v>46347</v>
      </c>
      <c r="J561" s="58" t="n">
        <f aca="false">'P9-007'!$O$99</f>
        <v>46347</v>
      </c>
      <c r="K561" s="56" t="str">
        <f aca="false">IF(OR(L561="Y",LEFT('P9-007'!$T$99,1)="D"),"",IF(AND(ISNUMBER(J561),J561&lt;ASOF),"⚠ เลยกำหนด",IF(AND(ISNUMBER(I561),I561&lt;=ASOF+14,J561&gt;=ASOF-7),"ช่วงนี้","")))</f>
        <v/>
      </c>
      <c r="L561" s="59"/>
      <c r="M561" s="60"/>
    </row>
    <row r="562" customFormat="false" ht="15" hidden="false" customHeight="false" outlineLevel="0" collapsed="false">
      <c r="A562" s="54" t="s">
        <v>66</v>
      </c>
      <c r="B562" s="55" t="s">
        <v>476</v>
      </c>
      <c r="C562" s="56" t="s">
        <v>477</v>
      </c>
      <c r="D562" s="57" t="s">
        <v>68</v>
      </c>
      <c r="E562" s="57" t="s">
        <v>467</v>
      </c>
      <c r="F562" s="61" t="s">
        <v>468</v>
      </c>
      <c r="G562" s="61" t="s">
        <v>469</v>
      </c>
      <c r="H562" s="57" t="s">
        <v>211</v>
      </c>
      <c r="I562" s="58" t="n">
        <f aca="false">'P9-007'!$N$103</f>
        <v>46346</v>
      </c>
      <c r="J562" s="58" t="n">
        <f aca="false">'P9-007'!$O$103</f>
        <v>46347</v>
      </c>
      <c r="K562" s="56" t="str">
        <f aca="false">IF(OR(L562="Y",LEFT('P9-007'!$T$103,1)="D"),"",IF(AND(ISNUMBER(J562),J562&lt;ASOF),"⚠ เลยกำหนด",IF(AND(ISNUMBER(I562),I562&lt;=ASOF+14,J562&gt;=ASOF-7),"ช่วงนี้","")))</f>
        <v/>
      </c>
      <c r="L562" s="59"/>
      <c r="M562" s="60"/>
    </row>
    <row r="563" customFormat="false" ht="15" hidden="false" customHeight="false" outlineLevel="0" collapsed="false">
      <c r="A563" s="54" t="s">
        <v>66</v>
      </c>
      <c r="B563" s="55" t="s">
        <v>476</v>
      </c>
      <c r="C563" s="56" t="s">
        <v>477</v>
      </c>
      <c r="D563" s="57" t="s">
        <v>68</v>
      </c>
      <c r="E563" s="57" t="s">
        <v>403</v>
      </c>
      <c r="F563" s="55" t="s">
        <v>404</v>
      </c>
      <c r="G563" s="55" t="s">
        <v>405</v>
      </c>
      <c r="H563" s="57" t="s">
        <v>211</v>
      </c>
      <c r="I563" s="58" t="n">
        <f aca="false">'P9-007'!$N$104</f>
        <v>46347</v>
      </c>
      <c r="J563" s="58" t="n">
        <f aca="false">'P9-007'!$O$104</f>
        <v>46348</v>
      </c>
      <c r="K563" s="56" t="str">
        <f aca="false">IF(OR(L563="Y",LEFT('P9-007'!$T$104,1)="D"),"",IF(AND(ISNUMBER(J563),J563&lt;ASOF),"⚠ เลยกำหนด",IF(AND(ISNUMBER(I563),I563&lt;=ASOF+14,J563&gt;=ASOF-7),"ช่วงนี้","")))</f>
        <v/>
      </c>
      <c r="L563" s="59"/>
      <c r="M563" s="60"/>
    </row>
    <row r="564" customFormat="false" ht="15" hidden="false" customHeight="false" outlineLevel="0" collapsed="false">
      <c r="A564" s="54" t="s">
        <v>66</v>
      </c>
      <c r="B564" s="55" t="s">
        <v>476</v>
      </c>
      <c r="C564" s="56" t="s">
        <v>477</v>
      </c>
      <c r="D564" s="57" t="s">
        <v>68</v>
      </c>
      <c r="E564" s="57" t="s">
        <v>406</v>
      </c>
      <c r="F564" s="55" t="s">
        <v>407</v>
      </c>
      <c r="G564" s="55" t="s">
        <v>408</v>
      </c>
      <c r="H564" s="57" t="s">
        <v>211</v>
      </c>
      <c r="I564" s="58" t="n">
        <f aca="false">'P9-007'!$N$105</f>
        <v>46347</v>
      </c>
      <c r="J564" s="58" t="n">
        <f aca="false">'P9-007'!$O$105</f>
        <v>46348</v>
      </c>
      <c r="K564" s="56" t="str">
        <f aca="false">IF(OR(L564="Y",LEFT('P9-007'!$T$105,1)="D"),"",IF(AND(ISNUMBER(J564),J564&lt;ASOF),"⚠ เลยกำหนด",IF(AND(ISNUMBER(I564),I564&lt;=ASOF+14,J564&gt;=ASOF-7),"ช่วงนี้","")))</f>
        <v/>
      </c>
      <c r="L564" s="59"/>
      <c r="M564" s="60"/>
    </row>
    <row r="565" customFormat="false" ht="15" hidden="false" customHeight="false" outlineLevel="0" collapsed="false">
      <c r="A565" s="54" t="s">
        <v>66</v>
      </c>
      <c r="B565" s="55" t="s">
        <v>476</v>
      </c>
      <c r="C565" s="56" t="s">
        <v>477</v>
      </c>
      <c r="D565" s="57" t="s">
        <v>68</v>
      </c>
      <c r="E565" s="57" t="s">
        <v>409</v>
      </c>
      <c r="F565" s="61" t="s">
        <v>410</v>
      </c>
      <c r="G565" s="55" t="s">
        <v>411</v>
      </c>
      <c r="H565" s="57" t="s">
        <v>211</v>
      </c>
      <c r="I565" s="58" t="n">
        <f aca="false">'P9-007'!$N$106</f>
        <v>46348</v>
      </c>
      <c r="J565" s="58" t="n">
        <f aca="false">'P9-007'!$O$106</f>
        <v>46348</v>
      </c>
      <c r="K565" s="56" t="str">
        <f aca="false">IF(OR(L565="Y",LEFT('P9-007'!$T$106,1)="D"),"",IF(AND(ISNUMBER(J565),J565&lt;ASOF),"⚠ เลยกำหนด",IF(AND(ISNUMBER(I565),I565&lt;=ASOF+14,J565&gt;=ASOF-7),"ช่วงนี้","")))</f>
        <v/>
      </c>
      <c r="L565" s="59"/>
      <c r="M565" s="60"/>
    </row>
    <row r="566" customFormat="false" ht="15" hidden="false" customHeight="false" outlineLevel="0" collapsed="false">
      <c r="A566" s="54" t="s">
        <v>66</v>
      </c>
      <c r="B566" s="55" t="s">
        <v>476</v>
      </c>
      <c r="C566" s="56" t="s">
        <v>477</v>
      </c>
      <c r="D566" s="57" t="s">
        <v>68</v>
      </c>
      <c r="E566" s="57" t="s">
        <v>412</v>
      </c>
      <c r="F566" s="61" t="s">
        <v>413</v>
      </c>
      <c r="G566" s="61" t="s">
        <v>414</v>
      </c>
      <c r="H566" s="57" t="s">
        <v>211</v>
      </c>
      <c r="I566" s="58" t="n">
        <f aca="false">'P9-007'!$N$108</f>
        <v>46347</v>
      </c>
      <c r="J566" s="58" t="n">
        <f aca="false">'P9-007'!$O$108</f>
        <v>46348</v>
      </c>
      <c r="K566" s="56" t="str">
        <f aca="false">IF(OR(L566="Y",LEFT('P9-007'!$T$108,1)="D"),"",IF(AND(ISNUMBER(J566),J566&lt;ASOF),"⚠ เลยกำหนด",IF(AND(ISNUMBER(I566),I566&lt;=ASOF+14,J566&gt;=ASOF-7),"ช่วงนี้","")))</f>
        <v/>
      </c>
      <c r="L566" s="59"/>
      <c r="M566" s="60"/>
    </row>
    <row r="567" customFormat="false" ht="15" hidden="false" customHeight="false" outlineLevel="0" collapsed="false">
      <c r="A567" s="54" t="s">
        <v>66</v>
      </c>
      <c r="B567" s="55" t="s">
        <v>476</v>
      </c>
      <c r="C567" s="56" t="s">
        <v>477</v>
      </c>
      <c r="D567" s="57" t="s">
        <v>68</v>
      </c>
      <c r="E567" s="57" t="s">
        <v>415</v>
      </c>
      <c r="F567" s="55" t="s">
        <v>416</v>
      </c>
      <c r="G567" s="55" t="s">
        <v>417</v>
      </c>
      <c r="H567" s="57" t="s">
        <v>211</v>
      </c>
      <c r="I567" s="58" t="n">
        <f aca="false">'P9-007'!$N$109</f>
        <v>46348</v>
      </c>
      <c r="J567" s="58" t="n">
        <f aca="false">'P9-007'!$O$109</f>
        <v>46348</v>
      </c>
      <c r="K567" s="56" t="str">
        <f aca="false">IF(OR(L567="Y",LEFT('P9-007'!$T$109,1)="D"),"",IF(AND(ISNUMBER(J567),J567&lt;ASOF),"⚠ เลยกำหนด",IF(AND(ISNUMBER(I567),I567&lt;=ASOF+14,J567&gt;=ASOF-7),"ช่วงนี้","")))</f>
        <v/>
      </c>
      <c r="L567" s="59"/>
      <c r="M567" s="60"/>
    </row>
    <row r="568" customFormat="false" ht="15" hidden="false" customHeight="false" outlineLevel="0" collapsed="false">
      <c r="A568" s="54" t="s">
        <v>66</v>
      </c>
      <c r="B568" s="55" t="s">
        <v>476</v>
      </c>
      <c r="C568" s="56" t="s">
        <v>477</v>
      </c>
      <c r="D568" s="57" t="s">
        <v>68</v>
      </c>
      <c r="E568" s="57" t="s">
        <v>418</v>
      </c>
      <c r="F568" s="61" t="s">
        <v>419</v>
      </c>
      <c r="G568" s="55" t="s">
        <v>420</v>
      </c>
      <c r="H568" s="57" t="s">
        <v>211</v>
      </c>
      <c r="I568" s="58" t="n">
        <f aca="false">'P9-007'!$N$110</f>
        <v>46347</v>
      </c>
      <c r="J568" s="58" t="n">
        <f aca="false">'P9-007'!$O$110</f>
        <v>46348</v>
      </c>
      <c r="K568" s="56" t="str">
        <f aca="false">IF(OR(L568="Y",LEFT('P9-007'!$T$110,1)="D"),"",IF(AND(ISNUMBER(J568),J568&lt;ASOF),"⚠ เลยกำหนด",IF(AND(ISNUMBER(I568),I568&lt;=ASOF+14,J568&gt;=ASOF-7),"ช่วงนี้","")))</f>
        <v/>
      </c>
      <c r="L568" s="59"/>
      <c r="M568" s="60"/>
    </row>
    <row r="569" customFormat="false" ht="15" hidden="false" customHeight="false" outlineLevel="0" collapsed="false">
      <c r="A569" s="54" t="s">
        <v>66</v>
      </c>
      <c r="B569" s="55" t="s">
        <v>476</v>
      </c>
      <c r="C569" s="56" t="s">
        <v>477</v>
      </c>
      <c r="D569" s="57" t="s">
        <v>68</v>
      </c>
      <c r="E569" s="57" t="s">
        <v>421</v>
      </c>
      <c r="F569" s="55" t="s">
        <v>422</v>
      </c>
      <c r="G569" s="55" t="s">
        <v>423</v>
      </c>
      <c r="H569" s="56" t="str">
        <f aca="false">IF(COUNTIFS(SITE_ST,"P9-007",SITE_TYPE,"?*")&gt;0,"ตามจุดติดตั้ง →","0/100")</f>
        <v>ตามจุดติดตั้ง →</v>
      </c>
      <c r="I569" s="58" t="n">
        <f aca="false">'P9-007'!$N$112</f>
        <v>46349</v>
      </c>
      <c r="J569" s="58" t="n">
        <f aca="false">'P9-007'!$O$112</f>
        <v>46349</v>
      </c>
      <c r="K569" s="56" t="str">
        <f aca="false">IF(OR(L569="Y",LEFT('P9-007'!$T$112,1)="D"),"",IF(AND(ISNUMBER(J569),J569&lt;ASOF),"⚠ เลยกำหนด",IF(AND(ISNUMBER(I569),I569&lt;=ASOF+14,J569&gt;=ASOF-7),"ช่วงนี้","")))</f>
        <v/>
      </c>
      <c r="L569" s="59"/>
      <c r="M569" s="60"/>
    </row>
    <row r="570" customFormat="false" ht="15" hidden="false" customHeight="false" outlineLevel="0" collapsed="false">
      <c r="A570" s="54" t="s">
        <v>66</v>
      </c>
      <c r="B570" s="55" t="s">
        <v>476</v>
      </c>
      <c r="C570" s="56" t="s">
        <v>477</v>
      </c>
      <c r="D570" s="57" t="s">
        <v>68</v>
      </c>
      <c r="E570" s="57" t="s">
        <v>424</v>
      </c>
      <c r="F570" s="55" t="s">
        <v>425</v>
      </c>
      <c r="G570" s="55" t="s">
        <v>426</v>
      </c>
      <c r="H570" s="56" t="str">
        <f aca="false">IF(COUNTIFS(SITE_ST,"P9-007",SITE_TYPE,"?*")&gt;0,"ตามจุดติดตั้ง →","0/100")</f>
        <v>ตามจุดติดตั้ง →</v>
      </c>
      <c r="I570" s="58" t="n">
        <f aca="false">'P9-007'!$N$113</f>
        <v>46349</v>
      </c>
      <c r="J570" s="58" t="n">
        <f aca="false">'P9-007'!$O$113</f>
        <v>46349</v>
      </c>
      <c r="K570" s="56" t="str">
        <f aca="false">IF(OR(L570="Y",LEFT('P9-007'!$T$113,1)="D"),"",IF(AND(ISNUMBER(J570),J570&lt;ASOF),"⚠ เลยกำหนด",IF(AND(ISNUMBER(I570),I570&lt;=ASOF+14,J570&gt;=ASOF-7),"ช่วงนี้","")))</f>
        <v/>
      </c>
      <c r="L570" s="59"/>
      <c r="M570" s="60"/>
    </row>
    <row r="571" customFormat="false" ht="15" hidden="false" customHeight="false" outlineLevel="0" collapsed="false">
      <c r="A571" s="54" t="s">
        <v>66</v>
      </c>
      <c r="B571" s="55" t="s">
        <v>476</v>
      </c>
      <c r="C571" s="56" t="s">
        <v>477</v>
      </c>
      <c r="D571" s="57" t="s">
        <v>68</v>
      </c>
      <c r="E571" s="57" t="s">
        <v>427</v>
      </c>
      <c r="F571" s="61" t="s">
        <v>428</v>
      </c>
      <c r="G571" s="61" t="s">
        <v>429</v>
      </c>
      <c r="H571" s="57" t="s">
        <v>211</v>
      </c>
      <c r="I571" s="58" t="n">
        <f aca="false">'P9-007'!$N$116</f>
        <v>46359</v>
      </c>
      <c r="J571" s="58" t="n">
        <f aca="false">'P9-007'!$O$116</f>
        <v>46359</v>
      </c>
      <c r="K571" s="56" t="str">
        <f aca="false">IF(OR(L571="Y",LEFT('P9-007'!$T$116,1)="D"),"",IF(AND(ISNUMBER(J571),J571&lt;ASOF),"⚠ เลยกำหนด",IF(AND(ISNUMBER(I571),I571&lt;=ASOF+14,J571&gt;=ASOF-7),"ช่วงนี้","")))</f>
        <v/>
      </c>
      <c r="L571" s="59"/>
      <c r="M571" s="60"/>
    </row>
    <row r="572" customFormat="false" ht="15" hidden="false" customHeight="false" outlineLevel="0" collapsed="false">
      <c r="A572" s="54" t="s">
        <v>66</v>
      </c>
      <c r="B572" s="55" t="s">
        <v>476</v>
      </c>
      <c r="C572" s="56" t="s">
        <v>477</v>
      </c>
      <c r="D572" s="57" t="s">
        <v>68</v>
      </c>
      <c r="E572" s="57" t="s">
        <v>430</v>
      </c>
      <c r="F572" s="55" t="s">
        <v>431</v>
      </c>
      <c r="G572" s="55" t="s">
        <v>432</v>
      </c>
      <c r="H572" s="57" t="s">
        <v>211</v>
      </c>
      <c r="I572" s="58" t="n">
        <f aca="false">'P9-007'!$N$117</f>
        <v>46359</v>
      </c>
      <c r="J572" s="58" t="n">
        <f aca="false">'P9-007'!$O$117</f>
        <v>46359</v>
      </c>
      <c r="K572" s="56" t="str">
        <f aca="false">IF(OR(L572="Y",LEFT('P9-007'!$T$117,1)="D"),"",IF(AND(ISNUMBER(J572),J572&lt;ASOF),"⚠ เลยกำหนด",IF(AND(ISNUMBER(I572),I572&lt;=ASOF+14,J572&gt;=ASOF-7),"ช่วงนี้","")))</f>
        <v/>
      </c>
      <c r="L572" s="59"/>
      <c r="M572" s="60"/>
    </row>
    <row r="573" customFormat="false" ht="15" hidden="false" customHeight="false" outlineLevel="0" collapsed="false">
      <c r="A573" s="54" t="s">
        <v>66</v>
      </c>
      <c r="B573" s="55" t="s">
        <v>476</v>
      </c>
      <c r="C573" s="56" t="s">
        <v>477</v>
      </c>
      <c r="D573" s="57" t="s">
        <v>68</v>
      </c>
      <c r="E573" s="57" t="s">
        <v>433</v>
      </c>
      <c r="F573" s="55" t="s">
        <v>434</v>
      </c>
      <c r="G573" s="55" t="s">
        <v>435</v>
      </c>
      <c r="H573" s="57" t="s">
        <v>211</v>
      </c>
      <c r="I573" s="58" t="n">
        <f aca="false">'P9-007'!$N$118</f>
        <v>46359</v>
      </c>
      <c r="J573" s="58" t="n">
        <f aca="false">'P9-007'!$O$118</f>
        <v>46359</v>
      </c>
      <c r="K573" s="56" t="str">
        <f aca="false">IF(OR(L573="Y",LEFT('P9-007'!$T$118,1)="D"),"",IF(AND(ISNUMBER(J573),J573&lt;ASOF),"⚠ เลยกำหนด",IF(AND(ISNUMBER(I573),I573&lt;=ASOF+14,J573&gt;=ASOF-7),"ช่วงนี้","")))</f>
        <v/>
      </c>
      <c r="L573" s="59"/>
      <c r="M573" s="60"/>
    </row>
    <row r="574" customFormat="false" ht="15" hidden="false" customHeight="false" outlineLevel="0" collapsed="false">
      <c r="A574" s="54" t="s">
        <v>66</v>
      </c>
      <c r="B574" s="55" t="s">
        <v>476</v>
      </c>
      <c r="C574" s="56" t="s">
        <v>477</v>
      </c>
      <c r="D574" s="57" t="s">
        <v>68</v>
      </c>
      <c r="E574" s="57" t="s">
        <v>436</v>
      </c>
      <c r="F574" s="55" t="s">
        <v>437</v>
      </c>
      <c r="G574" s="55" t="s">
        <v>438</v>
      </c>
      <c r="H574" s="57" t="s">
        <v>211</v>
      </c>
      <c r="I574" s="58" t="n">
        <f aca="false">'P9-007'!$N$119</f>
        <v>46359</v>
      </c>
      <c r="J574" s="58" t="n">
        <f aca="false">'P9-007'!$O$119</f>
        <v>46359</v>
      </c>
      <c r="K574" s="56" t="str">
        <f aca="false">IF(OR(L574="Y",LEFT('P9-007'!$T$119,1)="D"),"",IF(AND(ISNUMBER(J574),J574&lt;ASOF),"⚠ เลยกำหนด",IF(AND(ISNUMBER(I574),I574&lt;=ASOF+14,J574&gt;=ASOF-7),"ช่วงนี้","")))</f>
        <v/>
      </c>
      <c r="L574" s="59"/>
      <c r="M574" s="60"/>
    </row>
    <row r="575" customFormat="false" ht="15" hidden="false" customHeight="false" outlineLevel="0" collapsed="false">
      <c r="A575" s="54" t="s">
        <v>66</v>
      </c>
      <c r="B575" s="55" t="s">
        <v>476</v>
      </c>
      <c r="C575" s="56" t="s">
        <v>477</v>
      </c>
      <c r="D575" s="57" t="s">
        <v>68</v>
      </c>
      <c r="E575" s="57" t="s">
        <v>439</v>
      </c>
      <c r="F575" s="55" t="s">
        <v>440</v>
      </c>
      <c r="G575" s="55" t="s">
        <v>441</v>
      </c>
      <c r="H575" s="57" t="s">
        <v>211</v>
      </c>
      <c r="I575" s="58" t="n">
        <f aca="false">'P9-007'!$N$120</f>
        <v>46359</v>
      </c>
      <c r="J575" s="58" t="n">
        <f aca="false">'P9-007'!$O$120</f>
        <v>46359</v>
      </c>
      <c r="K575" s="56" t="str">
        <f aca="false">IF(OR(L575="Y",LEFT('P9-007'!$T$120,1)="D"),"",IF(AND(ISNUMBER(J575),J575&lt;ASOF),"⚠ เลยกำหนด",IF(AND(ISNUMBER(I575),I575&lt;=ASOF+14,J575&gt;=ASOF-7),"ช่วงนี้","")))</f>
        <v/>
      </c>
      <c r="L575" s="59"/>
      <c r="M575" s="60"/>
    </row>
    <row r="576" customFormat="false" ht="15" hidden="false" customHeight="false" outlineLevel="0" collapsed="false">
      <c r="A576" s="54" t="s">
        <v>66</v>
      </c>
      <c r="B576" s="55" t="s">
        <v>476</v>
      </c>
      <c r="C576" s="56" t="s">
        <v>477</v>
      </c>
      <c r="D576" s="57" t="s">
        <v>68</v>
      </c>
      <c r="E576" s="57" t="s">
        <v>442</v>
      </c>
      <c r="F576" s="55" t="s">
        <v>443</v>
      </c>
      <c r="G576" s="55" t="s">
        <v>444</v>
      </c>
      <c r="H576" s="57" t="s">
        <v>211</v>
      </c>
      <c r="I576" s="58" t="n">
        <f aca="false">'P9-007'!$N$121</f>
        <v>46359</v>
      </c>
      <c r="J576" s="58" t="n">
        <f aca="false">'P9-007'!$O$121</f>
        <v>46359</v>
      </c>
      <c r="K576" s="56" t="str">
        <f aca="false">IF(OR(L576="Y",LEFT('P9-007'!$T$121,1)="D"),"",IF(AND(ISNUMBER(J576),J576&lt;ASOF),"⚠ เลยกำหนด",IF(AND(ISNUMBER(I576),I576&lt;=ASOF+14,J576&gt;=ASOF-7),"ช่วงนี้","")))</f>
        <v/>
      </c>
      <c r="L576" s="59"/>
      <c r="M576" s="60"/>
    </row>
    <row r="577" customFormat="false" ht="15" hidden="false" customHeight="false" outlineLevel="0" collapsed="false">
      <c r="A577" s="54" t="s">
        <v>66</v>
      </c>
      <c r="B577" s="55" t="s">
        <v>476</v>
      </c>
      <c r="C577" s="56" t="s">
        <v>477</v>
      </c>
      <c r="D577" s="57" t="s">
        <v>68</v>
      </c>
      <c r="E577" s="57" t="s">
        <v>445</v>
      </c>
      <c r="F577" s="55" t="s">
        <v>446</v>
      </c>
      <c r="G577" s="55" t="s">
        <v>447</v>
      </c>
      <c r="H577" s="57" t="s">
        <v>211</v>
      </c>
      <c r="I577" s="58" t="n">
        <f aca="false">'P9-007'!$N$125</f>
        <v>46437</v>
      </c>
      <c r="J577" s="58" t="n">
        <f aca="false">'P9-007'!$O$125</f>
        <v>46441</v>
      </c>
      <c r="K577" s="56" t="str">
        <f aca="false">IF(OR(L577="Y",LEFT('P9-007'!$T$125,1)="D"),"",IF(AND(ISNUMBER(J577),J577&lt;ASOF),"⚠ เลยกำหนด",IF(AND(ISNUMBER(I577),I577&lt;=ASOF+14,J577&gt;=ASOF-7),"ช่วงนี้","")))</f>
        <v/>
      </c>
      <c r="L577" s="59"/>
      <c r="M577" s="60"/>
    </row>
    <row r="578" customFormat="false" ht="15" hidden="false" customHeight="false" outlineLevel="0" collapsed="false">
      <c r="A578" s="54" t="s">
        <v>66</v>
      </c>
      <c r="B578" s="55" t="s">
        <v>476</v>
      </c>
      <c r="C578" s="56" t="s">
        <v>477</v>
      </c>
      <c r="D578" s="57" t="s">
        <v>68</v>
      </c>
      <c r="E578" s="57" t="s">
        <v>448</v>
      </c>
      <c r="F578" s="55" t="s">
        <v>449</v>
      </c>
      <c r="G578" s="61" t="s">
        <v>450</v>
      </c>
      <c r="H578" s="57" t="s">
        <v>211</v>
      </c>
      <c r="I578" s="58" t="n">
        <f aca="false">'P9-007'!$N$126</f>
        <v>46440</v>
      </c>
      <c r="J578" s="58" t="n">
        <f aca="false">'P9-007'!$O$126</f>
        <v>46447</v>
      </c>
      <c r="K578" s="56" t="str">
        <f aca="false">IF(OR(L578="Y",LEFT('P9-007'!$T$126,1)="D"),"",IF(AND(ISNUMBER(J578),J578&lt;ASOF),"⚠ เลยกำหนด",IF(AND(ISNUMBER(I578),I578&lt;=ASOF+14,J578&gt;=ASOF-7),"ช่วงนี้","")))</f>
        <v/>
      </c>
      <c r="L578" s="59"/>
      <c r="M578" s="60"/>
    </row>
    <row r="579" customFormat="false" ht="15" hidden="false" customHeight="false" outlineLevel="0" collapsed="false">
      <c r="A579" s="54" t="s">
        <v>66</v>
      </c>
      <c r="B579" s="55" t="s">
        <v>476</v>
      </c>
      <c r="C579" s="56" t="s">
        <v>477</v>
      </c>
      <c r="D579" s="57" t="s">
        <v>68</v>
      </c>
      <c r="E579" s="57" t="s">
        <v>451</v>
      </c>
      <c r="F579" s="61" t="s">
        <v>452</v>
      </c>
      <c r="G579" s="61" t="s">
        <v>453</v>
      </c>
      <c r="H579" s="57" t="s">
        <v>211</v>
      </c>
      <c r="I579" s="58" t="n">
        <f aca="false">'P9-007'!$N$127</f>
        <v>46447</v>
      </c>
      <c r="J579" s="58" t="n">
        <f aca="false">'P9-007'!$O$127</f>
        <v>46450</v>
      </c>
      <c r="K579" s="56" t="str">
        <f aca="false">IF(OR(L579="Y",LEFT('P9-007'!$T$127,1)="D"),"",IF(AND(ISNUMBER(J579),J579&lt;ASOF),"⚠ เลยกำหนด",IF(AND(ISNUMBER(I579),I579&lt;=ASOF+14,J579&gt;=ASOF-7),"ช่วงนี้","")))</f>
        <v/>
      </c>
      <c r="L579" s="59"/>
      <c r="M579" s="60"/>
    </row>
    <row r="580" customFormat="false" ht="15" hidden="false" customHeight="false" outlineLevel="0" collapsed="false">
      <c r="A580" s="54" t="s">
        <v>70</v>
      </c>
      <c r="B580" s="55" t="s">
        <v>478</v>
      </c>
      <c r="C580" s="56" t="s">
        <v>479</v>
      </c>
      <c r="D580" s="57" t="s">
        <v>72</v>
      </c>
      <c r="E580" s="57" t="s">
        <v>208</v>
      </c>
      <c r="F580" s="55" t="s">
        <v>209</v>
      </c>
      <c r="G580" s="55" t="s">
        <v>210</v>
      </c>
      <c r="H580" s="57" t="s">
        <v>211</v>
      </c>
      <c r="I580" s="58" t="n">
        <f aca="false">'P9-008'!$N$10</f>
        <v>46328</v>
      </c>
      <c r="J580" s="58" t="n">
        <f aca="false">'P9-008'!$O$10</f>
        <v>46340</v>
      </c>
      <c r="K580" s="56" t="str">
        <f aca="false">IF(OR(L580="Y",LEFT('P9-008'!$T$10,1)="D"),"",IF(AND(ISNUMBER(J580),J580&lt;ASOF),"⚠ เลยกำหนด",IF(AND(ISNUMBER(I580),I580&lt;=ASOF+14,J580&gt;=ASOF-7),"ช่วงนี้","")))</f>
        <v>ช่วงนี้</v>
      </c>
      <c r="L580" s="59"/>
      <c r="M580" s="60"/>
    </row>
    <row r="581" customFormat="false" ht="15" hidden="false" customHeight="false" outlineLevel="0" collapsed="false">
      <c r="A581" s="54" t="s">
        <v>70</v>
      </c>
      <c r="B581" s="55" t="s">
        <v>478</v>
      </c>
      <c r="C581" s="56" t="s">
        <v>479</v>
      </c>
      <c r="D581" s="57" t="s">
        <v>72</v>
      </c>
      <c r="E581" s="57" t="s">
        <v>212</v>
      </c>
      <c r="F581" s="55" t="s">
        <v>213</v>
      </c>
      <c r="G581" s="55" t="s">
        <v>214</v>
      </c>
      <c r="H581" s="57" t="s">
        <v>211</v>
      </c>
      <c r="I581" s="58" t="n">
        <f aca="false">'P9-008'!$N$11</f>
        <v>46328</v>
      </c>
      <c r="J581" s="58" t="n">
        <f aca="false">'P9-008'!$O$11</f>
        <v>46340</v>
      </c>
      <c r="K581" s="56" t="str">
        <f aca="false">IF(OR(L581="Y",LEFT('P9-008'!$T$11,1)="D"),"",IF(AND(ISNUMBER(J581),J581&lt;ASOF),"⚠ เลยกำหนด",IF(AND(ISNUMBER(I581),I581&lt;=ASOF+14,J581&gt;=ASOF-7),"ช่วงนี้","")))</f>
        <v>ช่วงนี้</v>
      </c>
      <c r="L581" s="59"/>
      <c r="M581" s="60"/>
    </row>
    <row r="582" customFormat="false" ht="15" hidden="false" customHeight="false" outlineLevel="0" collapsed="false">
      <c r="A582" s="54" t="s">
        <v>70</v>
      </c>
      <c r="B582" s="55" t="s">
        <v>478</v>
      </c>
      <c r="C582" s="56" t="s">
        <v>479</v>
      </c>
      <c r="D582" s="57" t="s">
        <v>72</v>
      </c>
      <c r="E582" s="57" t="s">
        <v>215</v>
      </c>
      <c r="F582" s="55" t="s">
        <v>216</v>
      </c>
      <c r="G582" s="61" t="s">
        <v>217</v>
      </c>
      <c r="H582" s="57" t="s">
        <v>211</v>
      </c>
      <c r="I582" s="58" t="n">
        <f aca="false">'P9-008'!$N$12</f>
        <v>46328</v>
      </c>
      <c r="J582" s="58" t="n">
        <f aca="false">'P9-008'!$O$12</f>
        <v>46340</v>
      </c>
      <c r="K582" s="56" t="str">
        <f aca="false">IF(OR(L582="Y",LEFT('P9-008'!$T$12,1)="D"),"",IF(AND(ISNUMBER(J582),J582&lt;ASOF),"⚠ เลยกำหนด",IF(AND(ISNUMBER(I582),I582&lt;=ASOF+14,J582&gt;=ASOF-7),"ช่วงนี้","")))</f>
        <v>ช่วงนี้</v>
      </c>
      <c r="L582" s="59"/>
      <c r="M582" s="60"/>
    </row>
    <row r="583" customFormat="false" ht="15" hidden="false" customHeight="false" outlineLevel="0" collapsed="false">
      <c r="A583" s="54" t="s">
        <v>70</v>
      </c>
      <c r="B583" s="55" t="s">
        <v>478</v>
      </c>
      <c r="C583" s="56" t="s">
        <v>479</v>
      </c>
      <c r="D583" s="57" t="s">
        <v>72</v>
      </c>
      <c r="E583" s="57" t="s">
        <v>218</v>
      </c>
      <c r="F583" s="55" t="s">
        <v>219</v>
      </c>
      <c r="G583" s="55" t="s">
        <v>220</v>
      </c>
      <c r="H583" s="57" t="s">
        <v>211</v>
      </c>
      <c r="I583" s="58" t="n">
        <f aca="false">'P9-008'!$N$13</f>
        <v>46328</v>
      </c>
      <c r="J583" s="58" t="n">
        <f aca="false">'P9-008'!$O$13</f>
        <v>46346</v>
      </c>
      <c r="K583" s="56" t="str">
        <f aca="false">IF(OR(L583="Y",LEFT('P9-008'!$T$13,1)="D"),"",IF(AND(ISNUMBER(J583),J583&lt;ASOF),"⚠ เลยกำหนด",IF(AND(ISNUMBER(I583),I583&lt;=ASOF+14,J583&gt;=ASOF-7),"ช่วงนี้","")))</f>
        <v>ช่วงนี้</v>
      </c>
      <c r="L583" s="59"/>
      <c r="M583" s="60"/>
    </row>
    <row r="584" customFormat="false" ht="15" hidden="false" customHeight="false" outlineLevel="0" collapsed="false">
      <c r="A584" s="54" t="s">
        <v>70</v>
      </c>
      <c r="B584" s="55" t="s">
        <v>478</v>
      </c>
      <c r="C584" s="56" t="s">
        <v>479</v>
      </c>
      <c r="D584" s="57" t="s">
        <v>72</v>
      </c>
      <c r="E584" s="57" t="s">
        <v>221</v>
      </c>
      <c r="F584" s="55" t="s">
        <v>222</v>
      </c>
      <c r="G584" s="55" t="s">
        <v>223</v>
      </c>
      <c r="H584" s="57" t="s">
        <v>211</v>
      </c>
      <c r="I584" s="58" t="n">
        <f aca="false">'P9-008'!$N$14</f>
        <v>46340</v>
      </c>
      <c r="J584" s="58" t="n">
        <f aca="false">'P9-008'!$O$14</f>
        <v>46450</v>
      </c>
      <c r="K584" s="56" t="str">
        <f aca="false">IF(OR(L584="Y",LEFT('P9-008'!$T$14,1)="D"),"",IF(AND(ISNUMBER(J584),J584&lt;ASOF),"⚠ เลยกำหนด",IF(AND(ISNUMBER(I584),I584&lt;=ASOF+14,J584&gt;=ASOF-7),"ช่วงนี้","")))</f>
        <v>ช่วงนี้</v>
      </c>
      <c r="L584" s="59"/>
      <c r="M584" s="60"/>
    </row>
    <row r="585" customFormat="false" ht="15" hidden="false" customHeight="false" outlineLevel="0" collapsed="false">
      <c r="A585" s="54" t="s">
        <v>70</v>
      </c>
      <c r="B585" s="55" t="s">
        <v>478</v>
      </c>
      <c r="C585" s="56" t="s">
        <v>479</v>
      </c>
      <c r="D585" s="57" t="s">
        <v>72</v>
      </c>
      <c r="E585" s="57" t="s">
        <v>224</v>
      </c>
      <c r="F585" s="55" t="s">
        <v>225</v>
      </c>
      <c r="G585" s="61" t="s">
        <v>226</v>
      </c>
      <c r="H585" s="57" t="s">
        <v>211</v>
      </c>
      <c r="I585" s="58" t="n">
        <f aca="false">'P9-008'!$N$15</f>
        <v>46340</v>
      </c>
      <c r="J585" s="58" t="n">
        <f aca="false">'P9-008'!$O$15</f>
        <v>46450</v>
      </c>
      <c r="K585" s="56" t="str">
        <f aca="false">IF(OR(L585="Y",LEFT('P9-008'!$T$15,1)="D"),"",IF(AND(ISNUMBER(J585),J585&lt;ASOF),"⚠ เลยกำหนด",IF(AND(ISNUMBER(I585),I585&lt;=ASOF+14,J585&gt;=ASOF-7),"ช่วงนี้","")))</f>
        <v>ช่วงนี้</v>
      </c>
      <c r="L585" s="59"/>
      <c r="M585" s="60"/>
    </row>
    <row r="586" customFormat="false" ht="15" hidden="false" customHeight="false" outlineLevel="0" collapsed="false">
      <c r="A586" s="54" t="s">
        <v>70</v>
      </c>
      <c r="B586" s="55" t="s">
        <v>478</v>
      </c>
      <c r="C586" s="56" t="s">
        <v>479</v>
      </c>
      <c r="D586" s="57" t="s">
        <v>72</v>
      </c>
      <c r="E586" s="57" t="s">
        <v>227</v>
      </c>
      <c r="F586" s="55" t="s">
        <v>228</v>
      </c>
      <c r="G586" s="55" t="s">
        <v>229</v>
      </c>
      <c r="H586" s="57" t="s">
        <v>211</v>
      </c>
      <c r="I586" s="58" t="n">
        <f aca="false">'P9-008'!$N$17</f>
        <v>46328</v>
      </c>
      <c r="J586" s="58" t="n">
        <f aca="false">'P9-008'!$O$17</f>
        <v>46328</v>
      </c>
      <c r="K586" s="56" t="str">
        <f aca="false">IF(OR(L586="Y",LEFT('P9-008'!$T$17,1)="D"),"",IF(AND(ISNUMBER(J586),J586&lt;ASOF),"⚠ เลยกำหนด",IF(AND(ISNUMBER(I586),I586&lt;=ASOF+14,J586&gt;=ASOF-7),"ช่วงนี้","")))</f>
        <v>ช่วงนี้</v>
      </c>
      <c r="L586" s="59"/>
      <c r="M586" s="60"/>
    </row>
    <row r="587" customFormat="false" ht="15" hidden="false" customHeight="false" outlineLevel="0" collapsed="false">
      <c r="A587" s="54" t="s">
        <v>70</v>
      </c>
      <c r="B587" s="55" t="s">
        <v>478</v>
      </c>
      <c r="C587" s="56" t="s">
        <v>479</v>
      </c>
      <c r="D587" s="57" t="s">
        <v>72</v>
      </c>
      <c r="E587" s="57" t="s">
        <v>230</v>
      </c>
      <c r="F587" s="55" t="s">
        <v>231</v>
      </c>
      <c r="G587" s="55" t="s">
        <v>232</v>
      </c>
      <c r="H587" s="57" t="s">
        <v>211</v>
      </c>
      <c r="I587" s="58" t="n">
        <f aca="false">'P9-008'!$N$18</f>
        <v>46328</v>
      </c>
      <c r="J587" s="58" t="n">
        <f aca="false">'P9-008'!$O$18</f>
        <v>46328</v>
      </c>
      <c r="K587" s="56" t="str">
        <f aca="false">IF(OR(L587="Y",LEFT('P9-008'!$T$18,1)="D"),"",IF(AND(ISNUMBER(J587),J587&lt;ASOF),"⚠ เลยกำหนด",IF(AND(ISNUMBER(I587),I587&lt;=ASOF+14,J587&gt;=ASOF-7),"ช่วงนี้","")))</f>
        <v>ช่วงนี้</v>
      </c>
      <c r="L587" s="59"/>
      <c r="M587" s="60"/>
    </row>
    <row r="588" customFormat="false" ht="15" hidden="false" customHeight="false" outlineLevel="0" collapsed="false">
      <c r="A588" s="54" t="s">
        <v>70</v>
      </c>
      <c r="B588" s="55" t="s">
        <v>478</v>
      </c>
      <c r="C588" s="56" t="s">
        <v>479</v>
      </c>
      <c r="D588" s="57" t="s">
        <v>72</v>
      </c>
      <c r="E588" s="57" t="s">
        <v>233</v>
      </c>
      <c r="F588" s="55" t="s">
        <v>234</v>
      </c>
      <c r="G588" s="55" t="s">
        <v>235</v>
      </c>
      <c r="H588" s="57" t="s">
        <v>211</v>
      </c>
      <c r="I588" s="58" t="n">
        <f aca="false">'P9-008'!$N$19</f>
        <v>46328</v>
      </c>
      <c r="J588" s="58" t="n">
        <f aca="false">'P9-008'!$O$19</f>
        <v>46328</v>
      </c>
      <c r="K588" s="56" t="str">
        <f aca="false">IF(OR(L588="Y",LEFT('P9-008'!$T$19,1)="D"),"",IF(AND(ISNUMBER(J588),J588&lt;ASOF),"⚠ เลยกำหนด",IF(AND(ISNUMBER(I588),I588&lt;=ASOF+14,J588&gt;=ASOF-7),"ช่วงนี้","")))</f>
        <v>ช่วงนี้</v>
      </c>
      <c r="L588" s="59"/>
      <c r="M588" s="60"/>
    </row>
    <row r="589" customFormat="false" ht="15" hidden="false" customHeight="false" outlineLevel="0" collapsed="false">
      <c r="A589" s="54" t="s">
        <v>70</v>
      </c>
      <c r="B589" s="55" t="s">
        <v>478</v>
      </c>
      <c r="C589" s="56" t="s">
        <v>479</v>
      </c>
      <c r="D589" s="57" t="s">
        <v>72</v>
      </c>
      <c r="E589" s="57" t="s">
        <v>236</v>
      </c>
      <c r="F589" s="55" t="s">
        <v>237</v>
      </c>
      <c r="G589" s="55" t="s">
        <v>238</v>
      </c>
      <c r="H589" s="57" t="s">
        <v>211</v>
      </c>
      <c r="I589" s="58" t="n">
        <f aca="false">'P9-008'!$N$20</f>
        <v>46328</v>
      </c>
      <c r="J589" s="58" t="n">
        <f aca="false">'P9-008'!$O$20</f>
        <v>46328</v>
      </c>
      <c r="K589" s="56" t="str">
        <f aca="false">IF(OR(L589="Y",LEFT('P9-008'!$T$20,1)="D"),"",IF(AND(ISNUMBER(J589),J589&lt;ASOF),"⚠ เลยกำหนด",IF(AND(ISNUMBER(I589),I589&lt;=ASOF+14,J589&gt;=ASOF-7),"ช่วงนี้","")))</f>
        <v>ช่วงนี้</v>
      </c>
      <c r="L589" s="59"/>
      <c r="M589" s="60"/>
    </row>
    <row r="590" customFormat="false" ht="15" hidden="false" customHeight="false" outlineLevel="0" collapsed="false">
      <c r="A590" s="54" t="s">
        <v>70</v>
      </c>
      <c r="B590" s="55" t="s">
        <v>478</v>
      </c>
      <c r="C590" s="56" t="s">
        <v>479</v>
      </c>
      <c r="D590" s="57" t="s">
        <v>72</v>
      </c>
      <c r="E590" s="57" t="s">
        <v>239</v>
      </c>
      <c r="F590" s="55" t="s">
        <v>240</v>
      </c>
      <c r="G590" s="55" t="s">
        <v>241</v>
      </c>
      <c r="H590" s="57" t="s">
        <v>211</v>
      </c>
      <c r="I590" s="58" t="n">
        <f aca="false">'P9-008'!$N$21</f>
        <v>46328</v>
      </c>
      <c r="J590" s="58" t="n">
        <f aca="false">'P9-008'!$O$21</f>
        <v>46328</v>
      </c>
      <c r="K590" s="56" t="str">
        <f aca="false">IF(OR(L590="Y",LEFT('P9-008'!$T$21,1)="D"),"",IF(AND(ISNUMBER(J590),J590&lt;ASOF),"⚠ เลยกำหนด",IF(AND(ISNUMBER(I590),I590&lt;=ASOF+14,J590&gt;=ASOF-7),"ช่วงนี้","")))</f>
        <v>ช่วงนี้</v>
      </c>
      <c r="L590" s="59"/>
      <c r="M590" s="60"/>
    </row>
    <row r="591" customFormat="false" ht="15" hidden="false" customHeight="false" outlineLevel="0" collapsed="false">
      <c r="A591" s="54" t="s">
        <v>70</v>
      </c>
      <c r="B591" s="55" t="s">
        <v>478</v>
      </c>
      <c r="C591" s="56" t="s">
        <v>479</v>
      </c>
      <c r="D591" s="57" t="s">
        <v>72</v>
      </c>
      <c r="E591" s="57" t="s">
        <v>242</v>
      </c>
      <c r="F591" s="55" t="s">
        <v>243</v>
      </c>
      <c r="G591" s="55" t="s">
        <v>244</v>
      </c>
      <c r="H591" s="57" t="s">
        <v>211</v>
      </c>
      <c r="I591" s="58" t="n">
        <f aca="false">'P9-008'!$N$22</f>
        <v>46328</v>
      </c>
      <c r="J591" s="58" t="n">
        <f aca="false">'P9-008'!$O$22</f>
        <v>46328</v>
      </c>
      <c r="K591" s="56" t="str">
        <f aca="false">IF(OR(L591="Y",LEFT('P9-008'!$T$22,1)="D"),"",IF(AND(ISNUMBER(J591),J591&lt;ASOF),"⚠ เลยกำหนด",IF(AND(ISNUMBER(I591),I591&lt;=ASOF+14,J591&gt;=ASOF-7),"ช่วงนี้","")))</f>
        <v>ช่วงนี้</v>
      </c>
      <c r="L591" s="59"/>
      <c r="M591" s="60"/>
    </row>
    <row r="592" customFormat="false" ht="15" hidden="false" customHeight="false" outlineLevel="0" collapsed="false">
      <c r="A592" s="54" t="s">
        <v>70</v>
      </c>
      <c r="B592" s="55" t="s">
        <v>478</v>
      </c>
      <c r="C592" s="56" t="s">
        <v>479</v>
      </c>
      <c r="D592" s="57" t="s">
        <v>72</v>
      </c>
      <c r="E592" s="57" t="s">
        <v>248</v>
      </c>
      <c r="F592" s="55" t="s">
        <v>249</v>
      </c>
      <c r="G592" s="55" t="s">
        <v>250</v>
      </c>
      <c r="H592" s="57" t="s">
        <v>211</v>
      </c>
      <c r="I592" s="58" t="n">
        <f aca="false">'P9-008'!$N$24</f>
        <v>46328</v>
      </c>
      <c r="J592" s="58" t="n">
        <f aca="false">'P9-008'!$O$24</f>
        <v>46328</v>
      </c>
      <c r="K592" s="56" t="str">
        <f aca="false">IF(OR(L592="Y",LEFT('P9-008'!$T$24,1)="D"),"",IF(AND(ISNUMBER(J592),J592&lt;ASOF),"⚠ เลยกำหนด",IF(AND(ISNUMBER(I592),I592&lt;=ASOF+14,J592&gt;=ASOF-7),"ช่วงนี้","")))</f>
        <v>ช่วงนี้</v>
      </c>
      <c r="L592" s="59"/>
      <c r="M592" s="60"/>
    </row>
    <row r="593" customFormat="false" ht="15" hidden="false" customHeight="false" outlineLevel="0" collapsed="false">
      <c r="A593" s="54" t="s">
        <v>70</v>
      </c>
      <c r="B593" s="55" t="s">
        <v>478</v>
      </c>
      <c r="C593" s="56" t="s">
        <v>479</v>
      </c>
      <c r="D593" s="57" t="s">
        <v>72</v>
      </c>
      <c r="E593" s="57" t="s">
        <v>251</v>
      </c>
      <c r="F593" s="55" t="s">
        <v>252</v>
      </c>
      <c r="G593" s="55" t="s">
        <v>253</v>
      </c>
      <c r="H593" s="57" t="s">
        <v>211</v>
      </c>
      <c r="I593" s="58" t="n">
        <f aca="false">'P9-008'!$N$26</f>
        <v>46329</v>
      </c>
      <c r="J593" s="58" t="n">
        <f aca="false">'P9-008'!$O$26</f>
        <v>46329</v>
      </c>
      <c r="K593" s="56" t="str">
        <f aca="false">IF(OR(L593="Y",LEFT('P9-008'!$T$26,1)="D"),"",IF(AND(ISNUMBER(J593),J593&lt;ASOF),"⚠ เลยกำหนด",IF(AND(ISNUMBER(I593),I593&lt;=ASOF+14,J593&gt;=ASOF-7),"ช่วงนี้","")))</f>
        <v>ช่วงนี้</v>
      </c>
      <c r="L593" s="59"/>
      <c r="M593" s="60"/>
    </row>
    <row r="594" customFormat="false" ht="15" hidden="false" customHeight="false" outlineLevel="0" collapsed="false">
      <c r="A594" s="54" t="s">
        <v>70</v>
      </c>
      <c r="B594" s="55" t="s">
        <v>478</v>
      </c>
      <c r="C594" s="56" t="s">
        <v>479</v>
      </c>
      <c r="D594" s="57" t="s">
        <v>72</v>
      </c>
      <c r="E594" s="57" t="s">
        <v>254</v>
      </c>
      <c r="F594" s="55" t="s">
        <v>255</v>
      </c>
      <c r="G594" s="55" t="s">
        <v>256</v>
      </c>
      <c r="H594" s="57" t="s">
        <v>211</v>
      </c>
      <c r="I594" s="58" t="n">
        <f aca="false">'P9-008'!$N$27</f>
        <v>46329</v>
      </c>
      <c r="J594" s="58" t="n">
        <f aca="false">'P9-008'!$O$27</f>
        <v>46329</v>
      </c>
      <c r="K594" s="56" t="str">
        <f aca="false">IF(OR(L594="Y",LEFT('P9-008'!$T$27,1)="D"),"",IF(AND(ISNUMBER(J594),J594&lt;ASOF),"⚠ เลยกำหนด",IF(AND(ISNUMBER(I594),I594&lt;=ASOF+14,J594&gt;=ASOF-7),"ช่วงนี้","")))</f>
        <v>ช่วงนี้</v>
      </c>
      <c r="L594" s="59"/>
      <c r="M594" s="60"/>
    </row>
    <row r="595" customFormat="false" ht="15" hidden="false" customHeight="false" outlineLevel="0" collapsed="false">
      <c r="A595" s="54" t="s">
        <v>70</v>
      </c>
      <c r="B595" s="55" t="s">
        <v>478</v>
      </c>
      <c r="C595" s="56" t="s">
        <v>479</v>
      </c>
      <c r="D595" s="57" t="s">
        <v>72</v>
      </c>
      <c r="E595" s="57" t="s">
        <v>257</v>
      </c>
      <c r="F595" s="55" t="s">
        <v>258</v>
      </c>
      <c r="G595" s="55" t="s">
        <v>259</v>
      </c>
      <c r="H595" s="57" t="s">
        <v>211</v>
      </c>
      <c r="I595" s="58" t="n">
        <f aca="false">'P9-008'!$N$28</f>
        <v>46329</v>
      </c>
      <c r="J595" s="58" t="n">
        <f aca="false">'P9-008'!$O$28</f>
        <v>46329</v>
      </c>
      <c r="K595" s="56" t="str">
        <f aca="false">IF(OR(L595="Y",LEFT('P9-008'!$T$28,1)="D"),"",IF(AND(ISNUMBER(J595),J595&lt;ASOF),"⚠ เลยกำหนด",IF(AND(ISNUMBER(I595),I595&lt;=ASOF+14,J595&gt;=ASOF-7),"ช่วงนี้","")))</f>
        <v>ช่วงนี้</v>
      </c>
      <c r="L595" s="59"/>
      <c r="M595" s="60"/>
    </row>
    <row r="596" customFormat="false" ht="15" hidden="false" customHeight="false" outlineLevel="0" collapsed="false">
      <c r="A596" s="54" t="s">
        <v>70</v>
      </c>
      <c r="B596" s="55" t="s">
        <v>478</v>
      </c>
      <c r="C596" s="56" t="s">
        <v>479</v>
      </c>
      <c r="D596" s="57" t="s">
        <v>72</v>
      </c>
      <c r="E596" s="57" t="s">
        <v>260</v>
      </c>
      <c r="F596" s="55" t="s">
        <v>261</v>
      </c>
      <c r="G596" s="55" t="s">
        <v>262</v>
      </c>
      <c r="H596" s="57" t="s">
        <v>211</v>
      </c>
      <c r="I596" s="58" t="n">
        <f aca="false">'P9-008'!$N$31</f>
        <v>46328</v>
      </c>
      <c r="J596" s="58" t="n">
        <f aca="false">'P9-008'!$O$31</f>
        <v>46328</v>
      </c>
      <c r="K596" s="56" t="str">
        <f aca="false">IF(OR(L596="Y",LEFT('P9-008'!$T$31,1)="D"),"",IF(AND(ISNUMBER(J596),J596&lt;ASOF),"⚠ เลยกำหนด",IF(AND(ISNUMBER(I596),I596&lt;=ASOF+14,J596&gt;=ASOF-7),"ช่วงนี้","")))</f>
        <v>ช่วงนี้</v>
      </c>
      <c r="L596" s="59"/>
      <c r="M596" s="60"/>
    </row>
    <row r="597" customFormat="false" ht="15" hidden="false" customHeight="false" outlineLevel="0" collapsed="false">
      <c r="A597" s="54" t="s">
        <v>70</v>
      </c>
      <c r="B597" s="55" t="s">
        <v>478</v>
      </c>
      <c r="C597" s="56" t="s">
        <v>479</v>
      </c>
      <c r="D597" s="57" t="s">
        <v>72</v>
      </c>
      <c r="E597" s="57" t="s">
        <v>263</v>
      </c>
      <c r="F597" s="55" t="s">
        <v>264</v>
      </c>
      <c r="G597" s="55" t="s">
        <v>265</v>
      </c>
      <c r="H597" s="57" t="s">
        <v>211</v>
      </c>
      <c r="I597" s="58" t="n">
        <f aca="false">'P9-008'!$N$32</f>
        <v>46328</v>
      </c>
      <c r="J597" s="58" t="n">
        <f aca="false">'P9-008'!$O$32</f>
        <v>46328</v>
      </c>
      <c r="K597" s="56" t="str">
        <f aca="false">IF(OR(L597="Y",LEFT('P9-008'!$T$32,1)="D"),"",IF(AND(ISNUMBER(J597),J597&lt;ASOF),"⚠ เลยกำหนด",IF(AND(ISNUMBER(I597),I597&lt;=ASOF+14,J597&gt;=ASOF-7),"ช่วงนี้","")))</f>
        <v>ช่วงนี้</v>
      </c>
      <c r="L597" s="59"/>
      <c r="M597" s="60"/>
    </row>
    <row r="598" customFormat="false" ht="15" hidden="false" customHeight="false" outlineLevel="0" collapsed="false">
      <c r="A598" s="54" t="s">
        <v>70</v>
      </c>
      <c r="B598" s="55" t="s">
        <v>478</v>
      </c>
      <c r="C598" s="56" t="s">
        <v>479</v>
      </c>
      <c r="D598" s="57" t="s">
        <v>72</v>
      </c>
      <c r="E598" s="57" t="s">
        <v>266</v>
      </c>
      <c r="F598" s="55" t="s">
        <v>267</v>
      </c>
      <c r="G598" s="55" t="s">
        <v>268</v>
      </c>
      <c r="H598" s="57" t="s">
        <v>211</v>
      </c>
      <c r="I598" s="58" t="n">
        <f aca="false">'P9-008'!$N$33</f>
        <v>46328</v>
      </c>
      <c r="J598" s="58" t="n">
        <f aca="false">'P9-008'!$O$33</f>
        <v>46328</v>
      </c>
      <c r="K598" s="56" t="str">
        <f aca="false">IF(OR(L598="Y",LEFT('P9-008'!$T$33,1)="D"),"",IF(AND(ISNUMBER(J598),J598&lt;ASOF),"⚠ เลยกำหนด",IF(AND(ISNUMBER(I598),I598&lt;=ASOF+14,J598&gt;=ASOF-7),"ช่วงนี้","")))</f>
        <v>ช่วงนี้</v>
      </c>
      <c r="L598" s="59"/>
      <c r="M598" s="60"/>
    </row>
    <row r="599" customFormat="false" ht="15" hidden="false" customHeight="false" outlineLevel="0" collapsed="false">
      <c r="A599" s="54" t="s">
        <v>70</v>
      </c>
      <c r="B599" s="55" t="s">
        <v>478</v>
      </c>
      <c r="C599" s="56" t="s">
        <v>479</v>
      </c>
      <c r="D599" s="57" t="s">
        <v>72</v>
      </c>
      <c r="E599" s="57" t="s">
        <v>269</v>
      </c>
      <c r="F599" s="61" t="s">
        <v>270</v>
      </c>
      <c r="G599" s="61" t="s">
        <v>271</v>
      </c>
      <c r="H599" s="57" t="s">
        <v>211</v>
      </c>
      <c r="I599" s="58" t="n">
        <f aca="false">'P9-008'!$N$35</f>
        <v>46328</v>
      </c>
      <c r="J599" s="58" t="n">
        <f aca="false">'P9-008'!$O$35</f>
        <v>46328</v>
      </c>
      <c r="K599" s="56" t="str">
        <f aca="false">IF(OR(L599="Y",LEFT('P9-008'!$T$35,1)="D"),"",IF(AND(ISNUMBER(J599),J599&lt;ASOF),"⚠ เลยกำหนด",IF(AND(ISNUMBER(I599),I599&lt;=ASOF+14,J599&gt;=ASOF-7),"ช่วงนี้","")))</f>
        <v>ช่วงนี้</v>
      </c>
      <c r="L599" s="59"/>
      <c r="M599" s="60"/>
    </row>
    <row r="600" customFormat="false" ht="15" hidden="false" customHeight="false" outlineLevel="0" collapsed="false">
      <c r="A600" s="54" t="s">
        <v>70</v>
      </c>
      <c r="B600" s="55" t="s">
        <v>478</v>
      </c>
      <c r="C600" s="56" t="s">
        <v>479</v>
      </c>
      <c r="D600" s="57" t="s">
        <v>72</v>
      </c>
      <c r="E600" s="57" t="s">
        <v>272</v>
      </c>
      <c r="F600" s="55" t="s">
        <v>273</v>
      </c>
      <c r="G600" s="55" t="s">
        <v>274</v>
      </c>
      <c r="H600" s="57" t="s">
        <v>211</v>
      </c>
      <c r="I600" s="58" t="n">
        <f aca="false">'P9-008'!$N$36</f>
        <v>46328</v>
      </c>
      <c r="J600" s="58" t="n">
        <f aca="false">'P9-008'!$O$36</f>
        <v>46328</v>
      </c>
      <c r="K600" s="56" t="str">
        <f aca="false">IF(OR(L600="Y",LEFT('P9-008'!$T$36,1)="D"),"",IF(AND(ISNUMBER(J600),J600&lt;ASOF),"⚠ เลยกำหนด",IF(AND(ISNUMBER(I600),I600&lt;=ASOF+14,J600&gt;=ASOF-7),"ช่วงนี้","")))</f>
        <v>ช่วงนี้</v>
      </c>
      <c r="L600" s="59"/>
      <c r="M600" s="60"/>
    </row>
    <row r="601" customFormat="false" ht="15" hidden="false" customHeight="false" outlineLevel="0" collapsed="false">
      <c r="A601" s="54" t="s">
        <v>70</v>
      </c>
      <c r="B601" s="55" t="s">
        <v>478</v>
      </c>
      <c r="C601" s="56" t="s">
        <v>479</v>
      </c>
      <c r="D601" s="57" t="s">
        <v>72</v>
      </c>
      <c r="E601" s="57" t="s">
        <v>275</v>
      </c>
      <c r="F601" s="55" t="s">
        <v>276</v>
      </c>
      <c r="G601" s="55" t="s">
        <v>277</v>
      </c>
      <c r="H601" s="57" t="s">
        <v>211</v>
      </c>
      <c r="I601" s="58" t="n">
        <f aca="false">'P9-008'!$N$37</f>
        <v>46328</v>
      </c>
      <c r="J601" s="58" t="n">
        <f aca="false">'P9-008'!$O$37</f>
        <v>46328</v>
      </c>
      <c r="K601" s="56" t="str">
        <f aca="false">IF(OR(L601="Y",LEFT('P9-008'!$T$37,1)="D"),"",IF(AND(ISNUMBER(J601),J601&lt;ASOF),"⚠ เลยกำหนด",IF(AND(ISNUMBER(I601),I601&lt;=ASOF+14,J601&gt;=ASOF-7),"ช่วงนี้","")))</f>
        <v>ช่วงนี้</v>
      </c>
      <c r="L601" s="59"/>
      <c r="M601" s="60"/>
    </row>
    <row r="602" customFormat="false" ht="15" hidden="false" customHeight="false" outlineLevel="0" collapsed="false">
      <c r="A602" s="54" t="s">
        <v>70</v>
      </c>
      <c r="B602" s="55" t="s">
        <v>478</v>
      </c>
      <c r="C602" s="56" t="s">
        <v>479</v>
      </c>
      <c r="D602" s="57" t="s">
        <v>72</v>
      </c>
      <c r="E602" s="57" t="s">
        <v>278</v>
      </c>
      <c r="F602" s="55" t="s">
        <v>279</v>
      </c>
      <c r="G602" s="55" t="s">
        <v>280</v>
      </c>
      <c r="H602" s="57" t="s">
        <v>211</v>
      </c>
      <c r="I602" s="58" t="n">
        <f aca="false">'P9-008'!$N$38</f>
        <v>46328</v>
      </c>
      <c r="J602" s="58" t="n">
        <f aca="false">'P9-008'!$O$38</f>
        <v>46328</v>
      </c>
      <c r="K602" s="56" t="str">
        <f aca="false">IF(OR(L602="Y",LEFT('P9-008'!$T$38,1)="D"),"",IF(AND(ISNUMBER(J602),J602&lt;ASOF),"⚠ เลยกำหนด",IF(AND(ISNUMBER(I602),I602&lt;=ASOF+14,J602&gt;=ASOF-7),"ช่วงนี้","")))</f>
        <v>ช่วงนี้</v>
      </c>
      <c r="L602" s="59"/>
      <c r="M602" s="60"/>
    </row>
    <row r="603" customFormat="false" ht="15" hidden="false" customHeight="false" outlineLevel="0" collapsed="false">
      <c r="A603" s="54" t="s">
        <v>70</v>
      </c>
      <c r="B603" s="55" t="s">
        <v>478</v>
      </c>
      <c r="C603" s="56" t="s">
        <v>479</v>
      </c>
      <c r="D603" s="57" t="s">
        <v>72</v>
      </c>
      <c r="E603" s="57" t="s">
        <v>281</v>
      </c>
      <c r="F603" s="55" t="s">
        <v>282</v>
      </c>
      <c r="G603" s="55" t="s">
        <v>283</v>
      </c>
      <c r="H603" s="57" t="s">
        <v>211</v>
      </c>
      <c r="I603" s="58" t="n">
        <f aca="false">'P9-008'!$N$40</f>
        <v>46328</v>
      </c>
      <c r="J603" s="58" t="n">
        <f aca="false">'P9-008'!$O$40</f>
        <v>46328</v>
      </c>
      <c r="K603" s="56" t="str">
        <f aca="false">IF(OR(L603="Y",LEFT('P9-008'!$T$40,1)="D"),"",IF(AND(ISNUMBER(J603),J603&lt;ASOF),"⚠ เลยกำหนด",IF(AND(ISNUMBER(I603),I603&lt;=ASOF+14,J603&gt;=ASOF-7),"ช่วงนี้","")))</f>
        <v>ช่วงนี้</v>
      </c>
      <c r="L603" s="59"/>
      <c r="M603" s="60"/>
    </row>
    <row r="604" customFormat="false" ht="15" hidden="false" customHeight="false" outlineLevel="0" collapsed="false">
      <c r="A604" s="54" t="s">
        <v>70</v>
      </c>
      <c r="B604" s="55" t="s">
        <v>478</v>
      </c>
      <c r="C604" s="56" t="s">
        <v>479</v>
      </c>
      <c r="D604" s="57" t="s">
        <v>72</v>
      </c>
      <c r="E604" s="57" t="s">
        <v>284</v>
      </c>
      <c r="F604" s="55" t="s">
        <v>285</v>
      </c>
      <c r="G604" s="61" t="s">
        <v>286</v>
      </c>
      <c r="H604" s="57" t="s">
        <v>211</v>
      </c>
      <c r="I604" s="58" t="n">
        <f aca="false">'P9-008'!$N$41</f>
        <v>46328</v>
      </c>
      <c r="J604" s="58" t="n">
        <f aca="false">'P9-008'!$O$41</f>
        <v>46328</v>
      </c>
      <c r="K604" s="56" t="str">
        <f aca="false">IF(OR(L604="Y",LEFT('P9-008'!$T$41,1)="D"),"",IF(AND(ISNUMBER(J604),J604&lt;ASOF),"⚠ เลยกำหนด",IF(AND(ISNUMBER(I604),I604&lt;=ASOF+14,J604&gt;=ASOF-7),"ช่วงนี้","")))</f>
        <v>ช่วงนี้</v>
      </c>
      <c r="L604" s="59"/>
      <c r="M604" s="60"/>
    </row>
    <row r="605" customFormat="false" ht="15" hidden="false" customHeight="false" outlineLevel="0" collapsed="false">
      <c r="A605" s="54" t="s">
        <v>70</v>
      </c>
      <c r="B605" s="55" t="s">
        <v>478</v>
      </c>
      <c r="C605" s="56" t="s">
        <v>479</v>
      </c>
      <c r="D605" s="57" t="s">
        <v>72</v>
      </c>
      <c r="E605" s="57" t="s">
        <v>287</v>
      </c>
      <c r="F605" s="55" t="s">
        <v>288</v>
      </c>
      <c r="G605" s="61" t="s">
        <v>289</v>
      </c>
      <c r="H605" s="57" t="s">
        <v>211</v>
      </c>
      <c r="I605" s="58" t="n">
        <f aca="false">'P9-008'!$N$42</f>
        <v>46328</v>
      </c>
      <c r="J605" s="58" t="n">
        <f aca="false">'P9-008'!$O$42</f>
        <v>46328</v>
      </c>
      <c r="K605" s="56" t="str">
        <f aca="false">IF(OR(L605="Y",LEFT('P9-008'!$T$42,1)="D"),"",IF(AND(ISNUMBER(J605),J605&lt;ASOF),"⚠ เลยกำหนด",IF(AND(ISNUMBER(I605),I605&lt;=ASOF+14,J605&gt;=ASOF-7),"ช่วงนี้","")))</f>
        <v>ช่วงนี้</v>
      </c>
      <c r="L605" s="59"/>
      <c r="M605" s="60"/>
    </row>
    <row r="606" customFormat="false" ht="15" hidden="false" customHeight="false" outlineLevel="0" collapsed="false">
      <c r="A606" s="54" t="s">
        <v>70</v>
      </c>
      <c r="B606" s="55" t="s">
        <v>478</v>
      </c>
      <c r="C606" s="56" t="s">
        <v>479</v>
      </c>
      <c r="D606" s="57" t="s">
        <v>72</v>
      </c>
      <c r="E606" s="57" t="s">
        <v>290</v>
      </c>
      <c r="F606" s="55" t="s">
        <v>291</v>
      </c>
      <c r="G606" s="55" t="s">
        <v>292</v>
      </c>
      <c r="H606" s="57" t="s">
        <v>211</v>
      </c>
      <c r="I606" s="58" t="n">
        <f aca="false">'P9-008'!$N$44</f>
        <v>46328</v>
      </c>
      <c r="J606" s="58" t="n">
        <f aca="false">'P9-008'!$O$44</f>
        <v>46328</v>
      </c>
      <c r="K606" s="56" t="str">
        <f aca="false">IF(OR(L606="Y",LEFT('P9-008'!$T$44,1)="D"),"",IF(AND(ISNUMBER(J606),J606&lt;ASOF),"⚠ เลยกำหนด",IF(AND(ISNUMBER(I606),I606&lt;=ASOF+14,J606&gt;=ASOF-7),"ช่วงนี้","")))</f>
        <v>ช่วงนี้</v>
      </c>
      <c r="L606" s="59"/>
      <c r="M606" s="60"/>
    </row>
    <row r="607" customFormat="false" ht="15" hidden="false" customHeight="false" outlineLevel="0" collapsed="false">
      <c r="A607" s="54" t="s">
        <v>70</v>
      </c>
      <c r="B607" s="55" t="s">
        <v>478</v>
      </c>
      <c r="C607" s="56" t="s">
        <v>479</v>
      </c>
      <c r="D607" s="57" t="s">
        <v>72</v>
      </c>
      <c r="E607" s="57" t="s">
        <v>293</v>
      </c>
      <c r="F607" s="55" t="s">
        <v>294</v>
      </c>
      <c r="G607" s="55" t="s">
        <v>295</v>
      </c>
      <c r="H607" s="57" t="s">
        <v>211</v>
      </c>
      <c r="I607" s="58" t="n">
        <f aca="false">'P9-008'!$N$45</f>
        <v>46328</v>
      </c>
      <c r="J607" s="58" t="n">
        <f aca="false">'P9-008'!$O$45</f>
        <v>46328</v>
      </c>
      <c r="K607" s="56" t="str">
        <f aca="false">IF(OR(L607="Y",LEFT('P9-008'!$T$45,1)="D"),"",IF(AND(ISNUMBER(J607),J607&lt;ASOF),"⚠ เลยกำหนด",IF(AND(ISNUMBER(I607),I607&lt;=ASOF+14,J607&gt;=ASOF-7),"ช่วงนี้","")))</f>
        <v>ช่วงนี้</v>
      </c>
      <c r="L607" s="59"/>
      <c r="M607" s="60"/>
    </row>
    <row r="608" customFormat="false" ht="15" hidden="false" customHeight="false" outlineLevel="0" collapsed="false">
      <c r="A608" s="54" t="s">
        <v>70</v>
      </c>
      <c r="B608" s="55" t="s">
        <v>478</v>
      </c>
      <c r="C608" s="56" t="s">
        <v>479</v>
      </c>
      <c r="D608" s="57" t="s">
        <v>72</v>
      </c>
      <c r="E608" s="57" t="s">
        <v>296</v>
      </c>
      <c r="F608" s="55" t="s">
        <v>297</v>
      </c>
      <c r="G608" s="55" t="s">
        <v>298</v>
      </c>
      <c r="H608" s="57" t="s">
        <v>211</v>
      </c>
      <c r="I608" s="58" t="n">
        <f aca="false">'P9-008'!$N$46</f>
        <v>46328</v>
      </c>
      <c r="J608" s="58" t="n">
        <f aca="false">'P9-008'!$O$46</f>
        <v>46328</v>
      </c>
      <c r="K608" s="56" t="str">
        <f aca="false">IF(OR(L608="Y",LEFT('P9-008'!$T$46,1)="D"),"",IF(AND(ISNUMBER(J608),J608&lt;ASOF),"⚠ เลยกำหนด",IF(AND(ISNUMBER(I608),I608&lt;=ASOF+14,J608&gt;=ASOF-7),"ช่วงนี้","")))</f>
        <v>ช่วงนี้</v>
      </c>
      <c r="L608" s="59"/>
      <c r="M608" s="60"/>
    </row>
    <row r="609" customFormat="false" ht="15" hidden="false" customHeight="false" outlineLevel="0" collapsed="false">
      <c r="A609" s="54" t="s">
        <v>70</v>
      </c>
      <c r="B609" s="55" t="s">
        <v>478</v>
      </c>
      <c r="C609" s="56" t="s">
        <v>479</v>
      </c>
      <c r="D609" s="57" t="s">
        <v>72</v>
      </c>
      <c r="E609" s="57" t="s">
        <v>456</v>
      </c>
      <c r="F609" s="61" t="s">
        <v>457</v>
      </c>
      <c r="G609" s="61" t="s">
        <v>458</v>
      </c>
      <c r="H609" s="57" t="s">
        <v>211</v>
      </c>
      <c r="I609" s="58" t="n">
        <f aca="false">'P9-008'!$N$48</f>
        <v>46356</v>
      </c>
      <c r="J609" s="58" t="n">
        <f aca="false">'P9-008'!$O$48</f>
        <v>46356</v>
      </c>
      <c r="K609" s="56" t="str">
        <f aca="false">IF(OR(L609="Y",LEFT('P9-008'!$T$48,1)="D"),"",IF(AND(ISNUMBER(J609),J609&lt;ASOF),"⚠ เลยกำหนด",IF(AND(ISNUMBER(I609),I609&lt;=ASOF+14,J609&gt;=ASOF-7),"ช่วงนี้","")))</f>
        <v/>
      </c>
      <c r="L609" s="59"/>
      <c r="M609" s="60"/>
    </row>
    <row r="610" customFormat="false" ht="15" hidden="false" customHeight="false" outlineLevel="0" collapsed="false">
      <c r="A610" s="54" t="s">
        <v>70</v>
      </c>
      <c r="B610" s="55" t="s">
        <v>478</v>
      </c>
      <c r="C610" s="56" t="s">
        <v>479</v>
      </c>
      <c r="D610" s="57" t="s">
        <v>72</v>
      </c>
      <c r="E610" s="57" t="s">
        <v>459</v>
      </c>
      <c r="F610" s="55" t="s">
        <v>460</v>
      </c>
      <c r="G610" s="55" t="s">
        <v>461</v>
      </c>
      <c r="H610" s="57" t="s">
        <v>211</v>
      </c>
      <c r="I610" s="58" t="n">
        <f aca="false">'P9-008'!$N$49</f>
        <v>46356</v>
      </c>
      <c r="J610" s="58" t="n">
        <f aca="false">'P9-008'!$O$49</f>
        <v>46356</v>
      </c>
      <c r="K610" s="56" t="str">
        <f aca="false">IF(OR(L610="Y",LEFT('P9-008'!$T$49,1)="D"),"",IF(AND(ISNUMBER(J610),J610&lt;ASOF),"⚠ เลยกำหนด",IF(AND(ISNUMBER(I610),I610&lt;=ASOF+14,J610&gt;=ASOF-7),"ช่วงนี้","")))</f>
        <v/>
      </c>
      <c r="L610" s="59"/>
      <c r="M610" s="60"/>
    </row>
    <row r="611" customFormat="false" ht="15" hidden="false" customHeight="false" outlineLevel="0" collapsed="false">
      <c r="A611" s="54" t="s">
        <v>70</v>
      </c>
      <c r="B611" s="55" t="s">
        <v>478</v>
      </c>
      <c r="C611" s="56" t="s">
        <v>479</v>
      </c>
      <c r="D611" s="57" t="s">
        <v>72</v>
      </c>
      <c r="E611" s="57" t="s">
        <v>462</v>
      </c>
      <c r="F611" s="55" t="s">
        <v>463</v>
      </c>
      <c r="G611" s="55" t="s">
        <v>464</v>
      </c>
      <c r="H611" s="57" t="s">
        <v>211</v>
      </c>
      <c r="I611" s="58" t="n">
        <f aca="false">'P9-008'!$N$51</f>
        <v>46356</v>
      </c>
      <c r="J611" s="58" t="n">
        <f aca="false">'P9-008'!$O$51</f>
        <v>46356</v>
      </c>
      <c r="K611" s="56" t="str">
        <f aca="false">IF(OR(L611="Y",LEFT('P9-008'!$T$51,1)="D"),"",IF(AND(ISNUMBER(J611),J611&lt;ASOF),"⚠ เลยกำหนด",IF(AND(ISNUMBER(I611),I611&lt;=ASOF+14,J611&gt;=ASOF-7),"ช่วงนี้","")))</f>
        <v/>
      </c>
      <c r="L611" s="59"/>
      <c r="M611" s="60"/>
    </row>
    <row r="612" customFormat="false" ht="15" hidden="false" customHeight="false" outlineLevel="0" collapsed="false">
      <c r="A612" s="54" t="s">
        <v>70</v>
      </c>
      <c r="B612" s="55" t="s">
        <v>478</v>
      </c>
      <c r="C612" s="56" t="s">
        <v>479</v>
      </c>
      <c r="D612" s="57" t="s">
        <v>72</v>
      </c>
      <c r="E612" s="57" t="s">
        <v>299</v>
      </c>
      <c r="F612" s="55" t="s">
        <v>300</v>
      </c>
      <c r="G612" s="55" t="s">
        <v>301</v>
      </c>
      <c r="H612" s="57" t="s">
        <v>211</v>
      </c>
      <c r="I612" s="58" t="str">
        <f aca="false">'P9-008'!$N$53</f>
        <v/>
      </c>
      <c r="J612" s="58" t="str">
        <f aca="false">'P9-008'!$O$53</f>
        <v/>
      </c>
      <c r="K612" s="56" t="str">
        <f aca="false">IF(OR(L612="Y",LEFT('P9-008'!$T$53,1)="D"),"",IF(AND(ISNUMBER(J612),J612&lt;ASOF),"⚠ เลยกำหนด",IF(AND(ISNUMBER(I612),I612&lt;=ASOF+14,J612&gt;=ASOF-7),"ช่วงนี้","")))</f>
        <v/>
      </c>
      <c r="L612" s="59"/>
      <c r="M612" s="60"/>
    </row>
    <row r="613" customFormat="false" ht="15" hidden="false" customHeight="false" outlineLevel="0" collapsed="false">
      <c r="A613" s="54" t="s">
        <v>70</v>
      </c>
      <c r="B613" s="55" t="s">
        <v>478</v>
      </c>
      <c r="C613" s="56" t="s">
        <v>479</v>
      </c>
      <c r="D613" s="57" t="s">
        <v>72</v>
      </c>
      <c r="E613" s="57" t="s">
        <v>302</v>
      </c>
      <c r="F613" s="55" t="s">
        <v>303</v>
      </c>
      <c r="G613" s="55" t="s">
        <v>304</v>
      </c>
      <c r="H613" s="57" t="s">
        <v>211</v>
      </c>
      <c r="I613" s="58" t="str">
        <f aca="false">'P9-008'!$N$54</f>
        <v/>
      </c>
      <c r="J613" s="58" t="str">
        <f aca="false">'P9-008'!$O$54</f>
        <v/>
      </c>
      <c r="K613" s="56" t="str">
        <f aca="false">IF(OR(L613="Y",LEFT('P9-008'!$T$54,1)="D"),"",IF(AND(ISNUMBER(J613),J613&lt;ASOF),"⚠ เลยกำหนด",IF(AND(ISNUMBER(I613),I613&lt;=ASOF+14,J613&gt;=ASOF-7),"ช่วงนี้","")))</f>
        <v/>
      </c>
      <c r="L613" s="59"/>
      <c r="M613" s="60"/>
    </row>
    <row r="614" customFormat="false" ht="15" hidden="false" customHeight="false" outlineLevel="0" collapsed="false">
      <c r="A614" s="54" t="s">
        <v>70</v>
      </c>
      <c r="B614" s="55" t="s">
        <v>478</v>
      </c>
      <c r="C614" s="56" t="s">
        <v>479</v>
      </c>
      <c r="D614" s="57" t="s">
        <v>72</v>
      </c>
      <c r="E614" s="57" t="s">
        <v>305</v>
      </c>
      <c r="F614" s="55" t="s">
        <v>306</v>
      </c>
      <c r="G614" s="55" t="s">
        <v>307</v>
      </c>
      <c r="H614" s="56" t="str">
        <f aca="false">IF(COUNTIFS(SITE_ST,"P9-008",SITE_TYPE,"?*")&gt;0,"ตามจุดติดตั้ง →","0/100")</f>
        <v>ตามจุดติดตั้ง →</v>
      </c>
      <c r="I614" s="58" t="n">
        <f aca="false">'P9-008'!$N$63</f>
        <v>46328</v>
      </c>
      <c r="J614" s="58" t="n">
        <f aca="false">'P9-008'!$O$63</f>
        <v>46329</v>
      </c>
      <c r="K614" s="56" t="str">
        <f aca="false">IF(OR(L614="Y",LEFT('P9-008'!$T$63,1)="D"),"",IF(AND(ISNUMBER(J614),J614&lt;ASOF),"⚠ เลยกำหนด",IF(AND(ISNUMBER(I614),I614&lt;=ASOF+14,J614&gt;=ASOF-7),"ช่วงนี้","")))</f>
        <v>ช่วงนี้</v>
      </c>
      <c r="L614" s="59"/>
      <c r="M614" s="60"/>
    </row>
    <row r="615" customFormat="false" ht="15" hidden="false" customHeight="false" outlineLevel="0" collapsed="false">
      <c r="A615" s="54" t="s">
        <v>70</v>
      </c>
      <c r="B615" s="55" t="s">
        <v>478</v>
      </c>
      <c r="C615" s="56" t="s">
        <v>479</v>
      </c>
      <c r="D615" s="57" t="s">
        <v>72</v>
      </c>
      <c r="E615" s="57" t="s">
        <v>308</v>
      </c>
      <c r="F615" s="55" t="s">
        <v>309</v>
      </c>
      <c r="G615" s="55" t="s">
        <v>310</v>
      </c>
      <c r="H615" s="57" t="s">
        <v>211</v>
      </c>
      <c r="I615" s="58" t="n">
        <f aca="false">'P9-008'!$N$64</f>
        <v>46328</v>
      </c>
      <c r="J615" s="58" t="n">
        <f aca="false">'P9-008'!$O$64</f>
        <v>46330</v>
      </c>
      <c r="K615" s="56" t="str">
        <f aca="false">IF(OR(L615="Y",LEFT('P9-008'!$T$64,1)="D"),"",IF(AND(ISNUMBER(J615),J615&lt;ASOF),"⚠ เลยกำหนด",IF(AND(ISNUMBER(I615),I615&lt;=ASOF+14,J615&gt;=ASOF-7),"ช่วงนี้","")))</f>
        <v>ช่วงนี้</v>
      </c>
      <c r="L615" s="59"/>
      <c r="M615" s="60"/>
    </row>
    <row r="616" customFormat="false" ht="15" hidden="false" customHeight="false" outlineLevel="0" collapsed="false">
      <c r="A616" s="54" t="s">
        <v>70</v>
      </c>
      <c r="B616" s="55" t="s">
        <v>478</v>
      </c>
      <c r="C616" s="56" t="s">
        <v>479</v>
      </c>
      <c r="D616" s="57" t="s">
        <v>72</v>
      </c>
      <c r="E616" s="57" t="s">
        <v>311</v>
      </c>
      <c r="F616" s="55" t="s">
        <v>312</v>
      </c>
      <c r="G616" s="55" t="s">
        <v>313</v>
      </c>
      <c r="H616" s="56" t="str">
        <f aca="false">IF(COUNTIFS(SITE_ST,"P9-008",SITE_TYPE,"?*")&gt;0,"ตามจุดติดตั้ง →","50/50")</f>
        <v>ตามจุดติดตั้ง →</v>
      </c>
      <c r="I616" s="58" t="n">
        <f aca="false">'P9-008'!$N$65</f>
        <v>46329</v>
      </c>
      <c r="J616" s="58" t="n">
        <f aca="false">'P9-008'!$O$65</f>
        <v>46332</v>
      </c>
      <c r="K616" s="56" t="str">
        <f aca="false">IF(OR(L616="Y",LEFT('P9-008'!$T$65,1)="D"),"",IF(AND(ISNUMBER(J616),J616&lt;ASOF),"⚠ เลยกำหนด",IF(AND(ISNUMBER(I616),I616&lt;=ASOF+14,J616&gt;=ASOF-7),"ช่วงนี้","")))</f>
        <v>ช่วงนี้</v>
      </c>
      <c r="L616" s="59"/>
      <c r="M616" s="60"/>
    </row>
    <row r="617" customFormat="false" ht="15" hidden="false" customHeight="false" outlineLevel="0" collapsed="false">
      <c r="A617" s="54" t="s">
        <v>70</v>
      </c>
      <c r="B617" s="55" t="s">
        <v>478</v>
      </c>
      <c r="C617" s="56" t="s">
        <v>479</v>
      </c>
      <c r="D617" s="57" t="s">
        <v>72</v>
      </c>
      <c r="E617" s="57" t="s">
        <v>314</v>
      </c>
      <c r="F617" s="55" t="s">
        <v>315</v>
      </c>
      <c r="G617" s="61" t="s">
        <v>316</v>
      </c>
      <c r="H617" s="56" t="str">
        <f aca="false">IF(COUNTIFS(SITE_ST,"P9-008",SITE_TYPE,"?*")&gt;0,"ตามจุดติดตั้ง →","50/50")</f>
        <v>ตามจุดติดตั้ง →</v>
      </c>
      <c r="I617" s="58" t="n">
        <f aca="false">'P9-008'!$N$66</f>
        <v>46331</v>
      </c>
      <c r="J617" s="58" t="n">
        <f aca="false">'P9-008'!$O$66</f>
        <v>46335</v>
      </c>
      <c r="K617" s="56" t="str">
        <f aca="false">IF(OR(L617="Y",LEFT('P9-008'!$T$66,1)="D"),"",IF(AND(ISNUMBER(J617),J617&lt;ASOF),"⚠ เลยกำหนด",IF(AND(ISNUMBER(I617),I617&lt;=ASOF+14,J617&gt;=ASOF-7),"ช่วงนี้","")))</f>
        <v>ช่วงนี้</v>
      </c>
      <c r="L617" s="59"/>
      <c r="M617" s="60"/>
    </row>
    <row r="618" customFormat="false" ht="15" hidden="false" customHeight="false" outlineLevel="0" collapsed="false">
      <c r="A618" s="54" t="s">
        <v>70</v>
      </c>
      <c r="B618" s="55" t="s">
        <v>478</v>
      </c>
      <c r="C618" s="56" t="s">
        <v>479</v>
      </c>
      <c r="D618" s="57" t="s">
        <v>72</v>
      </c>
      <c r="E618" s="57" t="s">
        <v>317</v>
      </c>
      <c r="F618" s="61" t="s">
        <v>318</v>
      </c>
      <c r="G618" s="61" t="s">
        <v>319</v>
      </c>
      <c r="H618" s="56" t="str">
        <f aca="false">IF(COUNTIFS(SITE_ST,"P9-008",SITE_TYPE,"?*")&gt;0,"ตามจุดติดตั้ง →","50/50")</f>
        <v>ตามจุดติดตั้ง →</v>
      </c>
      <c r="I618" s="58" t="n">
        <f aca="false">'P9-008'!$N$67</f>
        <v>46333</v>
      </c>
      <c r="J618" s="58" t="n">
        <f aca="false">'P9-008'!$O$67</f>
        <v>46336</v>
      </c>
      <c r="K618" s="56" t="str">
        <f aca="false">IF(OR(L618="Y",LEFT('P9-008'!$T$67,1)="D"),"",IF(AND(ISNUMBER(J618),J618&lt;ASOF),"⚠ เลยกำหนด",IF(AND(ISNUMBER(I618),I618&lt;=ASOF+14,J618&gt;=ASOF-7),"ช่วงนี้","")))</f>
        <v>ช่วงนี้</v>
      </c>
      <c r="L618" s="59"/>
      <c r="M618" s="60"/>
    </row>
    <row r="619" customFormat="false" ht="15" hidden="false" customHeight="false" outlineLevel="0" collapsed="false">
      <c r="A619" s="54" t="s">
        <v>70</v>
      </c>
      <c r="B619" s="55" t="s">
        <v>478</v>
      </c>
      <c r="C619" s="56" t="s">
        <v>479</v>
      </c>
      <c r="D619" s="57" t="s">
        <v>72</v>
      </c>
      <c r="E619" s="57" t="s">
        <v>320</v>
      </c>
      <c r="F619" s="55" t="s">
        <v>321</v>
      </c>
      <c r="G619" s="55" t="s">
        <v>322</v>
      </c>
      <c r="H619" s="56" t="str">
        <f aca="false">IF(COUNTIFS(SITE_ST,"P9-008",SITE_TYPE,"?*")&gt;0,"ตามจุดติดตั้ง →","0/100")</f>
        <v>ตามจุดติดตั้ง →</v>
      </c>
      <c r="I619" s="58" t="n">
        <f aca="false">'P9-008'!$N$68</f>
        <v>46334</v>
      </c>
      <c r="J619" s="58" t="n">
        <f aca="false">'P9-008'!$O$68</f>
        <v>46336</v>
      </c>
      <c r="K619" s="56" t="str">
        <f aca="false">IF(OR(L619="Y",LEFT('P9-008'!$T$68,1)="D"),"",IF(AND(ISNUMBER(J619),J619&lt;ASOF),"⚠ เลยกำหนด",IF(AND(ISNUMBER(I619),I619&lt;=ASOF+14,J619&gt;=ASOF-7),"ช่วงนี้","")))</f>
        <v>ช่วงนี้</v>
      </c>
      <c r="L619" s="59"/>
      <c r="M619" s="60"/>
    </row>
    <row r="620" customFormat="false" ht="15" hidden="false" customHeight="false" outlineLevel="0" collapsed="false">
      <c r="A620" s="54" t="s">
        <v>70</v>
      </c>
      <c r="B620" s="55" t="s">
        <v>478</v>
      </c>
      <c r="C620" s="56" t="s">
        <v>479</v>
      </c>
      <c r="D620" s="57" t="s">
        <v>72</v>
      </c>
      <c r="E620" s="57" t="s">
        <v>323</v>
      </c>
      <c r="F620" s="61" t="s">
        <v>324</v>
      </c>
      <c r="G620" s="55" t="s">
        <v>325</v>
      </c>
      <c r="H620" s="56" t="str">
        <f aca="false">IF(COUNTIFS(SITE_ST,"P9-008",SITE_TYPE,"?*")&gt;0,"ตามจุดติดตั้ง →","0/100")</f>
        <v>ตามจุดติดตั้ง →</v>
      </c>
      <c r="I620" s="58" t="n">
        <f aca="false">'P9-008'!$N$69</f>
        <v>46336</v>
      </c>
      <c r="J620" s="58" t="n">
        <f aca="false">'P9-008'!$O$69</f>
        <v>46336</v>
      </c>
      <c r="K620" s="56" t="str">
        <f aca="false">IF(OR(L620="Y",LEFT('P9-008'!$T$69,1)="D"),"",IF(AND(ISNUMBER(J620),J620&lt;ASOF),"⚠ เลยกำหนด",IF(AND(ISNUMBER(I620),I620&lt;=ASOF+14,J620&gt;=ASOF-7),"ช่วงนี้","")))</f>
        <v>ช่วงนี้</v>
      </c>
      <c r="L620" s="59"/>
      <c r="M620" s="60"/>
    </row>
    <row r="621" customFormat="false" ht="15" hidden="false" customHeight="false" outlineLevel="0" collapsed="false">
      <c r="A621" s="54" t="s">
        <v>70</v>
      </c>
      <c r="B621" s="55" t="s">
        <v>478</v>
      </c>
      <c r="C621" s="56" t="s">
        <v>479</v>
      </c>
      <c r="D621" s="57" t="s">
        <v>72</v>
      </c>
      <c r="E621" s="57" t="s">
        <v>326</v>
      </c>
      <c r="F621" s="55" t="s">
        <v>327</v>
      </c>
      <c r="G621" s="61" t="s">
        <v>328</v>
      </c>
      <c r="H621" s="56" t="str">
        <f aca="false">IF(COUNTIFS(SITE_ST,"P9-008",SITE_TYPE,"?*")&gt;0,"ตามจุดติดตั้ง →","50/50")</f>
        <v>ตามจุดติดตั้ง →</v>
      </c>
      <c r="I621" s="58" t="n">
        <f aca="false">'P9-008'!$N$71</f>
        <v>46343</v>
      </c>
      <c r="J621" s="58" t="n">
        <f aca="false">'P9-008'!$O$71</f>
        <v>46344</v>
      </c>
      <c r="K621" s="56" t="str">
        <f aca="false">IF(OR(L621="Y",LEFT('P9-008'!$T$71,1)="D"),"",IF(AND(ISNUMBER(J621),J621&lt;ASOF),"⚠ เลยกำหนด",IF(AND(ISNUMBER(I621),I621&lt;=ASOF+14,J621&gt;=ASOF-7),"ช่วงนี้","")))</f>
        <v/>
      </c>
      <c r="L621" s="59"/>
      <c r="M621" s="60"/>
    </row>
    <row r="622" customFormat="false" ht="15" hidden="false" customHeight="false" outlineLevel="0" collapsed="false">
      <c r="A622" s="54" t="s">
        <v>70</v>
      </c>
      <c r="B622" s="55" t="s">
        <v>478</v>
      </c>
      <c r="C622" s="56" t="s">
        <v>479</v>
      </c>
      <c r="D622" s="57" t="s">
        <v>72</v>
      </c>
      <c r="E622" s="57" t="s">
        <v>329</v>
      </c>
      <c r="F622" s="55" t="s">
        <v>330</v>
      </c>
      <c r="G622" s="55" t="s">
        <v>331</v>
      </c>
      <c r="H622" s="56" t="str">
        <f aca="false">IF(COUNTIFS(SITE_ST,"P9-008",SITE_TYPE,"?*")&gt;0,"ตามจุดติดตั้ง →","50/50")</f>
        <v>ตามจุดติดตั้ง →</v>
      </c>
      <c r="I622" s="58" t="n">
        <f aca="false">'P9-008'!$N$72</f>
        <v>46344</v>
      </c>
      <c r="J622" s="58" t="n">
        <f aca="false">'P9-008'!$O$72</f>
        <v>46345</v>
      </c>
      <c r="K622" s="56" t="str">
        <f aca="false">IF(OR(L622="Y",LEFT('P9-008'!$T$72,1)="D"),"",IF(AND(ISNUMBER(J622),J622&lt;ASOF),"⚠ เลยกำหนด",IF(AND(ISNUMBER(I622),I622&lt;=ASOF+14,J622&gt;=ASOF-7),"ช่วงนี้","")))</f>
        <v/>
      </c>
      <c r="L622" s="59"/>
      <c r="M622" s="60"/>
    </row>
    <row r="623" customFormat="false" ht="15" hidden="false" customHeight="false" outlineLevel="0" collapsed="false">
      <c r="A623" s="54" t="s">
        <v>70</v>
      </c>
      <c r="B623" s="55" t="s">
        <v>478</v>
      </c>
      <c r="C623" s="56" t="s">
        <v>479</v>
      </c>
      <c r="D623" s="57" t="s">
        <v>72</v>
      </c>
      <c r="E623" s="57" t="s">
        <v>332</v>
      </c>
      <c r="F623" s="55" t="s">
        <v>333</v>
      </c>
      <c r="G623" s="55" t="s">
        <v>334</v>
      </c>
      <c r="H623" s="56" t="str">
        <f aca="false">IF(COUNTIFS(SITE_ST,"P9-008",SITE_TYPE,"?*")&gt;0,"ตามจุดติดตั้ง →","0/100")</f>
        <v>ตามจุดติดตั้ง →</v>
      </c>
      <c r="I623" s="58" t="n">
        <f aca="false">'P9-008'!$N$73</f>
        <v>46344</v>
      </c>
      <c r="J623" s="58" t="n">
        <f aca="false">'P9-008'!$O$73</f>
        <v>46345</v>
      </c>
      <c r="K623" s="56" t="str">
        <f aca="false">IF(OR(L623="Y",LEFT('P9-008'!$T$73,1)="D"),"",IF(AND(ISNUMBER(J623),J623&lt;ASOF),"⚠ เลยกำหนด",IF(AND(ISNUMBER(I623),I623&lt;=ASOF+14,J623&gt;=ASOF-7),"ช่วงนี้","")))</f>
        <v/>
      </c>
      <c r="L623" s="59"/>
      <c r="M623" s="60"/>
    </row>
    <row r="624" customFormat="false" ht="15" hidden="false" customHeight="false" outlineLevel="0" collapsed="false">
      <c r="A624" s="54" t="s">
        <v>70</v>
      </c>
      <c r="B624" s="55" t="s">
        <v>478</v>
      </c>
      <c r="C624" s="56" t="s">
        <v>479</v>
      </c>
      <c r="D624" s="57" t="s">
        <v>72</v>
      </c>
      <c r="E624" s="57" t="s">
        <v>335</v>
      </c>
      <c r="F624" s="55" t="s">
        <v>336</v>
      </c>
      <c r="G624" s="61" t="s">
        <v>337</v>
      </c>
      <c r="H624" s="56" t="str">
        <f aca="false">IF(COUNTIFS(SITE_ST,"P9-008",SITE_TYPE,"?*")&gt;0,"ตามจุดติดตั้ง →","0/100")</f>
        <v>ตามจุดติดตั้ง →</v>
      </c>
      <c r="I624" s="58" t="n">
        <f aca="false">'P9-008'!$N$74</f>
        <v>46345</v>
      </c>
      <c r="J624" s="58" t="n">
        <f aca="false">'P9-008'!$O$74</f>
        <v>46346</v>
      </c>
      <c r="K624" s="56" t="str">
        <f aca="false">IF(OR(L624="Y",LEFT('P9-008'!$T$74,1)="D"),"",IF(AND(ISNUMBER(J624),J624&lt;ASOF),"⚠ เลยกำหนด",IF(AND(ISNUMBER(I624),I624&lt;=ASOF+14,J624&gt;=ASOF-7),"ช่วงนี้","")))</f>
        <v/>
      </c>
      <c r="L624" s="59"/>
      <c r="M624" s="60"/>
    </row>
    <row r="625" customFormat="false" ht="15" hidden="false" customHeight="false" outlineLevel="0" collapsed="false">
      <c r="A625" s="54" t="s">
        <v>70</v>
      </c>
      <c r="B625" s="55" t="s">
        <v>478</v>
      </c>
      <c r="C625" s="56" t="s">
        <v>479</v>
      </c>
      <c r="D625" s="57" t="s">
        <v>72</v>
      </c>
      <c r="E625" s="57" t="s">
        <v>338</v>
      </c>
      <c r="F625" s="61" t="s">
        <v>339</v>
      </c>
      <c r="G625" s="55" t="s">
        <v>340</v>
      </c>
      <c r="H625" s="56" t="str">
        <f aca="false">IF(COUNTIFS(SITE_ST,"P9-008",SITE_TYPE,"?*")&gt;0,"ตามจุดติดตั้ง →","0/100")</f>
        <v>ตามจุดติดตั้ง →</v>
      </c>
      <c r="I625" s="58" t="n">
        <f aca="false">'P9-008'!$N$75</f>
        <v>46345</v>
      </c>
      <c r="J625" s="58" t="n">
        <f aca="false">'P9-008'!$O$75</f>
        <v>46346</v>
      </c>
      <c r="K625" s="56" t="str">
        <f aca="false">IF(OR(L625="Y",LEFT('P9-008'!$T$75,1)="D"),"",IF(AND(ISNUMBER(J625),J625&lt;ASOF),"⚠ เลยกำหนด",IF(AND(ISNUMBER(I625),I625&lt;=ASOF+14,J625&gt;=ASOF-7),"ช่วงนี้","")))</f>
        <v/>
      </c>
      <c r="L625" s="59"/>
      <c r="M625" s="60"/>
    </row>
    <row r="626" customFormat="false" ht="15" hidden="false" customHeight="false" outlineLevel="0" collapsed="false">
      <c r="A626" s="54" t="s">
        <v>70</v>
      </c>
      <c r="B626" s="55" t="s">
        <v>478</v>
      </c>
      <c r="C626" s="56" t="s">
        <v>479</v>
      </c>
      <c r="D626" s="57" t="s">
        <v>72</v>
      </c>
      <c r="E626" s="57" t="s">
        <v>341</v>
      </c>
      <c r="F626" s="55" t="s">
        <v>342</v>
      </c>
      <c r="G626" s="55" t="s">
        <v>343</v>
      </c>
      <c r="H626" s="56" t="str">
        <f aca="false">IF(COUNTIFS(SITE_ST,"P9-008",SITE_TYPE,"?*")&gt;0,"ตามจุดติดตั้ง →","0/100")</f>
        <v>ตามจุดติดตั้ง →</v>
      </c>
      <c r="I626" s="58" t="n">
        <f aca="false">'P9-008'!$N$77</f>
        <v>46337</v>
      </c>
      <c r="J626" s="58" t="n">
        <f aca="false">'P9-008'!$O$77</f>
        <v>46340</v>
      </c>
      <c r="K626" s="56" t="str">
        <f aca="false">IF(OR(L626="Y",LEFT('P9-008'!$T$77,1)="D"),"",IF(AND(ISNUMBER(J626),J626&lt;ASOF),"⚠ เลยกำหนด",IF(AND(ISNUMBER(I626),I626&lt;=ASOF+14,J626&gt;=ASOF-7),"ช่วงนี้","")))</f>
        <v>ช่วงนี้</v>
      </c>
      <c r="L626" s="59"/>
      <c r="M626" s="60"/>
    </row>
    <row r="627" customFormat="false" ht="15" hidden="false" customHeight="false" outlineLevel="0" collapsed="false">
      <c r="A627" s="54" t="s">
        <v>70</v>
      </c>
      <c r="B627" s="55" t="s">
        <v>478</v>
      </c>
      <c r="C627" s="56" t="s">
        <v>479</v>
      </c>
      <c r="D627" s="57" t="s">
        <v>72</v>
      </c>
      <c r="E627" s="57" t="s">
        <v>344</v>
      </c>
      <c r="F627" s="55" t="s">
        <v>345</v>
      </c>
      <c r="G627" s="55" t="s">
        <v>346</v>
      </c>
      <c r="H627" s="56" t="str">
        <f aca="false">IF(COUNTIFS(SITE_ST,"P9-008",SITE_TYPE,"?*")&gt;0,"ตามจุดติดตั้ง →","50/50")</f>
        <v>ตามจุดติดตั้ง →</v>
      </c>
      <c r="I627" s="58" t="n">
        <f aca="false">'P9-008'!$N$78</f>
        <v>46338</v>
      </c>
      <c r="J627" s="58" t="n">
        <f aca="false">'P9-008'!$O$78</f>
        <v>46346</v>
      </c>
      <c r="K627" s="56" t="str">
        <f aca="false">IF(OR(L627="Y",LEFT('P9-008'!$T$78,1)="D"),"",IF(AND(ISNUMBER(J627),J627&lt;ASOF),"⚠ เลยกำหนด",IF(AND(ISNUMBER(I627),I627&lt;=ASOF+14,J627&gt;=ASOF-7),"ช่วงนี้","")))</f>
        <v>ช่วงนี้</v>
      </c>
      <c r="L627" s="59"/>
      <c r="M627" s="60"/>
    </row>
    <row r="628" customFormat="false" ht="15" hidden="false" customHeight="false" outlineLevel="0" collapsed="false">
      <c r="A628" s="54" t="s">
        <v>70</v>
      </c>
      <c r="B628" s="55" t="s">
        <v>478</v>
      </c>
      <c r="C628" s="56" t="s">
        <v>479</v>
      </c>
      <c r="D628" s="57" t="s">
        <v>72</v>
      </c>
      <c r="E628" s="57" t="s">
        <v>347</v>
      </c>
      <c r="F628" s="61" t="s">
        <v>348</v>
      </c>
      <c r="G628" s="55" t="s">
        <v>349</v>
      </c>
      <c r="H628" s="56" t="str">
        <f aca="false">IF(COUNTIFS(SITE_ST,"P9-008",SITE_TYPE,"?*")&gt;0,"ตามจุดติดตั้ง →","50/50")</f>
        <v>ตามจุดติดตั้ง →</v>
      </c>
      <c r="I628" s="58" t="n">
        <f aca="false">'P9-008'!$N$79</f>
        <v>46341</v>
      </c>
      <c r="J628" s="58" t="n">
        <f aca="false">'P9-008'!$O$79</f>
        <v>46347</v>
      </c>
      <c r="K628" s="56" t="str">
        <f aca="false">IF(OR(L628="Y",LEFT('P9-008'!$T$79,1)="D"),"",IF(AND(ISNUMBER(J628),J628&lt;ASOF),"⚠ เลยกำหนด",IF(AND(ISNUMBER(I628),I628&lt;=ASOF+14,J628&gt;=ASOF-7),"ช่วงนี้","")))</f>
        <v>ช่วงนี้</v>
      </c>
      <c r="L628" s="59"/>
      <c r="M628" s="60"/>
    </row>
    <row r="629" customFormat="false" ht="15" hidden="false" customHeight="false" outlineLevel="0" collapsed="false">
      <c r="A629" s="54" t="s">
        <v>70</v>
      </c>
      <c r="B629" s="55" t="s">
        <v>478</v>
      </c>
      <c r="C629" s="56" t="s">
        <v>479</v>
      </c>
      <c r="D629" s="57" t="s">
        <v>72</v>
      </c>
      <c r="E629" s="57" t="s">
        <v>350</v>
      </c>
      <c r="F629" s="61" t="s">
        <v>351</v>
      </c>
      <c r="G629" s="55" t="s">
        <v>352</v>
      </c>
      <c r="H629" s="56" t="str">
        <f aca="false">IF(COUNTIFS(SITE_ST,"P9-008",SITE_TYPE,"?*")&gt;0,"ตามจุดติดตั้ง →","0/100")</f>
        <v>ตามจุดติดตั้ง →</v>
      </c>
      <c r="I629" s="58" t="n">
        <f aca="false">'P9-008'!$N$80</f>
        <v>46345</v>
      </c>
      <c r="J629" s="58" t="n">
        <f aca="false">'P9-008'!$O$80</f>
        <v>46347</v>
      </c>
      <c r="K629" s="56" t="str">
        <f aca="false">IF(OR(L629="Y",LEFT('P9-008'!$T$80,1)="D"),"",IF(AND(ISNUMBER(J629),J629&lt;ASOF),"⚠ เลยกำหนด",IF(AND(ISNUMBER(I629),I629&lt;=ASOF+14,J629&gt;=ASOF-7),"ช่วงนี้","")))</f>
        <v/>
      </c>
      <c r="L629" s="59"/>
      <c r="M629" s="60"/>
    </row>
    <row r="630" customFormat="false" ht="15" hidden="false" customHeight="false" outlineLevel="0" collapsed="false">
      <c r="A630" s="54" t="s">
        <v>70</v>
      </c>
      <c r="B630" s="55" t="s">
        <v>478</v>
      </c>
      <c r="C630" s="56" t="s">
        <v>479</v>
      </c>
      <c r="D630" s="57" t="s">
        <v>72</v>
      </c>
      <c r="E630" s="57" t="s">
        <v>353</v>
      </c>
      <c r="F630" s="61" t="s">
        <v>354</v>
      </c>
      <c r="G630" s="55" t="s">
        <v>355</v>
      </c>
      <c r="H630" s="56" t="str">
        <f aca="false">IF(COUNTIFS(SITE_ST,"P9-008",SITE_TYPE,"?*")&gt;0,"ตามจุดติดตั้ง →","0/100")</f>
        <v>ตามจุดติดตั้ง →</v>
      </c>
      <c r="I630" s="58" t="n">
        <f aca="false">'P9-008'!$N$81</f>
        <v>46347</v>
      </c>
      <c r="J630" s="58" t="n">
        <f aca="false">'P9-008'!$O$81</f>
        <v>46347</v>
      </c>
      <c r="K630" s="56" t="str">
        <f aca="false">IF(OR(L630="Y",LEFT('P9-008'!$T$81,1)="D"),"",IF(AND(ISNUMBER(J630),J630&lt;ASOF),"⚠ เลยกำหนด",IF(AND(ISNUMBER(I630),I630&lt;=ASOF+14,J630&gt;=ASOF-7),"ช่วงนี้","")))</f>
        <v/>
      </c>
      <c r="L630" s="59"/>
      <c r="M630" s="60"/>
    </row>
    <row r="631" customFormat="false" ht="15" hidden="false" customHeight="false" outlineLevel="0" collapsed="false">
      <c r="A631" s="54" t="s">
        <v>70</v>
      </c>
      <c r="B631" s="55" t="s">
        <v>478</v>
      </c>
      <c r="C631" s="56" t="s">
        <v>479</v>
      </c>
      <c r="D631" s="57" t="s">
        <v>72</v>
      </c>
      <c r="E631" s="57" t="s">
        <v>356</v>
      </c>
      <c r="F631" s="55" t="s">
        <v>357</v>
      </c>
      <c r="G631" s="55" t="s">
        <v>358</v>
      </c>
      <c r="H631" s="57" t="s">
        <v>211</v>
      </c>
      <c r="I631" s="58" t="n">
        <f aca="false">'P9-008'!$N$83</f>
        <v>46345</v>
      </c>
      <c r="J631" s="58" t="n">
        <f aca="false">'P9-008'!$O$83</f>
        <v>46346</v>
      </c>
      <c r="K631" s="56" t="str">
        <f aca="false">IF(OR(L631="Y",LEFT('P9-008'!$T$83,1)="D"),"",IF(AND(ISNUMBER(J631),J631&lt;ASOF),"⚠ เลยกำหนด",IF(AND(ISNUMBER(I631),I631&lt;=ASOF+14,J631&gt;=ASOF-7),"ช่วงนี้","")))</f>
        <v/>
      </c>
      <c r="L631" s="59"/>
      <c r="M631" s="60"/>
    </row>
    <row r="632" customFormat="false" ht="15" hidden="false" customHeight="false" outlineLevel="0" collapsed="false">
      <c r="A632" s="54" t="s">
        <v>70</v>
      </c>
      <c r="B632" s="55" t="s">
        <v>478</v>
      </c>
      <c r="C632" s="56" t="s">
        <v>479</v>
      </c>
      <c r="D632" s="57" t="s">
        <v>72</v>
      </c>
      <c r="E632" s="57" t="s">
        <v>359</v>
      </c>
      <c r="F632" s="55" t="s">
        <v>360</v>
      </c>
      <c r="G632" s="55" t="s">
        <v>361</v>
      </c>
      <c r="H632" s="57" t="s">
        <v>211</v>
      </c>
      <c r="I632" s="58" t="n">
        <f aca="false">'P9-008'!$N$84</f>
        <v>46346</v>
      </c>
      <c r="J632" s="58" t="n">
        <f aca="false">'P9-008'!$O$84</f>
        <v>46347</v>
      </c>
      <c r="K632" s="56" t="str">
        <f aca="false">IF(OR(L632="Y",LEFT('P9-008'!$T$84,1)="D"),"",IF(AND(ISNUMBER(J632),J632&lt;ASOF),"⚠ เลยกำหนด",IF(AND(ISNUMBER(I632),I632&lt;=ASOF+14,J632&gt;=ASOF-7),"ช่วงนี้","")))</f>
        <v/>
      </c>
      <c r="L632" s="59"/>
      <c r="M632" s="60"/>
    </row>
    <row r="633" customFormat="false" ht="15" hidden="false" customHeight="false" outlineLevel="0" collapsed="false">
      <c r="A633" s="54" t="s">
        <v>70</v>
      </c>
      <c r="B633" s="55" t="s">
        <v>478</v>
      </c>
      <c r="C633" s="56" t="s">
        <v>479</v>
      </c>
      <c r="D633" s="57" t="s">
        <v>72</v>
      </c>
      <c r="E633" s="57" t="s">
        <v>362</v>
      </c>
      <c r="F633" s="61" t="s">
        <v>363</v>
      </c>
      <c r="G633" s="61" t="s">
        <v>364</v>
      </c>
      <c r="H633" s="56" t="s">
        <v>365</v>
      </c>
      <c r="I633" s="58" t="n">
        <f aca="false">'P9-008'!$N$86</f>
        <v>46343</v>
      </c>
      <c r="J633" s="58" t="n">
        <f aca="false">'P9-008'!$O$86</f>
        <v>46345</v>
      </c>
      <c r="K633" s="56" t="str">
        <f aca="false">IF(OR(L633="Y",LEFT('P9-008'!$T$86,1)="D"),"",IF(AND(ISNUMBER(J633),J633&lt;ASOF),"⚠ เลยกำหนด",IF(AND(ISNUMBER(I633),I633&lt;=ASOF+14,J633&gt;=ASOF-7),"ช่วงนี้","")))</f>
        <v/>
      </c>
      <c r="L633" s="59"/>
      <c r="M633" s="60"/>
    </row>
    <row r="634" customFormat="false" ht="15" hidden="false" customHeight="false" outlineLevel="0" collapsed="false">
      <c r="A634" s="54" t="s">
        <v>70</v>
      </c>
      <c r="B634" s="55" t="s">
        <v>478</v>
      </c>
      <c r="C634" s="56" t="s">
        <v>479</v>
      </c>
      <c r="D634" s="57" t="s">
        <v>72</v>
      </c>
      <c r="E634" s="57" t="s">
        <v>366</v>
      </c>
      <c r="F634" s="61" t="s">
        <v>367</v>
      </c>
      <c r="G634" s="61" t="s">
        <v>368</v>
      </c>
      <c r="H634" s="57" t="s">
        <v>369</v>
      </c>
      <c r="I634" s="58" t="n">
        <f aca="false">'P9-008'!$N$87</f>
        <v>46344</v>
      </c>
      <c r="J634" s="58" t="n">
        <f aca="false">'P9-008'!$O$87</f>
        <v>46346</v>
      </c>
      <c r="K634" s="56" t="str">
        <f aca="false">IF(OR(L634="Y",LEFT('P9-008'!$T$87,1)="D"),"",IF(AND(ISNUMBER(J634),J634&lt;ASOF),"⚠ เลยกำหนด",IF(AND(ISNUMBER(I634),I634&lt;=ASOF+14,J634&gt;=ASOF-7),"ช่วงนี้","")))</f>
        <v/>
      </c>
      <c r="L634" s="59"/>
      <c r="M634" s="60"/>
    </row>
    <row r="635" customFormat="false" ht="15" hidden="false" customHeight="false" outlineLevel="0" collapsed="false">
      <c r="A635" s="54" t="s">
        <v>70</v>
      </c>
      <c r="B635" s="55" t="s">
        <v>478</v>
      </c>
      <c r="C635" s="56" t="s">
        <v>479</v>
      </c>
      <c r="D635" s="57" t="s">
        <v>72</v>
      </c>
      <c r="E635" s="57" t="s">
        <v>370</v>
      </c>
      <c r="F635" s="55" t="s">
        <v>371</v>
      </c>
      <c r="G635" s="55" t="s">
        <v>372</v>
      </c>
      <c r="H635" s="57" t="s">
        <v>211</v>
      </c>
      <c r="I635" s="58" t="n">
        <f aca="false">'P9-008'!$N$88</f>
        <v>46345</v>
      </c>
      <c r="J635" s="58" t="n">
        <f aca="false">'P9-008'!$O$88</f>
        <v>46346</v>
      </c>
      <c r="K635" s="56" t="str">
        <f aca="false">IF(OR(L635="Y",LEFT('P9-008'!$T$88,1)="D"),"",IF(AND(ISNUMBER(J635),J635&lt;ASOF),"⚠ เลยกำหนด",IF(AND(ISNUMBER(I635),I635&lt;=ASOF+14,J635&gt;=ASOF-7),"ช่วงนี้","")))</f>
        <v/>
      </c>
      <c r="L635" s="59"/>
      <c r="M635" s="60"/>
    </row>
    <row r="636" customFormat="false" ht="15" hidden="false" customHeight="false" outlineLevel="0" collapsed="false">
      <c r="A636" s="54" t="s">
        <v>70</v>
      </c>
      <c r="B636" s="55" t="s">
        <v>478</v>
      </c>
      <c r="C636" s="56" t="s">
        <v>479</v>
      </c>
      <c r="D636" s="57" t="s">
        <v>72</v>
      </c>
      <c r="E636" s="57" t="s">
        <v>373</v>
      </c>
      <c r="F636" s="61" t="s">
        <v>374</v>
      </c>
      <c r="G636" s="55" t="s">
        <v>375</v>
      </c>
      <c r="H636" s="57" t="s">
        <v>211</v>
      </c>
      <c r="I636" s="58" t="n">
        <f aca="false">'P9-008'!$N$89</f>
        <v>46346</v>
      </c>
      <c r="J636" s="58" t="n">
        <f aca="false">'P9-008'!$O$89</f>
        <v>46346</v>
      </c>
      <c r="K636" s="56" t="str">
        <f aca="false">IF(OR(L636="Y",LEFT('P9-008'!$T$89,1)="D"),"",IF(AND(ISNUMBER(J636),J636&lt;ASOF),"⚠ เลยกำหนด",IF(AND(ISNUMBER(I636),I636&lt;=ASOF+14,J636&gt;=ASOF-7),"ช่วงนี้","")))</f>
        <v/>
      </c>
      <c r="L636" s="59"/>
      <c r="M636" s="60"/>
    </row>
    <row r="637" customFormat="false" ht="15" hidden="false" customHeight="false" outlineLevel="0" collapsed="false">
      <c r="A637" s="54" t="s">
        <v>70</v>
      </c>
      <c r="B637" s="55" t="s">
        <v>478</v>
      </c>
      <c r="C637" s="56" t="s">
        <v>479</v>
      </c>
      <c r="D637" s="57" t="s">
        <v>72</v>
      </c>
      <c r="E637" s="57" t="s">
        <v>376</v>
      </c>
      <c r="F637" s="55" t="s">
        <v>377</v>
      </c>
      <c r="G637" s="55" t="s">
        <v>378</v>
      </c>
      <c r="H637" s="57" t="s">
        <v>369</v>
      </c>
      <c r="I637" s="58" t="n">
        <f aca="false">'P9-008'!$N$91</f>
        <v>46344</v>
      </c>
      <c r="J637" s="58" t="n">
        <f aca="false">'P9-008'!$O$91</f>
        <v>46346</v>
      </c>
      <c r="K637" s="56" t="str">
        <f aca="false">IF(OR(L637="Y",LEFT('P9-008'!$T$91,1)="D"),"",IF(AND(ISNUMBER(J637),J637&lt;ASOF),"⚠ เลยกำหนด",IF(AND(ISNUMBER(I637),I637&lt;=ASOF+14,J637&gt;=ASOF-7),"ช่วงนี้","")))</f>
        <v/>
      </c>
      <c r="L637" s="59"/>
      <c r="M637" s="60"/>
    </row>
    <row r="638" customFormat="false" ht="15" hidden="false" customHeight="false" outlineLevel="0" collapsed="false">
      <c r="A638" s="54" t="s">
        <v>70</v>
      </c>
      <c r="B638" s="55" t="s">
        <v>478</v>
      </c>
      <c r="C638" s="56" t="s">
        <v>479</v>
      </c>
      <c r="D638" s="57" t="s">
        <v>72</v>
      </c>
      <c r="E638" s="57" t="s">
        <v>379</v>
      </c>
      <c r="F638" s="61" t="s">
        <v>380</v>
      </c>
      <c r="G638" s="61" t="s">
        <v>381</v>
      </c>
      <c r="H638" s="57" t="s">
        <v>211</v>
      </c>
      <c r="I638" s="58" t="n">
        <f aca="false">'P9-008'!$N$92</f>
        <v>46346</v>
      </c>
      <c r="J638" s="58" t="n">
        <f aca="false">'P9-008'!$O$92</f>
        <v>46347</v>
      </c>
      <c r="K638" s="56" t="str">
        <f aca="false">IF(OR(L638="Y",LEFT('P9-008'!$T$92,1)="D"),"",IF(AND(ISNUMBER(J638),J638&lt;ASOF),"⚠ เลยกำหนด",IF(AND(ISNUMBER(I638),I638&lt;=ASOF+14,J638&gt;=ASOF-7),"ช่วงนี้","")))</f>
        <v/>
      </c>
      <c r="L638" s="59"/>
      <c r="M638" s="60"/>
    </row>
    <row r="639" customFormat="false" ht="15" hidden="false" customHeight="false" outlineLevel="0" collapsed="false">
      <c r="A639" s="54" t="s">
        <v>70</v>
      </c>
      <c r="B639" s="55" t="s">
        <v>478</v>
      </c>
      <c r="C639" s="56" t="s">
        <v>479</v>
      </c>
      <c r="D639" s="57" t="s">
        <v>72</v>
      </c>
      <c r="E639" s="57" t="s">
        <v>382</v>
      </c>
      <c r="F639" s="55" t="s">
        <v>383</v>
      </c>
      <c r="G639" s="55" t="s">
        <v>384</v>
      </c>
      <c r="H639" s="57" t="s">
        <v>369</v>
      </c>
      <c r="I639" s="58" t="n">
        <f aca="false">'P9-008'!$N$93</f>
        <v>46344</v>
      </c>
      <c r="J639" s="58" t="n">
        <f aca="false">'P9-008'!$O$93</f>
        <v>46346</v>
      </c>
      <c r="K639" s="56" t="str">
        <f aca="false">IF(OR(L639="Y",LEFT('P9-008'!$T$93,1)="D"),"",IF(AND(ISNUMBER(J639),J639&lt;ASOF),"⚠ เลยกำหนด",IF(AND(ISNUMBER(I639),I639&lt;=ASOF+14,J639&gt;=ASOF-7),"ช่วงนี้","")))</f>
        <v/>
      </c>
      <c r="L639" s="59"/>
      <c r="M639" s="60"/>
    </row>
    <row r="640" customFormat="false" ht="15" hidden="false" customHeight="false" outlineLevel="0" collapsed="false">
      <c r="A640" s="54" t="s">
        <v>70</v>
      </c>
      <c r="B640" s="55" t="s">
        <v>478</v>
      </c>
      <c r="C640" s="56" t="s">
        <v>479</v>
      </c>
      <c r="D640" s="57" t="s">
        <v>72</v>
      </c>
      <c r="E640" s="57" t="s">
        <v>385</v>
      </c>
      <c r="F640" s="55" t="s">
        <v>386</v>
      </c>
      <c r="G640" s="55" t="s">
        <v>387</v>
      </c>
      <c r="H640" s="57" t="s">
        <v>211</v>
      </c>
      <c r="I640" s="58" t="n">
        <f aca="false">'P9-008'!$N$94</f>
        <v>46346</v>
      </c>
      <c r="J640" s="58" t="n">
        <f aca="false">'P9-008'!$O$94</f>
        <v>46347</v>
      </c>
      <c r="K640" s="56" t="str">
        <f aca="false">IF(OR(L640="Y",LEFT('P9-008'!$T$94,1)="D"),"",IF(AND(ISNUMBER(J640),J640&lt;ASOF),"⚠ เลยกำหนด",IF(AND(ISNUMBER(I640),I640&lt;=ASOF+14,J640&gt;=ASOF-7),"ช่วงนี้","")))</f>
        <v/>
      </c>
      <c r="L640" s="59"/>
      <c r="M640" s="60"/>
    </row>
    <row r="641" customFormat="false" ht="15" hidden="false" customHeight="false" outlineLevel="0" collapsed="false">
      <c r="A641" s="54" t="s">
        <v>70</v>
      </c>
      <c r="B641" s="55" t="s">
        <v>478</v>
      </c>
      <c r="C641" s="56" t="s">
        <v>479</v>
      </c>
      <c r="D641" s="57" t="s">
        <v>72</v>
      </c>
      <c r="E641" s="57" t="s">
        <v>388</v>
      </c>
      <c r="F641" s="61" t="s">
        <v>389</v>
      </c>
      <c r="G641" s="55" t="s">
        <v>390</v>
      </c>
      <c r="H641" s="57" t="s">
        <v>211</v>
      </c>
      <c r="I641" s="58" t="n">
        <f aca="false">'P9-008'!$N$95</f>
        <v>46347</v>
      </c>
      <c r="J641" s="58" t="n">
        <f aca="false">'P9-008'!$O$95</f>
        <v>46347</v>
      </c>
      <c r="K641" s="56" t="str">
        <f aca="false">IF(OR(L641="Y",LEFT('P9-008'!$T$95,1)="D"),"",IF(AND(ISNUMBER(J641),J641&lt;ASOF),"⚠ เลยกำหนด",IF(AND(ISNUMBER(I641),I641&lt;=ASOF+14,J641&gt;=ASOF-7),"ช่วงนี้","")))</f>
        <v/>
      </c>
      <c r="L641" s="59"/>
      <c r="M641" s="60"/>
    </row>
    <row r="642" customFormat="false" ht="15" hidden="false" customHeight="false" outlineLevel="0" collapsed="false">
      <c r="A642" s="54" t="s">
        <v>70</v>
      </c>
      <c r="B642" s="55" t="s">
        <v>478</v>
      </c>
      <c r="C642" s="56" t="s">
        <v>479</v>
      </c>
      <c r="D642" s="57" t="s">
        <v>72</v>
      </c>
      <c r="E642" s="57" t="s">
        <v>391</v>
      </c>
      <c r="F642" s="55" t="s">
        <v>392</v>
      </c>
      <c r="G642" s="55" t="s">
        <v>393</v>
      </c>
      <c r="H642" s="57" t="s">
        <v>369</v>
      </c>
      <c r="I642" s="58" t="n">
        <f aca="false">'P9-008'!$N$97</f>
        <v>46345</v>
      </c>
      <c r="J642" s="58" t="n">
        <f aca="false">'P9-008'!$O$97</f>
        <v>46347</v>
      </c>
      <c r="K642" s="56" t="str">
        <f aca="false">IF(OR(L642="Y",LEFT('P9-008'!$T$97,1)="D"),"",IF(AND(ISNUMBER(J642),J642&lt;ASOF),"⚠ เลยกำหนด",IF(AND(ISNUMBER(I642),I642&lt;=ASOF+14,J642&gt;=ASOF-7),"ช่วงนี้","")))</f>
        <v/>
      </c>
      <c r="L642" s="59"/>
      <c r="M642" s="60"/>
    </row>
    <row r="643" customFormat="false" ht="15" hidden="false" customHeight="false" outlineLevel="0" collapsed="false">
      <c r="A643" s="54" t="s">
        <v>70</v>
      </c>
      <c r="B643" s="55" t="s">
        <v>478</v>
      </c>
      <c r="C643" s="56" t="s">
        <v>479</v>
      </c>
      <c r="D643" s="57" t="s">
        <v>72</v>
      </c>
      <c r="E643" s="57" t="s">
        <v>394</v>
      </c>
      <c r="F643" s="55" t="s">
        <v>395</v>
      </c>
      <c r="G643" s="55" t="s">
        <v>396</v>
      </c>
      <c r="H643" s="57" t="s">
        <v>211</v>
      </c>
      <c r="I643" s="58" t="n">
        <f aca="false">'P9-008'!$N$98</f>
        <v>46346</v>
      </c>
      <c r="J643" s="58" t="n">
        <f aca="false">'P9-008'!$O$98</f>
        <v>46347</v>
      </c>
      <c r="K643" s="56" t="str">
        <f aca="false">IF(OR(L643="Y",LEFT('P9-008'!$T$98,1)="D"),"",IF(AND(ISNUMBER(J643),J643&lt;ASOF),"⚠ เลยกำหนด",IF(AND(ISNUMBER(I643),I643&lt;=ASOF+14,J643&gt;=ASOF-7),"ช่วงนี้","")))</f>
        <v/>
      </c>
      <c r="L643" s="59"/>
      <c r="M643" s="60"/>
    </row>
    <row r="644" customFormat="false" ht="15" hidden="false" customHeight="false" outlineLevel="0" collapsed="false">
      <c r="A644" s="54" t="s">
        <v>70</v>
      </c>
      <c r="B644" s="55" t="s">
        <v>478</v>
      </c>
      <c r="C644" s="56" t="s">
        <v>479</v>
      </c>
      <c r="D644" s="57" t="s">
        <v>72</v>
      </c>
      <c r="E644" s="57" t="s">
        <v>397</v>
      </c>
      <c r="F644" s="61" t="s">
        <v>398</v>
      </c>
      <c r="G644" s="55" t="s">
        <v>399</v>
      </c>
      <c r="H644" s="57" t="s">
        <v>211</v>
      </c>
      <c r="I644" s="58" t="n">
        <f aca="false">'P9-008'!$N$99</f>
        <v>46347</v>
      </c>
      <c r="J644" s="58" t="n">
        <f aca="false">'P9-008'!$O$99</f>
        <v>46347</v>
      </c>
      <c r="K644" s="56" t="str">
        <f aca="false">IF(OR(L644="Y",LEFT('P9-008'!$T$99,1)="D"),"",IF(AND(ISNUMBER(J644),J644&lt;ASOF),"⚠ เลยกำหนด",IF(AND(ISNUMBER(I644),I644&lt;=ASOF+14,J644&gt;=ASOF-7),"ช่วงนี้","")))</f>
        <v/>
      </c>
      <c r="L644" s="59"/>
      <c r="M644" s="60"/>
    </row>
    <row r="645" customFormat="false" ht="15" hidden="false" customHeight="false" outlineLevel="0" collapsed="false">
      <c r="A645" s="54" t="s">
        <v>70</v>
      </c>
      <c r="B645" s="55" t="s">
        <v>478</v>
      </c>
      <c r="C645" s="56" t="s">
        <v>479</v>
      </c>
      <c r="D645" s="57" t="s">
        <v>72</v>
      </c>
      <c r="E645" s="57" t="s">
        <v>467</v>
      </c>
      <c r="F645" s="61" t="s">
        <v>468</v>
      </c>
      <c r="G645" s="61" t="s">
        <v>469</v>
      </c>
      <c r="H645" s="57" t="s">
        <v>211</v>
      </c>
      <c r="I645" s="58" t="n">
        <f aca="false">'P9-008'!$N$103</f>
        <v>46346</v>
      </c>
      <c r="J645" s="58" t="n">
        <f aca="false">'P9-008'!$O$103</f>
        <v>46347</v>
      </c>
      <c r="K645" s="56" t="str">
        <f aca="false">IF(OR(L645="Y",LEFT('P9-008'!$T$103,1)="D"),"",IF(AND(ISNUMBER(J645),J645&lt;ASOF),"⚠ เลยกำหนด",IF(AND(ISNUMBER(I645),I645&lt;=ASOF+14,J645&gt;=ASOF-7),"ช่วงนี้","")))</f>
        <v/>
      </c>
      <c r="L645" s="59"/>
      <c r="M645" s="60"/>
    </row>
    <row r="646" customFormat="false" ht="15" hidden="false" customHeight="false" outlineLevel="0" collapsed="false">
      <c r="A646" s="54" t="s">
        <v>70</v>
      </c>
      <c r="B646" s="55" t="s">
        <v>478</v>
      </c>
      <c r="C646" s="56" t="s">
        <v>479</v>
      </c>
      <c r="D646" s="57" t="s">
        <v>72</v>
      </c>
      <c r="E646" s="57" t="s">
        <v>403</v>
      </c>
      <c r="F646" s="55" t="s">
        <v>404</v>
      </c>
      <c r="G646" s="55" t="s">
        <v>405</v>
      </c>
      <c r="H646" s="57" t="s">
        <v>211</v>
      </c>
      <c r="I646" s="58" t="n">
        <f aca="false">'P9-008'!$N$104</f>
        <v>46347</v>
      </c>
      <c r="J646" s="58" t="n">
        <f aca="false">'P9-008'!$O$104</f>
        <v>46348</v>
      </c>
      <c r="K646" s="56" t="str">
        <f aca="false">IF(OR(L646="Y",LEFT('P9-008'!$T$104,1)="D"),"",IF(AND(ISNUMBER(J646),J646&lt;ASOF),"⚠ เลยกำหนด",IF(AND(ISNUMBER(I646),I646&lt;=ASOF+14,J646&gt;=ASOF-7),"ช่วงนี้","")))</f>
        <v/>
      </c>
      <c r="L646" s="59"/>
      <c r="M646" s="60"/>
    </row>
    <row r="647" customFormat="false" ht="15" hidden="false" customHeight="false" outlineLevel="0" collapsed="false">
      <c r="A647" s="54" t="s">
        <v>70</v>
      </c>
      <c r="B647" s="55" t="s">
        <v>478</v>
      </c>
      <c r="C647" s="56" t="s">
        <v>479</v>
      </c>
      <c r="D647" s="57" t="s">
        <v>72</v>
      </c>
      <c r="E647" s="57" t="s">
        <v>406</v>
      </c>
      <c r="F647" s="55" t="s">
        <v>407</v>
      </c>
      <c r="G647" s="55" t="s">
        <v>408</v>
      </c>
      <c r="H647" s="57" t="s">
        <v>211</v>
      </c>
      <c r="I647" s="58" t="n">
        <f aca="false">'P9-008'!$N$105</f>
        <v>46347</v>
      </c>
      <c r="J647" s="58" t="n">
        <f aca="false">'P9-008'!$O$105</f>
        <v>46348</v>
      </c>
      <c r="K647" s="56" t="str">
        <f aca="false">IF(OR(L647="Y",LEFT('P9-008'!$T$105,1)="D"),"",IF(AND(ISNUMBER(J647),J647&lt;ASOF),"⚠ เลยกำหนด",IF(AND(ISNUMBER(I647),I647&lt;=ASOF+14,J647&gt;=ASOF-7),"ช่วงนี้","")))</f>
        <v/>
      </c>
      <c r="L647" s="59"/>
      <c r="M647" s="60"/>
    </row>
    <row r="648" customFormat="false" ht="15" hidden="false" customHeight="false" outlineLevel="0" collapsed="false">
      <c r="A648" s="54" t="s">
        <v>70</v>
      </c>
      <c r="B648" s="55" t="s">
        <v>478</v>
      </c>
      <c r="C648" s="56" t="s">
        <v>479</v>
      </c>
      <c r="D648" s="57" t="s">
        <v>72</v>
      </c>
      <c r="E648" s="57" t="s">
        <v>409</v>
      </c>
      <c r="F648" s="61" t="s">
        <v>410</v>
      </c>
      <c r="G648" s="55" t="s">
        <v>411</v>
      </c>
      <c r="H648" s="57" t="s">
        <v>211</v>
      </c>
      <c r="I648" s="58" t="n">
        <f aca="false">'P9-008'!$N$106</f>
        <v>46348</v>
      </c>
      <c r="J648" s="58" t="n">
        <f aca="false">'P9-008'!$O$106</f>
        <v>46348</v>
      </c>
      <c r="K648" s="56" t="str">
        <f aca="false">IF(OR(L648="Y",LEFT('P9-008'!$T$106,1)="D"),"",IF(AND(ISNUMBER(J648),J648&lt;ASOF),"⚠ เลยกำหนด",IF(AND(ISNUMBER(I648),I648&lt;=ASOF+14,J648&gt;=ASOF-7),"ช่วงนี้","")))</f>
        <v/>
      </c>
      <c r="L648" s="59"/>
      <c r="M648" s="60"/>
    </row>
    <row r="649" customFormat="false" ht="15" hidden="false" customHeight="false" outlineLevel="0" collapsed="false">
      <c r="A649" s="54" t="s">
        <v>70</v>
      </c>
      <c r="B649" s="55" t="s">
        <v>478</v>
      </c>
      <c r="C649" s="56" t="s">
        <v>479</v>
      </c>
      <c r="D649" s="57" t="s">
        <v>72</v>
      </c>
      <c r="E649" s="57" t="s">
        <v>412</v>
      </c>
      <c r="F649" s="61" t="s">
        <v>413</v>
      </c>
      <c r="G649" s="61" t="s">
        <v>414</v>
      </c>
      <c r="H649" s="57" t="s">
        <v>211</v>
      </c>
      <c r="I649" s="58" t="n">
        <f aca="false">'P9-008'!$N$108</f>
        <v>46347</v>
      </c>
      <c r="J649" s="58" t="n">
        <f aca="false">'P9-008'!$O$108</f>
        <v>46348</v>
      </c>
      <c r="K649" s="56" t="str">
        <f aca="false">IF(OR(L649="Y",LEFT('P9-008'!$T$108,1)="D"),"",IF(AND(ISNUMBER(J649),J649&lt;ASOF),"⚠ เลยกำหนด",IF(AND(ISNUMBER(I649),I649&lt;=ASOF+14,J649&gt;=ASOF-7),"ช่วงนี้","")))</f>
        <v/>
      </c>
      <c r="L649" s="59"/>
      <c r="M649" s="60"/>
    </row>
    <row r="650" customFormat="false" ht="15" hidden="false" customHeight="false" outlineLevel="0" collapsed="false">
      <c r="A650" s="54" t="s">
        <v>70</v>
      </c>
      <c r="B650" s="55" t="s">
        <v>478</v>
      </c>
      <c r="C650" s="56" t="s">
        <v>479</v>
      </c>
      <c r="D650" s="57" t="s">
        <v>72</v>
      </c>
      <c r="E650" s="57" t="s">
        <v>415</v>
      </c>
      <c r="F650" s="55" t="s">
        <v>416</v>
      </c>
      <c r="G650" s="55" t="s">
        <v>417</v>
      </c>
      <c r="H650" s="57" t="s">
        <v>211</v>
      </c>
      <c r="I650" s="58" t="n">
        <f aca="false">'P9-008'!$N$109</f>
        <v>46348</v>
      </c>
      <c r="J650" s="58" t="n">
        <f aca="false">'P9-008'!$O$109</f>
        <v>46348</v>
      </c>
      <c r="K650" s="56" t="str">
        <f aca="false">IF(OR(L650="Y",LEFT('P9-008'!$T$109,1)="D"),"",IF(AND(ISNUMBER(J650),J650&lt;ASOF),"⚠ เลยกำหนด",IF(AND(ISNUMBER(I650),I650&lt;=ASOF+14,J650&gt;=ASOF-7),"ช่วงนี้","")))</f>
        <v/>
      </c>
      <c r="L650" s="59"/>
      <c r="M650" s="60"/>
    </row>
    <row r="651" customFormat="false" ht="15" hidden="false" customHeight="false" outlineLevel="0" collapsed="false">
      <c r="A651" s="54" t="s">
        <v>70</v>
      </c>
      <c r="B651" s="55" t="s">
        <v>478</v>
      </c>
      <c r="C651" s="56" t="s">
        <v>479</v>
      </c>
      <c r="D651" s="57" t="s">
        <v>72</v>
      </c>
      <c r="E651" s="57" t="s">
        <v>418</v>
      </c>
      <c r="F651" s="61" t="s">
        <v>419</v>
      </c>
      <c r="G651" s="55" t="s">
        <v>420</v>
      </c>
      <c r="H651" s="57" t="s">
        <v>211</v>
      </c>
      <c r="I651" s="58" t="n">
        <f aca="false">'P9-008'!$N$110</f>
        <v>46347</v>
      </c>
      <c r="J651" s="58" t="n">
        <f aca="false">'P9-008'!$O$110</f>
        <v>46348</v>
      </c>
      <c r="K651" s="56" t="str">
        <f aca="false">IF(OR(L651="Y",LEFT('P9-008'!$T$110,1)="D"),"",IF(AND(ISNUMBER(J651),J651&lt;ASOF),"⚠ เลยกำหนด",IF(AND(ISNUMBER(I651),I651&lt;=ASOF+14,J651&gt;=ASOF-7),"ช่วงนี้","")))</f>
        <v/>
      </c>
      <c r="L651" s="59"/>
      <c r="M651" s="60"/>
    </row>
    <row r="652" customFormat="false" ht="15" hidden="false" customHeight="false" outlineLevel="0" collapsed="false">
      <c r="A652" s="54" t="s">
        <v>70</v>
      </c>
      <c r="B652" s="55" t="s">
        <v>478</v>
      </c>
      <c r="C652" s="56" t="s">
        <v>479</v>
      </c>
      <c r="D652" s="57" t="s">
        <v>72</v>
      </c>
      <c r="E652" s="57" t="s">
        <v>421</v>
      </c>
      <c r="F652" s="55" t="s">
        <v>422</v>
      </c>
      <c r="G652" s="55" t="s">
        <v>423</v>
      </c>
      <c r="H652" s="56" t="str">
        <f aca="false">IF(COUNTIFS(SITE_ST,"P9-008",SITE_TYPE,"?*")&gt;0,"ตามจุดติดตั้ง →","0/100")</f>
        <v>ตามจุดติดตั้ง →</v>
      </c>
      <c r="I652" s="58" t="n">
        <f aca="false">'P9-008'!$N$112</f>
        <v>46349</v>
      </c>
      <c r="J652" s="58" t="n">
        <f aca="false">'P9-008'!$O$112</f>
        <v>46349</v>
      </c>
      <c r="K652" s="56" t="str">
        <f aca="false">IF(OR(L652="Y",LEFT('P9-008'!$T$112,1)="D"),"",IF(AND(ISNUMBER(J652),J652&lt;ASOF),"⚠ เลยกำหนด",IF(AND(ISNUMBER(I652),I652&lt;=ASOF+14,J652&gt;=ASOF-7),"ช่วงนี้","")))</f>
        <v/>
      </c>
      <c r="L652" s="59"/>
      <c r="M652" s="60"/>
    </row>
    <row r="653" customFormat="false" ht="15" hidden="false" customHeight="false" outlineLevel="0" collapsed="false">
      <c r="A653" s="54" t="s">
        <v>70</v>
      </c>
      <c r="B653" s="55" t="s">
        <v>478</v>
      </c>
      <c r="C653" s="56" t="s">
        <v>479</v>
      </c>
      <c r="D653" s="57" t="s">
        <v>72</v>
      </c>
      <c r="E653" s="57" t="s">
        <v>424</v>
      </c>
      <c r="F653" s="55" t="s">
        <v>425</v>
      </c>
      <c r="G653" s="55" t="s">
        <v>426</v>
      </c>
      <c r="H653" s="56" t="str">
        <f aca="false">IF(COUNTIFS(SITE_ST,"P9-008",SITE_TYPE,"?*")&gt;0,"ตามจุดติดตั้ง →","0/100")</f>
        <v>ตามจุดติดตั้ง →</v>
      </c>
      <c r="I653" s="58" t="n">
        <f aca="false">'P9-008'!$N$113</f>
        <v>46349</v>
      </c>
      <c r="J653" s="58" t="n">
        <f aca="false">'P9-008'!$O$113</f>
        <v>46349</v>
      </c>
      <c r="K653" s="56" t="str">
        <f aca="false">IF(OR(L653="Y",LEFT('P9-008'!$T$113,1)="D"),"",IF(AND(ISNUMBER(J653),J653&lt;ASOF),"⚠ เลยกำหนด",IF(AND(ISNUMBER(I653),I653&lt;=ASOF+14,J653&gt;=ASOF-7),"ช่วงนี้","")))</f>
        <v/>
      </c>
      <c r="L653" s="59"/>
      <c r="M653" s="60"/>
    </row>
    <row r="654" customFormat="false" ht="15" hidden="false" customHeight="false" outlineLevel="0" collapsed="false">
      <c r="A654" s="54" t="s">
        <v>70</v>
      </c>
      <c r="B654" s="55" t="s">
        <v>478</v>
      </c>
      <c r="C654" s="56" t="s">
        <v>479</v>
      </c>
      <c r="D654" s="57" t="s">
        <v>72</v>
      </c>
      <c r="E654" s="57" t="s">
        <v>427</v>
      </c>
      <c r="F654" s="61" t="s">
        <v>428</v>
      </c>
      <c r="G654" s="61" t="s">
        <v>429</v>
      </c>
      <c r="H654" s="57" t="s">
        <v>211</v>
      </c>
      <c r="I654" s="58" t="n">
        <f aca="false">'P9-008'!$N$116</f>
        <v>46359</v>
      </c>
      <c r="J654" s="58" t="n">
        <f aca="false">'P9-008'!$O$116</f>
        <v>46359</v>
      </c>
      <c r="K654" s="56" t="str">
        <f aca="false">IF(OR(L654="Y",LEFT('P9-008'!$T$116,1)="D"),"",IF(AND(ISNUMBER(J654),J654&lt;ASOF),"⚠ เลยกำหนด",IF(AND(ISNUMBER(I654),I654&lt;=ASOF+14,J654&gt;=ASOF-7),"ช่วงนี้","")))</f>
        <v/>
      </c>
      <c r="L654" s="59"/>
      <c r="M654" s="60"/>
    </row>
    <row r="655" customFormat="false" ht="15" hidden="false" customHeight="false" outlineLevel="0" collapsed="false">
      <c r="A655" s="54" t="s">
        <v>70</v>
      </c>
      <c r="B655" s="55" t="s">
        <v>478</v>
      </c>
      <c r="C655" s="56" t="s">
        <v>479</v>
      </c>
      <c r="D655" s="57" t="s">
        <v>72</v>
      </c>
      <c r="E655" s="57" t="s">
        <v>430</v>
      </c>
      <c r="F655" s="55" t="s">
        <v>431</v>
      </c>
      <c r="G655" s="55" t="s">
        <v>432</v>
      </c>
      <c r="H655" s="57" t="s">
        <v>211</v>
      </c>
      <c r="I655" s="58" t="n">
        <f aca="false">'P9-008'!$N$117</f>
        <v>46359</v>
      </c>
      <c r="J655" s="58" t="n">
        <f aca="false">'P9-008'!$O$117</f>
        <v>46359</v>
      </c>
      <c r="K655" s="56" t="str">
        <f aca="false">IF(OR(L655="Y",LEFT('P9-008'!$T$117,1)="D"),"",IF(AND(ISNUMBER(J655),J655&lt;ASOF),"⚠ เลยกำหนด",IF(AND(ISNUMBER(I655),I655&lt;=ASOF+14,J655&gt;=ASOF-7),"ช่วงนี้","")))</f>
        <v/>
      </c>
      <c r="L655" s="59"/>
      <c r="M655" s="60"/>
    </row>
    <row r="656" customFormat="false" ht="15" hidden="false" customHeight="false" outlineLevel="0" collapsed="false">
      <c r="A656" s="54" t="s">
        <v>70</v>
      </c>
      <c r="B656" s="55" t="s">
        <v>478</v>
      </c>
      <c r="C656" s="56" t="s">
        <v>479</v>
      </c>
      <c r="D656" s="57" t="s">
        <v>72</v>
      </c>
      <c r="E656" s="57" t="s">
        <v>433</v>
      </c>
      <c r="F656" s="55" t="s">
        <v>434</v>
      </c>
      <c r="G656" s="55" t="s">
        <v>435</v>
      </c>
      <c r="H656" s="57" t="s">
        <v>211</v>
      </c>
      <c r="I656" s="58" t="n">
        <f aca="false">'P9-008'!$N$118</f>
        <v>46359</v>
      </c>
      <c r="J656" s="58" t="n">
        <f aca="false">'P9-008'!$O$118</f>
        <v>46359</v>
      </c>
      <c r="K656" s="56" t="str">
        <f aca="false">IF(OR(L656="Y",LEFT('P9-008'!$T$118,1)="D"),"",IF(AND(ISNUMBER(J656),J656&lt;ASOF),"⚠ เลยกำหนด",IF(AND(ISNUMBER(I656),I656&lt;=ASOF+14,J656&gt;=ASOF-7),"ช่วงนี้","")))</f>
        <v/>
      </c>
      <c r="L656" s="59"/>
      <c r="M656" s="60"/>
    </row>
    <row r="657" customFormat="false" ht="15" hidden="false" customHeight="false" outlineLevel="0" collapsed="false">
      <c r="A657" s="54" t="s">
        <v>70</v>
      </c>
      <c r="B657" s="55" t="s">
        <v>478</v>
      </c>
      <c r="C657" s="56" t="s">
        <v>479</v>
      </c>
      <c r="D657" s="57" t="s">
        <v>72</v>
      </c>
      <c r="E657" s="57" t="s">
        <v>436</v>
      </c>
      <c r="F657" s="55" t="s">
        <v>437</v>
      </c>
      <c r="G657" s="55" t="s">
        <v>438</v>
      </c>
      <c r="H657" s="57" t="s">
        <v>211</v>
      </c>
      <c r="I657" s="58" t="n">
        <f aca="false">'P9-008'!$N$119</f>
        <v>46359</v>
      </c>
      <c r="J657" s="58" t="n">
        <f aca="false">'P9-008'!$O$119</f>
        <v>46359</v>
      </c>
      <c r="K657" s="56" t="str">
        <f aca="false">IF(OR(L657="Y",LEFT('P9-008'!$T$119,1)="D"),"",IF(AND(ISNUMBER(J657),J657&lt;ASOF),"⚠ เลยกำหนด",IF(AND(ISNUMBER(I657),I657&lt;=ASOF+14,J657&gt;=ASOF-7),"ช่วงนี้","")))</f>
        <v/>
      </c>
      <c r="L657" s="59"/>
      <c r="M657" s="60"/>
    </row>
    <row r="658" customFormat="false" ht="15" hidden="false" customHeight="false" outlineLevel="0" collapsed="false">
      <c r="A658" s="54" t="s">
        <v>70</v>
      </c>
      <c r="B658" s="55" t="s">
        <v>478</v>
      </c>
      <c r="C658" s="56" t="s">
        <v>479</v>
      </c>
      <c r="D658" s="57" t="s">
        <v>72</v>
      </c>
      <c r="E658" s="57" t="s">
        <v>439</v>
      </c>
      <c r="F658" s="55" t="s">
        <v>440</v>
      </c>
      <c r="G658" s="55" t="s">
        <v>441</v>
      </c>
      <c r="H658" s="57" t="s">
        <v>211</v>
      </c>
      <c r="I658" s="58" t="n">
        <f aca="false">'P9-008'!$N$120</f>
        <v>46359</v>
      </c>
      <c r="J658" s="58" t="n">
        <f aca="false">'P9-008'!$O$120</f>
        <v>46359</v>
      </c>
      <c r="K658" s="56" t="str">
        <f aca="false">IF(OR(L658="Y",LEFT('P9-008'!$T$120,1)="D"),"",IF(AND(ISNUMBER(J658),J658&lt;ASOF),"⚠ เลยกำหนด",IF(AND(ISNUMBER(I658),I658&lt;=ASOF+14,J658&gt;=ASOF-7),"ช่วงนี้","")))</f>
        <v/>
      </c>
      <c r="L658" s="59"/>
      <c r="M658" s="60"/>
    </row>
    <row r="659" customFormat="false" ht="15" hidden="false" customHeight="false" outlineLevel="0" collapsed="false">
      <c r="A659" s="54" t="s">
        <v>70</v>
      </c>
      <c r="B659" s="55" t="s">
        <v>478</v>
      </c>
      <c r="C659" s="56" t="s">
        <v>479</v>
      </c>
      <c r="D659" s="57" t="s">
        <v>72</v>
      </c>
      <c r="E659" s="57" t="s">
        <v>442</v>
      </c>
      <c r="F659" s="55" t="s">
        <v>443</v>
      </c>
      <c r="G659" s="55" t="s">
        <v>444</v>
      </c>
      <c r="H659" s="57" t="s">
        <v>211</v>
      </c>
      <c r="I659" s="58" t="n">
        <f aca="false">'P9-008'!$N$121</f>
        <v>46359</v>
      </c>
      <c r="J659" s="58" t="n">
        <f aca="false">'P9-008'!$O$121</f>
        <v>46359</v>
      </c>
      <c r="K659" s="56" t="str">
        <f aca="false">IF(OR(L659="Y",LEFT('P9-008'!$T$121,1)="D"),"",IF(AND(ISNUMBER(J659),J659&lt;ASOF),"⚠ เลยกำหนด",IF(AND(ISNUMBER(I659),I659&lt;=ASOF+14,J659&gt;=ASOF-7),"ช่วงนี้","")))</f>
        <v/>
      </c>
      <c r="L659" s="59"/>
      <c r="M659" s="60"/>
    </row>
    <row r="660" customFormat="false" ht="15" hidden="false" customHeight="false" outlineLevel="0" collapsed="false">
      <c r="A660" s="54" t="s">
        <v>70</v>
      </c>
      <c r="B660" s="55" t="s">
        <v>478</v>
      </c>
      <c r="C660" s="56" t="s">
        <v>479</v>
      </c>
      <c r="D660" s="57" t="s">
        <v>72</v>
      </c>
      <c r="E660" s="57" t="s">
        <v>445</v>
      </c>
      <c r="F660" s="55" t="s">
        <v>446</v>
      </c>
      <c r="G660" s="55" t="s">
        <v>447</v>
      </c>
      <c r="H660" s="57" t="s">
        <v>211</v>
      </c>
      <c r="I660" s="58" t="n">
        <f aca="false">'P9-008'!$N$125</f>
        <v>46437</v>
      </c>
      <c r="J660" s="58" t="n">
        <f aca="false">'P9-008'!$O$125</f>
        <v>46441</v>
      </c>
      <c r="K660" s="56" t="str">
        <f aca="false">IF(OR(L660="Y",LEFT('P9-008'!$T$125,1)="D"),"",IF(AND(ISNUMBER(J660),J660&lt;ASOF),"⚠ เลยกำหนด",IF(AND(ISNUMBER(I660),I660&lt;=ASOF+14,J660&gt;=ASOF-7),"ช่วงนี้","")))</f>
        <v/>
      </c>
      <c r="L660" s="59"/>
      <c r="M660" s="60"/>
    </row>
    <row r="661" customFormat="false" ht="15" hidden="false" customHeight="false" outlineLevel="0" collapsed="false">
      <c r="A661" s="54" t="s">
        <v>70</v>
      </c>
      <c r="B661" s="55" t="s">
        <v>478</v>
      </c>
      <c r="C661" s="56" t="s">
        <v>479</v>
      </c>
      <c r="D661" s="57" t="s">
        <v>72</v>
      </c>
      <c r="E661" s="57" t="s">
        <v>448</v>
      </c>
      <c r="F661" s="55" t="s">
        <v>449</v>
      </c>
      <c r="G661" s="61" t="s">
        <v>450</v>
      </c>
      <c r="H661" s="57" t="s">
        <v>211</v>
      </c>
      <c r="I661" s="58" t="n">
        <f aca="false">'P9-008'!$N$126</f>
        <v>46440</v>
      </c>
      <c r="J661" s="58" t="n">
        <f aca="false">'P9-008'!$O$126</f>
        <v>46447</v>
      </c>
      <c r="K661" s="56" t="str">
        <f aca="false">IF(OR(L661="Y",LEFT('P9-008'!$T$126,1)="D"),"",IF(AND(ISNUMBER(J661),J661&lt;ASOF),"⚠ เลยกำหนด",IF(AND(ISNUMBER(I661),I661&lt;=ASOF+14,J661&gt;=ASOF-7),"ช่วงนี้","")))</f>
        <v/>
      </c>
      <c r="L661" s="59"/>
      <c r="M661" s="60"/>
    </row>
    <row r="662" customFormat="false" ht="15" hidden="false" customHeight="false" outlineLevel="0" collapsed="false">
      <c r="A662" s="54" t="s">
        <v>70</v>
      </c>
      <c r="B662" s="55" t="s">
        <v>478</v>
      </c>
      <c r="C662" s="56" t="s">
        <v>479</v>
      </c>
      <c r="D662" s="57" t="s">
        <v>72</v>
      </c>
      <c r="E662" s="57" t="s">
        <v>451</v>
      </c>
      <c r="F662" s="61" t="s">
        <v>452</v>
      </c>
      <c r="G662" s="61" t="s">
        <v>453</v>
      </c>
      <c r="H662" s="57" t="s">
        <v>211</v>
      </c>
      <c r="I662" s="58" t="n">
        <f aca="false">'P9-008'!$N$127</f>
        <v>46447</v>
      </c>
      <c r="J662" s="58" t="n">
        <f aca="false">'P9-008'!$O$127</f>
        <v>46450</v>
      </c>
      <c r="K662" s="56" t="str">
        <f aca="false">IF(OR(L662="Y",LEFT('P9-008'!$T$127,1)="D"),"",IF(AND(ISNUMBER(J662),J662&lt;ASOF),"⚠ เลยกำหนด",IF(AND(ISNUMBER(I662),I662&lt;=ASOF+14,J662&gt;=ASOF-7),"ช่วงนี้","")))</f>
        <v/>
      </c>
      <c r="L662" s="59"/>
      <c r="M662" s="60"/>
    </row>
    <row r="663" customFormat="false" ht="15" hidden="false" customHeight="false" outlineLevel="0" collapsed="false">
      <c r="A663" s="54" t="s">
        <v>74</v>
      </c>
      <c r="B663" s="55" t="s">
        <v>480</v>
      </c>
      <c r="C663" s="56" t="s">
        <v>481</v>
      </c>
      <c r="D663" s="57" t="s">
        <v>76</v>
      </c>
      <c r="E663" s="57" t="s">
        <v>208</v>
      </c>
      <c r="F663" s="55" t="s">
        <v>209</v>
      </c>
      <c r="G663" s="55" t="s">
        <v>210</v>
      </c>
      <c r="H663" s="57" t="s">
        <v>211</v>
      </c>
      <c r="I663" s="58" t="n">
        <f aca="false">'P9-009'!$N$10</f>
        <v>46328</v>
      </c>
      <c r="J663" s="58" t="n">
        <f aca="false">'P9-009'!$O$10</f>
        <v>46340</v>
      </c>
      <c r="K663" s="56" t="str">
        <f aca="false">IF(OR(L663="Y",LEFT('P9-009'!$T$10,1)="D"),"",IF(AND(ISNUMBER(J663),J663&lt;ASOF),"⚠ เลยกำหนด",IF(AND(ISNUMBER(I663),I663&lt;=ASOF+14,J663&gt;=ASOF-7),"ช่วงนี้","")))</f>
        <v>ช่วงนี้</v>
      </c>
      <c r="L663" s="59"/>
      <c r="M663" s="60"/>
    </row>
    <row r="664" customFormat="false" ht="15" hidden="false" customHeight="false" outlineLevel="0" collapsed="false">
      <c r="A664" s="54" t="s">
        <v>74</v>
      </c>
      <c r="B664" s="55" t="s">
        <v>480</v>
      </c>
      <c r="C664" s="56" t="s">
        <v>481</v>
      </c>
      <c r="D664" s="57" t="s">
        <v>76</v>
      </c>
      <c r="E664" s="57" t="s">
        <v>212</v>
      </c>
      <c r="F664" s="55" t="s">
        <v>213</v>
      </c>
      <c r="G664" s="55" t="s">
        <v>214</v>
      </c>
      <c r="H664" s="57" t="s">
        <v>211</v>
      </c>
      <c r="I664" s="58" t="n">
        <f aca="false">'P9-009'!$N$11</f>
        <v>46328</v>
      </c>
      <c r="J664" s="58" t="n">
        <f aca="false">'P9-009'!$O$11</f>
        <v>46340</v>
      </c>
      <c r="K664" s="56" t="str">
        <f aca="false">IF(OR(L664="Y",LEFT('P9-009'!$T$11,1)="D"),"",IF(AND(ISNUMBER(J664),J664&lt;ASOF),"⚠ เลยกำหนด",IF(AND(ISNUMBER(I664),I664&lt;=ASOF+14,J664&gt;=ASOF-7),"ช่วงนี้","")))</f>
        <v>ช่วงนี้</v>
      </c>
      <c r="L664" s="59"/>
      <c r="M664" s="60"/>
    </row>
    <row r="665" customFormat="false" ht="15" hidden="false" customHeight="false" outlineLevel="0" collapsed="false">
      <c r="A665" s="54" t="s">
        <v>74</v>
      </c>
      <c r="B665" s="55" t="s">
        <v>480</v>
      </c>
      <c r="C665" s="56" t="s">
        <v>481</v>
      </c>
      <c r="D665" s="57" t="s">
        <v>76</v>
      </c>
      <c r="E665" s="57" t="s">
        <v>215</v>
      </c>
      <c r="F665" s="55" t="s">
        <v>216</v>
      </c>
      <c r="G665" s="61" t="s">
        <v>217</v>
      </c>
      <c r="H665" s="57" t="s">
        <v>211</v>
      </c>
      <c r="I665" s="58" t="n">
        <f aca="false">'P9-009'!$N$12</f>
        <v>46328</v>
      </c>
      <c r="J665" s="58" t="n">
        <f aca="false">'P9-009'!$O$12</f>
        <v>46340</v>
      </c>
      <c r="K665" s="56" t="str">
        <f aca="false">IF(OR(L665="Y",LEFT('P9-009'!$T$12,1)="D"),"",IF(AND(ISNUMBER(J665),J665&lt;ASOF),"⚠ เลยกำหนด",IF(AND(ISNUMBER(I665),I665&lt;=ASOF+14,J665&gt;=ASOF-7),"ช่วงนี้","")))</f>
        <v>ช่วงนี้</v>
      </c>
      <c r="L665" s="59"/>
      <c r="M665" s="60"/>
    </row>
    <row r="666" customFormat="false" ht="15" hidden="false" customHeight="false" outlineLevel="0" collapsed="false">
      <c r="A666" s="54" t="s">
        <v>74</v>
      </c>
      <c r="B666" s="55" t="s">
        <v>480</v>
      </c>
      <c r="C666" s="56" t="s">
        <v>481</v>
      </c>
      <c r="D666" s="57" t="s">
        <v>76</v>
      </c>
      <c r="E666" s="57" t="s">
        <v>218</v>
      </c>
      <c r="F666" s="55" t="s">
        <v>219</v>
      </c>
      <c r="G666" s="55" t="s">
        <v>220</v>
      </c>
      <c r="H666" s="57" t="s">
        <v>211</v>
      </c>
      <c r="I666" s="58" t="n">
        <f aca="false">'P9-009'!$N$13</f>
        <v>46328</v>
      </c>
      <c r="J666" s="58" t="n">
        <f aca="false">'P9-009'!$O$13</f>
        <v>46346</v>
      </c>
      <c r="K666" s="56" t="str">
        <f aca="false">IF(OR(L666="Y",LEFT('P9-009'!$T$13,1)="D"),"",IF(AND(ISNUMBER(J666),J666&lt;ASOF),"⚠ เลยกำหนด",IF(AND(ISNUMBER(I666),I666&lt;=ASOF+14,J666&gt;=ASOF-7),"ช่วงนี้","")))</f>
        <v>ช่วงนี้</v>
      </c>
      <c r="L666" s="59"/>
      <c r="M666" s="60"/>
    </row>
    <row r="667" customFormat="false" ht="15" hidden="false" customHeight="false" outlineLevel="0" collapsed="false">
      <c r="A667" s="54" t="s">
        <v>74</v>
      </c>
      <c r="B667" s="55" t="s">
        <v>480</v>
      </c>
      <c r="C667" s="56" t="s">
        <v>481</v>
      </c>
      <c r="D667" s="57" t="s">
        <v>76</v>
      </c>
      <c r="E667" s="57" t="s">
        <v>221</v>
      </c>
      <c r="F667" s="55" t="s">
        <v>222</v>
      </c>
      <c r="G667" s="55" t="s">
        <v>223</v>
      </c>
      <c r="H667" s="57" t="s">
        <v>211</v>
      </c>
      <c r="I667" s="58" t="n">
        <f aca="false">'P9-009'!$N$14</f>
        <v>46340</v>
      </c>
      <c r="J667" s="58" t="n">
        <f aca="false">'P9-009'!$O$14</f>
        <v>46450</v>
      </c>
      <c r="K667" s="56" t="str">
        <f aca="false">IF(OR(L667="Y",LEFT('P9-009'!$T$14,1)="D"),"",IF(AND(ISNUMBER(J667),J667&lt;ASOF),"⚠ เลยกำหนด",IF(AND(ISNUMBER(I667),I667&lt;=ASOF+14,J667&gt;=ASOF-7),"ช่วงนี้","")))</f>
        <v>ช่วงนี้</v>
      </c>
      <c r="L667" s="59"/>
      <c r="M667" s="60"/>
    </row>
    <row r="668" customFormat="false" ht="15" hidden="false" customHeight="false" outlineLevel="0" collapsed="false">
      <c r="A668" s="54" t="s">
        <v>74</v>
      </c>
      <c r="B668" s="55" t="s">
        <v>480</v>
      </c>
      <c r="C668" s="56" t="s">
        <v>481</v>
      </c>
      <c r="D668" s="57" t="s">
        <v>76</v>
      </c>
      <c r="E668" s="57" t="s">
        <v>224</v>
      </c>
      <c r="F668" s="55" t="s">
        <v>225</v>
      </c>
      <c r="G668" s="61" t="s">
        <v>226</v>
      </c>
      <c r="H668" s="57" t="s">
        <v>211</v>
      </c>
      <c r="I668" s="58" t="n">
        <f aca="false">'P9-009'!$N$15</f>
        <v>46340</v>
      </c>
      <c r="J668" s="58" t="n">
        <f aca="false">'P9-009'!$O$15</f>
        <v>46450</v>
      </c>
      <c r="K668" s="56" t="str">
        <f aca="false">IF(OR(L668="Y",LEFT('P9-009'!$T$15,1)="D"),"",IF(AND(ISNUMBER(J668),J668&lt;ASOF),"⚠ เลยกำหนด",IF(AND(ISNUMBER(I668),I668&lt;=ASOF+14,J668&gt;=ASOF-7),"ช่วงนี้","")))</f>
        <v>ช่วงนี้</v>
      </c>
      <c r="L668" s="59"/>
      <c r="M668" s="60"/>
    </row>
    <row r="669" customFormat="false" ht="15" hidden="false" customHeight="false" outlineLevel="0" collapsed="false">
      <c r="A669" s="54" t="s">
        <v>74</v>
      </c>
      <c r="B669" s="55" t="s">
        <v>480</v>
      </c>
      <c r="C669" s="56" t="s">
        <v>481</v>
      </c>
      <c r="D669" s="57" t="s">
        <v>76</v>
      </c>
      <c r="E669" s="57" t="s">
        <v>227</v>
      </c>
      <c r="F669" s="55" t="s">
        <v>228</v>
      </c>
      <c r="G669" s="55" t="s">
        <v>229</v>
      </c>
      <c r="H669" s="57" t="s">
        <v>211</v>
      </c>
      <c r="I669" s="58" t="n">
        <f aca="false">'P9-009'!$N$17</f>
        <v>46328</v>
      </c>
      <c r="J669" s="58" t="n">
        <f aca="false">'P9-009'!$O$17</f>
        <v>46328</v>
      </c>
      <c r="K669" s="56" t="str">
        <f aca="false">IF(OR(L669="Y",LEFT('P9-009'!$T$17,1)="D"),"",IF(AND(ISNUMBER(J669),J669&lt;ASOF),"⚠ เลยกำหนด",IF(AND(ISNUMBER(I669),I669&lt;=ASOF+14,J669&gt;=ASOF-7),"ช่วงนี้","")))</f>
        <v>ช่วงนี้</v>
      </c>
      <c r="L669" s="59"/>
      <c r="M669" s="60"/>
    </row>
    <row r="670" customFormat="false" ht="15" hidden="false" customHeight="false" outlineLevel="0" collapsed="false">
      <c r="A670" s="54" t="s">
        <v>74</v>
      </c>
      <c r="B670" s="55" t="s">
        <v>480</v>
      </c>
      <c r="C670" s="56" t="s">
        <v>481</v>
      </c>
      <c r="D670" s="57" t="s">
        <v>76</v>
      </c>
      <c r="E670" s="57" t="s">
        <v>230</v>
      </c>
      <c r="F670" s="55" t="s">
        <v>231</v>
      </c>
      <c r="G670" s="55" t="s">
        <v>232</v>
      </c>
      <c r="H670" s="57" t="s">
        <v>211</v>
      </c>
      <c r="I670" s="58" t="n">
        <f aca="false">'P9-009'!$N$18</f>
        <v>46328</v>
      </c>
      <c r="J670" s="58" t="n">
        <f aca="false">'P9-009'!$O$18</f>
        <v>46328</v>
      </c>
      <c r="K670" s="56" t="str">
        <f aca="false">IF(OR(L670="Y",LEFT('P9-009'!$T$18,1)="D"),"",IF(AND(ISNUMBER(J670),J670&lt;ASOF),"⚠ เลยกำหนด",IF(AND(ISNUMBER(I670),I670&lt;=ASOF+14,J670&gt;=ASOF-7),"ช่วงนี้","")))</f>
        <v>ช่วงนี้</v>
      </c>
      <c r="L670" s="59"/>
      <c r="M670" s="60"/>
    </row>
    <row r="671" customFormat="false" ht="15" hidden="false" customHeight="false" outlineLevel="0" collapsed="false">
      <c r="A671" s="54" t="s">
        <v>74</v>
      </c>
      <c r="B671" s="55" t="s">
        <v>480</v>
      </c>
      <c r="C671" s="56" t="s">
        <v>481</v>
      </c>
      <c r="D671" s="57" t="s">
        <v>76</v>
      </c>
      <c r="E671" s="57" t="s">
        <v>233</v>
      </c>
      <c r="F671" s="55" t="s">
        <v>234</v>
      </c>
      <c r="G671" s="55" t="s">
        <v>235</v>
      </c>
      <c r="H671" s="57" t="s">
        <v>211</v>
      </c>
      <c r="I671" s="58" t="n">
        <f aca="false">'P9-009'!$N$19</f>
        <v>46328</v>
      </c>
      <c r="J671" s="58" t="n">
        <f aca="false">'P9-009'!$O$19</f>
        <v>46328</v>
      </c>
      <c r="K671" s="56" t="str">
        <f aca="false">IF(OR(L671="Y",LEFT('P9-009'!$T$19,1)="D"),"",IF(AND(ISNUMBER(J671),J671&lt;ASOF),"⚠ เลยกำหนด",IF(AND(ISNUMBER(I671),I671&lt;=ASOF+14,J671&gt;=ASOF-7),"ช่วงนี้","")))</f>
        <v>ช่วงนี้</v>
      </c>
      <c r="L671" s="59"/>
      <c r="M671" s="60"/>
    </row>
    <row r="672" customFormat="false" ht="15" hidden="false" customHeight="false" outlineLevel="0" collapsed="false">
      <c r="A672" s="54" t="s">
        <v>74</v>
      </c>
      <c r="B672" s="55" t="s">
        <v>480</v>
      </c>
      <c r="C672" s="56" t="s">
        <v>481</v>
      </c>
      <c r="D672" s="57" t="s">
        <v>76</v>
      </c>
      <c r="E672" s="57" t="s">
        <v>236</v>
      </c>
      <c r="F672" s="55" t="s">
        <v>237</v>
      </c>
      <c r="G672" s="55" t="s">
        <v>238</v>
      </c>
      <c r="H672" s="57" t="s">
        <v>211</v>
      </c>
      <c r="I672" s="58" t="n">
        <f aca="false">'P9-009'!$N$20</f>
        <v>46328</v>
      </c>
      <c r="J672" s="58" t="n">
        <f aca="false">'P9-009'!$O$20</f>
        <v>46328</v>
      </c>
      <c r="K672" s="56" t="str">
        <f aca="false">IF(OR(L672="Y",LEFT('P9-009'!$T$20,1)="D"),"",IF(AND(ISNUMBER(J672),J672&lt;ASOF),"⚠ เลยกำหนด",IF(AND(ISNUMBER(I672),I672&lt;=ASOF+14,J672&gt;=ASOF-7),"ช่วงนี้","")))</f>
        <v>ช่วงนี้</v>
      </c>
      <c r="L672" s="59"/>
      <c r="M672" s="60"/>
    </row>
    <row r="673" customFormat="false" ht="15" hidden="false" customHeight="false" outlineLevel="0" collapsed="false">
      <c r="A673" s="54" t="s">
        <v>74</v>
      </c>
      <c r="B673" s="55" t="s">
        <v>480</v>
      </c>
      <c r="C673" s="56" t="s">
        <v>481</v>
      </c>
      <c r="D673" s="57" t="s">
        <v>76</v>
      </c>
      <c r="E673" s="57" t="s">
        <v>239</v>
      </c>
      <c r="F673" s="55" t="s">
        <v>240</v>
      </c>
      <c r="G673" s="55" t="s">
        <v>241</v>
      </c>
      <c r="H673" s="57" t="s">
        <v>211</v>
      </c>
      <c r="I673" s="58" t="n">
        <f aca="false">'P9-009'!$N$21</f>
        <v>46328</v>
      </c>
      <c r="J673" s="58" t="n">
        <f aca="false">'P9-009'!$O$21</f>
        <v>46328</v>
      </c>
      <c r="K673" s="56" t="str">
        <f aca="false">IF(OR(L673="Y",LEFT('P9-009'!$T$21,1)="D"),"",IF(AND(ISNUMBER(J673),J673&lt;ASOF),"⚠ เลยกำหนด",IF(AND(ISNUMBER(I673),I673&lt;=ASOF+14,J673&gt;=ASOF-7),"ช่วงนี้","")))</f>
        <v>ช่วงนี้</v>
      </c>
      <c r="L673" s="59"/>
      <c r="M673" s="60"/>
    </row>
    <row r="674" customFormat="false" ht="15" hidden="false" customHeight="false" outlineLevel="0" collapsed="false">
      <c r="A674" s="54" t="s">
        <v>74</v>
      </c>
      <c r="B674" s="55" t="s">
        <v>480</v>
      </c>
      <c r="C674" s="56" t="s">
        <v>481</v>
      </c>
      <c r="D674" s="57" t="s">
        <v>76</v>
      </c>
      <c r="E674" s="57" t="s">
        <v>242</v>
      </c>
      <c r="F674" s="55" t="s">
        <v>243</v>
      </c>
      <c r="G674" s="55" t="s">
        <v>244</v>
      </c>
      <c r="H674" s="57" t="s">
        <v>211</v>
      </c>
      <c r="I674" s="58" t="n">
        <f aca="false">'P9-009'!$N$22</f>
        <v>46328</v>
      </c>
      <c r="J674" s="58" t="n">
        <f aca="false">'P9-009'!$O$22</f>
        <v>46328</v>
      </c>
      <c r="K674" s="56" t="str">
        <f aca="false">IF(OR(L674="Y",LEFT('P9-009'!$T$22,1)="D"),"",IF(AND(ISNUMBER(J674),J674&lt;ASOF),"⚠ เลยกำหนด",IF(AND(ISNUMBER(I674),I674&lt;=ASOF+14,J674&gt;=ASOF-7),"ช่วงนี้","")))</f>
        <v>ช่วงนี้</v>
      </c>
      <c r="L674" s="59"/>
      <c r="M674" s="60"/>
    </row>
    <row r="675" customFormat="false" ht="15" hidden="false" customHeight="false" outlineLevel="0" collapsed="false">
      <c r="A675" s="54" t="s">
        <v>74</v>
      </c>
      <c r="B675" s="55" t="s">
        <v>480</v>
      </c>
      <c r="C675" s="56" t="s">
        <v>481</v>
      </c>
      <c r="D675" s="57" t="s">
        <v>76</v>
      </c>
      <c r="E675" s="57" t="s">
        <v>245</v>
      </c>
      <c r="F675" s="55" t="s">
        <v>246</v>
      </c>
      <c r="G675" s="55" t="s">
        <v>247</v>
      </c>
      <c r="H675" s="57" t="s">
        <v>211</v>
      </c>
      <c r="I675" s="58" t="n">
        <f aca="false">'P9-009'!$N$23</f>
        <v>46328</v>
      </c>
      <c r="J675" s="58" t="n">
        <f aca="false">'P9-009'!$O$23</f>
        <v>46328</v>
      </c>
      <c r="K675" s="56" t="str">
        <f aca="false">IF(OR(L675="Y",LEFT('P9-009'!$T$23,1)="D"),"",IF(AND(ISNUMBER(J675),J675&lt;ASOF),"⚠ เลยกำหนด",IF(AND(ISNUMBER(I675),I675&lt;=ASOF+14,J675&gt;=ASOF-7),"ช่วงนี้","")))</f>
        <v>ช่วงนี้</v>
      </c>
      <c r="L675" s="59"/>
      <c r="M675" s="60"/>
    </row>
    <row r="676" customFormat="false" ht="15" hidden="false" customHeight="false" outlineLevel="0" collapsed="false">
      <c r="A676" s="54" t="s">
        <v>74</v>
      </c>
      <c r="B676" s="55" t="s">
        <v>480</v>
      </c>
      <c r="C676" s="56" t="s">
        <v>481</v>
      </c>
      <c r="D676" s="57" t="s">
        <v>76</v>
      </c>
      <c r="E676" s="57" t="s">
        <v>248</v>
      </c>
      <c r="F676" s="55" t="s">
        <v>249</v>
      </c>
      <c r="G676" s="55" t="s">
        <v>250</v>
      </c>
      <c r="H676" s="57" t="s">
        <v>211</v>
      </c>
      <c r="I676" s="58" t="n">
        <f aca="false">'P9-009'!$N$24</f>
        <v>46328</v>
      </c>
      <c r="J676" s="58" t="n">
        <f aca="false">'P9-009'!$O$24</f>
        <v>46328</v>
      </c>
      <c r="K676" s="56" t="str">
        <f aca="false">IF(OR(L676="Y",LEFT('P9-009'!$T$24,1)="D"),"",IF(AND(ISNUMBER(J676),J676&lt;ASOF),"⚠ เลยกำหนด",IF(AND(ISNUMBER(I676),I676&lt;=ASOF+14,J676&gt;=ASOF-7),"ช่วงนี้","")))</f>
        <v>ช่วงนี้</v>
      </c>
      <c r="L676" s="59"/>
      <c r="M676" s="60"/>
    </row>
    <row r="677" customFormat="false" ht="15" hidden="false" customHeight="false" outlineLevel="0" collapsed="false">
      <c r="A677" s="54" t="s">
        <v>74</v>
      </c>
      <c r="B677" s="55" t="s">
        <v>480</v>
      </c>
      <c r="C677" s="56" t="s">
        <v>481</v>
      </c>
      <c r="D677" s="57" t="s">
        <v>76</v>
      </c>
      <c r="E677" s="57" t="s">
        <v>251</v>
      </c>
      <c r="F677" s="55" t="s">
        <v>252</v>
      </c>
      <c r="G677" s="55" t="s">
        <v>253</v>
      </c>
      <c r="H677" s="57" t="s">
        <v>211</v>
      </c>
      <c r="I677" s="58" t="n">
        <f aca="false">'P9-009'!$N$26</f>
        <v>46329</v>
      </c>
      <c r="J677" s="58" t="n">
        <f aca="false">'P9-009'!$O$26</f>
        <v>46329</v>
      </c>
      <c r="K677" s="56" t="str">
        <f aca="false">IF(OR(L677="Y",LEFT('P9-009'!$T$26,1)="D"),"",IF(AND(ISNUMBER(J677),J677&lt;ASOF),"⚠ เลยกำหนด",IF(AND(ISNUMBER(I677),I677&lt;=ASOF+14,J677&gt;=ASOF-7),"ช่วงนี้","")))</f>
        <v>ช่วงนี้</v>
      </c>
      <c r="L677" s="59"/>
      <c r="M677" s="60"/>
    </row>
    <row r="678" customFormat="false" ht="15" hidden="false" customHeight="false" outlineLevel="0" collapsed="false">
      <c r="A678" s="54" t="s">
        <v>74</v>
      </c>
      <c r="B678" s="55" t="s">
        <v>480</v>
      </c>
      <c r="C678" s="56" t="s">
        <v>481</v>
      </c>
      <c r="D678" s="57" t="s">
        <v>76</v>
      </c>
      <c r="E678" s="57" t="s">
        <v>254</v>
      </c>
      <c r="F678" s="55" t="s">
        <v>255</v>
      </c>
      <c r="G678" s="55" t="s">
        <v>256</v>
      </c>
      <c r="H678" s="57" t="s">
        <v>211</v>
      </c>
      <c r="I678" s="58" t="n">
        <f aca="false">'P9-009'!$N$27</f>
        <v>46329</v>
      </c>
      <c r="J678" s="58" t="n">
        <f aca="false">'P9-009'!$O$27</f>
        <v>46329</v>
      </c>
      <c r="K678" s="56" t="str">
        <f aca="false">IF(OR(L678="Y",LEFT('P9-009'!$T$27,1)="D"),"",IF(AND(ISNUMBER(J678),J678&lt;ASOF),"⚠ เลยกำหนด",IF(AND(ISNUMBER(I678),I678&lt;=ASOF+14,J678&gt;=ASOF-7),"ช่วงนี้","")))</f>
        <v>ช่วงนี้</v>
      </c>
      <c r="L678" s="59"/>
      <c r="M678" s="60"/>
    </row>
    <row r="679" customFormat="false" ht="15" hidden="false" customHeight="false" outlineLevel="0" collapsed="false">
      <c r="A679" s="54" t="s">
        <v>74</v>
      </c>
      <c r="B679" s="55" t="s">
        <v>480</v>
      </c>
      <c r="C679" s="56" t="s">
        <v>481</v>
      </c>
      <c r="D679" s="57" t="s">
        <v>76</v>
      </c>
      <c r="E679" s="57" t="s">
        <v>257</v>
      </c>
      <c r="F679" s="55" t="s">
        <v>258</v>
      </c>
      <c r="G679" s="55" t="s">
        <v>259</v>
      </c>
      <c r="H679" s="57" t="s">
        <v>211</v>
      </c>
      <c r="I679" s="58" t="n">
        <f aca="false">'P9-009'!$N$28</f>
        <v>46329</v>
      </c>
      <c r="J679" s="58" t="n">
        <f aca="false">'P9-009'!$O$28</f>
        <v>46329</v>
      </c>
      <c r="K679" s="56" t="str">
        <f aca="false">IF(OR(L679="Y",LEFT('P9-009'!$T$28,1)="D"),"",IF(AND(ISNUMBER(J679),J679&lt;ASOF),"⚠ เลยกำหนด",IF(AND(ISNUMBER(I679),I679&lt;=ASOF+14,J679&gt;=ASOF-7),"ช่วงนี้","")))</f>
        <v>ช่วงนี้</v>
      </c>
      <c r="L679" s="59"/>
      <c r="M679" s="60"/>
    </row>
    <row r="680" customFormat="false" ht="15" hidden="false" customHeight="false" outlineLevel="0" collapsed="false">
      <c r="A680" s="54" t="s">
        <v>74</v>
      </c>
      <c r="B680" s="55" t="s">
        <v>480</v>
      </c>
      <c r="C680" s="56" t="s">
        <v>481</v>
      </c>
      <c r="D680" s="57" t="s">
        <v>76</v>
      </c>
      <c r="E680" s="57" t="s">
        <v>260</v>
      </c>
      <c r="F680" s="55" t="s">
        <v>261</v>
      </c>
      <c r="G680" s="55" t="s">
        <v>262</v>
      </c>
      <c r="H680" s="57" t="s">
        <v>211</v>
      </c>
      <c r="I680" s="58" t="n">
        <f aca="false">'P9-009'!$N$31</f>
        <v>46328</v>
      </c>
      <c r="J680" s="58" t="n">
        <f aca="false">'P9-009'!$O$31</f>
        <v>46328</v>
      </c>
      <c r="K680" s="56" t="str">
        <f aca="false">IF(OR(L680="Y",LEFT('P9-009'!$T$31,1)="D"),"",IF(AND(ISNUMBER(J680),J680&lt;ASOF),"⚠ เลยกำหนด",IF(AND(ISNUMBER(I680),I680&lt;=ASOF+14,J680&gt;=ASOF-7),"ช่วงนี้","")))</f>
        <v>ช่วงนี้</v>
      </c>
      <c r="L680" s="59"/>
      <c r="M680" s="60"/>
    </row>
    <row r="681" customFormat="false" ht="15" hidden="false" customHeight="false" outlineLevel="0" collapsed="false">
      <c r="A681" s="54" t="s">
        <v>74</v>
      </c>
      <c r="B681" s="55" t="s">
        <v>480</v>
      </c>
      <c r="C681" s="56" t="s">
        <v>481</v>
      </c>
      <c r="D681" s="57" t="s">
        <v>76</v>
      </c>
      <c r="E681" s="57" t="s">
        <v>263</v>
      </c>
      <c r="F681" s="55" t="s">
        <v>264</v>
      </c>
      <c r="G681" s="55" t="s">
        <v>265</v>
      </c>
      <c r="H681" s="57" t="s">
        <v>211</v>
      </c>
      <c r="I681" s="58" t="n">
        <f aca="false">'P9-009'!$N$32</f>
        <v>46328</v>
      </c>
      <c r="J681" s="58" t="n">
        <f aca="false">'P9-009'!$O$32</f>
        <v>46328</v>
      </c>
      <c r="K681" s="56" t="str">
        <f aca="false">IF(OR(L681="Y",LEFT('P9-009'!$T$32,1)="D"),"",IF(AND(ISNUMBER(J681),J681&lt;ASOF),"⚠ เลยกำหนด",IF(AND(ISNUMBER(I681),I681&lt;=ASOF+14,J681&gt;=ASOF-7),"ช่วงนี้","")))</f>
        <v>ช่วงนี้</v>
      </c>
      <c r="L681" s="59"/>
      <c r="M681" s="60"/>
    </row>
    <row r="682" customFormat="false" ht="15" hidden="false" customHeight="false" outlineLevel="0" collapsed="false">
      <c r="A682" s="54" t="s">
        <v>74</v>
      </c>
      <c r="B682" s="55" t="s">
        <v>480</v>
      </c>
      <c r="C682" s="56" t="s">
        <v>481</v>
      </c>
      <c r="D682" s="57" t="s">
        <v>76</v>
      </c>
      <c r="E682" s="57" t="s">
        <v>266</v>
      </c>
      <c r="F682" s="55" t="s">
        <v>267</v>
      </c>
      <c r="G682" s="55" t="s">
        <v>268</v>
      </c>
      <c r="H682" s="57" t="s">
        <v>211</v>
      </c>
      <c r="I682" s="58" t="n">
        <f aca="false">'P9-009'!$N$33</f>
        <v>46328</v>
      </c>
      <c r="J682" s="58" t="n">
        <f aca="false">'P9-009'!$O$33</f>
        <v>46328</v>
      </c>
      <c r="K682" s="56" t="str">
        <f aca="false">IF(OR(L682="Y",LEFT('P9-009'!$T$33,1)="D"),"",IF(AND(ISNUMBER(J682),J682&lt;ASOF),"⚠ เลยกำหนด",IF(AND(ISNUMBER(I682),I682&lt;=ASOF+14,J682&gt;=ASOF-7),"ช่วงนี้","")))</f>
        <v>ช่วงนี้</v>
      </c>
      <c r="L682" s="59"/>
      <c r="M682" s="60"/>
    </row>
    <row r="683" customFormat="false" ht="15" hidden="false" customHeight="false" outlineLevel="0" collapsed="false">
      <c r="A683" s="54" t="s">
        <v>74</v>
      </c>
      <c r="B683" s="55" t="s">
        <v>480</v>
      </c>
      <c r="C683" s="56" t="s">
        <v>481</v>
      </c>
      <c r="D683" s="57" t="s">
        <v>76</v>
      </c>
      <c r="E683" s="57" t="s">
        <v>269</v>
      </c>
      <c r="F683" s="61" t="s">
        <v>270</v>
      </c>
      <c r="G683" s="61" t="s">
        <v>271</v>
      </c>
      <c r="H683" s="57" t="s">
        <v>211</v>
      </c>
      <c r="I683" s="58" t="n">
        <f aca="false">'P9-009'!$N$35</f>
        <v>46328</v>
      </c>
      <c r="J683" s="58" t="n">
        <f aca="false">'P9-009'!$O$35</f>
        <v>46328</v>
      </c>
      <c r="K683" s="56" t="str">
        <f aca="false">IF(OR(L683="Y",LEFT('P9-009'!$T$35,1)="D"),"",IF(AND(ISNUMBER(J683),J683&lt;ASOF),"⚠ เลยกำหนด",IF(AND(ISNUMBER(I683),I683&lt;=ASOF+14,J683&gt;=ASOF-7),"ช่วงนี้","")))</f>
        <v>ช่วงนี้</v>
      </c>
      <c r="L683" s="59"/>
      <c r="M683" s="60"/>
    </row>
    <row r="684" customFormat="false" ht="15" hidden="false" customHeight="false" outlineLevel="0" collapsed="false">
      <c r="A684" s="54" t="s">
        <v>74</v>
      </c>
      <c r="B684" s="55" t="s">
        <v>480</v>
      </c>
      <c r="C684" s="56" t="s">
        <v>481</v>
      </c>
      <c r="D684" s="57" t="s">
        <v>76</v>
      </c>
      <c r="E684" s="57" t="s">
        <v>272</v>
      </c>
      <c r="F684" s="55" t="s">
        <v>273</v>
      </c>
      <c r="G684" s="55" t="s">
        <v>274</v>
      </c>
      <c r="H684" s="57" t="s">
        <v>211</v>
      </c>
      <c r="I684" s="58" t="n">
        <f aca="false">'P9-009'!$N$36</f>
        <v>46328</v>
      </c>
      <c r="J684" s="58" t="n">
        <f aca="false">'P9-009'!$O$36</f>
        <v>46328</v>
      </c>
      <c r="K684" s="56" t="str">
        <f aca="false">IF(OR(L684="Y",LEFT('P9-009'!$T$36,1)="D"),"",IF(AND(ISNUMBER(J684),J684&lt;ASOF),"⚠ เลยกำหนด",IF(AND(ISNUMBER(I684),I684&lt;=ASOF+14,J684&gt;=ASOF-7),"ช่วงนี้","")))</f>
        <v>ช่วงนี้</v>
      </c>
      <c r="L684" s="59"/>
      <c r="M684" s="60"/>
    </row>
    <row r="685" customFormat="false" ht="15" hidden="false" customHeight="false" outlineLevel="0" collapsed="false">
      <c r="A685" s="54" t="s">
        <v>74</v>
      </c>
      <c r="B685" s="55" t="s">
        <v>480</v>
      </c>
      <c r="C685" s="56" t="s">
        <v>481</v>
      </c>
      <c r="D685" s="57" t="s">
        <v>76</v>
      </c>
      <c r="E685" s="57" t="s">
        <v>275</v>
      </c>
      <c r="F685" s="55" t="s">
        <v>276</v>
      </c>
      <c r="G685" s="55" t="s">
        <v>277</v>
      </c>
      <c r="H685" s="57" t="s">
        <v>211</v>
      </c>
      <c r="I685" s="58" t="n">
        <f aca="false">'P9-009'!$N$37</f>
        <v>46328</v>
      </c>
      <c r="J685" s="58" t="n">
        <f aca="false">'P9-009'!$O$37</f>
        <v>46328</v>
      </c>
      <c r="K685" s="56" t="str">
        <f aca="false">IF(OR(L685="Y",LEFT('P9-009'!$T$37,1)="D"),"",IF(AND(ISNUMBER(J685),J685&lt;ASOF),"⚠ เลยกำหนด",IF(AND(ISNUMBER(I685),I685&lt;=ASOF+14,J685&gt;=ASOF-7),"ช่วงนี้","")))</f>
        <v>ช่วงนี้</v>
      </c>
      <c r="L685" s="59"/>
      <c r="M685" s="60"/>
    </row>
    <row r="686" customFormat="false" ht="15" hidden="false" customHeight="false" outlineLevel="0" collapsed="false">
      <c r="A686" s="54" t="s">
        <v>74</v>
      </c>
      <c r="B686" s="55" t="s">
        <v>480</v>
      </c>
      <c r="C686" s="56" t="s">
        <v>481</v>
      </c>
      <c r="D686" s="57" t="s">
        <v>76</v>
      </c>
      <c r="E686" s="57" t="s">
        <v>278</v>
      </c>
      <c r="F686" s="55" t="s">
        <v>279</v>
      </c>
      <c r="G686" s="55" t="s">
        <v>280</v>
      </c>
      <c r="H686" s="57" t="s">
        <v>211</v>
      </c>
      <c r="I686" s="58" t="n">
        <f aca="false">'P9-009'!$N$38</f>
        <v>46328</v>
      </c>
      <c r="J686" s="58" t="n">
        <f aca="false">'P9-009'!$O$38</f>
        <v>46328</v>
      </c>
      <c r="K686" s="56" t="str">
        <f aca="false">IF(OR(L686="Y",LEFT('P9-009'!$T$38,1)="D"),"",IF(AND(ISNUMBER(J686),J686&lt;ASOF),"⚠ เลยกำหนด",IF(AND(ISNUMBER(I686),I686&lt;=ASOF+14,J686&gt;=ASOF-7),"ช่วงนี้","")))</f>
        <v>ช่วงนี้</v>
      </c>
      <c r="L686" s="59"/>
      <c r="M686" s="60"/>
    </row>
    <row r="687" customFormat="false" ht="15" hidden="false" customHeight="false" outlineLevel="0" collapsed="false">
      <c r="A687" s="54" t="s">
        <v>74</v>
      </c>
      <c r="B687" s="55" t="s">
        <v>480</v>
      </c>
      <c r="C687" s="56" t="s">
        <v>481</v>
      </c>
      <c r="D687" s="57" t="s">
        <v>76</v>
      </c>
      <c r="E687" s="57" t="s">
        <v>281</v>
      </c>
      <c r="F687" s="55" t="s">
        <v>282</v>
      </c>
      <c r="G687" s="55" t="s">
        <v>283</v>
      </c>
      <c r="H687" s="57" t="s">
        <v>211</v>
      </c>
      <c r="I687" s="58" t="n">
        <f aca="false">'P9-009'!$N$40</f>
        <v>46328</v>
      </c>
      <c r="J687" s="58" t="n">
        <f aca="false">'P9-009'!$O$40</f>
        <v>46328</v>
      </c>
      <c r="K687" s="56" t="str">
        <f aca="false">IF(OR(L687="Y",LEFT('P9-009'!$T$40,1)="D"),"",IF(AND(ISNUMBER(J687),J687&lt;ASOF),"⚠ เลยกำหนด",IF(AND(ISNUMBER(I687),I687&lt;=ASOF+14,J687&gt;=ASOF-7),"ช่วงนี้","")))</f>
        <v>ช่วงนี้</v>
      </c>
      <c r="L687" s="59"/>
      <c r="M687" s="60"/>
    </row>
    <row r="688" customFormat="false" ht="15" hidden="false" customHeight="false" outlineLevel="0" collapsed="false">
      <c r="A688" s="54" t="s">
        <v>74</v>
      </c>
      <c r="B688" s="55" t="s">
        <v>480</v>
      </c>
      <c r="C688" s="56" t="s">
        <v>481</v>
      </c>
      <c r="D688" s="57" t="s">
        <v>76</v>
      </c>
      <c r="E688" s="57" t="s">
        <v>284</v>
      </c>
      <c r="F688" s="55" t="s">
        <v>285</v>
      </c>
      <c r="G688" s="61" t="s">
        <v>286</v>
      </c>
      <c r="H688" s="57" t="s">
        <v>211</v>
      </c>
      <c r="I688" s="58" t="n">
        <f aca="false">'P9-009'!$N$41</f>
        <v>46328</v>
      </c>
      <c r="J688" s="58" t="n">
        <f aca="false">'P9-009'!$O$41</f>
        <v>46328</v>
      </c>
      <c r="K688" s="56" t="str">
        <f aca="false">IF(OR(L688="Y",LEFT('P9-009'!$T$41,1)="D"),"",IF(AND(ISNUMBER(J688),J688&lt;ASOF),"⚠ เลยกำหนด",IF(AND(ISNUMBER(I688),I688&lt;=ASOF+14,J688&gt;=ASOF-7),"ช่วงนี้","")))</f>
        <v>ช่วงนี้</v>
      </c>
      <c r="L688" s="59"/>
      <c r="M688" s="60"/>
    </row>
    <row r="689" customFormat="false" ht="15" hidden="false" customHeight="false" outlineLevel="0" collapsed="false">
      <c r="A689" s="54" t="s">
        <v>74</v>
      </c>
      <c r="B689" s="55" t="s">
        <v>480</v>
      </c>
      <c r="C689" s="56" t="s">
        <v>481</v>
      </c>
      <c r="D689" s="57" t="s">
        <v>76</v>
      </c>
      <c r="E689" s="57" t="s">
        <v>287</v>
      </c>
      <c r="F689" s="55" t="s">
        <v>288</v>
      </c>
      <c r="G689" s="61" t="s">
        <v>289</v>
      </c>
      <c r="H689" s="57" t="s">
        <v>211</v>
      </c>
      <c r="I689" s="58" t="n">
        <f aca="false">'P9-009'!$N$42</f>
        <v>46328</v>
      </c>
      <c r="J689" s="58" t="n">
        <f aca="false">'P9-009'!$O$42</f>
        <v>46328</v>
      </c>
      <c r="K689" s="56" t="str">
        <f aca="false">IF(OR(L689="Y",LEFT('P9-009'!$T$42,1)="D"),"",IF(AND(ISNUMBER(J689),J689&lt;ASOF),"⚠ เลยกำหนด",IF(AND(ISNUMBER(I689),I689&lt;=ASOF+14,J689&gt;=ASOF-7),"ช่วงนี้","")))</f>
        <v>ช่วงนี้</v>
      </c>
      <c r="L689" s="59"/>
      <c r="M689" s="60"/>
    </row>
    <row r="690" customFormat="false" ht="15" hidden="false" customHeight="false" outlineLevel="0" collapsed="false">
      <c r="A690" s="54" t="s">
        <v>74</v>
      </c>
      <c r="B690" s="55" t="s">
        <v>480</v>
      </c>
      <c r="C690" s="56" t="s">
        <v>481</v>
      </c>
      <c r="D690" s="57" t="s">
        <v>76</v>
      </c>
      <c r="E690" s="57" t="s">
        <v>290</v>
      </c>
      <c r="F690" s="55" t="s">
        <v>291</v>
      </c>
      <c r="G690" s="55" t="s">
        <v>292</v>
      </c>
      <c r="H690" s="57" t="s">
        <v>211</v>
      </c>
      <c r="I690" s="58" t="n">
        <f aca="false">'P9-009'!$N$44</f>
        <v>46328</v>
      </c>
      <c r="J690" s="58" t="n">
        <f aca="false">'P9-009'!$O$44</f>
        <v>46328</v>
      </c>
      <c r="K690" s="56" t="str">
        <f aca="false">IF(OR(L690="Y",LEFT('P9-009'!$T$44,1)="D"),"",IF(AND(ISNUMBER(J690),J690&lt;ASOF),"⚠ เลยกำหนด",IF(AND(ISNUMBER(I690),I690&lt;=ASOF+14,J690&gt;=ASOF-7),"ช่วงนี้","")))</f>
        <v>ช่วงนี้</v>
      </c>
      <c r="L690" s="59"/>
      <c r="M690" s="60"/>
    </row>
    <row r="691" customFormat="false" ht="15" hidden="false" customHeight="false" outlineLevel="0" collapsed="false">
      <c r="A691" s="54" t="s">
        <v>74</v>
      </c>
      <c r="B691" s="55" t="s">
        <v>480</v>
      </c>
      <c r="C691" s="56" t="s">
        <v>481</v>
      </c>
      <c r="D691" s="57" t="s">
        <v>76</v>
      </c>
      <c r="E691" s="57" t="s">
        <v>293</v>
      </c>
      <c r="F691" s="55" t="s">
        <v>294</v>
      </c>
      <c r="G691" s="55" t="s">
        <v>295</v>
      </c>
      <c r="H691" s="57" t="s">
        <v>211</v>
      </c>
      <c r="I691" s="58" t="n">
        <f aca="false">'P9-009'!$N$45</f>
        <v>46328</v>
      </c>
      <c r="J691" s="58" t="n">
        <f aca="false">'P9-009'!$O$45</f>
        <v>46328</v>
      </c>
      <c r="K691" s="56" t="str">
        <f aca="false">IF(OR(L691="Y",LEFT('P9-009'!$T$45,1)="D"),"",IF(AND(ISNUMBER(J691),J691&lt;ASOF),"⚠ เลยกำหนด",IF(AND(ISNUMBER(I691),I691&lt;=ASOF+14,J691&gt;=ASOF-7),"ช่วงนี้","")))</f>
        <v>ช่วงนี้</v>
      </c>
      <c r="L691" s="59"/>
      <c r="M691" s="60"/>
    </row>
    <row r="692" customFormat="false" ht="15" hidden="false" customHeight="false" outlineLevel="0" collapsed="false">
      <c r="A692" s="54" t="s">
        <v>74</v>
      </c>
      <c r="B692" s="55" t="s">
        <v>480</v>
      </c>
      <c r="C692" s="56" t="s">
        <v>481</v>
      </c>
      <c r="D692" s="57" t="s">
        <v>76</v>
      </c>
      <c r="E692" s="57" t="s">
        <v>296</v>
      </c>
      <c r="F692" s="55" t="s">
        <v>297</v>
      </c>
      <c r="G692" s="55" t="s">
        <v>298</v>
      </c>
      <c r="H692" s="57" t="s">
        <v>211</v>
      </c>
      <c r="I692" s="58" t="n">
        <f aca="false">'P9-009'!$N$46</f>
        <v>46328</v>
      </c>
      <c r="J692" s="58" t="n">
        <f aca="false">'P9-009'!$O$46</f>
        <v>46328</v>
      </c>
      <c r="K692" s="56" t="str">
        <f aca="false">IF(OR(L692="Y",LEFT('P9-009'!$T$46,1)="D"),"",IF(AND(ISNUMBER(J692),J692&lt;ASOF),"⚠ เลยกำหนด",IF(AND(ISNUMBER(I692),I692&lt;=ASOF+14,J692&gt;=ASOF-7),"ช่วงนี้","")))</f>
        <v>ช่วงนี้</v>
      </c>
      <c r="L692" s="59"/>
      <c r="M692" s="60"/>
    </row>
    <row r="693" customFormat="false" ht="15" hidden="false" customHeight="false" outlineLevel="0" collapsed="false">
      <c r="A693" s="54" t="s">
        <v>74</v>
      </c>
      <c r="B693" s="55" t="s">
        <v>480</v>
      </c>
      <c r="C693" s="56" t="s">
        <v>481</v>
      </c>
      <c r="D693" s="57" t="s">
        <v>76</v>
      </c>
      <c r="E693" s="57" t="s">
        <v>299</v>
      </c>
      <c r="F693" s="55" t="s">
        <v>300</v>
      </c>
      <c r="G693" s="55" t="s">
        <v>301</v>
      </c>
      <c r="H693" s="57" t="s">
        <v>211</v>
      </c>
      <c r="I693" s="58" t="str">
        <f aca="false">'P9-009'!$N$53</f>
        <v/>
      </c>
      <c r="J693" s="58" t="str">
        <f aca="false">'P9-009'!$O$53</f>
        <v/>
      </c>
      <c r="K693" s="56" t="str">
        <f aca="false">IF(OR(L693="Y",LEFT('P9-009'!$T$53,1)="D"),"",IF(AND(ISNUMBER(J693),J693&lt;ASOF),"⚠ เลยกำหนด",IF(AND(ISNUMBER(I693),I693&lt;=ASOF+14,J693&gt;=ASOF-7),"ช่วงนี้","")))</f>
        <v/>
      </c>
      <c r="L693" s="59"/>
      <c r="M693" s="60"/>
    </row>
    <row r="694" customFormat="false" ht="15" hidden="false" customHeight="false" outlineLevel="0" collapsed="false">
      <c r="A694" s="54" t="s">
        <v>74</v>
      </c>
      <c r="B694" s="55" t="s">
        <v>480</v>
      </c>
      <c r="C694" s="56" t="s">
        <v>481</v>
      </c>
      <c r="D694" s="57" t="s">
        <v>76</v>
      </c>
      <c r="E694" s="57" t="s">
        <v>302</v>
      </c>
      <c r="F694" s="55" t="s">
        <v>303</v>
      </c>
      <c r="G694" s="55" t="s">
        <v>304</v>
      </c>
      <c r="H694" s="57" t="s">
        <v>211</v>
      </c>
      <c r="I694" s="58" t="str">
        <f aca="false">'P9-009'!$N$54</f>
        <v/>
      </c>
      <c r="J694" s="58" t="str">
        <f aca="false">'P9-009'!$O$54</f>
        <v/>
      </c>
      <c r="K694" s="56" t="str">
        <f aca="false">IF(OR(L694="Y",LEFT('P9-009'!$T$54,1)="D"),"",IF(AND(ISNUMBER(J694),J694&lt;ASOF),"⚠ เลยกำหนด",IF(AND(ISNUMBER(I694),I694&lt;=ASOF+14,J694&gt;=ASOF-7),"ช่วงนี้","")))</f>
        <v/>
      </c>
      <c r="L694" s="59"/>
      <c r="M694" s="60"/>
    </row>
    <row r="695" customFormat="false" ht="15" hidden="false" customHeight="false" outlineLevel="0" collapsed="false">
      <c r="A695" s="54" t="s">
        <v>74</v>
      </c>
      <c r="B695" s="55" t="s">
        <v>480</v>
      </c>
      <c r="C695" s="56" t="s">
        <v>481</v>
      </c>
      <c r="D695" s="57" t="s">
        <v>76</v>
      </c>
      <c r="E695" s="57" t="s">
        <v>305</v>
      </c>
      <c r="F695" s="55" t="s">
        <v>306</v>
      </c>
      <c r="G695" s="55" t="s">
        <v>307</v>
      </c>
      <c r="H695" s="56" t="str">
        <f aca="false">IF(COUNTIFS(SITE_ST,"P9-009",SITE_TYPE,"?*")&gt;0,"ตามจุดติดตั้ง →","0/100")</f>
        <v>ตามจุดติดตั้ง →</v>
      </c>
      <c r="I695" s="58" t="n">
        <f aca="false">'P9-009'!$N$63</f>
        <v>46328</v>
      </c>
      <c r="J695" s="58" t="n">
        <f aca="false">'P9-009'!$O$63</f>
        <v>46329</v>
      </c>
      <c r="K695" s="56" t="str">
        <f aca="false">IF(OR(L695="Y",LEFT('P9-009'!$T$63,1)="D"),"",IF(AND(ISNUMBER(J695),J695&lt;ASOF),"⚠ เลยกำหนด",IF(AND(ISNUMBER(I695),I695&lt;=ASOF+14,J695&gt;=ASOF-7),"ช่วงนี้","")))</f>
        <v>ช่วงนี้</v>
      </c>
      <c r="L695" s="59"/>
      <c r="M695" s="60"/>
    </row>
    <row r="696" customFormat="false" ht="15" hidden="false" customHeight="false" outlineLevel="0" collapsed="false">
      <c r="A696" s="54" t="s">
        <v>74</v>
      </c>
      <c r="B696" s="55" t="s">
        <v>480</v>
      </c>
      <c r="C696" s="56" t="s">
        <v>481</v>
      </c>
      <c r="D696" s="57" t="s">
        <v>76</v>
      </c>
      <c r="E696" s="57" t="s">
        <v>308</v>
      </c>
      <c r="F696" s="55" t="s">
        <v>309</v>
      </c>
      <c r="G696" s="55" t="s">
        <v>310</v>
      </c>
      <c r="H696" s="57" t="s">
        <v>211</v>
      </c>
      <c r="I696" s="58" t="n">
        <f aca="false">'P9-009'!$N$64</f>
        <v>46328</v>
      </c>
      <c r="J696" s="58" t="n">
        <f aca="false">'P9-009'!$O$64</f>
        <v>46331</v>
      </c>
      <c r="K696" s="56" t="str">
        <f aca="false">IF(OR(L696="Y",LEFT('P9-009'!$T$64,1)="D"),"",IF(AND(ISNUMBER(J696),J696&lt;ASOF),"⚠ เลยกำหนด",IF(AND(ISNUMBER(I696),I696&lt;=ASOF+14,J696&gt;=ASOF-7),"ช่วงนี้","")))</f>
        <v>ช่วงนี้</v>
      </c>
      <c r="L696" s="59"/>
      <c r="M696" s="60"/>
    </row>
    <row r="697" customFormat="false" ht="15" hidden="false" customHeight="false" outlineLevel="0" collapsed="false">
      <c r="A697" s="54" t="s">
        <v>74</v>
      </c>
      <c r="B697" s="55" t="s">
        <v>480</v>
      </c>
      <c r="C697" s="56" t="s">
        <v>481</v>
      </c>
      <c r="D697" s="57" t="s">
        <v>76</v>
      </c>
      <c r="E697" s="57" t="s">
        <v>311</v>
      </c>
      <c r="F697" s="55" t="s">
        <v>312</v>
      </c>
      <c r="G697" s="55" t="s">
        <v>313</v>
      </c>
      <c r="H697" s="56" t="str">
        <f aca="false">IF(COUNTIFS(SITE_ST,"P9-009",SITE_TYPE,"?*")&gt;0,"ตามจุดติดตั้ง →","50/50")</f>
        <v>ตามจุดติดตั้ง →</v>
      </c>
      <c r="I697" s="58" t="n">
        <f aca="false">'P9-009'!$N$65</f>
        <v>46329</v>
      </c>
      <c r="J697" s="58" t="n">
        <f aca="false">'P9-009'!$O$65</f>
        <v>46335</v>
      </c>
      <c r="K697" s="56" t="str">
        <f aca="false">IF(OR(L697="Y",LEFT('P9-009'!$T$65,1)="D"),"",IF(AND(ISNUMBER(J697),J697&lt;ASOF),"⚠ เลยกำหนด",IF(AND(ISNUMBER(I697),I697&lt;=ASOF+14,J697&gt;=ASOF-7),"ช่วงนี้","")))</f>
        <v>ช่วงนี้</v>
      </c>
      <c r="L697" s="59"/>
      <c r="M697" s="60"/>
    </row>
    <row r="698" customFormat="false" ht="15" hidden="false" customHeight="false" outlineLevel="0" collapsed="false">
      <c r="A698" s="54" t="s">
        <v>74</v>
      </c>
      <c r="B698" s="55" t="s">
        <v>480</v>
      </c>
      <c r="C698" s="56" t="s">
        <v>481</v>
      </c>
      <c r="D698" s="57" t="s">
        <v>76</v>
      </c>
      <c r="E698" s="57" t="s">
        <v>314</v>
      </c>
      <c r="F698" s="55" t="s">
        <v>315</v>
      </c>
      <c r="G698" s="61" t="s">
        <v>316</v>
      </c>
      <c r="H698" s="56" t="str">
        <f aca="false">IF(COUNTIFS(SITE_ST,"P9-009",SITE_TYPE,"?*")&gt;0,"ตามจุดติดตั้ง →","50/50")</f>
        <v>ตามจุดติดตั้ง →</v>
      </c>
      <c r="I698" s="58" t="n">
        <f aca="false">'P9-009'!$N$66</f>
        <v>46333</v>
      </c>
      <c r="J698" s="58" t="n">
        <f aca="false">'P9-009'!$O$66</f>
        <v>46339</v>
      </c>
      <c r="K698" s="56" t="str">
        <f aca="false">IF(OR(L698="Y",LEFT('P9-009'!$T$66,1)="D"),"",IF(AND(ISNUMBER(J698),J698&lt;ASOF),"⚠ เลยกำหนด",IF(AND(ISNUMBER(I698),I698&lt;=ASOF+14,J698&gt;=ASOF-7),"ช่วงนี้","")))</f>
        <v>ช่วงนี้</v>
      </c>
      <c r="L698" s="59"/>
      <c r="M698" s="60"/>
    </row>
    <row r="699" customFormat="false" ht="15" hidden="false" customHeight="false" outlineLevel="0" collapsed="false">
      <c r="A699" s="54" t="s">
        <v>74</v>
      </c>
      <c r="B699" s="55" t="s">
        <v>480</v>
      </c>
      <c r="C699" s="56" t="s">
        <v>481</v>
      </c>
      <c r="D699" s="57" t="s">
        <v>76</v>
      </c>
      <c r="E699" s="57" t="s">
        <v>317</v>
      </c>
      <c r="F699" s="61" t="s">
        <v>318</v>
      </c>
      <c r="G699" s="61" t="s">
        <v>319</v>
      </c>
      <c r="H699" s="56" t="str">
        <f aca="false">IF(COUNTIFS(SITE_ST,"P9-009",SITE_TYPE,"?*")&gt;0,"ตามจุดติดตั้ง →","50/50")</f>
        <v>ตามจุดติดตั้ง →</v>
      </c>
      <c r="I699" s="58" t="n">
        <f aca="false">'P9-009'!$N$67</f>
        <v>46336</v>
      </c>
      <c r="J699" s="58" t="n">
        <f aca="false">'P9-009'!$O$67</f>
        <v>46340</v>
      </c>
      <c r="K699" s="56" t="str">
        <f aca="false">IF(OR(L699="Y",LEFT('P9-009'!$T$67,1)="D"),"",IF(AND(ISNUMBER(J699),J699&lt;ASOF),"⚠ เลยกำหนด",IF(AND(ISNUMBER(I699),I699&lt;=ASOF+14,J699&gt;=ASOF-7),"ช่วงนี้","")))</f>
        <v>ช่วงนี้</v>
      </c>
      <c r="L699" s="59"/>
      <c r="M699" s="60"/>
    </row>
    <row r="700" customFormat="false" ht="15" hidden="false" customHeight="false" outlineLevel="0" collapsed="false">
      <c r="A700" s="54" t="s">
        <v>74</v>
      </c>
      <c r="B700" s="55" t="s">
        <v>480</v>
      </c>
      <c r="C700" s="56" t="s">
        <v>481</v>
      </c>
      <c r="D700" s="57" t="s">
        <v>76</v>
      </c>
      <c r="E700" s="57" t="s">
        <v>320</v>
      </c>
      <c r="F700" s="55" t="s">
        <v>321</v>
      </c>
      <c r="G700" s="55" t="s">
        <v>322</v>
      </c>
      <c r="H700" s="56" t="str">
        <f aca="false">IF(COUNTIFS(SITE_ST,"P9-009",SITE_TYPE,"?*")&gt;0,"ตามจุดติดตั้ง →","0/100")</f>
        <v>ตามจุดติดตั้ง →</v>
      </c>
      <c r="I700" s="58" t="n">
        <f aca="false">'P9-009'!$N$68</f>
        <v>46338</v>
      </c>
      <c r="J700" s="58" t="n">
        <f aca="false">'P9-009'!$O$68</f>
        <v>46341</v>
      </c>
      <c r="K700" s="56" t="str">
        <f aca="false">IF(OR(L700="Y",LEFT('P9-009'!$T$68,1)="D"),"",IF(AND(ISNUMBER(J700),J700&lt;ASOF),"⚠ เลยกำหนด",IF(AND(ISNUMBER(I700),I700&lt;=ASOF+14,J700&gt;=ASOF-7),"ช่วงนี้","")))</f>
        <v>ช่วงนี้</v>
      </c>
      <c r="L700" s="59"/>
      <c r="M700" s="60"/>
    </row>
    <row r="701" customFormat="false" ht="15" hidden="false" customHeight="false" outlineLevel="0" collapsed="false">
      <c r="A701" s="54" t="s">
        <v>74</v>
      </c>
      <c r="B701" s="55" t="s">
        <v>480</v>
      </c>
      <c r="C701" s="56" t="s">
        <v>481</v>
      </c>
      <c r="D701" s="57" t="s">
        <v>76</v>
      </c>
      <c r="E701" s="57" t="s">
        <v>323</v>
      </c>
      <c r="F701" s="61" t="s">
        <v>324</v>
      </c>
      <c r="G701" s="55" t="s">
        <v>325</v>
      </c>
      <c r="H701" s="56" t="str">
        <f aca="false">IF(COUNTIFS(SITE_ST,"P9-009",SITE_TYPE,"?*")&gt;0,"ตามจุดติดตั้ง →","0/100")</f>
        <v>ตามจุดติดตั้ง →</v>
      </c>
      <c r="I701" s="58" t="n">
        <f aca="false">'P9-009'!$N$69</f>
        <v>46340</v>
      </c>
      <c r="J701" s="58" t="n">
        <f aca="false">'P9-009'!$O$69</f>
        <v>46341</v>
      </c>
      <c r="K701" s="56" t="str">
        <f aca="false">IF(OR(L701="Y",LEFT('P9-009'!$T$69,1)="D"),"",IF(AND(ISNUMBER(J701),J701&lt;ASOF),"⚠ เลยกำหนด",IF(AND(ISNUMBER(I701),I701&lt;=ASOF+14,J701&gt;=ASOF-7),"ช่วงนี้","")))</f>
        <v>ช่วงนี้</v>
      </c>
      <c r="L701" s="59"/>
      <c r="M701" s="60"/>
    </row>
    <row r="702" customFormat="false" ht="15" hidden="false" customHeight="false" outlineLevel="0" collapsed="false">
      <c r="A702" s="54" t="s">
        <v>74</v>
      </c>
      <c r="B702" s="55" t="s">
        <v>480</v>
      </c>
      <c r="C702" s="56" t="s">
        <v>481</v>
      </c>
      <c r="D702" s="57" t="s">
        <v>76</v>
      </c>
      <c r="E702" s="57" t="s">
        <v>326</v>
      </c>
      <c r="F702" s="55" t="s">
        <v>327</v>
      </c>
      <c r="G702" s="61" t="s">
        <v>328</v>
      </c>
      <c r="H702" s="56" t="str">
        <f aca="false">IF(COUNTIFS(SITE_ST,"P9-009",SITE_TYPE,"?*")&gt;0,"ตามจุดติดตั้ง →","50/50")</f>
        <v>ตามจุดติดตั้ง →</v>
      </c>
      <c r="I702" s="58" t="n">
        <f aca="false">'P9-009'!$N$71</f>
        <v>46343</v>
      </c>
      <c r="J702" s="58" t="n">
        <f aca="false">'P9-009'!$O$71</f>
        <v>46344</v>
      </c>
      <c r="K702" s="56" t="str">
        <f aca="false">IF(OR(L702="Y",LEFT('P9-009'!$T$71,1)="D"),"",IF(AND(ISNUMBER(J702),J702&lt;ASOF),"⚠ เลยกำหนด",IF(AND(ISNUMBER(I702),I702&lt;=ASOF+14,J702&gt;=ASOF-7),"ช่วงนี้","")))</f>
        <v/>
      </c>
      <c r="L702" s="59"/>
      <c r="M702" s="60"/>
    </row>
    <row r="703" customFormat="false" ht="15" hidden="false" customHeight="false" outlineLevel="0" collapsed="false">
      <c r="A703" s="54" t="s">
        <v>74</v>
      </c>
      <c r="B703" s="55" t="s">
        <v>480</v>
      </c>
      <c r="C703" s="56" t="s">
        <v>481</v>
      </c>
      <c r="D703" s="57" t="s">
        <v>76</v>
      </c>
      <c r="E703" s="57" t="s">
        <v>329</v>
      </c>
      <c r="F703" s="55" t="s">
        <v>330</v>
      </c>
      <c r="G703" s="55" t="s">
        <v>331</v>
      </c>
      <c r="H703" s="56" t="str">
        <f aca="false">IF(COUNTIFS(SITE_ST,"P9-009",SITE_TYPE,"?*")&gt;0,"ตามจุดติดตั้ง →","50/50")</f>
        <v>ตามจุดติดตั้ง →</v>
      </c>
      <c r="I703" s="58" t="n">
        <f aca="false">'P9-009'!$N$72</f>
        <v>46344</v>
      </c>
      <c r="J703" s="58" t="n">
        <f aca="false">'P9-009'!$O$72</f>
        <v>46345</v>
      </c>
      <c r="K703" s="56" t="str">
        <f aca="false">IF(OR(L703="Y",LEFT('P9-009'!$T$72,1)="D"),"",IF(AND(ISNUMBER(J703),J703&lt;ASOF),"⚠ เลยกำหนด",IF(AND(ISNUMBER(I703),I703&lt;=ASOF+14,J703&gt;=ASOF-7),"ช่วงนี้","")))</f>
        <v/>
      </c>
      <c r="L703" s="59"/>
      <c r="M703" s="60"/>
    </row>
    <row r="704" customFormat="false" ht="15" hidden="false" customHeight="false" outlineLevel="0" collapsed="false">
      <c r="A704" s="54" t="s">
        <v>74</v>
      </c>
      <c r="B704" s="55" t="s">
        <v>480</v>
      </c>
      <c r="C704" s="56" t="s">
        <v>481</v>
      </c>
      <c r="D704" s="57" t="s">
        <v>76</v>
      </c>
      <c r="E704" s="57" t="s">
        <v>332</v>
      </c>
      <c r="F704" s="55" t="s">
        <v>333</v>
      </c>
      <c r="G704" s="55" t="s">
        <v>334</v>
      </c>
      <c r="H704" s="56" t="str">
        <f aca="false">IF(COUNTIFS(SITE_ST,"P9-009",SITE_TYPE,"?*")&gt;0,"ตามจุดติดตั้ง →","0/100")</f>
        <v>ตามจุดติดตั้ง →</v>
      </c>
      <c r="I704" s="58" t="n">
        <f aca="false">'P9-009'!$N$73</f>
        <v>46344</v>
      </c>
      <c r="J704" s="58" t="n">
        <f aca="false">'P9-009'!$O$73</f>
        <v>46345</v>
      </c>
      <c r="K704" s="56" t="str">
        <f aca="false">IF(OR(L704="Y",LEFT('P9-009'!$T$73,1)="D"),"",IF(AND(ISNUMBER(J704),J704&lt;ASOF),"⚠ เลยกำหนด",IF(AND(ISNUMBER(I704),I704&lt;=ASOF+14,J704&gt;=ASOF-7),"ช่วงนี้","")))</f>
        <v/>
      </c>
      <c r="L704" s="59"/>
      <c r="M704" s="60"/>
    </row>
    <row r="705" customFormat="false" ht="15" hidden="false" customHeight="false" outlineLevel="0" collapsed="false">
      <c r="A705" s="54" t="s">
        <v>74</v>
      </c>
      <c r="B705" s="55" t="s">
        <v>480</v>
      </c>
      <c r="C705" s="56" t="s">
        <v>481</v>
      </c>
      <c r="D705" s="57" t="s">
        <v>76</v>
      </c>
      <c r="E705" s="57" t="s">
        <v>335</v>
      </c>
      <c r="F705" s="55" t="s">
        <v>336</v>
      </c>
      <c r="G705" s="61" t="s">
        <v>337</v>
      </c>
      <c r="H705" s="56" t="str">
        <f aca="false">IF(COUNTIFS(SITE_ST,"P9-009",SITE_TYPE,"?*")&gt;0,"ตามจุดติดตั้ง →","0/100")</f>
        <v>ตามจุดติดตั้ง →</v>
      </c>
      <c r="I705" s="58" t="n">
        <f aca="false">'P9-009'!$N$74</f>
        <v>46345</v>
      </c>
      <c r="J705" s="58" t="n">
        <f aca="false">'P9-009'!$O$74</f>
        <v>46346</v>
      </c>
      <c r="K705" s="56" t="str">
        <f aca="false">IF(OR(L705="Y",LEFT('P9-009'!$T$74,1)="D"),"",IF(AND(ISNUMBER(J705),J705&lt;ASOF),"⚠ เลยกำหนด",IF(AND(ISNUMBER(I705),I705&lt;=ASOF+14,J705&gt;=ASOF-7),"ช่วงนี้","")))</f>
        <v/>
      </c>
      <c r="L705" s="59"/>
      <c r="M705" s="60"/>
    </row>
    <row r="706" customFormat="false" ht="15" hidden="false" customHeight="false" outlineLevel="0" collapsed="false">
      <c r="A706" s="54" t="s">
        <v>74</v>
      </c>
      <c r="B706" s="55" t="s">
        <v>480</v>
      </c>
      <c r="C706" s="56" t="s">
        <v>481</v>
      </c>
      <c r="D706" s="57" t="s">
        <v>76</v>
      </c>
      <c r="E706" s="57" t="s">
        <v>338</v>
      </c>
      <c r="F706" s="61" t="s">
        <v>339</v>
      </c>
      <c r="G706" s="55" t="s">
        <v>340</v>
      </c>
      <c r="H706" s="56" t="str">
        <f aca="false">IF(COUNTIFS(SITE_ST,"P9-009",SITE_TYPE,"?*")&gt;0,"ตามจุดติดตั้ง →","0/100")</f>
        <v>ตามจุดติดตั้ง →</v>
      </c>
      <c r="I706" s="58" t="n">
        <f aca="false">'P9-009'!$N$75</f>
        <v>46345</v>
      </c>
      <c r="J706" s="58" t="n">
        <f aca="false">'P9-009'!$O$75</f>
        <v>46346</v>
      </c>
      <c r="K706" s="56" t="str">
        <f aca="false">IF(OR(L706="Y",LEFT('P9-009'!$T$75,1)="D"),"",IF(AND(ISNUMBER(J706),J706&lt;ASOF),"⚠ เลยกำหนด",IF(AND(ISNUMBER(I706),I706&lt;=ASOF+14,J706&gt;=ASOF-7),"ช่วงนี้","")))</f>
        <v/>
      </c>
      <c r="L706" s="59"/>
      <c r="M706" s="60"/>
    </row>
    <row r="707" customFormat="false" ht="15" hidden="false" customHeight="false" outlineLevel="0" collapsed="false">
      <c r="A707" s="54" t="s">
        <v>74</v>
      </c>
      <c r="B707" s="55" t="s">
        <v>480</v>
      </c>
      <c r="C707" s="56" t="s">
        <v>481</v>
      </c>
      <c r="D707" s="57" t="s">
        <v>76</v>
      </c>
      <c r="E707" s="57" t="s">
        <v>341</v>
      </c>
      <c r="F707" s="55" t="s">
        <v>342</v>
      </c>
      <c r="G707" s="55" t="s">
        <v>343</v>
      </c>
      <c r="H707" s="56" t="str">
        <f aca="false">IF(COUNTIFS(SITE_ST,"P9-009",SITE_TYPE,"?*")&gt;0,"ตามจุดติดตั้ง →","0/100")</f>
        <v>ตามจุดติดตั้ง →</v>
      </c>
      <c r="I707" s="58" t="n">
        <f aca="false">'P9-009'!$N$77</f>
        <v>46342</v>
      </c>
      <c r="J707" s="58" t="n">
        <f aca="false">'P9-009'!$O$77</f>
        <v>46344</v>
      </c>
      <c r="K707" s="56" t="str">
        <f aca="false">IF(OR(L707="Y",LEFT('P9-009'!$T$77,1)="D"),"",IF(AND(ISNUMBER(J707),J707&lt;ASOF),"⚠ เลยกำหนด",IF(AND(ISNUMBER(I707),I707&lt;=ASOF+14,J707&gt;=ASOF-7),"ช่วงนี้","")))</f>
        <v>ช่วงนี้</v>
      </c>
      <c r="L707" s="59"/>
      <c r="M707" s="60"/>
    </row>
    <row r="708" customFormat="false" ht="15" hidden="false" customHeight="false" outlineLevel="0" collapsed="false">
      <c r="A708" s="54" t="s">
        <v>74</v>
      </c>
      <c r="B708" s="55" t="s">
        <v>480</v>
      </c>
      <c r="C708" s="56" t="s">
        <v>481</v>
      </c>
      <c r="D708" s="57" t="s">
        <v>76</v>
      </c>
      <c r="E708" s="57" t="s">
        <v>344</v>
      </c>
      <c r="F708" s="55" t="s">
        <v>345</v>
      </c>
      <c r="G708" s="55" t="s">
        <v>346</v>
      </c>
      <c r="H708" s="56" t="str">
        <f aca="false">IF(COUNTIFS(SITE_ST,"P9-009",SITE_TYPE,"?*")&gt;0,"ตามจุดติดตั้ง →","50/50")</f>
        <v>ตามจุดติดตั้ง →</v>
      </c>
      <c r="I708" s="58" t="n">
        <f aca="false">'P9-009'!$N$78</f>
        <v>46343</v>
      </c>
      <c r="J708" s="58" t="n">
        <f aca="false">'P9-009'!$O$78</f>
        <v>46346</v>
      </c>
      <c r="K708" s="56" t="str">
        <f aca="false">IF(OR(L708="Y",LEFT('P9-009'!$T$78,1)="D"),"",IF(AND(ISNUMBER(J708),J708&lt;ASOF),"⚠ เลยกำหนด",IF(AND(ISNUMBER(I708),I708&lt;=ASOF+14,J708&gt;=ASOF-7),"ช่วงนี้","")))</f>
        <v/>
      </c>
      <c r="L708" s="59"/>
      <c r="M708" s="60"/>
    </row>
    <row r="709" customFormat="false" ht="15" hidden="false" customHeight="false" outlineLevel="0" collapsed="false">
      <c r="A709" s="54" t="s">
        <v>74</v>
      </c>
      <c r="B709" s="55" t="s">
        <v>480</v>
      </c>
      <c r="C709" s="56" t="s">
        <v>481</v>
      </c>
      <c r="D709" s="57" t="s">
        <v>76</v>
      </c>
      <c r="E709" s="57" t="s">
        <v>347</v>
      </c>
      <c r="F709" s="61" t="s">
        <v>348</v>
      </c>
      <c r="G709" s="55" t="s">
        <v>349</v>
      </c>
      <c r="H709" s="56" t="str">
        <f aca="false">IF(COUNTIFS(SITE_ST,"P9-009",SITE_TYPE,"?*")&gt;0,"ตามจุดติดตั้ง →","50/50")</f>
        <v>ตามจุดติดตั้ง →</v>
      </c>
      <c r="I709" s="58" t="n">
        <f aca="false">'P9-009'!$N$79</f>
        <v>46344</v>
      </c>
      <c r="J709" s="58" t="n">
        <f aca="false">'P9-009'!$O$79</f>
        <v>46347</v>
      </c>
      <c r="K709" s="56" t="str">
        <f aca="false">IF(OR(L709="Y",LEFT('P9-009'!$T$79,1)="D"),"",IF(AND(ISNUMBER(J709),J709&lt;ASOF),"⚠ เลยกำหนด",IF(AND(ISNUMBER(I709),I709&lt;=ASOF+14,J709&gt;=ASOF-7),"ช่วงนี้","")))</f>
        <v/>
      </c>
      <c r="L709" s="59"/>
      <c r="M709" s="60"/>
    </row>
    <row r="710" customFormat="false" ht="15" hidden="false" customHeight="false" outlineLevel="0" collapsed="false">
      <c r="A710" s="54" t="s">
        <v>74</v>
      </c>
      <c r="B710" s="55" t="s">
        <v>480</v>
      </c>
      <c r="C710" s="56" t="s">
        <v>481</v>
      </c>
      <c r="D710" s="57" t="s">
        <v>76</v>
      </c>
      <c r="E710" s="57" t="s">
        <v>350</v>
      </c>
      <c r="F710" s="61" t="s">
        <v>351</v>
      </c>
      <c r="G710" s="55" t="s">
        <v>352</v>
      </c>
      <c r="H710" s="56" t="str">
        <f aca="false">IF(COUNTIFS(SITE_ST,"P9-009",SITE_TYPE,"?*")&gt;0,"ตามจุดติดตั้ง →","0/100")</f>
        <v>ตามจุดติดตั้ง →</v>
      </c>
      <c r="I710" s="58" t="n">
        <f aca="false">'P9-009'!$N$80</f>
        <v>46346</v>
      </c>
      <c r="J710" s="58" t="n">
        <f aca="false">'P9-009'!$O$80</f>
        <v>46347</v>
      </c>
      <c r="K710" s="56" t="str">
        <f aca="false">IF(OR(L710="Y",LEFT('P9-009'!$T$80,1)="D"),"",IF(AND(ISNUMBER(J710),J710&lt;ASOF),"⚠ เลยกำหนด",IF(AND(ISNUMBER(I710),I710&lt;=ASOF+14,J710&gt;=ASOF-7),"ช่วงนี้","")))</f>
        <v/>
      </c>
      <c r="L710" s="59"/>
      <c r="M710" s="60"/>
    </row>
    <row r="711" customFormat="false" ht="15" hidden="false" customHeight="false" outlineLevel="0" collapsed="false">
      <c r="A711" s="54" t="s">
        <v>74</v>
      </c>
      <c r="B711" s="55" t="s">
        <v>480</v>
      </c>
      <c r="C711" s="56" t="s">
        <v>481</v>
      </c>
      <c r="D711" s="57" t="s">
        <v>76</v>
      </c>
      <c r="E711" s="57" t="s">
        <v>353</v>
      </c>
      <c r="F711" s="61" t="s">
        <v>354</v>
      </c>
      <c r="G711" s="55" t="s">
        <v>355</v>
      </c>
      <c r="H711" s="56" t="str">
        <f aca="false">IF(COUNTIFS(SITE_ST,"P9-009",SITE_TYPE,"?*")&gt;0,"ตามจุดติดตั้ง →","0/100")</f>
        <v>ตามจุดติดตั้ง →</v>
      </c>
      <c r="I711" s="58" t="n">
        <f aca="false">'P9-009'!$N$81</f>
        <v>46347</v>
      </c>
      <c r="J711" s="58" t="n">
        <f aca="false">'P9-009'!$O$81</f>
        <v>46347</v>
      </c>
      <c r="K711" s="56" t="str">
        <f aca="false">IF(OR(L711="Y",LEFT('P9-009'!$T$81,1)="D"),"",IF(AND(ISNUMBER(J711),J711&lt;ASOF),"⚠ เลยกำหนด",IF(AND(ISNUMBER(I711),I711&lt;=ASOF+14,J711&gt;=ASOF-7),"ช่วงนี้","")))</f>
        <v/>
      </c>
      <c r="L711" s="59"/>
      <c r="M711" s="60"/>
    </row>
    <row r="712" customFormat="false" ht="15" hidden="false" customHeight="false" outlineLevel="0" collapsed="false">
      <c r="A712" s="54" t="s">
        <v>74</v>
      </c>
      <c r="B712" s="55" t="s">
        <v>480</v>
      </c>
      <c r="C712" s="56" t="s">
        <v>481</v>
      </c>
      <c r="D712" s="57" t="s">
        <v>76</v>
      </c>
      <c r="E712" s="57" t="s">
        <v>356</v>
      </c>
      <c r="F712" s="55" t="s">
        <v>357</v>
      </c>
      <c r="G712" s="55" t="s">
        <v>358</v>
      </c>
      <c r="H712" s="57" t="s">
        <v>211</v>
      </c>
      <c r="I712" s="58" t="n">
        <f aca="false">'P9-009'!$N$83</f>
        <v>46345</v>
      </c>
      <c r="J712" s="58" t="n">
        <f aca="false">'P9-009'!$O$83</f>
        <v>46346</v>
      </c>
      <c r="K712" s="56" t="str">
        <f aca="false">IF(OR(L712="Y",LEFT('P9-009'!$T$83,1)="D"),"",IF(AND(ISNUMBER(J712),J712&lt;ASOF),"⚠ เลยกำหนด",IF(AND(ISNUMBER(I712),I712&lt;=ASOF+14,J712&gt;=ASOF-7),"ช่วงนี้","")))</f>
        <v/>
      </c>
      <c r="L712" s="59"/>
      <c r="M712" s="60"/>
    </row>
    <row r="713" customFormat="false" ht="15" hidden="false" customHeight="false" outlineLevel="0" collapsed="false">
      <c r="A713" s="54" t="s">
        <v>74</v>
      </c>
      <c r="B713" s="55" t="s">
        <v>480</v>
      </c>
      <c r="C713" s="56" t="s">
        <v>481</v>
      </c>
      <c r="D713" s="57" t="s">
        <v>76</v>
      </c>
      <c r="E713" s="57" t="s">
        <v>359</v>
      </c>
      <c r="F713" s="55" t="s">
        <v>360</v>
      </c>
      <c r="G713" s="55" t="s">
        <v>361</v>
      </c>
      <c r="H713" s="57" t="s">
        <v>211</v>
      </c>
      <c r="I713" s="58" t="n">
        <f aca="false">'P9-009'!$N$84</f>
        <v>46346</v>
      </c>
      <c r="J713" s="58" t="n">
        <f aca="false">'P9-009'!$O$84</f>
        <v>46347</v>
      </c>
      <c r="K713" s="56" t="str">
        <f aca="false">IF(OR(L713="Y",LEFT('P9-009'!$T$84,1)="D"),"",IF(AND(ISNUMBER(J713),J713&lt;ASOF),"⚠ เลยกำหนด",IF(AND(ISNUMBER(I713),I713&lt;=ASOF+14,J713&gt;=ASOF-7),"ช่วงนี้","")))</f>
        <v/>
      </c>
      <c r="L713" s="59"/>
      <c r="M713" s="60"/>
    </row>
    <row r="714" customFormat="false" ht="15" hidden="false" customHeight="false" outlineLevel="0" collapsed="false">
      <c r="A714" s="54" t="s">
        <v>74</v>
      </c>
      <c r="B714" s="55" t="s">
        <v>480</v>
      </c>
      <c r="C714" s="56" t="s">
        <v>481</v>
      </c>
      <c r="D714" s="57" t="s">
        <v>76</v>
      </c>
      <c r="E714" s="57" t="s">
        <v>362</v>
      </c>
      <c r="F714" s="61" t="s">
        <v>363</v>
      </c>
      <c r="G714" s="61" t="s">
        <v>364</v>
      </c>
      <c r="H714" s="56" t="s">
        <v>365</v>
      </c>
      <c r="I714" s="58" t="n">
        <f aca="false">'P9-009'!$N$86</f>
        <v>46343</v>
      </c>
      <c r="J714" s="58" t="n">
        <f aca="false">'P9-009'!$O$86</f>
        <v>46345</v>
      </c>
      <c r="K714" s="56" t="str">
        <f aca="false">IF(OR(L714="Y",LEFT('P9-009'!$T$86,1)="D"),"",IF(AND(ISNUMBER(J714),J714&lt;ASOF),"⚠ เลยกำหนด",IF(AND(ISNUMBER(I714),I714&lt;=ASOF+14,J714&gt;=ASOF-7),"ช่วงนี้","")))</f>
        <v/>
      </c>
      <c r="L714" s="59"/>
      <c r="M714" s="60"/>
    </row>
    <row r="715" customFormat="false" ht="15" hidden="false" customHeight="false" outlineLevel="0" collapsed="false">
      <c r="A715" s="54" t="s">
        <v>74</v>
      </c>
      <c r="B715" s="55" t="s">
        <v>480</v>
      </c>
      <c r="C715" s="56" t="s">
        <v>481</v>
      </c>
      <c r="D715" s="57" t="s">
        <v>76</v>
      </c>
      <c r="E715" s="57" t="s">
        <v>366</v>
      </c>
      <c r="F715" s="61" t="s">
        <v>367</v>
      </c>
      <c r="G715" s="61" t="s">
        <v>368</v>
      </c>
      <c r="H715" s="57" t="s">
        <v>369</v>
      </c>
      <c r="I715" s="58" t="n">
        <f aca="false">'P9-009'!$N$87</f>
        <v>46344</v>
      </c>
      <c r="J715" s="58" t="n">
        <f aca="false">'P9-009'!$O$87</f>
        <v>46346</v>
      </c>
      <c r="K715" s="56" t="str">
        <f aca="false">IF(OR(L715="Y",LEFT('P9-009'!$T$87,1)="D"),"",IF(AND(ISNUMBER(J715),J715&lt;ASOF),"⚠ เลยกำหนด",IF(AND(ISNUMBER(I715),I715&lt;=ASOF+14,J715&gt;=ASOF-7),"ช่วงนี้","")))</f>
        <v/>
      </c>
      <c r="L715" s="59"/>
      <c r="M715" s="60"/>
    </row>
    <row r="716" customFormat="false" ht="15" hidden="false" customHeight="false" outlineLevel="0" collapsed="false">
      <c r="A716" s="54" t="s">
        <v>74</v>
      </c>
      <c r="B716" s="55" t="s">
        <v>480</v>
      </c>
      <c r="C716" s="56" t="s">
        <v>481</v>
      </c>
      <c r="D716" s="57" t="s">
        <v>76</v>
      </c>
      <c r="E716" s="57" t="s">
        <v>370</v>
      </c>
      <c r="F716" s="55" t="s">
        <v>371</v>
      </c>
      <c r="G716" s="55" t="s">
        <v>372</v>
      </c>
      <c r="H716" s="57" t="s">
        <v>211</v>
      </c>
      <c r="I716" s="58" t="n">
        <f aca="false">'P9-009'!$N$88</f>
        <v>46345</v>
      </c>
      <c r="J716" s="58" t="n">
        <f aca="false">'P9-009'!$O$88</f>
        <v>46346</v>
      </c>
      <c r="K716" s="56" t="str">
        <f aca="false">IF(OR(L716="Y",LEFT('P9-009'!$T$88,1)="D"),"",IF(AND(ISNUMBER(J716),J716&lt;ASOF),"⚠ เลยกำหนด",IF(AND(ISNUMBER(I716),I716&lt;=ASOF+14,J716&gt;=ASOF-7),"ช่วงนี้","")))</f>
        <v/>
      </c>
      <c r="L716" s="59"/>
      <c r="M716" s="60"/>
    </row>
    <row r="717" customFormat="false" ht="15" hidden="false" customHeight="false" outlineLevel="0" collapsed="false">
      <c r="A717" s="54" t="s">
        <v>74</v>
      </c>
      <c r="B717" s="55" t="s">
        <v>480</v>
      </c>
      <c r="C717" s="56" t="s">
        <v>481</v>
      </c>
      <c r="D717" s="57" t="s">
        <v>76</v>
      </c>
      <c r="E717" s="57" t="s">
        <v>373</v>
      </c>
      <c r="F717" s="61" t="s">
        <v>374</v>
      </c>
      <c r="G717" s="55" t="s">
        <v>375</v>
      </c>
      <c r="H717" s="57" t="s">
        <v>211</v>
      </c>
      <c r="I717" s="58" t="n">
        <f aca="false">'P9-009'!$N$89</f>
        <v>46346</v>
      </c>
      <c r="J717" s="58" t="n">
        <f aca="false">'P9-009'!$O$89</f>
        <v>46346</v>
      </c>
      <c r="K717" s="56" t="str">
        <f aca="false">IF(OR(L717="Y",LEFT('P9-009'!$T$89,1)="D"),"",IF(AND(ISNUMBER(J717),J717&lt;ASOF),"⚠ เลยกำหนด",IF(AND(ISNUMBER(I717),I717&lt;=ASOF+14,J717&gt;=ASOF-7),"ช่วงนี้","")))</f>
        <v/>
      </c>
      <c r="L717" s="59"/>
      <c r="M717" s="60"/>
    </row>
    <row r="718" customFormat="false" ht="15" hidden="false" customHeight="false" outlineLevel="0" collapsed="false">
      <c r="A718" s="54" t="s">
        <v>74</v>
      </c>
      <c r="B718" s="55" t="s">
        <v>480</v>
      </c>
      <c r="C718" s="56" t="s">
        <v>481</v>
      </c>
      <c r="D718" s="57" t="s">
        <v>76</v>
      </c>
      <c r="E718" s="57" t="s">
        <v>376</v>
      </c>
      <c r="F718" s="55" t="s">
        <v>377</v>
      </c>
      <c r="G718" s="55" t="s">
        <v>378</v>
      </c>
      <c r="H718" s="57" t="s">
        <v>369</v>
      </c>
      <c r="I718" s="58" t="n">
        <f aca="false">'P9-009'!$N$91</f>
        <v>46344</v>
      </c>
      <c r="J718" s="58" t="n">
        <f aca="false">'P9-009'!$O$91</f>
        <v>46346</v>
      </c>
      <c r="K718" s="56" t="str">
        <f aca="false">IF(OR(L718="Y",LEFT('P9-009'!$T$91,1)="D"),"",IF(AND(ISNUMBER(J718),J718&lt;ASOF),"⚠ เลยกำหนด",IF(AND(ISNUMBER(I718),I718&lt;=ASOF+14,J718&gt;=ASOF-7),"ช่วงนี้","")))</f>
        <v/>
      </c>
      <c r="L718" s="59"/>
      <c r="M718" s="60"/>
    </row>
    <row r="719" customFormat="false" ht="15" hidden="false" customHeight="false" outlineLevel="0" collapsed="false">
      <c r="A719" s="54" t="s">
        <v>74</v>
      </c>
      <c r="B719" s="55" t="s">
        <v>480</v>
      </c>
      <c r="C719" s="56" t="s">
        <v>481</v>
      </c>
      <c r="D719" s="57" t="s">
        <v>76</v>
      </c>
      <c r="E719" s="57" t="s">
        <v>379</v>
      </c>
      <c r="F719" s="61" t="s">
        <v>380</v>
      </c>
      <c r="G719" s="61" t="s">
        <v>381</v>
      </c>
      <c r="H719" s="57" t="s">
        <v>211</v>
      </c>
      <c r="I719" s="58" t="n">
        <f aca="false">'P9-009'!$N$92</f>
        <v>46346</v>
      </c>
      <c r="J719" s="58" t="n">
        <f aca="false">'P9-009'!$O$92</f>
        <v>46347</v>
      </c>
      <c r="K719" s="56" t="str">
        <f aca="false">IF(OR(L719="Y",LEFT('P9-009'!$T$92,1)="D"),"",IF(AND(ISNUMBER(J719),J719&lt;ASOF),"⚠ เลยกำหนด",IF(AND(ISNUMBER(I719),I719&lt;=ASOF+14,J719&gt;=ASOF-7),"ช่วงนี้","")))</f>
        <v/>
      </c>
      <c r="L719" s="59"/>
      <c r="M719" s="60"/>
    </row>
    <row r="720" customFormat="false" ht="15" hidden="false" customHeight="false" outlineLevel="0" collapsed="false">
      <c r="A720" s="54" t="s">
        <v>74</v>
      </c>
      <c r="B720" s="55" t="s">
        <v>480</v>
      </c>
      <c r="C720" s="56" t="s">
        <v>481</v>
      </c>
      <c r="D720" s="57" t="s">
        <v>76</v>
      </c>
      <c r="E720" s="57" t="s">
        <v>382</v>
      </c>
      <c r="F720" s="55" t="s">
        <v>383</v>
      </c>
      <c r="G720" s="55" t="s">
        <v>384</v>
      </c>
      <c r="H720" s="57" t="s">
        <v>369</v>
      </c>
      <c r="I720" s="58" t="n">
        <f aca="false">'P9-009'!$N$93</f>
        <v>46344</v>
      </c>
      <c r="J720" s="58" t="n">
        <f aca="false">'P9-009'!$O$93</f>
        <v>46346</v>
      </c>
      <c r="K720" s="56" t="str">
        <f aca="false">IF(OR(L720="Y",LEFT('P9-009'!$T$93,1)="D"),"",IF(AND(ISNUMBER(J720),J720&lt;ASOF),"⚠ เลยกำหนด",IF(AND(ISNUMBER(I720),I720&lt;=ASOF+14,J720&gt;=ASOF-7),"ช่วงนี้","")))</f>
        <v/>
      </c>
      <c r="L720" s="59"/>
      <c r="M720" s="60"/>
    </row>
    <row r="721" customFormat="false" ht="15" hidden="false" customHeight="false" outlineLevel="0" collapsed="false">
      <c r="A721" s="54" t="s">
        <v>74</v>
      </c>
      <c r="B721" s="55" t="s">
        <v>480</v>
      </c>
      <c r="C721" s="56" t="s">
        <v>481</v>
      </c>
      <c r="D721" s="57" t="s">
        <v>76</v>
      </c>
      <c r="E721" s="57" t="s">
        <v>385</v>
      </c>
      <c r="F721" s="55" t="s">
        <v>386</v>
      </c>
      <c r="G721" s="55" t="s">
        <v>387</v>
      </c>
      <c r="H721" s="57" t="s">
        <v>211</v>
      </c>
      <c r="I721" s="58" t="n">
        <f aca="false">'P9-009'!$N$94</f>
        <v>46346</v>
      </c>
      <c r="J721" s="58" t="n">
        <f aca="false">'P9-009'!$O$94</f>
        <v>46347</v>
      </c>
      <c r="K721" s="56" t="str">
        <f aca="false">IF(OR(L721="Y",LEFT('P9-009'!$T$94,1)="D"),"",IF(AND(ISNUMBER(J721),J721&lt;ASOF),"⚠ เลยกำหนด",IF(AND(ISNUMBER(I721),I721&lt;=ASOF+14,J721&gt;=ASOF-7),"ช่วงนี้","")))</f>
        <v/>
      </c>
      <c r="L721" s="59"/>
      <c r="M721" s="60"/>
    </row>
    <row r="722" customFormat="false" ht="15" hidden="false" customHeight="false" outlineLevel="0" collapsed="false">
      <c r="A722" s="54" t="s">
        <v>74</v>
      </c>
      <c r="B722" s="55" t="s">
        <v>480</v>
      </c>
      <c r="C722" s="56" t="s">
        <v>481</v>
      </c>
      <c r="D722" s="57" t="s">
        <v>76</v>
      </c>
      <c r="E722" s="57" t="s">
        <v>388</v>
      </c>
      <c r="F722" s="61" t="s">
        <v>389</v>
      </c>
      <c r="G722" s="55" t="s">
        <v>390</v>
      </c>
      <c r="H722" s="57" t="s">
        <v>211</v>
      </c>
      <c r="I722" s="58" t="n">
        <f aca="false">'P9-009'!$N$95</f>
        <v>46347</v>
      </c>
      <c r="J722" s="58" t="n">
        <f aca="false">'P9-009'!$O$95</f>
        <v>46347</v>
      </c>
      <c r="K722" s="56" t="str">
        <f aca="false">IF(OR(L722="Y",LEFT('P9-009'!$T$95,1)="D"),"",IF(AND(ISNUMBER(J722),J722&lt;ASOF),"⚠ เลยกำหนด",IF(AND(ISNUMBER(I722),I722&lt;=ASOF+14,J722&gt;=ASOF-7),"ช่วงนี้","")))</f>
        <v/>
      </c>
      <c r="L722" s="59"/>
      <c r="M722" s="60"/>
    </row>
    <row r="723" customFormat="false" ht="15" hidden="false" customHeight="false" outlineLevel="0" collapsed="false">
      <c r="A723" s="54" t="s">
        <v>74</v>
      </c>
      <c r="B723" s="55" t="s">
        <v>480</v>
      </c>
      <c r="C723" s="56" t="s">
        <v>481</v>
      </c>
      <c r="D723" s="57" t="s">
        <v>76</v>
      </c>
      <c r="E723" s="57" t="s">
        <v>391</v>
      </c>
      <c r="F723" s="55" t="s">
        <v>392</v>
      </c>
      <c r="G723" s="55" t="s">
        <v>393</v>
      </c>
      <c r="H723" s="57" t="s">
        <v>369</v>
      </c>
      <c r="I723" s="58" t="n">
        <f aca="false">'P9-009'!$N$97</f>
        <v>46345</v>
      </c>
      <c r="J723" s="58" t="n">
        <f aca="false">'P9-009'!$O$97</f>
        <v>46347</v>
      </c>
      <c r="K723" s="56" t="str">
        <f aca="false">IF(OR(L723="Y",LEFT('P9-009'!$T$97,1)="D"),"",IF(AND(ISNUMBER(J723),J723&lt;ASOF),"⚠ เลยกำหนด",IF(AND(ISNUMBER(I723),I723&lt;=ASOF+14,J723&gt;=ASOF-7),"ช่วงนี้","")))</f>
        <v/>
      </c>
      <c r="L723" s="59"/>
      <c r="M723" s="60"/>
    </row>
    <row r="724" customFormat="false" ht="15" hidden="false" customHeight="false" outlineLevel="0" collapsed="false">
      <c r="A724" s="54" t="s">
        <v>74</v>
      </c>
      <c r="B724" s="55" t="s">
        <v>480</v>
      </c>
      <c r="C724" s="56" t="s">
        <v>481</v>
      </c>
      <c r="D724" s="57" t="s">
        <v>76</v>
      </c>
      <c r="E724" s="57" t="s">
        <v>394</v>
      </c>
      <c r="F724" s="55" t="s">
        <v>395</v>
      </c>
      <c r="G724" s="55" t="s">
        <v>396</v>
      </c>
      <c r="H724" s="57" t="s">
        <v>211</v>
      </c>
      <c r="I724" s="58" t="n">
        <f aca="false">'P9-009'!$N$98</f>
        <v>46346</v>
      </c>
      <c r="J724" s="58" t="n">
        <f aca="false">'P9-009'!$O$98</f>
        <v>46347</v>
      </c>
      <c r="K724" s="56" t="str">
        <f aca="false">IF(OR(L724="Y",LEFT('P9-009'!$T$98,1)="D"),"",IF(AND(ISNUMBER(J724),J724&lt;ASOF),"⚠ เลยกำหนด",IF(AND(ISNUMBER(I724),I724&lt;=ASOF+14,J724&gt;=ASOF-7),"ช่วงนี้","")))</f>
        <v/>
      </c>
      <c r="L724" s="59"/>
      <c r="M724" s="60"/>
    </row>
    <row r="725" customFormat="false" ht="15" hidden="false" customHeight="false" outlineLevel="0" collapsed="false">
      <c r="A725" s="54" t="s">
        <v>74</v>
      </c>
      <c r="B725" s="55" t="s">
        <v>480</v>
      </c>
      <c r="C725" s="56" t="s">
        <v>481</v>
      </c>
      <c r="D725" s="57" t="s">
        <v>76</v>
      </c>
      <c r="E725" s="57" t="s">
        <v>397</v>
      </c>
      <c r="F725" s="61" t="s">
        <v>398</v>
      </c>
      <c r="G725" s="55" t="s">
        <v>399</v>
      </c>
      <c r="H725" s="57" t="s">
        <v>211</v>
      </c>
      <c r="I725" s="58" t="n">
        <f aca="false">'P9-009'!$N$99</f>
        <v>46347</v>
      </c>
      <c r="J725" s="58" t="n">
        <f aca="false">'P9-009'!$O$99</f>
        <v>46347</v>
      </c>
      <c r="K725" s="56" t="str">
        <f aca="false">IF(OR(L725="Y",LEFT('P9-009'!$T$99,1)="D"),"",IF(AND(ISNUMBER(J725),J725&lt;ASOF),"⚠ เลยกำหนด",IF(AND(ISNUMBER(I725),I725&lt;=ASOF+14,J725&gt;=ASOF-7),"ช่วงนี้","")))</f>
        <v/>
      </c>
      <c r="L725" s="59"/>
      <c r="M725" s="60"/>
    </row>
    <row r="726" customFormat="false" ht="15" hidden="false" customHeight="false" outlineLevel="0" collapsed="false">
      <c r="A726" s="54" t="s">
        <v>74</v>
      </c>
      <c r="B726" s="55" t="s">
        <v>480</v>
      </c>
      <c r="C726" s="56" t="s">
        <v>481</v>
      </c>
      <c r="D726" s="57" t="s">
        <v>76</v>
      </c>
      <c r="E726" s="57" t="s">
        <v>400</v>
      </c>
      <c r="F726" s="55" t="s">
        <v>401</v>
      </c>
      <c r="G726" s="55" t="s">
        <v>402</v>
      </c>
      <c r="H726" s="57" t="s">
        <v>211</v>
      </c>
      <c r="I726" s="58" t="n">
        <f aca="false">'P9-009'!$N$102</f>
        <v>46346</v>
      </c>
      <c r="J726" s="58" t="n">
        <f aca="false">'P9-009'!$O$102</f>
        <v>46347</v>
      </c>
      <c r="K726" s="56" t="str">
        <f aca="false">IF(OR(L726="Y",LEFT('P9-009'!$T$102,1)="D"),"",IF(AND(ISNUMBER(J726),J726&lt;ASOF),"⚠ เลยกำหนด",IF(AND(ISNUMBER(I726),I726&lt;=ASOF+14,J726&gt;=ASOF-7),"ช่วงนี้","")))</f>
        <v/>
      </c>
      <c r="L726" s="59"/>
      <c r="M726" s="60"/>
    </row>
    <row r="727" customFormat="false" ht="15" hidden="false" customHeight="false" outlineLevel="0" collapsed="false">
      <c r="A727" s="54" t="s">
        <v>74</v>
      </c>
      <c r="B727" s="55" t="s">
        <v>480</v>
      </c>
      <c r="C727" s="56" t="s">
        <v>481</v>
      </c>
      <c r="D727" s="57" t="s">
        <v>76</v>
      </c>
      <c r="E727" s="57" t="s">
        <v>403</v>
      </c>
      <c r="F727" s="55" t="s">
        <v>404</v>
      </c>
      <c r="G727" s="55" t="s">
        <v>405</v>
      </c>
      <c r="H727" s="57" t="s">
        <v>211</v>
      </c>
      <c r="I727" s="58" t="n">
        <f aca="false">'P9-009'!$N$104</f>
        <v>46347</v>
      </c>
      <c r="J727" s="58" t="n">
        <f aca="false">'P9-009'!$O$104</f>
        <v>46348</v>
      </c>
      <c r="K727" s="56" t="str">
        <f aca="false">IF(OR(L727="Y",LEFT('P9-009'!$T$104,1)="D"),"",IF(AND(ISNUMBER(J727),J727&lt;ASOF),"⚠ เลยกำหนด",IF(AND(ISNUMBER(I727),I727&lt;=ASOF+14,J727&gt;=ASOF-7),"ช่วงนี้","")))</f>
        <v/>
      </c>
      <c r="L727" s="59"/>
      <c r="M727" s="60"/>
    </row>
    <row r="728" customFormat="false" ht="15" hidden="false" customHeight="false" outlineLevel="0" collapsed="false">
      <c r="A728" s="54" t="s">
        <v>74</v>
      </c>
      <c r="B728" s="55" t="s">
        <v>480</v>
      </c>
      <c r="C728" s="56" t="s">
        <v>481</v>
      </c>
      <c r="D728" s="57" t="s">
        <v>76</v>
      </c>
      <c r="E728" s="57" t="s">
        <v>406</v>
      </c>
      <c r="F728" s="55" t="s">
        <v>407</v>
      </c>
      <c r="G728" s="55" t="s">
        <v>408</v>
      </c>
      <c r="H728" s="57" t="s">
        <v>211</v>
      </c>
      <c r="I728" s="58" t="n">
        <f aca="false">'P9-009'!$N$105</f>
        <v>46347</v>
      </c>
      <c r="J728" s="58" t="n">
        <f aca="false">'P9-009'!$O$105</f>
        <v>46348</v>
      </c>
      <c r="K728" s="56" t="str">
        <f aca="false">IF(OR(L728="Y",LEFT('P9-009'!$T$105,1)="D"),"",IF(AND(ISNUMBER(J728),J728&lt;ASOF),"⚠ เลยกำหนด",IF(AND(ISNUMBER(I728),I728&lt;=ASOF+14,J728&gt;=ASOF-7),"ช่วงนี้","")))</f>
        <v/>
      </c>
      <c r="L728" s="59"/>
      <c r="M728" s="60"/>
    </row>
    <row r="729" customFormat="false" ht="15" hidden="false" customHeight="false" outlineLevel="0" collapsed="false">
      <c r="A729" s="54" t="s">
        <v>74</v>
      </c>
      <c r="B729" s="55" t="s">
        <v>480</v>
      </c>
      <c r="C729" s="56" t="s">
        <v>481</v>
      </c>
      <c r="D729" s="57" t="s">
        <v>76</v>
      </c>
      <c r="E729" s="57" t="s">
        <v>409</v>
      </c>
      <c r="F729" s="61" t="s">
        <v>410</v>
      </c>
      <c r="G729" s="55" t="s">
        <v>411</v>
      </c>
      <c r="H729" s="57" t="s">
        <v>211</v>
      </c>
      <c r="I729" s="58" t="n">
        <f aca="false">'P9-009'!$N$106</f>
        <v>46348</v>
      </c>
      <c r="J729" s="58" t="n">
        <f aca="false">'P9-009'!$O$106</f>
        <v>46348</v>
      </c>
      <c r="K729" s="56" t="str">
        <f aca="false">IF(OR(L729="Y",LEFT('P9-009'!$T$106,1)="D"),"",IF(AND(ISNUMBER(J729),J729&lt;ASOF),"⚠ เลยกำหนด",IF(AND(ISNUMBER(I729),I729&lt;=ASOF+14,J729&gt;=ASOF-7),"ช่วงนี้","")))</f>
        <v/>
      </c>
      <c r="L729" s="59"/>
      <c r="M729" s="60"/>
    </row>
    <row r="730" customFormat="false" ht="15" hidden="false" customHeight="false" outlineLevel="0" collapsed="false">
      <c r="A730" s="54" t="s">
        <v>74</v>
      </c>
      <c r="B730" s="55" t="s">
        <v>480</v>
      </c>
      <c r="C730" s="56" t="s">
        <v>481</v>
      </c>
      <c r="D730" s="57" t="s">
        <v>76</v>
      </c>
      <c r="E730" s="57" t="s">
        <v>412</v>
      </c>
      <c r="F730" s="61" t="s">
        <v>413</v>
      </c>
      <c r="G730" s="61" t="s">
        <v>414</v>
      </c>
      <c r="H730" s="57" t="s">
        <v>211</v>
      </c>
      <c r="I730" s="58" t="n">
        <f aca="false">'P9-009'!$N$108</f>
        <v>46347</v>
      </c>
      <c r="J730" s="58" t="n">
        <f aca="false">'P9-009'!$O$108</f>
        <v>46348</v>
      </c>
      <c r="K730" s="56" t="str">
        <f aca="false">IF(OR(L730="Y",LEFT('P9-009'!$T$108,1)="D"),"",IF(AND(ISNUMBER(J730),J730&lt;ASOF),"⚠ เลยกำหนด",IF(AND(ISNUMBER(I730),I730&lt;=ASOF+14,J730&gt;=ASOF-7),"ช่วงนี้","")))</f>
        <v/>
      </c>
      <c r="L730" s="59"/>
      <c r="M730" s="60"/>
    </row>
    <row r="731" customFormat="false" ht="15" hidden="false" customHeight="false" outlineLevel="0" collapsed="false">
      <c r="A731" s="54" t="s">
        <v>74</v>
      </c>
      <c r="B731" s="55" t="s">
        <v>480</v>
      </c>
      <c r="C731" s="56" t="s">
        <v>481</v>
      </c>
      <c r="D731" s="57" t="s">
        <v>76</v>
      </c>
      <c r="E731" s="57" t="s">
        <v>415</v>
      </c>
      <c r="F731" s="55" t="s">
        <v>416</v>
      </c>
      <c r="G731" s="55" t="s">
        <v>417</v>
      </c>
      <c r="H731" s="57" t="s">
        <v>211</v>
      </c>
      <c r="I731" s="58" t="n">
        <f aca="false">'P9-009'!$N$109</f>
        <v>46348</v>
      </c>
      <c r="J731" s="58" t="n">
        <f aca="false">'P9-009'!$O$109</f>
        <v>46348</v>
      </c>
      <c r="K731" s="56" t="str">
        <f aca="false">IF(OR(L731="Y",LEFT('P9-009'!$T$109,1)="D"),"",IF(AND(ISNUMBER(J731),J731&lt;ASOF),"⚠ เลยกำหนด",IF(AND(ISNUMBER(I731),I731&lt;=ASOF+14,J731&gt;=ASOF-7),"ช่วงนี้","")))</f>
        <v/>
      </c>
      <c r="L731" s="59"/>
      <c r="M731" s="60"/>
    </row>
    <row r="732" customFormat="false" ht="15" hidden="false" customHeight="false" outlineLevel="0" collapsed="false">
      <c r="A732" s="54" t="s">
        <v>74</v>
      </c>
      <c r="B732" s="55" t="s">
        <v>480</v>
      </c>
      <c r="C732" s="56" t="s">
        <v>481</v>
      </c>
      <c r="D732" s="57" t="s">
        <v>76</v>
      </c>
      <c r="E732" s="57" t="s">
        <v>418</v>
      </c>
      <c r="F732" s="61" t="s">
        <v>419</v>
      </c>
      <c r="G732" s="55" t="s">
        <v>420</v>
      </c>
      <c r="H732" s="57" t="s">
        <v>211</v>
      </c>
      <c r="I732" s="58" t="n">
        <f aca="false">'P9-009'!$N$110</f>
        <v>46347</v>
      </c>
      <c r="J732" s="58" t="n">
        <f aca="false">'P9-009'!$O$110</f>
        <v>46348</v>
      </c>
      <c r="K732" s="56" t="str">
        <f aca="false">IF(OR(L732="Y",LEFT('P9-009'!$T$110,1)="D"),"",IF(AND(ISNUMBER(J732),J732&lt;ASOF),"⚠ เลยกำหนด",IF(AND(ISNUMBER(I732),I732&lt;=ASOF+14,J732&gt;=ASOF-7),"ช่วงนี้","")))</f>
        <v/>
      </c>
      <c r="L732" s="59"/>
      <c r="M732" s="60"/>
    </row>
    <row r="733" customFormat="false" ht="15" hidden="false" customHeight="false" outlineLevel="0" collapsed="false">
      <c r="A733" s="54" t="s">
        <v>74</v>
      </c>
      <c r="B733" s="55" t="s">
        <v>480</v>
      </c>
      <c r="C733" s="56" t="s">
        <v>481</v>
      </c>
      <c r="D733" s="57" t="s">
        <v>76</v>
      </c>
      <c r="E733" s="57" t="s">
        <v>421</v>
      </c>
      <c r="F733" s="55" t="s">
        <v>422</v>
      </c>
      <c r="G733" s="55" t="s">
        <v>423</v>
      </c>
      <c r="H733" s="56" t="str">
        <f aca="false">IF(COUNTIFS(SITE_ST,"P9-009",SITE_TYPE,"?*")&gt;0,"ตามจุดติดตั้ง →","0/100")</f>
        <v>ตามจุดติดตั้ง →</v>
      </c>
      <c r="I733" s="58" t="n">
        <f aca="false">'P9-009'!$N$112</f>
        <v>46349</v>
      </c>
      <c r="J733" s="58" t="n">
        <f aca="false">'P9-009'!$O$112</f>
        <v>46349</v>
      </c>
      <c r="K733" s="56" t="str">
        <f aca="false">IF(OR(L733="Y",LEFT('P9-009'!$T$112,1)="D"),"",IF(AND(ISNUMBER(J733),J733&lt;ASOF),"⚠ เลยกำหนด",IF(AND(ISNUMBER(I733),I733&lt;=ASOF+14,J733&gt;=ASOF-7),"ช่วงนี้","")))</f>
        <v/>
      </c>
      <c r="L733" s="59"/>
      <c r="M733" s="60"/>
    </row>
    <row r="734" customFormat="false" ht="15" hidden="false" customHeight="false" outlineLevel="0" collapsed="false">
      <c r="A734" s="54" t="s">
        <v>74</v>
      </c>
      <c r="B734" s="55" t="s">
        <v>480</v>
      </c>
      <c r="C734" s="56" t="s">
        <v>481</v>
      </c>
      <c r="D734" s="57" t="s">
        <v>76</v>
      </c>
      <c r="E734" s="57" t="s">
        <v>424</v>
      </c>
      <c r="F734" s="55" t="s">
        <v>425</v>
      </c>
      <c r="G734" s="55" t="s">
        <v>426</v>
      </c>
      <c r="H734" s="56" t="str">
        <f aca="false">IF(COUNTIFS(SITE_ST,"P9-009",SITE_TYPE,"?*")&gt;0,"ตามจุดติดตั้ง →","0/100")</f>
        <v>ตามจุดติดตั้ง →</v>
      </c>
      <c r="I734" s="58" t="n">
        <f aca="false">'P9-009'!$N$113</f>
        <v>46349</v>
      </c>
      <c r="J734" s="58" t="n">
        <f aca="false">'P9-009'!$O$113</f>
        <v>46349</v>
      </c>
      <c r="K734" s="56" t="str">
        <f aca="false">IF(OR(L734="Y",LEFT('P9-009'!$T$113,1)="D"),"",IF(AND(ISNUMBER(J734),J734&lt;ASOF),"⚠ เลยกำหนด",IF(AND(ISNUMBER(I734),I734&lt;=ASOF+14,J734&gt;=ASOF-7),"ช่วงนี้","")))</f>
        <v/>
      </c>
      <c r="L734" s="59"/>
      <c r="M734" s="60"/>
    </row>
    <row r="735" customFormat="false" ht="15" hidden="false" customHeight="false" outlineLevel="0" collapsed="false">
      <c r="A735" s="54" t="s">
        <v>74</v>
      </c>
      <c r="B735" s="55" t="s">
        <v>480</v>
      </c>
      <c r="C735" s="56" t="s">
        <v>481</v>
      </c>
      <c r="D735" s="57" t="s">
        <v>76</v>
      </c>
      <c r="E735" s="57" t="s">
        <v>427</v>
      </c>
      <c r="F735" s="61" t="s">
        <v>428</v>
      </c>
      <c r="G735" s="61" t="s">
        <v>429</v>
      </c>
      <c r="H735" s="57" t="s">
        <v>211</v>
      </c>
      <c r="I735" s="58" t="n">
        <f aca="false">'P9-009'!$N$116</f>
        <v>46359</v>
      </c>
      <c r="J735" s="58" t="n">
        <f aca="false">'P9-009'!$O$116</f>
        <v>46359</v>
      </c>
      <c r="K735" s="56" t="str">
        <f aca="false">IF(OR(L735="Y",LEFT('P9-009'!$T$116,1)="D"),"",IF(AND(ISNUMBER(J735),J735&lt;ASOF),"⚠ เลยกำหนด",IF(AND(ISNUMBER(I735),I735&lt;=ASOF+14,J735&gt;=ASOF-7),"ช่วงนี้","")))</f>
        <v/>
      </c>
      <c r="L735" s="59"/>
      <c r="M735" s="60"/>
    </row>
    <row r="736" customFormat="false" ht="15" hidden="false" customHeight="false" outlineLevel="0" collapsed="false">
      <c r="A736" s="54" t="s">
        <v>74</v>
      </c>
      <c r="B736" s="55" t="s">
        <v>480</v>
      </c>
      <c r="C736" s="56" t="s">
        <v>481</v>
      </c>
      <c r="D736" s="57" t="s">
        <v>76</v>
      </c>
      <c r="E736" s="57" t="s">
        <v>430</v>
      </c>
      <c r="F736" s="55" t="s">
        <v>431</v>
      </c>
      <c r="G736" s="55" t="s">
        <v>432</v>
      </c>
      <c r="H736" s="57" t="s">
        <v>211</v>
      </c>
      <c r="I736" s="58" t="n">
        <f aca="false">'P9-009'!$N$117</f>
        <v>46359</v>
      </c>
      <c r="J736" s="58" t="n">
        <f aca="false">'P9-009'!$O$117</f>
        <v>46359</v>
      </c>
      <c r="K736" s="56" t="str">
        <f aca="false">IF(OR(L736="Y",LEFT('P9-009'!$T$117,1)="D"),"",IF(AND(ISNUMBER(J736),J736&lt;ASOF),"⚠ เลยกำหนด",IF(AND(ISNUMBER(I736),I736&lt;=ASOF+14,J736&gt;=ASOF-7),"ช่วงนี้","")))</f>
        <v/>
      </c>
      <c r="L736" s="59"/>
      <c r="M736" s="60"/>
    </row>
    <row r="737" customFormat="false" ht="15" hidden="false" customHeight="false" outlineLevel="0" collapsed="false">
      <c r="A737" s="54" t="s">
        <v>74</v>
      </c>
      <c r="B737" s="55" t="s">
        <v>480</v>
      </c>
      <c r="C737" s="56" t="s">
        <v>481</v>
      </c>
      <c r="D737" s="57" t="s">
        <v>76</v>
      </c>
      <c r="E737" s="57" t="s">
        <v>433</v>
      </c>
      <c r="F737" s="55" t="s">
        <v>434</v>
      </c>
      <c r="G737" s="55" t="s">
        <v>435</v>
      </c>
      <c r="H737" s="57" t="s">
        <v>211</v>
      </c>
      <c r="I737" s="58" t="n">
        <f aca="false">'P9-009'!$N$118</f>
        <v>46359</v>
      </c>
      <c r="J737" s="58" t="n">
        <f aca="false">'P9-009'!$O$118</f>
        <v>46359</v>
      </c>
      <c r="K737" s="56" t="str">
        <f aca="false">IF(OR(L737="Y",LEFT('P9-009'!$T$118,1)="D"),"",IF(AND(ISNUMBER(J737),J737&lt;ASOF),"⚠ เลยกำหนด",IF(AND(ISNUMBER(I737),I737&lt;=ASOF+14,J737&gt;=ASOF-7),"ช่วงนี้","")))</f>
        <v/>
      </c>
      <c r="L737" s="59"/>
      <c r="M737" s="60"/>
    </row>
    <row r="738" customFormat="false" ht="15" hidden="false" customHeight="false" outlineLevel="0" collapsed="false">
      <c r="A738" s="54" t="s">
        <v>74</v>
      </c>
      <c r="B738" s="55" t="s">
        <v>480</v>
      </c>
      <c r="C738" s="56" t="s">
        <v>481</v>
      </c>
      <c r="D738" s="57" t="s">
        <v>76</v>
      </c>
      <c r="E738" s="57" t="s">
        <v>436</v>
      </c>
      <c r="F738" s="55" t="s">
        <v>437</v>
      </c>
      <c r="G738" s="55" t="s">
        <v>438</v>
      </c>
      <c r="H738" s="57" t="s">
        <v>211</v>
      </c>
      <c r="I738" s="58" t="n">
        <f aca="false">'P9-009'!$N$119</f>
        <v>46359</v>
      </c>
      <c r="J738" s="58" t="n">
        <f aca="false">'P9-009'!$O$119</f>
        <v>46359</v>
      </c>
      <c r="K738" s="56" t="str">
        <f aca="false">IF(OR(L738="Y",LEFT('P9-009'!$T$119,1)="D"),"",IF(AND(ISNUMBER(J738),J738&lt;ASOF),"⚠ เลยกำหนด",IF(AND(ISNUMBER(I738),I738&lt;=ASOF+14,J738&gt;=ASOF-7),"ช่วงนี้","")))</f>
        <v/>
      </c>
      <c r="L738" s="59"/>
      <c r="M738" s="60"/>
    </row>
    <row r="739" customFormat="false" ht="15" hidden="false" customHeight="false" outlineLevel="0" collapsed="false">
      <c r="A739" s="54" t="s">
        <v>74</v>
      </c>
      <c r="B739" s="55" t="s">
        <v>480</v>
      </c>
      <c r="C739" s="56" t="s">
        <v>481</v>
      </c>
      <c r="D739" s="57" t="s">
        <v>76</v>
      </c>
      <c r="E739" s="57" t="s">
        <v>439</v>
      </c>
      <c r="F739" s="55" t="s">
        <v>440</v>
      </c>
      <c r="G739" s="55" t="s">
        <v>441</v>
      </c>
      <c r="H739" s="57" t="s">
        <v>211</v>
      </c>
      <c r="I739" s="58" t="n">
        <f aca="false">'P9-009'!$N$120</f>
        <v>46359</v>
      </c>
      <c r="J739" s="58" t="n">
        <f aca="false">'P9-009'!$O$120</f>
        <v>46359</v>
      </c>
      <c r="K739" s="56" t="str">
        <f aca="false">IF(OR(L739="Y",LEFT('P9-009'!$T$120,1)="D"),"",IF(AND(ISNUMBER(J739),J739&lt;ASOF),"⚠ เลยกำหนด",IF(AND(ISNUMBER(I739),I739&lt;=ASOF+14,J739&gt;=ASOF-7),"ช่วงนี้","")))</f>
        <v/>
      </c>
      <c r="L739" s="59"/>
      <c r="M739" s="60"/>
    </row>
    <row r="740" customFormat="false" ht="15" hidden="false" customHeight="false" outlineLevel="0" collapsed="false">
      <c r="A740" s="54" t="s">
        <v>74</v>
      </c>
      <c r="B740" s="55" t="s">
        <v>480</v>
      </c>
      <c r="C740" s="56" t="s">
        <v>481</v>
      </c>
      <c r="D740" s="57" t="s">
        <v>76</v>
      </c>
      <c r="E740" s="57" t="s">
        <v>442</v>
      </c>
      <c r="F740" s="55" t="s">
        <v>443</v>
      </c>
      <c r="G740" s="55" t="s">
        <v>444</v>
      </c>
      <c r="H740" s="57" t="s">
        <v>211</v>
      </c>
      <c r="I740" s="58" t="n">
        <f aca="false">'P9-009'!$N$121</f>
        <v>46359</v>
      </c>
      <c r="J740" s="58" t="n">
        <f aca="false">'P9-009'!$O$121</f>
        <v>46359</v>
      </c>
      <c r="K740" s="56" t="str">
        <f aca="false">IF(OR(L740="Y",LEFT('P9-009'!$T$121,1)="D"),"",IF(AND(ISNUMBER(J740),J740&lt;ASOF),"⚠ เลยกำหนด",IF(AND(ISNUMBER(I740),I740&lt;=ASOF+14,J740&gt;=ASOF-7),"ช่วงนี้","")))</f>
        <v/>
      </c>
      <c r="L740" s="59"/>
      <c r="M740" s="60"/>
    </row>
    <row r="741" customFormat="false" ht="15" hidden="false" customHeight="false" outlineLevel="0" collapsed="false">
      <c r="A741" s="54" t="s">
        <v>74</v>
      </c>
      <c r="B741" s="55" t="s">
        <v>480</v>
      </c>
      <c r="C741" s="56" t="s">
        <v>481</v>
      </c>
      <c r="D741" s="57" t="s">
        <v>76</v>
      </c>
      <c r="E741" s="57" t="s">
        <v>445</v>
      </c>
      <c r="F741" s="55" t="s">
        <v>446</v>
      </c>
      <c r="G741" s="55" t="s">
        <v>447</v>
      </c>
      <c r="H741" s="57" t="s">
        <v>211</v>
      </c>
      <c r="I741" s="58" t="n">
        <f aca="false">'P9-009'!$N$125</f>
        <v>46437</v>
      </c>
      <c r="J741" s="58" t="n">
        <f aca="false">'P9-009'!$O$125</f>
        <v>46441</v>
      </c>
      <c r="K741" s="56" t="str">
        <f aca="false">IF(OR(L741="Y",LEFT('P9-009'!$T$125,1)="D"),"",IF(AND(ISNUMBER(J741),J741&lt;ASOF),"⚠ เลยกำหนด",IF(AND(ISNUMBER(I741),I741&lt;=ASOF+14,J741&gt;=ASOF-7),"ช่วงนี้","")))</f>
        <v/>
      </c>
      <c r="L741" s="59"/>
      <c r="M741" s="60"/>
    </row>
    <row r="742" customFormat="false" ht="15" hidden="false" customHeight="false" outlineLevel="0" collapsed="false">
      <c r="A742" s="54" t="s">
        <v>74</v>
      </c>
      <c r="B742" s="55" t="s">
        <v>480</v>
      </c>
      <c r="C742" s="56" t="s">
        <v>481</v>
      </c>
      <c r="D742" s="57" t="s">
        <v>76</v>
      </c>
      <c r="E742" s="57" t="s">
        <v>448</v>
      </c>
      <c r="F742" s="55" t="s">
        <v>449</v>
      </c>
      <c r="G742" s="61" t="s">
        <v>450</v>
      </c>
      <c r="H742" s="57" t="s">
        <v>211</v>
      </c>
      <c r="I742" s="58" t="n">
        <f aca="false">'P9-009'!$N$126</f>
        <v>46440</v>
      </c>
      <c r="J742" s="58" t="n">
        <f aca="false">'P9-009'!$O$126</f>
        <v>46447</v>
      </c>
      <c r="K742" s="56" t="str">
        <f aca="false">IF(OR(L742="Y",LEFT('P9-009'!$T$126,1)="D"),"",IF(AND(ISNUMBER(J742),J742&lt;ASOF),"⚠ เลยกำหนด",IF(AND(ISNUMBER(I742),I742&lt;=ASOF+14,J742&gt;=ASOF-7),"ช่วงนี้","")))</f>
        <v/>
      </c>
      <c r="L742" s="59"/>
      <c r="M742" s="60"/>
    </row>
    <row r="743" customFormat="false" ht="15" hidden="false" customHeight="false" outlineLevel="0" collapsed="false">
      <c r="A743" s="54" t="s">
        <v>74</v>
      </c>
      <c r="B743" s="55" t="s">
        <v>480</v>
      </c>
      <c r="C743" s="56" t="s">
        <v>481</v>
      </c>
      <c r="D743" s="57" t="s">
        <v>76</v>
      </c>
      <c r="E743" s="57" t="s">
        <v>451</v>
      </c>
      <c r="F743" s="61" t="s">
        <v>452</v>
      </c>
      <c r="G743" s="61" t="s">
        <v>453</v>
      </c>
      <c r="H743" s="57" t="s">
        <v>211</v>
      </c>
      <c r="I743" s="58" t="n">
        <f aca="false">'P9-009'!$N$127</f>
        <v>46447</v>
      </c>
      <c r="J743" s="58" t="n">
        <f aca="false">'P9-009'!$O$127</f>
        <v>46450</v>
      </c>
      <c r="K743" s="56" t="str">
        <f aca="false">IF(OR(L743="Y",LEFT('P9-009'!$T$127,1)="D"),"",IF(AND(ISNUMBER(J743),J743&lt;ASOF),"⚠ เลยกำหนด",IF(AND(ISNUMBER(I743),I743&lt;=ASOF+14,J743&gt;=ASOF-7),"ช่วงนี้","")))</f>
        <v/>
      </c>
      <c r="L743" s="59"/>
      <c r="M743" s="60"/>
    </row>
    <row r="744" customFormat="false" ht="15" hidden="false" customHeight="false" outlineLevel="0" collapsed="false">
      <c r="A744" s="54" t="s">
        <v>78</v>
      </c>
      <c r="B744" s="55" t="s">
        <v>482</v>
      </c>
      <c r="C744" s="56" t="s">
        <v>483</v>
      </c>
      <c r="D744" s="57" t="s">
        <v>80</v>
      </c>
      <c r="E744" s="57" t="s">
        <v>208</v>
      </c>
      <c r="F744" s="55" t="s">
        <v>209</v>
      </c>
      <c r="G744" s="55" t="s">
        <v>210</v>
      </c>
      <c r="H744" s="57" t="s">
        <v>211</v>
      </c>
      <c r="I744" s="58" t="n">
        <f aca="false">'P9-010'!$N$10</f>
        <v>46328</v>
      </c>
      <c r="J744" s="58" t="n">
        <f aca="false">'P9-010'!$O$10</f>
        <v>46340</v>
      </c>
      <c r="K744" s="56" t="str">
        <f aca="false">IF(OR(L744="Y",LEFT('P9-010'!$T$10,1)="D"),"",IF(AND(ISNUMBER(J744),J744&lt;ASOF),"⚠ เลยกำหนด",IF(AND(ISNUMBER(I744),I744&lt;=ASOF+14,J744&gt;=ASOF-7),"ช่วงนี้","")))</f>
        <v>ช่วงนี้</v>
      </c>
      <c r="L744" s="59"/>
      <c r="M744" s="60"/>
    </row>
    <row r="745" customFormat="false" ht="15" hidden="false" customHeight="false" outlineLevel="0" collapsed="false">
      <c r="A745" s="54" t="s">
        <v>78</v>
      </c>
      <c r="B745" s="55" t="s">
        <v>482</v>
      </c>
      <c r="C745" s="56" t="s">
        <v>483</v>
      </c>
      <c r="D745" s="57" t="s">
        <v>80</v>
      </c>
      <c r="E745" s="57" t="s">
        <v>212</v>
      </c>
      <c r="F745" s="55" t="s">
        <v>213</v>
      </c>
      <c r="G745" s="55" t="s">
        <v>214</v>
      </c>
      <c r="H745" s="57" t="s">
        <v>211</v>
      </c>
      <c r="I745" s="58" t="n">
        <f aca="false">'P9-010'!$N$11</f>
        <v>46328</v>
      </c>
      <c r="J745" s="58" t="n">
        <f aca="false">'P9-010'!$O$11</f>
        <v>46340</v>
      </c>
      <c r="K745" s="56" t="str">
        <f aca="false">IF(OR(L745="Y",LEFT('P9-010'!$T$11,1)="D"),"",IF(AND(ISNUMBER(J745),J745&lt;ASOF),"⚠ เลยกำหนด",IF(AND(ISNUMBER(I745),I745&lt;=ASOF+14,J745&gt;=ASOF-7),"ช่วงนี้","")))</f>
        <v>ช่วงนี้</v>
      </c>
      <c r="L745" s="59"/>
      <c r="M745" s="60"/>
    </row>
    <row r="746" customFormat="false" ht="15" hidden="false" customHeight="false" outlineLevel="0" collapsed="false">
      <c r="A746" s="54" t="s">
        <v>78</v>
      </c>
      <c r="B746" s="55" t="s">
        <v>482</v>
      </c>
      <c r="C746" s="56" t="s">
        <v>483</v>
      </c>
      <c r="D746" s="57" t="s">
        <v>80</v>
      </c>
      <c r="E746" s="57" t="s">
        <v>215</v>
      </c>
      <c r="F746" s="55" t="s">
        <v>216</v>
      </c>
      <c r="G746" s="61" t="s">
        <v>217</v>
      </c>
      <c r="H746" s="57" t="s">
        <v>211</v>
      </c>
      <c r="I746" s="58" t="n">
        <f aca="false">'P9-010'!$N$12</f>
        <v>46328</v>
      </c>
      <c r="J746" s="58" t="n">
        <f aca="false">'P9-010'!$O$12</f>
        <v>46340</v>
      </c>
      <c r="K746" s="56" t="str">
        <f aca="false">IF(OR(L746="Y",LEFT('P9-010'!$T$12,1)="D"),"",IF(AND(ISNUMBER(J746),J746&lt;ASOF),"⚠ เลยกำหนด",IF(AND(ISNUMBER(I746),I746&lt;=ASOF+14,J746&gt;=ASOF-7),"ช่วงนี้","")))</f>
        <v>ช่วงนี้</v>
      </c>
      <c r="L746" s="59"/>
      <c r="M746" s="60"/>
    </row>
    <row r="747" customFormat="false" ht="15" hidden="false" customHeight="false" outlineLevel="0" collapsed="false">
      <c r="A747" s="54" t="s">
        <v>78</v>
      </c>
      <c r="B747" s="55" t="s">
        <v>482</v>
      </c>
      <c r="C747" s="56" t="s">
        <v>483</v>
      </c>
      <c r="D747" s="57" t="s">
        <v>80</v>
      </c>
      <c r="E747" s="57" t="s">
        <v>218</v>
      </c>
      <c r="F747" s="55" t="s">
        <v>219</v>
      </c>
      <c r="G747" s="55" t="s">
        <v>220</v>
      </c>
      <c r="H747" s="57" t="s">
        <v>211</v>
      </c>
      <c r="I747" s="58" t="n">
        <f aca="false">'P9-010'!$N$13</f>
        <v>46328</v>
      </c>
      <c r="J747" s="58" t="n">
        <f aca="false">'P9-010'!$O$13</f>
        <v>46346</v>
      </c>
      <c r="K747" s="56" t="str">
        <f aca="false">IF(OR(L747="Y",LEFT('P9-010'!$T$13,1)="D"),"",IF(AND(ISNUMBER(J747),J747&lt;ASOF),"⚠ เลยกำหนด",IF(AND(ISNUMBER(I747),I747&lt;=ASOF+14,J747&gt;=ASOF-7),"ช่วงนี้","")))</f>
        <v>ช่วงนี้</v>
      </c>
      <c r="L747" s="59"/>
      <c r="M747" s="60"/>
    </row>
    <row r="748" customFormat="false" ht="15" hidden="false" customHeight="false" outlineLevel="0" collapsed="false">
      <c r="A748" s="54" t="s">
        <v>78</v>
      </c>
      <c r="B748" s="55" t="s">
        <v>482</v>
      </c>
      <c r="C748" s="56" t="s">
        <v>483</v>
      </c>
      <c r="D748" s="57" t="s">
        <v>80</v>
      </c>
      <c r="E748" s="57" t="s">
        <v>221</v>
      </c>
      <c r="F748" s="55" t="s">
        <v>222</v>
      </c>
      <c r="G748" s="55" t="s">
        <v>223</v>
      </c>
      <c r="H748" s="57" t="s">
        <v>211</v>
      </c>
      <c r="I748" s="58" t="n">
        <f aca="false">'P9-010'!$N$14</f>
        <v>46340</v>
      </c>
      <c r="J748" s="58" t="n">
        <f aca="false">'P9-010'!$O$14</f>
        <v>46450</v>
      </c>
      <c r="K748" s="56" t="str">
        <f aca="false">IF(OR(L748="Y",LEFT('P9-010'!$T$14,1)="D"),"",IF(AND(ISNUMBER(J748),J748&lt;ASOF),"⚠ เลยกำหนด",IF(AND(ISNUMBER(I748),I748&lt;=ASOF+14,J748&gt;=ASOF-7),"ช่วงนี้","")))</f>
        <v>ช่วงนี้</v>
      </c>
      <c r="L748" s="59"/>
      <c r="M748" s="60"/>
    </row>
    <row r="749" customFormat="false" ht="15" hidden="false" customHeight="false" outlineLevel="0" collapsed="false">
      <c r="A749" s="54" t="s">
        <v>78</v>
      </c>
      <c r="B749" s="55" t="s">
        <v>482</v>
      </c>
      <c r="C749" s="56" t="s">
        <v>483</v>
      </c>
      <c r="D749" s="57" t="s">
        <v>80</v>
      </c>
      <c r="E749" s="57" t="s">
        <v>224</v>
      </c>
      <c r="F749" s="55" t="s">
        <v>225</v>
      </c>
      <c r="G749" s="61" t="s">
        <v>226</v>
      </c>
      <c r="H749" s="57" t="s">
        <v>211</v>
      </c>
      <c r="I749" s="58" t="n">
        <f aca="false">'P9-010'!$N$15</f>
        <v>46340</v>
      </c>
      <c r="J749" s="58" t="n">
        <f aca="false">'P9-010'!$O$15</f>
        <v>46450</v>
      </c>
      <c r="K749" s="56" t="str">
        <f aca="false">IF(OR(L749="Y",LEFT('P9-010'!$T$15,1)="D"),"",IF(AND(ISNUMBER(J749),J749&lt;ASOF),"⚠ เลยกำหนด",IF(AND(ISNUMBER(I749),I749&lt;=ASOF+14,J749&gt;=ASOF-7),"ช่วงนี้","")))</f>
        <v>ช่วงนี้</v>
      </c>
      <c r="L749" s="59"/>
      <c r="M749" s="60"/>
    </row>
    <row r="750" customFormat="false" ht="15" hidden="false" customHeight="false" outlineLevel="0" collapsed="false">
      <c r="A750" s="54" t="s">
        <v>78</v>
      </c>
      <c r="B750" s="55" t="s">
        <v>482</v>
      </c>
      <c r="C750" s="56" t="s">
        <v>483</v>
      </c>
      <c r="D750" s="57" t="s">
        <v>80</v>
      </c>
      <c r="E750" s="57" t="s">
        <v>227</v>
      </c>
      <c r="F750" s="55" t="s">
        <v>228</v>
      </c>
      <c r="G750" s="55" t="s">
        <v>229</v>
      </c>
      <c r="H750" s="57" t="s">
        <v>211</v>
      </c>
      <c r="I750" s="58" t="n">
        <f aca="false">'P9-010'!$N$17</f>
        <v>46328</v>
      </c>
      <c r="J750" s="58" t="n">
        <f aca="false">'P9-010'!$O$17</f>
        <v>46328</v>
      </c>
      <c r="K750" s="56" t="str">
        <f aca="false">IF(OR(L750="Y",LEFT('P9-010'!$T$17,1)="D"),"",IF(AND(ISNUMBER(J750),J750&lt;ASOF),"⚠ เลยกำหนด",IF(AND(ISNUMBER(I750),I750&lt;=ASOF+14,J750&gt;=ASOF-7),"ช่วงนี้","")))</f>
        <v>ช่วงนี้</v>
      </c>
      <c r="L750" s="59"/>
      <c r="M750" s="60"/>
    </row>
    <row r="751" customFormat="false" ht="15" hidden="false" customHeight="false" outlineLevel="0" collapsed="false">
      <c r="A751" s="54" t="s">
        <v>78</v>
      </c>
      <c r="B751" s="55" t="s">
        <v>482</v>
      </c>
      <c r="C751" s="56" t="s">
        <v>483</v>
      </c>
      <c r="D751" s="57" t="s">
        <v>80</v>
      </c>
      <c r="E751" s="57" t="s">
        <v>230</v>
      </c>
      <c r="F751" s="55" t="s">
        <v>231</v>
      </c>
      <c r="G751" s="55" t="s">
        <v>232</v>
      </c>
      <c r="H751" s="57" t="s">
        <v>211</v>
      </c>
      <c r="I751" s="58" t="n">
        <f aca="false">'P9-010'!$N$18</f>
        <v>46328</v>
      </c>
      <c r="J751" s="58" t="n">
        <f aca="false">'P9-010'!$O$18</f>
        <v>46328</v>
      </c>
      <c r="K751" s="56" t="str">
        <f aca="false">IF(OR(L751="Y",LEFT('P9-010'!$T$18,1)="D"),"",IF(AND(ISNUMBER(J751),J751&lt;ASOF),"⚠ เลยกำหนด",IF(AND(ISNUMBER(I751),I751&lt;=ASOF+14,J751&gt;=ASOF-7),"ช่วงนี้","")))</f>
        <v>ช่วงนี้</v>
      </c>
      <c r="L751" s="59"/>
      <c r="M751" s="60"/>
    </row>
    <row r="752" customFormat="false" ht="15" hidden="false" customHeight="false" outlineLevel="0" collapsed="false">
      <c r="A752" s="54" t="s">
        <v>78</v>
      </c>
      <c r="B752" s="55" t="s">
        <v>482</v>
      </c>
      <c r="C752" s="56" t="s">
        <v>483</v>
      </c>
      <c r="D752" s="57" t="s">
        <v>80</v>
      </c>
      <c r="E752" s="57" t="s">
        <v>233</v>
      </c>
      <c r="F752" s="55" t="s">
        <v>234</v>
      </c>
      <c r="G752" s="55" t="s">
        <v>235</v>
      </c>
      <c r="H752" s="57" t="s">
        <v>211</v>
      </c>
      <c r="I752" s="58" t="n">
        <f aca="false">'P9-010'!$N$19</f>
        <v>46328</v>
      </c>
      <c r="J752" s="58" t="n">
        <f aca="false">'P9-010'!$O$19</f>
        <v>46328</v>
      </c>
      <c r="K752" s="56" t="str">
        <f aca="false">IF(OR(L752="Y",LEFT('P9-010'!$T$19,1)="D"),"",IF(AND(ISNUMBER(J752),J752&lt;ASOF),"⚠ เลยกำหนด",IF(AND(ISNUMBER(I752),I752&lt;=ASOF+14,J752&gt;=ASOF-7),"ช่วงนี้","")))</f>
        <v>ช่วงนี้</v>
      </c>
      <c r="L752" s="59"/>
      <c r="M752" s="60"/>
    </row>
    <row r="753" customFormat="false" ht="15" hidden="false" customHeight="false" outlineLevel="0" collapsed="false">
      <c r="A753" s="54" t="s">
        <v>78</v>
      </c>
      <c r="B753" s="55" t="s">
        <v>482</v>
      </c>
      <c r="C753" s="56" t="s">
        <v>483</v>
      </c>
      <c r="D753" s="57" t="s">
        <v>80</v>
      </c>
      <c r="E753" s="57" t="s">
        <v>236</v>
      </c>
      <c r="F753" s="55" t="s">
        <v>237</v>
      </c>
      <c r="G753" s="55" t="s">
        <v>238</v>
      </c>
      <c r="H753" s="57" t="s">
        <v>211</v>
      </c>
      <c r="I753" s="58" t="n">
        <f aca="false">'P9-010'!$N$20</f>
        <v>46328</v>
      </c>
      <c r="J753" s="58" t="n">
        <f aca="false">'P9-010'!$O$20</f>
        <v>46328</v>
      </c>
      <c r="K753" s="56" t="str">
        <f aca="false">IF(OR(L753="Y",LEFT('P9-010'!$T$20,1)="D"),"",IF(AND(ISNUMBER(J753),J753&lt;ASOF),"⚠ เลยกำหนด",IF(AND(ISNUMBER(I753),I753&lt;=ASOF+14,J753&gt;=ASOF-7),"ช่วงนี้","")))</f>
        <v>ช่วงนี้</v>
      </c>
      <c r="L753" s="59"/>
      <c r="M753" s="60"/>
    </row>
    <row r="754" customFormat="false" ht="15" hidden="false" customHeight="false" outlineLevel="0" collapsed="false">
      <c r="A754" s="54" t="s">
        <v>78</v>
      </c>
      <c r="B754" s="55" t="s">
        <v>482</v>
      </c>
      <c r="C754" s="56" t="s">
        <v>483</v>
      </c>
      <c r="D754" s="57" t="s">
        <v>80</v>
      </c>
      <c r="E754" s="57" t="s">
        <v>239</v>
      </c>
      <c r="F754" s="55" t="s">
        <v>240</v>
      </c>
      <c r="G754" s="55" t="s">
        <v>241</v>
      </c>
      <c r="H754" s="57" t="s">
        <v>211</v>
      </c>
      <c r="I754" s="58" t="n">
        <f aca="false">'P9-010'!$N$21</f>
        <v>46328</v>
      </c>
      <c r="J754" s="58" t="n">
        <f aca="false">'P9-010'!$O$21</f>
        <v>46328</v>
      </c>
      <c r="K754" s="56" t="str">
        <f aca="false">IF(OR(L754="Y",LEFT('P9-010'!$T$21,1)="D"),"",IF(AND(ISNUMBER(J754),J754&lt;ASOF),"⚠ เลยกำหนด",IF(AND(ISNUMBER(I754),I754&lt;=ASOF+14,J754&gt;=ASOF-7),"ช่วงนี้","")))</f>
        <v>ช่วงนี้</v>
      </c>
      <c r="L754" s="59"/>
      <c r="M754" s="60"/>
    </row>
    <row r="755" customFormat="false" ht="15" hidden="false" customHeight="false" outlineLevel="0" collapsed="false">
      <c r="A755" s="54" t="s">
        <v>78</v>
      </c>
      <c r="B755" s="55" t="s">
        <v>482</v>
      </c>
      <c r="C755" s="56" t="s">
        <v>483</v>
      </c>
      <c r="D755" s="57" t="s">
        <v>80</v>
      </c>
      <c r="E755" s="57" t="s">
        <v>242</v>
      </c>
      <c r="F755" s="55" t="s">
        <v>243</v>
      </c>
      <c r="G755" s="55" t="s">
        <v>244</v>
      </c>
      <c r="H755" s="57" t="s">
        <v>211</v>
      </c>
      <c r="I755" s="58" t="n">
        <f aca="false">'P9-010'!$N$22</f>
        <v>46328</v>
      </c>
      <c r="J755" s="58" t="n">
        <f aca="false">'P9-010'!$O$22</f>
        <v>46328</v>
      </c>
      <c r="K755" s="56" t="str">
        <f aca="false">IF(OR(L755="Y",LEFT('P9-010'!$T$22,1)="D"),"",IF(AND(ISNUMBER(J755),J755&lt;ASOF),"⚠ เลยกำหนด",IF(AND(ISNUMBER(I755),I755&lt;=ASOF+14,J755&gt;=ASOF-7),"ช่วงนี้","")))</f>
        <v>ช่วงนี้</v>
      </c>
      <c r="L755" s="59"/>
      <c r="M755" s="60"/>
    </row>
    <row r="756" customFormat="false" ht="15" hidden="false" customHeight="false" outlineLevel="0" collapsed="false">
      <c r="A756" s="54" t="s">
        <v>78</v>
      </c>
      <c r="B756" s="55" t="s">
        <v>482</v>
      </c>
      <c r="C756" s="56" t="s">
        <v>483</v>
      </c>
      <c r="D756" s="57" t="s">
        <v>80</v>
      </c>
      <c r="E756" s="57" t="s">
        <v>245</v>
      </c>
      <c r="F756" s="55" t="s">
        <v>246</v>
      </c>
      <c r="G756" s="55" t="s">
        <v>247</v>
      </c>
      <c r="H756" s="57" t="s">
        <v>211</v>
      </c>
      <c r="I756" s="58" t="n">
        <f aca="false">'P9-010'!$N$23</f>
        <v>46328</v>
      </c>
      <c r="J756" s="58" t="n">
        <f aca="false">'P9-010'!$O$23</f>
        <v>46328</v>
      </c>
      <c r="K756" s="56" t="str">
        <f aca="false">IF(OR(L756="Y",LEFT('P9-010'!$T$23,1)="D"),"",IF(AND(ISNUMBER(J756),J756&lt;ASOF),"⚠ เลยกำหนด",IF(AND(ISNUMBER(I756),I756&lt;=ASOF+14,J756&gt;=ASOF-7),"ช่วงนี้","")))</f>
        <v>ช่วงนี้</v>
      </c>
      <c r="L756" s="59"/>
      <c r="M756" s="60"/>
    </row>
    <row r="757" customFormat="false" ht="15" hidden="false" customHeight="false" outlineLevel="0" collapsed="false">
      <c r="A757" s="54" t="s">
        <v>78</v>
      </c>
      <c r="B757" s="55" t="s">
        <v>482</v>
      </c>
      <c r="C757" s="56" t="s">
        <v>483</v>
      </c>
      <c r="D757" s="57" t="s">
        <v>80</v>
      </c>
      <c r="E757" s="57" t="s">
        <v>248</v>
      </c>
      <c r="F757" s="55" t="s">
        <v>249</v>
      </c>
      <c r="G757" s="55" t="s">
        <v>250</v>
      </c>
      <c r="H757" s="57" t="s">
        <v>211</v>
      </c>
      <c r="I757" s="58" t="n">
        <f aca="false">'P9-010'!$N$24</f>
        <v>46328</v>
      </c>
      <c r="J757" s="58" t="n">
        <f aca="false">'P9-010'!$O$24</f>
        <v>46328</v>
      </c>
      <c r="K757" s="56" t="str">
        <f aca="false">IF(OR(L757="Y",LEFT('P9-010'!$T$24,1)="D"),"",IF(AND(ISNUMBER(J757),J757&lt;ASOF),"⚠ เลยกำหนด",IF(AND(ISNUMBER(I757),I757&lt;=ASOF+14,J757&gt;=ASOF-7),"ช่วงนี้","")))</f>
        <v>ช่วงนี้</v>
      </c>
      <c r="L757" s="59"/>
      <c r="M757" s="60"/>
    </row>
    <row r="758" customFormat="false" ht="15" hidden="false" customHeight="false" outlineLevel="0" collapsed="false">
      <c r="A758" s="54" t="s">
        <v>78</v>
      </c>
      <c r="B758" s="55" t="s">
        <v>482</v>
      </c>
      <c r="C758" s="56" t="s">
        <v>483</v>
      </c>
      <c r="D758" s="57" t="s">
        <v>80</v>
      </c>
      <c r="E758" s="57" t="s">
        <v>251</v>
      </c>
      <c r="F758" s="55" t="s">
        <v>252</v>
      </c>
      <c r="G758" s="55" t="s">
        <v>253</v>
      </c>
      <c r="H758" s="57" t="s">
        <v>211</v>
      </c>
      <c r="I758" s="58" t="n">
        <f aca="false">'P9-010'!$N$26</f>
        <v>46329</v>
      </c>
      <c r="J758" s="58" t="n">
        <f aca="false">'P9-010'!$O$26</f>
        <v>46329</v>
      </c>
      <c r="K758" s="56" t="str">
        <f aca="false">IF(OR(L758="Y",LEFT('P9-010'!$T$26,1)="D"),"",IF(AND(ISNUMBER(J758),J758&lt;ASOF),"⚠ เลยกำหนด",IF(AND(ISNUMBER(I758),I758&lt;=ASOF+14,J758&gt;=ASOF-7),"ช่วงนี้","")))</f>
        <v>ช่วงนี้</v>
      </c>
      <c r="L758" s="59"/>
      <c r="M758" s="60"/>
    </row>
    <row r="759" customFormat="false" ht="15" hidden="false" customHeight="false" outlineLevel="0" collapsed="false">
      <c r="A759" s="54" t="s">
        <v>78</v>
      </c>
      <c r="B759" s="55" t="s">
        <v>482</v>
      </c>
      <c r="C759" s="56" t="s">
        <v>483</v>
      </c>
      <c r="D759" s="57" t="s">
        <v>80</v>
      </c>
      <c r="E759" s="57" t="s">
        <v>254</v>
      </c>
      <c r="F759" s="55" t="s">
        <v>255</v>
      </c>
      <c r="G759" s="55" t="s">
        <v>256</v>
      </c>
      <c r="H759" s="57" t="s">
        <v>211</v>
      </c>
      <c r="I759" s="58" t="n">
        <f aca="false">'P9-010'!$N$27</f>
        <v>46329</v>
      </c>
      <c r="J759" s="58" t="n">
        <f aca="false">'P9-010'!$O$27</f>
        <v>46329</v>
      </c>
      <c r="K759" s="56" t="str">
        <f aca="false">IF(OR(L759="Y",LEFT('P9-010'!$T$27,1)="D"),"",IF(AND(ISNUMBER(J759),J759&lt;ASOF),"⚠ เลยกำหนด",IF(AND(ISNUMBER(I759),I759&lt;=ASOF+14,J759&gt;=ASOF-7),"ช่วงนี้","")))</f>
        <v>ช่วงนี้</v>
      </c>
      <c r="L759" s="59"/>
      <c r="M759" s="60"/>
    </row>
    <row r="760" customFormat="false" ht="15" hidden="false" customHeight="false" outlineLevel="0" collapsed="false">
      <c r="A760" s="54" t="s">
        <v>78</v>
      </c>
      <c r="B760" s="55" t="s">
        <v>482</v>
      </c>
      <c r="C760" s="56" t="s">
        <v>483</v>
      </c>
      <c r="D760" s="57" t="s">
        <v>80</v>
      </c>
      <c r="E760" s="57" t="s">
        <v>257</v>
      </c>
      <c r="F760" s="55" t="s">
        <v>258</v>
      </c>
      <c r="G760" s="55" t="s">
        <v>259</v>
      </c>
      <c r="H760" s="57" t="s">
        <v>211</v>
      </c>
      <c r="I760" s="58" t="n">
        <f aca="false">'P9-010'!$N$28</f>
        <v>46329</v>
      </c>
      <c r="J760" s="58" t="n">
        <f aca="false">'P9-010'!$O$28</f>
        <v>46329</v>
      </c>
      <c r="K760" s="56" t="str">
        <f aca="false">IF(OR(L760="Y",LEFT('P9-010'!$T$28,1)="D"),"",IF(AND(ISNUMBER(J760),J760&lt;ASOF),"⚠ เลยกำหนด",IF(AND(ISNUMBER(I760),I760&lt;=ASOF+14,J760&gt;=ASOF-7),"ช่วงนี้","")))</f>
        <v>ช่วงนี้</v>
      </c>
      <c r="L760" s="59"/>
      <c r="M760" s="60"/>
    </row>
    <row r="761" customFormat="false" ht="15" hidden="false" customHeight="false" outlineLevel="0" collapsed="false">
      <c r="A761" s="54" t="s">
        <v>78</v>
      </c>
      <c r="B761" s="55" t="s">
        <v>482</v>
      </c>
      <c r="C761" s="56" t="s">
        <v>483</v>
      </c>
      <c r="D761" s="57" t="s">
        <v>80</v>
      </c>
      <c r="E761" s="57" t="s">
        <v>260</v>
      </c>
      <c r="F761" s="55" t="s">
        <v>261</v>
      </c>
      <c r="G761" s="55" t="s">
        <v>262</v>
      </c>
      <c r="H761" s="57" t="s">
        <v>211</v>
      </c>
      <c r="I761" s="58" t="n">
        <f aca="false">'P9-010'!$N$31</f>
        <v>46328</v>
      </c>
      <c r="J761" s="58" t="n">
        <f aca="false">'P9-010'!$O$31</f>
        <v>46328</v>
      </c>
      <c r="K761" s="56" t="str">
        <f aca="false">IF(OR(L761="Y",LEFT('P9-010'!$T$31,1)="D"),"",IF(AND(ISNUMBER(J761),J761&lt;ASOF),"⚠ เลยกำหนด",IF(AND(ISNUMBER(I761),I761&lt;=ASOF+14,J761&gt;=ASOF-7),"ช่วงนี้","")))</f>
        <v>ช่วงนี้</v>
      </c>
      <c r="L761" s="59"/>
      <c r="M761" s="60"/>
    </row>
    <row r="762" customFormat="false" ht="15" hidden="false" customHeight="false" outlineLevel="0" collapsed="false">
      <c r="A762" s="54" t="s">
        <v>78</v>
      </c>
      <c r="B762" s="55" t="s">
        <v>482</v>
      </c>
      <c r="C762" s="56" t="s">
        <v>483</v>
      </c>
      <c r="D762" s="57" t="s">
        <v>80</v>
      </c>
      <c r="E762" s="57" t="s">
        <v>263</v>
      </c>
      <c r="F762" s="55" t="s">
        <v>264</v>
      </c>
      <c r="G762" s="55" t="s">
        <v>265</v>
      </c>
      <c r="H762" s="57" t="s">
        <v>211</v>
      </c>
      <c r="I762" s="58" t="n">
        <f aca="false">'P9-010'!$N$32</f>
        <v>46328</v>
      </c>
      <c r="J762" s="58" t="n">
        <f aca="false">'P9-010'!$O$32</f>
        <v>46328</v>
      </c>
      <c r="K762" s="56" t="str">
        <f aca="false">IF(OR(L762="Y",LEFT('P9-010'!$T$32,1)="D"),"",IF(AND(ISNUMBER(J762),J762&lt;ASOF),"⚠ เลยกำหนด",IF(AND(ISNUMBER(I762),I762&lt;=ASOF+14,J762&gt;=ASOF-7),"ช่วงนี้","")))</f>
        <v>ช่วงนี้</v>
      </c>
      <c r="L762" s="59"/>
      <c r="M762" s="60"/>
    </row>
    <row r="763" customFormat="false" ht="15" hidden="false" customHeight="false" outlineLevel="0" collapsed="false">
      <c r="A763" s="54" t="s">
        <v>78</v>
      </c>
      <c r="B763" s="55" t="s">
        <v>482</v>
      </c>
      <c r="C763" s="56" t="s">
        <v>483</v>
      </c>
      <c r="D763" s="57" t="s">
        <v>80</v>
      </c>
      <c r="E763" s="57" t="s">
        <v>266</v>
      </c>
      <c r="F763" s="55" t="s">
        <v>267</v>
      </c>
      <c r="G763" s="55" t="s">
        <v>268</v>
      </c>
      <c r="H763" s="57" t="s">
        <v>211</v>
      </c>
      <c r="I763" s="58" t="n">
        <f aca="false">'P9-010'!$N$33</f>
        <v>46328</v>
      </c>
      <c r="J763" s="58" t="n">
        <f aca="false">'P9-010'!$O$33</f>
        <v>46328</v>
      </c>
      <c r="K763" s="56" t="str">
        <f aca="false">IF(OR(L763="Y",LEFT('P9-010'!$T$33,1)="D"),"",IF(AND(ISNUMBER(J763),J763&lt;ASOF),"⚠ เลยกำหนด",IF(AND(ISNUMBER(I763),I763&lt;=ASOF+14,J763&gt;=ASOF-7),"ช่วงนี้","")))</f>
        <v>ช่วงนี้</v>
      </c>
      <c r="L763" s="59"/>
      <c r="M763" s="60"/>
    </row>
    <row r="764" customFormat="false" ht="15" hidden="false" customHeight="false" outlineLevel="0" collapsed="false">
      <c r="A764" s="54" t="s">
        <v>78</v>
      </c>
      <c r="B764" s="55" t="s">
        <v>482</v>
      </c>
      <c r="C764" s="56" t="s">
        <v>483</v>
      </c>
      <c r="D764" s="57" t="s">
        <v>80</v>
      </c>
      <c r="E764" s="57" t="s">
        <v>269</v>
      </c>
      <c r="F764" s="61" t="s">
        <v>270</v>
      </c>
      <c r="G764" s="61" t="s">
        <v>271</v>
      </c>
      <c r="H764" s="57" t="s">
        <v>211</v>
      </c>
      <c r="I764" s="58" t="n">
        <f aca="false">'P9-010'!$N$35</f>
        <v>46328</v>
      </c>
      <c r="J764" s="58" t="n">
        <f aca="false">'P9-010'!$O$35</f>
        <v>46328</v>
      </c>
      <c r="K764" s="56" t="str">
        <f aca="false">IF(OR(L764="Y",LEFT('P9-010'!$T$35,1)="D"),"",IF(AND(ISNUMBER(J764),J764&lt;ASOF),"⚠ เลยกำหนด",IF(AND(ISNUMBER(I764),I764&lt;=ASOF+14,J764&gt;=ASOF-7),"ช่วงนี้","")))</f>
        <v>ช่วงนี้</v>
      </c>
      <c r="L764" s="59"/>
      <c r="M764" s="60"/>
    </row>
    <row r="765" customFormat="false" ht="15" hidden="false" customHeight="false" outlineLevel="0" collapsed="false">
      <c r="A765" s="54" t="s">
        <v>78</v>
      </c>
      <c r="B765" s="55" t="s">
        <v>482</v>
      </c>
      <c r="C765" s="56" t="s">
        <v>483</v>
      </c>
      <c r="D765" s="57" t="s">
        <v>80</v>
      </c>
      <c r="E765" s="57" t="s">
        <v>272</v>
      </c>
      <c r="F765" s="55" t="s">
        <v>273</v>
      </c>
      <c r="G765" s="55" t="s">
        <v>274</v>
      </c>
      <c r="H765" s="57" t="s">
        <v>211</v>
      </c>
      <c r="I765" s="58" t="n">
        <f aca="false">'P9-010'!$N$36</f>
        <v>46328</v>
      </c>
      <c r="J765" s="58" t="n">
        <f aca="false">'P9-010'!$O$36</f>
        <v>46328</v>
      </c>
      <c r="K765" s="56" t="str">
        <f aca="false">IF(OR(L765="Y",LEFT('P9-010'!$T$36,1)="D"),"",IF(AND(ISNUMBER(J765),J765&lt;ASOF),"⚠ เลยกำหนด",IF(AND(ISNUMBER(I765),I765&lt;=ASOF+14,J765&gt;=ASOF-7),"ช่วงนี้","")))</f>
        <v>ช่วงนี้</v>
      </c>
      <c r="L765" s="59"/>
      <c r="M765" s="60"/>
    </row>
    <row r="766" customFormat="false" ht="15" hidden="false" customHeight="false" outlineLevel="0" collapsed="false">
      <c r="A766" s="54" t="s">
        <v>78</v>
      </c>
      <c r="B766" s="55" t="s">
        <v>482</v>
      </c>
      <c r="C766" s="56" t="s">
        <v>483</v>
      </c>
      <c r="D766" s="57" t="s">
        <v>80</v>
      </c>
      <c r="E766" s="57" t="s">
        <v>275</v>
      </c>
      <c r="F766" s="55" t="s">
        <v>276</v>
      </c>
      <c r="G766" s="55" t="s">
        <v>277</v>
      </c>
      <c r="H766" s="57" t="s">
        <v>211</v>
      </c>
      <c r="I766" s="58" t="n">
        <f aca="false">'P9-010'!$N$37</f>
        <v>46328</v>
      </c>
      <c r="J766" s="58" t="n">
        <f aca="false">'P9-010'!$O$37</f>
        <v>46328</v>
      </c>
      <c r="K766" s="56" t="str">
        <f aca="false">IF(OR(L766="Y",LEFT('P9-010'!$T$37,1)="D"),"",IF(AND(ISNUMBER(J766),J766&lt;ASOF),"⚠ เลยกำหนด",IF(AND(ISNUMBER(I766),I766&lt;=ASOF+14,J766&gt;=ASOF-7),"ช่วงนี้","")))</f>
        <v>ช่วงนี้</v>
      </c>
      <c r="L766" s="59"/>
      <c r="M766" s="60"/>
    </row>
    <row r="767" customFormat="false" ht="15" hidden="false" customHeight="false" outlineLevel="0" collapsed="false">
      <c r="A767" s="54" t="s">
        <v>78</v>
      </c>
      <c r="B767" s="55" t="s">
        <v>482</v>
      </c>
      <c r="C767" s="56" t="s">
        <v>483</v>
      </c>
      <c r="D767" s="57" t="s">
        <v>80</v>
      </c>
      <c r="E767" s="57" t="s">
        <v>278</v>
      </c>
      <c r="F767" s="55" t="s">
        <v>279</v>
      </c>
      <c r="G767" s="55" t="s">
        <v>280</v>
      </c>
      <c r="H767" s="57" t="s">
        <v>211</v>
      </c>
      <c r="I767" s="58" t="n">
        <f aca="false">'P9-010'!$N$38</f>
        <v>46328</v>
      </c>
      <c r="J767" s="58" t="n">
        <f aca="false">'P9-010'!$O$38</f>
        <v>46328</v>
      </c>
      <c r="K767" s="56" t="str">
        <f aca="false">IF(OR(L767="Y",LEFT('P9-010'!$T$38,1)="D"),"",IF(AND(ISNUMBER(J767),J767&lt;ASOF),"⚠ เลยกำหนด",IF(AND(ISNUMBER(I767),I767&lt;=ASOF+14,J767&gt;=ASOF-7),"ช่วงนี้","")))</f>
        <v>ช่วงนี้</v>
      </c>
      <c r="L767" s="59"/>
      <c r="M767" s="60"/>
    </row>
    <row r="768" customFormat="false" ht="15" hidden="false" customHeight="false" outlineLevel="0" collapsed="false">
      <c r="A768" s="54" t="s">
        <v>78</v>
      </c>
      <c r="B768" s="55" t="s">
        <v>482</v>
      </c>
      <c r="C768" s="56" t="s">
        <v>483</v>
      </c>
      <c r="D768" s="57" t="s">
        <v>80</v>
      </c>
      <c r="E768" s="57" t="s">
        <v>281</v>
      </c>
      <c r="F768" s="55" t="s">
        <v>282</v>
      </c>
      <c r="G768" s="55" t="s">
        <v>283</v>
      </c>
      <c r="H768" s="57" t="s">
        <v>211</v>
      </c>
      <c r="I768" s="58" t="n">
        <f aca="false">'P9-010'!$N$40</f>
        <v>46328</v>
      </c>
      <c r="J768" s="58" t="n">
        <f aca="false">'P9-010'!$O$40</f>
        <v>46328</v>
      </c>
      <c r="K768" s="56" t="str">
        <f aca="false">IF(OR(L768="Y",LEFT('P9-010'!$T$40,1)="D"),"",IF(AND(ISNUMBER(J768),J768&lt;ASOF),"⚠ เลยกำหนด",IF(AND(ISNUMBER(I768),I768&lt;=ASOF+14,J768&gt;=ASOF-7),"ช่วงนี้","")))</f>
        <v>ช่วงนี้</v>
      </c>
      <c r="L768" s="59"/>
      <c r="M768" s="60"/>
    </row>
    <row r="769" customFormat="false" ht="15" hidden="false" customHeight="false" outlineLevel="0" collapsed="false">
      <c r="A769" s="54" t="s">
        <v>78</v>
      </c>
      <c r="B769" s="55" t="s">
        <v>482</v>
      </c>
      <c r="C769" s="56" t="s">
        <v>483</v>
      </c>
      <c r="D769" s="57" t="s">
        <v>80</v>
      </c>
      <c r="E769" s="57" t="s">
        <v>284</v>
      </c>
      <c r="F769" s="55" t="s">
        <v>285</v>
      </c>
      <c r="G769" s="61" t="s">
        <v>286</v>
      </c>
      <c r="H769" s="57" t="s">
        <v>211</v>
      </c>
      <c r="I769" s="58" t="n">
        <f aca="false">'P9-010'!$N$41</f>
        <v>46328</v>
      </c>
      <c r="J769" s="58" t="n">
        <f aca="false">'P9-010'!$O$41</f>
        <v>46328</v>
      </c>
      <c r="K769" s="56" t="str">
        <f aca="false">IF(OR(L769="Y",LEFT('P9-010'!$T$41,1)="D"),"",IF(AND(ISNUMBER(J769),J769&lt;ASOF),"⚠ เลยกำหนด",IF(AND(ISNUMBER(I769),I769&lt;=ASOF+14,J769&gt;=ASOF-7),"ช่วงนี้","")))</f>
        <v>ช่วงนี้</v>
      </c>
      <c r="L769" s="59"/>
      <c r="M769" s="60"/>
    </row>
    <row r="770" customFormat="false" ht="15" hidden="false" customHeight="false" outlineLevel="0" collapsed="false">
      <c r="A770" s="54" t="s">
        <v>78</v>
      </c>
      <c r="B770" s="55" t="s">
        <v>482</v>
      </c>
      <c r="C770" s="56" t="s">
        <v>483</v>
      </c>
      <c r="D770" s="57" t="s">
        <v>80</v>
      </c>
      <c r="E770" s="57" t="s">
        <v>287</v>
      </c>
      <c r="F770" s="55" t="s">
        <v>288</v>
      </c>
      <c r="G770" s="61" t="s">
        <v>289</v>
      </c>
      <c r="H770" s="57" t="s">
        <v>211</v>
      </c>
      <c r="I770" s="58" t="n">
        <f aca="false">'P9-010'!$N$42</f>
        <v>46328</v>
      </c>
      <c r="J770" s="58" t="n">
        <f aca="false">'P9-010'!$O$42</f>
        <v>46328</v>
      </c>
      <c r="K770" s="56" t="str">
        <f aca="false">IF(OR(L770="Y",LEFT('P9-010'!$T$42,1)="D"),"",IF(AND(ISNUMBER(J770),J770&lt;ASOF),"⚠ เลยกำหนด",IF(AND(ISNUMBER(I770),I770&lt;=ASOF+14,J770&gt;=ASOF-7),"ช่วงนี้","")))</f>
        <v>ช่วงนี้</v>
      </c>
      <c r="L770" s="59"/>
      <c r="M770" s="60"/>
    </row>
    <row r="771" customFormat="false" ht="15" hidden="false" customHeight="false" outlineLevel="0" collapsed="false">
      <c r="A771" s="54" t="s">
        <v>78</v>
      </c>
      <c r="B771" s="55" t="s">
        <v>482</v>
      </c>
      <c r="C771" s="56" t="s">
        <v>483</v>
      </c>
      <c r="D771" s="57" t="s">
        <v>80</v>
      </c>
      <c r="E771" s="57" t="s">
        <v>290</v>
      </c>
      <c r="F771" s="55" t="s">
        <v>291</v>
      </c>
      <c r="G771" s="55" t="s">
        <v>292</v>
      </c>
      <c r="H771" s="57" t="s">
        <v>211</v>
      </c>
      <c r="I771" s="58" t="n">
        <f aca="false">'P9-010'!$N$44</f>
        <v>46328</v>
      </c>
      <c r="J771" s="58" t="n">
        <f aca="false">'P9-010'!$O$44</f>
        <v>46328</v>
      </c>
      <c r="K771" s="56" t="str">
        <f aca="false">IF(OR(L771="Y",LEFT('P9-010'!$T$44,1)="D"),"",IF(AND(ISNUMBER(J771),J771&lt;ASOF),"⚠ เลยกำหนด",IF(AND(ISNUMBER(I771),I771&lt;=ASOF+14,J771&gt;=ASOF-7),"ช่วงนี้","")))</f>
        <v>ช่วงนี้</v>
      </c>
      <c r="L771" s="59"/>
      <c r="M771" s="60"/>
    </row>
    <row r="772" customFormat="false" ht="15" hidden="false" customHeight="false" outlineLevel="0" collapsed="false">
      <c r="A772" s="54" t="s">
        <v>78</v>
      </c>
      <c r="B772" s="55" t="s">
        <v>482</v>
      </c>
      <c r="C772" s="56" t="s">
        <v>483</v>
      </c>
      <c r="D772" s="57" t="s">
        <v>80</v>
      </c>
      <c r="E772" s="57" t="s">
        <v>293</v>
      </c>
      <c r="F772" s="55" t="s">
        <v>294</v>
      </c>
      <c r="G772" s="55" t="s">
        <v>295</v>
      </c>
      <c r="H772" s="57" t="s">
        <v>211</v>
      </c>
      <c r="I772" s="58" t="n">
        <f aca="false">'P9-010'!$N$45</f>
        <v>46328</v>
      </c>
      <c r="J772" s="58" t="n">
        <f aca="false">'P9-010'!$O$45</f>
        <v>46328</v>
      </c>
      <c r="K772" s="56" t="str">
        <f aca="false">IF(OR(L772="Y",LEFT('P9-010'!$T$45,1)="D"),"",IF(AND(ISNUMBER(J772),J772&lt;ASOF),"⚠ เลยกำหนด",IF(AND(ISNUMBER(I772),I772&lt;=ASOF+14,J772&gt;=ASOF-7),"ช่วงนี้","")))</f>
        <v>ช่วงนี้</v>
      </c>
      <c r="L772" s="59"/>
      <c r="M772" s="60"/>
    </row>
    <row r="773" customFormat="false" ht="15" hidden="false" customHeight="false" outlineLevel="0" collapsed="false">
      <c r="A773" s="54" t="s">
        <v>78</v>
      </c>
      <c r="B773" s="55" t="s">
        <v>482</v>
      </c>
      <c r="C773" s="56" t="s">
        <v>483</v>
      </c>
      <c r="D773" s="57" t="s">
        <v>80</v>
      </c>
      <c r="E773" s="57" t="s">
        <v>296</v>
      </c>
      <c r="F773" s="55" t="s">
        <v>297</v>
      </c>
      <c r="G773" s="55" t="s">
        <v>298</v>
      </c>
      <c r="H773" s="57" t="s">
        <v>211</v>
      </c>
      <c r="I773" s="58" t="n">
        <f aca="false">'P9-010'!$N$46</f>
        <v>46328</v>
      </c>
      <c r="J773" s="58" t="n">
        <f aca="false">'P9-010'!$O$46</f>
        <v>46328</v>
      </c>
      <c r="K773" s="56" t="str">
        <f aca="false">IF(OR(L773="Y",LEFT('P9-010'!$T$46,1)="D"),"",IF(AND(ISNUMBER(J773),J773&lt;ASOF),"⚠ เลยกำหนด",IF(AND(ISNUMBER(I773),I773&lt;=ASOF+14,J773&gt;=ASOF-7),"ช่วงนี้","")))</f>
        <v>ช่วงนี้</v>
      </c>
      <c r="L773" s="59"/>
      <c r="M773" s="60"/>
    </row>
    <row r="774" customFormat="false" ht="15" hidden="false" customHeight="false" outlineLevel="0" collapsed="false">
      <c r="A774" s="54" t="s">
        <v>78</v>
      </c>
      <c r="B774" s="55" t="s">
        <v>482</v>
      </c>
      <c r="C774" s="56" t="s">
        <v>483</v>
      </c>
      <c r="D774" s="57" t="s">
        <v>80</v>
      </c>
      <c r="E774" s="57" t="s">
        <v>456</v>
      </c>
      <c r="F774" s="61" t="s">
        <v>457</v>
      </c>
      <c r="G774" s="61" t="s">
        <v>458</v>
      </c>
      <c r="H774" s="57" t="s">
        <v>211</v>
      </c>
      <c r="I774" s="58" t="n">
        <f aca="false">'P9-010'!$N$48</f>
        <v>46356</v>
      </c>
      <c r="J774" s="58" t="n">
        <f aca="false">'P9-010'!$O$48</f>
        <v>46356</v>
      </c>
      <c r="K774" s="56" t="str">
        <f aca="false">IF(OR(L774="Y",LEFT('P9-010'!$T$48,1)="D"),"",IF(AND(ISNUMBER(J774),J774&lt;ASOF),"⚠ เลยกำหนด",IF(AND(ISNUMBER(I774),I774&lt;=ASOF+14,J774&gt;=ASOF-7),"ช่วงนี้","")))</f>
        <v/>
      </c>
      <c r="L774" s="59"/>
      <c r="M774" s="60"/>
    </row>
    <row r="775" customFormat="false" ht="15" hidden="false" customHeight="false" outlineLevel="0" collapsed="false">
      <c r="A775" s="54" t="s">
        <v>78</v>
      </c>
      <c r="B775" s="55" t="s">
        <v>482</v>
      </c>
      <c r="C775" s="56" t="s">
        <v>483</v>
      </c>
      <c r="D775" s="57" t="s">
        <v>80</v>
      </c>
      <c r="E775" s="57" t="s">
        <v>459</v>
      </c>
      <c r="F775" s="55" t="s">
        <v>460</v>
      </c>
      <c r="G775" s="55" t="s">
        <v>461</v>
      </c>
      <c r="H775" s="57" t="s">
        <v>211</v>
      </c>
      <c r="I775" s="58" t="n">
        <f aca="false">'P9-010'!$N$49</f>
        <v>46356</v>
      </c>
      <c r="J775" s="58" t="n">
        <f aca="false">'P9-010'!$O$49</f>
        <v>46356</v>
      </c>
      <c r="K775" s="56" t="str">
        <f aca="false">IF(OR(L775="Y",LEFT('P9-010'!$T$49,1)="D"),"",IF(AND(ISNUMBER(J775),J775&lt;ASOF),"⚠ เลยกำหนด",IF(AND(ISNUMBER(I775),I775&lt;=ASOF+14,J775&gt;=ASOF-7),"ช่วงนี้","")))</f>
        <v/>
      </c>
      <c r="L775" s="59"/>
      <c r="M775" s="60"/>
    </row>
    <row r="776" customFormat="false" ht="15" hidden="false" customHeight="false" outlineLevel="0" collapsed="false">
      <c r="A776" s="54" t="s">
        <v>78</v>
      </c>
      <c r="B776" s="55" t="s">
        <v>482</v>
      </c>
      <c r="C776" s="56" t="s">
        <v>483</v>
      </c>
      <c r="D776" s="57" t="s">
        <v>80</v>
      </c>
      <c r="E776" s="57" t="s">
        <v>462</v>
      </c>
      <c r="F776" s="55" t="s">
        <v>463</v>
      </c>
      <c r="G776" s="55" t="s">
        <v>464</v>
      </c>
      <c r="H776" s="57" t="s">
        <v>211</v>
      </c>
      <c r="I776" s="58" t="n">
        <f aca="false">'P9-010'!$N$51</f>
        <v>46356</v>
      </c>
      <c r="J776" s="58" t="n">
        <f aca="false">'P9-010'!$O$51</f>
        <v>46356</v>
      </c>
      <c r="K776" s="56" t="str">
        <f aca="false">IF(OR(L776="Y",LEFT('P9-010'!$T$51,1)="D"),"",IF(AND(ISNUMBER(J776),J776&lt;ASOF),"⚠ เลยกำหนด",IF(AND(ISNUMBER(I776),I776&lt;=ASOF+14,J776&gt;=ASOF-7),"ช่วงนี้","")))</f>
        <v/>
      </c>
      <c r="L776" s="59"/>
      <c r="M776" s="60"/>
    </row>
    <row r="777" customFormat="false" ht="15" hidden="false" customHeight="false" outlineLevel="0" collapsed="false">
      <c r="A777" s="54" t="s">
        <v>78</v>
      </c>
      <c r="B777" s="55" t="s">
        <v>482</v>
      </c>
      <c r="C777" s="56" t="s">
        <v>483</v>
      </c>
      <c r="D777" s="57" t="s">
        <v>80</v>
      </c>
      <c r="E777" s="57" t="s">
        <v>299</v>
      </c>
      <c r="F777" s="55" t="s">
        <v>300</v>
      </c>
      <c r="G777" s="55" t="s">
        <v>301</v>
      </c>
      <c r="H777" s="57" t="s">
        <v>211</v>
      </c>
      <c r="I777" s="58" t="str">
        <f aca="false">'P9-010'!$N$53</f>
        <v/>
      </c>
      <c r="J777" s="58" t="str">
        <f aca="false">'P9-010'!$O$53</f>
        <v/>
      </c>
      <c r="K777" s="56" t="str">
        <f aca="false">IF(OR(L777="Y",LEFT('P9-010'!$T$53,1)="D"),"",IF(AND(ISNUMBER(J777),J777&lt;ASOF),"⚠ เลยกำหนด",IF(AND(ISNUMBER(I777),I777&lt;=ASOF+14,J777&gt;=ASOF-7),"ช่วงนี้","")))</f>
        <v/>
      </c>
      <c r="L777" s="59"/>
      <c r="M777" s="60"/>
    </row>
    <row r="778" customFormat="false" ht="15" hidden="false" customHeight="false" outlineLevel="0" collapsed="false">
      <c r="A778" s="54" t="s">
        <v>78</v>
      </c>
      <c r="B778" s="55" t="s">
        <v>482</v>
      </c>
      <c r="C778" s="56" t="s">
        <v>483</v>
      </c>
      <c r="D778" s="57" t="s">
        <v>80</v>
      </c>
      <c r="E778" s="57" t="s">
        <v>302</v>
      </c>
      <c r="F778" s="55" t="s">
        <v>303</v>
      </c>
      <c r="G778" s="55" t="s">
        <v>304</v>
      </c>
      <c r="H778" s="57" t="s">
        <v>211</v>
      </c>
      <c r="I778" s="58" t="str">
        <f aca="false">'P9-010'!$N$54</f>
        <v/>
      </c>
      <c r="J778" s="58" t="str">
        <f aca="false">'P9-010'!$O$54</f>
        <v/>
      </c>
      <c r="K778" s="56" t="str">
        <f aca="false">IF(OR(L778="Y",LEFT('P9-010'!$T$54,1)="D"),"",IF(AND(ISNUMBER(J778),J778&lt;ASOF),"⚠ เลยกำหนด",IF(AND(ISNUMBER(I778),I778&lt;=ASOF+14,J778&gt;=ASOF-7),"ช่วงนี้","")))</f>
        <v/>
      </c>
      <c r="L778" s="59"/>
      <c r="M778" s="60"/>
    </row>
    <row r="779" customFormat="false" ht="15" hidden="false" customHeight="false" outlineLevel="0" collapsed="false">
      <c r="A779" s="54" t="s">
        <v>78</v>
      </c>
      <c r="B779" s="55" t="s">
        <v>482</v>
      </c>
      <c r="C779" s="56" t="s">
        <v>483</v>
      </c>
      <c r="D779" s="57" t="s">
        <v>80</v>
      </c>
      <c r="E779" s="57" t="s">
        <v>305</v>
      </c>
      <c r="F779" s="55" t="s">
        <v>306</v>
      </c>
      <c r="G779" s="55" t="s">
        <v>307</v>
      </c>
      <c r="H779" s="56" t="str">
        <f aca="false">IF(COUNTIFS(SITE_ST,"P9-010",SITE_TYPE,"?*")&gt;0,"ตามจุดติดตั้ง →","0/100")</f>
        <v>ตามจุดติดตั้ง →</v>
      </c>
      <c r="I779" s="58" t="n">
        <f aca="false">'P9-010'!$N$63</f>
        <v>46328</v>
      </c>
      <c r="J779" s="58" t="n">
        <f aca="false">'P9-010'!$O$63</f>
        <v>46329</v>
      </c>
      <c r="K779" s="56" t="str">
        <f aca="false">IF(OR(L779="Y",LEFT('P9-010'!$T$63,1)="D"),"",IF(AND(ISNUMBER(J779),J779&lt;ASOF),"⚠ เลยกำหนด",IF(AND(ISNUMBER(I779),I779&lt;=ASOF+14,J779&gt;=ASOF-7),"ช่วงนี้","")))</f>
        <v>ช่วงนี้</v>
      </c>
      <c r="L779" s="59"/>
      <c r="M779" s="60"/>
    </row>
    <row r="780" customFormat="false" ht="15" hidden="false" customHeight="false" outlineLevel="0" collapsed="false">
      <c r="A780" s="54" t="s">
        <v>78</v>
      </c>
      <c r="B780" s="55" t="s">
        <v>482</v>
      </c>
      <c r="C780" s="56" t="s">
        <v>483</v>
      </c>
      <c r="D780" s="57" t="s">
        <v>80</v>
      </c>
      <c r="E780" s="57" t="s">
        <v>308</v>
      </c>
      <c r="F780" s="55" t="s">
        <v>309</v>
      </c>
      <c r="G780" s="55" t="s">
        <v>310</v>
      </c>
      <c r="H780" s="57" t="s">
        <v>211</v>
      </c>
      <c r="I780" s="58" t="n">
        <f aca="false">'P9-010'!$N$64</f>
        <v>46328</v>
      </c>
      <c r="J780" s="58" t="n">
        <f aca="false">'P9-010'!$O$64</f>
        <v>46330</v>
      </c>
      <c r="K780" s="56" t="str">
        <f aca="false">IF(OR(L780="Y",LEFT('P9-010'!$T$64,1)="D"),"",IF(AND(ISNUMBER(J780),J780&lt;ASOF),"⚠ เลยกำหนด",IF(AND(ISNUMBER(I780),I780&lt;=ASOF+14,J780&gt;=ASOF-7),"ช่วงนี้","")))</f>
        <v>ช่วงนี้</v>
      </c>
      <c r="L780" s="59"/>
      <c r="M780" s="60"/>
    </row>
    <row r="781" customFormat="false" ht="15" hidden="false" customHeight="false" outlineLevel="0" collapsed="false">
      <c r="A781" s="54" t="s">
        <v>78</v>
      </c>
      <c r="B781" s="55" t="s">
        <v>482</v>
      </c>
      <c r="C781" s="56" t="s">
        <v>483</v>
      </c>
      <c r="D781" s="57" t="s">
        <v>80</v>
      </c>
      <c r="E781" s="57" t="s">
        <v>311</v>
      </c>
      <c r="F781" s="55" t="s">
        <v>312</v>
      </c>
      <c r="G781" s="55" t="s">
        <v>313</v>
      </c>
      <c r="H781" s="56" t="str">
        <f aca="false">IF(COUNTIFS(SITE_ST,"P9-010",SITE_TYPE,"?*")&gt;0,"ตามจุดติดตั้ง →","50/50")</f>
        <v>ตามจุดติดตั้ง →</v>
      </c>
      <c r="I781" s="58" t="n">
        <f aca="false">'P9-010'!$N$65</f>
        <v>46329</v>
      </c>
      <c r="J781" s="58" t="n">
        <f aca="false">'P9-010'!$O$65</f>
        <v>46332</v>
      </c>
      <c r="K781" s="56" t="str">
        <f aca="false">IF(OR(L781="Y",LEFT('P9-010'!$T$65,1)="D"),"",IF(AND(ISNUMBER(J781),J781&lt;ASOF),"⚠ เลยกำหนด",IF(AND(ISNUMBER(I781),I781&lt;=ASOF+14,J781&gt;=ASOF-7),"ช่วงนี้","")))</f>
        <v>ช่วงนี้</v>
      </c>
      <c r="L781" s="59"/>
      <c r="M781" s="60"/>
    </row>
    <row r="782" customFormat="false" ht="15" hidden="false" customHeight="false" outlineLevel="0" collapsed="false">
      <c r="A782" s="54" t="s">
        <v>78</v>
      </c>
      <c r="B782" s="55" t="s">
        <v>482</v>
      </c>
      <c r="C782" s="56" t="s">
        <v>483</v>
      </c>
      <c r="D782" s="57" t="s">
        <v>80</v>
      </c>
      <c r="E782" s="57" t="s">
        <v>314</v>
      </c>
      <c r="F782" s="55" t="s">
        <v>315</v>
      </c>
      <c r="G782" s="61" t="s">
        <v>316</v>
      </c>
      <c r="H782" s="56" t="str">
        <f aca="false">IF(COUNTIFS(SITE_ST,"P9-010",SITE_TYPE,"?*")&gt;0,"ตามจุดติดตั้ง →","50/50")</f>
        <v>ตามจุดติดตั้ง →</v>
      </c>
      <c r="I782" s="58" t="n">
        <f aca="false">'P9-010'!$N$66</f>
        <v>46331</v>
      </c>
      <c r="J782" s="58" t="n">
        <f aca="false">'P9-010'!$O$66</f>
        <v>46335</v>
      </c>
      <c r="K782" s="56" t="str">
        <f aca="false">IF(OR(L782="Y",LEFT('P9-010'!$T$66,1)="D"),"",IF(AND(ISNUMBER(J782),J782&lt;ASOF),"⚠ เลยกำหนด",IF(AND(ISNUMBER(I782),I782&lt;=ASOF+14,J782&gt;=ASOF-7),"ช่วงนี้","")))</f>
        <v>ช่วงนี้</v>
      </c>
      <c r="L782" s="59"/>
      <c r="M782" s="60"/>
    </row>
    <row r="783" customFormat="false" ht="15" hidden="false" customHeight="false" outlineLevel="0" collapsed="false">
      <c r="A783" s="54" t="s">
        <v>78</v>
      </c>
      <c r="B783" s="55" t="s">
        <v>482</v>
      </c>
      <c r="C783" s="56" t="s">
        <v>483</v>
      </c>
      <c r="D783" s="57" t="s">
        <v>80</v>
      </c>
      <c r="E783" s="57" t="s">
        <v>317</v>
      </c>
      <c r="F783" s="61" t="s">
        <v>318</v>
      </c>
      <c r="G783" s="61" t="s">
        <v>319</v>
      </c>
      <c r="H783" s="56" t="str">
        <f aca="false">IF(COUNTIFS(SITE_ST,"P9-010",SITE_TYPE,"?*")&gt;0,"ตามจุดติดตั้ง →","50/50")</f>
        <v>ตามจุดติดตั้ง →</v>
      </c>
      <c r="I783" s="58" t="n">
        <f aca="false">'P9-010'!$N$67</f>
        <v>46333</v>
      </c>
      <c r="J783" s="58" t="n">
        <f aca="false">'P9-010'!$O$67</f>
        <v>46336</v>
      </c>
      <c r="K783" s="56" t="str">
        <f aca="false">IF(OR(L783="Y",LEFT('P9-010'!$T$67,1)="D"),"",IF(AND(ISNUMBER(J783),J783&lt;ASOF),"⚠ เลยกำหนด",IF(AND(ISNUMBER(I783),I783&lt;=ASOF+14,J783&gt;=ASOF-7),"ช่วงนี้","")))</f>
        <v>ช่วงนี้</v>
      </c>
      <c r="L783" s="59"/>
      <c r="M783" s="60"/>
    </row>
    <row r="784" customFormat="false" ht="15" hidden="false" customHeight="false" outlineLevel="0" collapsed="false">
      <c r="A784" s="54" t="s">
        <v>78</v>
      </c>
      <c r="B784" s="55" t="s">
        <v>482</v>
      </c>
      <c r="C784" s="56" t="s">
        <v>483</v>
      </c>
      <c r="D784" s="57" t="s">
        <v>80</v>
      </c>
      <c r="E784" s="57" t="s">
        <v>320</v>
      </c>
      <c r="F784" s="55" t="s">
        <v>321</v>
      </c>
      <c r="G784" s="55" t="s">
        <v>322</v>
      </c>
      <c r="H784" s="56" t="str">
        <f aca="false">IF(COUNTIFS(SITE_ST,"P9-010",SITE_TYPE,"?*")&gt;0,"ตามจุดติดตั้ง →","0/100")</f>
        <v>ตามจุดติดตั้ง →</v>
      </c>
      <c r="I784" s="58" t="n">
        <f aca="false">'P9-010'!$N$68</f>
        <v>46334</v>
      </c>
      <c r="J784" s="58" t="n">
        <f aca="false">'P9-010'!$O$68</f>
        <v>46336</v>
      </c>
      <c r="K784" s="56" t="str">
        <f aca="false">IF(OR(L784="Y",LEFT('P9-010'!$T$68,1)="D"),"",IF(AND(ISNUMBER(J784),J784&lt;ASOF),"⚠ เลยกำหนด",IF(AND(ISNUMBER(I784),I784&lt;=ASOF+14,J784&gt;=ASOF-7),"ช่วงนี้","")))</f>
        <v>ช่วงนี้</v>
      </c>
      <c r="L784" s="59"/>
      <c r="M784" s="60"/>
    </row>
    <row r="785" customFormat="false" ht="15" hidden="false" customHeight="false" outlineLevel="0" collapsed="false">
      <c r="A785" s="54" t="s">
        <v>78</v>
      </c>
      <c r="B785" s="55" t="s">
        <v>482</v>
      </c>
      <c r="C785" s="56" t="s">
        <v>483</v>
      </c>
      <c r="D785" s="57" t="s">
        <v>80</v>
      </c>
      <c r="E785" s="57" t="s">
        <v>323</v>
      </c>
      <c r="F785" s="61" t="s">
        <v>324</v>
      </c>
      <c r="G785" s="55" t="s">
        <v>325</v>
      </c>
      <c r="H785" s="56" t="str">
        <f aca="false">IF(COUNTIFS(SITE_ST,"P9-010",SITE_TYPE,"?*")&gt;0,"ตามจุดติดตั้ง →","0/100")</f>
        <v>ตามจุดติดตั้ง →</v>
      </c>
      <c r="I785" s="58" t="n">
        <f aca="false">'P9-010'!$N$69</f>
        <v>46336</v>
      </c>
      <c r="J785" s="58" t="n">
        <f aca="false">'P9-010'!$O$69</f>
        <v>46336</v>
      </c>
      <c r="K785" s="56" t="str">
        <f aca="false">IF(OR(L785="Y",LEFT('P9-010'!$T$69,1)="D"),"",IF(AND(ISNUMBER(J785),J785&lt;ASOF),"⚠ เลยกำหนด",IF(AND(ISNUMBER(I785),I785&lt;=ASOF+14,J785&gt;=ASOF-7),"ช่วงนี้","")))</f>
        <v>ช่วงนี้</v>
      </c>
      <c r="L785" s="59"/>
      <c r="M785" s="60"/>
    </row>
    <row r="786" customFormat="false" ht="15" hidden="false" customHeight="false" outlineLevel="0" collapsed="false">
      <c r="A786" s="54" t="s">
        <v>78</v>
      </c>
      <c r="B786" s="55" t="s">
        <v>482</v>
      </c>
      <c r="C786" s="56" t="s">
        <v>483</v>
      </c>
      <c r="D786" s="57" t="s">
        <v>80</v>
      </c>
      <c r="E786" s="57" t="s">
        <v>326</v>
      </c>
      <c r="F786" s="55" t="s">
        <v>327</v>
      </c>
      <c r="G786" s="61" t="s">
        <v>328</v>
      </c>
      <c r="H786" s="56" t="str">
        <f aca="false">IF(COUNTIFS(SITE_ST,"P9-010",SITE_TYPE,"?*")&gt;0,"ตามจุดติดตั้ง →","50/50")</f>
        <v>ตามจุดติดตั้ง →</v>
      </c>
      <c r="I786" s="58" t="n">
        <f aca="false">'P9-010'!$N$71</f>
        <v>46343</v>
      </c>
      <c r="J786" s="58" t="n">
        <f aca="false">'P9-010'!$O$71</f>
        <v>46344</v>
      </c>
      <c r="K786" s="56" t="str">
        <f aca="false">IF(OR(L786="Y",LEFT('P9-010'!$T$71,1)="D"),"",IF(AND(ISNUMBER(J786),J786&lt;ASOF),"⚠ เลยกำหนด",IF(AND(ISNUMBER(I786),I786&lt;=ASOF+14,J786&gt;=ASOF-7),"ช่วงนี้","")))</f>
        <v/>
      </c>
      <c r="L786" s="59"/>
      <c r="M786" s="60"/>
    </row>
    <row r="787" customFormat="false" ht="15" hidden="false" customHeight="false" outlineLevel="0" collapsed="false">
      <c r="A787" s="54" t="s">
        <v>78</v>
      </c>
      <c r="B787" s="55" t="s">
        <v>482</v>
      </c>
      <c r="C787" s="56" t="s">
        <v>483</v>
      </c>
      <c r="D787" s="57" t="s">
        <v>80</v>
      </c>
      <c r="E787" s="57" t="s">
        <v>329</v>
      </c>
      <c r="F787" s="55" t="s">
        <v>330</v>
      </c>
      <c r="G787" s="55" t="s">
        <v>331</v>
      </c>
      <c r="H787" s="56" t="str">
        <f aca="false">IF(COUNTIFS(SITE_ST,"P9-010",SITE_TYPE,"?*")&gt;0,"ตามจุดติดตั้ง →","50/50")</f>
        <v>ตามจุดติดตั้ง →</v>
      </c>
      <c r="I787" s="58" t="n">
        <f aca="false">'P9-010'!$N$72</f>
        <v>46344</v>
      </c>
      <c r="J787" s="58" t="n">
        <f aca="false">'P9-010'!$O$72</f>
        <v>46345</v>
      </c>
      <c r="K787" s="56" t="str">
        <f aca="false">IF(OR(L787="Y",LEFT('P9-010'!$T$72,1)="D"),"",IF(AND(ISNUMBER(J787),J787&lt;ASOF),"⚠ เลยกำหนด",IF(AND(ISNUMBER(I787),I787&lt;=ASOF+14,J787&gt;=ASOF-7),"ช่วงนี้","")))</f>
        <v/>
      </c>
      <c r="L787" s="59"/>
      <c r="M787" s="60"/>
    </row>
    <row r="788" customFormat="false" ht="15" hidden="false" customHeight="false" outlineLevel="0" collapsed="false">
      <c r="A788" s="54" t="s">
        <v>78</v>
      </c>
      <c r="B788" s="55" t="s">
        <v>482</v>
      </c>
      <c r="C788" s="56" t="s">
        <v>483</v>
      </c>
      <c r="D788" s="57" t="s">
        <v>80</v>
      </c>
      <c r="E788" s="57" t="s">
        <v>332</v>
      </c>
      <c r="F788" s="55" t="s">
        <v>333</v>
      </c>
      <c r="G788" s="55" t="s">
        <v>334</v>
      </c>
      <c r="H788" s="56" t="str">
        <f aca="false">IF(COUNTIFS(SITE_ST,"P9-010",SITE_TYPE,"?*")&gt;0,"ตามจุดติดตั้ง →","0/100")</f>
        <v>ตามจุดติดตั้ง →</v>
      </c>
      <c r="I788" s="58" t="n">
        <f aca="false">'P9-010'!$N$73</f>
        <v>46344</v>
      </c>
      <c r="J788" s="58" t="n">
        <f aca="false">'P9-010'!$O$73</f>
        <v>46345</v>
      </c>
      <c r="K788" s="56" t="str">
        <f aca="false">IF(OR(L788="Y",LEFT('P9-010'!$T$73,1)="D"),"",IF(AND(ISNUMBER(J788),J788&lt;ASOF),"⚠ เลยกำหนด",IF(AND(ISNUMBER(I788),I788&lt;=ASOF+14,J788&gt;=ASOF-7),"ช่วงนี้","")))</f>
        <v/>
      </c>
      <c r="L788" s="59"/>
      <c r="M788" s="60"/>
    </row>
    <row r="789" customFormat="false" ht="15" hidden="false" customHeight="false" outlineLevel="0" collapsed="false">
      <c r="A789" s="54" t="s">
        <v>78</v>
      </c>
      <c r="B789" s="55" t="s">
        <v>482</v>
      </c>
      <c r="C789" s="56" t="s">
        <v>483</v>
      </c>
      <c r="D789" s="57" t="s">
        <v>80</v>
      </c>
      <c r="E789" s="57" t="s">
        <v>335</v>
      </c>
      <c r="F789" s="55" t="s">
        <v>336</v>
      </c>
      <c r="G789" s="61" t="s">
        <v>337</v>
      </c>
      <c r="H789" s="56" t="str">
        <f aca="false">IF(COUNTIFS(SITE_ST,"P9-010",SITE_TYPE,"?*")&gt;0,"ตามจุดติดตั้ง →","0/100")</f>
        <v>ตามจุดติดตั้ง →</v>
      </c>
      <c r="I789" s="58" t="n">
        <f aca="false">'P9-010'!$N$74</f>
        <v>46345</v>
      </c>
      <c r="J789" s="58" t="n">
        <f aca="false">'P9-010'!$O$74</f>
        <v>46346</v>
      </c>
      <c r="K789" s="56" t="str">
        <f aca="false">IF(OR(L789="Y",LEFT('P9-010'!$T$74,1)="D"),"",IF(AND(ISNUMBER(J789),J789&lt;ASOF),"⚠ เลยกำหนด",IF(AND(ISNUMBER(I789),I789&lt;=ASOF+14,J789&gt;=ASOF-7),"ช่วงนี้","")))</f>
        <v/>
      </c>
      <c r="L789" s="59"/>
      <c r="M789" s="60"/>
    </row>
    <row r="790" customFormat="false" ht="15" hidden="false" customHeight="false" outlineLevel="0" collapsed="false">
      <c r="A790" s="54" t="s">
        <v>78</v>
      </c>
      <c r="B790" s="55" t="s">
        <v>482</v>
      </c>
      <c r="C790" s="56" t="s">
        <v>483</v>
      </c>
      <c r="D790" s="57" t="s">
        <v>80</v>
      </c>
      <c r="E790" s="57" t="s">
        <v>338</v>
      </c>
      <c r="F790" s="61" t="s">
        <v>339</v>
      </c>
      <c r="G790" s="55" t="s">
        <v>340</v>
      </c>
      <c r="H790" s="56" t="str">
        <f aca="false">IF(COUNTIFS(SITE_ST,"P9-010",SITE_TYPE,"?*")&gt;0,"ตามจุดติดตั้ง →","0/100")</f>
        <v>ตามจุดติดตั้ง →</v>
      </c>
      <c r="I790" s="58" t="n">
        <f aca="false">'P9-010'!$N$75</f>
        <v>46345</v>
      </c>
      <c r="J790" s="58" t="n">
        <f aca="false">'P9-010'!$O$75</f>
        <v>46346</v>
      </c>
      <c r="K790" s="56" t="str">
        <f aca="false">IF(OR(L790="Y",LEFT('P9-010'!$T$75,1)="D"),"",IF(AND(ISNUMBER(J790),J790&lt;ASOF),"⚠ เลยกำหนด",IF(AND(ISNUMBER(I790),I790&lt;=ASOF+14,J790&gt;=ASOF-7),"ช่วงนี้","")))</f>
        <v/>
      </c>
      <c r="L790" s="59"/>
      <c r="M790" s="60"/>
    </row>
    <row r="791" customFormat="false" ht="15" hidden="false" customHeight="false" outlineLevel="0" collapsed="false">
      <c r="A791" s="54" t="s">
        <v>78</v>
      </c>
      <c r="B791" s="55" t="s">
        <v>482</v>
      </c>
      <c r="C791" s="56" t="s">
        <v>483</v>
      </c>
      <c r="D791" s="57" t="s">
        <v>80</v>
      </c>
      <c r="E791" s="57" t="s">
        <v>341</v>
      </c>
      <c r="F791" s="55" t="s">
        <v>342</v>
      </c>
      <c r="G791" s="55" t="s">
        <v>343</v>
      </c>
      <c r="H791" s="56" t="str">
        <f aca="false">IF(COUNTIFS(SITE_ST,"P9-010",SITE_TYPE,"?*")&gt;0,"ตามจุดติดตั้ง →","0/100")</f>
        <v>ตามจุดติดตั้ง →</v>
      </c>
      <c r="I791" s="58" t="n">
        <f aca="false">'P9-010'!$N$77</f>
        <v>46337</v>
      </c>
      <c r="J791" s="58" t="n">
        <f aca="false">'P9-010'!$O$77</f>
        <v>46340</v>
      </c>
      <c r="K791" s="56" t="str">
        <f aca="false">IF(OR(L791="Y",LEFT('P9-010'!$T$77,1)="D"),"",IF(AND(ISNUMBER(J791),J791&lt;ASOF),"⚠ เลยกำหนด",IF(AND(ISNUMBER(I791),I791&lt;=ASOF+14,J791&gt;=ASOF-7),"ช่วงนี้","")))</f>
        <v>ช่วงนี้</v>
      </c>
      <c r="L791" s="59"/>
      <c r="M791" s="60"/>
    </row>
    <row r="792" customFormat="false" ht="15" hidden="false" customHeight="false" outlineLevel="0" collapsed="false">
      <c r="A792" s="54" t="s">
        <v>78</v>
      </c>
      <c r="B792" s="55" t="s">
        <v>482</v>
      </c>
      <c r="C792" s="56" t="s">
        <v>483</v>
      </c>
      <c r="D792" s="57" t="s">
        <v>80</v>
      </c>
      <c r="E792" s="57" t="s">
        <v>344</v>
      </c>
      <c r="F792" s="55" t="s">
        <v>345</v>
      </c>
      <c r="G792" s="55" t="s">
        <v>346</v>
      </c>
      <c r="H792" s="56" t="str">
        <f aca="false">IF(COUNTIFS(SITE_ST,"P9-010",SITE_TYPE,"?*")&gt;0,"ตามจุดติดตั้ง →","50/50")</f>
        <v>ตามจุดติดตั้ง →</v>
      </c>
      <c r="I792" s="58" t="n">
        <f aca="false">'P9-010'!$N$78</f>
        <v>46338</v>
      </c>
      <c r="J792" s="58" t="n">
        <f aca="false">'P9-010'!$O$78</f>
        <v>46346</v>
      </c>
      <c r="K792" s="56" t="str">
        <f aca="false">IF(OR(L792="Y",LEFT('P9-010'!$T$78,1)="D"),"",IF(AND(ISNUMBER(J792),J792&lt;ASOF),"⚠ เลยกำหนด",IF(AND(ISNUMBER(I792),I792&lt;=ASOF+14,J792&gt;=ASOF-7),"ช่วงนี้","")))</f>
        <v>ช่วงนี้</v>
      </c>
      <c r="L792" s="59"/>
      <c r="M792" s="60"/>
    </row>
    <row r="793" customFormat="false" ht="15" hidden="false" customHeight="false" outlineLevel="0" collapsed="false">
      <c r="A793" s="54" t="s">
        <v>78</v>
      </c>
      <c r="B793" s="55" t="s">
        <v>482</v>
      </c>
      <c r="C793" s="56" t="s">
        <v>483</v>
      </c>
      <c r="D793" s="57" t="s">
        <v>80</v>
      </c>
      <c r="E793" s="57" t="s">
        <v>347</v>
      </c>
      <c r="F793" s="61" t="s">
        <v>348</v>
      </c>
      <c r="G793" s="55" t="s">
        <v>349</v>
      </c>
      <c r="H793" s="56" t="str">
        <f aca="false">IF(COUNTIFS(SITE_ST,"P9-010",SITE_TYPE,"?*")&gt;0,"ตามจุดติดตั้ง →","50/50")</f>
        <v>ตามจุดติดตั้ง →</v>
      </c>
      <c r="I793" s="58" t="n">
        <f aca="false">'P9-010'!$N$79</f>
        <v>46341</v>
      </c>
      <c r="J793" s="58" t="n">
        <f aca="false">'P9-010'!$O$79</f>
        <v>46347</v>
      </c>
      <c r="K793" s="56" t="str">
        <f aca="false">IF(OR(L793="Y",LEFT('P9-010'!$T$79,1)="D"),"",IF(AND(ISNUMBER(J793),J793&lt;ASOF),"⚠ เลยกำหนด",IF(AND(ISNUMBER(I793),I793&lt;=ASOF+14,J793&gt;=ASOF-7),"ช่วงนี้","")))</f>
        <v>ช่วงนี้</v>
      </c>
      <c r="L793" s="59"/>
      <c r="M793" s="60"/>
    </row>
    <row r="794" customFormat="false" ht="15" hidden="false" customHeight="false" outlineLevel="0" collapsed="false">
      <c r="A794" s="54" t="s">
        <v>78</v>
      </c>
      <c r="B794" s="55" t="s">
        <v>482</v>
      </c>
      <c r="C794" s="56" t="s">
        <v>483</v>
      </c>
      <c r="D794" s="57" t="s">
        <v>80</v>
      </c>
      <c r="E794" s="57" t="s">
        <v>350</v>
      </c>
      <c r="F794" s="61" t="s">
        <v>351</v>
      </c>
      <c r="G794" s="55" t="s">
        <v>352</v>
      </c>
      <c r="H794" s="56" t="str">
        <f aca="false">IF(COUNTIFS(SITE_ST,"P9-010",SITE_TYPE,"?*")&gt;0,"ตามจุดติดตั้ง →","0/100")</f>
        <v>ตามจุดติดตั้ง →</v>
      </c>
      <c r="I794" s="58" t="n">
        <f aca="false">'P9-010'!$N$80</f>
        <v>46345</v>
      </c>
      <c r="J794" s="58" t="n">
        <f aca="false">'P9-010'!$O$80</f>
        <v>46347</v>
      </c>
      <c r="K794" s="56" t="str">
        <f aca="false">IF(OR(L794="Y",LEFT('P9-010'!$T$80,1)="D"),"",IF(AND(ISNUMBER(J794),J794&lt;ASOF),"⚠ เลยกำหนด",IF(AND(ISNUMBER(I794),I794&lt;=ASOF+14,J794&gt;=ASOF-7),"ช่วงนี้","")))</f>
        <v/>
      </c>
      <c r="L794" s="59"/>
      <c r="M794" s="60"/>
    </row>
    <row r="795" customFormat="false" ht="15" hidden="false" customHeight="false" outlineLevel="0" collapsed="false">
      <c r="A795" s="54" t="s">
        <v>78</v>
      </c>
      <c r="B795" s="55" t="s">
        <v>482</v>
      </c>
      <c r="C795" s="56" t="s">
        <v>483</v>
      </c>
      <c r="D795" s="57" t="s">
        <v>80</v>
      </c>
      <c r="E795" s="57" t="s">
        <v>353</v>
      </c>
      <c r="F795" s="61" t="s">
        <v>354</v>
      </c>
      <c r="G795" s="55" t="s">
        <v>355</v>
      </c>
      <c r="H795" s="56" t="str">
        <f aca="false">IF(COUNTIFS(SITE_ST,"P9-010",SITE_TYPE,"?*")&gt;0,"ตามจุดติดตั้ง →","0/100")</f>
        <v>ตามจุดติดตั้ง →</v>
      </c>
      <c r="I795" s="58" t="n">
        <f aca="false">'P9-010'!$N$81</f>
        <v>46347</v>
      </c>
      <c r="J795" s="58" t="n">
        <f aca="false">'P9-010'!$O$81</f>
        <v>46347</v>
      </c>
      <c r="K795" s="56" t="str">
        <f aca="false">IF(OR(L795="Y",LEFT('P9-010'!$T$81,1)="D"),"",IF(AND(ISNUMBER(J795),J795&lt;ASOF),"⚠ เลยกำหนด",IF(AND(ISNUMBER(I795),I795&lt;=ASOF+14,J795&gt;=ASOF-7),"ช่วงนี้","")))</f>
        <v/>
      </c>
      <c r="L795" s="59"/>
      <c r="M795" s="60"/>
    </row>
    <row r="796" customFormat="false" ht="15" hidden="false" customHeight="false" outlineLevel="0" collapsed="false">
      <c r="A796" s="54" t="s">
        <v>78</v>
      </c>
      <c r="B796" s="55" t="s">
        <v>482</v>
      </c>
      <c r="C796" s="56" t="s">
        <v>483</v>
      </c>
      <c r="D796" s="57" t="s">
        <v>80</v>
      </c>
      <c r="E796" s="57" t="s">
        <v>356</v>
      </c>
      <c r="F796" s="55" t="s">
        <v>357</v>
      </c>
      <c r="G796" s="55" t="s">
        <v>358</v>
      </c>
      <c r="H796" s="57" t="s">
        <v>211</v>
      </c>
      <c r="I796" s="58" t="n">
        <f aca="false">'P9-010'!$N$83</f>
        <v>46345</v>
      </c>
      <c r="J796" s="58" t="n">
        <f aca="false">'P9-010'!$O$83</f>
        <v>46346</v>
      </c>
      <c r="K796" s="56" t="str">
        <f aca="false">IF(OR(L796="Y",LEFT('P9-010'!$T$83,1)="D"),"",IF(AND(ISNUMBER(J796),J796&lt;ASOF),"⚠ เลยกำหนด",IF(AND(ISNUMBER(I796),I796&lt;=ASOF+14,J796&gt;=ASOF-7),"ช่วงนี้","")))</f>
        <v/>
      </c>
      <c r="L796" s="59"/>
      <c r="M796" s="60"/>
    </row>
    <row r="797" customFormat="false" ht="15" hidden="false" customHeight="false" outlineLevel="0" collapsed="false">
      <c r="A797" s="54" t="s">
        <v>78</v>
      </c>
      <c r="B797" s="55" t="s">
        <v>482</v>
      </c>
      <c r="C797" s="56" t="s">
        <v>483</v>
      </c>
      <c r="D797" s="57" t="s">
        <v>80</v>
      </c>
      <c r="E797" s="57" t="s">
        <v>359</v>
      </c>
      <c r="F797" s="55" t="s">
        <v>360</v>
      </c>
      <c r="G797" s="55" t="s">
        <v>361</v>
      </c>
      <c r="H797" s="57" t="s">
        <v>211</v>
      </c>
      <c r="I797" s="58" t="n">
        <f aca="false">'P9-010'!$N$84</f>
        <v>46346</v>
      </c>
      <c r="J797" s="58" t="n">
        <f aca="false">'P9-010'!$O$84</f>
        <v>46347</v>
      </c>
      <c r="K797" s="56" t="str">
        <f aca="false">IF(OR(L797="Y",LEFT('P9-010'!$T$84,1)="D"),"",IF(AND(ISNUMBER(J797),J797&lt;ASOF),"⚠ เลยกำหนด",IF(AND(ISNUMBER(I797),I797&lt;=ASOF+14,J797&gt;=ASOF-7),"ช่วงนี้","")))</f>
        <v/>
      </c>
      <c r="L797" s="59"/>
      <c r="M797" s="60"/>
    </row>
    <row r="798" customFormat="false" ht="15" hidden="false" customHeight="false" outlineLevel="0" collapsed="false">
      <c r="A798" s="54" t="s">
        <v>78</v>
      </c>
      <c r="B798" s="55" t="s">
        <v>482</v>
      </c>
      <c r="C798" s="56" t="s">
        <v>483</v>
      </c>
      <c r="D798" s="57" t="s">
        <v>80</v>
      </c>
      <c r="E798" s="57" t="s">
        <v>362</v>
      </c>
      <c r="F798" s="61" t="s">
        <v>363</v>
      </c>
      <c r="G798" s="61" t="s">
        <v>364</v>
      </c>
      <c r="H798" s="56" t="s">
        <v>365</v>
      </c>
      <c r="I798" s="58" t="n">
        <f aca="false">'P9-010'!$N$86</f>
        <v>46343</v>
      </c>
      <c r="J798" s="58" t="n">
        <f aca="false">'P9-010'!$O$86</f>
        <v>46345</v>
      </c>
      <c r="K798" s="56" t="str">
        <f aca="false">IF(OR(L798="Y",LEFT('P9-010'!$T$86,1)="D"),"",IF(AND(ISNUMBER(J798),J798&lt;ASOF),"⚠ เลยกำหนด",IF(AND(ISNUMBER(I798),I798&lt;=ASOF+14,J798&gt;=ASOF-7),"ช่วงนี้","")))</f>
        <v/>
      </c>
      <c r="L798" s="59"/>
      <c r="M798" s="60"/>
    </row>
    <row r="799" customFormat="false" ht="15" hidden="false" customHeight="false" outlineLevel="0" collapsed="false">
      <c r="A799" s="54" t="s">
        <v>78</v>
      </c>
      <c r="B799" s="55" t="s">
        <v>482</v>
      </c>
      <c r="C799" s="56" t="s">
        <v>483</v>
      </c>
      <c r="D799" s="57" t="s">
        <v>80</v>
      </c>
      <c r="E799" s="57" t="s">
        <v>366</v>
      </c>
      <c r="F799" s="61" t="s">
        <v>367</v>
      </c>
      <c r="G799" s="61" t="s">
        <v>368</v>
      </c>
      <c r="H799" s="57" t="s">
        <v>369</v>
      </c>
      <c r="I799" s="58" t="n">
        <f aca="false">'P9-010'!$N$87</f>
        <v>46344</v>
      </c>
      <c r="J799" s="58" t="n">
        <f aca="false">'P9-010'!$O$87</f>
        <v>46346</v>
      </c>
      <c r="K799" s="56" t="str">
        <f aca="false">IF(OR(L799="Y",LEFT('P9-010'!$T$87,1)="D"),"",IF(AND(ISNUMBER(J799),J799&lt;ASOF),"⚠ เลยกำหนด",IF(AND(ISNUMBER(I799),I799&lt;=ASOF+14,J799&gt;=ASOF-7),"ช่วงนี้","")))</f>
        <v/>
      </c>
      <c r="L799" s="59"/>
      <c r="M799" s="60"/>
    </row>
    <row r="800" customFormat="false" ht="15" hidden="false" customHeight="false" outlineLevel="0" collapsed="false">
      <c r="A800" s="54" t="s">
        <v>78</v>
      </c>
      <c r="B800" s="55" t="s">
        <v>482</v>
      </c>
      <c r="C800" s="56" t="s">
        <v>483</v>
      </c>
      <c r="D800" s="57" t="s">
        <v>80</v>
      </c>
      <c r="E800" s="57" t="s">
        <v>370</v>
      </c>
      <c r="F800" s="55" t="s">
        <v>371</v>
      </c>
      <c r="G800" s="55" t="s">
        <v>372</v>
      </c>
      <c r="H800" s="57" t="s">
        <v>211</v>
      </c>
      <c r="I800" s="58" t="n">
        <f aca="false">'P9-010'!$N$88</f>
        <v>46345</v>
      </c>
      <c r="J800" s="58" t="n">
        <f aca="false">'P9-010'!$O$88</f>
        <v>46346</v>
      </c>
      <c r="K800" s="56" t="str">
        <f aca="false">IF(OR(L800="Y",LEFT('P9-010'!$T$88,1)="D"),"",IF(AND(ISNUMBER(J800),J800&lt;ASOF),"⚠ เลยกำหนด",IF(AND(ISNUMBER(I800),I800&lt;=ASOF+14,J800&gt;=ASOF-7),"ช่วงนี้","")))</f>
        <v/>
      </c>
      <c r="L800" s="59"/>
      <c r="M800" s="60"/>
    </row>
    <row r="801" customFormat="false" ht="15" hidden="false" customHeight="false" outlineLevel="0" collapsed="false">
      <c r="A801" s="54" t="s">
        <v>78</v>
      </c>
      <c r="B801" s="55" t="s">
        <v>482</v>
      </c>
      <c r="C801" s="56" t="s">
        <v>483</v>
      </c>
      <c r="D801" s="57" t="s">
        <v>80</v>
      </c>
      <c r="E801" s="57" t="s">
        <v>373</v>
      </c>
      <c r="F801" s="61" t="s">
        <v>374</v>
      </c>
      <c r="G801" s="55" t="s">
        <v>375</v>
      </c>
      <c r="H801" s="57" t="s">
        <v>211</v>
      </c>
      <c r="I801" s="58" t="n">
        <f aca="false">'P9-010'!$N$89</f>
        <v>46346</v>
      </c>
      <c r="J801" s="58" t="n">
        <f aca="false">'P9-010'!$O$89</f>
        <v>46346</v>
      </c>
      <c r="K801" s="56" t="str">
        <f aca="false">IF(OR(L801="Y",LEFT('P9-010'!$T$89,1)="D"),"",IF(AND(ISNUMBER(J801),J801&lt;ASOF),"⚠ เลยกำหนด",IF(AND(ISNUMBER(I801),I801&lt;=ASOF+14,J801&gt;=ASOF-7),"ช่วงนี้","")))</f>
        <v/>
      </c>
      <c r="L801" s="59"/>
      <c r="M801" s="60"/>
    </row>
    <row r="802" customFormat="false" ht="15" hidden="false" customHeight="false" outlineLevel="0" collapsed="false">
      <c r="A802" s="54" t="s">
        <v>78</v>
      </c>
      <c r="B802" s="55" t="s">
        <v>482</v>
      </c>
      <c r="C802" s="56" t="s">
        <v>483</v>
      </c>
      <c r="D802" s="57" t="s">
        <v>80</v>
      </c>
      <c r="E802" s="57" t="s">
        <v>376</v>
      </c>
      <c r="F802" s="55" t="s">
        <v>377</v>
      </c>
      <c r="G802" s="55" t="s">
        <v>378</v>
      </c>
      <c r="H802" s="57" t="s">
        <v>369</v>
      </c>
      <c r="I802" s="58" t="n">
        <f aca="false">'P9-010'!$N$91</f>
        <v>46344</v>
      </c>
      <c r="J802" s="58" t="n">
        <f aca="false">'P9-010'!$O$91</f>
        <v>46346</v>
      </c>
      <c r="K802" s="56" t="str">
        <f aca="false">IF(OR(L802="Y",LEFT('P9-010'!$T$91,1)="D"),"",IF(AND(ISNUMBER(J802),J802&lt;ASOF),"⚠ เลยกำหนด",IF(AND(ISNUMBER(I802),I802&lt;=ASOF+14,J802&gt;=ASOF-7),"ช่วงนี้","")))</f>
        <v/>
      </c>
      <c r="L802" s="59"/>
      <c r="M802" s="60"/>
    </row>
    <row r="803" customFormat="false" ht="15" hidden="false" customHeight="false" outlineLevel="0" collapsed="false">
      <c r="A803" s="54" t="s">
        <v>78</v>
      </c>
      <c r="B803" s="55" t="s">
        <v>482</v>
      </c>
      <c r="C803" s="56" t="s">
        <v>483</v>
      </c>
      <c r="D803" s="57" t="s">
        <v>80</v>
      </c>
      <c r="E803" s="57" t="s">
        <v>379</v>
      </c>
      <c r="F803" s="61" t="s">
        <v>380</v>
      </c>
      <c r="G803" s="61" t="s">
        <v>381</v>
      </c>
      <c r="H803" s="57" t="s">
        <v>211</v>
      </c>
      <c r="I803" s="58" t="n">
        <f aca="false">'P9-010'!$N$92</f>
        <v>46346</v>
      </c>
      <c r="J803" s="58" t="n">
        <f aca="false">'P9-010'!$O$92</f>
        <v>46347</v>
      </c>
      <c r="K803" s="56" t="str">
        <f aca="false">IF(OR(L803="Y",LEFT('P9-010'!$T$92,1)="D"),"",IF(AND(ISNUMBER(J803),J803&lt;ASOF),"⚠ เลยกำหนด",IF(AND(ISNUMBER(I803),I803&lt;=ASOF+14,J803&gt;=ASOF-7),"ช่วงนี้","")))</f>
        <v/>
      </c>
      <c r="L803" s="59"/>
      <c r="M803" s="60"/>
    </row>
    <row r="804" customFormat="false" ht="15" hidden="false" customHeight="false" outlineLevel="0" collapsed="false">
      <c r="A804" s="54" t="s">
        <v>78</v>
      </c>
      <c r="B804" s="55" t="s">
        <v>482</v>
      </c>
      <c r="C804" s="56" t="s">
        <v>483</v>
      </c>
      <c r="D804" s="57" t="s">
        <v>80</v>
      </c>
      <c r="E804" s="57" t="s">
        <v>382</v>
      </c>
      <c r="F804" s="55" t="s">
        <v>383</v>
      </c>
      <c r="G804" s="55" t="s">
        <v>384</v>
      </c>
      <c r="H804" s="57" t="s">
        <v>369</v>
      </c>
      <c r="I804" s="58" t="n">
        <f aca="false">'P9-010'!$N$93</f>
        <v>46344</v>
      </c>
      <c r="J804" s="58" t="n">
        <f aca="false">'P9-010'!$O$93</f>
        <v>46346</v>
      </c>
      <c r="K804" s="56" t="str">
        <f aca="false">IF(OR(L804="Y",LEFT('P9-010'!$T$93,1)="D"),"",IF(AND(ISNUMBER(J804),J804&lt;ASOF),"⚠ เลยกำหนด",IF(AND(ISNUMBER(I804),I804&lt;=ASOF+14,J804&gt;=ASOF-7),"ช่วงนี้","")))</f>
        <v/>
      </c>
      <c r="L804" s="59"/>
      <c r="M804" s="60"/>
    </row>
    <row r="805" customFormat="false" ht="15" hidden="false" customHeight="false" outlineLevel="0" collapsed="false">
      <c r="A805" s="54" t="s">
        <v>78</v>
      </c>
      <c r="B805" s="55" t="s">
        <v>482</v>
      </c>
      <c r="C805" s="56" t="s">
        <v>483</v>
      </c>
      <c r="D805" s="57" t="s">
        <v>80</v>
      </c>
      <c r="E805" s="57" t="s">
        <v>385</v>
      </c>
      <c r="F805" s="55" t="s">
        <v>386</v>
      </c>
      <c r="G805" s="55" t="s">
        <v>387</v>
      </c>
      <c r="H805" s="57" t="s">
        <v>211</v>
      </c>
      <c r="I805" s="58" t="n">
        <f aca="false">'P9-010'!$N$94</f>
        <v>46346</v>
      </c>
      <c r="J805" s="58" t="n">
        <f aca="false">'P9-010'!$O$94</f>
        <v>46347</v>
      </c>
      <c r="K805" s="56" t="str">
        <f aca="false">IF(OR(L805="Y",LEFT('P9-010'!$T$94,1)="D"),"",IF(AND(ISNUMBER(J805),J805&lt;ASOF),"⚠ เลยกำหนด",IF(AND(ISNUMBER(I805),I805&lt;=ASOF+14,J805&gt;=ASOF-7),"ช่วงนี้","")))</f>
        <v/>
      </c>
      <c r="L805" s="59"/>
      <c r="M805" s="60"/>
    </row>
    <row r="806" customFormat="false" ht="15" hidden="false" customHeight="false" outlineLevel="0" collapsed="false">
      <c r="A806" s="54" t="s">
        <v>78</v>
      </c>
      <c r="B806" s="55" t="s">
        <v>482</v>
      </c>
      <c r="C806" s="56" t="s">
        <v>483</v>
      </c>
      <c r="D806" s="57" t="s">
        <v>80</v>
      </c>
      <c r="E806" s="57" t="s">
        <v>388</v>
      </c>
      <c r="F806" s="61" t="s">
        <v>389</v>
      </c>
      <c r="G806" s="55" t="s">
        <v>390</v>
      </c>
      <c r="H806" s="57" t="s">
        <v>211</v>
      </c>
      <c r="I806" s="58" t="n">
        <f aca="false">'P9-010'!$N$95</f>
        <v>46347</v>
      </c>
      <c r="J806" s="58" t="n">
        <f aca="false">'P9-010'!$O$95</f>
        <v>46347</v>
      </c>
      <c r="K806" s="56" t="str">
        <f aca="false">IF(OR(L806="Y",LEFT('P9-010'!$T$95,1)="D"),"",IF(AND(ISNUMBER(J806),J806&lt;ASOF),"⚠ เลยกำหนด",IF(AND(ISNUMBER(I806),I806&lt;=ASOF+14,J806&gt;=ASOF-7),"ช่วงนี้","")))</f>
        <v/>
      </c>
      <c r="L806" s="59"/>
      <c r="M806" s="60"/>
    </row>
    <row r="807" customFormat="false" ht="15" hidden="false" customHeight="false" outlineLevel="0" collapsed="false">
      <c r="A807" s="54" t="s">
        <v>78</v>
      </c>
      <c r="B807" s="55" t="s">
        <v>482</v>
      </c>
      <c r="C807" s="56" t="s">
        <v>483</v>
      </c>
      <c r="D807" s="57" t="s">
        <v>80</v>
      </c>
      <c r="E807" s="57" t="s">
        <v>391</v>
      </c>
      <c r="F807" s="55" t="s">
        <v>392</v>
      </c>
      <c r="G807" s="55" t="s">
        <v>393</v>
      </c>
      <c r="H807" s="57" t="s">
        <v>369</v>
      </c>
      <c r="I807" s="58" t="n">
        <f aca="false">'P9-010'!$N$97</f>
        <v>46345</v>
      </c>
      <c r="J807" s="58" t="n">
        <f aca="false">'P9-010'!$O$97</f>
        <v>46347</v>
      </c>
      <c r="K807" s="56" t="str">
        <f aca="false">IF(OR(L807="Y",LEFT('P9-010'!$T$97,1)="D"),"",IF(AND(ISNUMBER(J807),J807&lt;ASOF),"⚠ เลยกำหนด",IF(AND(ISNUMBER(I807),I807&lt;=ASOF+14,J807&gt;=ASOF-7),"ช่วงนี้","")))</f>
        <v/>
      </c>
      <c r="L807" s="59"/>
      <c r="M807" s="60"/>
    </row>
    <row r="808" customFormat="false" ht="15" hidden="false" customHeight="false" outlineLevel="0" collapsed="false">
      <c r="A808" s="54" t="s">
        <v>78</v>
      </c>
      <c r="B808" s="55" t="s">
        <v>482</v>
      </c>
      <c r="C808" s="56" t="s">
        <v>483</v>
      </c>
      <c r="D808" s="57" t="s">
        <v>80</v>
      </c>
      <c r="E808" s="57" t="s">
        <v>394</v>
      </c>
      <c r="F808" s="55" t="s">
        <v>395</v>
      </c>
      <c r="G808" s="55" t="s">
        <v>396</v>
      </c>
      <c r="H808" s="57" t="s">
        <v>211</v>
      </c>
      <c r="I808" s="58" t="n">
        <f aca="false">'P9-010'!$N$98</f>
        <v>46346</v>
      </c>
      <c r="J808" s="58" t="n">
        <f aca="false">'P9-010'!$O$98</f>
        <v>46347</v>
      </c>
      <c r="K808" s="56" t="str">
        <f aca="false">IF(OR(L808="Y",LEFT('P9-010'!$T$98,1)="D"),"",IF(AND(ISNUMBER(J808),J808&lt;ASOF),"⚠ เลยกำหนด",IF(AND(ISNUMBER(I808),I808&lt;=ASOF+14,J808&gt;=ASOF-7),"ช่วงนี้","")))</f>
        <v/>
      </c>
      <c r="L808" s="59"/>
      <c r="M808" s="60"/>
    </row>
    <row r="809" customFormat="false" ht="15" hidden="false" customHeight="false" outlineLevel="0" collapsed="false">
      <c r="A809" s="54" t="s">
        <v>78</v>
      </c>
      <c r="B809" s="55" t="s">
        <v>482</v>
      </c>
      <c r="C809" s="56" t="s">
        <v>483</v>
      </c>
      <c r="D809" s="57" t="s">
        <v>80</v>
      </c>
      <c r="E809" s="57" t="s">
        <v>397</v>
      </c>
      <c r="F809" s="61" t="s">
        <v>398</v>
      </c>
      <c r="G809" s="55" t="s">
        <v>399</v>
      </c>
      <c r="H809" s="57" t="s">
        <v>211</v>
      </c>
      <c r="I809" s="58" t="n">
        <f aca="false">'P9-010'!$N$99</f>
        <v>46347</v>
      </c>
      <c r="J809" s="58" t="n">
        <f aca="false">'P9-010'!$O$99</f>
        <v>46347</v>
      </c>
      <c r="K809" s="56" t="str">
        <f aca="false">IF(OR(L809="Y",LEFT('P9-010'!$T$99,1)="D"),"",IF(AND(ISNUMBER(J809),J809&lt;ASOF),"⚠ เลยกำหนด",IF(AND(ISNUMBER(I809),I809&lt;=ASOF+14,J809&gt;=ASOF-7),"ช่วงนี้","")))</f>
        <v/>
      </c>
      <c r="L809" s="59"/>
      <c r="M809" s="60"/>
    </row>
    <row r="810" customFormat="false" ht="15" hidden="false" customHeight="false" outlineLevel="0" collapsed="false">
      <c r="A810" s="54" t="s">
        <v>78</v>
      </c>
      <c r="B810" s="55" t="s">
        <v>482</v>
      </c>
      <c r="C810" s="56" t="s">
        <v>483</v>
      </c>
      <c r="D810" s="57" t="s">
        <v>80</v>
      </c>
      <c r="E810" s="57" t="s">
        <v>400</v>
      </c>
      <c r="F810" s="55" t="s">
        <v>401</v>
      </c>
      <c r="G810" s="55" t="s">
        <v>402</v>
      </c>
      <c r="H810" s="57" t="s">
        <v>211</v>
      </c>
      <c r="I810" s="58" t="n">
        <f aca="false">'P9-010'!$N$102</f>
        <v>46346</v>
      </c>
      <c r="J810" s="58" t="n">
        <f aca="false">'P9-010'!$O$102</f>
        <v>46347</v>
      </c>
      <c r="K810" s="56" t="str">
        <f aca="false">IF(OR(L810="Y",LEFT('P9-010'!$T$102,1)="D"),"",IF(AND(ISNUMBER(J810),J810&lt;ASOF),"⚠ เลยกำหนด",IF(AND(ISNUMBER(I810),I810&lt;=ASOF+14,J810&gt;=ASOF-7),"ช่วงนี้","")))</f>
        <v/>
      </c>
      <c r="L810" s="59"/>
      <c r="M810" s="60"/>
    </row>
    <row r="811" customFormat="false" ht="15" hidden="false" customHeight="false" outlineLevel="0" collapsed="false">
      <c r="A811" s="54" t="s">
        <v>78</v>
      </c>
      <c r="B811" s="55" t="s">
        <v>482</v>
      </c>
      <c r="C811" s="56" t="s">
        <v>483</v>
      </c>
      <c r="D811" s="57" t="s">
        <v>80</v>
      </c>
      <c r="E811" s="57" t="s">
        <v>403</v>
      </c>
      <c r="F811" s="55" t="s">
        <v>404</v>
      </c>
      <c r="G811" s="55" t="s">
        <v>405</v>
      </c>
      <c r="H811" s="57" t="s">
        <v>211</v>
      </c>
      <c r="I811" s="58" t="n">
        <f aca="false">'P9-010'!$N$104</f>
        <v>46347</v>
      </c>
      <c r="J811" s="58" t="n">
        <f aca="false">'P9-010'!$O$104</f>
        <v>46348</v>
      </c>
      <c r="K811" s="56" t="str">
        <f aca="false">IF(OR(L811="Y",LEFT('P9-010'!$T$104,1)="D"),"",IF(AND(ISNUMBER(J811),J811&lt;ASOF),"⚠ เลยกำหนด",IF(AND(ISNUMBER(I811),I811&lt;=ASOF+14,J811&gt;=ASOF-7),"ช่วงนี้","")))</f>
        <v/>
      </c>
      <c r="L811" s="59"/>
      <c r="M811" s="60"/>
    </row>
    <row r="812" customFormat="false" ht="15" hidden="false" customHeight="false" outlineLevel="0" collapsed="false">
      <c r="A812" s="54" t="s">
        <v>78</v>
      </c>
      <c r="B812" s="55" t="s">
        <v>482</v>
      </c>
      <c r="C812" s="56" t="s">
        <v>483</v>
      </c>
      <c r="D812" s="57" t="s">
        <v>80</v>
      </c>
      <c r="E812" s="57" t="s">
        <v>406</v>
      </c>
      <c r="F812" s="55" t="s">
        <v>407</v>
      </c>
      <c r="G812" s="55" t="s">
        <v>408</v>
      </c>
      <c r="H812" s="57" t="s">
        <v>211</v>
      </c>
      <c r="I812" s="58" t="n">
        <f aca="false">'P9-010'!$N$105</f>
        <v>46347</v>
      </c>
      <c r="J812" s="58" t="n">
        <f aca="false">'P9-010'!$O$105</f>
        <v>46348</v>
      </c>
      <c r="K812" s="56" t="str">
        <f aca="false">IF(OR(L812="Y",LEFT('P9-010'!$T$105,1)="D"),"",IF(AND(ISNUMBER(J812),J812&lt;ASOF),"⚠ เลยกำหนด",IF(AND(ISNUMBER(I812),I812&lt;=ASOF+14,J812&gt;=ASOF-7),"ช่วงนี้","")))</f>
        <v/>
      </c>
      <c r="L812" s="59"/>
      <c r="M812" s="60"/>
    </row>
    <row r="813" customFormat="false" ht="15" hidden="false" customHeight="false" outlineLevel="0" collapsed="false">
      <c r="A813" s="54" t="s">
        <v>78</v>
      </c>
      <c r="B813" s="55" t="s">
        <v>482</v>
      </c>
      <c r="C813" s="56" t="s">
        <v>483</v>
      </c>
      <c r="D813" s="57" t="s">
        <v>80</v>
      </c>
      <c r="E813" s="57" t="s">
        <v>409</v>
      </c>
      <c r="F813" s="61" t="s">
        <v>410</v>
      </c>
      <c r="G813" s="55" t="s">
        <v>411</v>
      </c>
      <c r="H813" s="57" t="s">
        <v>211</v>
      </c>
      <c r="I813" s="58" t="n">
        <f aca="false">'P9-010'!$N$106</f>
        <v>46348</v>
      </c>
      <c r="J813" s="58" t="n">
        <f aca="false">'P9-010'!$O$106</f>
        <v>46348</v>
      </c>
      <c r="K813" s="56" t="str">
        <f aca="false">IF(OR(L813="Y",LEFT('P9-010'!$T$106,1)="D"),"",IF(AND(ISNUMBER(J813),J813&lt;ASOF),"⚠ เลยกำหนด",IF(AND(ISNUMBER(I813),I813&lt;=ASOF+14,J813&gt;=ASOF-7),"ช่วงนี้","")))</f>
        <v/>
      </c>
      <c r="L813" s="59"/>
      <c r="M813" s="60"/>
    </row>
    <row r="814" customFormat="false" ht="15" hidden="false" customHeight="false" outlineLevel="0" collapsed="false">
      <c r="A814" s="54" t="s">
        <v>78</v>
      </c>
      <c r="B814" s="55" t="s">
        <v>482</v>
      </c>
      <c r="C814" s="56" t="s">
        <v>483</v>
      </c>
      <c r="D814" s="57" t="s">
        <v>80</v>
      </c>
      <c r="E814" s="57" t="s">
        <v>412</v>
      </c>
      <c r="F814" s="61" t="s">
        <v>413</v>
      </c>
      <c r="G814" s="61" t="s">
        <v>414</v>
      </c>
      <c r="H814" s="57" t="s">
        <v>211</v>
      </c>
      <c r="I814" s="58" t="n">
        <f aca="false">'P9-010'!$N$108</f>
        <v>46347</v>
      </c>
      <c r="J814" s="58" t="n">
        <f aca="false">'P9-010'!$O$108</f>
        <v>46348</v>
      </c>
      <c r="K814" s="56" t="str">
        <f aca="false">IF(OR(L814="Y",LEFT('P9-010'!$T$108,1)="D"),"",IF(AND(ISNUMBER(J814),J814&lt;ASOF),"⚠ เลยกำหนด",IF(AND(ISNUMBER(I814),I814&lt;=ASOF+14,J814&gt;=ASOF-7),"ช่วงนี้","")))</f>
        <v/>
      </c>
      <c r="L814" s="59"/>
      <c r="M814" s="60"/>
    </row>
    <row r="815" customFormat="false" ht="15" hidden="false" customHeight="false" outlineLevel="0" collapsed="false">
      <c r="A815" s="54" t="s">
        <v>78</v>
      </c>
      <c r="B815" s="55" t="s">
        <v>482</v>
      </c>
      <c r="C815" s="56" t="s">
        <v>483</v>
      </c>
      <c r="D815" s="57" t="s">
        <v>80</v>
      </c>
      <c r="E815" s="57" t="s">
        <v>415</v>
      </c>
      <c r="F815" s="55" t="s">
        <v>416</v>
      </c>
      <c r="G815" s="55" t="s">
        <v>417</v>
      </c>
      <c r="H815" s="57" t="s">
        <v>211</v>
      </c>
      <c r="I815" s="58" t="n">
        <f aca="false">'P9-010'!$N$109</f>
        <v>46348</v>
      </c>
      <c r="J815" s="58" t="n">
        <f aca="false">'P9-010'!$O$109</f>
        <v>46348</v>
      </c>
      <c r="K815" s="56" t="str">
        <f aca="false">IF(OR(L815="Y",LEFT('P9-010'!$T$109,1)="D"),"",IF(AND(ISNUMBER(J815),J815&lt;ASOF),"⚠ เลยกำหนด",IF(AND(ISNUMBER(I815),I815&lt;=ASOF+14,J815&gt;=ASOF-7),"ช่วงนี้","")))</f>
        <v/>
      </c>
      <c r="L815" s="59"/>
      <c r="M815" s="60"/>
    </row>
    <row r="816" customFormat="false" ht="15" hidden="false" customHeight="false" outlineLevel="0" collapsed="false">
      <c r="A816" s="54" t="s">
        <v>78</v>
      </c>
      <c r="B816" s="55" t="s">
        <v>482</v>
      </c>
      <c r="C816" s="56" t="s">
        <v>483</v>
      </c>
      <c r="D816" s="57" t="s">
        <v>80</v>
      </c>
      <c r="E816" s="57" t="s">
        <v>418</v>
      </c>
      <c r="F816" s="61" t="s">
        <v>419</v>
      </c>
      <c r="G816" s="55" t="s">
        <v>420</v>
      </c>
      <c r="H816" s="57" t="s">
        <v>211</v>
      </c>
      <c r="I816" s="58" t="n">
        <f aca="false">'P9-010'!$N$110</f>
        <v>46347</v>
      </c>
      <c r="J816" s="58" t="n">
        <f aca="false">'P9-010'!$O$110</f>
        <v>46348</v>
      </c>
      <c r="K816" s="56" t="str">
        <f aca="false">IF(OR(L816="Y",LEFT('P9-010'!$T$110,1)="D"),"",IF(AND(ISNUMBER(J816),J816&lt;ASOF),"⚠ เลยกำหนด",IF(AND(ISNUMBER(I816),I816&lt;=ASOF+14,J816&gt;=ASOF-7),"ช่วงนี้","")))</f>
        <v/>
      </c>
      <c r="L816" s="59"/>
      <c r="M816" s="60"/>
    </row>
    <row r="817" customFormat="false" ht="15" hidden="false" customHeight="false" outlineLevel="0" collapsed="false">
      <c r="A817" s="54" t="s">
        <v>78</v>
      </c>
      <c r="B817" s="55" t="s">
        <v>482</v>
      </c>
      <c r="C817" s="56" t="s">
        <v>483</v>
      </c>
      <c r="D817" s="57" t="s">
        <v>80</v>
      </c>
      <c r="E817" s="57" t="s">
        <v>421</v>
      </c>
      <c r="F817" s="55" t="s">
        <v>422</v>
      </c>
      <c r="G817" s="55" t="s">
        <v>423</v>
      </c>
      <c r="H817" s="56" t="str">
        <f aca="false">IF(COUNTIFS(SITE_ST,"P9-010",SITE_TYPE,"?*")&gt;0,"ตามจุดติดตั้ง →","0/100")</f>
        <v>ตามจุดติดตั้ง →</v>
      </c>
      <c r="I817" s="58" t="n">
        <f aca="false">'P9-010'!$N$112</f>
        <v>46349</v>
      </c>
      <c r="J817" s="58" t="n">
        <f aca="false">'P9-010'!$O$112</f>
        <v>46349</v>
      </c>
      <c r="K817" s="56" t="str">
        <f aca="false">IF(OR(L817="Y",LEFT('P9-010'!$T$112,1)="D"),"",IF(AND(ISNUMBER(J817),J817&lt;ASOF),"⚠ เลยกำหนด",IF(AND(ISNUMBER(I817),I817&lt;=ASOF+14,J817&gt;=ASOF-7),"ช่วงนี้","")))</f>
        <v/>
      </c>
      <c r="L817" s="59"/>
      <c r="M817" s="60"/>
    </row>
    <row r="818" customFormat="false" ht="15" hidden="false" customHeight="false" outlineLevel="0" collapsed="false">
      <c r="A818" s="54" t="s">
        <v>78</v>
      </c>
      <c r="B818" s="55" t="s">
        <v>482</v>
      </c>
      <c r="C818" s="56" t="s">
        <v>483</v>
      </c>
      <c r="D818" s="57" t="s">
        <v>80</v>
      </c>
      <c r="E818" s="57" t="s">
        <v>424</v>
      </c>
      <c r="F818" s="55" t="s">
        <v>425</v>
      </c>
      <c r="G818" s="55" t="s">
        <v>426</v>
      </c>
      <c r="H818" s="56" t="str">
        <f aca="false">IF(COUNTIFS(SITE_ST,"P9-010",SITE_TYPE,"?*")&gt;0,"ตามจุดติดตั้ง →","0/100")</f>
        <v>ตามจุดติดตั้ง →</v>
      </c>
      <c r="I818" s="58" t="n">
        <f aca="false">'P9-010'!$N$113</f>
        <v>46349</v>
      </c>
      <c r="J818" s="58" t="n">
        <f aca="false">'P9-010'!$O$113</f>
        <v>46349</v>
      </c>
      <c r="K818" s="56" t="str">
        <f aca="false">IF(OR(L818="Y",LEFT('P9-010'!$T$113,1)="D"),"",IF(AND(ISNUMBER(J818),J818&lt;ASOF),"⚠ เลยกำหนด",IF(AND(ISNUMBER(I818),I818&lt;=ASOF+14,J818&gt;=ASOF-7),"ช่วงนี้","")))</f>
        <v/>
      </c>
      <c r="L818" s="59"/>
      <c r="M818" s="60"/>
    </row>
    <row r="819" customFormat="false" ht="15" hidden="false" customHeight="false" outlineLevel="0" collapsed="false">
      <c r="A819" s="54" t="s">
        <v>78</v>
      </c>
      <c r="B819" s="55" t="s">
        <v>482</v>
      </c>
      <c r="C819" s="56" t="s">
        <v>483</v>
      </c>
      <c r="D819" s="57" t="s">
        <v>80</v>
      </c>
      <c r="E819" s="57" t="s">
        <v>427</v>
      </c>
      <c r="F819" s="61" t="s">
        <v>428</v>
      </c>
      <c r="G819" s="61" t="s">
        <v>429</v>
      </c>
      <c r="H819" s="57" t="s">
        <v>211</v>
      </c>
      <c r="I819" s="58" t="n">
        <f aca="false">'P9-010'!$N$116</f>
        <v>46359</v>
      </c>
      <c r="J819" s="58" t="n">
        <f aca="false">'P9-010'!$O$116</f>
        <v>46359</v>
      </c>
      <c r="K819" s="56" t="str">
        <f aca="false">IF(OR(L819="Y",LEFT('P9-010'!$T$116,1)="D"),"",IF(AND(ISNUMBER(J819),J819&lt;ASOF),"⚠ เลยกำหนด",IF(AND(ISNUMBER(I819),I819&lt;=ASOF+14,J819&gt;=ASOF-7),"ช่วงนี้","")))</f>
        <v/>
      </c>
      <c r="L819" s="59"/>
      <c r="M819" s="60"/>
    </row>
    <row r="820" customFormat="false" ht="15" hidden="false" customHeight="false" outlineLevel="0" collapsed="false">
      <c r="A820" s="54" t="s">
        <v>78</v>
      </c>
      <c r="B820" s="55" t="s">
        <v>482</v>
      </c>
      <c r="C820" s="56" t="s">
        <v>483</v>
      </c>
      <c r="D820" s="57" t="s">
        <v>80</v>
      </c>
      <c r="E820" s="57" t="s">
        <v>430</v>
      </c>
      <c r="F820" s="55" t="s">
        <v>431</v>
      </c>
      <c r="G820" s="55" t="s">
        <v>432</v>
      </c>
      <c r="H820" s="57" t="s">
        <v>211</v>
      </c>
      <c r="I820" s="58" t="n">
        <f aca="false">'P9-010'!$N$117</f>
        <v>46359</v>
      </c>
      <c r="J820" s="58" t="n">
        <f aca="false">'P9-010'!$O$117</f>
        <v>46359</v>
      </c>
      <c r="K820" s="56" t="str">
        <f aca="false">IF(OR(L820="Y",LEFT('P9-010'!$T$117,1)="D"),"",IF(AND(ISNUMBER(J820),J820&lt;ASOF),"⚠ เลยกำหนด",IF(AND(ISNUMBER(I820),I820&lt;=ASOF+14,J820&gt;=ASOF-7),"ช่วงนี้","")))</f>
        <v/>
      </c>
      <c r="L820" s="59"/>
      <c r="M820" s="60"/>
    </row>
    <row r="821" customFormat="false" ht="15" hidden="false" customHeight="false" outlineLevel="0" collapsed="false">
      <c r="A821" s="54" t="s">
        <v>78</v>
      </c>
      <c r="B821" s="55" t="s">
        <v>482</v>
      </c>
      <c r="C821" s="56" t="s">
        <v>483</v>
      </c>
      <c r="D821" s="57" t="s">
        <v>80</v>
      </c>
      <c r="E821" s="57" t="s">
        <v>433</v>
      </c>
      <c r="F821" s="55" t="s">
        <v>434</v>
      </c>
      <c r="G821" s="55" t="s">
        <v>435</v>
      </c>
      <c r="H821" s="57" t="s">
        <v>211</v>
      </c>
      <c r="I821" s="58" t="n">
        <f aca="false">'P9-010'!$N$118</f>
        <v>46359</v>
      </c>
      <c r="J821" s="58" t="n">
        <f aca="false">'P9-010'!$O$118</f>
        <v>46359</v>
      </c>
      <c r="K821" s="56" t="str">
        <f aca="false">IF(OR(L821="Y",LEFT('P9-010'!$T$118,1)="D"),"",IF(AND(ISNUMBER(J821),J821&lt;ASOF),"⚠ เลยกำหนด",IF(AND(ISNUMBER(I821),I821&lt;=ASOF+14,J821&gt;=ASOF-7),"ช่วงนี้","")))</f>
        <v/>
      </c>
      <c r="L821" s="59"/>
      <c r="M821" s="60"/>
    </row>
    <row r="822" customFormat="false" ht="15" hidden="false" customHeight="false" outlineLevel="0" collapsed="false">
      <c r="A822" s="54" t="s">
        <v>78</v>
      </c>
      <c r="B822" s="55" t="s">
        <v>482</v>
      </c>
      <c r="C822" s="56" t="s">
        <v>483</v>
      </c>
      <c r="D822" s="57" t="s">
        <v>80</v>
      </c>
      <c r="E822" s="57" t="s">
        <v>436</v>
      </c>
      <c r="F822" s="55" t="s">
        <v>437</v>
      </c>
      <c r="G822" s="55" t="s">
        <v>438</v>
      </c>
      <c r="H822" s="57" t="s">
        <v>211</v>
      </c>
      <c r="I822" s="58" t="n">
        <f aca="false">'P9-010'!$N$119</f>
        <v>46359</v>
      </c>
      <c r="J822" s="58" t="n">
        <f aca="false">'P9-010'!$O$119</f>
        <v>46359</v>
      </c>
      <c r="K822" s="56" t="str">
        <f aca="false">IF(OR(L822="Y",LEFT('P9-010'!$T$119,1)="D"),"",IF(AND(ISNUMBER(J822),J822&lt;ASOF),"⚠ เลยกำหนด",IF(AND(ISNUMBER(I822),I822&lt;=ASOF+14,J822&gt;=ASOF-7),"ช่วงนี้","")))</f>
        <v/>
      </c>
      <c r="L822" s="59"/>
      <c r="M822" s="60"/>
    </row>
    <row r="823" customFormat="false" ht="15" hidden="false" customHeight="false" outlineLevel="0" collapsed="false">
      <c r="A823" s="54" t="s">
        <v>78</v>
      </c>
      <c r="B823" s="55" t="s">
        <v>482</v>
      </c>
      <c r="C823" s="56" t="s">
        <v>483</v>
      </c>
      <c r="D823" s="57" t="s">
        <v>80</v>
      </c>
      <c r="E823" s="57" t="s">
        <v>439</v>
      </c>
      <c r="F823" s="55" t="s">
        <v>440</v>
      </c>
      <c r="G823" s="55" t="s">
        <v>441</v>
      </c>
      <c r="H823" s="57" t="s">
        <v>211</v>
      </c>
      <c r="I823" s="58" t="n">
        <f aca="false">'P9-010'!$N$120</f>
        <v>46359</v>
      </c>
      <c r="J823" s="58" t="n">
        <f aca="false">'P9-010'!$O$120</f>
        <v>46359</v>
      </c>
      <c r="K823" s="56" t="str">
        <f aca="false">IF(OR(L823="Y",LEFT('P9-010'!$T$120,1)="D"),"",IF(AND(ISNUMBER(J823),J823&lt;ASOF),"⚠ เลยกำหนด",IF(AND(ISNUMBER(I823),I823&lt;=ASOF+14,J823&gt;=ASOF-7),"ช่วงนี้","")))</f>
        <v/>
      </c>
      <c r="L823" s="59"/>
      <c r="M823" s="60"/>
    </row>
    <row r="824" customFormat="false" ht="15" hidden="false" customHeight="false" outlineLevel="0" collapsed="false">
      <c r="A824" s="54" t="s">
        <v>78</v>
      </c>
      <c r="B824" s="55" t="s">
        <v>482</v>
      </c>
      <c r="C824" s="56" t="s">
        <v>483</v>
      </c>
      <c r="D824" s="57" t="s">
        <v>80</v>
      </c>
      <c r="E824" s="57" t="s">
        <v>442</v>
      </c>
      <c r="F824" s="55" t="s">
        <v>443</v>
      </c>
      <c r="G824" s="55" t="s">
        <v>444</v>
      </c>
      <c r="H824" s="57" t="s">
        <v>211</v>
      </c>
      <c r="I824" s="58" t="n">
        <f aca="false">'P9-010'!$N$121</f>
        <v>46359</v>
      </c>
      <c r="J824" s="58" t="n">
        <f aca="false">'P9-010'!$O$121</f>
        <v>46359</v>
      </c>
      <c r="K824" s="56" t="str">
        <f aca="false">IF(OR(L824="Y",LEFT('P9-010'!$T$121,1)="D"),"",IF(AND(ISNUMBER(J824),J824&lt;ASOF),"⚠ เลยกำหนด",IF(AND(ISNUMBER(I824),I824&lt;=ASOF+14,J824&gt;=ASOF-7),"ช่วงนี้","")))</f>
        <v/>
      </c>
      <c r="L824" s="59"/>
      <c r="M824" s="60"/>
    </row>
    <row r="825" customFormat="false" ht="15" hidden="false" customHeight="false" outlineLevel="0" collapsed="false">
      <c r="A825" s="54" t="s">
        <v>78</v>
      </c>
      <c r="B825" s="55" t="s">
        <v>482</v>
      </c>
      <c r="C825" s="56" t="s">
        <v>483</v>
      </c>
      <c r="D825" s="57" t="s">
        <v>80</v>
      </c>
      <c r="E825" s="57" t="s">
        <v>445</v>
      </c>
      <c r="F825" s="55" t="s">
        <v>446</v>
      </c>
      <c r="G825" s="55" t="s">
        <v>447</v>
      </c>
      <c r="H825" s="57" t="s">
        <v>211</v>
      </c>
      <c r="I825" s="58" t="n">
        <f aca="false">'P9-010'!$N$125</f>
        <v>46437</v>
      </c>
      <c r="J825" s="58" t="n">
        <f aca="false">'P9-010'!$O$125</f>
        <v>46441</v>
      </c>
      <c r="K825" s="56" t="str">
        <f aca="false">IF(OR(L825="Y",LEFT('P9-010'!$T$125,1)="D"),"",IF(AND(ISNUMBER(J825),J825&lt;ASOF),"⚠ เลยกำหนด",IF(AND(ISNUMBER(I825),I825&lt;=ASOF+14,J825&gt;=ASOF-7),"ช่วงนี้","")))</f>
        <v/>
      </c>
      <c r="L825" s="59"/>
      <c r="M825" s="60"/>
    </row>
    <row r="826" customFormat="false" ht="15" hidden="false" customHeight="false" outlineLevel="0" collapsed="false">
      <c r="A826" s="54" t="s">
        <v>78</v>
      </c>
      <c r="B826" s="55" t="s">
        <v>482</v>
      </c>
      <c r="C826" s="56" t="s">
        <v>483</v>
      </c>
      <c r="D826" s="57" t="s">
        <v>80</v>
      </c>
      <c r="E826" s="57" t="s">
        <v>448</v>
      </c>
      <c r="F826" s="55" t="s">
        <v>449</v>
      </c>
      <c r="G826" s="61" t="s">
        <v>450</v>
      </c>
      <c r="H826" s="57" t="s">
        <v>211</v>
      </c>
      <c r="I826" s="58" t="n">
        <f aca="false">'P9-010'!$N$126</f>
        <v>46440</v>
      </c>
      <c r="J826" s="58" t="n">
        <f aca="false">'P9-010'!$O$126</f>
        <v>46447</v>
      </c>
      <c r="K826" s="56" t="str">
        <f aca="false">IF(OR(L826="Y",LEFT('P9-010'!$T$126,1)="D"),"",IF(AND(ISNUMBER(J826),J826&lt;ASOF),"⚠ เลยกำหนด",IF(AND(ISNUMBER(I826),I826&lt;=ASOF+14,J826&gt;=ASOF-7),"ช่วงนี้","")))</f>
        <v/>
      </c>
      <c r="L826" s="59"/>
      <c r="M826" s="60"/>
    </row>
    <row r="827" customFormat="false" ht="15" hidden="false" customHeight="false" outlineLevel="0" collapsed="false">
      <c r="A827" s="54" t="s">
        <v>78</v>
      </c>
      <c r="B827" s="55" t="s">
        <v>482</v>
      </c>
      <c r="C827" s="56" t="s">
        <v>483</v>
      </c>
      <c r="D827" s="57" t="s">
        <v>80</v>
      </c>
      <c r="E827" s="57" t="s">
        <v>451</v>
      </c>
      <c r="F827" s="61" t="s">
        <v>452</v>
      </c>
      <c r="G827" s="61" t="s">
        <v>453</v>
      </c>
      <c r="H827" s="57" t="s">
        <v>211</v>
      </c>
      <c r="I827" s="58" t="n">
        <f aca="false">'P9-010'!$N$127</f>
        <v>46447</v>
      </c>
      <c r="J827" s="58" t="n">
        <f aca="false">'P9-010'!$O$127</f>
        <v>46450</v>
      </c>
      <c r="K827" s="56" t="str">
        <f aca="false">IF(OR(L827="Y",LEFT('P9-010'!$T$127,1)="D"),"",IF(AND(ISNUMBER(J827),J827&lt;ASOF),"⚠ เลยกำหนด",IF(AND(ISNUMBER(I827),I827&lt;=ASOF+14,J827&gt;=ASOF-7),"ช่วงนี้","")))</f>
        <v/>
      </c>
      <c r="L827" s="59"/>
      <c r="M827" s="60"/>
    </row>
    <row r="828" customFormat="false" ht="15" hidden="false" customHeight="false" outlineLevel="0" collapsed="false">
      <c r="A828" s="54" t="s">
        <v>82</v>
      </c>
      <c r="B828" s="55" t="s">
        <v>484</v>
      </c>
      <c r="C828" s="56" t="s">
        <v>485</v>
      </c>
      <c r="D828" s="57" t="s">
        <v>84</v>
      </c>
      <c r="E828" s="57" t="s">
        <v>208</v>
      </c>
      <c r="F828" s="55" t="s">
        <v>209</v>
      </c>
      <c r="G828" s="55" t="s">
        <v>210</v>
      </c>
      <c r="H828" s="57" t="s">
        <v>211</v>
      </c>
      <c r="I828" s="58" t="n">
        <f aca="false">'P9-011'!$N$10</f>
        <v>46328</v>
      </c>
      <c r="J828" s="58" t="n">
        <f aca="false">'P9-011'!$O$10</f>
        <v>46340</v>
      </c>
      <c r="K828" s="56" t="str">
        <f aca="false">IF(OR(L828="Y",LEFT('P9-011'!$T$10,1)="D"),"",IF(AND(ISNUMBER(J828),J828&lt;ASOF),"⚠ เลยกำหนด",IF(AND(ISNUMBER(I828),I828&lt;=ASOF+14,J828&gt;=ASOF-7),"ช่วงนี้","")))</f>
        <v>ช่วงนี้</v>
      </c>
      <c r="L828" s="59"/>
      <c r="M828" s="60"/>
    </row>
    <row r="829" customFormat="false" ht="15" hidden="false" customHeight="false" outlineLevel="0" collapsed="false">
      <c r="A829" s="54" t="s">
        <v>82</v>
      </c>
      <c r="B829" s="55" t="s">
        <v>484</v>
      </c>
      <c r="C829" s="56" t="s">
        <v>485</v>
      </c>
      <c r="D829" s="57" t="s">
        <v>84</v>
      </c>
      <c r="E829" s="57" t="s">
        <v>212</v>
      </c>
      <c r="F829" s="55" t="s">
        <v>213</v>
      </c>
      <c r="G829" s="55" t="s">
        <v>214</v>
      </c>
      <c r="H829" s="57" t="s">
        <v>211</v>
      </c>
      <c r="I829" s="58" t="n">
        <f aca="false">'P9-011'!$N$11</f>
        <v>46328</v>
      </c>
      <c r="J829" s="58" t="n">
        <f aca="false">'P9-011'!$O$11</f>
        <v>46340</v>
      </c>
      <c r="K829" s="56" t="str">
        <f aca="false">IF(OR(L829="Y",LEFT('P9-011'!$T$11,1)="D"),"",IF(AND(ISNUMBER(J829),J829&lt;ASOF),"⚠ เลยกำหนด",IF(AND(ISNUMBER(I829),I829&lt;=ASOF+14,J829&gt;=ASOF-7),"ช่วงนี้","")))</f>
        <v>ช่วงนี้</v>
      </c>
      <c r="L829" s="59"/>
      <c r="M829" s="60"/>
    </row>
    <row r="830" customFormat="false" ht="15" hidden="false" customHeight="false" outlineLevel="0" collapsed="false">
      <c r="A830" s="54" t="s">
        <v>82</v>
      </c>
      <c r="B830" s="55" t="s">
        <v>484</v>
      </c>
      <c r="C830" s="56" t="s">
        <v>485</v>
      </c>
      <c r="D830" s="57" t="s">
        <v>84</v>
      </c>
      <c r="E830" s="57" t="s">
        <v>215</v>
      </c>
      <c r="F830" s="55" t="s">
        <v>216</v>
      </c>
      <c r="G830" s="61" t="s">
        <v>217</v>
      </c>
      <c r="H830" s="57" t="s">
        <v>211</v>
      </c>
      <c r="I830" s="58" t="n">
        <f aca="false">'P9-011'!$N$12</f>
        <v>46328</v>
      </c>
      <c r="J830" s="58" t="n">
        <f aca="false">'P9-011'!$O$12</f>
        <v>46340</v>
      </c>
      <c r="K830" s="56" t="str">
        <f aca="false">IF(OR(L830="Y",LEFT('P9-011'!$T$12,1)="D"),"",IF(AND(ISNUMBER(J830),J830&lt;ASOF),"⚠ เลยกำหนด",IF(AND(ISNUMBER(I830),I830&lt;=ASOF+14,J830&gt;=ASOF-7),"ช่วงนี้","")))</f>
        <v>ช่วงนี้</v>
      </c>
      <c r="L830" s="59"/>
      <c r="M830" s="60"/>
    </row>
    <row r="831" customFormat="false" ht="15" hidden="false" customHeight="false" outlineLevel="0" collapsed="false">
      <c r="A831" s="54" t="s">
        <v>82</v>
      </c>
      <c r="B831" s="55" t="s">
        <v>484</v>
      </c>
      <c r="C831" s="56" t="s">
        <v>485</v>
      </c>
      <c r="D831" s="57" t="s">
        <v>84</v>
      </c>
      <c r="E831" s="57" t="s">
        <v>218</v>
      </c>
      <c r="F831" s="55" t="s">
        <v>219</v>
      </c>
      <c r="G831" s="55" t="s">
        <v>220</v>
      </c>
      <c r="H831" s="57" t="s">
        <v>211</v>
      </c>
      <c r="I831" s="58" t="n">
        <f aca="false">'P9-011'!$N$13</f>
        <v>46328</v>
      </c>
      <c r="J831" s="58" t="n">
        <f aca="false">'P9-011'!$O$13</f>
        <v>46346</v>
      </c>
      <c r="K831" s="56" t="str">
        <f aca="false">IF(OR(L831="Y",LEFT('P9-011'!$T$13,1)="D"),"",IF(AND(ISNUMBER(J831),J831&lt;ASOF),"⚠ เลยกำหนด",IF(AND(ISNUMBER(I831),I831&lt;=ASOF+14,J831&gt;=ASOF-7),"ช่วงนี้","")))</f>
        <v>ช่วงนี้</v>
      </c>
      <c r="L831" s="59"/>
      <c r="M831" s="60"/>
    </row>
    <row r="832" customFormat="false" ht="15" hidden="false" customHeight="false" outlineLevel="0" collapsed="false">
      <c r="A832" s="54" t="s">
        <v>82</v>
      </c>
      <c r="B832" s="55" t="s">
        <v>484</v>
      </c>
      <c r="C832" s="56" t="s">
        <v>485</v>
      </c>
      <c r="D832" s="57" t="s">
        <v>84</v>
      </c>
      <c r="E832" s="57" t="s">
        <v>221</v>
      </c>
      <c r="F832" s="55" t="s">
        <v>222</v>
      </c>
      <c r="G832" s="55" t="s">
        <v>223</v>
      </c>
      <c r="H832" s="57" t="s">
        <v>211</v>
      </c>
      <c r="I832" s="58" t="n">
        <f aca="false">'P9-011'!$N$14</f>
        <v>46340</v>
      </c>
      <c r="J832" s="58" t="n">
        <f aca="false">'P9-011'!$O$14</f>
        <v>46450</v>
      </c>
      <c r="K832" s="56" t="str">
        <f aca="false">IF(OR(L832="Y",LEFT('P9-011'!$T$14,1)="D"),"",IF(AND(ISNUMBER(J832),J832&lt;ASOF),"⚠ เลยกำหนด",IF(AND(ISNUMBER(I832),I832&lt;=ASOF+14,J832&gt;=ASOF-7),"ช่วงนี้","")))</f>
        <v>ช่วงนี้</v>
      </c>
      <c r="L832" s="59"/>
      <c r="M832" s="60"/>
    </row>
    <row r="833" customFormat="false" ht="15" hidden="false" customHeight="false" outlineLevel="0" collapsed="false">
      <c r="A833" s="54" t="s">
        <v>82</v>
      </c>
      <c r="B833" s="55" t="s">
        <v>484</v>
      </c>
      <c r="C833" s="56" t="s">
        <v>485</v>
      </c>
      <c r="D833" s="57" t="s">
        <v>84</v>
      </c>
      <c r="E833" s="57" t="s">
        <v>224</v>
      </c>
      <c r="F833" s="55" t="s">
        <v>225</v>
      </c>
      <c r="G833" s="61" t="s">
        <v>226</v>
      </c>
      <c r="H833" s="57" t="s">
        <v>211</v>
      </c>
      <c r="I833" s="58" t="n">
        <f aca="false">'P9-011'!$N$15</f>
        <v>46340</v>
      </c>
      <c r="J833" s="58" t="n">
        <f aca="false">'P9-011'!$O$15</f>
        <v>46450</v>
      </c>
      <c r="K833" s="56" t="str">
        <f aca="false">IF(OR(L833="Y",LEFT('P9-011'!$T$15,1)="D"),"",IF(AND(ISNUMBER(J833),J833&lt;ASOF),"⚠ เลยกำหนด",IF(AND(ISNUMBER(I833),I833&lt;=ASOF+14,J833&gt;=ASOF-7),"ช่วงนี้","")))</f>
        <v>ช่วงนี้</v>
      </c>
      <c r="L833" s="59"/>
      <c r="M833" s="60"/>
    </row>
    <row r="834" customFormat="false" ht="15" hidden="false" customHeight="false" outlineLevel="0" collapsed="false">
      <c r="A834" s="54" t="s">
        <v>82</v>
      </c>
      <c r="B834" s="55" t="s">
        <v>484</v>
      </c>
      <c r="C834" s="56" t="s">
        <v>485</v>
      </c>
      <c r="D834" s="57" t="s">
        <v>84</v>
      </c>
      <c r="E834" s="57" t="s">
        <v>227</v>
      </c>
      <c r="F834" s="55" t="s">
        <v>228</v>
      </c>
      <c r="G834" s="55" t="s">
        <v>229</v>
      </c>
      <c r="H834" s="57" t="s">
        <v>211</v>
      </c>
      <c r="I834" s="58" t="n">
        <f aca="false">'P9-011'!$N$17</f>
        <v>46328</v>
      </c>
      <c r="J834" s="58" t="n">
        <f aca="false">'P9-011'!$O$17</f>
        <v>46328</v>
      </c>
      <c r="K834" s="56" t="str">
        <f aca="false">IF(OR(L834="Y",LEFT('P9-011'!$T$17,1)="D"),"",IF(AND(ISNUMBER(J834),J834&lt;ASOF),"⚠ เลยกำหนด",IF(AND(ISNUMBER(I834),I834&lt;=ASOF+14,J834&gt;=ASOF-7),"ช่วงนี้","")))</f>
        <v>ช่วงนี้</v>
      </c>
      <c r="L834" s="59"/>
      <c r="M834" s="60"/>
    </row>
    <row r="835" customFormat="false" ht="15" hidden="false" customHeight="false" outlineLevel="0" collapsed="false">
      <c r="A835" s="54" t="s">
        <v>82</v>
      </c>
      <c r="B835" s="55" t="s">
        <v>484</v>
      </c>
      <c r="C835" s="56" t="s">
        <v>485</v>
      </c>
      <c r="D835" s="57" t="s">
        <v>84</v>
      </c>
      <c r="E835" s="57" t="s">
        <v>230</v>
      </c>
      <c r="F835" s="55" t="s">
        <v>231</v>
      </c>
      <c r="G835" s="55" t="s">
        <v>232</v>
      </c>
      <c r="H835" s="57" t="s">
        <v>211</v>
      </c>
      <c r="I835" s="58" t="n">
        <f aca="false">'P9-011'!$N$18</f>
        <v>46328</v>
      </c>
      <c r="J835" s="58" t="n">
        <f aca="false">'P9-011'!$O$18</f>
        <v>46328</v>
      </c>
      <c r="K835" s="56" t="str">
        <f aca="false">IF(OR(L835="Y",LEFT('P9-011'!$T$18,1)="D"),"",IF(AND(ISNUMBER(J835),J835&lt;ASOF),"⚠ เลยกำหนด",IF(AND(ISNUMBER(I835),I835&lt;=ASOF+14,J835&gt;=ASOF-7),"ช่วงนี้","")))</f>
        <v>ช่วงนี้</v>
      </c>
      <c r="L835" s="59"/>
      <c r="M835" s="60"/>
    </row>
    <row r="836" customFormat="false" ht="15" hidden="false" customHeight="false" outlineLevel="0" collapsed="false">
      <c r="A836" s="54" t="s">
        <v>82</v>
      </c>
      <c r="B836" s="55" t="s">
        <v>484</v>
      </c>
      <c r="C836" s="56" t="s">
        <v>485</v>
      </c>
      <c r="D836" s="57" t="s">
        <v>84</v>
      </c>
      <c r="E836" s="57" t="s">
        <v>233</v>
      </c>
      <c r="F836" s="55" t="s">
        <v>234</v>
      </c>
      <c r="G836" s="55" t="s">
        <v>235</v>
      </c>
      <c r="H836" s="57" t="s">
        <v>211</v>
      </c>
      <c r="I836" s="58" t="n">
        <f aca="false">'P9-011'!$N$19</f>
        <v>46328</v>
      </c>
      <c r="J836" s="58" t="n">
        <f aca="false">'P9-011'!$O$19</f>
        <v>46328</v>
      </c>
      <c r="K836" s="56" t="str">
        <f aca="false">IF(OR(L836="Y",LEFT('P9-011'!$T$19,1)="D"),"",IF(AND(ISNUMBER(J836),J836&lt;ASOF),"⚠ เลยกำหนด",IF(AND(ISNUMBER(I836),I836&lt;=ASOF+14,J836&gt;=ASOF-7),"ช่วงนี้","")))</f>
        <v>ช่วงนี้</v>
      </c>
      <c r="L836" s="59"/>
      <c r="M836" s="60"/>
    </row>
    <row r="837" customFormat="false" ht="15" hidden="false" customHeight="false" outlineLevel="0" collapsed="false">
      <c r="A837" s="54" t="s">
        <v>82</v>
      </c>
      <c r="B837" s="55" t="s">
        <v>484</v>
      </c>
      <c r="C837" s="56" t="s">
        <v>485</v>
      </c>
      <c r="D837" s="57" t="s">
        <v>84</v>
      </c>
      <c r="E837" s="57" t="s">
        <v>236</v>
      </c>
      <c r="F837" s="55" t="s">
        <v>237</v>
      </c>
      <c r="G837" s="55" t="s">
        <v>238</v>
      </c>
      <c r="H837" s="57" t="s">
        <v>211</v>
      </c>
      <c r="I837" s="58" t="n">
        <f aca="false">'P9-011'!$N$20</f>
        <v>46328</v>
      </c>
      <c r="J837" s="58" t="n">
        <f aca="false">'P9-011'!$O$20</f>
        <v>46328</v>
      </c>
      <c r="K837" s="56" t="str">
        <f aca="false">IF(OR(L837="Y",LEFT('P9-011'!$T$20,1)="D"),"",IF(AND(ISNUMBER(J837),J837&lt;ASOF),"⚠ เลยกำหนด",IF(AND(ISNUMBER(I837),I837&lt;=ASOF+14,J837&gt;=ASOF-7),"ช่วงนี้","")))</f>
        <v>ช่วงนี้</v>
      </c>
      <c r="L837" s="59"/>
      <c r="M837" s="60"/>
    </row>
    <row r="838" customFormat="false" ht="15" hidden="false" customHeight="false" outlineLevel="0" collapsed="false">
      <c r="A838" s="54" t="s">
        <v>82</v>
      </c>
      <c r="B838" s="55" t="s">
        <v>484</v>
      </c>
      <c r="C838" s="56" t="s">
        <v>485</v>
      </c>
      <c r="D838" s="57" t="s">
        <v>84</v>
      </c>
      <c r="E838" s="57" t="s">
        <v>239</v>
      </c>
      <c r="F838" s="55" t="s">
        <v>240</v>
      </c>
      <c r="G838" s="55" t="s">
        <v>241</v>
      </c>
      <c r="H838" s="57" t="s">
        <v>211</v>
      </c>
      <c r="I838" s="58" t="n">
        <f aca="false">'P9-011'!$N$21</f>
        <v>46328</v>
      </c>
      <c r="J838" s="58" t="n">
        <f aca="false">'P9-011'!$O$21</f>
        <v>46328</v>
      </c>
      <c r="K838" s="56" t="str">
        <f aca="false">IF(OR(L838="Y",LEFT('P9-011'!$T$21,1)="D"),"",IF(AND(ISNUMBER(J838),J838&lt;ASOF),"⚠ เลยกำหนด",IF(AND(ISNUMBER(I838),I838&lt;=ASOF+14,J838&gt;=ASOF-7),"ช่วงนี้","")))</f>
        <v>ช่วงนี้</v>
      </c>
      <c r="L838" s="59"/>
      <c r="M838" s="60"/>
    </row>
    <row r="839" customFormat="false" ht="15" hidden="false" customHeight="false" outlineLevel="0" collapsed="false">
      <c r="A839" s="54" t="s">
        <v>82</v>
      </c>
      <c r="B839" s="55" t="s">
        <v>484</v>
      </c>
      <c r="C839" s="56" t="s">
        <v>485</v>
      </c>
      <c r="D839" s="57" t="s">
        <v>84</v>
      </c>
      <c r="E839" s="57" t="s">
        <v>242</v>
      </c>
      <c r="F839" s="55" t="s">
        <v>243</v>
      </c>
      <c r="G839" s="55" t="s">
        <v>244</v>
      </c>
      <c r="H839" s="57" t="s">
        <v>211</v>
      </c>
      <c r="I839" s="58" t="n">
        <f aca="false">'P9-011'!$N$22</f>
        <v>46328</v>
      </c>
      <c r="J839" s="58" t="n">
        <f aca="false">'P9-011'!$O$22</f>
        <v>46328</v>
      </c>
      <c r="K839" s="56" t="str">
        <f aca="false">IF(OR(L839="Y",LEFT('P9-011'!$T$22,1)="D"),"",IF(AND(ISNUMBER(J839),J839&lt;ASOF),"⚠ เลยกำหนด",IF(AND(ISNUMBER(I839),I839&lt;=ASOF+14,J839&gt;=ASOF-7),"ช่วงนี้","")))</f>
        <v>ช่วงนี้</v>
      </c>
      <c r="L839" s="59"/>
      <c r="M839" s="60"/>
    </row>
    <row r="840" customFormat="false" ht="15" hidden="false" customHeight="false" outlineLevel="0" collapsed="false">
      <c r="A840" s="54" t="s">
        <v>82</v>
      </c>
      <c r="B840" s="55" t="s">
        <v>484</v>
      </c>
      <c r="C840" s="56" t="s">
        <v>485</v>
      </c>
      <c r="D840" s="57" t="s">
        <v>84</v>
      </c>
      <c r="E840" s="57" t="s">
        <v>248</v>
      </c>
      <c r="F840" s="55" t="s">
        <v>249</v>
      </c>
      <c r="G840" s="55" t="s">
        <v>250</v>
      </c>
      <c r="H840" s="57" t="s">
        <v>211</v>
      </c>
      <c r="I840" s="58" t="n">
        <f aca="false">'P9-011'!$N$24</f>
        <v>46328</v>
      </c>
      <c r="J840" s="58" t="n">
        <f aca="false">'P9-011'!$O$24</f>
        <v>46328</v>
      </c>
      <c r="K840" s="56" t="str">
        <f aca="false">IF(OR(L840="Y",LEFT('P9-011'!$T$24,1)="D"),"",IF(AND(ISNUMBER(J840),J840&lt;ASOF),"⚠ เลยกำหนด",IF(AND(ISNUMBER(I840),I840&lt;=ASOF+14,J840&gt;=ASOF-7),"ช่วงนี้","")))</f>
        <v>ช่วงนี้</v>
      </c>
      <c r="L840" s="59"/>
      <c r="M840" s="60"/>
    </row>
    <row r="841" customFormat="false" ht="15" hidden="false" customHeight="false" outlineLevel="0" collapsed="false">
      <c r="A841" s="54" t="s">
        <v>82</v>
      </c>
      <c r="B841" s="55" t="s">
        <v>484</v>
      </c>
      <c r="C841" s="56" t="s">
        <v>485</v>
      </c>
      <c r="D841" s="57" t="s">
        <v>84</v>
      </c>
      <c r="E841" s="57" t="s">
        <v>251</v>
      </c>
      <c r="F841" s="55" t="s">
        <v>252</v>
      </c>
      <c r="G841" s="55" t="s">
        <v>253</v>
      </c>
      <c r="H841" s="57" t="s">
        <v>211</v>
      </c>
      <c r="I841" s="58" t="n">
        <f aca="false">'P9-011'!$N$26</f>
        <v>46329</v>
      </c>
      <c r="J841" s="58" t="n">
        <f aca="false">'P9-011'!$O$26</f>
        <v>46329</v>
      </c>
      <c r="K841" s="56" t="str">
        <f aca="false">IF(OR(L841="Y",LEFT('P9-011'!$T$26,1)="D"),"",IF(AND(ISNUMBER(J841),J841&lt;ASOF),"⚠ เลยกำหนด",IF(AND(ISNUMBER(I841),I841&lt;=ASOF+14,J841&gt;=ASOF-7),"ช่วงนี้","")))</f>
        <v>ช่วงนี้</v>
      </c>
      <c r="L841" s="59"/>
      <c r="M841" s="60"/>
    </row>
    <row r="842" customFormat="false" ht="15" hidden="false" customHeight="false" outlineLevel="0" collapsed="false">
      <c r="A842" s="54" t="s">
        <v>82</v>
      </c>
      <c r="B842" s="55" t="s">
        <v>484</v>
      </c>
      <c r="C842" s="56" t="s">
        <v>485</v>
      </c>
      <c r="D842" s="57" t="s">
        <v>84</v>
      </c>
      <c r="E842" s="57" t="s">
        <v>254</v>
      </c>
      <c r="F842" s="55" t="s">
        <v>255</v>
      </c>
      <c r="G842" s="55" t="s">
        <v>256</v>
      </c>
      <c r="H842" s="57" t="s">
        <v>211</v>
      </c>
      <c r="I842" s="58" t="n">
        <f aca="false">'P9-011'!$N$27</f>
        <v>46329</v>
      </c>
      <c r="J842" s="58" t="n">
        <f aca="false">'P9-011'!$O$27</f>
        <v>46329</v>
      </c>
      <c r="K842" s="56" t="str">
        <f aca="false">IF(OR(L842="Y",LEFT('P9-011'!$T$27,1)="D"),"",IF(AND(ISNUMBER(J842),J842&lt;ASOF),"⚠ เลยกำหนด",IF(AND(ISNUMBER(I842),I842&lt;=ASOF+14,J842&gt;=ASOF-7),"ช่วงนี้","")))</f>
        <v>ช่วงนี้</v>
      </c>
      <c r="L842" s="59"/>
      <c r="M842" s="60"/>
    </row>
    <row r="843" customFormat="false" ht="15" hidden="false" customHeight="false" outlineLevel="0" collapsed="false">
      <c r="A843" s="54" t="s">
        <v>82</v>
      </c>
      <c r="B843" s="55" t="s">
        <v>484</v>
      </c>
      <c r="C843" s="56" t="s">
        <v>485</v>
      </c>
      <c r="D843" s="57" t="s">
        <v>84</v>
      </c>
      <c r="E843" s="57" t="s">
        <v>257</v>
      </c>
      <c r="F843" s="55" t="s">
        <v>258</v>
      </c>
      <c r="G843" s="55" t="s">
        <v>259</v>
      </c>
      <c r="H843" s="57" t="s">
        <v>211</v>
      </c>
      <c r="I843" s="58" t="n">
        <f aca="false">'P9-011'!$N$28</f>
        <v>46329</v>
      </c>
      <c r="J843" s="58" t="n">
        <f aca="false">'P9-011'!$O$28</f>
        <v>46329</v>
      </c>
      <c r="K843" s="56" t="str">
        <f aca="false">IF(OR(L843="Y",LEFT('P9-011'!$T$28,1)="D"),"",IF(AND(ISNUMBER(J843),J843&lt;ASOF),"⚠ เลยกำหนด",IF(AND(ISNUMBER(I843),I843&lt;=ASOF+14,J843&gt;=ASOF-7),"ช่วงนี้","")))</f>
        <v>ช่วงนี้</v>
      </c>
      <c r="L843" s="59"/>
      <c r="M843" s="60"/>
    </row>
    <row r="844" customFormat="false" ht="15" hidden="false" customHeight="false" outlineLevel="0" collapsed="false">
      <c r="A844" s="54" t="s">
        <v>82</v>
      </c>
      <c r="B844" s="55" t="s">
        <v>484</v>
      </c>
      <c r="C844" s="56" t="s">
        <v>485</v>
      </c>
      <c r="D844" s="57" t="s">
        <v>84</v>
      </c>
      <c r="E844" s="57" t="s">
        <v>260</v>
      </c>
      <c r="F844" s="55" t="s">
        <v>261</v>
      </c>
      <c r="G844" s="55" t="s">
        <v>262</v>
      </c>
      <c r="H844" s="57" t="s">
        <v>211</v>
      </c>
      <c r="I844" s="58" t="n">
        <f aca="false">'P9-011'!$N$31</f>
        <v>46328</v>
      </c>
      <c r="J844" s="58" t="n">
        <f aca="false">'P9-011'!$O$31</f>
        <v>46328</v>
      </c>
      <c r="K844" s="56" t="str">
        <f aca="false">IF(OR(L844="Y",LEFT('P9-011'!$T$31,1)="D"),"",IF(AND(ISNUMBER(J844),J844&lt;ASOF),"⚠ เลยกำหนด",IF(AND(ISNUMBER(I844),I844&lt;=ASOF+14,J844&gt;=ASOF-7),"ช่วงนี้","")))</f>
        <v>ช่วงนี้</v>
      </c>
      <c r="L844" s="59"/>
      <c r="M844" s="60"/>
    </row>
    <row r="845" customFormat="false" ht="15" hidden="false" customHeight="false" outlineLevel="0" collapsed="false">
      <c r="A845" s="54" t="s">
        <v>82</v>
      </c>
      <c r="B845" s="55" t="s">
        <v>484</v>
      </c>
      <c r="C845" s="56" t="s">
        <v>485</v>
      </c>
      <c r="D845" s="57" t="s">
        <v>84</v>
      </c>
      <c r="E845" s="57" t="s">
        <v>263</v>
      </c>
      <c r="F845" s="55" t="s">
        <v>264</v>
      </c>
      <c r="G845" s="55" t="s">
        <v>265</v>
      </c>
      <c r="H845" s="57" t="s">
        <v>211</v>
      </c>
      <c r="I845" s="58" t="n">
        <f aca="false">'P9-011'!$N$32</f>
        <v>46328</v>
      </c>
      <c r="J845" s="58" t="n">
        <f aca="false">'P9-011'!$O$32</f>
        <v>46328</v>
      </c>
      <c r="K845" s="56" t="str">
        <f aca="false">IF(OR(L845="Y",LEFT('P9-011'!$T$32,1)="D"),"",IF(AND(ISNUMBER(J845),J845&lt;ASOF),"⚠ เลยกำหนด",IF(AND(ISNUMBER(I845),I845&lt;=ASOF+14,J845&gt;=ASOF-7),"ช่วงนี้","")))</f>
        <v>ช่วงนี้</v>
      </c>
      <c r="L845" s="59"/>
      <c r="M845" s="60"/>
    </row>
    <row r="846" customFormat="false" ht="15" hidden="false" customHeight="false" outlineLevel="0" collapsed="false">
      <c r="A846" s="54" t="s">
        <v>82</v>
      </c>
      <c r="B846" s="55" t="s">
        <v>484</v>
      </c>
      <c r="C846" s="56" t="s">
        <v>485</v>
      </c>
      <c r="D846" s="57" t="s">
        <v>84</v>
      </c>
      <c r="E846" s="57" t="s">
        <v>266</v>
      </c>
      <c r="F846" s="55" t="s">
        <v>267</v>
      </c>
      <c r="G846" s="55" t="s">
        <v>268</v>
      </c>
      <c r="H846" s="57" t="s">
        <v>211</v>
      </c>
      <c r="I846" s="58" t="n">
        <f aca="false">'P9-011'!$N$33</f>
        <v>46328</v>
      </c>
      <c r="J846" s="58" t="n">
        <f aca="false">'P9-011'!$O$33</f>
        <v>46328</v>
      </c>
      <c r="K846" s="56" t="str">
        <f aca="false">IF(OR(L846="Y",LEFT('P9-011'!$T$33,1)="D"),"",IF(AND(ISNUMBER(J846),J846&lt;ASOF),"⚠ เลยกำหนด",IF(AND(ISNUMBER(I846),I846&lt;=ASOF+14,J846&gt;=ASOF-7),"ช่วงนี้","")))</f>
        <v>ช่วงนี้</v>
      </c>
      <c r="L846" s="59"/>
      <c r="M846" s="60"/>
    </row>
    <row r="847" customFormat="false" ht="15" hidden="false" customHeight="false" outlineLevel="0" collapsed="false">
      <c r="A847" s="54" t="s">
        <v>82</v>
      </c>
      <c r="B847" s="55" t="s">
        <v>484</v>
      </c>
      <c r="C847" s="56" t="s">
        <v>485</v>
      </c>
      <c r="D847" s="57" t="s">
        <v>84</v>
      </c>
      <c r="E847" s="57" t="s">
        <v>269</v>
      </c>
      <c r="F847" s="61" t="s">
        <v>270</v>
      </c>
      <c r="G847" s="61" t="s">
        <v>271</v>
      </c>
      <c r="H847" s="57" t="s">
        <v>211</v>
      </c>
      <c r="I847" s="58" t="n">
        <f aca="false">'P9-011'!$N$35</f>
        <v>46328</v>
      </c>
      <c r="J847" s="58" t="n">
        <f aca="false">'P9-011'!$O$35</f>
        <v>46328</v>
      </c>
      <c r="K847" s="56" t="str">
        <f aca="false">IF(OR(L847="Y",LEFT('P9-011'!$T$35,1)="D"),"",IF(AND(ISNUMBER(J847),J847&lt;ASOF),"⚠ เลยกำหนด",IF(AND(ISNUMBER(I847),I847&lt;=ASOF+14,J847&gt;=ASOF-7),"ช่วงนี้","")))</f>
        <v>ช่วงนี้</v>
      </c>
      <c r="L847" s="59"/>
      <c r="M847" s="60"/>
    </row>
    <row r="848" customFormat="false" ht="15" hidden="false" customHeight="false" outlineLevel="0" collapsed="false">
      <c r="A848" s="54" t="s">
        <v>82</v>
      </c>
      <c r="B848" s="55" t="s">
        <v>484</v>
      </c>
      <c r="C848" s="56" t="s">
        <v>485</v>
      </c>
      <c r="D848" s="57" t="s">
        <v>84</v>
      </c>
      <c r="E848" s="57" t="s">
        <v>272</v>
      </c>
      <c r="F848" s="55" t="s">
        <v>273</v>
      </c>
      <c r="G848" s="55" t="s">
        <v>274</v>
      </c>
      <c r="H848" s="57" t="s">
        <v>211</v>
      </c>
      <c r="I848" s="58" t="n">
        <f aca="false">'P9-011'!$N$36</f>
        <v>46328</v>
      </c>
      <c r="J848" s="58" t="n">
        <f aca="false">'P9-011'!$O$36</f>
        <v>46328</v>
      </c>
      <c r="K848" s="56" t="str">
        <f aca="false">IF(OR(L848="Y",LEFT('P9-011'!$T$36,1)="D"),"",IF(AND(ISNUMBER(J848),J848&lt;ASOF),"⚠ เลยกำหนด",IF(AND(ISNUMBER(I848),I848&lt;=ASOF+14,J848&gt;=ASOF-7),"ช่วงนี้","")))</f>
        <v>ช่วงนี้</v>
      </c>
      <c r="L848" s="59"/>
      <c r="M848" s="60"/>
    </row>
    <row r="849" customFormat="false" ht="15" hidden="false" customHeight="false" outlineLevel="0" collapsed="false">
      <c r="A849" s="54" t="s">
        <v>82</v>
      </c>
      <c r="B849" s="55" t="s">
        <v>484</v>
      </c>
      <c r="C849" s="56" t="s">
        <v>485</v>
      </c>
      <c r="D849" s="57" t="s">
        <v>84</v>
      </c>
      <c r="E849" s="57" t="s">
        <v>275</v>
      </c>
      <c r="F849" s="55" t="s">
        <v>276</v>
      </c>
      <c r="G849" s="55" t="s">
        <v>277</v>
      </c>
      <c r="H849" s="57" t="s">
        <v>211</v>
      </c>
      <c r="I849" s="58" t="n">
        <f aca="false">'P9-011'!$N$37</f>
        <v>46328</v>
      </c>
      <c r="J849" s="58" t="n">
        <f aca="false">'P9-011'!$O$37</f>
        <v>46328</v>
      </c>
      <c r="K849" s="56" t="str">
        <f aca="false">IF(OR(L849="Y",LEFT('P9-011'!$T$37,1)="D"),"",IF(AND(ISNUMBER(J849),J849&lt;ASOF),"⚠ เลยกำหนด",IF(AND(ISNUMBER(I849),I849&lt;=ASOF+14,J849&gt;=ASOF-7),"ช่วงนี้","")))</f>
        <v>ช่วงนี้</v>
      </c>
      <c r="L849" s="59"/>
      <c r="M849" s="60"/>
    </row>
    <row r="850" customFormat="false" ht="15" hidden="false" customHeight="false" outlineLevel="0" collapsed="false">
      <c r="A850" s="54" t="s">
        <v>82</v>
      </c>
      <c r="B850" s="55" t="s">
        <v>484</v>
      </c>
      <c r="C850" s="56" t="s">
        <v>485</v>
      </c>
      <c r="D850" s="57" t="s">
        <v>84</v>
      </c>
      <c r="E850" s="57" t="s">
        <v>278</v>
      </c>
      <c r="F850" s="55" t="s">
        <v>279</v>
      </c>
      <c r="G850" s="55" t="s">
        <v>280</v>
      </c>
      <c r="H850" s="57" t="s">
        <v>211</v>
      </c>
      <c r="I850" s="58" t="n">
        <f aca="false">'P9-011'!$N$38</f>
        <v>46328</v>
      </c>
      <c r="J850" s="58" t="n">
        <f aca="false">'P9-011'!$O$38</f>
        <v>46328</v>
      </c>
      <c r="K850" s="56" t="str">
        <f aca="false">IF(OR(L850="Y",LEFT('P9-011'!$T$38,1)="D"),"",IF(AND(ISNUMBER(J850),J850&lt;ASOF),"⚠ เลยกำหนด",IF(AND(ISNUMBER(I850),I850&lt;=ASOF+14,J850&gt;=ASOF-7),"ช่วงนี้","")))</f>
        <v>ช่วงนี้</v>
      </c>
      <c r="L850" s="59"/>
      <c r="M850" s="60"/>
    </row>
    <row r="851" customFormat="false" ht="15" hidden="false" customHeight="false" outlineLevel="0" collapsed="false">
      <c r="A851" s="54" t="s">
        <v>82</v>
      </c>
      <c r="B851" s="55" t="s">
        <v>484</v>
      </c>
      <c r="C851" s="56" t="s">
        <v>485</v>
      </c>
      <c r="D851" s="57" t="s">
        <v>84</v>
      </c>
      <c r="E851" s="57" t="s">
        <v>281</v>
      </c>
      <c r="F851" s="55" t="s">
        <v>282</v>
      </c>
      <c r="G851" s="55" t="s">
        <v>283</v>
      </c>
      <c r="H851" s="57" t="s">
        <v>211</v>
      </c>
      <c r="I851" s="58" t="n">
        <f aca="false">'P9-011'!$N$40</f>
        <v>46328</v>
      </c>
      <c r="J851" s="58" t="n">
        <f aca="false">'P9-011'!$O$40</f>
        <v>46328</v>
      </c>
      <c r="K851" s="56" t="str">
        <f aca="false">IF(OR(L851="Y",LEFT('P9-011'!$T$40,1)="D"),"",IF(AND(ISNUMBER(J851),J851&lt;ASOF),"⚠ เลยกำหนด",IF(AND(ISNUMBER(I851),I851&lt;=ASOF+14,J851&gt;=ASOF-7),"ช่วงนี้","")))</f>
        <v>ช่วงนี้</v>
      </c>
      <c r="L851" s="59"/>
      <c r="M851" s="60"/>
    </row>
    <row r="852" customFormat="false" ht="15" hidden="false" customHeight="false" outlineLevel="0" collapsed="false">
      <c r="A852" s="54" t="s">
        <v>82</v>
      </c>
      <c r="B852" s="55" t="s">
        <v>484</v>
      </c>
      <c r="C852" s="56" t="s">
        <v>485</v>
      </c>
      <c r="D852" s="57" t="s">
        <v>84</v>
      </c>
      <c r="E852" s="57" t="s">
        <v>284</v>
      </c>
      <c r="F852" s="55" t="s">
        <v>285</v>
      </c>
      <c r="G852" s="61" t="s">
        <v>286</v>
      </c>
      <c r="H852" s="57" t="s">
        <v>211</v>
      </c>
      <c r="I852" s="58" t="n">
        <f aca="false">'P9-011'!$N$41</f>
        <v>46328</v>
      </c>
      <c r="J852" s="58" t="n">
        <f aca="false">'P9-011'!$O$41</f>
        <v>46328</v>
      </c>
      <c r="K852" s="56" t="str">
        <f aca="false">IF(OR(L852="Y",LEFT('P9-011'!$T$41,1)="D"),"",IF(AND(ISNUMBER(J852),J852&lt;ASOF),"⚠ เลยกำหนด",IF(AND(ISNUMBER(I852),I852&lt;=ASOF+14,J852&gt;=ASOF-7),"ช่วงนี้","")))</f>
        <v>ช่วงนี้</v>
      </c>
      <c r="L852" s="59"/>
      <c r="M852" s="60"/>
    </row>
    <row r="853" customFormat="false" ht="15" hidden="false" customHeight="false" outlineLevel="0" collapsed="false">
      <c r="A853" s="54" t="s">
        <v>82</v>
      </c>
      <c r="B853" s="55" t="s">
        <v>484</v>
      </c>
      <c r="C853" s="56" t="s">
        <v>485</v>
      </c>
      <c r="D853" s="57" t="s">
        <v>84</v>
      </c>
      <c r="E853" s="57" t="s">
        <v>287</v>
      </c>
      <c r="F853" s="55" t="s">
        <v>288</v>
      </c>
      <c r="G853" s="61" t="s">
        <v>289</v>
      </c>
      <c r="H853" s="57" t="s">
        <v>211</v>
      </c>
      <c r="I853" s="58" t="n">
        <f aca="false">'P9-011'!$N$42</f>
        <v>46328</v>
      </c>
      <c r="J853" s="58" t="n">
        <f aca="false">'P9-011'!$O$42</f>
        <v>46328</v>
      </c>
      <c r="K853" s="56" t="str">
        <f aca="false">IF(OR(L853="Y",LEFT('P9-011'!$T$42,1)="D"),"",IF(AND(ISNUMBER(J853),J853&lt;ASOF),"⚠ เลยกำหนด",IF(AND(ISNUMBER(I853),I853&lt;=ASOF+14,J853&gt;=ASOF-7),"ช่วงนี้","")))</f>
        <v>ช่วงนี้</v>
      </c>
      <c r="L853" s="59"/>
      <c r="M853" s="60"/>
    </row>
    <row r="854" customFormat="false" ht="15" hidden="false" customHeight="false" outlineLevel="0" collapsed="false">
      <c r="A854" s="54" t="s">
        <v>82</v>
      </c>
      <c r="B854" s="55" t="s">
        <v>484</v>
      </c>
      <c r="C854" s="56" t="s">
        <v>485</v>
      </c>
      <c r="D854" s="57" t="s">
        <v>84</v>
      </c>
      <c r="E854" s="57" t="s">
        <v>290</v>
      </c>
      <c r="F854" s="55" t="s">
        <v>291</v>
      </c>
      <c r="G854" s="55" t="s">
        <v>292</v>
      </c>
      <c r="H854" s="57" t="s">
        <v>211</v>
      </c>
      <c r="I854" s="58" t="n">
        <f aca="false">'P9-011'!$N$44</f>
        <v>46328</v>
      </c>
      <c r="J854" s="58" t="n">
        <f aca="false">'P9-011'!$O$44</f>
        <v>46328</v>
      </c>
      <c r="K854" s="56" t="str">
        <f aca="false">IF(OR(L854="Y",LEFT('P9-011'!$T$44,1)="D"),"",IF(AND(ISNUMBER(J854),J854&lt;ASOF),"⚠ เลยกำหนด",IF(AND(ISNUMBER(I854),I854&lt;=ASOF+14,J854&gt;=ASOF-7),"ช่วงนี้","")))</f>
        <v>ช่วงนี้</v>
      </c>
      <c r="L854" s="59"/>
      <c r="M854" s="60"/>
    </row>
    <row r="855" customFormat="false" ht="15" hidden="false" customHeight="false" outlineLevel="0" collapsed="false">
      <c r="A855" s="54" t="s">
        <v>82</v>
      </c>
      <c r="B855" s="55" t="s">
        <v>484</v>
      </c>
      <c r="C855" s="56" t="s">
        <v>485</v>
      </c>
      <c r="D855" s="57" t="s">
        <v>84</v>
      </c>
      <c r="E855" s="57" t="s">
        <v>293</v>
      </c>
      <c r="F855" s="55" t="s">
        <v>294</v>
      </c>
      <c r="G855" s="55" t="s">
        <v>295</v>
      </c>
      <c r="H855" s="57" t="s">
        <v>211</v>
      </c>
      <c r="I855" s="58" t="n">
        <f aca="false">'P9-011'!$N$45</f>
        <v>46328</v>
      </c>
      <c r="J855" s="58" t="n">
        <f aca="false">'P9-011'!$O$45</f>
        <v>46328</v>
      </c>
      <c r="K855" s="56" t="str">
        <f aca="false">IF(OR(L855="Y",LEFT('P9-011'!$T$45,1)="D"),"",IF(AND(ISNUMBER(J855),J855&lt;ASOF),"⚠ เลยกำหนด",IF(AND(ISNUMBER(I855),I855&lt;=ASOF+14,J855&gt;=ASOF-7),"ช่วงนี้","")))</f>
        <v>ช่วงนี้</v>
      </c>
      <c r="L855" s="59"/>
      <c r="M855" s="60"/>
    </row>
    <row r="856" customFormat="false" ht="15" hidden="false" customHeight="false" outlineLevel="0" collapsed="false">
      <c r="A856" s="54" t="s">
        <v>82</v>
      </c>
      <c r="B856" s="55" t="s">
        <v>484</v>
      </c>
      <c r="C856" s="56" t="s">
        <v>485</v>
      </c>
      <c r="D856" s="57" t="s">
        <v>84</v>
      </c>
      <c r="E856" s="57" t="s">
        <v>296</v>
      </c>
      <c r="F856" s="55" t="s">
        <v>297</v>
      </c>
      <c r="G856" s="55" t="s">
        <v>298</v>
      </c>
      <c r="H856" s="57" t="s">
        <v>211</v>
      </c>
      <c r="I856" s="58" t="n">
        <f aca="false">'P9-011'!$N$46</f>
        <v>46328</v>
      </c>
      <c r="J856" s="58" t="n">
        <f aca="false">'P9-011'!$O$46</f>
        <v>46328</v>
      </c>
      <c r="K856" s="56" t="str">
        <f aca="false">IF(OR(L856="Y",LEFT('P9-011'!$T$46,1)="D"),"",IF(AND(ISNUMBER(J856),J856&lt;ASOF),"⚠ เลยกำหนด",IF(AND(ISNUMBER(I856),I856&lt;=ASOF+14,J856&gt;=ASOF-7),"ช่วงนี้","")))</f>
        <v>ช่วงนี้</v>
      </c>
      <c r="L856" s="59"/>
      <c r="M856" s="60"/>
    </row>
    <row r="857" customFormat="false" ht="15" hidden="false" customHeight="false" outlineLevel="0" collapsed="false">
      <c r="A857" s="54" t="s">
        <v>82</v>
      </c>
      <c r="B857" s="55" t="s">
        <v>484</v>
      </c>
      <c r="C857" s="56" t="s">
        <v>485</v>
      </c>
      <c r="D857" s="57" t="s">
        <v>84</v>
      </c>
      <c r="E857" s="57" t="s">
        <v>299</v>
      </c>
      <c r="F857" s="55" t="s">
        <v>300</v>
      </c>
      <c r="G857" s="55" t="s">
        <v>301</v>
      </c>
      <c r="H857" s="57" t="s">
        <v>211</v>
      </c>
      <c r="I857" s="58" t="str">
        <f aca="false">'P9-011'!$N$53</f>
        <v/>
      </c>
      <c r="J857" s="58" t="str">
        <f aca="false">'P9-011'!$O$53</f>
        <v/>
      </c>
      <c r="K857" s="56" t="str">
        <f aca="false">IF(OR(L857="Y",LEFT('P9-011'!$T$53,1)="D"),"",IF(AND(ISNUMBER(J857),J857&lt;ASOF),"⚠ เลยกำหนด",IF(AND(ISNUMBER(I857),I857&lt;=ASOF+14,J857&gt;=ASOF-7),"ช่วงนี้","")))</f>
        <v/>
      </c>
      <c r="L857" s="59"/>
      <c r="M857" s="60"/>
    </row>
    <row r="858" customFormat="false" ht="15" hidden="false" customHeight="false" outlineLevel="0" collapsed="false">
      <c r="A858" s="54" t="s">
        <v>82</v>
      </c>
      <c r="B858" s="55" t="s">
        <v>484</v>
      </c>
      <c r="C858" s="56" t="s">
        <v>485</v>
      </c>
      <c r="D858" s="57" t="s">
        <v>84</v>
      </c>
      <c r="E858" s="57" t="s">
        <v>302</v>
      </c>
      <c r="F858" s="55" t="s">
        <v>303</v>
      </c>
      <c r="G858" s="55" t="s">
        <v>304</v>
      </c>
      <c r="H858" s="57" t="s">
        <v>211</v>
      </c>
      <c r="I858" s="58" t="str">
        <f aca="false">'P9-011'!$N$54</f>
        <v/>
      </c>
      <c r="J858" s="58" t="str">
        <f aca="false">'P9-011'!$O$54</f>
        <v/>
      </c>
      <c r="K858" s="56" t="str">
        <f aca="false">IF(OR(L858="Y",LEFT('P9-011'!$T$54,1)="D"),"",IF(AND(ISNUMBER(J858),J858&lt;ASOF),"⚠ เลยกำหนด",IF(AND(ISNUMBER(I858),I858&lt;=ASOF+14,J858&gt;=ASOF-7),"ช่วงนี้","")))</f>
        <v/>
      </c>
      <c r="L858" s="59"/>
      <c r="M858" s="60"/>
    </row>
    <row r="859" customFormat="false" ht="15" hidden="false" customHeight="false" outlineLevel="0" collapsed="false">
      <c r="A859" s="54" t="s">
        <v>82</v>
      </c>
      <c r="B859" s="55" t="s">
        <v>484</v>
      </c>
      <c r="C859" s="56" t="s">
        <v>485</v>
      </c>
      <c r="D859" s="57" t="s">
        <v>84</v>
      </c>
      <c r="E859" s="57" t="s">
        <v>305</v>
      </c>
      <c r="F859" s="55" t="s">
        <v>306</v>
      </c>
      <c r="G859" s="55" t="s">
        <v>307</v>
      </c>
      <c r="H859" s="56" t="str">
        <f aca="false">IF(COUNTIFS(SITE_ST,"P9-011",SITE_TYPE,"?*")&gt;0,"ตามจุดติดตั้ง →","0/100")</f>
        <v>ตามจุดติดตั้ง →</v>
      </c>
      <c r="I859" s="58" t="n">
        <f aca="false">'P9-011'!$N$63</f>
        <v>46328</v>
      </c>
      <c r="J859" s="58" t="n">
        <f aca="false">'P9-011'!$O$63</f>
        <v>46329</v>
      </c>
      <c r="K859" s="56" t="str">
        <f aca="false">IF(OR(L859="Y",LEFT('P9-011'!$T$63,1)="D"),"",IF(AND(ISNUMBER(J859),J859&lt;ASOF),"⚠ เลยกำหนด",IF(AND(ISNUMBER(I859),I859&lt;=ASOF+14,J859&gt;=ASOF-7),"ช่วงนี้","")))</f>
        <v>ช่วงนี้</v>
      </c>
      <c r="L859" s="59"/>
      <c r="M859" s="60"/>
    </row>
    <row r="860" customFormat="false" ht="15" hidden="false" customHeight="false" outlineLevel="0" collapsed="false">
      <c r="A860" s="54" t="s">
        <v>82</v>
      </c>
      <c r="B860" s="55" t="s">
        <v>484</v>
      </c>
      <c r="C860" s="56" t="s">
        <v>485</v>
      </c>
      <c r="D860" s="57" t="s">
        <v>84</v>
      </c>
      <c r="E860" s="57" t="s">
        <v>308</v>
      </c>
      <c r="F860" s="55" t="s">
        <v>309</v>
      </c>
      <c r="G860" s="55" t="s">
        <v>310</v>
      </c>
      <c r="H860" s="57" t="s">
        <v>211</v>
      </c>
      <c r="I860" s="58" t="n">
        <f aca="false">'P9-011'!$N$64</f>
        <v>46328</v>
      </c>
      <c r="J860" s="58" t="n">
        <f aca="false">'P9-011'!$O$64</f>
        <v>46331</v>
      </c>
      <c r="K860" s="56" t="str">
        <f aca="false">IF(OR(L860="Y",LEFT('P9-011'!$T$64,1)="D"),"",IF(AND(ISNUMBER(J860),J860&lt;ASOF),"⚠ เลยกำหนด",IF(AND(ISNUMBER(I860),I860&lt;=ASOF+14,J860&gt;=ASOF-7),"ช่วงนี้","")))</f>
        <v>ช่วงนี้</v>
      </c>
      <c r="L860" s="59"/>
      <c r="M860" s="60"/>
    </row>
    <row r="861" customFormat="false" ht="15" hidden="false" customHeight="false" outlineLevel="0" collapsed="false">
      <c r="A861" s="54" t="s">
        <v>82</v>
      </c>
      <c r="B861" s="55" t="s">
        <v>484</v>
      </c>
      <c r="C861" s="56" t="s">
        <v>485</v>
      </c>
      <c r="D861" s="57" t="s">
        <v>84</v>
      </c>
      <c r="E861" s="57" t="s">
        <v>311</v>
      </c>
      <c r="F861" s="55" t="s">
        <v>312</v>
      </c>
      <c r="G861" s="55" t="s">
        <v>313</v>
      </c>
      <c r="H861" s="56" t="str">
        <f aca="false">IF(COUNTIFS(SITE_ST,"P9-011",SITE_TYPE,"?*")&gt;0,"ตามจุดติดตั้ง →","50/50")</f>
        <v>ตามจุดติดตั้ง →</v>
      </c>
      <c r="I861" s="58" t="n">
        <f aca="false">'P9-011'!$N$65</f>
        <v>46329</v>
      </c>
      <c r="J861" s="58" t="n">
        <f aca="false">'P9-011'!$O$65</f>
        <v>46335</v>
      </c>
      <c r="K861" s="56" t="str">
        <f aca="false">IF(OR(L861="Y",LEFT('P9-011'!$T$65,1)="D"),"",IF(AND(ISNUMBER(J861),J861&lt;ASOF),"⚠ เลยกำหนด",IF(AND(ISNUMBER(I861),I861&lt;=ASOF+14,J861&gt;=ASOF-7),"ช่วงนี้","")))</f>
        <v>ช่วงนี้</v>
      </c>
      <c r="L861" s="59"/>
      <c r="M861" s="60"/>
    </row>
    <row r="862" customFormat="false" ht="15" hidden="false" customHeight="false" outlineLevel="0" collapsed="false">
      <c r="A862" s="54" t="s">
        <v>82</v>
      </c>
      <c r="B862" s="55" t="s">
        <v>484</v>
      </c>
      <c r="C862" s="56" t="s">
        <v>485</v>
      </c>
      <c r="D862" s="57" t="s">
        <v>84</v>
      </c>
      <c r="E862" s="57" t="s">
        <v>314</v>
      </c>
      <c r="F862" s="55" t="s">
        <v>315</v>
      </c>
      <c r="G862" s="61" t="s">
        <v>316</v>
      </c>
      <c r="H862" s="56" t="str">
        <f aca="false">IF(COUNTIFS(SITE_ST,"P9-011",SITE_TYPE,"?*")&gt;0,"ตามจุดติดตั้ง →","50/50")</f>
        <v>ตามจุดติดตั้ง →</v>
      </c>
      <c r="I862" s="58" t="n">
        <f aca="false">'P9-011'!$N$66</f>
        <v>46333</v>
      </c>
      <c r="J862" s="58" t="n">
        <f aca="false">'P9-011'!$O$66</f>
        <v>46339</v>
      </c>
      <c r="K862" s="56" t="str">
        <f aca="false">IF(OR(L862="Y",LEFT('P9-011'!$T$66,1)="D"),"",IF(AND(ISNUMBER(J862),J862&lt;ASOF),"⚠ เลยกำหนด",IF(AND(ISNUMBER(I862),I862&lt;=ASOF+14,J862&gt;=ASOF-7),"ช่วงนี้","")))</f>
        <v>ช่วงนี้</v>
      </c>
      <c r="L862" s="59"/>
      <c r="M862" s="60"/>
    </row>
    <row r="863" customFormat="false" ht="15" hidden="false" customHeight="false" outlineLevel="0" collapsed="false">
      <c r="A863" s="54" t="s">
        <v>82</v>
      </c>
      <c r="B863" s="55" t="s">
        <v>484</v>
      </c>
      <c r="C863" s="56" t="s">
        <v>485</v>
      </c>
      <c r="D863" s="57" t="s">
        <v>84</v>
      </c>
      <c r="E863" s="57" t="s">
        <v>317</v>
      </c>
      <c r="F863" s="61" t="s">
        <v>318</v>
      </c>
      <c r="G863" s="61" t="s">
        <v>319</v>
      </c>
      <c r="H863" s="56" t="str">
        <f aca="false">IF(COUNTIFS(SITE_ST,"P9-011",SITE_TYPE,"?*")&gt;0,"ตามจุดติดตั้ง →","50/50")</f>
        <v>ตามจุดติดตั้ง →</v>
      </c>
      <c r="I863" s="58" t="n">
        <f aca="false">'P9-011'!$N$67</f>
        <v>46336</v>
      </c>
      <c r="J863" s="58" t="n">
        <f aca="false">'P9-011'!$O$67</f>
        <v>46340</v>
      </c>
      <c r="K863" s="56" t="str">
        <f aca="false">IF(OR(L863="Y",LEFT('P9-011'!$T$67,1)="D"),"",IF(AND(ISNUMBER(J863),J863&lt;ASOF),"⚠ เลยกำหนด",IF(AND(ISNUMBER(I863),I863&lt;=ASOF+14,J863&gt;=ASOF-7),"ช่วงนี้","")))</f>
        <v>ช่วงนี้</v>
      </c>
      <c r="L863" s="59"/>
      <c r="M863" s="60"/>
    </row>
    <row r="864" customFormat="false" ht="15" hidden="false" customHeight="false" outlineLevel="0" collapsed="false">
      <c r="A864" s="54" t="s">
        <v>82</v>
      </c>
      <c r="B864" s="55" t="s">
        <v>484</v>
      </c>
      <c r="C864" s="56" t="s">
        <v>485</v>
      </c>
      <c r="D864" s="57" t="s">
        <v>84</v>
      </c>
      <c r="E864" s="57" t="s">
        <v>320</v>
      </c>
      <c r="F864" s="55" t="s">
        <v>321</v>
      </c>
      <c r="G864" s="55" t="s">
        <v>322</v>
      </c>
      <c r="H864" s="56" t="str">
        <f aca="false">IF(COUNTIFS(SITE_ST,"P9-011",SITE_TYPE,"?*")&gt;0,"ตามจุดติดตั้ง →","0/100")</f>
        <v>ตามจุดติดตั้ง →</v>
      </c>
      <c r="I864" s="58" t="n">
        <f aca="false">'P9-011'!$N$68</f>
        <v>46338</v>
      </c>
      <c r="J864" s="58" t="n">
        <f aca="false">'P9-011'!$O$68</f>
        <v>46341</v>
      </c>
      <c r="K864" s="56" t="str">
        <f aca="false">IF(OR(L864="Y",LEFT('P9-011'!$T$68,1)="D"),"",IF(AND(ISNUMBER(J864),J864&lt;ASOF),"⚠ เลยกำหนด",IF(AND(ISNUMBER(I864),I864&lt;=ASOF+14,J864&gt;=ASOF-7),"ช่วงนี้","")))</f>
        <v>ช่วงนี้</v>
      </c>
      <c r="L864" s="59"/>
      <c r="M864" s="60"/>
    </row>
    <row r="865" customFormat="false" ht="15" hidden="false" customHeight="false" outlineLevel="0" collapsed="false">
      <c r="A865" s="54" t="s">
        <v>82</v>
      </c>
      <c r="B865" s="55" t="s">
        <v>484</v>
      </c>
      <c r="C865" s="56" t="s">
        <v>485</v>
      </c>
      <c r="D865" s="57" t="s">
        <v>84</v>
      </c>
      <c r="E865" s="57" t="s">
        <v>323</v>
      </c>
      <c r="F865" s="61" t="s">
        <v>324</v>
      </c>
      <c r="G865" s="55" t="s">
        <v>325</v>
      </c>
      <c r="H865" s="56" t="str">
        <f aca="false">IF(COUNTIFS(SITE_ST,"P9-011",SITE_TYPE,"?*")&gt;0,"ตามจุดติดตั้ง →","0/100")</f>
        <v>ตามจุดติดตั้ง →</v>
      </c>
      <c r="I865" s="58" t="n">
        <f aca="false">'P9-011'!$N$69</f>
        <v>46340</v>
      </c>
      <c r="J865" s="58" t="n">
        <f aca="false">'P9-011'!$O$69</f>
        <v>46341</v>
      </c>
      <c r="K865" s="56" t="str">
        <f aca="false">IF(OR(L865="Y",LEFT('P9-011'!$T$69,1)="D"),"",IF(AND(ISNUMBER(J865),J865&lt;ASOF),"⚠ เลยกำหนด",IF(AND(ISNUMBER(I865),I865&lt;=ASOF+14,J865&gt;=ASOF-7),"ช่วงนี้","")))</f>
        <v>ช่วงนี้</v>
      </c>
      <c r="L865" s="59"/>
      <c r="M865" s="60"/>
    </row>
    <row r="866" customFormat="false" ht="15" hidden="false" customHeight="false" outlineLevel="0" collapsed="false">
      <c r="A866" s="54" t="s">
        <v>82</v>
      </c>
      <c r="B866" s="55" t="s">
        <v>484</v>
      </c>
      <c r="C866" s="56" t="s">
        <v>485</v>
      </c>
      <c r="D866" s="57" t="s">
        <v>84</v>
      </c>
      <c r="E866" s="57" t="s">
        <v>326</v>
      </c>
      <c r="F866" s="55" t="s">
        <v>327</v>
      </c>
      <c r="G866" s="61" t="s">
        <v>328</v>
      </c>
      <c r="H866" s="56" t="str">
        <f aca="false">IF(COUNTIFS(SITE_ST,"P9-011",SITE_TYPE,"?*")&gt;0,"ตามจุดติดตั้ง →","50/50")</f>
        <v>ตามจุดติดตั้ง →</v>
      </c>
      <c r="I866" s="58" t="n">
        <f aca="false">'P9-011'!$N$71</f>
        <v>46343</v>
      </c>
      <c r="J866" s="58" t="n">
        <f aca="false">'P9-011'!$O$71</f>
        <v>46344</v>
      </c>
      <c r="K866" s="56" t="str">
        <f aca="false">IF(OR(L866="Y",LEFT('P9-011'!$T$71,1)="D"),"",IF(AND(ISNUMBER(J866),J866&lt;ASOF),"⚠ เลยกำหนด",IF(AND(ISNUMBER(I866),I866&lt;=ASOF+14,J866&gt;=ASOF-7),"ช่วงนี้","")))</f>
        <v/>
      </c>
      <c r="L866" s="59"/>
      <c r="M866" s="60"/>
    </row>
    <row r="867" customFormat="false" ht="15" hidden="false" customHeight="false" outlineLevel="0" collapsed="false">
      <c r="A867" s="54" t="s">
        <v>82</v>
      </c>
      <c r="B867" s="55" t="s">
        <v>484</v>
      </c>
      <c r="C867" s="56" t="s">
        <v>485</v>
      </c>
      <c r="D867" s="57" t="s">
        <v>84</v>
      </c>
      <c r="E867" s="57" t="s">
        <v>329</v>
      </c>
      <c r="F867" s="55" t="s">
        <v>330</v>
      </c>
      <c r="G867" s="55" t="s">
        <v>331</v>
      </c>
      <c r="H867" s="56" t="str">
        <f aca="false">IF(COUNTIFS(SITE_ST,"P9-011",SITE_TYPE,"?*")&gt;0,"ตามจุดติดตั้ง →","50/50")</f>
        <v>ตามจุดติดตั้ง →</v>
      </c>
      <c r="I867" s="58" t="n">
        <f aca="false">'P9-011'!$N$72</f>
        <v>46344</v>
      </c>
      <c r="J867" s="58" t="n">
        <f aca="false">'P9-011'!$O$72</f>
        <v>46345</v>
      </c>
      <c r="K867" s="56" t="str">
        <f aca="false">IF(OR(L867="Y",LEFT('P9-011'!$T$72,1)="D"),"",IF(AND(ISNUMBER(J867),J867&lt;ASOF),"⚠ เลยกำหนด",IF(AND(ISNUMBER(I867),I867&lt;=ASOF+14,J867&gt;=ASOF-7),"ช่วงนี้","")))</f>
        <v/>
      </c>
      <c r="L867" s="59"/>
      <c r="M867" s="60"/>
    </row>
    <row r="868" customFormat="false" ht="15" hidden="false" customHeight="false" outlineLevel="0" collapsed="false">
      <c r="A868" s="54" t="s">
        <v>82</v>
      </c>
      <c r="B868" s="55" t="s">
        <v>484</v>
      </c>
      <c r="C868" s="56" t="s">
        <v>485</v>
      </c>
      <c r="D868" s="57" t="s">
        <v>84</v>
      </c>
      <c r="E868" s="57" t="s">
        <v>332</v>
      </c>
      <c r="F868" s="55" t="s">
        <v>333</v>
      </c>
      <c r="G868" s="55" t="s">
        <v>334</v>
      </c>
      <c r="H868" s="56" t="str">
        <f aca="false">IF(COUNTIFS(SITE_ST,"P9-011",SITE_TYPE,"?*")&gt;0,"ตามจุดติดตั้ง →","0/100")</f>
        <v>ตามจุดติดตั้ง →</v>
      </c>
      <c r="I868" s="58" t="n">
        <f aca="false">'P9-011'!$N$73</f>
        <v>46344</v>
      </c>
      <c r="J868" s="58" t="n">
        <f aca="false">'P9-011'!$O$73</f>
        <v>46345</v>
      </c>
      <c r="K868" s="56" t="str">
        <f aca="false">IF(OR(L868="Y",LEFT('P9-011'!$T$73,1)="D"),"",IF(AND(ISNUMBER(J868),J868&lt;ASOF),"⚠ เลยกำหนด",IF(AND(ISNUMBER(I868),I868&lt;=ASOF+14,J868&gt;=ASOF-7),"ช่วงนี้","")))</f>
        <v/>
      </c>
      <c r="L868" s="59"/>
      <c r="M868" s="60"/>
    </row>
    <row r="869" customFormat="false" ht="15" hidden="false" customHeight="false" outlineLevel="0" collapsed="false">
      <c r="A869" s="54" t="s">
        <v>82</v>
      </c>
      <c r="B869" s="55" t="s">
        <v>484</v>
      </c>
      <c r="C869" s="56" t="s">
        <v>485</v>
      </c>
      <c r="D869" s="57" t="s">
        <v>84</v>
      </c>
      <c r="E869" s="57" t="s">
        <v>335</v>
      </c>
      <c r="F869" s="55" t="s">
        <v>336</v>
      </c>
      <c r="G869" s="61" t="s">
        <v>337</v>
      </c>
      <c r="H869" s="56" t="str">
        <f aca="false">IF(COUNTIFS(SITE_ST,"P9-011",SITE_TYPE,"?*")&gt;0,"ตามจุดติดตั้ง →","0/100")</f>
        <v>ตามจุดติดตั้ง →</v>
      </c>
      <c r="I869" s="58" t="n">
        <f aca="false">'P9-011'!$N$74</f>
        <v>46345</v>
      </c>
      <c r="J869" s="58" t="n">
        <f aca="false">'P9-011'!$O$74</f>
        <v>46346</v>
      </c>
      <c r="K869" s="56" t="str">
        <f aca="false">IF(OR(L869="Y",LEFT('P9-011'!$T$74,1)="D"),"",IF(AND(ISNUMBER(J869),J869&lt;ASOF),"⚠ เลยกำหนด",IF(AND(ISNUMBER(I869),I869&lt;=ASOF+14,J869&gt;=ASOF-7),"ช่วงนี้","")))</f>
        <v/>
      </c>
      <c r="L869" s="59"/>
      <c r="M869" s="60"/>
    </row>
    <row r="870" customFormat="false" ht="15" hidden="false" customHeight="false" outlineLevel="0" collapsed="false">
      <c r="A870" s="54" t="s">
        <v>82</v>
      </c>
      <c r="B870" s="55" t="s">
        <v>484</v>
      </c>
      <c r="C870" s="56" t="s">
        <v>485</v>
      </c>
      <c r="D870" s="57" t="s">
        <v>84</v>
      </c>
      <c r="E870" s="57" t="s">
        <v>338</v>
      </c>
      <c r="F870" s="61" t="s">
        <v>339</v>
      </c>
      <c r="G870" s="55" t="s">
        <v>340</v>
      </c>
      <c r="H870" s="56" t="str">
        <f aca="false">IF(COUNTIFS(SITE_ST,"P9-011",SITE_TYPE,"?*")&gt;0,"ตามจุดติดตั้ง →","0/100")</f>
        <v>ตามจุดติดตั้ง →</v>
      </c>
      <c r="I870" s="58" t="n">
        <f aca="false">'P9-011'!$N$75</f>
        <v>46345</v>
      </c>
      <c r="J870" s="58" t="n">
        <f aca="false">'P9-011'!$O$75</f>
        <v>46346</v>
      </c>
      <c r="K870" s="56" t="str">
        <f aca="false">IF(OR(L870="Y",LEFT('P9-011'!$T$75,1)="D"),"",IF(AND(ISNUMBER(J870),J870&lt;ASOF),"⚠ เลยกำหนด",IF(AND(ISNUMBER(I870),I870&lt;=ASOF+14,J870&gt;=ASOF-7),"ช่วงนี้","")))</f>
        <v/>
      </c>
      <c r="L870" s="59"/>
      <c r="M870" s="60"/>
    </row>
    <row r="871" customFormat="false" ht="15" hidden="false" customHeight="false" outlineLevel="0" collapsed="false">
      <c r="A871" s="54" t="s">
        <v>82</v>
      </c>
      <c r="B871" s="55" t="s">
        <v>484</v>
      </c>
      <c r="C871" s="56" t="s">
        <v>485</v>
      </c>
      <c r="D871" s="57" t="s">
        <v>84</v>
      </c>
      <c r="E871" s="57" t="s">
        <v>341</v>
      </c>
      <c r="F871" s="55" t="s">
        <v>342</v>
      </c>
      <c r="G871" s="55" t="s">
        <v>343</v>
      </c>
      <c r="H871" s="56" t="str">
        <f aca="false">IF(COUNTIFS(SITE_ST,"P9-011",SITE_TYPE,"?*")&gt;0,"ตามจุดติดตั้ง →","0/100")</f>
        <v>ตามจุดติดตั้ง →</v>
      </c>
      <c r="I871" s="58" t="n">
        <f aca="false">'P9-011'!$N$77</f>
        <v>46342</v>
      </c>
      <c r="J871" s="58" t="n">
        <f aca="false">'P9-011'!$O$77</f>
        <v>46344</v>
      </c>
      <c r="K871" s="56" t="str">
        <f aca="false">IF(OR(L871="Y",LEFT('P9-011'!$T$77,1)="D"),"",IF(AND(ISNUMBER(J871),J871&lt;ASOF),"⚠ เลยกำหนด",IF(AND(ISNUMBER(I871),I871&lt;=ASOF+14,J871&gt;=ASOF-7),"ช่วงนี้","")))</f>
        <v>ช่วงนี้</v>
      </c>
      <c r="L871" s="59"/>
      <c r="M871" s="60"/>
    </row>
    <row r="872" customFormat="false" ht="15" hidden="false" customHeight="false" outlineLevel="0" collapsed="false">
      <c r="A872" s="54" t="s">
        <v>82</v>
      </c>
      <c r="B872" s="55" t="s">
        <v>484</v>
      </c>
      <c r="C872" s="56" t="s">
        <v>485</v>
      </c>
      <c r="D872" s="57" t="s">
        <v>84</v>
      </c>
      <c r="E872" s="57" t="s">
        <v>344</v>
      </c>
      <c r="F872" s="55" t="s">
        <v>345</v>
      </c>
      <c r="G872" s="55" t="s">
        <v>346</v>
      </c>
      <c r="H872" s="56" t="str">
        <f aca="false">IF(COUNTIFS(SITE_ST,"P9-011",SITE_TYPE,"?*")&gt;0,"ตามจุดติดตั้ง →","50/50")</f>
        <v>ตามจุดติดตั้ง →</v>
      </c>
      <c r="I872" s="58" t="n">
        <f aca="false">'P9-011'!$N$78</f>
        <v>46343</v>
      </c>
      <c r="J872" s="58" t="n">
        <f aca="false">'P9-011'!$O$78</f>
        <v>46346</v>
      </c>
      <c r="K872" s="56" t="str">
        <f aca="false">IF(OR(L872="Y",LEFT('P9-011'!$T$78,1)="D"),"",IF(AND(ISNUMBER(J872),J872&lt;ASOF),"⚠ เลยกำหนด",IF(AND(ISNUMBER(I872),I872&lt;=ASOF+14,J872&gt;=ASOF-7),"ช่วงนี้","")))</f>
        <v/>
      </c>
      <c r="L872" s="59"/>
      <c r="M872" s="60"/>
    </row>
    <row r="873" customFormat="false" ht="15" hidden="false" customHeight="false" outlineLevel="0" collapsed="false">
      <c r="A873" s="54" t="s">
        <v>82</v>
      </c>
      <c r="B873" s="55" t="s">
        <v>484</v>
      </c>
      <c r="C873" s="56" t="s">
        <v>485</v>
      </c>
      <c r="D873" s="57" t="s">
        <v>84</v>
      </c>
      <c r="E873" s="57" t="s">
        <v>347</v>
      </c>
      <c r="F873" s="61" t="s">
        <v>348</v>
      </c>
      <c r="G873" s="55" t="s">
        <v>349</v>
      </c>
      <c r="H873" s="56" t="str">
        <f aca="false">IF(COUNTIFS(SITE_ST,"P9-011",SITE_TYPE,"?*")&gt;0,"ตามจุดติดตั้ง →","50/50")</f>
        <v>ตามจุดติดตั้ง →</v>
      </c>
      <c r="I873" s="58" t="n">
        <f aca="false">'P9-011'!$N$79</f>
        <v>46344</v>
      </c>
      <c r="J873" s="58" t="n">
        <f aca="false">'P9-011'!$O$79</f>
        <v>46347</v>
      </c>
      <c r="K873" s="56" t="str">
        <f aca="false">IF(OR(L873="Y",LEFT('P9-011'!$T$79,1)="D"),"",IF(AND(ISNUMBER(J873),J873&lt;ASOF),"⚠ เลยกำหนด",IF(AND(ISNUMBER(I873),I873&lt;=ASOF+14,J873&gt;=ASOF-7),"ช่วงนี้","")))</f>
        <v/>
      </c>
      <c r="L873" s="59"/>
      <c r="M873" s="60"/>
    </row>
    <row r="874" customFormat="false" ht="15" hidden="false" customHeight="false" outlineLevel="0" collapsed="false">
      <c r="A874" s="54" t="s">
        <v>82</v>
      </c>
      <c r="B874" s="55" t="s">
        <v>484</v>
      </c>
      <c r="C874" s="56" t="s">
        <v>485</v>
      </c>
      <c r="D874" s="57" t="s">
        <v>84</v>
      </c>
      <c r="E874" s="57" t="s">
        <v>350</v>
      </c>
      <c r="F874" s="61" t="s">
        <v>351</v>
      </c>
      <c r="G874" s="55" t="s">
        <v>352</v>
      </c>
      <c r="H874" s="56" t="str">
        <f aca="false">IF(COUNTIFS(SITE_ST,"P9-011",SITE_TYPE,"?*")&gt;0,"ตามจุดติดตั้ง →","0/100")</f>
        <v>ตามจุดติดตั้ง →</v>
      </c>
      <c r="I874" s="58" t="n">
        <f aca="false">'P9-011'!$N$80</f>
        <v>46346</v>
      </c>
      <c r="J874" s="58" t="n">
        <f aca="false">'P9-011'!$O$80</f>
        <v>46347</v>
      </c>
      <c r="K874" s="56" t="str">
        <f aca="false">IF(OR(L874="Y",LEFT('P9-011'!$T$80,1)="D"),"",IF(AND(ISNUMBER(J874),J874&lt;ASOF),"⚠ เลยกำหนด",IF(AND(ISNUMBER(I874),I874&lt;=ASOF+14,J874&gt;=ASOF-7),"ช่วงนี้","")))</f>
        <v/>
      </c>
      <c r="L874" s="59"/>
      <c r="M874" s="60"/>
    </row>
    <row r="875" customFormat="false" ht="15" hidden="false" customHeight="false" outlineLevel="0" collapsed="false">
      <c r="A875" s="54" t="s">
        <v>82</v>
      </c>
      <c r="B875" s="55" t="s">
        <v>484</v>
      </c>
      <c r="C875" s="56" t="s">
        <v>485</v>
      </c>
      <c r="D875" s="57" t="s">
        <v>84</v>
      </c>
      <c r="E875" s="57" t="s">
        <v>353</v>
      </c>
      <c r="F875" s="61" t="s">
        <v>354</v>
      </c>
      <c r="G875" s="55" t="s">
        <v>355</v>
      </c>
      <c r="H875" s="56" t="str">
        <f aca="false">IF(COUNTIFS(SITE_ST,"P9-011",SITE_TYPE,"?*")&gt;0,"ตามจุดติดตั้ง →","0/100")</f>
        <v>ตามจุดติดตั้ง →</v>
      </c>
      <c r="I875" s="58" t="n">
        <f aca="false">'P9-011'!$N$81</f>
        <v>46347</v>
      </c>
      <c r="J875" s="58" t="n">
        <f aca="false">'P9-011'!$O$81</f>
        <v>46347</v>
      </c>
      <c r="K875" s="56" t="str">
        <f aca="false">IF(OR(L875="Y",LEFT('P9-011'!$T$81,1)="D"),"",IF(AND(ISNUMBER(J875),J875&lt;ASOF),"⚠ เลยกำหนด",IF(AND(ISNUMBER(I875),I875&lt;=ASOF+14,J875&gt;=ASOF-7),"ช่วงนี้","")))</f>
        <v/>
      </c>
      <c r="L875" s="59"/>
      <c r="M875" s="60"/>
    </row>
    <row r="876" customFormat="false" ht="15" hidden="false" customHeight="false" outlineLevel="0" collapsed="false">
      <c r="A876" s="54" t="s">
        <v>82</v>
      </c>
      <c r="B876" s="55" t="s">
        <v>484</v>
      </c>
      <c r="C876" s="56" t="s">
        <v>485</v>
      </c>
      <c r="D876" s="57" t="s">
        <v>84</v>
      </c>
      <c r="E876" s="57" t="s">
        <v>356</v>
      </c>
      <c r="F876" s="55" t="s">
        <v>357</v>
      </c>
      <c r="G876" s="55" t="s">
        <v>358</v>
      </c>
      <c r="H876" s="57" t="s">
        <v>211</v>
      </c>
      <c r="I876" s="58" t="n">
        <f aca="false">'P9-011'!$N$83</f>
        <v>46345</v>
      </c>
      <c r="J876" s="58" t="n">
        <f aca="false">'P9-011'!$O$83</f>
        <v>46346</v>
      </c>
      <c r="K876" s="56" t="str">
        <f aca="false">IF(OR(L876="Y",LEFT('P9-011'!$T$83,1)="D"),"",IF(AND(ISNUMBER(J876),J876&lt;ASOF),"⚠ เลยกำหนด",IF(AND(ISNUMBER(I876),I876&lt;=ASOF+14,J876&gt;=ASOF-7),"ช่วงนี้","")))</f>
        <v/>
      </c>
      <c r="L876" s="59"/>
      <c r="M876" s="60"/>
    </row>
    <row r="877" customFormat="false" ht="15" hidden="false" customHeight="false" outlineLevel="0" collapsed="false">
      <c r="A877" s="54" t="s">
        <v>82</v>
      </c>
      <c r="B877" s="55" t="s">
        <v>484</v>
      </c>
      <c r="C877" s="56" t="s">
        <v>485</v>
      </c>
      <c r="D877" s="57" t="s">
        <v>84</v>
      </c>
      <c r="E877" s="57" t="s">
        <v>359</v>
      </c>
      <c r="F877" s="55" t="s">
        <v>360</v>
      </c>
      <c r="G877" s="55" t="s">
        <v>361</v>
      </c>
      <c r="H877" s="57" t="s">
        <v>211</v>
      </c>
      <c r="I877" s="58" t="n">
        <f aca="false">'P9-011'!$N$84</f>
        <v>46346</v>
      </c>
      <c r="J877" s="58" t="n">
        <f aca="false">'P9-011'!$O$84</f>
        <v>46347</v>
      </c>
      <c r="K877" s="56" t="str">
        <f aca="false">IF(OR(L877="Y",LEFT('P9-011'!$T$84,1)="D"),"",IF(AND(ISNUMBER(J877),J877&lt;ASOF),"⚠ เลยกำหนด",IF(AND(ISNUMBER(I877),I877&lt;=ASOF+14,J877&gt;=ASOF-7),"ช่วงนี้","")))</f>
        <v/>
      </c>
      <c r="L877" s="59"/>
      <c r="M877" s="60"/>
    </row>
    <row r="878" customFormat="false" ht="15" hidden="false" customHeight="false" outlineLevel="0" collapsed="false">
      <c r="A878" s="54" t="s">
        <v>82</v>
      </c>
      <c r="B878" s="55" t="s">
        <v>484</v>
      </c>
      <c r="C878" s="56" t="s">
        <v>485</v>
      </c>
      <c r="D878" s="57" t="s">
        <v>84</v>
      </c>
      <c r="E878" s="57" t="s">
        <v>362</v>
      </c>
      <c r="F878" s="61" t="s">
        <v>363</v>
      </c>
      <c r="G878" s="61" t="s">
        <v>364</v>
      </c>
      <c r="H878" s="56" t="s">
        <v>365</v>
      </c>
      <c r="I878" s="58" t="n">
        <f aca="false">'P9-011'!$N$86</f>
        <v>46343</v>
      </c>
      <c r="J878" s="58" t="n">
        <f aca="false">'P9-011'!$O$86</f>
        <v>46345</v>
      </c>
      <c r="K878" s="56" t="str">
        <f aca="false">IF(OR(L878="Y",LEFT('P9-011'!$T$86,1)="D"),"",IF(AND(ISNUMBER(J878),J878&lt;ASOF),"⚠ เลยกำหนด",IF(AND(ISNUMBER(I878),I878&lt;=ASOF+14,J878&gt;=ASOF-7),"ช่วงนี้","")))</f>
        <v/>
      </c>
      <c r="L878" s="59"/>
      <c r="M878" s="60"/>
    </row>
    <row r="879" customFormat="false" ht="15" hidden="false" customHeight="false" outlineLevel="0" collapsed="false">
      <c r="A879" s="54" t="s">
        <v>82</v>
      </c>
      <c r="B879" s="55" t="s">
        <v>484</v>
      </c>
      <c r="C879" s="56" t="s">
        <v>485</v>
      </c>
      <c r="D879" s="57" t="s">
        <v>84</v>
      </c>
      <c r="E879" s="57" t="s">
        <v>366</v>
      </c>
      <c r="F879" s="61" t="s">
        <v>367</v>
      </c>
      <c r="G879" s="61" t="s">
        <v>368</v>
      </c>
      <c r="H879" s="57" t="s">
        <v>369</v>
      </c>
      <c r="I879" s="58" t="n">
        <f aca="false">'P9-011'!$N$87</f>
        <v>46344</v>
      </c>
      <c r="J879" s="58" t="n">
        <f aca="false">'P9-011'!$O$87</f>
        <v>46346</v>
      </c>
      <c r="K879" s="56" t="str">
        <f aca="false">IF(OR(L879="Y",LEFT('P9-011'!$T$87,1)="D"),"",IF(AND(ISNUMBER(J879),J879&lt;ASOF),"⚠ เลยกำหนด",IF(AND(ISNUMBER(I879),I879&lt;=ASOF+14,J879&gt;=ASOF-7),"ช่วงนี้","")))</f>
        <v/>
      </c>
      <c r="L879" s="59"/>
      <c r="M879" s="60"/>
    </row>
    <row r="880" customFormat="false" ht="15" hidden="false" customHeight="false" outlineLevel="0" collapsed="false">
      <c r="A880" s="54" t="s">
        <v>82</v>
      </c>
      <c r="B880" s="55" t="s">
        <v>484</v>
      </c>
      <c r="C880" s="56" t="s">
        <v>485</v>
      </c>
      <c r="D880" s="57" t="s">
        <v>84</v>
      </c>
      <c r="E880" s="57" t="s">
        <v>370</v>
      </c>
      <c r="F880" s="55" t="s">
        <v>371</v>
      </c>
      <c r="G880" s="55" t="s">
        <v>372</v>
      </c>
      <c r="H880" s="57" t="s">
        <v>211</v>
      </c>
      <c r="I880" s="58" t="n">
        <f aca="false">'P9-011'!$N$88</f>
        <v>46345</v>
      </c>
      <c r="J880" s="58" t="n">
        <f aca="false">'P9-011'!$O$88</f>
        <v>46346</v>
      </c>
      <c r="K880" s="56" t="str">
        <f aca="false">IF(OR(L880="Y",LEFT('P9-011'!$T$88,1)="D"),"",IF(AND(ISNUMBER(J880),J880&lt;ASOF),"⚠ เลยกำหนด",IF(AND(ISNUMBER(I880),I880&lt;=ASOF+14,J880&gt;=ASOF-7),"ช่วงนี้","")))</f>
        <v/>
      </c>
      <c r="L880" s="59"/>
      <c r="M880" s="60"/>
    </row>
    <row r="881" customFormat="false" ht="15" hidden="false" customHeight="false" outlineLevel="0" collapsed="false">
      <c r="A881" s="54" t="s">
        <v>82</v>
      </c>
      <c r="B881" s="55" t="s">
        <v>484</v>
      </c>
      <c r="C881" s="56" t="s">
        <v>485</v>
      </c>
      <c r="D881" s="57" t="s">
        <v>84</v>
      </c>
      <c r="E881" s="57" t="s">
        <v>373</v>
      </c>
      <c r="F881" s="61" t="s">
        <v>374</v>
      </c>
      <c r="G881" s="55" t="s">
        <v>375</v>
      </c>
      <c r="H881" s="57" t="s">
        <v>211</v>
      </c>
      <c r="I881" s="58" t="n">
        <f aca="false">'P9-011'!$N$89</f>
        <v>46346</v>
      </c>
      <c r="J881" s="58" t="n">
        <f aca="false">'P9-011'!$O$89</f>
        <v>46346</v>
      </c>
      <c r="K881" s="56" t="str">
        <f aca="false">IF(OR(L881="Y",LEFT('P9-011'!$T$89,1)="D"),"",IF(AND(ISNUMBER(J881),J881&lt;ASOF),"⚠ เลยกำหนด",IF(AND(ISNUMBER(I881),I881&lt;=ASOF+14,J881&gt;=ASOF-7),"ช่วงนี้","")))</f>
        <v/>
      </c>
      <c r="L881" s="59"/>
      <c r="M881" s="60"/>
    </row>
    <row r="882" customFormat="false" ht="15" hidden="false" customHeight="false" outlineLevel="0" collapsed="false">
      <c r="A882" s="54" t="s">
        <v>82</v>
      </c>
      <c r="B882" s="55" t="s">
        <v>484</v>
      </c>
      <c r="C882" s="56" t="s">
        <v>485</v>
      </c>
      <c r="D882" s="57" t="s">
        <v>84</v>
      </c>
      <c r="E882" s="57" t="s">
        <v>376</v>
      </c>
      <c r="F882" s="55" t="s">
        <v>377</v>
      </c>
      <c r="G882" s="55" t="s">
        <v>378</v>
      </c>
      <c r="H882" s="57" t="s">
        <v>369</v>
      </c>
      <c r="I882" s="58" t="n">
        <f aca="false">'P9-011'!$N$91</f>
        <v>46344</v>
      </c>
      <c r="J882" s="58" t="n">
        <f aca="false">'P9-011'!$O$91</f>
        <v>46346</v>
      </c>
      <c r="K882" s="56" t="str">
        <f aca="false">IF(OR(L882="Y",LEFT('P9-011'!$T$91,1)="D"),"",IF(AND(ISNUMBER(J882),J882&lt;ASOF),"⚠ เลยกำหนด",IF(AND(ISNUMBER(I882),I882&lt;=ASOF+14,J882&gt;=ASOF-7),"ช่วงนี้","")))</f>
        <v/>
      </c>
      <c r="L882" s="59"/>
      <c r="M882" s="60"/>
    </row>
    <row r="883" customFormat="false" ht="15" hidden="false" customHeight="false" outlineLevel="0" collapsed="false">
      <c r="A883" s="54" t="s">
        <v>82</v>
      </c>
      <c r="B883" s="55" t="s">
        <v>484</v>
      </c>
      <c r="C883" s="56" t="s">
        <v>485</v>
      </c>
      <c r="D883" s="57" t="s">
        <v>84</v>
      </c>
      <c r="E883" s="57" t="s">
        <v>379</v>
      </c>
      <c r="F883" s="61" t="s">
        <v>380</v>
      </c>
      <c r="G883" s="61" t="s">
        <v>381</v>
      </c>
      <c r="H883" s="57" t="s">
        <v>211</v>
      </c>
      <c r="I883" s="58" t="n">
        <f aca="false">'P9-011'!$N$92</f>
        <v>46346</v>
      </c>
      <c r="J883" s="58" t="n">
        <f aca="false">'P9-011'!$O$92</f>
        <v>46347</v>
      </c>
      <c r="K883" s="56" t="str">
        <f aca="false">IF(OR(L883="Y",LEFT('P9-011'!$T$92,1)="D"),"",IF(AND(ISNUMBER(J883),J883&lt;ASOF),"⚠ เลยกำหนด",IF(AND(ISNUMBER(I883),I883&lt;=ASOF+14,J883&gt;=ASOF-7),"ช่วงนี้","")))</f>
        <v/>
      </c>
      <c r="L883" s="59"/>
      <c r="M883" s="60"/>
    </row>
    <row r="884" customFormat="false" ht="15" hidden="false" customHeight="false" outlineLevel="0" collapsed="false">
      <c r="A884" s="54" t="s">
        <v>82</v>
      </c>
      <c r="B884" s="55" t="s">
        <v>484</v>
      </c>
      <c r="C884" s="56" t="s">
        <v>485</v>
      </c>
      <c r="D884" s="57" t="s">
        <v>84</v>
      </c>
      <c r="E884" s="57" t="s">
        <v>382</v>
      </c>
      <c r="F884" s="55" t="s">
        <v>383</v>
      </c>
      <c r="G884" s="55" t="s">
        <v>384</v>
      </c>
      <c r="H884" s="57" t="s">
        <v>369</v>
      </c>
      <c r="I884" s="58" t="n">
        <f aca="false">'P9-011'!$N$93</f>
        <v>46344</v>
      </c>
      <c r="J884" s="58" t="n">
        <f aca="false">'P9-011'!$O$93</f>
        <v>46346</v>
      </c>
      <c r="K884" s="56" t="str">
        <f aca="false">IF(OR(L884="Y",LEFT('P9-011'!$T$93,1)="D"),"",IF(AND(ISNUMBER(J884),J884&lt;ASOF),"⚠ เลยกำหนด",IF(AND(ISNUMBER(I884),I884&lt;=ASOF+14,J884&gt;=ASOF-7),"ช่วงนี้","")))</f>
        <v/>
      </c>
      <c r="L884" s="59"/>
      <c r="M884" s="60"/>
    </row>
    <row r="885" customFormat="false" ht="15" hidden="false" customHeight="false" outlineLevel="0" collapsed="false">
      <c r="A885" s="54" t="s">
        <v>82</v>
      </c>
      <c r="B885" s="55" t="s">
        <v>484</v>
      </c>
      <c r="C885" s="56" t="s">
        <v>485</v>
      </c>
      <c r="D885" s="57" t="s">
        <v>84</v>
      </c>
      <c r="E885" s="57" t="s">
        <v>385</v>
      </c>
      <c r="F885" s="55" t="s">
        <v>386</v>
      </c>
      <c r="G885" s="55" t="s">
        <v>387</v>
      </c>
      <c r="H885" s="57" t="s">
        <v>211</v>
      </c>
      <c r="I885" s="58" t="n">
        <f aca="false">'P9-011'!$N$94</f>
        <v>46346</v>
      </c>
      <c r="J885" s="58" t="n">
        <f aca="false">'P9-011'!$O$94</f>
        <v>46347</v>
      </c>
      <c r="K885" s="56" t="str">
        <f aca="false">IF(OR(L885="Y",LEFT('P9-011'!$T$94,1)="D"),"",IF(AND(ISNUMBER(J885),J885&lt;ASOF),"⚠ เลยกำหนด",IF(AND(ISNUMBER(I885),I885&lt;=ASOF+14,J885&gt;=ASOF-7),"ช่วงนี้","")))</f>
        <v/>
      </c>
      <c r="L885" s="59"/>
      <c r="M885" s="60"/>
    </row>
    <row r="886" customFormat="false" ht="15" hidden="false" customHeight="false" outlineLevel="0" collapsed="false">
      <c r="A886" s="54" t="s">
        <v>82</v>
      </c>
      <c r="B886" s="55" t="s">
        <v>484</v>
      </c>
      <c r="C886" s="56" t="s">
        <v>485</v>
      </c>
      <c r="D886" s="57" t="s">
        <v>84</v>
      </c>
      <c r="E886" s="57" t="s">
        <v>388</v>
      </c>
      <c r="F886" s="61" t="s">
        <v>389</v>
      </c>
      <c r="G886" s="55" t="s">
        <v>390</v>
      </c>
      <c r="H886" s="57" t="s">
        <v>211</v>
      </c>
      <c r="I886" s="58" t="n">
        <f aca="false">'P9-011'!$N$95</f>
        <v>46347</v>
      </c>
      <c r="J886" s="58" t="n">
        <f aca="false">'P9-011'!$O$95</f>
        <v>46347</v>
      </c>
      <c r="K886" s="56" t="str">
        <f aca="false">IF(OR(L886="Y",LEFT('P9-011'!$T$95,1)="D"),"",IF(AND(ISNUMBER(J886),J886&lt;ASOF),"⚠ เลยกำหนด",IF(AND(ISNUMBER(I886),I886&lt;=ASOF+14,J886&gt;=ASOF-7),"ช่วงนี้","")))</f>
        <v/>
      </c>
      <c r="L886" s="59"/>
      <c r="M886" s="60"/>
    </row>
    <row r="887" customFormat="false" ht="15" hidden="false" customHeight="false" outlineLevel="0" collapsed="false">
      <c r="A887" s="54" t="s">
        <v>82</v>
      </c>
      <c r="B887" s="55" t="s">
        <v>484</v>
      </c>
      <c r="C887" s="56" t="s">
        <v>485</v>
      </c>
      <c r="D887" s="57" t="s">
        <v>84</v>
      </c>
      <c r="E887" s="57" t="s">
        <v>391</v>
      </c>
      <c r="F887" s="55" t="s">
        <v>392</v>
      </c>
      <c r="G887" s="55" t="s">
        <v>393</v>
      </c>
      <c r="H887" s="57" t="s">
        <v>369</v>
      </c>
      <c r="I887" s="58" t="n">
        <f aca="false">'P9-011'!$N$97</f>
        <v>46345</v>
      </c>
      <c r="J887" s="58" t="n">
        <f aca="false">'P9-011'!$O$97</f>
        <v>46347</v>
      </c>
      <c r="K887" s="56" t="str">
        <f aca="false">IF(OR(L887="Y",LEFT('P9-011'!$T$97,1)="D"),"",IF(AND(ISNUMBER(J887),J887&lt;ASOF),"⚠ เลยกำหนด",IF(AND(ISNUMBER(I887),I887&lt;=ASOF+14,J887&gt;=ASOF-7),"ช่วงนี้","")))</f>
        <v/>
      </c>
      <c r="L887" s="59"/>
      <c r="M887" s="60"/>
    </row>
    <row r="888" customFormat="false" ht="15" hidden="false" customHeight="false" outlineLevel="0" collapsed="false">
      <c r="A888" s="54" t="s">
        <v>82</v>
      </c>
      <c r="B888" s="55" t="s">
        <v>484</v>
      </c>
      <c r="C888" s="56" t="s">
        <v>485</v>
      </c>
      <c r="D888" s="57" t="s">
        <v>84</v>
      </c>
      <c r="E888" s="57" t="s">
        <v>394</v>
      </c>
      <c r="F888" s="55" t="s">
        <v>395</v>
      </c>
      <c r="G888" s="55" t="s">
        <v>396</v>
      </c>
      <c r="H888" s="57" t="s">
        <v>211</v>
      </c>
      <c r="I888" s="58" t="n">
        <f aca="false">'P9-011'!$N$98</f>
        <v>46346</v>
      </c>
      <c r="J888" s="58" t="n">
        <f aca="false">'P9-011'!$O$98</f>
        <v>46347</v>
      </c>
      <c r="K888" s="56" t="str">
        <f aca="false">IF(OR(L888="Y",LEFT('P9-011'!$T$98,1)="D"),"",IF(AND(ISNUMBER(J888),J888&lt;ASOF),"⚠ เลยกำหนด",IF(AND(ISNUMBER(I888),I888&lt;=ASOF+14,J888&gt;=ASOF-7),"ช่วงนี้","")))</f>
        <v/>
      </c>
      <c r="L888" s="59"/>
      <c r="M888" s="60"/>
    </row>
    <row r="889" customFormat="false" ht="15" hidden="false" customHeight="false" outlineLevel="0" collapsed="false">
      <c r="A889" s="54" t="s">
        <v>82</v>
      </c>
      <c r="B889" s="55" t="s">
        <v>484</v>
      </c>
      <c r="C889" s="56" t="s">
        <v>485</v>
      </c>
      <c r="D889" s="57" t="s">
        <v>84</v>
      </c>
      <c r="E889" s="57" t="s">
        <v>397</v>
      </c>
      <c r="F889" s="61" t="s">
        <v>398</v>
      </c>
      <c r="G889" s="55" t="s">
        <v>399</v>
      </c>
      <c r="H889" s="57" t="s">
        <v>211</v>
      </c>
      <c r="I889" s="58" t="n">
        <f aca="false">'P9-011'!$N$99</f>
        <v>46347</v>
      </c>
      <c r="J889" s="58" t="n">
        <f aca="false">'P9-011'!$O$99</f>
        <v>46347</v>
      </c>
      <c r="K889" s="56" t="str">
        <f aca="false">IF(OR(L889="Y",LEFT('P9-011'!$T$99,1)="D"),"",IF(AND(ISNUMBER(J889),J889&lt;ASOF),"⚠ เลยกำหนด",IF(AND(ISNUMBER(I889),I889&lt;=ASOF+14,J889&gt;=ASOF-7),"ช่วงนี้","")))</f>
        <v/>
      </c>
      <c r="L889" s="59"/>
      <c r="M889" s="60"/>
    </row>
    <row r="890" customFormat="false" ht="15" hidden="false" customHeight="false" outlineLevel="0" collapsed="false">
      <c r="A890" s="54" t="s">
        <v>82</v>
      </c>
      <c r="B890" s="55" t="s">
        <v>484</v>
      </c>
      <c r="C890" s="56" t="s">
        <v>485</v>
      </c>
      <c r="D890" s="57" t="s">
        <v>84</v>
      </c>
      <c r="E890" s="57" t="s">
        <v>467</v>
      </c>
      <c r="F890" s="61" t="s">
        <v>468</v>
      </c>
      <c r="G890" s="61" t="s">
        <v>469</v>
      </c>
      <c r="H890" s="57" t="s">
        <v>211</v>
      </c>
      <c r="I890" s="58" t="n">
        <f aca="false">'P9-011'!$N$103</f>
        <v>46346</v>
      </c>
      <c r="J890" s="58" t="n">
        <f aca="false">'P9-011'!$O$103</f>
        <v>46347</v>
      </c>
      <c r="K890" s="56" t="str">
        <f aca="false">IF(OR(L890="Y",LEFT('P9-011'!$T$103,1)="D"),"",IF(AND(ISNUMBER(J890),J890&lt;ASOF),"⚠ เลยกำหนด",IF(AND(ISNUMBER(I890),I890&lt;=ASOF+14,J890&gt;=ASOF-7),"ช่วงนี้","")))</f>
        <v/>
      </c>
      <c r="L890" s="59"/>
      <c r="M890" s="60"/>
    </row>
    <row r="891" customFormat="false" ht="15" hidden="false" customHeight="false" outlineLevel="0" collapsed="false">
      <c r="A891" s="54" t="s">
        <v>82</v>
      </c>
      <c r="B891" s="55" t="s">
        <v>484</v>
      </c>
      <c r="C891" s="56" t="s">
        <v>485</v>
      </c>
      <c r="D891" s="57" t="s">
        <v>84</v>
      </c>
      <c r="E891" s="57" t="s">
        <v>403</v>
      </c>
      <c r="F891" s="55" t="s">
        <v>404</v>
      </c>
      <c r="G891" s="55" t="s">
        <v>405</v>
      </c>
      <c r="H891" s="57" t="s">
        <v>211</v>
      </c>
      <c r="I891" s="58" t="n">
        <f aca="false">'P9-011'!$N$104</f>
        <v>46347</v>
      </c>
      <c r="J891" s="58" t="n">
        <f aca="false">'P9-011'!$O$104</f>
        <v>46348</v>
      </c>
      <c r="K891" s="56" t="str">
        <f aca="false">IF(OR(L891="Y",LEFT('P9-011'!$T$104,1)="D"),"",IF(AND(ISNUMBER(J891),J891&lt;ASOF),"⚠ เลยกำหนด",IF(AND(ISNUMBER(I891),I891&lt;=ASOF+14,J891&gt;=ASOF-7),"ช่วงนี้","")))</f>
        <v/>
      </c>
      <c r="L891" s="59"/>
      <c r="M891" s="60"/>
    </row>
    <row r="892" customFormat="false" ht="15" hidden="false" customHeight="false" outlineLevel="0" collapsed="false">
      <c r="A892" s="54" t="s">
        <v>82</v>
      </c>
      <c r="B892" s="55" t="s">
        <v>484</v>
      </c>
      <c r="C892" s="56" t="s">
        <v>485</v>
      </c>
      <c r="D892" s="57" t="s">
        <v>84</v>
      </c>
      <c r="E892" s="57" t="s">
        <v>406</v>
      </c>
      <c r="F892" s="55" t="s">
        <v>407</v>
      </c>
      <c r="G892" s="55" t="s">
        <v>408</v>
      </c>
      <c r="H892" s="57" t="s">
        <v>211</v>
      </c>
      <c r="I892" s="58" t="n">
        <f aca="false">'P9-011'!$N$105</f>
        <v>46347</v>
      </c>
      <c r="J892" s="58" t="n">
        <f aca="false">'P9-011'!$O$105</f>
        <v>46348</v>
      </c>
      <c r="K892" s="56" t="str">
        <f aca="false">IF(OR(L892="Y",LEFT('P9-011'!$T$105,1)="D"),"",IF(AND(ISNUMBER(J892),J892&lt;ASOF),"⚠ เลยกำหนด",IF(AND(ISNUMBER(I892),I892&lt;=ASOF+14,J892&gt;=ASOF-7),"ช่วงนี้","")))</f>
        <v/>
      </c>
      <c r="L892" s="59"/>
      <c r="M892" s="60"/>
    </row>
    <row r="893" customFormat="false" ht="15" hidden="false" customHeight="false" outlineLevel="0" collapsed="false">
      <c r="A893" s="54" t="s">
        <v>82</v>
      </c>
      <c r="B893" s="55" t="s">
        <v>484</v>
      </c>
      <c r="C893" s="56" t="s">
        <v>485</v>
      </c>
      <c r="D893" s="57" t="s">
        <v>84</v>
      </c>
      <c r="E893" s="57" t="s">
        <v>409</v>
      </c>
      <c r="F893" s="61" t="s">
        <v>410</v>
      </c>
      <c r="G893" s="55" t="s">
        <v>411</v>
      </c>
      <c r="H893" s="57" t="s">
        <v>211</v>
      </c>
      <c r="I893" s="58" t="n">
        <f aca="false">'P9-011'!$N$106</f>
        <v>46348</v>
      </c>
      <c r="J893" s="58" t="n">
        <f aca="false">'P9-011'!$O$106</f>
        <v>46348</v>
      </c>
      <c r="K893" s="56" t="str">
        <f aca="false">IF(OR(L893="Y",LEFT('P9-011'!$T$106,1)="D"),"",IF(AND(ISNUMBER(J893),J893&lt;ASOF),"⚠ เลยกำหนด",IF(AND(ISNUMBER(I893),I893&lt;=ASOF+14,J893&gt;=ASOF-7),"ช่วงนี้","")))</f>
        <v/>
      </c>
      <c r="L893" s="59"/>
      <c r="M893" s="60"/>
    </row>
    <row r="894" customFormat="false" ht="15" hidden="false" customHeight="false" outlineLevel="0" collapsed="false">
      <c r="A894" s="54" t="s">
        <v>82</v>
      </c>
      <c r="B894" s="55" t="s">
        <v>484</v>
      </c>
      <c r="C894" s="56" t="s">
        <v>485</v>
      </c>
      <c r="D894" s="57" t="s">
        <v>84</v>
      </c>
      <c r="E894" s="57" t="s">
        <v>412</v>
      </c>
      <c r="F894" s="61" t="s">
        <v>413</v>
      </c>
      <c r="G894" s="61" t="s">
        <v>414</v>
      </c>
      <c r="H894" s="57" t="s">
        <v>211</v>
      </c>
      <c r="I894" s="58" t="n">
        <f aca="false">'P9-011'!$N$108</f>
        <v>46347</v>
      </c>
      <c r="J894" s="58" t="n">
        <f aca="false">'P9-011'!$O$108</f>
        <v>46348</v>
      </c>
      <c r="K894" s="56" t="str">
        <f aca="false">IF(OR(L894="Y",LEFT('P9-011'!$T$108,1)="D"),"",IF(AND(ISNUMBER(J894),J894&lt;ASOF),"⚠ เลยกำหนด",IF(AND(ISNUMBER(I894),I894&lt;=ASOF+14,J894&gt;=ASOF-7),"ช่วงนี้","")))</f>
        <v/>
      </c>
      <c r="L894" s="59"/>
      <c r="M894" s="60"/>
    </row>
    <row r="895" customFormat="false" ht="15" hidden="false" customHeight="false" outlineLevel="0" collapsed="false">
      <c r="A895" s="54" t="s">
        <v>82</v>
      </c>
      <c r="B895" s="55" t="s">
        <v>484</v>
      </c>
      <c r="C895" s="56" t="s">
        <v>485</v>
      </c>
      <c r="D895" s="57" t="s">
        <v>84</v>
      </c>
      <c r="E895" s="57" t="s">
        <v>415</v>
      </c>
      <c r="F895" s="55" t="s">
        <v>416</v>
      </c>
      <c r="G895" s="55" t="s">
        <v>417</v>
      </c>
      <c r="H895" s="57" t="s">
        <v>211</v>
      </c>
      <c r="I895" s="58" t="n">
        <f aca="false">'P9-011'!$N$109</f>
        <v>46348</v>
      </c>
      <c r="J895" s="58" t="n">
        <f aca="false">'P9-011'!$O$109</f>
        <v>46348</v>
      </c>
      <c r="K895" s="56" t="str">
        <f aca="false">IF(OR(L895="Y",LEFT('P9-011'!$T$109,1)="D"),"",IF(AND(ISNUMBER(J895),J895&lt;ASOF),"⚠ เลยกำหนด",IF(AND(ISNUMBER(I895),I895&lt;=ASOF+14,J895&gt;=ASOF-7),"ช่วงนี้","")))</f>
        <v/>
      </c>
      <c r="L895" s="59"/>
      <c r="M895" s="60"/>
    </row>
    <row r="896" customFormat="false" ht="15" hidden="false" customHeight="false" outlineLevel="0" collapsed="false">
      <c r="A896" s="54" t="s">
        <v>82</v>
      </c>
      <c r="B896" s="55" t="s">
        <v>484</v>
      </c>
      <c r="C896" s="56" t="s">
        <v>485</v>
      </c>
      <c r="D896" s="57" t="s">
        <v>84</v>
      </c>
      <c r="E896" s="57" t="s">
        <v>418</v>
      </c>
      <c r="F896" s="61" t="s">
        <v>419</v>
      </c>
      <c r="G896" s="55" t="s">
        <v>420</v>
      </c>
      <c r="H896" s="57" t="s">
        <v>211</v>
      </c>
      <c r="I896" s="58" t="n">
        <f aca="false">'P9-011'!$N$110</f>
        <v>46347</v>
      </c>
      <c r="J896" s="58" t="n">
        <f aca="false">'P9-011'!$O$110</f>
        <v>46348</v>
      </c>
      <c r="K896" s="56" t="str">
        <f aca="false">IF(OR(L896="Y",LEFT('P9-011'!$T$110,1)="D"),"",IF(AND(ISNUMBER(J896),J896&lt;ASOF),"⚠ เลยกำหนด",IF(AND(ISNUMBER(I896),I896&lt;=ASOF+14,J896&gt;=ASOF-7),"ช่วงนี้","")))</f>
        <v/>
      </c>
      <c r="L896" s="59"/>
      <c r="M896" s="60"/>
    </row>
    <row r="897" customFormat="false" ht="15" hidden="false" customHeight="false" outlineLevel="0" collapsed="false">
      <c r="A897" s="54" t="s">
        <v>82</v>
      </c>
      <c r="B897" s="55" t="s">
        <v>484</v>
      </c>
      <c r="C897" s="56" t="s">
        <v>485</v>
      </c>
      <c r="D897" s="57" t="s">
        <v>84</v>
      </c>
      <c r="E897" s="57" t="s">
        <v>421</v>
      </c>
      <c r="F897" s="55" t="s">
        <v>422</v>
      </c>
      <c r="G897" s="55" t="s">
        <v>423</v>
      </c>
      <c r="H897" s="56" t="str">
        <f aca="false">IF(COUNTIFS(SITE_ST,"P9-011",SITE_TYPE,"?*")&gt;0,"ตามจุดติดตั้ง →","0/100")</f>
        <v>ตามจุดติดตั้ง →</v>
      </c>
      <c r="I897" s="58" t="n">
        <f aca="false">'P9-011'!$N$112</f>
        <v>46349</v>
      </c>
      <c r="J897" s="58" t="n">
        <f aca="false">'P9-011'!$O$112</f>
        <v>46349</v>
      </c>
      <c r="K897" s="56" t="str">
        <f aca="false">IF(OR(L897="Y",LEFT('P9-011'!$T$112,1)="D"),"",IF(AND(ISNUMBER(J897),J897&lt;ASOF),"⚠ เลยกำหนด",IF(AND(ISNUMBER(I897),I897&lt;=ASOF+14,J897&gt;=ASOF-7),"ช่วงนี้","")))</f>
        <v/>
      </c>
      <c r="L897" s="59"/>
      <c r="M897" s="60"/>
    </row>
    <row r="898" customFormat="false" ht="15" hidden="false" customHeight="false" outlineLevel="0" collapsed="false">
      <c r="A898" s="54" t="s">
        <v>82</v>
      </c>
      <c r="B898" s="55" t="s">
        <v>484</v>
      </c>
      <c r="C898" s="56" t="s">
        <v>485</v>
      </c>
      <c r="D898" s="57" t="s">
        <v>84</v>
      </c>
      <c r="E898" s="57" t="s">
        <v>424</v>
      </c>
      <c r="F898" s="55" t="s">
        <v>425</v>
      </c>
      <c r="G898" s="55" t="s">
        <v>426</v>
      </c>
      <c r="H898" s="56" t="str">
        <f aca="false">IF(COUNTIFS(SITE_ST,"P9-011",SITE_TYPE,"?*")&gt;0,"ตามจุดติดตั้ง →","0/100")</f>
        <v>ตามจุดติดตั้ง →</v>
      </c>
      <c r="I898" s="58" t="n">
        <f aca="false">'P9-011'!$N$113</f>
        <v>46349</v>
      </c>
      <c r="J898" s="58" t="n">
        <f aca="false">'P9-011'!$O$113</f>
        <v>46349</v>
      </c>
      <c r="K898" s="56" t="str">
        <f aca="false">IF(OR(L898="Y",LEFT('P9-011'!$T$113,1)="D"),"",IF(AND(ISNUMBER(J898),J898&lt;ASOF),"⚠ เลยกำหนด",IF(AND(ISNUMBER(I898),I898&lt;=ASOF+14,J898&gt;=ASOF-7),"ช่วงนี้","")))</f>
        <v/>
      </c>
      <c r="L898" s="59"/>
      <c r="M898" s="60"/>
    </row>
    <row r="899" customFormat="false" ht="15" hidden="false" customHeight="false" outlineLevel="0" collapsed="false">
      <c r="A899" s="54" t="s">
        <v>82</v>
      </c>
      <c r="B899" s="55" t="s">
        <v>484</v>
      </c>
      <c r="C899" s="56" t="s">
        <v>485</v>
      </c>
      <c r="D899" s="57" t="s">
        <v>84</v>
      </c>
      <c r="E899" s="57" t="s">
        <v>427</v>
      </c>
      <c r="F899" s="61" t="s">
        <v>428</v>
      </c>
      <c r="G899" s="61" t="s">
        <v>429</v>
      </c>
      <c r="H899" s="57" t="s">
        <v>211</v>
      </c>
      <c r="I899" s="58" t="n">
        <f aca="false">'P9-011'!$N$116</f>
        <v>46359</v>
      </c>
      <c r="J899" s="58" t="n">
        <f aca="false">'P9-011'!$O$116</f>
        <v>46359</v>
      </c>
      <c r="K899" s="56" t="str">
        <f aca="false">IF(OR(L899="Y",LEFT('P9-011'!$T$116,1)="D"),"",IF(AND(ISNUMBER(J899),J899&lt;ASOF),"⚠ เลยกำหนด",IF(AND(ISNUMBER(I899),I899&lt;=ASOF+14,J899&gt;=ASOF-7),"ช่วงนี้","")))</f>
        <v/>
      </c>
      <c r="L899" s="59"/>
      <c r="M899" s="60"/>
    </row>
    <row r="900" customFormat="false" ht="15" hidden="false" customHeight="false" outlineLevel="0" collapsed="false">
      <c r="A900" s="54" t="s">
        <v>82</v>
      </c>
      <c r="B900" s="55" t="s">
        <v>484</v>
      </c>
      <c r="C900" s="56" t="s">
        <v>485</v>
      </c>
      <c r="D900" s="57" t="s">
        <v>84</v>
      </c>
      <c r="E900" s="57" t="s">
        <v>430</v>
      </c>
      <c r="F900" s="55" t="s">
        <v>431</v>
      </c>
      <c r="G900" s="55" t="s">
        <v>432</v>
      </c>
      <c r="H900" s="57" t="s">
        <v>211</v>
      </c>
      <c r="I900" s="58" t="n">
        <f aca="false">'P9-011'!$N$117</f>
        <v>46359</v>
      </c>
      <c r="J900" s="58" t="n">
        <f aca="false">'P9-011'!$O$117</f>
        <v>46359</v>
      </c>
      <c r="K900" s="56" t="str">
        <f aca="false">IF(OR(L900="Y",LEFT('P9-011'!$T$117,1)="D"),"",IF(AND(ISNUMBER(J900),J900&lt;ASOF),"⚠ เลยกำหนด",IF(AND(ISNUMBER(I900),I900&lt;=ASOF+14,J900&gt;=ASOF-7),"ช่วงนี้","")))</f>
        <v/>
      </c>
      <c r="L900" s="59"/>
      <c r="M900" s="60"/>
    </row>
    <row r="901" customFormat="false" ht="15" hidden="false" customHeight="false" outlineLevel="0" collapsed="false">
      <c r="A901" s="54" t="s">
        <v>82</v>
      </c>
      <c r="B901" s="55" t="s">
        <v>484</v>
      </c>
      <c r="C901" s="56" t="s">
        <v>485</v>
      </c>
      <c r="D901" s="57" t="s">
        <v>84</v>
      </c>
      <c r="E901" s="57" t="s">
        <v>433</v>
      </c>
      <c r="F901" s="55" t="s">
        <v>434</v>
      </c>
      <c r="G901" s="55" t="s">
        <v>435</v>
      </c>
      <c r="H901" s="57" t="s">
        <v>211</v>
      </c>
      <c r="I901" s="58" t="n">
        <f aca="false">'P9-011'!$N$118</f>
        <v>46359</v>
      </c>
      <c r="J901" s="58" t="n">
        <f aca="false">'P9-011'!$O$118</f>
        <v>46359</v>
      </c>
      <c r="K901" s="56" t="str">
        <f aca="false">IF(OR(L901="Y",LEFT('P9-011'!$T$118,1)="D"),"",IF(AND(ISNUMBER(J901),J901&lt;ASOF),"⚠ เลยกำหนด",IF(AND(ISNUMBER(I901),I901&lt;=ASOF+14,J901&gt;=ASOF-7),"ช่วงนี้","")))</f>
        <v/>
      </c>
      <c r="L901" s="59"/>
      <c r="M901" s="60"/>
    </row>
    <row r="902" customFormat="false" ht="15" hidden="false" customHeight="false" outlineLevel="0" collapsed="false">
      <c r="A902" s="54" t="s">
        <v>82</v>
      </c>
      <c r="B902" s="55" t="s">
        <v>484</v>
      </c>
      <c r="C902" s="56" t="s">
        <v>485</v>
      </c>
      <c r="D902" s="57" t="s">
        <v>84</v>
      </c>
      <c r="E902" s="57" t="s">
        <v>436</v>
      </c>
      <c r="F902" s="55" t="s">
        <v>437</v>
      </c>
      <c r="G902" s="55" t="s">
        <v>438</v>
      </c>
      <c r="H902" s="57" t="s">
        <v>211</v>
      </c>
      <c r="I902" s="58" t="n">
        <f aca="false">'P9-011'!$N$119</f>
        <v>46359</v>
      </c>
      <c r="J902" s="58" t="n">
        <f aca="false">'P9-011'!$O$119</f>
        <v>46359</v>
      </c>
      <c r="K902" s="56" t="str">
        <f aca="false">IF(OR(L902="Y",LEFT('P9-011'!$T$119,1)="D"),"",IF(AND(ISNUMBER(J902),J902&lt;ASOF),"⚠ เลยกำหนด",IF(AND(ISNUMBER(I902),I902&lt;=ASOF+14,J902&gt;=ASOF-7),"ช่วงนี้","")))</f>
        <v/>
      </c>
      <c r="L902" s="59"/>
      <c r="M902" s="60"/>
    </row>
    <row r="903" customFormat="false" ht="15" hidden="false" customHeight="false" outlineLevel="0" collapsed="false">
      <c r="A903" s="54" t="s">
        <v>82</v>
      </c>
      <c r="B903" s="55" t="s">
        <v>484</v>
      </c>
      <c r="C903" s="56" t="s">
        <v>485</v>
      </c>
      <c r="D903" s="57" t="s">
        <v>84</v>
      </c>
      <c r="E903" s="57" t="s">
        <v>439</v>
      </c>
      <c r="F903" s="55" t="s">
        <v>440</v>
      </c>
      <c r="G903" s="55" t="s">
        <v>441</v>
      </c>
      <c r="H903" s="57" t="s">
        <v>211</v>
      </c>
      <c r="I903" s="58" t="n">
        <f aca="false">'P9-011'!$N$120</f>
        <v>46359</v>
      </c>
      <c r="J903" s="58" t="n">
        <f aca="false">'P9-011'!$O$120</f>
        <v>46359</v>
      </c>
      <c r="K903" s="56" t="str">
        <f aca="false">IF(OR(L903="Y",LEFT('P9-011'!$T$120,1)="D"),"",IF(AND(ISNUMBER(J903),J903&lt;ASOF),"⚠ เลยกำหนด",IF(AND(ISNUMBER(I903),I903&lt;=ASOF+14,J903&gt;=ASOF-7),"ช่วงนี้","")))</f>
        <v/>
      </c>
      <c r="L903" s="59"/>
      <c r="M903" s="60"/>
    </row>
    <row r="904" customFormat="false" ht="15" hidden="false" customHeight="false" outlineLevel="0" collapsed="false">
      <c r="A904" s="54" t="s">
        <v>82</v>
      </c>
      <c r="B904" s="55" t="s">
        <v>484</v>
      </c>
      <c r="C904" s="56" t="s">
        <v>485</v>
      </c>
      <c r="D904" s="57" t="s">
        <v>84</v>
      </c>
      <c r="E904" s="57" t="s">
        <v>442</v>
      </c>
      <c r="F904" s="55" t="s">
        <v>443</v>
      </c>
      <c r="G904" s="55" t="s">
        <v>444</v>
      </c>
      <c r="H904" s="57" t="s">
        <v>211</v>
      </c>
      <c r="I904" s="58" t="n">
        <f aca="false">'P9-011'!$N$121</f>
        <v>46359</v>
      </c>
      <c r="J904" s="58" t="n">
        <f aca="false">'P9-011'!$O$121</f>
        <v>46359</v>
      </c>
      <c r="K904" s="56" t="str">
        <f aca="false">IF(OR(L904="Y",LEFT('P9-011'!$T$121,1)="D"),"",IF(AND(ISNUMBER(J904),J904&lt;ASOF),"⚠ เลยกำหนด",IF(AND(ISNUMBER(I904),I904&lt;=ASOF+14,J904&gt;=ASOF-7),"ช่วงนี้","")))</f>
        <v/>
      </c>
      <c r="L904" s="59"/>
      <c r="M904" s="60"/>
    </row>
    <row r="905" customFormat="false" ht="15" hidden="false" customHeight="false" outlineLevel="0" collapsed="false">
      <c r="A905" s="54" t="s">
        <v>82</v>
      </c>
      <c r="B905" s="55" t="s">
        <v>484</v>
      </c>
      <c r="C905" s="56" t="s">
        <v>485</v>
      </c>
      <c r="D905" s="57" t="s">
        <v>84</v>
      </c>
      <c r="E905" s="57" t="s">
        <v>445</v>
      </c>
      <c r="F905" s="55" t="s">
        <v>446</v>
      </c>
      <c r="G905" s="55" t="s">
        <v>447</v>
      </c>
      <c r="H905" s="57" t="s">
        <v>211</v>
      </c>
      <c r="I905" s="58" t="n">
        <f aca="false">'P9-011'!$N$125</f>
        <v>46437</v>
      </c>
      <c r="J905" s="58" t="n">
        <f aca="false">'P9-011'!$O$125</f>
        <v>46441</v>
      </c>
      <c r="K905" s="56" t="str">
        <f aca="false">IF(OR(L905="Y",LEFT('P9-011'!$T$125,1)="D"),"",IF(AND(ISNUMBER(J905),J905&lt;ASOF),"⚠ เลยกำหนด",IF(AND(ISNUMBER(I905),I905&lt;=ASOF+14,J905&gt;=ASOF-7),"ช่วงนี้","")))</f>
        <v/>
      </c>
      <c r="L905" s="59"/>
      <c r="M905" s="60"/>
    </row>
    <row r="906" customFormat="false" ht="15" hidden="false" customHeight="false" outlineLevel="0" collapsed="false">
      <c r="A906" s="54" t="s">
        <v>82</v>
      </c>
      <c r="B906" s="55" t="s">
        <v>484</v>
      </c>
      <c r="C906" s="56" t="s">
        <v>485</v>
      </c>
      <c r="D906" s="57" t="s">
        <v>84</v>
      </c>
      <c r="E906" s="57" t="s">
        <v>448</v>
      </c>
      <c r="F906" s="55" t="s">
        <v>449</v>
      </c>
      <c r="G906" s="61" t="s">
        <v>450</v>
      </c>
      <c r="H906" s="57" t="s">
        <v>211</v>
      </c>
      <c r="I906" s="58" t="n">
        <f aca="false">'P9-011'!$N$126</f>
        <v>46440</v>
      </c>
      <c r="J906" s="58" t="n">
        <f aca="false">'P9-011'!$O$126</f>
        <v>46447</v>
      </c>
      <c r="K906" s="56" t="str">
        <f aca="false">IF(OR(L906="Y",LEFT('P9-011'!$T$126,1)="D"),"",IF(AND(ISNUMBER(J906),J906&lt;ASOF),"⚠ เลยกำหนด",IF(AND(ISNUMBER(I906),I906&lt;=ASOF+14,J906&gt;=ASOF-7),"ช่วงนี้","")))</f>
        <v/>
      </c>
      <c r="L906" s="59"/>
      <c r="M906" s="60"/>
    </row>
    <row r="907" customFormat="false" ht="15" hidden="false" customHeight="false" outlineLevel="0" collapsed="false">
      <c r="A907" s="54" t="s">
        <v>82</v>
      </c>
      <c r="B907" s="55" t="s">
        <v>484</v>
      </c>
      <c r="C907" s="56" t="s">
        <v>485</v>
      </c>
      <c r="D907" s="57" t="s">
        <v>84</v>
      </c>
      <c r="E907" s="57" t="s">
        <v>451</v>
      </c>
      <c r="F907" s="61" t="s">
        <v>452</v>
      </c>
      <c r="G907" s="61" t="s">
        <v>453</v>
      </c>
      <c r="H907" s="57" t="s">
        <v>211</v>
      </c>
      <c r="I907" s="58" t="n">
        <f aca="false">'P9-011'!$N$127</f>
        <v>46447</v>
      </c>
      <c r="J907" s="58" t="n">
        <f aca="false">'P9-011'!$O$127</f>
        <v>46450</v>
      </c>
      <c r="K907" s="56" t="str">
        <f aca="false">IF(OR(L907="Y",LEFT('P9-011'!$T$127,1)="D"),"",IF(AND(ISNUMBER(J907),J907&lt;ASOF),"⚠ เลยกำหนด",IF(AND(ISNUMBER(I907),I907&lt;=ASOF+14,J907&gt;=ASOF-7),"ช่วงนี้","")))</f>
        <v/>
      </c>
      <c r="L907" s="59"/>
      <c r="M907" s="60"/>
    </row>
    <row r="908" customFormat="false" ht="15" hidden="false" customHeight="false" outlineLevel="0" collapsed="false">
      <c r="A908" s="54" t="s">
        <v>86</v>
      </c>
      <c r="B908" s="55" t="s">
        <v>486</v>
      </c>
      <c r="C908" s="56" t="s">
        <v>487</v>
      </c>
      <c r="D908" s="57" t="s">
        <v>88</v>
      </c>
      <c r="E908" s="57" t="s">
        <v>208</v>
      </c>
      <c r="F908" s="55" t="s">
        <v>209</v>
      </c>
      <c r="G908" s="55" t="s">
        <v>210</v>
      </c>
      <c r="H908" s="57" t="s">
        <v>211</v>
      </c>
      <c r="I908" s="58" t="n">
        <f aca="false">'P9-012'!$N$10</f>
        <v>46328</v>
      </c>
      <c r="J908" s="58" t="n">
        <f aca="false">'P9-012'!$O$10</f>
        <v>46340</v>
      </c>
      <c r="K908" s="56" t="str">
        <f aca="false">IF(OR(L908="Y",LEFT('P9-012'!$T$10,1)="D"),"",IF(AND(ISNUMBER(J908),J908&lt;ASOF),"⚠ เลยกำหนด",IF(AND(ISNUMBER(I908),I908&lt;=ASOF+14,J908&gt;=ASOF-7),"ช่วงนี้","")))</f>
        <v>ช่วงนี้</v>
      </c>
      <c r="L908" s="59"/>
      <c r="M908" s="60"/>
    </row>
    <row r="909" customFormat="false" ht="15" hidden="false" customHeight="false" outlineLevel="0" collapsed="false">
      <c r="A909" s="54" t="s">
        <v>86</v>
      </c>
      <c r="B909" s="55" t="s">
        <v>486</v>
      </c>
      <c r="C909" s="56" t="s">
        <v>487</v>
      </c>
      <c r="D909" s="57" t="s">
        <v>88</v>
      </c>
      <c r="E909" s="57" t="s">
        <v>212</v>
      </c>
      <c r="F909" s="55" t="s">
        <v>213</v>
      </c>
      <c r="G909" s="55" t="s">
        <v>214</v>
      </c>
      <c r="H909" s="57" t="s">
        <v>211</v>
      </c>
      <c r="I909" s="58" t="n">
        <f aca="false">'P9-012'!$N$11</f>
        <v>46328</v>
      </c>
      <c r="J909" s="58" t="n">
        <f aca="false">'P9-012'!$O$11</f>
        <v>46340</v>
      </c>
      <c r="K909" s="56" t="str">
        <f aca="false">IF(OR(L909="Y",LEFT('P9-012'!$T$11,1)="D"),"",IF(AND(ISNUMBER(J909),J909&lt;ASOF),"⚠ เลยกำหนด",IF(AND(ISNUMBER(I909),I909&lt;=ASOF+14,J909&gt;=ASOF-7),"ช่วงนี้","")))</f>
        <v>ช่วงนี้</v>
      </c>
      <c r="L909" s="59"/>
      <c r="M909" s="60"/>
    </row>
    <row r="910" customFormat="false" ht="15" hidden="false" customHeight="false" outlineLevel="0" collapsed="false">
      <c r="A910" s="54" t="s">
        <v>86</v>
      </c>
      <c r="B910" s="55" t="s">
        <v>486</v>
      </c>
      <c r="C910" s="56" t="s">
        <v>487</v>
      </c>
      <c r="D910" s="57" t="s">
        <v>88</v>
      </c>
      <c r="E910" s="57" t="s">
        <v>215</v>
      </c>
      <c r="F910" s="55" t="s">
        <v>216</v>
      </c>
      <c r="G910" s="61" t="s">
        <v>217</v>
      </c>
      <c r="H910" s="57" t="s">
        <v>211</v>
      </c>
      <c r="I910" s="58" t="n">
        <f aca="false">'P9-012'!$N$12</f>
        <v>46328</v>
      </c>
      <c r="J910" s="58" t="n">
        <f aca="false">'P9-012'!$O$12</f>
        <v>46340</v>
      </c>
      <c r="K910" s="56" t="str">
        <f aca="false">IF(OR(L910="Y",LEFT('P9-012'!$T$12,1)="D"),"",IF(AND(ISNUMBER(J910),J910&lt;ASOF),"⚠ เลยกำหนด",IF(AND(ISNUMBER(I910),I910&lt;=ASOF+14,J910&gt;=ASOF-7),"ช่วงนี้","")))</f>
        <v>ช่วงนี้</v>
      </c>
      <c r="L910" s="59"/>
      <c r="M910" s="60"/>
    </row>
    <row r="911" customFormat="false" ht="15" hidden="false" customHeight="false" outlineLevel="0" collapsed="false">
      <c r="A911" s="54" t="s">
        <v>86</v>
      </c>
      <c r="B911" s="55" t="s">
        <v>486</v>
      </c>
      <c r="C911" s="56" t="s">
        <v>487</v>
      </c>
      <c r="D911" s="57" t="s">
        <v>88</v>
      </c>
      <c r="E911" s="57" t="s">
        <v>218</v>
      </c>
      <c r="F911" s="55" t="s">
        <v>219</v>
      </c>
      <c r="G911" s="55" t="s">
        <v>220</v>
      </c>
      <c r="H911" s="57" t="s">
        <v>211</v>
      </c>
      <c r="I911" s="58" t="n">
        <f aca="false">'P9-012'!$N$13</f>
        <v>46328</v>
      </c>
      <c r="J911" s="58" t="n">
        <f aca="false">'P9-012'!$O$13</f>
        <v>46346</v>
      </c>
      <c r="K911" s="56" t="str">
        <f aca="false">IF(OR(L911="Y",LEFT('P9-012'!$T$13,1)="D"),"",IF(AND(ISNUMBER(J911),J911&lt;ASOF),"⚠ เลยกำหนด",IF(AND(ISNUMBER(I911),I911&lt;=ASOF+14,J911&gt;=ASOF-7),"ช่วงนี้","")))</f>
        <v>ช่วงนี้</v>
      </c>
      <c r="L911" s="59"/>
      <c r="M911" s="60"/>
    </row>
    <row r="912" customFormat="false" ht="15" hidden="false" customHeight="false" outlineLevel="0" collapsed="false">
      <c r="A912" s="54" t="s">
        <v>86</v>
      </c>
      <c r="B912" s="55" t="s">
        <v>486</v>
      </c>
      <c r="C912" s="56" t="s">
        <v>487</v>
      </c>
      <c r="D912" s="57" t="s">
        <v>88</v>
      </c>
      <c r="E912" s="57" t="s">
        <v>221</v>
      </c>
      <c r="F912" s="55" t="s">
        <v>222</v>
      </c>
      <c r="G912" s="55" t="s">
        <v>223</v>
      </c>
      <c r="H912" s="57" t="s">
        <v>211</v>
      </c>
      <c r="I912" s="58" t="n">
        <f aca="false">'P9-012'!$N$14</f>
        <v>46340</v>
      </c>
      <c r="J912" s="58" t="n">
        <f aca="false">'P9-012'!$O$14</f>
        <v>46450</v>
      </c>
      <c r="K912" s="56" t="str">
        <f aca="false">IF(OR(L912="Y",LEFT('P9-012'!$T$14,1)="D"),"",IF(AND(ISNUMBER(J912),J912&lt;ASOF),"⚠ เลยกำหนด",IF(AND(ISNUMBER(I912),I912&lt;=ASOF+14,J912&gt;=ASOF-7),"ช่วงนี้","")))</f>
        <v>ช่วงนี้</v>
      </c>
      <c r="L912" s="59"/>
      <c r="M912" s="60"/>
    </row>
    <row r="913" customFormat="false" ht="15" hidden="false" customHeight="false" outlineLevel="0" collapsed="false">
      <c r="A913" s="54" t="s">
        <v>86</v>
      </c>
      <c r="B913" s="55" t="s">
        <v>486</v>
      </c>
      <c r="C913" s="56" t="s">
        <v>487</v>
      </c>
      <c r="D913" s="57" t="s">
        <v>88</v>
      </c>
      <c r="E913" s="57" t="s">
        <v>224</v>
      </c>
      <c r="F913" s="55" t="s">
        <v>225</v>
      </c>
      <c r="G913" s="61" t="s">
        <v>226</v>
      </c>
      <c r="H913" s="57" t="s">
        <v>211</v>
      </c>
      <c r="I913" s="58" t="n">
        <f aca="false">'P9-012'!$N$15</f>
        <v>46340</v>
      </c>
      <c r="J913" s="58" t="n">
        <f aca="false">'P9-012'!$O$15</f>
        <v>46450</v>
      </c>
      <c r="K913" s="56" t="str">
        <f aca="false">IF(OR(L913="Y",LEFT('P9-012'!$T$15,1)="D"),"",IF(AND(ISNUMBER(J913),J913&lt;ASOF),"⚠ เลยกำหนด",IF(AND(ISNUMBER(I913),I913&lt;=ASOF+14,J913&gt;=ASOF-7),"ช่วงนี้","")))</f>
        <v>ช่วงนี้</v>
      </c>
      <c r="L913" s="59"/>
      <c r="M913" s="60"/>
    </row>
    <row r="914" customFormat="false" ht="15" hidden="false" customHeight="false" outlineLevel="0" collapsed="false">
      <c r="A914" s="54" t="s">
        <v>86</v>
      </c>
      <c r="B914" s="55" t="s">
        <v>486</v>
      </c>
      <c r="C914" s="56" t="s">
        <v>487</v>
      </c>
      <c r="D914" s="57" t="s">
        <v>88</v>
      </c>
      <c r="E914" s="57" t="s">
        <v>227</v>
      </c>
      <c r="F914" s="55" t="s">
        <v>228</v>
      </c>
      <c r="G914" s="55" t="s">
        <v>229</v>
      </c>
      <c r="H914" s="57" t="s">
        <v>211</v>
      </c>
      <c r="I914" s="58" t="n">
        <f aca="false">'P9-012'!$N$17</f>
        <v>46328</v>
      </c>
      <c r="J914" s="58" t="n">
        <f aca="false">'P9-012'!$O$17</f>
        <v>46328</v>
      </c>
      <c r="K914" s="56" t="str">
        <f aca="false">IF(OR(L914="Y",LEFT('P9-012'!$T$17,1)="D"),"",IF(AND(ISNUMBER(J914),J914&lt;ASOF),"⚠ เลยกำหนด",IF(AND(ISNUMBER(I914),I914&lt;=ASOF+14,J914&gt;=ASOF-7),"ช่วงนี้","")))</f>
        <v>ช่วงนี้</v>
      </c>
      <c r="L914" s="59"/>
      <c r="M914" s="60"/>
    </row>
    <row r="915" customFormat="false" ht="15" hidden="false" customHeight="false" outlineLevel="0" collapsed="false">
      <c r="A915" s="54" t="s">
        <v>86</v>
      </c>
      <c r="B915" s="55" t="s">
        <v>486</v>
      </c>
      <c r="C915" s="56" t="s">
        <v>487</v>
      </c>
      <c r="D915" s="57" t="s">
        <v>88</v>
      </c>
      <c r="E915" s="57" t="s">
        <v>230</v>
      </c>
      <c r="F915" s="55" t="s">
        <v>231</v>
      </c>
      <c r="G915" s="55" t="s">
        <v>232</v>
      </c>
      <c r="H915" s="57" t="s">
        <v>211</v>
      </c>
      <c r="I915" s="58" t="n">
        <f aca="false">'P9-012'!$N$18</f>
        <v>46328</v>
      </c>
      <c r="J915" s="58" t="n">
        <f aca="false">'P9-012'!$O$18</f>
        <v>46328</v>
      </c>
      <c r="K915" s="56" t="str">
        <f aca="false">IF(OR(L915="Y",LEFT('P9-012'!$T$18,1)="D"),"",IF(AND(ISNUMBER(J915),J915&lt;ASOF),"⚠ เลยกำหนด",IF(AND(ISNUMBER(I915),I915&lt;=ASOF+14,J915&gt;=ASOF-7),"ช่วงนี้","")))</f>
        <v>ช่วงนี้</v>
      </c>
      <c r="L915" s="59"/>
      <c r="M915" s="60"/>
    </row>
    <row r="916" customFormat="false" ht="15" hidden="false" customHeight="false" outlineLevel="0" collapsed="false">
      <c r="A916" s="54" t="s">
        <v>86</v>
      </c>
      <c r="B916" s="55" t="s">
        <v>486</v>
      </c>
      <c r="C916" s="56" t="s">
        <v>487</v>
      </c>
      <c r="D916" s="57" t="s">
        <v>88</v>
      </c>
      <c r="E916" s="57" t="s">
        <v>233</v>
      </c>
      <c r="F916" s="55" t="s">
        <v>234</v>
      </c>
      <c r="G916" s="55" t="s">
        <v>235</v>
      </c>
      <c r="H916" s="57" t="s">
        <v>211</v>
      </c>
      <c r="I916" s="58" t="n">
        <f aca="false">'P9-012'!$N$19</f>
        <v>46328</v>
      </c>
      <c r="J916" s="58" t="n">
        <f aca="false">'P9-012'!$O$19</f>
        <v>46328</v>
      </c>
      <c r="K916" s="56" t="str">
        <f aca="false">IF(OR(L916="Y",LEFT('P9-012'!$T$19,1)="D"),"",IF(AND(ISNUMBER(J916),J916&lt;ASOF),"⚠ เลยกำหนด",IF(AND(ISNUMBER(I916),I916&lt;=ASOF+14,J916&gt;=ASOF-7),"ช่วงนี้","")))</f>
        <v>ช่วงนี้</v>
      </c>
      <c r="L916" s="59"/>
      <c r="M916" s="60"/>
    </row>
    <row r="917" customFormat="false" ht="15" hidden="false" customHeight="false" outlineLevel="0" collapsed="false">
      <c r="A917" s="54" t="s">
        <v>86</v>
      </c>
      <c r="B917" s="55" t="s">
        <v>486</v>
      </c>
      <c r="C917" s="56" t="s">
        <v>487</v>
      </c>
      <c r="D917" s="57" t="s">
        <v>88</v>
      </c>
      <c r="E917" s="57" t="s">
        <v>236</v>
      </c>
      <c r="F917" s="55" t="s">
        <v>237</v>
      </c>
      <c r="G917" s="55" t="s">
        <v>238</v>
      </c>
      <c r="H917" s="57" t="s">
        <v>211</v>
      </c>
      <c r="I917" s="58" t="n">
        <f aca="false">'P9-012'!$N$20</f>
        <v>46328</v>
      </c>
      <c r="J917" s="58" t="n">
        <f aca="false">'P9-012'!$O$20</f>
        <v>46328</v>
      </c>
      <c r="K917" s="56" t="str">
        <f aca="false">IF(OR(L917="Y",LEFT('P9-012'!$T$20,1)="D"),"",IF(AND(ISNUMBER(J917),J917&lt;ASOF),"⚠ เลยกำหนด",IF(AND(ISNUMBER(I917),I917&lt;=ASOF+14,J917&gt;=ASOF-7),"ช่วงนี้","")))</f>
        <v>ช่วงนี้</v>
      </c>
      <c r="L917" s="59"/>
      <c r="M917" s="60"/>
    </row>
    <row r="918" customFormat="false" ht="15" hidden="false" customHeight="false" outlineLevel="0" collapsed="false">
      <c r="A918" s="54" t="s">
        <v>86</v>
      </c>
      <c r="B918" s="55" t="s">
        <v>486</v>
      </c>
      <c r="C918" s="56" t="s">
        <v>487</v>
      </c>
      <c r="D918" s="57" t="s">
        <v>88</v>
      </c>
      <c r="E918" s="57" t="s">
        <v>239</v>
      </c>
      <c r="F918" s="55" t="s">
        <v>240</v>
      </c>
      <c r="G918" s="55" t="s">
        <v>241</v>
      </c>
      <c r="H918" s="57" t="s">
        <v>211</v>
      </c>
      <c r="I918" s="58" t="n">
        <f aca="false">'P9-012'!$N$21</f>
        <v>46328</v>
      </c>
      <c r="J918" s="58" t="n">
        <f aca="false">'P9-012'!$O$21</f>
        <v>46328</v>
      </c>
      <c r="K918" s="56" t="str">
        <f aca="false">IF(OR(L918="Y",LEFT('P9-012'!$T$21,1)="D"),"",IF(AND(ISNUMBER(J918),J918&lt;ASOF),"⚠ เลยกำหนด",IF(AND(ISNUMBER(I918),I918&lt;=ASOF+14,J918&gt;=ASOF-7),"ช่วงนี้","")))</f>
        <v>ช่วงนี้</v>
      </c>
      <c r="L918" s="59"/>
      <c r="M918" s="60"/>
    </row>
    <row r="919" customFormat="false" ht="15" hidden="false" customHeight="false" outlineLevel="0" collapsed="false">
      <c r="A919" s="54" t="s">
        <v>86</v>
      </c>
      <c r="B919" s="55" t="s">
        <v>486</v>
      </c>
      <c r="C919" s="56" t="s">
        <v>487</v>
      </c>
      <c r="D919" s="57" t="s">
        <v>88</v>
      </c>
      <c r="E919" s="57" t="s">
        <v>242</v>
      </c>
      <c r="F919" s="55" t="s">
        <v>243</v>
      </c>
      <c r="G919" s="55" t="s">
        <v>244</v>
      </c>
      <c r="H919" s="57" t="s">
        <v>211</v>
      </c>
      <c r="I919" s="58" t="n">
        <f aca="false">'P9-012'!$N$22</f>
        <v>46328</v>
      </c>
      <c r="J919" s="58" t="n">
        <f aca="false">'P9-012'!$O$22</f>
        <v>46328</v>
      </c>
      <c r="K919" s="56" t="str">
        <f aca="false">IF(OR(L919="Y",LEFT('P9-012'!$T$22,1)="D"),"",IF(AND(ISNUMBER(J919),J919&lt;ASOF),"⚠ เลยกำหนด",IF(AND(ISNUMBER(I919),I919&lt;=ASOF+14,J919&gt;=ASOF-7),"ช่วงนี้","")))</f>
        <v>ช่วงนี้</v>
      </c>
      <c r="L919" s="59"/>
      <c r="M919" s="60"/>
    </row>
    <row r="920" customFormat="false" ht="15" hidden="false" customHeight="false" outlineLevel="0" collapsed="false">
      <c r="A920" s="54" t="s">
        <v>86</v>
      </c>
      <c r="B920" s="55" t="s">
        <v>486</v>
      </c>
      <c r="C920" s="56" t="s">
        <v>487</v>
      </c>
      <c r="D920" s="57" t="s">
        <v>88</v>
      </c>
      <c r="E920" s="57" t="s">
        <v>248</v>
      </c>
      <c r="F920" s="55" t="s">
        <v>249</v>
      </c>
      <c r="G920" s="55" t="s">
        <v>250</v>
      </c>
      <c r="H920" s="57" t="s">
        <v>211</v>
      </c>
      <c r="I920" s="58" t="n">
        <f aca="false">'P9-012'!$N$24</f>
        <v>46328</v>
      </c>
      <c r="J920" s="58" t="n">
        <f aca="false">'P9-012'!$O$24</f>
        <v>46328</v>
      </c>
      <c r="K920" s="56" t="str">
        <f aca="false">IF(OR(L920="Y",LEFT('P9-012'!$T$24,1)="D"),"",IF(AND(ISNUMBER(J920),J920&lt;ASOF),"⚠ เลยกำหนด",IF(AND(ISNUMBER(I920),I920&lt;=ASOF+14,J920&gt;=ASOF-7),"ช่วงนี้","")))</f>
        <v>ช่วงนี้</v>
      </c>
      <c r="L920" s="59"/>
      <c r="M920" s="60"/>
    </row>
    <row r="921" customFormat="false" ht="15" hidden="false" customHeight="false" outlineLevel="0" collapsed="false">
      <c r="A921" s="54" t="s">
        <v>86</v>
      </c>
      <c r="B921" s="55" t="s">
        <v>486</v>
      </c>
      <c r="C921" s="56" t="s">
        <v>487</v>
      </c>
      <c r="D921" s="57" t="s">
        <v>88</v>
      </c>
      <c r="E921" s="57" t="s">
        <v>251</v>
      </c>
      <c r="F921" s="55" t="s">
        <v>252</v>
      </c>
      <c r="G921" s="55" t="s">
        <v>253</v>
      </c>
      <c r="H921" s="57" t="s">
        <v>211</v>
      </c>
      <c r="I921" s="58" t="n">
        <f aca="false">'P9-012'!$N$26</f>
        <v>46329</v>
      </c>
      <c r="J921" s="58" t="n">
        <f aca="false">'P9-012'!$O$26</f>
        <v>46329</v>
      </c>
      <c r="K921" s="56" t="str">
        <f aca="false">IF(OR(L921="Y",LEFT('P9-012'!$T$26,1)="D"),"",IF(AND(ISNUMBER(J921),J921&lt;ASOF),"⚠ เลยกำหนด",IF(AND(ISNUMBER(I921),I921&lt;=ASOF+14,J921&gt;=ASOF-7),"ช่วงนี้","")))</f>
        <v>ช่วงนี้</v>
      </c>
      <c r="L921" s="59"/>
      <c r="M921" s="60"/>
    </row>
    <row r="922" customFormat="false" ht="15" hidden="false" customHeight="false" outlineLevel="0" collapsed="false">
      <c r="A922" s="54" t="s">
        <v>86</v>
      </c>
      <c r="B922" s="55" t="s">
        <v>486</v>
      </c>
      <c r="C922" s="56" t="s">
        <v>487</v>
      </c>
      <c r="D922" s="57" t="s">
        <v>88</v>
      </c>
      <c r="E922" s="57" t="s">
        <v>254</v>
      </c>
      <c r="F922" s="55" t="s">
        <v>255</v>
      </c>
      <c r="G922" s="55" t="s">
        <v>256</v>
      </c>
      <c r="H922" s="57" t="s">
        <v>211</v>
      </c>
      <c r="I922" s="58" t="n">
        <f aca="false">'P9-012'!$N$27</f>
        <v>46329</v>
      </c>
      <c r="J922" s="58" t="n">
        <f aca="false">'P9-012'!$O$27</f>
        <v>46329</v>
      </c>
      <c r="K922" s="56" t="str">
        <f aca="false">IF(OR(L922="Y",LEFT('P9-012'!$T$27,1)="D"),"",IF(AND(ISNUMBER(J922),J922&lt;ASOF),"⚠ เลยกำหนด",IF(AND(ISNUMBER(I922),I922&lt;=ASOF+14,J922&gt;=ASOF-7),"ช่วงนี้","")))</f>
        <v>ช่วงนี้</v>
      </c>
      <c r="L922" s="59"/>
      <c r="M922" s="60"/>
    </row>
    <row r="923" customFormat="false" ht="15" hidden="false" customHeight="false" outlineLevel="0" collapsed="false">
      <c r="A923" s="54" t="s">
        <v>86</v>
      </c>
      <c r="B923" s="55" t="s">
        <v>486</v>
      </c>
      <c r="C923" s="56" t="s">
        <v>487</v>
      </c>
      <c r="D923" s="57" t="s">
        <v>88</v>
      </c>
      <c r="E923" s="57" t="s">
        <v>257</v>
      </c>
      <c r="F923" s="55" t="s">
        <v>258</v>
      </c>
      <c r="G923" s="55" t="s">
        <v>259</v>
      </c>
      <c r="H923" s="57" t="s">
        <v>211</v>
      </c>
      <c r="I923" s="58" t="n">
        <f aca="false">'P9-012'!$N$28</f>
        <v>46329</v>
      </c>
      <c r="J923" s="58" t="n">
        <f aca="false">'P9-012'!$O$28</f>
        <v>46329</v>
      </c>
      <c r="K923" s="56" t="str">
        <f aca="false">IF(OR(L923="Y",LEFT('P9-012'!$T$28,1)="D"),"",IF(AND(ISNUMBER(J923),J923&lt;ASOF),"⚠ เลยกำหนด",IF(AND(ISNUMBER(I923),I923&lt;=ASOF+14,J923&gt;=ASOF-7),"ช่วงนี้","")))</f>
        <v>ช่วงนี้</v>
      </c>
      <c r="L923" s="59"/>
      <c r="M923" s="60"/>
    </row>
    <row r="924" customFormat="false" ht="15" hidden="false" customHeight="false" outlineLevel="0" collapsed="false">
      <c r="A924" s="54" t="s">
        <v>86</v>
      </c>
      <c r="B924" s="55" t="s">
        <v>486</v>
      </c>
      <c r="C924" s="56" t="s">
        <v>487</v>
      </c>
      <c r="D924" s="57" t="s">
        <v>88</v>
      </c>
      <c r="E924" s="57" t="s">
        <v>260</v>
      </c>
      <c r="F924" s="55" t="s">
        <v>261</v>
      </c>
      <c r="G924" s="55" t="s">
        <v>262</v>
      </c>
      <c r="H924" s="57" t="s">
        <v>211</v>
      </c>
      <c r="I924" s="58" t="n">
        <f aca="false">'P9-012'!$N$31</f>
        <v>46328</v>
      </c>
      <c r="J924" s="58" t="n">
        <f aca="false">'P9-012'!$O$31</f>
        <v>46328</v>
      </c>
      <c r="K924" s="56" t="str">
        <f aca="false">IF(OR(L924="Y",LEFT('P9-012'!$T$31,1)="D"),"",IF(AND(ISNUMBER(J924),J924&lt;ASOF),"⚠ เลยกำหนด",IF(AND(ISNUMBER(I924),I924&lt;=ASOF+14,J924&gt;=ASOF-7),"ช่วงนี้","")))</f>
        <v>ช่วงนี้</v>
      </c>
      <c r="L924" s="59"/>
      <c r="M924" s="60"/>
    </row>
    <row r="925" customFormat="false" ht="15" hidden="false" customHeight="false" outlineLevel="0" collapsed="false">
      <c r="A925" s="54" t="s">
        <v>86</v>
      </c>
      <c r="B925" s="55" t="s">
        <v>486</v>
      </c>
      <c r="C925" s="56" t="s">
        <v>487</v>
      </c>
      <c r="D925" s="57" t="s">
        <v>88</v>
      </c>
      <c r="E925" s="57" t="s">
        <v>263</v>
      </c>
      <c r="F925" s="55" t="s">
        <v>264</v>
      </c>
      <c r="G925" s="55" t="s">
        <v>265</v>
      </c>
      <c r="H925" s="57" t="s">
        <v>211</v>
      </c>
      <c r="I925" s="58" t="n">
        <f aca="false">'P9-012'!$N$32</f>
        <v>46328</v>
      </c>
      <c r="J925" s="58" t="n">
        <f aca="false">'P9-012'!$O$32</f>
        <v>46328</v>
      </c>
      <c r="K925" s="56" t="str">
        <f aca="false">IF(OR(L925="Y",LEFT('P9-012'!$T$32,1)="D"),"",IF(AND(ISNUMBER(J925),J925&lt;ASOF),"⚠ เลยกำหนด",IF(AND(ISNUMBER(I925),I925&lt;=ASOF+14,J925&gt;=ASOF-7),"ช่วงนี้","")))</f>
        <v>ช่วงนี้</v>
      </c>
      <c r="L925" s="59"/>
      <c r="M925" s="60"/>
    </row>
    <row r="926" customFormat="false" ht="15" hidden="false" customHeight="false" outlineLevel="0" collapsed="false">
      <c r="A926" s="54" t="s">
        <v>86</v>
      </c>
      <c r="B926" s="55" t="s">
        <v>486</v>
      </c>
      <c r="C926" s="56" t="s">
        <v>487</v>
      </c>
      <c r="D926" s="57" t="s">
        <v>88</v>
      </c>
      <c r="E926" s="57" t="s">
        <v>266</v>
      </c>
      <c r="F926" s="55" t="s">
        <v>267</v>
      </c>
      <c r="G926" s="55" t="s">
        <v>268</v>
      </c>
      <c r="H926" s="57" t="s">
        <v>211</v>
      </c>
      <c r="I926" s="58" t="n">
        <f aca="false">'P9-012'!$N$33</f>
        <v>46328</v>
      </c>
      <c r="J926" s="58" t="n">
        <f aca="false">'P9-012'!$O$33</f>
        <v>46328</v>
      </c>
      <c r="K926" s="56" t="str">
        <f aca="false">IF(OR(L926="Y",LEFT('P9-012'!$T$33,1)="D"),"",IF(AND(ISNUMBER(J926),J926&lt;ASOF),"⚠ เลยกำหนด",IF(AND(ISNUMBER(I926),I926&lt;=ASOF+14,J926&gt;=ASOF-7),"ช่วงนี้","")))</f>
        <v>ช่วงนี้</v>
      </c>
      <c r="L926" s="59"/>
      <c r="M926" s="60"/>
    </row>
    <row r="927" customFormat="false" ht="15" hidden="false" customHeight="false" outlineLevel="0" collapsed="false">
      <c r="A927" s="54" t="s">
        <v>86</v>
      </c>
      <c r="B927" s="55" t="s">
        <v>486</v>
      </c>
      <c r="C927" s="56" t="s">
        <v>487</v>
      </c>
      <c r="D927" s="57" t="s">
        <v>88</v>
      </c>
      <c r="E927" s="57" t="s">
        <v>269</v>
      </c>
      <c r="F927" s="61" t="s">
        <v>270</v>
      </c>
      <c r="G927" s="61" t="s">
        <v>271</v>
      </c>
      <c r="H927" s="57" t="s">
        <v>211</v>
      </c>
      <c r="I927" s="58" t="n">
        <f aca="false">'P9-012'!$N$35</f>
        <v>46328</v>
      </c>
      <c r="J927" s="58" t="n">
        <f aca="false">'P9-012'!$O$35</f>
        <v>46328</v>
      </c>
      <c r="K927" s="56" t="str">
        <f aca="false">IF(OR(L927="Y",LEFT('P9-012'!$T$35,1)="D"),"",IF(AND(ISNUMBER(J927),J927&lt;ASOF),"⚠ เลยกำหนด",IF(AND(ISNUMBER(I927),I927&lt;=ASOF+14,J927&gt;=ASOF-7),"ช่วงนี้","")))</f>
        <v>ช่วงนี้</v>
      </c>
      <c r="L927" s="59"/>
      <c r="M927" s="60"/>
    </row>
    <row r="928" customFormat="false" ht="15" hidden="false" customHeight="false" outlineLevel="0" collapsed="false">
      <c r="A928" s="54" t="s">
        <v>86</v>
      </c>
      <c r="B928" s="55" t="s">
        <v>486</v>
      </c>
      <c r="C928" s="56" t="s">
        <v>487</v>
      </c>
      <c r="D928" s="57" t="s">
        <v>88</v>
      </c>
      <c r="E928" s="57" t="s">
        <v>272</v>
      </c>
      <c r="F928" s="55" t="s">
        <v>273</v>
      </c>
      <c r="G928" s="55" t="s">
        <v>274</v>
      </c>
      <c r="H928" s="57" t="s">
        <v>211</v>
      </c>
      <c r="I928" s="58" t="n">
        <f aca="false">'P9-012'!$N$36</f>
        <v>46328</v>
      </c>
      <c r="J928" s="58" t="n">
        <f aca="false">'P9-012'!$O$36</f>
        <v>46328</v>
      </c>
      <c r="K928" s="56" t="str">
        <f aca="false">IF(OR(L928="Y",LEFT('P9-012'!$T$36,1)="D"),"",IF(AND(ISNUMBER(J928),J928&lt;ASOF),"⚠ เลยกำหนด",IF(AND(ISNUMBER(I928),I928&lt;=ASOF+14,J928&gt;=ASOF-7),"ช่วงนี้","")))</f>
        <v>ช่วงนี้</v>
      </c>
      <c r="L928" s="59"/>
      <c r="M928" s="60"/>
    </row>
    <row r="929" customFormat="false" ht="15" hidden="false" customHeight="false" outlineLevel="0" collapsed="false">
      <c r="A929" s="54" t="s">
        <v>86</v>
      </c>
      <c r="B929" s="55" t="s">
        <v>486</v>
      </c>
      <c r="C929" s="56" t="s">
        <v>487</v>
      </c>
      <c r="D929" s="57" t="s">
        <v>88</v>
      </c>
      <c r="E929" s="57" t="s">
        <v>275</v>
      </c>
      <c r="F929" s="55" t="s">
        <v>276</v>
      </c>
      <c r="G929" s="55" t="s">
        <v>277</v>
      </c>
      <c r="H929" s="57" t="s">
        <v>211</v>
      </c>
      <c r="I929" s="58" t="n">
        <f aca="false">'P9-012'!$N$37</f>
        <v>46328</v>
      </c>
      <c r="J929" s="58" t="n">
        <f aca="false">'P9-012'!$O$37</f>
        <v>46328</v>
      </c>
      <c r="K929" s="56" t="str">
        <f aca="false">IF(OR(L929="Y",LEFT('P9-012'!$T$37,1)="D"),"",IF(AND(ISNUMBER(J929),J929&lt;ASOF),"⚠ เลยกำหนด",IF(AND(ISNUMBER(I929),I929&lt;=ASOF+14,J929&gt;=ASOF-7),"ช่วงนี้","")))</f>
        <v>ช่วงนี้</v>
      </c>
      <c r="L929" s="59"/>
      <c r="M929" s="60"/>
    </row>
    <row r="930" customFormat="false" ht="15" hidden="false" customHeight="false" outlineLevel="0" collapsed="false">
      <c r="A930" s="54" t="s">
        <v>86</v>
      </c>
      <c r="B930" s="55" t="s">
        <v>486</v>
      </c>
      <c r="C930" s="56" t="s">
        <v>487</v>
      </c>
      <c r="D930" s="57" t="s">
        <v>88</v>
      </c>
      <c r="E930" s="57" t="s">
        <v>278</v>
      </c>
      <c r="F930" s="55" t="s">
        <v>279</v>
      </c>
      <c r="G930" s="55" t="s">
        <v>280</v>
      </c>
      <c r="H930" s="57" t="s">
        <v>211</v>
      </c>
      <c r="I930" s="58" t="n">
        <f aca="false">'P9-012'!$N$38</f>
        <v>46328</v>
      </c>
      <c r="J930" s="58" t="n">
        <f aca="false">'P9-012'!$O$38</f>
        <v>46328</v>
      </c>
      <c r="K930" s="56" t="str">
        <f aca="false">IF(OR(L930="Y",LEFT('P9-012'!$T$38,1)="D"),"",IF(AND(ISNUMBER(J930),J930&lt;ASOF),"⚠ เลยกำหนด",IF(AND(ISNUMBER(I930),I930&lt;=ASOF+14,J930&gt;=ASOF-7),"ช่วงนี้","")))</f>
        <v>ช่วงนี้</v>
      </c>
      <c r="L930" s="59"/>
      <c r="M930" s="60"/>
    </row>
    <row r="931" customFormat="false" ht="15" hidden="false" customHeight="false" outlineLevel="0" collapsed="false">
      <c r="A931" s="54" t="s">
        <v>86</v>
      </c>
      <c r="B931" s="55" t="s">
        <v>486</v>
      </c>
      <c r="C931" s="56" t="s">
        <v>487</v>
      </c>
      <c r="D931" s="57" t="s">
        <v>88</v>
      </c>
      <c r="E931" s="57" t="s">
        <v>281</v>
      </c>
      <c r="F931" s="55" t="s">
        <v>282</v>
      </c>
      <c r="G931" s="55" t="s">
        <v>283</v>
      </c>
      <c r="H931" s="57" t="s">
        <v>211</v>
      </c>
      <c r="I931" s="58" t="n">
        <f aca="false">'P9-012'!$N$40</f>
        <v>46328</v>
      </c>
      <c r="J931" s="58" t="n">
        <f aca="false">'P9-012'!$O$40</f>
        <v>46328</v>
      </c>
      <c r="K931" s="56" t="str">
        <f aca="false">IF(OR(L931="Y",LEFT('P9-012'!$T$40,1)="D"),"",IF(AND(ISNUMBER(J931),J931&lt;ASOF),"⚠ เลยกำหนด",IF(AND(ISNUMBER(I931),I931&lt;=ASOF+14,J931&gt;=ASOF-7),"ช่วงนี้","")))</f>
        <v>ช่วงนี้</v>
      </c>
      <c r="L931" s="59"/>
      <c r="M931" s="60"/>
    </row>
    <row r="932" customFormat="false" ht="15" hidden="false" customHeight="false" outlineLevel="0" collapsed="false">
      <c r="A932" s="54" t="s">
        <v>86</v>
      </c>
      <c r="B932" s="55" t="s">
        <v>486</v>
      </c>
      <c r="C932" s="56" t="s">
        <v>487</v>
      </c>
      <c r="D932" s="57" t="s">
        <v>88</v>
      </c>
      <c r="E932" s="57" t="s">
        <v>284</v>
      </c>
      <c r="F932" s="55" t="s">
        <v>285</v>
      </c>
      <c r="G932" s="61" t="s">
        <v>286</v>
      </c>
      <c r="H932" s="57" t="s">
        <v>211</v>
      </c>
      <c r="I932" s="58" t="n">
        <f aca="false">'P9-012'!$N$41</f>
        <v>46328</v>
      </c>
      <c r="J932" s="58" t="n">
        <f aca="false">'P9-012'!$O$41</f>
        <v>46328</v>
      </c>
      <c r="K932" s="56" t="str">
        <f aca="false">IF(OR(L932="Y",LEFT('P9-012'!$T$41,1)="D"),"",IF(AND(ISNUMBER(J932),J932&lt;ASOF),"⚠ เลยกำหนด",IF(AND(ISNUMBER(I932),I932&lt;=ASOF+14,J932&gt;=ASOF-7),"ช่วงนี้","")))</f>
        <v>ช่วงนี้</v>
      </c>
      <c r="L932" s="59"/>
      <c r="M932" s="60"/>
    </row>
    <row r="933" customFormat="false" ht="15" hidden="false" customHeight="false" outlineLevel="0" collapsed="false">
      <c r="A933" s="54" t="s">
        <v>86</v>
      </c>
      <c r="B933" s="55" t="s">
        <v>486</v>
      </c>
      <c r="C933" s="56" t="s">
        <v>487</v>
      </c>
      <c r="D933" s="57" t="s">
        <v>88</v>
      </c>
      <c r="E933" s="57" t="s">
        <v>287</v>
      </c>
      <c r="F933" s="55" t="s">
        <v>288</v>
      </c>
      <c r="G933" s="61" t="s">
        <v>289</v>
      </c>
      <c r="H933" s="57" t="s">
        <v>211</v>
      </c>
      <c r="I933" s="58" t="n">
        <f aca="false">'P9-012'!$N$42</f>
        <v>46328</v>
      </c>
      <c r="J933" s="58" t="n">
        <f aca="false">'P9-012'!$O$42</f>
        <v>46328</v>
      </c>
      <c r="K933" s="56" t="str">
        <f aca="false">IF(OR(L933="Y",LEFT('P9-012'!$T$42,1)="D"),"",IF(AND(ISNUMBER(J933),J933&lt;ASOF),"⚠ เลยกำหนด",IF(AND(ISNUMBER(I933),I933&lt;=ASOF+14,J933&gt;=ASOF-7),"ช่วงนี้","")))</f>
        <v>ช่วงนี้</v>
      </c>
      <c r="L933" s="59"/>
      <c r="M933" s="60"/>
    </row>
    <row r="934" customFormat="false" ht="15" hidden="false" customHeight="false" outlineLevel="0" collapsed="false">
      <c r="A934" s="54" t="s">
        <v>86</v>
      </c>
      <c r="B934" s="55" t="s">
        <v>486</v>
      </c>
      <c r="C934" s="56" t="s">
        <v>487</v>
      </c>
      <c r="D934" s="57" t="s">
        <v>88</v>
      </c>
      <c r="E934" s="57" t="s">
        <v>290</v>
      </c>
      <c r="F934" s="55" t="s">
        <v>291</v>
      </c>
      <c r="G934" s="55" t="s">
        <v>292</v>
      </c>
      <c r="H934" s="57" t="s">
        <v>211</v>
      </c>
      <c r="I934" s="58" t="n">
        <f aca="false">'P9-012'!$N$44</f>
        <v>46328</v>
      </c>
      <c r="J934" s="58" t="n">
        <f aca="false">'P9-012'!$O$44</f>
        <v>46328</v>
      </c>
      <c r="K934" s="56" t="str">
        <f aca="false">IF(OR(L934="Y",LEFT('P9-012'!$T$44,1)="D"),"",IF(AND(ISNUMBER(J934),J934&lt;ASOF),"⚠ เลยกำหนด",IF(AND(ISNUMBER(I934),I934&lt;=ASOF+14,J934&gt;=ASOF-7),"ช่วงนี้","")))</f>
        <v>ช่วงนี้</v>
      </c>
      <c r="L934" s="59"/>
      <c r="M934" s="60"/>
    </row>
    <row r="935" customFormat="false" ht="15" hidden="false" customHeight="false" outlineLevel="0" collapsed="false">
      <c r="A935" s="54" t="s">
        <v>86</v>
      </c>
      <c r="B935" s="55" t="s">
        <v>486</v>
      </c>
      <c r="C935" s="56" t="s">
        <v>487</v>
      </c>
      <c r="D935" s="57" t="s">
        <v>88</v>
      </c>
      <c r="E935" s="57" t="s">
        <v>293</v>
      </c>
      <c r="F935" s="55" t="s">
        <v>294</v>
      </c>
      <c r="G935" s="55" t="s">
        <v>295</v>
      </c>
      <c r="H935" s="57" t="s">
        <v>211</v>
      </c>
      <c r="I935" s="58" t="n">
        <f aca="false">'P9-012'!$N$45</f>
        <v>46328</v>
      </c>
      <c r="J935" s="58" t="n">
        <f aca="false">'P9-012'!$O$45</f>
        <v>46328</v>
      </c>
      <c r="K935" s="56" t="str">
        <f aca="false">IF(OR(L935="Y",LEFT('P9-012'!$T$45,1)="D"),"",IF(AND(ISNUMBER(J935),J935&lt;ASOF),"⚠ เลยกำหนด",IF(AND(ISNUMBER(I935),I935&lt;=ASOF+14,J935&gt;=ASOF-7),"ช่วงนี้","")))</f>
        <v>ช่วงนี้</v>
      </c>
      <c r="L935" s="59"/>
      <c r="M935" s="60"/>
    </row>
    <row r="936" customFormat="false" ht="15" hidden="false" customHeight="false" outlineLevel="0" collapsed="false">
      <c r="A936" s="54" t="s">
        <v>86</v>
      </c>
      <c r="B936" s="55" t="s">
        <v>486</v>
      </c>
      <c r="C936" s="56" t="s">
        <v>487</v>
      </c>
      <c r="D936" s="57" t="s">
        <v>88</v>
      </c>
      <c r="E936" s="57" t="s">
        <v>296</v>
      </c>
      <c r="F936" s="55" t="s">
        <v>297</v>
      </c>
      <c r="G936" s="55" t="s">
        <v>298</v>
      </c>
      <c r="H936" s="57" t="s">
        <v>211</v>
      </c>
      <c r="I936" s="58" t="n">
        <f aca="false">'P9-012'!$N$46</f>
        <v>46328</v>
      </c>
      <c r="J936" s="58" t="n">
        <f aca="false">'P9-012'!$O$46</f>
        <v>46328</v>
      </c>
      <c r="K936" s="56" t="str">
        <f aca="false">IF(OR(L936="Y",LEFT('P9-012'!$T$46,1)="D"),"",IF(AND(ISNUMBER(J936),J936&lt;ASOF),"⚠ เลยกำหนด",IF(AND(ISNUMBER(I936),I936&lt;=ASOF+14,J936&gt;=ASOF-7),"ช่วงนี้","")))</f>
        <v>ช่วงนี้</v>
      </c>
      <c r="L936" s="59"/>
      <c r="M936" s="60"/>
    </row>
    <row r="937" customFormat="false" ht="15" hidden="false" customHeight="false" outlineLevel="0" collapsed="false">
      <c r="A937" s="54" t="s">
        <v>86</v>
      </c>
      <c r="B937" s="55" t="s">
        <v>486</v>
      </c>
      <c r="C937" s="56" t="s">
        <v>487</v>
      </c>
      <c r="D937" s="57" t="s">
        <v>88</v>
      </c>
      <c r="E937" s="57" t="s">
        <v>456</v>
      </c>
      <c r="F937" s="61" t="s">
        <v>457</v>
      </c>
      <c r="G937" s="61" t="s">
        <v>458</v>
      </c>
      <c r="H937" s="57" t="s">
        <v>211</v>
      </c>
      <c r="I937" s="58" t="n">
        <f aca="false">'P9-012'!$N$48</f>
        <v>46356</v>
      </c>
      <c r="J937" s="58" t="n">
        <f aca="false">'P9-012'!$O$48</f>
        <v>46356</v>
      </c>
      <c r="K937" s="56" t="str">
        <f aca="false">IF(OR(L937="Y",LEFT('P9-012'!$T$48,1)="D"),"",IF(AND(ISNUMBER(J937),J937&lt;ASOF),"⚠ เลยกำหนด",IF(AND(ISNUMBER(I937),I937&lt;=ASOF+14,J937&gt;=ASOF-7),"ช่วงนี้","")))</f>
        <v/>
      </c>
      <c r="L937" s="59"/>
      <c r="M937" s="60"/>
    </row>
    <row r="938" customFormat="false" ht="15" hidden="false" customHeight="false" outlineLevel="0" collapsed="false">
      <c r="A938" s="54" t="s">
        <v>86</v>
      </c>
      <c r="B938" s="55" t="s">
        <v>486</v>
      </c>
      <c r="C938" s="56" t="s">
        <v>487</v>
      </c>
      <c r="D938" s="57" t="s">
        <v>88</v>
      </c>
      <c r="E938" s="57" t="s">
        <v>459</v>
      </c>
      <c r="F938" s="55" t="s">
        <v>460</v>
      </c>
      <c r="G938" s="55" t="s">
        <v>461</v>
      </c>
      <c r="H938" s="57" t="s">
        <v>211</v>
      </c>
      <c r="I938" s="58" t="n">
        <f aca="false">'P9-012'!$N$49</f>
        <v>46356</v>
      </c>
      <c r="J938" s="58" t="n">
        <f aca="false">'P9-012'!$O$49</f>
        <v>46356</v>
      </c>
      <c r="K938" s="56" t="str">
        <f aca="false">IF(OR(L938="Y",LEFT('P9-012'!$T$49,1)="D"),"",IF(AND(ISNUMBER(J938),J938&lt;ASOF),"⚠ เลยกำหนด",IF(AND(ISNUMBER(I938),I938&lt;=ASOF+14,J938&gt;=ASOF-7),"ช่วงนี้","")))</f>
        <v/>
      </c>
      <c r="L938" s="59"/>
      <c r="M938" s="60"/>
    </row>
    <row r="939" customFormat="false" ht="15" hidden="false" customHeight="false" outlineLevel="0" collapsed="false">
      <c r="A939" s="54" t="s">
        <v>86</v>
      </c>
      <c r="B939" s="55" t="s">
        <v>486</v>
      </c>
      <c r="C939" s="56" t="s">
        <v>487</v>
      </c>
      <c r="D939" s="57" t="s">
        <v>88</v>
      </c>
      <c r="E939" s="57" t="s">
        <v>462</v>
      </c>
      <c r="F939" s="55" t="s">
        <v>463</v>
      </c>
      <c r="G939" s="55" t="s">
        <v>464</v>
      </c>
      <c r="H939" s="57" t="s">
        <v>211</v>
      </c>
      <c r="I939" s="58" t="n">
        <f aca="false">'P9-012'!$N$51</f>
        <v>46356</v>
      </c>
      <c r="J939" s="58" t="n">
        <f aca="false">'P9-012'!$O$51</f>
        <v>46356</v>
      </c>
      <c r="K939" s="56" t="str">
        <f aca="false">IF(OR(L939="Y",LEFT('P9-012'!$T$51,1)="D"),"",IF(AND(ISNUMBER(J939),J939&lt;ASOF),"⚠ เลยกำหนด",IF(AND(ISNUMBER(I939),I939&lt;=ASOF+14,J939&gt;=ASOF-7),"ช่วงนี้","")))</f>
        <v/>
      </c>
      <c r="L939" s="59"/>
      <c r="M939" s="60"/>
    </row>
    <row r="940" customFormat="false" ht="15" hidden="false" customHeight="false" outlineLevel="0" collapsed="false">
      <c r="A940" s="54" t="s">
        <v>86</v>
      </c>
      <c r="B940" s="55" t="s">
        <v>486</v>
      </c>
      <c r="C940" s="56" t="s">
        <v>487</v>
      </c>
      <c r="D940" s="57" t="s">
        <v>88</v>
      </c>
      <c r="E940" s="57" t="s">
        <v>299</v>
      </c>
      <c r="F940" s="55" t="s">
        <v>300</v>
      </c>
      <c r="G940" s="55" t="s">
        <v>301</v>
      </c>
      <c r="H940" s="57" t="s">
        <v>211</v>
      </c>
      <c r="I940" s="58" t="str">
        <f aca="false">'P9-012'!$N$53</f>
        <v/>
      </c>
      <c r="J940" s="58" t="str">
        <f aca="false">'P9-012'!$O$53</f>
        <v/>
      </c>
      <c r="K940" s="56" t="str">
        <f aca="false">IF(OR(L940="Y",LEFT('P9-012'!$T$53,1)="D"),"",IF(AND(ISNUMBER(J940),J940&lt;ASOF),"⚠ เลยกำหนด",IF(AND(ISNUMBER(I940),I940&lt;=ASOF+14,J940&gt;=ASOF-7),"ช่วงนี้","")))</f>
        <v/>
      </c>
      <c r="L940" s="59"/>
      <c r="M940" s="60"/>
    </row>
    <row r="941" customFormat="false" ht="15" hidden="false" customHeight="false" outlineLevel="0" collapsed="false">
      <c r="A941" s="54" t="s">
        <v>86</v>
      </c>
      <c r="B941" s="55" t="s">
        <v>486</v>
      </c>
      <c r="C941" s="56" t="s">
        <v>487</v>
      </c>
      <c r="D941" s="57" t="s">
        <v>88</v>
      </c>
      <c r="E941" s="57" t="s">
        <v>302</v>
      </c>
      <c r="F941" s="55" t="s">
        <v>303</v>
      </c>
      <c r="G941" s="55" t="s">
        <v>304</v>
      </c>
      <c r="H941" s="57" t="s">
        <v>211</v>
      </c>
      <c r="I941" s="58" t="str">
        <f aca="false">'P9-012'!$N$54</f>
        <v/>
      </c>
      <c r="J941" s="58" t="str">
        <f aca="false">'P9-012'!$O$54</f>
        <v/>
      </c>
      <c r="K941" s="56" t="str">
        <f aca="false">IF(OR(L941="Y",LEFT('P9-012'!$T$54,1)="D"),"",IF(AND(ISNUMBER(J941),J941&lt;ASOF),"⚠ เลยกำหนด",IF(AND(ISNUMBER(I941),I941&lt;=ASOF+14,J941&gt;=ASOF-7),"ช่วงนี้","")))</f>
        <v/>
      </c>
      <c r="L941" s="59"/>
      <c r="M941" s="60"/>
    </row>
    <row r="942" customFormat="false" ht="15" hidden="false" customHeight="false" outlineLevel="0" collapsed="false">
      <c r="A942" s="54" t="s">
        <v>86</v>
      </c>
      <c r="B942" s="55" t="s">
        <v>486</v>
      </c>
      <c r="C942" s="56" t="s">
        <v>487</v>
      </c>
      <c r="D942" s="57" t="s">
        <v>88</v>
      </c>
      <c r="E942" s="57" t="s">
        <v>305</v>
      </c>
      <c r="F942" s="55" t="s">
        <v>306</v>
      </c>
      <c r="G942" s="55" t="s">
        <v>307</v>
      </c>
      <c r="H942" s="56" t="str">
        <f aca="false">IF(COUNTIFS(SITE_ST,"P9-012",SITE_TYPE,"?*")&gt;0,"ตามจุดติดตั้ง →","0/100")</f>
        <v>ตามจุดติดตั้ง →</v>
      </c>
      <c r="I942" s="58" t="n">
        <f aca="false">'P9-012'!$N$63</f>
        <v>46328</v>
      </c>
      <c r="J942" s="58" t="n">
        <f aca="false">'P9-012'!$O$63</f>
        <v>46329</v>
      </c>
      <c r="K942" s="56" t="str">
        <f aca="false">IF(OR(L942="Y",LEFT('P9-012'!$T$63,1)="D"),"",IF(AND(ISNUMBER(J942),J942&lt;ASOF),"⚠ เลยกำหนด",IF(AND(ISNUMBER(I942),I942&lt;=ASOF+14,J942&gt;=ASOF-7),"ช่วงนี้","")))</f>
        <v>ช่วงนี้</v>
      </c>
      <c r="L942" s="59"/>
      <c r="M942" s="60"/>
    </row>
    <row r="943" customFormat="false" ht="15" hidden="false" customHeight="false" outlineLevel="0" collapsed="false">
      <c r="A943" s="54" t="s">
        <v>86</v>
      </c>
      <c r="B943" s="55" t="s">
        <v>486</v>
      </c>
      <c r="C943" s="56" t="s">
        <v>487</v>
      </c>
      <c r="D943" s="57" t="s">
        <v>88</v>
      </c>
      <c r="E943" s="57" t="s">
        <v>308</v>
      </c>
      <c r="F943" s="55" t="s">
        <v>309</v>
      </c>
      <c r="G943" s="55" t="s">
        <v>310</v>
      </c>
      <c r="H943" s="57" t="s">
        <v>211</v>
      </c>
      <c r="I943" s="58" t="n">
        <f aca="false">'P9-012'!$N$64</f>
        <v>46328</v>
      </c>
      <c r="J943" s="58" t="n">
        <f aca="false">'P9-012'!$O$64</f>
        <v>46330</v>
      </c>
      <c r="K943" s="56" t="str">
        <f aca="false">IF(OR(L943="Y",LEFT('P9-012'!$T$64,1)="D"),"",IF(AND(ISNUMBER(J943),J943&lt;ASOF),"⚠ เลยกำหนด",IF(AND(ISNUMBER(I943),I943&lt;=ASOF+14,J943&gt;=ASOF-7),"ช่วงนี้","")))</f>
        <v>ช่วงนี้</v>
      </c>
      <c r="L943" s="59"/>
      <c r="M943" s="60"/>
    </row>
    <row r="944" customFormat="false" ht="15" hidden="false" customHeight="false" outlineLevel="0" collapsed="false">
      <c r="A944" s="54" t="s">
        <v>86</v>
      </c>
      <c r="B944" s="55" t="s">
        <v>486</v>
      </c>
      <c r="C944" s="56" t="s">
        <v>487</v>
      </c>
      <c r="D944" s="57" t="s">
        <v>88</v>
      </c>
      <c r="E944" s="57" t="s">
        <v>311</v>
      </c>
      <c r="F944" s="55" t="s">
        <v>312</v>
      </c>
      <c r="G944" s="55" t="s">
        <v>313</v>
      </c>
      <c r="H944" s="56" t="str">
        <f aca="false">IF(COUNTIFS(SITE_ST,"P9-012",SITE_TYPE,"?*")&gt;0,"ตามจุดติดตั้ง →","50/50")</f>
        <v>ตามจุดติดตั้ง →</v>
      </c>
      <c r="I944" s="58" t="n">
        <f aca="false">'P9-012'!$N$65</f>
        <v>46329</v>
      </c>
      <c r="J944" s="58" t="n">
        <f aca="false">'P9-012'!$O$65</f>
        <v>46332</v>
      </c>
      <c r="K944" s="56" t="str">
        <f aca="false">IF(OR(L944="Y",LEFT('P9-012'!$T$65,1)="D"),"",IF(AND(ISNUMBER(J944),J944&lt;ASOF),"⚠ เลยกำหนด",IF(AND(ISNUMBER(I944),I944&lt;=ASOF+14,J944&gt;=ASOF-7),"ช่วงนี้","")))</f>
        <v>ช่วงนี้</v>
      </c>
      <c r="L944" s="59"/>
      <c r="M944" s="60"/>
    </row>
    <row r="945" customFormat="false" ht="15" hidden="false" customHeight="false" outlineLevel="0" collapsed="false">
      <c r="A945" s="54" t="s">
        <v>86</v>
      </c>
      <c r="B945" s="55" t="s">
        <v>486</v>
      </c>
      <c r="C945" s="56" t="s">
        <v>487</v>
      </c>
      <c r="D945" s="57" t="s">
        <v>88</v>
      </c>
      <c r="E945" s="57" t="s">
        <v>314</v>
      </c>
      <c r="F945" s="55" t="s">
        <v>315</v>
      </c>
      <c r="G945" s="61" t="s">
        <v>316</v>
      </c>
      <c r="H945" s="56" t="str">
        <f aca="false">IF(COUNTIFS(SITE_ST,"P9-012",SITE_TYPE,"?*")&gt;0,"ตามจุดติดตั้ง →","50/50")</f>
        <v>ตามจุดติดตั้ง →</v>
      </c>
      <c r="I945" s="58" t="n">
        <f aca="false">'P9-012'!$N$66</f>
        <v>46331</v>
      </c>
      <c r="J945" s="58" t="n">
        <f aca="false">'P9-012'!$O$66</f>
        <v>46335</v>
      </c>
      <c r="K945" s="56" t="str">
        <f aca="false">IF(OR(L945="Y",LEFT('P9-012'!$T$66,1)="D"),"",IF(AND(ISNUMBER(J945),J945&lt;ASOF),"⚠ เลยกำหนด",IF(AND(ISNUMBER(I945),I945&lt;=ASOF+14,J945&gt;=ASOF-7),"ช่วงนี้","")))</f>
        <v>ช่วงนี้</v>
      </c>
      <c r="L945" s="59"/>
      <c r="M945" s="60"/>
    </row>
    <row r="946" customFormat="false" ht="15" hidden="false" customHeight="false" outlineLevel="0" collapsed="false">
      <c r="A946" s="54" t="s">
        <v>86</v>
      </c>
      <c r="B946" s="55" t="s">
        <v>486</v>
      </c>
      <c r="C946" s="56" t="s">
        <v>487</v>
      </c>
      <c r="D946" s="57" t="s">
        <v>88</v>
      </c>
      <c r="E946" s="57" t="s">
        <v>317</v>
      </c>
      <c r="F946" s="61" t="s">
        <v>318</v>
      </c>
      <c r="G946" s="61" t="s">
        <v>319</v>
      </c>
      <c r="H946" s="56" t="str">
        <f aca="false">IF(COUNTIFS(SITE_ST,"P9-012",SITE_TYPE,"?*")&gt;0,"ตามจุดติดตั้ง →","50/50")</f>
        <v>ตามจุดติดตั้ง →</v>
      </c>
      <c r="I946" s="58" t="n">
        <f aca="false">'P9-012'!$N$67</f>
        <v>46333</v>
      </c>
      <c r="J946" s="58" t="n">
        <f aca="false">'P9-012'!$O$67</f>
        <v>46336</v>
      </c>
      <c r="K946" s="56" t="str">
        <f aca="false">IF(OR(L946="Y",LEFT('P9-012'!$T$67,1)="D"),"",IF(AND(ISNUMBER(J946),J946&lt;ASOF),"⚠ เลยกำหนด",IF(AND(ISNUMBER(I946),I946&lt;=ASOF+14,J946&gt;=ASOF-7),"ช่วงนี้","")))</f>
        <v>ช่วงนี้</v>
      </c>
      <c r="L946" s="59"/>
      <c r="M946" s="60"/>
    </row>
    <row r="947" customFormat="false" ht="15" hidden="false" customHeight="false" outlineLevel="0" collapsed="false">
      <c r="A947" s="54" t="s">
        <v>86</v>
      </c>
      <c r="B947" s="55" t="s">
        <v>486</v>
      </c>
      <c r="C947" s="56" t="s">
        <v>487</v>
      </c>
      <c r="D947" s="57" t="s">
        <v>88</v>
      </c>
      <c r="E947" s="57" t="s">
        <v>320</v>
      </c>
      <c r="F947" s="55" t="s">
        <v>321</v>
      </c>
      <c r="G947" s="55" t="s">
        <v>322</v>
      </c>
      <c r="H947" s="56" t="str">
        <f aca="false">IF(COUNTIFS(SITE_ST,"P9-012",SITE_TYPE,"?*")&gt;0,"ตามจุดติดตั้ง →","0/100")</f>
        <v>ตามจุดติดตั้ง →</v>
      </c>
      <c r="I947" s="58" t="n">
        <f aca="false">'P9-012'!$N$68</f>
        <v>46334</v>
      </c>
      <c r="J947" s="58" t="n">
        <f aca="false">'P9-012'!$O$68</f>
        <v>46336</v>
      </c>
      <c r="K947" s="56" t="str">
        <f aca="false">IF(OR(L947="Y",LEFT('P9-012'!$T$68,1)="D"),"",IF(AND(ISNUMBER(J947),J947&lt;ASOF),"⚠ เลยกำหนด",IF(AND(ISNUMBER(I947),I947&lt;=ASOF+14,J947&gt;=ASOF-7),"ช่วงนี้","")))</f>
        <v>ช่วงนี้</v>
      </c>
      <c r="L947" s="59"/>
      <c r="M947" s="60"/>
    </row>
    <row r="948" customFormat="false" ht="15" hidden="false" customHeight="false" outlineLevel="0" collapsed="false">
      <c r="A948" s="54" t="s">
        <v>86</v>
      </c>
      <c r="B948" s="55" t="s">
        <v>486</v>
      </c>
      <c r="C948" s="56" t="s">
        <v>487</v>
      </c>
      <c r="D948" s="57" t="s">
        <v>88</v>
      </c>
      <c r="E948" s="57" t="s">
        <v>323</v>
      </c>
      <c r="F948" s="61" t="s">
        <v>324</v>
      </c>
      <c r="G948" s="55" t="s">
        <v>325</v>
      </c>
      <c r="H948" s="56" t="str">
        <f aca="false">IF(COUNTIFS(SITE_ST,"P9-012",SITE_TYPE,"?*")&gt;0,"ตามจุดติดตั้ง →","0/100")</f>
        <v>ตามจุดติดตั้ง →</v>
      </c>
      <c r="I948" s="58" t="n">
        <f aca="false">'P9-012'!$N$69</f>
        <v>46336</v>
      </c>
      <c r="J948" s="58" t="n">
        <f aca="false">'P9-012'!$O$69</f>
        <v>46336</v>
      </c>
      <c r="K948" s="56" t="str">
        <f aca="false">IF(OR(L948="Y",LEFT('P9-012'!$T$69,1)="D"),"",IF(AND(ISNUMBER(J948),J948&lt;ASOF),"⚠ เลยกำหนด",IF(AND(ISNUMBER(I948),I948&lt;=ASOF+14,J948&gt;=ASOF-7),"ช่วงนี้","")))</f>
        <v>ช่วงนี้</v>
      </c>
      <c r="L948" s="59"/>
      <c r="M948" s="60"/>
    </row>
    <row r="949" customFormat="false" ht="15" hidden="false" customHeight="false" outlineLevel="0" collapsed="false">
      <c r="A949" s="54" t="s">
        <v>86</v>
      </c>
      <c r="B949" s="55" t="s">
        <v>486</v>
      </c>
      <c r="C949" s="56" t="s">
        <v>487</v>
      </c>
      <c r="D949" s="57" t="s">
        <v>88</v>
      </c>
      <c r="E949" s="57" t="s">
        <v>326</v>
      </c>
      <c r="F949" s="55" t="s">
        <v>327</v>
      </c>
      <c r="G949" s="61" t="s">
        <v>328</v>
      </c>
      <c r="H949" s="56" t="str">
        <f aca="false">IF(COUNTIFS(SITE_ST,"P9-012",SITE_TYPE,"?*")&gt;0,"ตามจุดติดตั้ง →","50/50")</f>
        <v>ตามจุดติดตั้ง →</v>
      </c>
      <c r="I949" s="58" t="n">
        <f aca="false">'P9-012'!$N$71</f>
        <v>46343</v>
      </c>
      <c r="J949" s="58" t="n">
        <f aca="false">'P9-012'!$O$71</f>
        <v>46344</v>
      </c>
      <c r="K949" s="56" t="str">
        <f aca="false">IF(OR(L949="Y",LEFT('P9-012'!$T$71,1)="D"),"",IF(AND(ISNUMBER(J949),J949&lt;ASOF),"⚠ เลยกำหนด",IF(AND(ISNUMBER(I949),I949&lt;=ASOF+14,J949&gt;=ASOF-7),"ช่วงนี้","")))</f>
        <v/>
      </c>
      <c r="L949" s="59"/>
      <c r="M949" s="60"/>
    </row>
    <row r="950" customFormat="false" ht="15" hidden="false" customHeight="false" outlineLevel="0" collapsed="false">
      <c r="A950" s="54" t="s">
        <v>86</v>
      </c>
      <c r="B950" s="55" t="s">
        <v>486</v>
      </c>
      <c r="C950" s="56" t="s">
        <v>487</v>
      </c>
      <c r="D950" s="57" t="s">
        <v>88</v>
      </c>
      <c r="E950" s="57" t="s">
        <v>329</v>
      </c>
      <c r="F950" s="55" t="s">
        <v>330</v>
      </c>
      <c r="G950" s="55" t="s">
        <v>331</v>
      </c>
      <c r="H950" s="56" t="str">
        <f aca="false">IF(COUNTIFS(SITE_ST,"P9-012",SITE_TYPE,"?*")&gt;0,"ตามจุดติดตั้ง →","50/50")</f>
        <v>ตามจุดติดตั้ง →</v>
      </c>
      <c r="I950" s="58" t="n">
        <f aca="false">'P9-012'!$N$72</f>
        <v>46344</v>
      </c>
      <c r="J950" s="58" t="n">
        <f aca="false">'P9-012'!$O$72</f>
        <v>46345</v>
      </c>
      <c r="K950" s="56" t="str">
        <f aca="false">IF(OR(L950="Y",LEFT('P9-012'!$T$72,1)="D"),"",IF(AND(ISNUMBER(J950),J950&lt;ASOF),"⚠ เลยกำหนด",IF(AND(ISNUMBER(I950),I950&lt;=ASOF+14,J950&gt;=ASOF-7),"ช่วงนี้","")))</f>
        <v/>
      </c>
      <c r="L950" s="59"/>
      <c r="M950" s="60"/>
    </row>
    <row r="951" customFormat="false" ht="15" hidden="false" customHeight="false" outlineLevel="0" collapsed="false">
      <c r="A951" s="54" t="s">
        <v>86</v>
      </c>
      <c r="B951" s="55" t="s">
        <v>486</v>
      </c>
      <c r="C951" s="56" t="s">
        <v>487</v>
      </c>
      <c r="D951" s="57" t="s">
        <v>88</v>
      </c>
      <c r="E951" s="57" t="s">
        <v>332</v>
      </c>
      <c r="F951" s="55" t="s">
        <v>333</v>
      </c>
      <c r="G951" s="55" t="s">
        <v>334</v>
      </c>
      <c r="H951" s="56" t="str">
        <f aca="false">IF(COUNTIFS(SITE_ST,"P9-012",SITE_TYPE,"?*")&gt;0,"ตามจุดติดตั้ง →","0/100")</f>
        <v>ตามจุดติดตั้ง →</v>
      </c>
      <c r="I951" s="58" t="n">
        <f aca="false">'P9-012'!$N$73</f>
        <v>46344</v>
      </c>
      <c r="J951" s="58" t="n">
        <f aca="false">'P9-012'!$O$73</f>
        <v>46345</v>
      </c>
      <c r="K951" s="56" t="str">
        <f aca="false">IF(OR(L951="Y",LEFT('P9-012'!$T$73,1)="D"),"",IF(AND(ISNUMBER(J951),J951&lt;ASOF),"⚠ เลยกำหนด",IF(AND(ISNUMBER(I951),I951&lt;=ASOF+14,J951&gt;=ASOF-7),"ช่วงนี้","")))</f>
        <v/>
      </c>
      <c r="L951" s="59"/>
      <c r="M951" s="60"/>
    </row>
    <row r="952" customFormat="false" ht="15" hidden="false" customHeight="false" outlineLevel="0" collapsed="false">
      <c r="A952" s="54" t="s">
        <v>86</v>
      </c>
      <c r="B952" s="55" t="s">
        <v>486</v>
      </c>
      <c r="C952" s="56" t="s">
        <v>487</v>
      </c>
      <c r="D952" s="57" t="s">
        <v>88</v>
      </c>
      <c r="E952" s="57" t="s">
        <v>335</v>
      </c>
      <c r="F952" s="55" t="s">
        <v>336</v>
      </c>
      <c r="G952" s="61" t="s">
        <v>337</v>
      </c>
      <c r="H952" s="56" t="str">
        <f aca="false">IF(COUNTIFS(SITE_ST,"P9-012",SITE_TYPE,"?*")&gt;0,"ตามจุดติดตั้ง →","0/100")</f>
        <v>ตามจุดติดตั้ง →</v>
      </c>
      <c r="I952" s="58" t="n">
        <f aca="false">'P9-012'!$N$74</f>
        <v>46345</v>
      </c>
      <c r="J952" s="58" t="n">
        <f aca="false">'P9-012'!$O$74</f>
        <v>46346</v>
      </c>
      <c r="K952" s="56" t="str">
        <f aca="false">IF(OR(L952="Y",LEFT('P9-012'!$T$74,1)="D"),"",IF(AND(ISNUMBER(J952),J952&lt;ASOF),"⚠ เลยกำหนด",IF(AND(ISNUMBER(I952),I952&lt;=ASOF+14,J952&gt;=ASOF-7),"ช่วงนี้","")))</f>
        <v/>
      </c>
      <c r="L952" s="59"/>
      <c r="M952" s="60"/>
    </row>
    <row r="953" customFormat="false" ht="15" hidden="false" customHeight="false" outlineLevel="0" collapsed="false">
      <c r="A953" s="54" t="s">
        <v>86</v>
      </c>
      <c r="B953" s="55" t="s">
        <v>486</v>
      </c>
      <c r="C953" s="56" t="s">
        <v>487</v>
      </c>
      <c r="D953" s="57" t="s">
        <v>88</v>
      </c>
      <c r="E953" s="57" t="s">
        <v>338</v>
      </c>
      <c r="F953" s="61" t="s">
        <v>339</v>
      </c>
      <c r="G953" s="55" t="s">
        <v>340</v>
      </c>
      <c r="H953" s="56" t="str">
        <f aca="false">IF(COUNTIFS(SITE_ST,"P9-012",SITE_TYPE,"?*")&gt;0,"ตามจุดติดตั้ง →","0/100")</f>
        <v>ตามจุดติดตั้ง →</v>
      </c>
      <c r="I953" s="58" t="n">
        <f aca="false">'P9-012'!$N$75</f>
        <v>46345</v>
      </c>
      <c r="J953" s="58" t="n">
        <f aca="false">'P9-012'!$O$75</f>
        <v>46346</v>
      </c>
      <c r="K953" s="56" t="str">
        <f aca="false">IF(OR(L953="Y",LEFT('P9-012'!$T$75,1)="D"),"",IF(AND(ISNUMBER(J953),J953&lt;ASOF),"⚠ เลยกำหนด",IF(AND(ISNUMBER(I953),I953&lt;=ASOF+14,J953&gt;=ASOF-7),"ช่วงนี้","")))</f>
        <v/>
      </c>
      <c r="L953" s="59"/>
      <c r="M953" s="60"/>
    </row>
    <row r="954" customFormat="false" ht="15" hidden="false" customHeight="false" outlineLevel="0" collapsed="false">
      <c r="A954" s="54" t="s">
        <v>86</v>
      </c>
      <c r="B954" s="55" t="s">
        <v>486</v>
      </c>
      <c r="C954" s="56" t="s">
        <v>487</v>
      </c>
      <c r="D954" s="57" t="s">
        <v>88</v>
      </c>
      <c r="E954" s="57" t="s">
        <v>341</v>
      </c>
      <c r="F954" s="55" t="s">
        <v>342</v>
      </c>
      <c r="G954" s="55" t="s">
        <v>343</v>
      </c>
      <c r="H954" s="56" t="str">
        <f aca="false">IF(COUNTIFS(SITE_ST,"P9-012",SITE_TYPE,"?*")&gt;0,"ตามจุดติดตั้ง →","0/100")</f>
        <v>ตามจุดติดตั้ง →</v>
      </c>
      <c r="I954" s="58" t="n">
        <f aca="false">'P9-012'!$N$77</f>
        <v>46337</v>
      </c>
      <c r="J954" s="58" t="n">
        <f aca="false">'P9-012'!$O$77</f>
        <v>46340</v>
      </c>
      <c r="K954" s="56" t="str">
        <f aca="false">IF(OR(L954="Y",LEFT('P9-012'!$T$77,1)="D"),"",IF(AND(ISNUMBER(J954),J954&lt;ASOF),"⚠ เลยกำหนด",IF(AND(ISNUMBER(I954),I954&lt;=ASOF+14,J954&gt;=ASOF-7),"ช่วงนี้","")))</f>
        <v>ช่วงนี้</v>
      </c>
      <c r="L954" s="59"/>
      <c r="M954" s="60"/>
    </row>
    <row r="955" customFormat="false" ht="15" hidden="false" customHeight="false" outlineLevel="0" collapsed="false">
      <c r="A955" s="54" t="s">
        <v>86</v>
      </c>
      <c r="B955" s="55" t="s">
        <v>486</v>
      </c>
      <c r="C955" s="56" t="s">
        <v>487</v>
      </c>
      <c r="D955" s="57" t="s">
        <v>88</v>
      </c>
      <c r="E955" s="57" t="s">
        <v>344</v>
      </c>
      <c r="F955" s="55" t="s">
        <v>345</v>
      </c>
      <c r="G955" s="55" t="s">
        <v>346</v>
      </c>
      <c r="H955" s="56" t="str">
        <f aca="false">IF(COUNTIFS(SITE_ST,"P9-012",SITE_TYPE,"?*")&gt;0,"ตามจุดติดตั้ง →","50/50")</f>
        <v>ตามจุดติดตั้ง →</v>
      </c>
      <c r="I955" s="58" t="n">
        <f aca="false">'P9-012'!$N$78</f>
        <v>46338</v>
      </c>
      <c r="J955" s="58" t="n">
        <f aca="false">'P9-012'!$O$78</f>
        <v>46346</v>
      </c>
      <c r="K955" s="56" t="str">
        <f aca="false">IF(OR(L955="Y",LEFT('P9-012'!$T$78,1)="D"),"",IF(AND(ISNUMBER(J955),J955&lt;ASOF),"⚠ เลยกำหนด",IF(AND(ISNUMBER(I955),I955&lt;=ASOF+14,J955&gt;=ASOF-7),"ช่วงนี้","")))</f>
        <v>ช่วงนี้</v>
      </c>
      <c r="L955" s="59"/>
      <c r="M955" s="60"/>
    </row>
    <row r="956" customFormat="false" ht="15" hidden="false" customHeight="false" outlineLevel="0" collapsed="false">
      <c r="A956" s="54" t="s">
        <v>86</v>
      </c>
      <c r="B956" s="55" t="s">
        <v>486</v>
      </c>
      <c r="C956" s="56" t="s">
        <v>487</v>
      </c>
      <c r="D956" s="57" t="s">
        <v>88</v>
      </c>
      <c r="E956" s="57" t="s">
        <v>347</v>
      </c>
      <c r="F956" s="61" t="s">
        <v>348</v>
      </c>
      <c r="G956" s="55" t="s">
        <v>349</v>
      </c>
      <c r="H956" s="56" t="str">
        <f aca="false">IF(COUNTIFS(SITE_ST,"P9-012",SITE_TYPE,"?*")&gt;0,"ตามจุดติดตั้ง →","50/50")</f>
        <v>ตามจุดติดตั้ง →</v>
      </c>
      <c r="I956" s="58" t="n">
        <f aca="false">'P9-012'!$N$79</f>
        <v>46341</v>
      </c>
      <c r="J956" s="58" t="n">
        <f aca="false">'P9-012'!$O$79</f>
        <v>46347</v>
      </c>
      <c r="K956" s="56" t="str">
        <f aca="false">IF(OR(L956="Y",LEFT('P9-012'!$T$79,1)="D"),"",IF(AND(ISNUMBER(J956),J956&lt;ASOF),"⚠ เลยกำหนด",IF(AND(ISNUMBER(I956),I956&lt;=ASOF+14,J956&gt;=ASOF-7),"ช่วงนี้","")))</f>
        <v>ช่วงนี้</v>
      </c>
      <c r="L956" s="59"/>
      <c r="M956" s="60"/>
    </row>
    <row r="957" customFormat="false" ht="15" hidden="false" customHeight="false" outlineLevel="0" collapsed="false">
      <c r="A957" s="54" t="s">
        <v>86</v>
      </c>
      <c r="B957" s="55" t="s">
        <v>486</v>
      </c>
      <c r="C957" s="56" t="s">
        <v>487</v>
      </c>
      <c r="D957" s="57" t="s">
        <v>88</v>
      </c>
      <c r="E957" s="57" t="s">
        <v>350</v>
      </c>
      <c r="F957" s="61" t="s">
        <v>351</v>
      </c>
      <c r="G957" s="55" t="s">
        <v>352</v>
      </c>
      <c r="H957" s="56" t="str">
        <f aca="false">IF(COUNTIFS(SITE_ST,"P9-012",SITE_TYPE,"?*")&gt;0,"ตามจุดติดตั้ง →","0/100")</f>
        <v>ตามจุดติดตั้ง →</v>
      </c>
      <c r="I957" s="58" t="n">
        <f aca="false">'P9-012'!$N$80</f>
        <v>46345</v>
      </c>
      <c r="J957" s="58" t="n">
        <f aca="false">'P9-012'!$O$80</f>
        <v>46347</v>
      </c>
      <c r="K957" s="56" t="str">
        <f aca="false">IF(OR(L957="Y",LEFT('P9-012'!$T$80,1)="D"),"",IF(AND(ISNUMBER(J957),J957&lt;ASOF),"⚠ เลยกำหนด",IF(AND(ISNUMBER(I957),I957&lt;=ASOF+14,J957&gt;=ASOF-7),"ช่วงนี้","")))</f>
        <v/>
      </c>
      <c r="L957" s="59"/>
      <c r="M957" s="60"/>
    </row>
    <row r="958" customFormat="false" ht="15" hidden="false" customHeight="false" outlineLevel="0" collapsed="false">
      <c r="A958" s="54" t="s">
        <v>86</v>
      </c>
      <c r="B958" s="55" t="s">
        <v>486</v>
      </c>
      <c r="C958" s="56" t="s">
        <v>487</v>
      </c>
      <c r="D958" s="57" t="s">
        <v>88</v>
      </c>
      <c r="E958" s="57" t="s">
        <v>353</v>
      </c>
      <c r="F958" s="61" t="s">
        <v>354</v>
      </c>
      <c r="G958" s="55" t="s">
        <v>355</v>
      </c>
      <c r="H958" s="56" t="str">
        <f aca="false">IF(COUNTIFS(SITE_ST,"P9-012",SITE_TYPE,"?*")&gt;0,"ตามจุดติดตั้ง →","0/100")</f>
        <v>ตามจุดติดตั้ง →</v>
      </c>
      <c r="I958" s="58" t="n">
        <f aca="false">'P9-012'!$N$81</f>
        <v>46347</v>
      </c>
      <c r="J958" s="58" t="n">
        <f aca="false">'P9-012'!$O$81</f>
        <v>46347</v>
      </c>
      <c r="K958" s="56" t="str">
        <f aca="false">IF(OR(L958="Y",LEFT('P9-012'!$T$81,1)="D"),"",IF(AND(ISNUMBER(J958),J958&lt;ASOF),"⚠ เลยกำหนด",IF(AND(ISNUMBER(I958),I958&lt;=ASOF+14,J958&gt;=ASOF-7),"ช่วงนี้","")))</f>
        <v/>
      </c>
      <c r="L958" s="59"/>
      <c r="M958" s="60"/>
    </row>
    <row r="959" customFormat="false" ht="15" hidden="false" customHeight="false" outlineLevel="0" collapsed="false">
      <c r="A959" s="54" t="s">
        <v>86</v>
      </c>
      <c r="B959" s="55" t="s">
        <v>486</v>
      </c>
      <c r="C959" s="56" t="s">
        <v>487</v>
      </c>
      <c r="D959" s="57" t="s">
        <v>88</v>
      </c>
      <c r="E959" s="57" t="s">
        <v>356</v>
      </c>
      <c r="F959" s="55" t="s">
        <v>357</v>
      </c>
      <c r="G959" s="55" t="s">
        <v>358</v>
      </c>
      <c r="H959" s="57" t="s">
        <v>211</v>
      </c>
      <c r="I959" s="58" t="n">
        <f aca="false">'P9-012'!$N$83</f>
        <v>46345</v>
      </c>
      <c r="J959" s="58" t="n">
        <f aca="false">'P9-012'!$O$83</f>
        <v>46346</v>
      </c>
      <c r="K959" s="56" t="str">
        <f aca="false">IF(OR(L959="Y",LEFT('P9-012'!$T$83,1)="D"),"",IF(AND(ISNUMBER(J959),J959&lt;ASOF),"⚠ เลยกำหนด",IF(AND(ISNUMBER(I959),I959&lt;=ASOF+14,J959&gt;=ASOF-7),"ช่วงนี้","")))</f>
        <v/>
      </c>
      <c r="L959" s="59"/>
      <c r="M959" s="60"/>
    </row>
    <row r="960" customFormat="false" ht="15" hidden="false" customHeight="false" outlineLevel="0" collapsed="false">
      <c r="A960" s="54" t="s">
        <v>86</v>
      </c>
      <c r="B960" s="55" t="s">
        <v>486</v>
      </c>
      <c r="C960" s="56" t="s">
        <v>487</v>
      </c>
      <c r="D960" s="57" t="s">
        <v>88</v>
      </c>
      <c r="E960" s="57" t="s">
        <v>359</v>
      </c>
      <c r="F960" s="55" t="s">
        <v>360</v>
      </c>
      <c r="G960" s="55" t="s">
        <v>361</v>
      </c>
      <c r="H960" s="57" t="s">
        <v>211</v>
      </c>
      <c r="I960" s="58" t="n">
        <f aca="false">'P9-012'!$N$84</f>
        <v>46346</v>
      </c>
      <c r="J960" s="58" t="n">
        <f aca="false">'P9-012'!$O$84</f>
        <v>46347</v>
      </c>
      <c r="K960" s="56" t="str">
        <f aca="false">IF(OR(L960="Y",LEFT('P9-012'!$T$84,1)="D"),"",IF(AND(ISNUMBER(J960),J960&lt;ASOF),"⚠ เลยกำหนด",IF(AND(ISNUMBER(I960),I960&lt;=ASOF+14,J960&gt;=ASOF-7),"ช่วงนี้","")))</f>
        <v/>
      </c>
      <c r="L960" s="59"/>
      <c r="M960" s="60"/>
    </row>
    <row r="961" customFormat="false" ht="15" hidden="false" customHeight="false" outlineLevel="0" collapsed="false">
      <c r="A961" s="54" t="s">
        <v>86</v>
      </c>
      <c r="B961" s="55" t="s">
        <v>486</v>
      </c>
      <c r="C961" s="56" t="s">
        <v>487</v>
      </c>
      <c r="D961" s="57" t="s">
        <v>88</v>
      </c>
      <c r="E961" s="57" t="s">
        <v>362</v>
      </c>
      <c r="F961" s="61" t="s">
        <v>363</v>
      </c>
      <c r="G961" s="61" t="s">
        <v>364</v>
      </c>
      <c r="H961" s="56" t="s">
        <v>365</v>
      </c>
      <c r="I961" s="58" t="n">
        <f aca="false">'P9-012'!$N$86</f>
        <v>46343</v>
      </c>
      <c r="J961" s="58" t="n">
        <f aca="false">'P9-012'!$O$86</f>
        <v>46345</v>
      </c>
      <c r="K961" s="56" t="str">
        <f aca="false">IF(OR(L961="Y",LEFT('P9-012'!$T$86,1)="D"),"",IF(AND(ISNUMBER(J961),J961&lt;ASOF),"⚠ เลยกำหนด",IF(AND(ISNUMBER(I961),I961&lt;=ASOF+14,J961&gt;=ASOF-7),"ช่วงนี้","")))</f>
        <v/>
      </c>
      <c r="L961" s="59"/>
      <c r="M961" s="60"/>
    </row>
    <row r="962" customFormat="false" ht="15" hidden="false" customHeight="false" outlineLevel="0" collapsed="false">
      <c r="A962" s="54" t="s">
        <v>86</v>
      </c>
      <c r="B962" s="55" t="s">
        <v>486</v>
      </c>
      <c r="C962" s="56" t="s">
        <v>487</v>
      </c>
      <c r="D962" s="57" t="s">
        <v>88</v>
      </c>
      <c r="E962" s="57" t="s">
        <v>366</v>
      </c>
      <c r="F962" s="61" t="s">
        <v>367</v>
      </c>
      <c r="G962" s="61" t="s">
        <v>368</v>
      </c>
      <c r="H962" s="57" t="s">
        <v>369</v>
      </c>
      <c r="I962" s="58" t="n">
        <f aca="false">'P9-012'!$N$87</f>
        <v>46344</v>
      </c>
      <c r="J962" s="58" t="n">
        <f aca="false">'P9-012'!$O$87</f>
        <v>46346</v>
      </c>
      <c r="K962" s="56" t="str">
        <f aca="false">IF(OR(L962="Y",LEFT('P9-012'!$T$87,1)="D"),"",IF(AND(ISNUMBER(J962),J962&lt;ASOF),"⚠ เลยกำหนด",IF(AND(ISNUMBER(I962),I962&lt;=ASOF+14,J962&gt;=ASOF-7),"ช่วงนี้","")))</f>
        <v/>
      </c>
      <c r="L962" s="59"/>
      <c r="M962" s="60"/>
    </row>
    <row r="963" customFormat="false" ht="15" hidden="false" customHeight="false" outlineLevel="0" collapsed="false">
      <c r="A963" s="54" t="s">
        <v>86</v>
      </c>
      <c r="B963" s="55" t="s">
        <v>486</v>
      </c>
      <c r="C963" s="56" t="s">
        <v>487</v>
      </c>
      <c r="D963" s="57" t="s">
        <v>88</v>
      </c>
      <c r="E963" s="57" t="s">
        <v>370</v>
      </c>
      <c r="F963" s="55" t="s">
        <v>371</v>
      </c>
      <c r="G963" s="55" t="s">
        <v>372</v>
      </c>
      <c r="H963" s="57" t="s">
        <v>211</v>
      </c>
      <c r="I963" s="58" t="n">
        <f aca="false">'P9-012'!$N$88</f>
        <v>46345</v>
      </c>
      <c r="J963" s="58" t="n">
        <f aca="false">'P9-012'!$O$88</f>
        <v>46346</v>
      </c>
      <c r="K963" s="56" t="str">
        <f aca="false">IF(OR(L963="Y",LEFT('P9-012'!$T$88,1)="D"),"",IF(AND(ISNUMBER(J963),J963&lt;ASOF),"⚠ เลยกำหนด",IF(AND(ISNUMBER(I963),I963&lt;=ASOF+14,J963&gt;=ASOF-7),"ช่วงนี้","")))</f>
        <v/>
      </c>
      <c r="L963" s="59"/>
      <c r="M963" s="60"/>
    </row>
    <row r="964" customFormat="false" ht="15" hidden="false" customHeight="false" outlineLevel="0" collapsed="false">
      <c r="A964" s="54" t="s">
        <v>86</v>
      </c>
      <c r="B964" s="55" t="s">
        <v>486</v>
      </c>
      <c r="C964" s="56" t="s">
        <v>487</v>
      </c>
      <c r="D964" s="57" t="s">
        <v>88</v>
      </c>
      <c r="E964" s="57" t="s">
        <v>373</v>
      </c>
      <c r="F964" s="61" t="s">
        <v>374</v>
      </c>
      <c r="G964" s="55" t="s">
        <v>375</v>
      </c>
      <c r="H964" s="57" t="s">
        <v>211</v>
      </c>
      <c r="I964" s="58" t="n">
        <f aca="false">'P9-012'!$N$89</f>
        <v>46346</v>
      </c>
      <c r="J964" s="58" t="n">
        <f aca="false">'P9-012'!$O$89</f>
        <v>46346</v>
      </c>
      <c r="K964" s="56" t="str">
        <f aca="false">IF(OR(L964="Y",LEFT('P9-012'!$T$89,1)="D"),"",IF(AND(ISNUMBER(J964),J964&lt;ASOF),"⚠ เลยกำหนด",IF(AND(ISNUMBER(I964),I964&lt;=ASOF+14,J964&gt;=ASOF-7),"ช่วงนี้","")))</f>
        <v/>
      </c>
      <c r="L964" s="59"/>
      <c r="M964" s="60"/>
    </row>
    <row r="965" customFormat="false" ht="15" hidden="false" customHeight="false" outlineLevel="0" collapsed="false">
      <c r="A965" s="54" t="s">
        <v>86</v>
      </c>
      <c r="B965" s="55" t="s">
        <v>486</v>
      </c>
      <c r="C965" s="56" t="s">
        <v>487</v>
      </c>
      <c r="D965" s="57" t="s">
        <v>88</v>
      </c>
      <c r="E965" s="57" t="s">
        <v>376</v>
      </c>
      <c r="F965" s="55" t="s">
        <v>377</v>
      </c>
      <c r="G965" s="55" t="s">
        <v>378</v>
      </c>
      <c r="H965" s="57" t="s">
        <v>369</v>
      </c>
      <c r="I965" s="58" t="n">
        <f aca="false">'P9-012'!$N$91</f>
        <v>46344</v>
      </c>
      <c r="J965" s="58" t="n">
        <f aca="false">'P9-012'!$O$91</f>
        <v>46346</v>
      </c>
      <c r="K965" s="56" t="str">
        <f aca="false">IF(OR(L965="Y",LEFT('P9-012'!$T$91,1)="D"),"",IF(AND(ISNUMBER(J965),J965&lt;ASOF),"⚠ เลยกำหนด",IF(AND(ISNUMBER(I965),I965&lt;=ASOF+14,J965&gt;=ASOF-7),"ช่วงนี้","")))</f>
        <v/>
      </c>
      <c r="L965" s="59"/>
      <c r="M965" s="60"/>
    </row>
    <row r="966" customFormat="false" ht="15" hidden="false" customHeight="false" outlineLevel="0" collapsed="false">
      <c r="A966" s="54" t="s">
        <v>86</v>
      </c>
      <c r="B966" s="55" t="s">
        <v>486</v>
      </c>
      <c r="C966" s="56" t="s">
        <v>487</v>
      </c>
      <c r="D966" s="57" t="s">
        <v>88</v>
      </c>
      <c r="E966" s="57" t="s">
        <v>379</v>
      </c>
      <c r="F966" s="61" t="s">
        <v>380</v>
      </c>
      <c r="G966" s="61" t="s">
        <v>381</v>
      </c>
      <c r="H966" s="57" t="s">
        <v>211</v>
      </c>
      <c r="I966" s="58" t="n">
        <f aca="false">'P9-012'!$N$92</f>
        <v>46346</v>
      </c>
      <c r="J966" s="58" t="n">
        <f aca="false">'P9-012'!$O$92</f>
        <v>46347</v>
      </c>
      <c r="K966" s="56" t="str">
        <f aca="false">IF(OR(L966="Y",LEFT('P9-012'!$T$92,1)="D"),"",IF(AND(ISNUMBER(J966),J966&lt;ASOF),"⚠ เลยกำหนด",IF(AND(ISNUMBER(I966),I966&lt;=ASOF+14,J966&gt;=ASOF-7),"ช่วงนี้","")))</f>
        <v/>
      </c>
      <c r="L966" s="59"/>
      <c r="M966" s="60"/>
    </row>
    <row r="967" customFormat="false" ht="15" hidden="false" customHeight="false" outlineLevel="0" collapsed="false">
      <c r="A967" s="54" t="s">
        <v>86</v>
      </c>
      <c r="B967" s="55" t="s">
        <v>486</v>
      </c>
      <c r="C967" s="56" t="s">
        <v>487</v>
      </c>
      <c r="D967" s="57" t="s">
        <v>88</v>
      </c>
      <c r="E967" s="57" t="s">
        <v>382</v>
      </c>
      <c r="F967" s="55" t="s">
        <v>383</v>
      </c>
      <c r="G967" s="55" t="s">
        <v>384</v>
      </c>
      <c r="H967" s="57" t="s">
        <v>369</v>
      </c>
      <c r="I967" s="58" t="n">
        <f aca="false">'P9-012'!$N$93</f>
        <v>46344</v>
      </c>
      <c r="J967" s="58" t="n">
        <f aca="false">'P9-012'!$O$93</f>
        <v>46346</v>
      </c>
      <c r="K967" s="56" t="str">
        <f aca="false">IF(OR(L967="Y",LEFT('P9-012'!$T$93,1)="D"),"",IF(AND(ISNUMBER(J967),J967&lt;ASOF),"⚠ เลยกำหนด",IF(AND(ISNUMBER(I967),I967&lt;=ASOF+14,J967&gt;=ASOF-7),"ช่วงนี้","")))</f>
        <v/>
      </c>
      <c r="L967" s="59"/>
      <c r="M967" s="60"/>
    </row>
    <row r="968" customFormat="false" ht="15" hidden="false" customHeight="false" outlineLevel="0" collapsed="false">
      <c r="A968" s="54" t="s">
        <v>86</v>
      </c>
      <c r="B968" s="55" t="s">
        <v>486</v>
      </c>
      <c r="C968" s="56" t="s">
        <v>487</v>
      </c>
      <c r="D968" s="57" t="s">
        <v>88</v>
      </c>
      <c r="E968" s="57" t="s">
        <v>385</v>
      </c>
      <c r="F968" s="55" t="s">
        <v>386</v>
      </c>
      <c r="G968" s="55" t="s">
        <v>387</v>
      </c>
      <c r="H968" s="57" t="s">
        <v>211</v>
      </c>
      <c r="I968" s="58" t="n">
        <f aca="false">'P9-012'!$N$94</f>
        <v>46346</v>
      </c>
      <c r="J968" s="58" t="n">
        <f aca="false">'P9-012'!$O$94</f>
        <v>46347</v>
      </c>
      <c r="K968" s="56" t="str">
        <f aca="false">IF(OR(L968="Y",LEFT('P9-012'!$T$94,1)="D"),"",IF(AND(ISNUMBER(J968),J968&lt;ASOF),"⚠ เลยกำหนด",IF(AND(ISNUMBER(I968),I968&lt;=ASOF+14,J968&gt;=ASOF-7),"ช่วงนี้","")))</f>
        <v/>
      </c>
      <c r="L968" s="59"/>
      <c r="M968" s="60"/>
    </row>
    <row r="969" customFormat="false" ht="15" hidden="false" customHeight="false" outlineLevel="0" collapsed="false">
      <c r="A969" s="54" t="s">
        <v>86</v>
      </c>
      <c r="B969" s="55" t="s">
        <v>486</v>
      </c>
      <c r="C969" s="56" t="s">
        <v>487</v>
      </c>
      <c r="D969" s="57" t="s">
        <v>88</v>
      </c>
      <c r="E969" s="57" t="s">
        <v>388</v>
      </c>
      <c r="F969" s="61" t="s">
        <v>389</v>
      </c>
      <c r="G969" s="55" t="s">
        <v>390</v>
      </c>
      <c r="H969" s="57" t="s">
        <v>211</v>
      </c>
      <c r="I969" s="58" t="n">
        <f aca="false">'P9-012'!$N$95</f>
        <v>46347</v>
      </c>
      <c r="J969" s="58" t="n">
        <f aca="false">'P9-012'!$O$95</f>
        <v>46347</v>
      </c>
      <c r="K969" s="56" t="str">
        <f aca="false">IF(OR(L969="Y",LEFT('P9-012'!$T$95,1)="D"),"",IF(AND(ISNUMBER(J969),J969&lt;ASOF),"⚠ เลยกำหนด",IF(AND(ISNUMBER(I969),I969&lt;=ASOF+14,J969&gt;=ASOF-7),"ช่วงนี้","")))</f>
        <v/>
      </c>
      <c r="L969" s="59"/>
      <c r="M969" s="60"/>
    </row>
    <row r="970" customFormat="false" ht="15" hidden="false" customHeight="false" outlineLevel="0" collapsed="false">
      <c r="A970" s="54" t="s">
        <v>86</v>
      </c>
      <c r="B970" s="55" t="s">
        <v>486</v>
      </c>
      <c r="C970" s="56" t="s">
        <v>487</v>
      </c>
      <c r="D970" s="57" t="s">
        <v>88</v>
      </c>
      <c r="E970" s="57" t="s">
        <v>391</v>
      </c>
      <c r="F970" s="55" t="s">
        <v>392</v>
      </c>
      <c r="G970" s="55" t="s">
        <v>393</v>
      </c>
      <c r="H970" s="57" t="s">
        <v>369</v>
      </c>
      <c r="I970" s="58" t="n">
        <f aca="false">'P9-012'!$N$97</f>
        <v>46345</v>
      </c>
      <c r="J970" s="58" t="n">
        <f aca="false">'P9-012'!$O$97</f>
        <v>46347</v>
      </c>
      <c r="K970" s="56" t="str">
        <f aca="false">IF(OR(L970="Y",LEFT('P9-012'!$T$97,1)="D"),"",IF(AND(ISNUMBER(J970),J970&lt;ASOF),"⚠ เลยกำหนด",IF(AND(ISNUMBER(I970),I970&lt;=ASOF+14,J970&gt;=ASOF-7),"ช่วงนี้","")))</f>
        <v/>
      </c>
      <c r="L970" s="59"/>
      <c r="M970" s="60"/>
    </row>
    <row r="971" customFormat="false" ht="15" hidden="false" customHeight="false" outlineLevel="0" collapsed="false">
      <c r="A971" s="54" t="s">
        <v>86</v>
      </c>
      <c r="B971" s="55" t="s">
        <v>486</v>
      </c>
      <c r="C971" s="56" t="s">
        <v>487</v>
      </c>
      <c r="D971" s="57" t="s">
        <v>88</v>
      </c>
      <c r="E971" s="57" t="s">
        <v>394</v>
      </c>
      <c r="F971" s="55" t="s">
        <v>395</v>
      </c>
      <c r="G971" s="55" t="s">
        <v>396</v>
      </c>
      <c r="H971" s="57" t="s">
        <v>211</v>
      </c>
      <c r="I971" s="58" t="n">
        <f aca="false">'P9-012'!$N$98</f>
        <v>46346</v>
      </c>
      <c r="J971" s="58" t="n">
        <f aca="false">'P9-012'!$O$98</f>
        <v>46347</v>
      </c>
      <c r="K971" s="56" t="str">
        <f aca="false">IF(OR(L971="Y",LEFT('P9-012'!$T$98,1)="D"),"",IF(AND(ISNUMBER(J971),J971&lt;ASOF),"⚠ เลยกำหนด",IF(AND(ISNUMBER(I971),I971&lt;=ASOF+14,J971&gt;=ASOF-7),"ช่วงนี้","")))</f>
        <v/>
      </c>
      <c r="L971" s="59"/>
      <c r="M971" s="60"/>
    </row>
    <row r="972" customFormat="false" ht="15" hidden="false" customHeight="false" outlineLevel="0" collapsed="false">
      <c r="A972" s="54" t="s">
        <v>86</v>
      </c>
      <c r="B972" s="55" t="s">
        <v>486</v>
      </c>
      <c r="C972" s="56" t="s">
        <v>487</v>
      </c>
      <c r="D972" s="57" t="s">
        <v>88</v>
      </c>
      <c r="E972" s="57" t="s">
        <v>397</v>
      </c>
      <c r="F972" s="61" t="s">
        <v>398</v>
      </c>
      <c r="G972" s="55" t="s">
        <v>399</v>
      </c>
      <c r="H972" s="57" t="s">
        <v>211</v>
      </c>
      <c r="I972" s="58" t="n">
        <f aca="false">'P9-012'!$N$99</f>
        <v>46347</v>
      </c>
      <c r="J972" s="58" t="n">
        <f aca="false">'P9-012'!$O$99</f>
        <v>46347</v>
      </c>
      <c r="K972" s="56" t="str">
        <f aca="false">IF(OR(L972="Y",LEFT('P9-012'!$T$99,1)="D"),"",IF(AND(ISNUMBER(J972),J972&lt;ASOF),"⚠ เลยกำหนด",IF(AND(ISNUMBER(I972),I972&lt;=ASOF+14,J972&gt;=ASOF-7),"ช่วงนี้","")))</f>
        <v/>
      </c>
      <c r="L972" s="59"/>
      <c r="M972" s="60"/>
    </row>
    <row r="973" customFormat="false" ht="15" hidden="false" customHeight="false" outlineLevel="0" collapsed="false">
      <c r="A973" s="54" t="s">
        <v>86</v>
      </c>
      <c r="B973" s="55" t="s">
        <v>486</v>
      </c>
      <c r="C973" s="56" t="s">
        <v>487</v>
      </c>
      <c r="D973" s="57" t="s">
        <v>88</v>
      </c>
      <c r="E973" s="57" t="s">
        <v>467</v>
      </c>
      <c r="F973" s="61" t="s">
        <v>468</v>
      </c>
      <c r="G973" s="61" t="s">
        <v>469</v>
      </c>
      <c r="H973" s="57" t="s">
        <v>211</v>
      </c>
      <c r="I973" s="58" t="n">
        <f aca="false">'P9-012'!$N$103</f>
        <v>46346</v>
      </c>
      <c r="J973" s="58" t="n">
        <f aca="false">'P9-012'!$O$103</f>
        <v>46347</v>
      </c>
      <c r="K973" s="56" t="str">
        <f aca="false">IF(OR(L973="Y",LEFT('P9-012'!$T$103,1)="D"),"",IF(AND(ISNUMBER(J973),J973&lt;ASOF),"⚠ เลยกำหนด",IF(AND(ISNUMBER(I973),I973&lt;=ASOF+14,J973&gt;=ASOF-7),"ช่วงนี้","")))</f>
        <v/>
      </c>
      <c r="L973" s="59"/>
      <c r="M973" s="60"/>
    </row>
    <row r="974" customFormat="false" ht="15" hidden="false" customHeight="false" outlineLevel="0" collapsed="false">
      <c r="A974" s="54" t="s">
        <v>86</v>
      </c>
      <c r="B974" s="55" t="s">
        <v>486</v>
      </c>
      <c r="C974" s="56" t="s">
        <v>487</v>
      </c>
      <c r="D974" s="57" t="s">
        <v>88</v>
      </c>
      <c r="E974" s="57" t="s">
        <v>403</v>
      </c>
      <c r="F974" s="55" t="s">
        <v>404</v>
      </c>
      <c r="G974" s="55" t="s">
        <v>405</v>
      </c>
      <c r="H974" s="57" t="s">
        <v>211</v>
      </c>
      <c r="I974" s="58" t="n">
        <f aca="false">'P9-012'!$N$104</f>
        <v>46347</v>
      </c>
      <c r="J974" s="58" t="n">
        <f aca="false">'P9-012'!$O$104</f>
        <v>46348</v>
      </c>
      <c r="K974" s="56" t="str">
        <f aca="false">IF(OR(L974="Y",LEFT('P9-012'!$T$104,1)="D"),"",IF(AND(ISNUMBER(J974),J974&lt;ASOF),"⚠ เลยกำหนด",IF(AND(ISNUMBER(I974),I974&lt;=ASOF+14,J974&gt;=ASOF-7),"ช่วงนี้","")))</f>
        <v/>
      </c>
      <c r="L974" s="59"/>
      <c r="M974" s="60"/>
    </row>
    <row r="975" customFormat="false" ht="15" hidden="false" customHeight="false" outlineLevel="0" collapsed="false">
      <c r="A975" s="54" t="s">
        <v>86</v>
      </c>
      <c r="B975" s="55" t="s">
        <v>486</v>
      </c>
      <c r="C975" s="56" t="s">
        <v>487</v>
      </c>
      <c r="D975" s="57" t="s">
        <v>88</v>
      </c>
      <c r="E975" s="57" t="s">
        <v>406</v>
      </c>
      <c r="F975" s="55" t="s">
        <v>407</v>
      </c>
      <c r="G975" s="55" t="s">
        <v>408</v>
      </c>
      <c r="H975" s="57" t="s">
        <v>211</v>
      </c>
      <c r="I975" s="58" t="n">
        <f aca="false">'P9-012'!$N$105</f>
        <v>46347</v>
      </c>
      <c r="J975" s="58" t="n">
        <f aca="false">'P9-012'!$O$105</f>
        <v>46348</v>
      </c>
      <c r="K975" s="56" t="str">
        <f aca="false">IF(OR(L975="Y",LEFT('P9-012'!$T$105,1)="D"),"",IF(AND(ISNUMBER(J975),J975&lt;ASOF),"⚠ เลยกำหนด",IF(AND(ISNUMBER(I975),I975&lt;=ASOF+14,J975&gt;=ASOF-7),"ช่วงนี้","")))</f>
        <v/>
      </c>
      <c r="L975" s="59"/>
      <c r="M975" s="60"/>
    </row>
    <row r="976" customFormat="false" ht="15" hidden="false" customHeight="false" outlineLevel="0" collapsed="false">
      <c r="A976" s="54" t="s">
        <v>86</v>
      </c>
      <c r="B976" s="55" t="s">
        <v>486</v>
      </c>
      <c r="C976" s="56" t="s">
        <v>487</v>
      </c>
      <c r="D976" s="57" t="s">
        <v>88</v>
      </c>
      <c r="E976" s="57" t="s">
        <v>409</v>
      </c>
      <c r="F976" s="61" t="s">
        <v>410</v>
      </c>
      <c r="G976" s="55" t="s">
        <v>411</v>
      </c>
      <c r="H976" s="57" t="s">
        <v>211</v>
      </c>
      <c r="I976" s="58" t="n">
        <f aca="false">'P9-012'!$N$106</f>
        <v>46348</v>
      </c>
      <c r="J976" s="58" t="n">
        <f aca="false">'P9-012'!$O$106</f>
        <v>46348</v>
      </c>
      <c r="K976" s="56" t="str">
        <f aca="false">IF(OR(L976="Y",LEFT('P9-012'!$T$106,1)="D"),"",IF(AND(ISNUMBER(J976),J976&lt;ASOF),"⚠ เลยกำหนด",IF(AND(ISNUMBER(I976),I976&lt;=ASOF+14,J976&gt;=ASOF-7),"ช่วงนี้","")))</f>
        <v/>
      </c>
      <c r="L976" s="59"/>
      <c r="M976" s="60"/>
    </row>
    <row r="977" customFormat="false" ht="15" hidden="false" customHeight="false" outlineLevel="0" collapsed="false">
      <c r="A977" s="54" t="s">
        <v>86</v>
      </c>
      <c r="B977" s="55" t="s">
        <v>486</v>
      </c>
      <c r="C977" s="56" t="s">
        <v>487</v>
      </c>
      <c r="D977" s="57" t="s">
        <v>88</v>
      </c>
      <c r="E977" s="57" t="s">
        <v>412</v>
      </c>
      <c r="F977" s="61" t="s">
        <v>413</v>
      </c>
      <c r="G977" s="61" t="s">
        <v>414</v>
      </c>
      <c r="H977" s="57" t="s">
        <v>211</v>
      </c>
      <c r="I977" s="58" t="n">
        <f aca="false">'P9-012'!$N$108</f>
        <v>46347</v>
      </c>
      <c r="J977" s="58" t="n">
        <f aca="false">'P9-012'!$O$108</f>
        <v>46348</v>
      </c>
      <c r="K977" s="56" t="str">
        <f aca="false">IF(OR(L977="Y",LEFT('P9-012'!$T$108,1)="D"),"",IF(AND(ISNUMBER(J977),J977&lt;ASOF),"⚠ เลยกำหนด",IF(AND(ISNUMBER(I977),I977&lt;=ASOF+14,J977&gt;=ASOF-7),"ช่วงนี้","")))</f>
        <v/>
      </c>
      <c r="L977" s="59"/>
      <c r="M977" s="60"/>
    </row>
    <row r="978" customFormat="false" ht="15" hidden="false" customHeight="false" outlineLevel="0" collapsed="false">
      <c r="A978" s="54" t="s">
        <v>86</v>
      </c>
      <c r="B978" s="55" t="s">
        <v>486</v>
      </c>
      <c r="C978" s="56" t="s">
        <v>487</v>
      </c>
      <c r="D978" s="57" t="s">
        <v>88</v>
      </c>
      <c r="E978" s="57" t="s">
        <v>415</v>
      </c>
      <c r="F978" s="55" t="s">
        <v>416</v>
      </c>
      <c r="G978" s="55" t="s">
        <v>417</v>
      </c>
      <c r="H978" s="57" t="s">
        <v>211</v>
      </c>
      <c r="I978" s="58" t="n">
        <f aca="false">'P9-012'!$N$109</f>
        <v>46348</v>
      </c>
      <c r="J978" s="58" t="n">
        <f aca="false">'P9-012'!$O$109</f>
        <v>46348</v>
      </c>
      <c r="K978" s="56" t="str">
        <f aca="false">IF(OR(L978="Y",LEFT('P9-012'!$T$109,1)="D"),"",IF(AND(ISNUMBER(J978),J978&lt;ASOF),"⚠ เลยกำหนด",IF(AND(ISNUMBER(I978),I978&lt;=ASOF+14,J978&gt;=ASOF-7),"ช่วงนี้","")))</f>
        <v/>
      </c>
      <c r="L978" s="59"/>
      <c r="M978" s="60"/>
    </row>
    <row r="979" customFormat="false" ht="15" hidden="false" customHeight="false" outlineLevel="0" collapsed="false">
      <c r="A979" s="54" t="s">
        <v>86</v>
      </c>
      <c r="B979" s="55" t="s">
        <v>486</v>
      </c>
      <c r="C979" s="56" t="s">
        <v>487</v>
      </c>
      <c r="D979" s="57" t="s">
        <v>88</v>
      </c>
      <c r="E979" s="57" t="s">
        <v>418</v>
      </c>
      <c r="F979" s="61" t="s">
        <v>419</v>
      </c>
      <c r="G979" s="55" t="s">
        <v>420</v>
      </c>
      <c r="H979" s="57" t="s">
        <v>211</v>
      </c>
      <c r="I979" s="58" t="n">
        <f aca="false">'P9-012'!$N$110</f>
        <v>46347</v>
      </c>
      <c r="J979" s="58" t="n">
        <f aca="false">'P9-012'!$O$110</f>
        <v>46348</v>
      </c>
      <c r="K979" s="56" t="str">
        <f aca="false">IF(OR(L979="Y",LEFT('P9-012'!$T$110,1)="D"),"",IF(AND(ISNUMBER(J979),J979&lt;ASOF),"⚠ เลยกำหนด",IF(AND(ISNUMBER(I979),I979&lt;=ASOF+14,J979&gt;=ASOF-7),"ช่วงนี้","")))</f>
        <v/>
      </c>
      <c r="L979" s="59"/>
      <c r="M979" s="60"/>
    </row>
    <row r="980" customFormat="false" ht="15" hidden="false" customHeight="false" outlineLevel="0" collapsed="false">
      <c r="A980" s="54" t="s">
        <v>86</v>
      </c>
      <c r="B980" s="55" t="s">
        <v>486</v>
      </c>
      <c r="C980" s="56" t="s">
        <v>487</v>
      </c>
      <c r="D980" s="57" t="s">
        <v>88</v>
      </c>
      <c r="E980" s="57" t="s">
        <v>421</v>
      </c>
      <c r="F980" s="55" t="s">
        <v>422</v>
      </c>
      <c r="G980" s="55" t="s">
        <v>423</v>
      </c>
      <c r="H980" s="56" t="str">
        <f aca="false">IF(COUNTIFS(SITE_ST,"P9-012",SITE_TYPE,"?*")&gt;0,"ตามจุดติดตั้ง →","0/100")</f>
        <v>ตามจุดติดตั้ง →</v>
      </c>
      <c r="I980" s="58" t="n">
        <f aca="false">'P9-012'!$N$112</f>
        <v>46349</v>
      </c>
      <c r="J980" s="58" t="n">
        <f aca="false">'P9-012'!$O$112</f>
        <v>46349</v>
      </c>
      <c r="K980" s="56" t="str">
        <f aca="false">IF(OR(L980="Y",LEFT('P9-012'!$T$112,1)="D"),"",IF(AND(ISNUMBER(J980),J980&lt;ASOF),"⚠ เลยกำหนด",IF(AND(ISNUMBER(I980),I980&lt;=ASOF+14,J980&gt;=ASOF-7),"ช่วงนี้","")))</f>
        <v/>
      </c>
      <c r="L980" s="59"/>
      <c r="M980" s="60"/>
    </row>
    <row r="981" customFormat="false" ht="15" hidden="false" customHeight="false" outlineLevel="0" collapsed="false">
      <c r="A981" s="54" t="s">
        <v>86</v>
      </c>
      <c r="B981" s="55" t="s">
        <v>486</v>
      </c>
      <c r="C981" s="56" t="s">
        <v>487</v>
      </c>
      <c r="D981" s="57" t="s">
        <v>88</v>
      </c>
      <c r="E981" s="57" t="s">
        <v>424</v>
      </c>
      <c r="F981" s="55" t="s">
        <v>425</v>
      </c>
      <c r="G981" s="55" t="s">
        <v>426</v>
      </c>
      <c r="H981" s="56" t="str">
        <f aca="false">IF(COUNTIFS(SITE_ST,"P9-012",SITE_TYPE,"?*")&gt;0,"ตามจุดติดตั้ง →","0/100")</f>
        <v>ตามจุดติดตั้ง →</v>
      </c>
      <c r="I981" s="58" t="n">
        <f aca="false">'P9-012'!$N$113</f>
        <v>46349</v>
      </c>
      <c r="J981" s="58" t="n">
        <f aca="false">'P9-012'!$O$113</f>
        <v>46349</v>
      </c>
      <c r="K981" s="56" t="str">
        <f aca="false">IF(OR(L981="Y",LEFT('P9-012'!$T$113,1)="D"),"",IF(AND(ISNUMBER(J981),J981&lt;ASOF),"⚠ เลยกำหนด",IF(AND(ISNUMBER(I981),I981&lt;=ASOF+14,J981&gt;=ASOF-7),"ช่วงนี้","")))</f>
        <v/>
      </c>
      <c r="L981" s="59"/>
      <c r="M981" s="60"/>
    </row>
    <row r="982" customFormat="false" ht="15" hidden="false" customHeight="false" outlineLevel="0" collapsed="false">
      <c r="A982" s="54" t="s">
        <v>86</v>
      </c>
      <c r="B982" s="55" t="s">
        <v>486</v>
      </c>
      <c r="C982" s="56" t="s">
        <v>487</v>
      </c>
      <c r="D982" s="57" t="s">
        <v>88</v>
      </c>
      <c r="E982" s="57" t="s">
        <v>427</v>
      </c>
      <c r="F982" s="61" t="s">
        <v>428</v>
      </c>
      <c r="G982" s="61" t="s">
        <v>429</v>
      </c>
      <c r="H982" s="57" t="s">
        <v>211</v>
      </c>
      <c r="I982" s="58" t="n">
        <f aca="false">'P9-012'!$N$116</f>
        <v>46359</v>
      </c>
      <c r="J982" s="58" t="n">
        <f aca="false">'P9-012'!$O$116</f>
        <v>46359</v>
      </c>
      <c r="K982" s="56" t="str">
        <f aca="false">IF(OR(L982="Y",LEFT('P9-012'!$T$116,1)="D"),"",IF(AND(ISNUMBER(J982),J982&lt;ASOF),"⚠ เลยกำหนด",IF(AND(ISNUMBER(I982),I982&lt;=ASOF+14,J982&gt;=ASOF-7),"ช่วงนี้","")))</f>
        <v/>
      </c>
      <c r="L982" s="59"/>
      <c r="M982" s="60"/>
    </row>
    <row r="983" customFormat="false" ht="15" hidden="false" customHeight="false" outlineLevel="0" collapsed="false">
      <c r="A983" s="54" t="s">
        <v>86</v>
      </c>
      <c r="B983" s="55" t="s">
        <v>486</v>
      </c>
      <c r="C983" s="56" t="s">
        <v>487</v>
      </c>
      <c r="D983" s="57" t="s">
        <v>88</v>
      </c>
      <c r="E983" s="57" t="s">
        <v>430</v>
      </c>
      <c r="F983" s="55" t="s">
        <v>431</v>
      </c>
      <c r="G983" s="55" t="s">
        <v>432</v>
      </c>
      <c r="H983" s="57" t="s">
        <v>211</v>
      </c>
      <c r="I983" s="58" t="n">
        <f aca="false">'P9-012'!$N$117</f>
        <v>46359</v>
      </c>
      <c r="J983" s="58" t="n">
        <f aca="false">'P9-012'!$O$117</f>
        <v>46359</v>
      </c>
      <c r="K983" s="56" t="str">
        <f aca="false">IF(OR(L983="Y",LEFT('P9-012'!$T$117,1)="D"),"",IF(AND(ISNUMBER(J983),J983&lt;ASOF),"⚠ เลยกำหนด",IF(AND(ISNUMBER(I983),I983&lt;=ASOF+14,J983&gt;=ASOF-7),"ช่วงนี้","")))</f>
        <v/>
      </c>
      <c r="L983" s="59"/>
      <c r="M983" s="60"/>
    </row>
    <row r="984" customFormat="false" ht="15" hidden="false" customHeight="false" outlineLevel="0" collapsed="false">
      <c r="A984" s="54" t="s">
        <v>86</v>
      </c>
      <c r="B984" s="55" t="s">
        <v>486</v>
      </c>
      <c r="C984" s="56" t="s">
        <v>487</v>
      </c>
      <c r="D984" s="57" t="s">
        <v>88</v>
      </c>
      <c r="E984" s="57" t="s">
        <v>433</v>
      </c>
      <c r="F984" s="55" t="s">
        <v>434</v>
      </c>
      <c r="G984" s="55" t="s">
        <v>435</v>
      </c>
      <c r="H984" s="57" t="s">
        <v>211</v>
      </c>
      <c r="I984" s="58" t="n">
        <f aca="false">'P9-012'!$N$118</f>
        <v>46359</v>
      </c>
      <c r="J984" s="58" t="n">
        <f aca="false">'P9-012'!$O$118</f>
        <v>46359</v>
      </c>
      <c r="K984" s="56" t="str">
        <f aca="false">IF(OR(L984="Y",LEFT('P9-012'!$T$118,1)="D"),"",IF(AND(ISNUMBER(J984),J984&lt;ASOF),"⚠ เลยกำหนด",IF(AND(ISNUMBER(I984),I984&lt;=ASOF+14,J984&gt;=ASOF-7),"ช่วงนี้","")))</f>
        <v/>
      </c>
      <c r="L984" s="59"/>
      <c r="M984" s="60"/>
    </row>
    <row r="985" customFormat="false" ht="15" hidden="false" customHeight="false" outlineLevel="0" collapsed="false">
      <c r="A985" s="54" t="s">
        <v>86</v>
      </c>
      <c r="B985" s="55" t="s">
        <v>486</v>
      </c>
      <c r="C985" s="56" t="s">
        <v>487</v>
      </c>
      <c r="D985" s="57" t="s">
        <v>88</v>
      </c>
      <c r="E985" s="57" t="s">
        <v>436</v>
      </c>
      <c r="F985" s="55" t="s">
        <v>437</v>
      </c>
      <c r="G985" s="55" t="s">
        <v>438</v>
      </c>
      <c r="H985" s="57" t="s">
        <v>211</v>
      </c>
      <c r="I985" s="58" t="n">
        <f aca="false">'P9-012'!$N$119</f>
        <v>46359</v>
      </c>
      <c r="J985" s="58" t="n">
        <f aca="false">'P9-012'!$O$119</f>
        <v>46359</v>
      </c>
      <c r="K985" s="56" t="str">
        <f aca="false">IF(OR(L985="Y",LEFT('P9-012'!$T$119,1)="D"),"",IF(AND(ISNUMBER(J985),J985&lt;ASOF),"⚠ เลยกำหนด",IF(AND(ISNUMBER(I985),I985&lt;=ASOF+14,J985&gt;=ASOF-7),"ช่วงนี้","")))</f>
        <v/>
      </c>
      <c r="L985" s="59"/>
      <c r="M985" s="60"/>
    </row>
    <row r="986" customFormat="false" ht="15" hidden="false" customHeight="false" outlineLevel="0" collapsed="false">
      <c r="A986" s="54" t="s">
        <v>86</v>
      </c>
      <c r="B986" s="55" t="s">
        <v>486</v>
      </c>
      <c r="C986" s="56" t="s">
        <v>487</v>
      </c>
      <c r="D986" s="57" t="s">
        <v>88</v>
      </c>
      <c r="E986" s="57" t="s">
        <v>439</v>
      </c>
      <c r="F986" s="55" t="s">
        <v>440</v>
      </c>
      <c r="G986" s="55" t="s">
        <v>441</v>
      </c>
      <c r="H986" s="57" t="s">
        <v>211</v>
      </c>
      <c r="I986" s="58" t="n">
        <f aca="false">'P9-012'!$N$120</f>
        <v>46359</v>
      </c>
      <c r="J986" s="58" t="n">
        <f aca="false">'P9-012'!$O$120</f>
        <v>46359</v>
      </c>
      <c r="K986" s="56" t="str">
        <f aca="false">IF(OR(L986="Y",LEFT('P9-012'!$T$120,1)="D"),"",IF(AND(ISNUMBER(J986),J986&lt;ASOF),"⚠ เลยกำหนด",IF(AND(ISNUMBER(I986),I986&lt;=ASOF+14,J986&gt;=ASOF-7),"ช่วงนี้","")))</f>
        <v/>
      </c>
      <c r="L986" s="59"/>
      <c r="M986" s="60"/>
    </row>
    <row r="987" customFormat="false" ht="15" hidden="false" customHeight="false" outlineLevel="0" collapsed="false">
      <c r="A987" s="54" t="s">
        <v>86</v>
      </c>
      <c r="B987" s="55" t="s">
        <v>486</v>
      </c>
      <c r="C987" s="56" t="s">
        <v>487</v>
      </c>
      <c r="D987" s="57" t="s">
        <v>88</v>
      </c>
      <c r="E987" s="57" t="s">
        <v>442</v>
      </c>
      <c r="F987" s="55" t="s">
        <v>443</v>
      </c>
      <c r="G987" s="55" t="s">
        <v>444</v>
      </c>
      <c r="H987" s="57" t="s">
        <v>211</v>
      </c>
      <c r="I987" s="58" t="n">
        <f aca="false">'P9-012'!$N$121</f>
        <v>46359</v>
      </c>
      <c r="J987" s="58" t="n">
        <f aca="false">'P9-012'!$O$121</f>
        <v>46359</v>
      </c>
      <c r="K987" s="56" t="str">
        <f aca="false">IF(OR(L987="Y",LEFT('P9-012'!$T$121,1)="D"),"",IF(AND(ISNUMBER(J987),J987&lt;ASOF),"⚠ เลยกำหนด",IF(AND(ISNUMBER(I987),I987&lt;=ASOF+14,J987&gt;=ASOF-7),"ช่วงนี้","")))</f>
        <v/>
      </c>
      <c r="L987" s="59"/>
      <c r="M987" s="60"/>
    </row>
    <row r="988" customFormat="false" ht="15" hidden="false" customHeight="false" outlineLevel="0" collapsed="false">
      <c r="A988" s="54" t="s">
        <v>86</v>
      </c>
      <c r="B988" s="55" t="s">
        <v>486</v>
      </c>
      <c r="C988" s="56" t="s">
        <v>487</v>
      </c>
      <c r="D988" s="57" t="s">
        <v>88</v>
      </c>
      <c r="E988" s="57" t="s">
        <v>445</v>
      </c>
      <c r="F988" s="55" t="s">
        <v>446</v>
      </c>
      <c r="G988" s="55" t="s">
        <v>447</v>
      </c>
      <c r="H988" s="57" t="s">
        <v>211</v>
      </c>
      <c r="I988" s="58" t="n">
        <f aca="false">'P9-012'!$N$125</f>
        <v>46437</v>
      </c>
      <c r="J988" s="58" t="n">
        <f aca="false">'P9-012'!$O$125</f>
        <v>46441</v>
      </c>
      <c r="K988" s="56" t="str">
        <f aca="false">IF(OR(L988="Y",LEFT('P9-012'!$T$125,1)="D"),"",IF(AND(ISNUMBER(J988),J988&lt;ASOF),"⚠ เลยกำหนด",IF(AND(ISNUMBER(I988),I988&lt;=ASOF+14,J988&gt;=ASOF-7),"ช่วงนี้","")))</f>
        <v/>
      </c>
      <c r="L988" s="59"/>
      <c r="M988" s="60"/>
    </row>
    <row r="989" customFormat="false" ht="15" hidden="false" customHeight="false" outlineLevel="0" collapsed="false">
      <c r="A989" s="54" t="s">
        <v>86</v>
      </c>
      <c r="B989" s="55" t="s">
        <v>486</v>
      </c>
      <c r="C989" s="56" t="s">
        <v>487</v>
      </c>
      <c r="D989" s="57" t="s">
        <v>88</v>
      </c>
      <c r="E989" s="57" t="s">
        <v>448</v>
      </c>
      <c r="F989" s="55" t="s">
        <v>449</v>
      </c>
      <c r="G989" s="61" t="s">
        <v>450</v>
      </c>
      <c r="H989" s="57" t="s">
        <v>211</v>
      </c>
      <c r="I989" s="58" t="n">
        <f aca="false">'P9-012'!$N$126</f>
        <v>46440</v>
      </c>
      <c r="J989" s="58" t="n">
        <f aca="false">'P9-012'!$O$126</f>
        <v>46447</v>
      </c>
      <c r="K989" s="56" t="str">
        <f aca="false">IF(OR(L989="Y",LEFT('P9-012'!$T$126,1)="D"),"",IF(AND(ISNUMBER(J989),J989&lt;ASOF),"⚠ เลยกำหนด",IF(AND(ISNUMBER(I989),I989&lt;=ASOF+14,J989&gt;=ASOF-7),"ช่วงนี้","")))</f>
        <v/>
      </c>
      <c r="L989" s="59"/>
      <c r="M989" s="60"/>
    </row>
    <row r="990" customFormat="false" ht="15" hidden="false" customHeight="false" outlineLevel="0" collapsed="false">
      <c r="A990" s="54" t="s">
        <v>86</v>
      </c>
      <c r="B990" s="55" t="s">
        <v>486</v>
      </c>
      <c r="C990" s="56" t="s">
        <v>487</v>
      </c>
      <c r="D990" s="57" t="s">
        <v>88</v>
      </c>
      <c r="E990" s="57" t="s">
        <v>451</v>
      </c>
      <c r="F990" s="61" t="s">
        <v>452</v>
      </c>
      <c r="G990" s="61" t="s">
        <v>453</v>
      </c>
      <c r="H990" s="57" t="s">
        <v>211</v>
      </c>
      <c r="I990" s="58" t="n">
        <f aca="false">'P9-012'!$N$127</f>
        <v>46447</v>
      </c>
      <c r="J990" s="58" t="n">
        <f aca="false">'P9-012'!$O$127</f>
        <v>46450</v>
      </c>
      <c r="K990" s="56" t="str">
        <f aca="false">IF(OR(L990="Y",LEFT('P9-012'!$T$127,1)="D"),"",IF(AND(ISNUMBER(J990),J990&lt;ASOF),"⚠ เลยกำหนด",IF(AND(ISNUMBER(I990),I990&lt;=ASOF+14,J990&gt;=ASOF-7),"ช่วงนี้","")))</f>
        <v/>
      </c>
      <c r="L990" s="59"/>
      <c r="M990" s="60"/>
    </row>
    <row r="991" customFormat="false" ht="15" hidden="false" customHeight="false" outlineLevel="0" collapsed="false">
      <c r="A991" s="54" t="s">
        <v>90</v>
      </c>
      <c r="B991" s="55" t="s">
        <v>488</v>
      </c>
      <c r="C991" s="56" t="s">
        <v>489</v>
      </c>
      <c r="D991" s="57" t="s">
        <v>92</v>
      </c>
      <c r="E991" s="57" t="s">
        <v>208</v>
      </c>
      <c r="F991" s="55" t="s">
        <v>209</v>
      </c>
      <c r="G991" s="55" t="s">
        <v>210</v>
      </c>
      <c r="H991" s="57" t="s">
        <v>211</v>
      </c>
      <c r="I991" s="58" t="n">
        <f aca="false">'P9-013'!$N$10</f>
        <v>46328</v>
      </c>
      <c r="J991" s="58" t="n">
        <f aca="false">'P9-013'!$O$10</f>
        <v>46340</v>
      </c>
      <c r="K991" s="56" t="str">
        <f aca="false">IF(OR(L991="Y",LEFT('P9-013'!$T$10,1)="D"),"",IF(AND(ISNUMBER(J991),J991&lt;ASOF),"⚠ เลยกำหนด",IF(AND(ISNUMBER(I991),I991&lt;=ASOF+14,J991&gt;=ASOF-7),"ช่วงนี้","")))</f>
        <v>ช่วงนี้</v>
      </c>
      <c r="L991" s="59"/>
      <c r="M991" s="60"/>
    </row>
    <row r="992" customFormat="false" ht="15" hidden="false" customHeight="false" outlineLevel="0" collapsed="false">
      <c r="A992" s="54" t="s">
        <v>90</v>
      </c>
      <c r="B992" s="55" t="s">
        <v>488</v>
      </c>
      <c r="C992" s="56" t="s">
        <v>489</v>
      </c>
      <c r="D992" s="57" t="s">
        <v>92</v>
      </c>
      <c r="E992" s="57" t="s">
        <v>212</v>
      </c>
      <c r="F992" s="55" t="s">
        <v>213</v>
      </c>
      <c r="G992" s="55" t="s">
        <v>214</v>
      </c>
      <c r="H992" s="57" t="s">
        <v>211</v>
      </c>
      <c r="I992" s="58" t="n">
        <f aca="false">'P9-013'!$N$11</f>
        <v>46328</v>
      </c>
      <c r="J992" s="58" t="n">
        <f aca="false">'P9-013'!$O$11</f>
        <v>46340</v>
      </c>
      <c r="K992" s="56" t="str">
        <f aca="false">IF(OR(L992="Y",LEFT('P9-013'!$T$11,1)="D"),"",IF(AND(ISNUMBER(J992),J992&lt;ASOF),"⚠ เลยกำหนด",IF(AND(ISNUMBER(I992),I992&lt;=ASOF+14,J992&gt;=ASOF-7),"ช่วงนี้","")))</f>
        <v>ช่วงนี้</v>
      </c>
      <c r="L992" s="59"/>
      <c r="M992" s="60"/>
    </row>
    <row r="993" customFormat="false" ht="15" hidden="false" customHeight="false" outlineLevel="0" collapsed="false">
      <c r="A993" s="54" t="s">
        <v>90</v>
      </c>
      <c r="B993" s="55" t="s">
        <v>488</v>
      </c>
      <c r="C993" s="56" t="s">
        <v>489</v>
      </c>
      <c r="D993" s="57" t="s">
        <v>92</v>
      </c>
      <c r="E993" s="57" t="s">
        <v>215</v>
      </c>
      <c r="F993" s="55" t="s">
        <v>216</v>
      </c>
      <c r="G993" s="61" t="s">
        <v>217</v>
      </c>
      <c r="H993" s="57" t="s">
        <v>211</v>
      </c>
      <c r="I993" s="58" t="n">
        <f aca="false">'P9-013'!$N$12</f>
        <v>46328</v>
      </c>
      <c r="J993" s="58" t="n">
        <f aca="false">'P9-013'!$O$12</f>
        <v>46340</v>
      </c>
      <c r="K993" s="56" t="str">
        <f aca="false">IF(OR(L993="Y",LEFT('P9-013'!$T$12,1)="D"),"",IF(AND(ISNUMBER(J993),J993&lt;ASOF),"⚠ เลยกำหนด",IF(AND(ISNUMBER(I993),I993&lt;=ASOF+14,J993&gt;=ASOF-7),"ช่วงนี้","")))</f>
        <v>ช่วงนี้</v>
      </c>
      <c r="L993" s="59"/>
      <c r="M993" s="60"/>
    </row>
    <row r="994" customFormat="false" ht="15" hidden="false" customHeight="false" outlineLevel="0" collapsed="false">
      <c r="A994" s="54" t="s">
        <v>90</v>
      </c>
      <c r="B994" s="55" t="s">
        <v>488</v>
      </c>
      <c r="C994" s="56" t="s">
        <v>489</v>
      </c>
      <c r="D994" s="57" t="s">
        <v>92</v>
      </c>
      <c r="E994" s="57" t="s">
        <v>218</v>
      </c>
      <c r="F994" s="55" t="s">
        <v>219</v>
      </c>
      <c r="G994" s="55" t="s">
        <v>220</v>
      </c>
      <c r="H994" s="57" t="s">
        <v>211</v>
      </c>
      <c r="I994" s="58" t="n">
        <f aca="false">'P9-013'!$N$13</f>
        <v>46328</v>
      </c>
      <c r="J994" s="58" t="n">
        <f aca="false">'P9-013'!$O$13</f>
        <v>46346</v>
      </c>
      <c r="K994" s="56" t="str">
        <f aca="false">IF(OR(L994="Y",LEFT('P9-013'!$T$13,1)="D"),"",IF(AND(ISNUMBER(J994),J994&lt;ASOF),"⚠ เลยกำหนด",IF(AND(ISNUMBER(I994),I994&lt;=ASOF+14,J994&gt;=ASOF-7),"ช่วงนี้","")))</f>
        <v>ช่วงนี้</v>
      </c>
      <c r="L994" s="59"/>
      <c r="M994" s="60"/>
    </row>
    <row r="995" customFormat="false" ht="15" hidden="false" customHeight="false" outlineLevel="0" collapsed="false">
      <c r="A995" s="54" t="s">
        <v>90</v>
      </c>
      <c r="B995" s="55" t="s">
        <v>488</v>
      </c>
      <c r="C995" s="56" t="s">
        <v>489</v>
      </c>
      <c r="D995" s="57" t="s">
        <v>92</v>
      </c>
      <c r="E995" s="57" t="s">
        <v>221</v>
      </c>
      <c r="F995" s="55" t="s">
        <v>222</v>
      </c>
      <c r="G995" s="55" t="s">
        <v>223</v>
      </c>
      <c r="H995" s="57" t="s">
        <v>211</v>
      </c>
      <c r="I995" s="58" t="n">
        <f aca="false">'P9-013'!$N$14</f>
        <v>46340</v>
      </c>
      <c r="J995" s="58" t="n">
        <f aca="false">'P9-013'!$O$14</f>
        <v>46450</v>
      </c>
      <c r="K995" s="56" t="str">
        <f aca="false">IF(OR(L995="Y",LEFT('P9-013'!$T$14,1)="D"),"",IF(AND(ISNUMBER(J995),J995&lt;ASOF),"⚠ เลยกำหนด",IF(AND(ISNUMBER(I995),I995&lt;=ASOF+14,J995&gt;=ASOF-7),"ช่วงนี้","")))</f>
        <v>ช่วงนี้</v>
      </c>
      <c r="L995" s="59"/>
      <c r="M995" s="60"/>
    </row>
    <row r="996" customFormat="false" ht="15" hidden="false" customHeight="false" outlineLevel="0" collapsed="false">
      <c r="A996" s="54" t="s">
        <v>90</v>
      </c>
      <c r="B996" s="55" t="s">
        <v>488</v>
      </c>
      <c r="C996" s="56" t="s">
        <v>489</v>
      </c>
      <c r="D996" s="57" t="s">
        <v>92</v>
      </c>
      <c r="E996" s="57" t="s">
        <v>224</v>
      </c>
      <c r="F996" s="55" t="s">
        <v>225</v>
      </c>
      <c r="G996" s="61" t="s">
        <v>226</v>
      </c>
      <c r="H996" s="57" t="s">
        <v>211</v>
      </c>
      <c r="I996" s="58" t="n">
        <f aca="false">'P9-013'!$N$15</f>
        <v>46340</v>
      </c>
      <c r="J996" s="58" t="n">
        <f aca="false">'P9-013'!$O$15</f>
        <v>46450</v>
      </c>
      <c r="K996" s="56" t="str">
        <f aca="false">IF(OR(L996="Y",LEFT('P9-013'!$T$15,1)="D"),"",IF(AND(ISNUMBER(J996),J996&lt;ASOF),"⚠ เลยกำหนด",IF(AND(ISNUMBER(I996),I996&lt;=ASOF+14,J996&gt;=ASOF-7),"ช่วงนี้","")))</f>
        <v>ช่วงนี้</v>
      </c>
      <c r="L996" s="59"/>
      <c r="M996" s="60"/>
    </row>
    <row r="997" customFormat="false" ht="15" hidden="false" customHeight="false" outlineLevel="0" collapsed="false">
      <c r="A997" s="54" t="s">
        <v>90</v>
      </c>
      <c r="B997" s="55" t="s">
        <v>488</v>
      </c>
      <c r="C997" s="56" t="s">
        <v>489</v>
      </c>
      <c r="D997" s="57" t="s">
        <v>92</v>
      </c>
      <c r="E997" s="57" t="s">
        <v>227</v>
      </c>
      <c r="F997" s="55" t="s">
        <v>228</v>
      </c>
      <c r="G997" s="55" t="s">
        <v>229</v>
      </c>
      <c r="H997" s="57" t="s">
        <v>211</v>
      </c>
      <c r="I997" s="58" t="n">
        <f aca="false">'P9-013'!$N$17</f>
        <v>46328</v>
      </c>
      <c r="J997" s="58" t="n">
        <f aca="false">'P9-013'!$O$17</f>
        <v>46328</v>
      </c>
      <c r="K997" s="56" t="str">
        <f aca="false">IF(OR(L997="Y",LEFT('P9-013'!$T$17,1)="D"),"",IF(AND(ISNUMBER(J997),J997&lt;ASOF),"⚠ เลยกำหนด",IF(AND(ISNUMBER(I997),I997&lt;=ASOF+14,J997&gt;=ASOF-7),"ช่วงนี้","")))</f>
        <v>ช่วงนี้</v>
      </c>
      <c r="L997" s="59"/>
      <c r="M997" s="60"/>
    </row>
    <row r="998" customFormat="false" ht="15" hidden="false" customHeight="false" outlineLevel="0" collapsed="false">
      <c r="A998" s="54" t="s">
        <v>90</v>
      </c>
      <c r="B998" s="55" t="s">
        <v>488</v>
      </c>
      <c r="C998" s="56" t="s">
        <v>489</v>
      </c>
      <c r="D998" s="57" t="s">
        <v>92</v>
      </c>
      <c r="E998" s="57" t="s">
        <v>230</v>
      </c>
      <c r="F998" s="55" t="s">
        <v>231</v>
      </c>
      <c r="G998" s="55" t="s">
        <v>232</v>
      </c>
      <c r="H998" s="57" t="s">
        <v>211</v>
      </c>
      <c r="I998" s="58" t="n">
        <f aca="false">'P9-013'!$N$18</f>
        <v>46328</v>
      </c>
      <c r="J998" s="58" t="n">
        <f aca="false">'P9-013'!$O$18</f>
        <v>46328</v>
      </c>
      <c r="K998" s="56" t="str">
        <f aca="false">IF(OR(L998="Y",LEFT('P9-013'!$T$18,1)="D"),"",IF(AND(ISNUMBER(J998),J998&lt;ASOF),"⚠ เลยกำหนด",IF(AND(ISNUMBER(I998),I998&lt;=ASOF+14,J998&gt;=ASOF-7),"ช่วงนี้","")))</f>
        <v>ช่วงนี้</v>
      </c>
      <c r="L998" s="59"/>
      <c r="M998" s="60"/>
    </row>
    <row r="999" customFormat="false" ht="15" hidden="false" customHeight="false" outlineLevel="0" collapsed="false">
      <c r="A999" s="54" t="s">
        <v>90</v>
      </c>
      <c r="B999" s="55" t="s">
        <v>488</v>
      </c>
      <c r="C999" s="56" t="s">
        <v>489</v>
      </c>
      <c r="D999" s="57" t="s">
        <v>92</v>
      </c>
      <c r="E999" s="57" t="s">
        <v>233</v>
      </c>
      <c r="F999" s="55" t="s">
        <v>234</v>
      </c>
      <c r="G999" s="55" t="s">
        <v>235</v>
      </c>
      <c r="H999" s="57" t="s">
        <v>211</v>
      </c>
      <c r="I999" s="58" t="n">
        <f aca="false">'P9-013'!$N$19</f>
        <v>46328</v>
      </c>
      <c r="J999" s="58" t="n">
        <f aca="false">'P9-013'!$O$19</f>
        <v>46328</v>
      </c>
      <c r="K999" s="56" t="str">
        <f aca="false">IF(OR(L999="Y",LEFT('P9-013'!$T$19,1)="D"),"",IF(AND(ISNUMBER(J999),J999&lt;ASOF),"⚠ เลยกำหนด",IF(AND(ISNUMBER(I999),I999&lt;=ASOF+14,J999&gt;=ASOF-7),"ช่วงนี้","")))</f>
        <v>ช่วงนี้</v>
      </c>
      <c r="L999" s="59"/>
      <c r="M999" s="60"/>
    </row>
    <row r="1000" customFormat="false" ht="15" hidden="false" customHeight="false" outlineLevel="0" collapsed="false">
      <c r="A1000" s="54" t="s">
        <v>90</v>
      </c>
      <c r="B1000" s="55" t="s">
        <v>488</v>
      </c>
      <c r="C1000" s="56" t="s">
        <v>489</v>
      </c>
      <c r="D1000" s="57" t="s">
        <v>92</v>
      </c>
      <c r="E1000" s="57" t="s">
        <v>236</v>
      </c>
      <c r="F1000" s="55" t="s">
        <v>237</v>
      </c>
      <c r="G1000" s="55" t="s">
        <v>238</v>
      </c>
      <c r="H1000" s="57" t="s">
        <v>211</v>
      </c>
      <c r="I1000" s="58" t="n">
        <f aca="false">'P9-013'!$N$20</f>
        <v>46328</v>
      </c>
      <c r="J1000" s="58" t="n">
        <f aca="false">'P9-013'!$O$20</f>
        <v>46328</v>
      </c>
      <c r="K1000" s="56" t="str">
        <f aca="false">IF(OR(L1000="Y",LEFT('P9-013'!$T$20,1)="D"),"",IF(AND(ISNUMBER(J1000),J1000&lt;ASOF),"⚠ เลยกำหนด",IF(AND(ISNUMBER(I1000),I1000&lt;=ASOF+14,J1000&gt;=ASOF-7),"ช่วงนี้","")))</f>
        <v>ช่วงนี้</v>
      </c>
      <c r="L1000" s="59"/>
      <c r="M1000" s="60"/>
    </row>
    <row r="1001" customFormat="false" ht="15" hidden="false" customHeight="false" outlineLevel="0" collapsed="false">
      <c r="A1001" s="54" t="s">
        <v>90</v>
      </c>
      <c r="B1001" s="55" t="s">
        <v>488</v>
      </c>
      <c r="C1001" s="56" t="s">
        <v>489</v>
      </c>
      <c r="D1001" s="57" t="s">
        <v>92</v>
      </c>
      <c r="E1001" s="57" t="s">
        <v>239</v>
      </c>
      <c r="F1001" s="55" t="s">
        <v>240</v>
      </c>
      <c r="G1001" s="55" t="s">
        <v>241</v>
      </c>
      <c r="H1001" s="57" t="s">
        <v>211</v>
      </c>
      <c r="I1001" s="58" t="n">
        <f aca="false">'P9-013'!$N$21</f>
        <v>46328</v>
      </c>
      <c r="J1001" s="58" t="n">
        <f aca="false">'P9-013'!$O$21</f>
        <v>46328</v>
      </c>
      <c r="K1001" s="56" t="str">
        <f aca="false">IF(OR(L1001="Y",LEFT('P9-013'!$T$21,1)="D"),"",IF(AND(ISNUMBER(J1001),J1001&lt;ASOF),"⚠ เลยกำหนด",IF(AND(ISNUMBER(I1001),I1001&lt;=ASOF+14,J1001&gt;=ASOF-7),"ช่วงนี้","")))</f>
        <v>ช่วงนี้</v>
      </c>
      <c r="L1001" s="59"/>
      <c r="M1001" s="60"/>
    </row>
    <row r="1002" customFormat="false" ht="15" hidden="false" customHeight="false" outlineLevel="0" collapsed="false">
      <c r="A1002" s="54" t="s">
        <v>90</v>
      </c>
      <c r="B1002" s="55" t="s">
        <v>488</v>
      </c>
      <c r="C1002" s="56" t="s">
        <v>489</v>
      </c>
      <c r="D1002" s="57" t="s">
        <v>92</v>
      </c>
      <c r="E1002" s="57" t="s">
        <v>242</v>
      </c>
      <c r="F1002" s="55" t="s">
        <v>243</v>
      </c>
      <c r="G1002" s="55" t="s">
        <v>244</v>
      </c>
      <c r="H1002" s="57" t="s">
        <v>211</v>
      </c>
      <c r="I1002" s="58" t="n">
        <f aca="false">'P9-013'!$N$22</f>
        <v>46328</v>
      </c>
      <c r="J1002" s="58" t="n">
        <f aca="false">'P9-013'!$O$22</f>
        <v>46328</v>
      </c>
      <c r="K1002" s="56" t="str">
        <f aca="false">IF(OR(L1002="Y",LEFT('P9-013'!$T$22,1)="D"),"",IF(AND(ISNUMBER(J1002),J1002&lt;ASOF),"⚠ เลยกำหนด",IF(AND(ISNUMBER(I1002),I1002&lt;=ASOF+14,J1002&gt;=ASOF-7),"ช่วงนี้","")))</f>
        <v>ช่วงนี้</v>
      </c>
      <c r="L1002" s="59"/>
      <c r="M1002" s="60"/>
    </row>
    <row r="1003" customFormat="false" ht="15" hidden="false" customHeight="false" outlineLevel="0" collapsed="false">
      <c r="A1003" s="54" t="s">
        <v>90</v>
      </c>
      <c r="B1003" s="55" t="s">
        <v>488</v>
      </c>
      <c r="C1003" s="56" t="s">
        <v>489</v>
      </c>
      <c r="D1003" s="57" t="s">
        <v>92</v>
      </c>
      <c r="E1003" s="57" t="s">
        <v>245</v>
      </c>
      <c r="F1003" s="55" t="s">
        <v>246</v>
      </c>
      <c r="G1003" s="55" t="s">
        <v>247</v>
      </c>
      <c r="H1003" s="57" t="s">
        <v>211</v>
      </c>
      <c r="I1003" s="58" t="n">
        <f aca="false">'P9-013'!$N$23</f>
        <v>46328</v>
      </c>
      <c r="J1003" s="58" t="n">
        <f aca="false">'P9-013'!$O$23</f>
        <v>46328</v>
      </c>
      <c r="K1003" s="56" t="str">
        <f aca="false">IF(OR(L1003="Y",LEFT('P9-013'!$T$23,1)="D"),"",IF(AND(ISNUMBER(J1003),J1003&lt;ASOF),"⚠ เลยกำหนด",IF(AND(ISNUMBER(I1003),I1003&lt;=ASOF+14,J1003&gt;=ASOF-7),"ช่วงนี้","")))</f>
        <v>ช่วงนี้</v>
      </c>
      <c r="L1003" s="59"/>
      <c r="M1003" s="60"/>
    </row>
    <row r="1004" customFormat="false" ht="15" hidden="false" customHeight="false" outlineLevel="0" collapsed="false">
      <c r="A1004" s="54" t="s">
        <v>90</v>
      </c>
      <c r="B1004" s="55" t="s">
        <v>488</v>
      </c>
      <c r="C1004" s="56" t="s">
        <v>489</v>
      </c>
      <c r="D1004" s="57" t="s">
        <v>92</v>
      </c>
      <c r="E1004" s="57" t="s">
        <v>248</v>
      </c>
      <c r="F1004" s="55" t="s">
        <v>249</v>
      </c>
      <c r="G1004" s="55" t="s">
        <v>250</v>
      </c>
      <c r="H1004" s="57" t="s">
        <v>211</v>
      </c>
      <c r="I1004" s="58" t="n">
        <f aca="false">'P9-013'!$N$24</f>
        <v>46328</v>
      </c>
      <c r="J1004" s="58" t="n">
        <f aca="false">'P9-013'!$O$24</f>
        <v>46328</v>
      </c>
      <c r="K1004" s="56" t="str">
        <f aca="false">IF(OR(L1004="Y",LEFT('P9-013'!$T$24,1)="D"),"",IF(AND(ISNUMBER(J1004),J1004&lt;ASOF),"⚠ เลยกำหนด",IF(AND(ISNUMBER(I1004),I1004&lt;=ASOF+14,J1004&gt;=ASOF-7),"ช่วงนี้","")))</f>
        <v>ช่วงนี้</v>
      </c>
      <c r="L1004" s="59"/>
      <c r="M1004" s="60"/>
    </row>
    <row r="1005" customFormat="false" ht="15" hidden="false" customHeight="false" outlineLevel="0" collapsed="false">
      <c r="A1005" s="54" t="s">
        <v>90</v>
      </c>
      <c r="B1005" s="55" t="s">
        <v>488</v>
      </c>
      <c r="C1005" s="56" t="s">
        <v>489</v>
      </c>
      <c r="D1005" s="57" t="s">
        <v>92</v>
      </c>
      <c r="E1005" s="57" t="s">
        <v>251</v>
      </c>
      <c r="F1005" s="55" t="s">
        <v>252</v>
      </c>
      <c r="G1005" s="55" t="s">
        <v>253</v>
      </c>
      <c r="H1005" s="57" t="s">
        <v>211</v>
      </c>
      <c r="I1005" s="58" t="n">
        <f aca="false">'P9-013'!$N$26</f>
        <v>46329</v>
      </c>
      <c r="J1005" s="58" t="n">
        <f aca="false">'P9-013'!$O$26</f>
        <v>46329</v>
      </c>
      <c r="K1005" s="56" t="str">
        <f aca="false">IF(OR(L1005="Y",LEFT('P9-013'!$T$26,1)="D"),"",IF(AND(ISNUMBER(J1005),J1005&lt;ASOF),"⚠ เลยกำหนด",IF(AND(ISNUMBER(I1005),I1005&lt;=ASOF+14,J1005&gt;=ASOF-7),"ช่วงนี้","")))</f>
        <v>ช่วงนี้</v>
      </c>
      <c r="L1005" s="59"/>
      <c r="M1005" s="60"/>
    </row>
    <row r="1006" customFormat="false" ht="15" hidden="false" customHeight="false" outlineLevel="0" collapsed="false">
      <c r="A1006" s="54" t="s">
        <v>90</v>
      </c>
      <c r="B1006" s="55" t="s">
        <v>488</v>
      </c>
      <c r="C1006" s="56" t="s">
        <v>489</v>
      </c>
      <c r="D1006" s="57" t="s">
        <v>92</v>
      </c>
      <c r="E1006" s="57" t="s">
        <v>254</v>
      </c>
      <c r="F1006" s="55" t="s">
        <v>255</v>
      </c>
      <c r="G1006" s="55" t="s">
        <v>256</v>
      </c>
      <c r="H1006" s="57" t="s">
        <v>211</v>
      </c>
      <c r="I1006" s="58" t="n">
        <f aca="false">'P9-013'!$N$27</f>
        <v>46329</v>
      </c>
      <c r="J1006" s="58" t="n">
        <f aca="false">'P9-013'!$O$27</f>
        <v>46329</v>
      </c>
      <c r="K1006" s="56" t="str">
        <f aca="false">IF(OR(L1006="Y",LEFT('P9-013'!$T$27,1)="D"),"",IF(AND(ISNUMBER(J1006),J1006&lt;ASOF),"⚠ เลยกำหนด",IF(AND(ISNUMBER(I1006),I1006&lt;=ASOF+14,J1006&gt;=ASOF-7),"ช่วงนี้","")))</f>
        <v>ช่วงนี้</v>
      </c>
      <c r="L1006" s="59"/>
      <c r="M1006" s="60"/>
    </row>
    <row r="1007" customFormat="false" ht="15" hidden="false" customHeight="false" outlineLevel="0" collapsed="false">
      <c r="A1007" s="54" t="s">
        <v>90</v>
      </c>
      <c r="B1007" s="55" t="s">
        <v>488</v>
      </c>
      <c r="C1007" s="56" t="s">
        <v>489</v>
      </c>
      <c r="D1007" s="57" t="s">
        <v>92</v>
      </c>
      <c r="E1007" s="57" t="s">
        <v>257</v>
      </c>
      <c r="F1007" s="55" t="s">
        <v>258</v>
      </c>
      <c r="G1007" s="55" t="s">
        <v>259</v>
      </c>
      <c r="H1007" s="57" t="s">
        <v>211</v>
      </c>
      <c r="I1007" s="58" t="n">
        <f aca="false">'P9-013'!$N$28</f>
        <v>46329</v>
      </c>
      <c r="J1007" s="58" t="n">
        <f aca="false">'P9-013'!$O$28</f>
        <v>46329</v>
      </c>
      <c r="K1007" s="56" t="str">
        <f aca="false">IF(OR(L1007="Y",LEFT('P9-013'!$T$28,1)="D"),"",IF(AND(ISNUMBER(J1007),J1007&lt;ASOF),"⚠ เลยกำหนด",IF(AND(ISNUMBER(I1007),I1007&lt;=ASOF+14,J1007&gt;=ASOF-7),"ช่วงนี้","")))</f>
        <v>ช่วงนี้</v>
      </c>
      <c r="L1007" s="59"/>
      <c r="M1007" s="60"/>
    </row>
    <row r="1008" customFormat="false" ht="15" hidden="false" customHeight="false" outlineLevel="0" collapsed="false">
      <c r="A1008" s="54" t="s">
        <v>90</v>
      </c>
      <c r="B1008" s="55" t="s">
        <v>488</v>
      </c>
      <c r="C1008" s="56" t="s">
        <v>489</v>
      </c>
      <c r="D1008" s="57" t="s">
        <v>92</v>
      </c>
      <c r="E1008" s="57" t="s">
        <v>260</v>
      </c>
      <c r="F1008" s="55" t="s">
        <v>261</v>
      </c>
      <c r="G1008" s="55" t="s">
        <v>262</v>
      </c>
      <c r="H1008" s="57" t="s">
        <v>211</v>
      </c>
      <c r="I1008" s="58" t="n">
        <f aca="false">'P9-013'!$N$31</f>
        <v>46328</v>
      </c>
      <c r="J1008" s="58" t="n">
        <f aca="false">'P9-013'!$O$31</f>
        <v>46328</v>
      </c>
      <c r="K1008" s="56" t="str">
        <f aca="false">IF(OR(L1008="Y",LEFT('P9-013'!$T$31,1)="D"),"",IF(AND(ISNUMBER(J1008),J1008&lt;ASOF),"⚠ เลยกำหนด",IF(AND(ISNUMBER(I1008),I1008&lt;=ASOF+14,J1008&gt;=ASOF-7),"ช่วงนี้","")))</f>
        <v>ช่วงนี้</v>
      </c>
      <c r="L1008" s="59"/>
      <c r="M1008" s="60"/>
    </row>
    <row r="1009" customFormat="false" ht="15" hidden="false" customHeight="false" outlineLevel="0" collapsed="false">
      <c r="A1009" s="54" t="s">
        <v>90</v>
      </c>
      <c r="B1009" s="55" t="s">
        <v>488</v>
      </c>
      <c r="C1009" s="56" t="s">
        <v>489</v>
      </c>
      <c r="D1009" s="57" t="s">
        <v>92</v>
      </c>
      <c r="E1009" s="57" t="s">
        <v>263</v>
      </c>
      <c r="F1009" s="55" t="s">
        <v>264</v>
      </c>
      <c r="G1009" s="55" t="s">
        <v>265</v>
      </c>
      <c r="H1009" s="57" t="s">
        <v>211</v>
      </c>
      <c r="I1009" s="58" t="n">
        <f aca="false">'P9-013'!$N$32</f>
        <v>46328</v>
      </c>
      <c r="J1009" s="58" t="n">
        <f aca="false">'P9-013'!$O$32</f>
        <v>46328</v>
      </c>
      <c r="K1009" s="56" t="str">
        <f aca="false">IF(OR(L1009="Y",LEFT('P9-013'!$T$32,1)="D"),"",IF(AND(ISNUMBER(J1009),J1009&lt;ASOF),"⚠ เลยกำหนด",IF(AND(ISNUMBER(I1009),I1009&lt;=ASOF+14,J1009&gt;=ASOF-7),"ช่วงนี้","")))</f>
        <v>ช่วงนี้</v>
      </c>
      <c r="L1009" s="59"/>
      <c r="M1009" s="60"/>
    </row>
    <row r="1010" customFormat="false" ht="15" hidden="false" customHeight="false" outlineLevel="0" collapsed="false">
      <c r="A1010" s="54" t="s">
        <v>90</v>
      </c>
      <c r="B1010" s="55" t="s">
        <v>488</v>
      </c>
      <c r="C1010" s="56" t="s">
        <v>489</v>
      </c>
      <c r="D1010" s="57" t="s">
        <v>92</v>
      </c>
      <c r="E1010" s="57" t="s">
        <v>266</v>
      </c>
      <c r="F1010" s="55" t="s">
        <v>267</v>
      </c>
      <c r="G1010" s="55" t="s">
        <v>268</v>
      </c>
      <c r="H1010" s="57" t="s">
        <v>211</v>
      </c>
      <c r="I1010" s="58" t="n">
        <f aca="false">'P9-013'!$N$33</f>
        <v>46328</v>
      </c>
      <c r="J1010" s="58" t="n">
        <f aca="false">'P9-013'!$O$33</f>
        <v>46328</v>
      </c>
      <c r="K1010" s="56" t="str">
        <f aca="false">IF(OR(L1010="Y",LEFT('P9-013'!$T$33,1)="D"),"",IF(AND(ISNUMBER(J1010),J1010&lt;ASOF),"⚠ เลยกำหนด",IF(AND(ISNUMBER(I1010),I1010&lt;=ASOF+14,J1010&gt;=ASOF-7),"ช่วงนี้","")))</f>
        <v>ช่วงนี้</v>
      </c>
      <c r="L1010" s="59"/>
      <c r="M1010" s="60"/>
    </row>
    <row r="1011" customFormat="false" ht="15" hidden="false" customHeight="false" outlineLevel="0" collapsed="false">
      <c r="A1011" s="54" t="s">
        <v>90</v>
      </c>
      <c r="B1011" s="55" t="s">
        <v>488</v>
      </c>
      <c r="C1011" s="56" t="s">
        <v>489</v>
      </c>
      <c r="D1011" s="57" t="s">
        <v>92</v>
      </c>
      <c r="E1011" s="57" t="s">
        <v>269</v>
      </c>
      <c r="F1011" s="61" t="s">
        <v>270</v>
      </c>
      <c r="G1011" s="61" t="s">
        <v>271</v>
      </c>
      <c r="H1011" s="57" t="s">
        <v>211</v>
      </c>
      <c r="I1011" s="58" t="n">
        <f aca="false">'P9-013'!$N$35</f>
        <v>46328</v>
      </c>
      <c r="J1011" s="58" t="n">
        <f aca="false">'P9-013'!$O$35</f>
        <v>46328</v>
      </c>
      <c r="K1011" s="56" t="str">
        <f aca="false">IF(OR(L1011="Y",LEFT('P9-013'!$T$35,1)="D"),"",IF(AND(ISNUMBER(J1011),J1011&lt;ASOF),"⚠ เลยกำหนด",IF(AND(ISNUMBER(I1011),I1011&lt;=ASOF+14,J1011&gt;=ASOF-7),"ช่วงนี้","")))</f>
        <v>ช่วงนี้</v>
      </c>
      <c r="L1011" s="59"/>
      <c r="M1011" s="60"/>
    </row>
    <row r="1012" customFormat="false" ht="15" hidden="false" customHeight="false" outlineLevel="0" collapsed="false">
      <c r="A1012" s="54" t="s">
        <v>90</v>
      </c>
      <c r="B1012" s="55" t="s">
        <v>488</v>
      </c>
      <c r="C1012" s="56" t="s">
        <v>489</v>
      </c>
      <c r="D1012" s="57" t="s">
        <v>92</v>
      </c>
      <c r="E1012" s="57" t="s">
        <v>272</v>
      </c>
      <c r="F1012" s="55" t="s">
        <v>273</v>
      </c>
      <c r="G1012" s="55" t="s">
        <v>274</v>
      </c>
      <c r="H1012" s="57" t="s">
        <v>211</v>
      </c>
      <c r="I1012" s="58" t="n">
        <f aca="false">'P9-013'!$N$36</f>
        <v>46328</v>
      </c>
      <c r="J1012" s="58" t="n">
        <f aca="false">'P9-013'!$O$36</f>
        <v>46328</v>
      </c>
      <c r="K1012" s="56" t="str">
        <f aca="false">IF(OR(L1012="Y",LEFT('P9-013'!$T$36,1)="D"),"",IF(AND(ISNUMBER(J1012),J1012&lt;ASOF),"⚠ เลยกำหนด",IF(AND(ISNUMBER(I1012),I1012&lt;=ASOF+14,J1012&gt;=ASOF-7),"ช่วงนี้","")))</f>
        <v>ช่วงนี้</v>
      </c>
      <c r="L1012" s="59"/>
      <c r="M1012" s="60"/>
    </row>
    <row r="1013" customFormat="false" ht="15" hidden="false" customHeight="false" outlineLevel="0" collapsed="false">
      <c r="A1013" s="54" t="s">
        <v>90</v>
      </c>
      <c r="B1013" s="55" t="s">
        <v>488</v>
      </c>
      <c r="C1013" s="56" t="s">
        <v>489</v>
      </c>
      <c r="D1013" s="57" t="s">
        <v>92</v>
      </c>
      <c r="E1013" s="57" t="s">
        <v>275</v>
      </c>
      <c r="F1013" s="55" t="s">
        <v>276</v>
      </c>
      <c r="G1013" s="55" t="s">
        <v>277</v>
      </c>
      <c r="H1013" s="57" t="s">
        <v>211</v>
      </c>
      <c r="I1013" s="58" t="n">
        <f aca="false">'P9-013'!$N$37</f>
        <v>46328</v>
      </c>
      <c r="J1013" s="58" t="n">
        <f aca="false">'P9-013'!$O$37</f>
        <v>46328</v>
      </c>
      <c r="K1013" s="56" t="str">
        <f aca="false">IF(OR(L1013="Y",LEFT('P9-013'!$T$37,1)="D"),"",IF(AND(ISNUMBER(J1013),J1013&lt;ASOF),"⚠ เลยกำหนด",IF(AND(ISNUMBER(I1013),I1013&lt;=ASOF+14,J1013&gt;=ASOF-7),"ช่วงนี้","")))</f>
        <v>ช่วงนี้</v>
      </c>
      <c r="L1013" s="59"/>
      <c r="M1013" s="60"/>
    </row>
    <row r="1014" customFormat="false" ht="15" hidden="false" customHeight="false" outlineLevel="0" collapsed="false">
      <c r="A1014" s="54" t="s">
        <v>90</v>
      </c>
      <c r="B1014" s="55" t="s">
        <v>488</v>
      </c>
      <c r="C1014" s="56" t="s">
        <v>489</v>
      </c>
      <c r="D1014" s="57" t="s">
        <v>92</v>
      </c>
      <c r="E1014" s="57" t="s">
        <v>278</v>
      </c>
      <c r="F1014" s="55" t="s">
        <v>279</v>
      </c>
      <c r="G1014" s="55" t="s">
        <v>280</v>
      </c>
      <c r="H1014" s="57" t="s">
        <v>211</v>
      </c>
      <c r="I1014" s="58" t="n">
        <f aca="false">'P9-013'!$N$38</f>
        <v>46328</v>
      </c>
      <c r="J1014" s="58" t="n">
        <f aca="false">'P9-013'!$O$38</f>
        <v>46328</v>
      </c>
      <c r="K1014" s="56" t="str">
        <f aca="false">IF(OR(L1014="Y",LEFT('P9-013'!$T$38,1)="D"),"",IF(AND(ISNUMBER(J1014),J1014&lt;ASOF),"⚠ เลยกำหนด",IF(AND(ISNUMBER(I1014),I1014&lt;=ASOF+14,J1014&gt;=ASOF-7),"ช่วงนี้","")))</f>
        <v>ช่วงนี้</v>
      </c>
      <c r="L1014" s="59"/>
      <c r="M1014" s="60"/>
    </row>
    <row r="1015" customFormat="false" ht="15" hidden="false" customHeight="false" outlineLevel="0" collapsed="false">
      <c r="A1015" s="54" t="s">
        <v>90</v>
      </c>
      <c r="B1015" s="55" t="s">
        <v>488</v>
      </c>
      <c r="C1015" s="56" t="s">
        <v>489</v>
      </c>
      <c r="D1015" s="57" t="s">
        <v>92</v>
      </c>
      <c r="E1015" s="57" t="s">
        <v>281</v>
      </c>
      <c r="F1015" s="55" t="s">
        <v>282</v>
      </c>
      <c r="G1015" s="55" t="s">
        <v>283</v>
      </c>
      <c r="H1015" s="57" t="s">
        <v>211</v>
      </c>
      <c r="I1015" s="58" t="n">
        <f aca="false">'P9-013'!$N$40</f>
        <v>46328</v>
      </c>
      <c r="J1015" s="58" t="n">
        <f aca="false">'P9-013'!$O$40</f>
        <v>46328</v>
      </c>
      <c r="K1015" s="56" t="str">
        <f aca="false">IF(OR(L1015="Y",LEFT('P9-013'!$T$40,1)="D"),"",IF(AND(ISNUMBER(J1015),J1015&lt;ASOF),"⚠ เลยกำหนด",IF(AND(ISNUMBER(I1015),I1015&lt;=ASOF+14,J1015&gt;=ASOF-7),"ช่วงนี้","")))</f>
        <v>ช่วงนี้</v>
      </c>
      <c r="L1015" s="59"/>
      <c r="M1015" s="60"/>
    </row>
    <row r="1016" customFormat="false" ht="15" hidden="false" customHeight="false" outlineLevel="0" collapsed="false">
      <c r="A1016" s="54" t="s">
        <v>90</v>
      </c>
      <c r="B1016" s="55" t="s">
        <v>488</v>
      </c>
      <c r="C1016" s="56" t="s">
        <v>489</v>
      </c>
      <c r="D1016" s="57" t="s">
        <v>92</v>
      </c>
      <c r="E1016" s="57" t="s">
        <v>284</v>
      </c>
      <c r="F1016" s="55" t="s">
        <v>285</v>
      </c>
      <c r="G1016" s="61" t="s">
        <v>286</v>
      </c>
      <c r="H1016" s="57" t="s">
        <v>211</v>
      </c>
      <c r="I1016" s="58" t="n">
        <f aca="false">'P9-013'!$N$41</f>
        <v>46328</v>
      </c>
      <c r="J1016" s="58" t="n">
        <f aca="false">'P9-013'!$O$41</f>
        <v>46328</v>
      </c>
      <c r="K1016" s="56" t="str">
        <f aca="false">IF(OR(L1016="Y",LEFT('P9-013'!$T$41,1)="D"),"",IF(AND(ISNUMBER(J1016),J1016&lt;ASOF),"⚠ เลยกำหนด",IF(AND(ISNUMBER(I1016),I1016&lt;=ASOF+14,J1016&gt;=ASOF-7),"ช่วงนี้","")))</f>
        <v>ช่วงนี้</v>
      </c>
      <c r="L1016" s="59"/>
      <c r="M1016" s="60"/>
    </row>
    <row r="1017" customFormat="false" ht="15" hidden="false" customHeight="false" outlineLevel="0" collapsed="false">
      <c r="A1017" s="54" t="s">
        <v>90</v>
      </c>
      <c r="B1017" s="55" t="s">
        <v>488</v>
      </c>
      <c r="C1017" s="56" t="s">
        <v>489</v>
      </c>
      <c r="D1017" s="57" t="s">
        <v>92</v>
      </c>
      <c r="E1017" s="57" t="s">
        <v>287</v>
      </c>
      <c r="F1017" s="55" t="s">
        <v>288</v>
      </c>
      <c r="G1017" s="61" t="s">
        <v>289</v>
      </c>
      <c r="H1017" s="57" t="s">
        <v>211</v>
      </c>
      <c r="I1017" s="58" t="n">
        <f aca="false">'P9-013'!$N$42</f>
        <v>46328</v>
      </c>
      <c r="J1017" s="58" t="n">
        <f aca="false">'P9-013'!$O$42</f>
        <v>46328</v>
      </c>
      <c r="K1017" s="56" t="str">
        <f aca="false">IF(OR(L1017="Y",LEFT('P9-013'!$T$42,1)="D"),"",IF(AND(ISNUMBER(J1017),J1017&lt;ASOF),"⚠ เลยกำหนด",IF(AND(ISNUMBER(I1017),I1017&lt;=ASOF+14,J1017&gt;=ASOF-7),"ช่วงนี้","")))</f>
        <v>ช่วงนี้</v>
      </c>
      <c r="L1017" s="59"/>
      <c r="M1017" s="60"/>
    </row>
    <row r="1018" customFormat="false" ht="15" hidden="false" customHeight="false" outlineLevel="0" collapsed="false">
      <c r="A1018" s="54" t="s">
        <v>90</v>
      </c>
      <c r="B1018" s="55" t="s">
        <v>488</v>
      </c>
      <c r="C1018" s="56" t="s">
        <v>489</v>
      </c>
      <c r="D1018" s="57" t="s">
        <v>92</v>
      </c>
      <c r="E1018" s="57" t="s">
        <v>290</v>
      </c>
      <c r="F1018" s="55" t="s">
        <v>291</v>
      </c>
      <c r="G1018" s="55" t="s">
        <v>292</v>
      </c>
      <c r="H1018" s="57" t="s">
        <v>211</v>
      </c>
      <c r="I1018" s="58" t="n">
        <f aca="false">'P9-013'!$N$44</f>
        <v>46328</v>
      </c>
      <c r="J1018" s="58" t="n">
        <f aca="false">'P9-013'!$O$44</f>
        <v>46328</v>
      </c>
      <c r="K1018" s="56" t="str">
        <f aca="false">IF(OR(L1018="Y",LEFT('P9-013'!$T$44,1)="D"),"",IF(AND(ISNUMBER(J1018),J1018&lt;ASOF),"⚠ เลยกำหนด",IF(AND(ISNUMBER(I1018),I1018&lt;=ASOF+14,J1018&gt;=ASOF-7),"ช่วงนี้","")))</f>
        <v>ช่วงนี้</v>
      </c>
      <c r="L1018" s="59"/>
      <c r="M1018" s="60"/>
    </row>
    <row r="1019" customFormat="false" ht="15" hidden="false" customHeight="false" outlineLevel="0" collapsed="false">
      <c r="A1019" s="54" t="s">
        <v>90</v>
      </c>
      <c r="B1019" s="55" t="s">
        <v>488</v>
      </c>
      <c r="C1019" s="56" t="s">
        <v>489</v>
      </c>
      <c r="D1019" s="57" t="s">
        <v>92</v>
      </c>
      <c r="E1019" s="57" t="s">
        <v>293</v>
      </c>
      <c r="F1019" s="55" t="s">
        <v>294</v>
      </c>
      <c r="G1019" s="55" t="s">
        <v>295</v>
      </c>
      <c r="H1019" s="57" t="s">
        <v>211</v>
      </c>
      <c r="I1019" s="58" t="n">
        <f aca="false">'P9-013'!$N$45</f>
        <v>46328</v>
      </c>
      <c r="J1019" s="58" t="n">
        <f aca="false">'P9-013'!$O$45</f>
        <v>46328</v>
      </c>
      <c r="K1019" s="56" t="str">
        <f aca="false">IF(OR(L1019="Y",LEFT('P9-013'!$T$45,1)="D"),"",IF(AND(ISNUMBER(J1019),J1019&lt;ASOF),"⚠ เลยกำหนด",IF(AND(ISNUMBER(I1019),I1019&lt;=ASOF+14,J1019&gt;=ASOF-7),"ช่วงนี้","")))</f>
        <v>ช่วงนี้</v>
      </c>
      <c r="L1019" s="59"/>
      <c r="M1019" s="60"/>
    </row>
    <row r="1020" customFormat="false" ht="15" hidden="false" customHeight="false" outlineLevel="0" collapsed="false">
      <c r="A1020" s="54" t="s">
        <v>90</v>
      </c>
      <c r="B1020" s="55" t="s">
        <v>488</v>
      </c>
      <c r="C1020" s="56" t="s">
        <v>489</v>
      </c>
      <c r="D1020" s="57" t="s">
        <v>92</v>
      </c>
      <c r="E1020" s="57" t="s">
        <v>296</v>
      </c>
      <c r="F1020" s="55" t="s">
        <v>297</v>
      </c>
      <c r="G1020" s="55" t="s">
        <v>298</v>
      </c>
      <c r="H1020" s="57" t="s">
        <v>211</v>
      </c>
      <c r="I1020" s="58" t="n">
        <f aca="false">'P9-013'!$N$46</f>
        <v>46328</v>
      </c>
      <c r="J1020" s="58" t="n">
        <f aca="false">'P9-013'!$O$46</f>
        <v>46328</v>
      </c>
      <c r="K1020" s="56" t="str">
        <f aca="false">IF(OR(L1020="Y",LEFT('P9-013'!$T$46,1)="D"),"",IF(AND(ISNUMBER(J1020),J1020&lt;ASOF),"⚠ เลยกำหนด",IF(AND(ISNUMBER(I1020),I1020&lt;=ASOF+14,J1020&gt;=ASOF-7),"ช่วงนี้","")))</f>
        <v>ช่วงนี้</v>
      </c>
      <c r="L1020" s="59"/>
      <c r="M1020" s="60"/>
    </row>
    <row r="1021" customFormat="false" ht="15" hidden="false" customHeight="false" outlineLevel="0" collapsed="false">
      <c r="A1021" s="54" t="s">
        <v>90</v>
      </c>
      <c r="B1021" s="55" t="s">
        <v>488</v>
      </c>
      <c r="C1021" s="56" t="s">
        <v>489</v>
      </c>
      <c r="D1021" s="57" t="s">
        <v>92</v>
      </c>
      <c r="E1021" s="57" t="s">
        <v>299</v>
      </c>
      <c r="F1021" s="55" t="s">
        <v>300</v>
      </c>
      <c r="G1021" s="55" t="s">
        <v>301</v>
      </c>
      <c r="H1021" s="57" t="s">
        <v>211</v>
      </c>
      <c r="I1021" s="58" t="str">
        <f aca="false">'P9-013'!$N$53</f>
        <v/>
      </c>
      <c r="J1021" s="58" t="str">
        <f aca="false">'P9-013'!$O$53</f>
        <v/>
      </c>
      <c r="K1021" s="56" t="str">
        <f aca="false">IF(OR(L1021="Y",LEFT('P9-013'!$T$53,1)="D"),"",IF(AND(ISNUMBER(J1021),J1021&lt;ASOF),"⚠ เลยกำหนด",IF(AND(ISNUMBER(I1021),I1021&lt;=ASOF+14,J1021&gt;=ASOF-7),"ช่วงนี้","")))</f>
        <v/>
      </c>
      <c r="L1021" s="59"/>
      <c r="M1021" s="60"/>
    </row>
    <row r="1022" customFormat="false" ht="15" hidden="false" customHeight="false" outlineLevel="0" collapsed="false">
      <c r="A1022" s="54" t="s">
        <v>90</v>
      </c>
      <c r="B1022" s="55" t="s">
        <v>488</v>
      </c>
      <c r="C1022" s="56" t="s">
        <v>489</v>
      </c>
      <c r="D1022" s="57" t="s">
        <v>92</v>
      </c>
      <c r="E1022" s="57" t="s">
        <v>302</v>
      </c>
      <c r="F1022" s="55" t="s">
        <v>303</v>
      </c>
      <c r="G1022" s="55" t="s">
        <v>304</v>
      </c>
      <c r="H1022" s="57" t="s">
        <v>211</v>
      </c>
      <c r="I1022" s="58" t="str">
        <f aca="false">'P9-013'!$N$54</f>
        <v/>
      </c>
      <c r="J1022" s="58" t="str">
        <f aca="false">'P9-013'!$O$54</f>
        <v/>
      </c>
      <c r="K1022" s="56" t="str">
        <f aca="false">IF(OR(L1022="Y",LEFT('P9-013'!$T$54,1)="D"),"",IF(AND(ISNUMBER(J1022),J1022&lt;ASOF),"⚠ เลยกำหนด",IF(AND(ISNUMBER(I1022),I1022&lt;=ASOF+14,J1022&gt;=ASOF-7),"ช่วงนี้","")))</f>
        <v/>
      </c>
      <c r="L1022" s="59"/>
      <c r="M1022" s="60"/>
    </row>
    <row r="1023" customFormat="false" ht="15" hidden="false" customHeight="false" outlineLevel="0" collapsed="false">
      <c r="A1023" s="54" t="s">
        <v>90</v>
      </c>
      <c r="B1023" s="55" t="s">
        <v>488</v>
      </c>
      <c r="C1023" s="56" t="s">
        <v>489</v>
      </c>
      <c r="D1023" s="57" t="s">
        <v>92</v>
      </c>
      <c r="E1023" s="57" t="s">
        <v>305</v>
      </c>
      <c r="F1023" s="55" t="s">
        <v>306</v>
      </c>
      <c r="G1023" s="55" t="s">
        <v>307</v>
      </c>
      <c r="H1023" s="56" t="str">
        <f aca="false">IF(COUNTIFS(SITE_ST,"P9-013",SITE_TYPE,"?*")&gt;0,"ตามจุดติดตั้ง →","0/100")</f>
        <v>ตามจุดติดตั้ง →</v>
      </c>
      <c r="I1023" s="58" t="n">
        <f aca="false">'P9-013'!$N$63</f>
        <v>46328</v>
      </c>
      <c r="J1023" s="58" t="n">
        <f aca="false">'P9-013'!$O$63</f>
        <v>46329</v>
      </c>
      <c r="K1023" s="56" t="str">
        <f aca="false">IF(OR(L1023="Y",LEFT('P9-013'!$T$63,1)="D"),"",IF(AND(ISNUMBER(J1023),J1023&lt;ASOF),"⚠ เลยกำหนด",IF(AND(ISNUMBER(I1023),I1023&lt;=ASOF+14,J1023&gt;=ASOF-7),"ช่วงนี้","")))</f>
        <v>ช่วงนี้</v>
      </c>
      <c r="L1023" s="59"/>
      <c r="M1023" s="60"/>
    </row>
    <row r="1024" customFormat="false" ht="15" hidden="false" customHeight="false" outlineLevel="0" collapsed="false">
      <c r="A1024" s="54" t="s">
        <v>90</v>
      </c>
      <c r="B1024" s="55" t="s">
        <v>488</v>
      </c>
      <c r="C1024" s="56" t="s">
        <v>489</v>
      </c>
      <c r="D1024" s="57" t="s">
        <v>92</v>
      </c>
      <c r="E1024" s="57" t="s">
        <v>308</v>
      </c>
      <c r="F1024" s="55" t="s">
        <v>309</v>
      </c>
      <c r="G1024" s="55" t="s">
        <v>310</v>
      </c>
      <c r="H1024" s="57" t="s">
        <v>211</v>
      </c>
      <c r="I1024" s="58" t="n">
        <f aca="false">'P9-013'!$N$64</f>
        <v>46328</v>
      </c>
      <c r="J1024" s="58" t="n">
        <f aca="false">'P9-013'!$O$64</f>
        <v>46331</v>
      </c>
      <c r="K1024" s="56" t="str">
        <f aca="false">IF(OR(L1024="Y",LEFT('P9-013'!$T$64,1)="D"),"",IF(AND(ISNUMBER(J1024),J1024&lt;ASOF),"⚠ เลยกำหนด",IF(AND(ISNUMBER(I1024),I1024&lt;=ASOF+14,J1024&gt;=ASOF-7),"ช่วงนี้","")))</f>
        <v>ช่วงนี้</v>
      </c>
      <c r="L1024" s="59"/>
      <c r="M1024" s="60"/>
    </row>
    <row r="1025" customFormat="false" ht="15" hidden="false" customHeight="false" outlineLevel="0" collapsed="false">
      <c r="A1025" s="54" t="s">
        <v>90</v>
      </c>
      <c r="B1025" s="55" t="s">
        <v>488</v>
      </c>
      <c r="C1025" s="56" t="s">
        <v>489</v>
      </c>
      <c r="D1025" s="57" t="s">
        <v>92</v>
      </c>
      <c r="E1025" s="57" t="s">
        <v>311</v>
      </c>
      <c r="F1025" s="55" t="s">
        <v>312</v>
      </c>
      <c r="G1025" s="55" t="s">
        <v>313</v>
      </c>
      <c r="H1025" s="56" t="str">
        <f aca="false">IF(COUNTIFS(SITE_ST,"P9-013",SITE_TYPE,"?*")&gt;0,"ตามจุดติดตั้ง →","50/50")</f>
        <v>ตามจุดติดตั้ง →</v>
      </c>
      <c r="I1025" s="58" t="n">
        <f aca="false">'P9-013'!$N$65</f>
        <v>46329</v>
      </c>
      <c r="J1025" s="58" t="n">
        <f aca="false">'P9-013'!$O$65</f>
        <v>46335</v>
      </c>
      <c r="K1025" s="56" t="str">
        <f aca="false">IF(OR(L1025="Y",LEFT('P9-013'!$T$65,1)="D"),"",IF(AND(ISNUMBER(J1025),J1025&lt;ASOF),"⚠ เลยกำหนด",IF(AND(ISNUMBER(I1025),I1025&lt;=ASOF+14,J1025&gt;=ASOF-7),"ช่วงนี้","")))</f>
        <v>ช่วงนี้</v>
      </c>
      <c r="L1025" s="59"/>
      <c r="M1025" s="60"/>
    </row>
    <row r="1026" customFormat="false" ht="15" hidden="false" customHeight="false" outlineLevel="0" collapsed="false">
      <c r="A1026" s="54" t="s">
        <v>90</v>
      </c>
      <c r="B1026" s="55" t="s">
        <v>488</v>
      </c>
      <c r="C1026" s="56" t="s">
        <v>489</v>
      </c>
      <c r="D1026" s="57" t="s">
        <v>92</v>
      </c>
      <c r="E1026" s="57" t="s">
        <v>314</v>
      </c>
      <c r="F1026" s="55" t="s">
        <v>315</v>
      </c>
      <c r="G1026" s="61" t="s">
        <v>316</v>
      </c>
      <c r="H1026" s="56" t="str">
        <f aca="false">IF(COUNTIFS(SITE_ST,"P9-013",SITE_TYPE,"?*")&gt;0,"ตามจุดติดตั้ง →","50/50")</f>
        <v>ตามจุดติดตั้ง →</v>
      </c>
      <c r="I1026" s="58" t="n">
        <f aca="false">'P9-013'!$N$66</f>
        <v>46333</v>
      </c>
      <c r="J1026" s="58" t="n">
        <f aca="false">'P9-013'!$O$66</f>
        <v>46339</v>
      </c>
      <c r="K1026" s="56" t="str">
        <f aca="false">IF(OR(L1026="Y",LEFT('P9-013'!$T$66,1)="D"),"",IF(AND(ISNUMBER(J1026),J1026&lt;ASOF),"⚠ เลยกำหนด",IF(AND(ISNUMBER(I1026),I1026&lt;=ASOF+14,J1026&gt;=ASOF-7),"ช่วงนี้","")))</f>
        <v>ช่วงนี้</v>
      </c>
      <c r="L1026" s="59"/>
      <c r="M1026" s="60"/>
    </row>
    <row r="1027" customFormat="false" ht="15" hidden="false" customHeight="false" outlineLevel="0" collapsed="false">
      <c r="A1027" s="54" t="s">
        <v>90</v>
      </c>
      <c r="B1027" s="55" t="s">
        <v>488</v>
      </c>
      <c r="C1027" s="56" t="s">
        <v>489</v>
      </c>
      <c r="D1027" s="57" t="s">
        <v>92</v>
      </c>
      <c r="E1027" s="57" t="s">
        <v>317</v>
      </c>
      <c r="F1027" s="61" t="s">
        <v>318</v>
      </c>
      <c r="G1027" s="61" t="s">
        <v>319</v>
      </c>
      <c r="H1027" s="56" t="str">
        <f aca="false">IF(COUNTIFS(SITE_ST,"P9-013",SITE_TYPE,"?*")&gt;0,"ตามจุดติดตั้ง →","50/50")</f>
        <v>ตามจุดติดตั้ง →</v>
      </c>
      <c r="I1027" s="58" t="n">
        <f aca="false">'P9-013'!$N$67</f>
        <v>46336</v>
      </c>
      <c r="J1027" s="58" t="n">
        <f aca="false">'P9-013'!$O$67</f>
        <v>46340</v>
      </c>
      <c r="K1027" s="56" t="str">
        <f aca="false">IF(OR(L1027="Y",LEFT('P9-013'!$T$67,1)="D"),"",IF(AND(ISNUMBER(J1027),J1027&lt;ASOF),"⚠ เลยกำหนด",IF(AND(ISNUMBER(I1027),I1027&lt;=ASOF+14,J1027&gt;=ASOF-7),"ช่วงนี้","")))</f>
        <v>ช่วงนี้</v>
      </c>
      <c r="L1027" s="59"/>
      <c r="M1027" s="60"/>
    </row>
    <row r="1028" customFormat="false" ht="15" hidden="false" customHeight="false" outlineLevel="0" collapsed="false">
      <c r="A1028" s="54" t="s">
        <v>90</v>
      </c>
      <c r="B1028" s="55" t="s">
        <v>488</v>
      </c>
      <c r="C1028" s="56" t="s">
        <v>489</v>
      </c>
      <c r="D1028" s="57" t="s">
        <v>92</v>
      </c>
      <c r="E1028" s="57" t="s">
        <v>320</v>
      </c>
      <c r="F1028" s="55" t="s">
        <v>321</v>
      </c>
      <c r="G1028" s="55" t="s">
        <v>322</v>
      </c>
      <c r="H1028" s="56" t="str">
        <f aca="false">IF(COUNTIFS(SITE_ST,"P9-013",SITE_TYPE,"?*")&gt;0,"ตามจุดติดตั้ง →","0/100")</f>
        <v>ตามจุดติดตั้ง →</v>
      </c>
      <c r="I1028" s="58" t="n">
        <f aca="false">'P9-013'!$N$68</f>
        <v>46338</v>
      </c>
      <c r="J1028" s="58" t="n">
        <f aca="false">'P9-013'!$O$68</f>
        <v>46341</v>
      </c>
      <c r="K1028" s="56" t="str">
        <f aca="false">IF(OR(L1028="Y",LEFT('P9-013'!$T$68,1)="D"),"",IF(AND(ISNUMBER(J1028),J1028&lt;ASOF),"⚠ เลยกำหนด",IF(AND(ISNUMBER(I1028),I1028&lt;=ASOF+14,J1028&gt;=ASOF-7),"ช่วงนี้","")))</f>
        <v>ช่วงนี้</v>
      </c>
      <c r="L1028" s="59"/>
      <c r="M1028" s="60"/>
    </row>
    <row r="1029" customFormat="false" ht="15" hidden="false" customHeight="false" outlineLevel="0" collapsed="false">
      <c r="A1029" s="54" t="s">
        <v>90</v>
      </c>
      <c r="B1029" s="55" t="s">
        <v>488</v>
      </c>
      <c r="C1029" s="56" t="s">
        <v>489</v>
      </c>
      <c r="D1029" s="57" t="s">
        <v>92</v>
      </c>
      <c r="E1029" s="57" t="s">
        <v>323</v>
      </c>
      <c r="F1029" s="61" t="s">
        <v>324</v>
      </c>
      <c r="G1029" s="55" t="s">
        <v>325</v>
      </c>
      <c r="H1029" s="56" t="str">
        <f aca="false">IF(COUNTIFS(SITE_ST,"P9-013",SITE_TYPE,"?*")&gt;0,"ตามจุดติดตั้ง →","0/100")</f>
        <v>ตามจุดติดตั้ง →</v>
      </c>
      <c r="I1029" s="58" t="n">
        <f aca="false">'P9-013'!$N$69</f>
        <v>46340</v>
      </c>
      <c r="J1029" s="58" t="n">
        <f aca="false">'P9-013'!$O$69</f>
        <v>46341</v>
      </c>
      <c r="K1029" s="56" t="str">
        <f aca="false">IF(OR(L1029="Y",LEFT('P9-013'!$T$69,1)="D"),"",IF(AND(ISNUMBER(J1029),J1029&lt;ASOF),"⚠ เลยกำหนด",IF(AND(ISNUMBER(I1029),I1029&lt;=ASOF+14,J1029&gt;=ASOF-7),"ช่วงนี้","")))</f>
        <v>ช่วงนี้</v>
      </c>
      <c r="L1029" s="59"/>
      <c r="M1029" s="60"/>
    </row>
    <row r="1030" customFormat="false" ht="15" hidden="false" customHeight="false" outlineLevel="0" collapsed="false">
      <c r="A1030" s="54" t="s">
        <v>90</v>
      </c>
      <c r="B1030" s="55" t="s">
        <v>488</v>
      </c>
      <c r="C1030" s="56" t="s">
        <v>489</v>
      </c>
      <c r="D1030" s="57" t="s">
        <v>92</v>
      </c>
      <c r="E1030" s="57" t="s">
        <v>326</v>
      </c>
      <c r="F1030" s="55" t="s">
        <v>327</v>
      </c>
      <c r="G1030" s="61" t="s">
        <v>328</v>
      </c>
      <c r="H1030" s="56" t="str">
        <f aca="false">IF(COUNTIFS(SITE_ST,"P9-013",SITE_TYPE,"?*")&gt;0,"ตามจุดติดตั้ง →","50/50")</f>
        <v>ตามจุดติดตั้ง →</v>
      </c>
      <c r="I1030" s="58" t="n">
        <f aca="false">'P9-013'!$N$71</f>
        <v>46343</v>
      </c>
      <c r="J1030" s="58" t="n">
        <f aca="false">'P9-013'!$O$71</f>
        <v>46344</v>
      </c>
      <c r="K1030" s="56" t="str">
        <f aca="false">IF(OR(L1030="Y",LEFT('P9-013'!$T$71,1)="D"),"",IF(AND(ISNUMBER(J1030),J1030&lt;ASOF),"⚠ เลยกำหนด",IF(AND(ISNUMBER(I1030),I1030&lt;=ASOF+14,J1030&gt;=ASOF-7),"ช่วงนี้","")))</f>
        <v/>
      </c>
      <c r="L1030" s="59"/>
      <c r="M1030" s="60"/>
    </row>
    <row r="1031" customFormat="false" ht="15" hidden="false" customHeight="false" outlineLevel="0" collapsed="false">
      <c r="A1031" s="54" t="s">
        <v>90</v>
      </c>
      <c r="B1031" s="55" t="s">
        <v>488</v>
      </c>
      <c r="C1031" s="56" t="s">
        <v>489</v>
      </c>
      <c r="D1031" s="57" t="s">
        <v>92</v>
      </c>
      <c r="E1031" s="57" t="s">
        <v>329</v>
      </c>
      <c r="F1031" s="55" t="s">
        <v>330</v>
      </c>
      <c r="G1031" s="55" t="s">
        <v>331</v>
      </c>
      <c r="H1031" s="56" t="str">
        <f aca="false">IF(COUNTIFS(SITE_ST,"P9-013",SITE_TYPE,"?*")&gt;0,"ตามจุดติดตั้ง →","50/50")</f>
        <v>ตามจุดติดตั้ง →</v>
      </c>
      <c r="I1031" s="58" t="n">
        <f aca="false">'P9-013'!$N$72</f>
        <v>46344</v>
      </c>
      <c r="J1031" s="58" t="n">
        <f aca="false">'P9-013'!$O$72</f>
        <v>46345</v>
      </c>
      <c r="K1031" s="56" t="str">
        <f aca="false">IF(OR(L1031="Y",LEFT('P9-013'!$T$72,1)="D"),"",IF(AND(ISNUMBER(J1031),J1031&lt;ASOF),"⚠ เลยกำหนด",IF(AND(ISNUMBER(I1031),I1031&lt;=ASOF+14,J1031&gt;=ASOF-7),"ช่วงนี้","")))</f>
        <v/>
      </c>
      <c r="L1031" s="59"/>
      <c r="M1031" s="60"/>
    </row>
    <row r="1032" customFormat="false" ht="15" hidden="false" customHeight="false" outlineLevel="0" collapsed="false">
      <c r="A1032" s="54" t="s">
        <v>90</v>
      </c>
      <c r="B1032" s="55" t="s">
        <v>488</v>
      </c>
      <c r="C1032" s="56" t="s">
        <v>489</v>
      </c>
      <c r="D1032" s="57" t="s">
        <v>92</v>
      </c>
      <c r="E1032" s="57" t="s">
        <v>332</v>
      </c>
      <c r="F1032" s="55" t="s">
        <v>333</v>
      </c>
      <c r="G1032" s="55" t="s">
        <v>334</v>
      </c>
      <c r="H1032" s="56" t="str">
        <f aca="false">IF(COUNTIFS(SITE_ST,"P9-013",SITE_TYPE,"?*")&gt;0,"ตามจุดติดตั้ง →","0/100")</f>
        <v>ตามจุดติดตั้ง →</v>
      </c>
      <c r="I1032" s="58" t="n">
        <f aca="false">'P9-013'!$N$73</f>
        <v>46344</v>
      </c>
      <c r="J1032" s="58" t="n">
        <f aca="false">'P9-013'!$O$73</f>
        <v>46345</v>
      </c>
      <c r="K1032" s="56" t="str">
        <f aca="false">IF(OR(L1032="Y",LEFT('P9-013'!$T$73,1)="D"),"",IF(AND(ISNUMBER(J1032),J1032&lt;ASOF),"⚠ เลยกำหนด",IF(AND(ISNUMBER(I1032),I1032&lt;=ASOF+14,J1032&gt;=ASOF-7),"ช่วงนี้","")))</f>
        <v/>
      </c>
      <c r="L1032" s="59"/>
      <c r="M1032" s="60"/>
    </row>
    <row r="1033" customFormat="false" ht="15" hidden="false" customHeight="false" outlineLevel="0" collapsed="false">
      <c r="A1033" s="54" t="s">
        <v>90</v>
      </c>
      <c r="B1033" s="55" t="s">
        <v>488</v>
      </c>
      <c r="C1033" s="56" t="s">
        <v>489</v>
      </c>
      <c r="D1033" s="57" t="s">
        <v>92</v>
      </c>
      <c r="E1033" s="57" t="s">
        <v>335</v>
      </c>
      <c r="F1033" s="55" t="s">
        <v>336</v>
      </c>
      <c r="G1033" s="61" t="s">
        <v>337</v>
      </c>
      <c r="H1033" s="56" t="str">
        <f aca="false">IF(COUNTIFS(SITE_ST,"P9-013",SITE_TYPE,"?*")&gt;0,"ตามจุดติดตั้ง →","0/100")</f>
        <v>ตามจุดติดตั้ง →</v>
      </c>
      <c r="I1033" s="58" t="n">
        <f aca="false">'P9-013'!$N$74</f>
        <v>46345</v>
      </c>
      <c r="J1033" s="58" t="n">
        <f aca="false">'P9-013'!$O$74</f>
        <v>46346</v>
      </c>
      <c r="K1033" s="56" t="str">
        <f aca="false">IF(OR(L1033="Y",LEFT('P9-013'!$T$74,1)="D"),"",IF(AND(ISNUMBER(J1033),J1033&lt;ASOF),"⚠ เลยกำหนด",IF(AND(ISNUMBER(I1033),I1033&lt;=ASOF+14,J1033&gt;=ASOF-7),"ช่วงนี้","")))</f>
        <v/>
      </c>
      <c r="L1033" s="59"/>
      <c r="M1033" s="60"/>
    </row>
    <row r="1034" customFormat="false" ht="15" hidden="false" customHeight="false" outlineLevel="0" collapsed="false">
      <c r="A1034" s="54" t="s">
        <v>90</v>
      </c>
      <c r="B1034" s="55" t="s">
        <v>488</v>
      </c>
      <c r="C1034" s="56" t="s">
        <v>489</v>
      </c>
      <c r="D1034" s="57" t="s">
        <v>92</v>
      </c>
      <c r="E1034" s="57" t="s">
        <v>338</v>
      </c>
      <c r="F1034" s="61" t="s">
        <v>339</v>
      </c>
      <c r="G1034" s="55" t="s">
        <v>340</v>
      </c>
      <c r="H1034" s="56" t="str">
        <f aca="false">IF(COUNTIFS(SITE_ST,"P9-013",SITE_TYPE,"?*")&gt;0,"ตามจุดติดตั้ง →","0/100")</f>
        <v>ตามจุดติดตั้ง →</v>
      </c>
      <c r="I1034" s="58" t="n">
        <f aca="false">'P9-013'!$N$75</f>
        <v>46345</v>
      </c>
      <c r="J1034" s="58" t="n">
        <f aca="false">'P9-013'!$O$75</f>
        <v>46346</v>
      </c>
      <c r="K1034" s="56" t="str">
        <f aca="false">IF(OR(L1034="Y",LEFT('P9-013'!$T$75,1)="D"),"",IF(AND(ISNUMBER(J1034),J1034&lt;ASOF),"⚠ เลยกำหนด",IF(AND(ISNUMBER(I1034),I1034&lt;=ASOF+14,J1034&gt;=ASOF-7),"ช่วงนี้","")))</f>
        <v/>
      </c>
      <c r="L1034" s="59"/>
      <c r="M1034" s="60"/>
    </row>
    <row r="1035" customFormat="false" ht="15" hidden="false" customHeight="false" outlineLevel="0" collapsed="false">
      <c r="A1035" s="54" t="s">
        <v>90</v>
      </c>
      <c r="B1035" s="55" t="s">
        <v>488</v>
      </c>
      <c r="C1035" s="56" t="s">
        <v>489</v>
      </c>
      <c r="D1035" s="57" t="s">
        <v>92</v>
      </c>
      <c r="E1035" s="57" t="s">
        <v>341</v>
      </c>
      <c r="F1035" s="55" t="s">
        <v>342</v>
      </c>
      <c r="G1035" s="55" t="s">
        <v>343</v>
      </c>
      <c r="H1035" s="56" t="str">
        <f aca="false">IF(COUNTIFS(SITE_ST,"P9-013",SITE_TYPE,"?*")&gt;0,"ตามจุดติดตั้ง →","0/100")</f>
        <v>ตามจุดติดตั้ง →</v>
      </c>
      <c r="I1035" s="58" t="n">
        <f aca="false">'P9-013'!$N$77</f>
        <v>46342</v>
      </c>
      <c r="J1035" s="58" t="n">
        <f aca="false">'P9-013'!$O$77</f>
        <v>46344</v>
      </c>
      <c r="K1035" s="56" t="str">
        <f aca="false">IF(OR(L1035="Y",LEFT('P9-013'!$T$77,1)="D"),"",IF(AND(ISNUMBER(J1035),J1035&lt;ASOF),"⚠ เลยกำหนด",IF(AND(ISNUMBER(I1035),I1035&lt;=ASOF+14,J1035&gt;=ASOF-7),"ช่วงนี้","")))</f>
        <v>ช่วงนี้</v>
      </c>
      <c r="L1035" s="59"/>
      <c r="M1035" s="60"/>
    </row>
    <row r="1036" customFormat="false" ht="15" hidden="false" customHeight="false" outlineLevel="0" collapsed="false">
      <c r="A1036" s="54" t="s">
        <v>90</v>
      </c>
      <c r="B1036" s="55" t="s">
        <v>488</v>
      </c>
      <c r="C1036" s="56" t="s">
        <v>489</v>
      </c>
      <c r="D1036" s="57" t="s">
        <v>92</v>
      </c>
      <c r="E1036" s="57" t="s">
        <v>344</v>
      </c>
      <c r="F1036" s="55" t="s">
        <v>345</v>
      </c>
      <c r="G1036" s="55" t="s">
        <v>346</v>
      </c>
      <c r="H1036" s="56" t="str">
        <f aca="false">IF(COUNTIFS(SITE_ST,"P9-013",SITE_TYPE,"?*")&gt;0,"ตามจุดติดตั้ง →","50/50")</f>
        <v>ตามจุดติดตั้ง →</v>
      </c>
      <c r="I1036" s="58" t="n">
        <f aca="false">'P9-013'!$N$78</f>
        <v>46343</v>
      </c>
      <c r="J1036" s="58" t="n">
        <f aca="false">'P9-013'!$O$78</f>
        <v>46346</v>
      </c>
      <c r="K1036" s="56" t="str">
        <f aca="false">IF(OR(L1036="Y",LEFT('P9-013'!$T$78,1)="D"),"",IF(AND(ISNUMBER(J1036),J1036&lt;ASOF),"⚠ เลยกำหนด",IF(AND(ISNUMBER(I1036),I1036&lt;=ASOF+14,J1036&gt;=ASOF-7),"ช่วงนี้","")))</f>
        <v/>
      </c>
      <c r="L1036" s="59"/>
      <c r="M1036" s="60"/>
    </row>
    <row r="1037" customFormat="false" ht="15" hidden="false" customHeight="false" outlineLevel="0" collapsed="false">
      <c r="A1037" s="54" t="s">
        <v>90</v>
      </c>
      <c r="B1037" s="55" t="s">
        <v>488</v>
      </c>
      <c r="C1037" s="56" t="s">
        <v>489</v>
      </c>
      <c r="D1037" s="57" t="s">
        <v>92</v>
      </c>
      <c r="E1037" s="57" t="s">
        <v>347</v>
      </c>
      <c r="F1037" s="61" t="s">
        <v>348</v>
      </c>
      <c r="G1037" s="55" t="s">
        <v>349</v>
      </c>
      <c r="H1037" s="56" t="str">
        <f aca="false">IF(COUNTIFS(SITE_ST,"P9-013",SITE_TYPE,"?*")&gt;0,"ตามจุดติดตั้ง →","50/50")</f>
        <v>ตามจุดติดตั้ง →</v>
      </c>
      <c r="I1037" s="58" t="n">
        <f aca="false">'P9-013'!$N$79</f>
        <v>46344</v>
      </c>
      <c r="J1037" s="58" t="n">
        <f aca="false">'P9-013'!$O$79</f>
        <v>46347</v>
      </c>
      <c r="K1037" s="56" t="str">
        <f aca="false">IF(OR(L1037="Y",LEFT('P9-013'!$T$79,1)="D"),"",IF(AND(ISNUMBER(J1037),J1037&lt;ASOF),"⚠ เลยกำหนด",IF(AND(ISNUMBER(I1037),I1037&lt;=ASOF+14,J1037&gt;=ASOF-7),"ช่วงนี้","")))</f>
        <v/>
      </c>
      <c r="L1037" s="59"/>
      <c r="M1037" s="60"/>
    </row>
    <row r="1038" customFormat="false" ht="15" hidden="false" customHeight="false" outlineLevel="0" collapsed="false">
      <c r="A1038" s="54" t="s">
        <v>90</v>
      </c>
      <c r="B1038" s="55" t="s">
        <v>488</v>
      </c>
      <c r="C1038" s="56" t="s">
        <v>489</v>
      </c>
      <c r="D1038" s="57" t="s">
        <v>92</v>
      </c>
      <c r="E1038" s="57" t="s">
        <v>350</v>
      </c>
      <c r="F1038" s="61" t="s">
        <v>351</v>
      </c>
      <c r="G1038" s="55" t="s">
        <v>352</v>
      </c>
      <c r="H1038" s="56" t="str">
        <f aca="false">IF(COUNTIFS(SITE_ST,"P9-013",SITE_TYPE,"?*")&gt;0,"ตามจุดติดตั้ง →","0/100")</f>
        <v>ตามจุดติดตั้ง →</v>
      </c>
      <c r="I1038" s="58" t="n">
        <f aca="false">'P9-013'!$N$80</f>
        <v>46346</v>
      </c>
      <c r="J1038" s="58" t="n">
        <f aca="false">'P9-013'!$O$80</f>
        <v>46347</v>
      </c>
      <c r="K1038" s="56" t="str">
        <f aca="false">IF(OR(L1038="Y",LEFT('P9-013'!$T$80,1)="D"),"",IF(AND(ISNUMBER(J1038),J1038&lt;ASOF),"⚠ เลยกำหนด",IF(AND(ISNUMBER(I1038),I1038&lt;=ASOF+14,J1038&gt;=ASOF-7),"ช่วงนี้","")))</f>
        <v/>
      </c>
      <c r="L1038" s="59"/>
      <c r="M1038" s="60"/>
    </row>
    <row r="1039" customFormat="false" ht="15" hidden="false" customHeight="false" outlineLevel="0" collapsed="false">
      <c r="A1039" s="54" t="s">
        <v>90</v>
      </c>
      <c r="B1039" s="55" t="s">
        <v>488</v>
      </c>
      <c r="C1039" s="56" t="s">
        <v>489</v>
      </c>
      <c r="D1039" s="57" t="s">
        <v>92</v>
      </c>
      <c r="E1039" s="57" t="s">
        <v>353</v>
      </c>
      <c r="F1039" s="61" t="s">
        <v>354</v>
      </c>
      <c r="G1039" s="55" t="s">
        <v>355</v>
      </c>
      <c r="H1039" s="56" t="str">
        <f aca="false">IF(COUNTIFS(SITE_ST,"P9-013",SITE_TYPE,"?*")&gt;0,"ตามจุดติดตั้ง →","0/100")</f>
        <v>ตามจุดติดตั้ง →</v>
      </c>
      <c r="I1039" s="58" t="n">
        <f aca="false">'P9-013'!$N$81</f>
        <v>46347</v>
      </c>
      <c r="J1039" s="58" t="n">
        <f aca="false">'P9-013'!$O$81</f>
        <v>46347</v>
      </c>
      <c r="K1039" s="56" t="str">
        <f aca="false">IF(OR(L1039="Y",LEFT('P9-013'!$T$81,1)="D"),"",IF(AND(ISNUMBER(J1039),J1039&lt;ASOF),"⚠ เลยกำหนด",IF(AND(ISNUMBER(I1039),I1039&lt;=ASOF+14,J1039&gt;=ASOF-7),"ช่วงนี้","")))</f>
        <v/>
      </c>
      <c r="L1039" s="59"/>
      <c r="M1039" s="60"/>
    </row>
    <row r="1040" customFormat="false" ht="15" hidden="false" customHeight="false" outlineLevel="0" collapsed="false">
      <c r="A1040" s="54" t="s">
        <v>90</v>
      </c>
      <c r="B1040" s="55" t="s">
        <v>488</v>
      </c>
      <c r="C1040" s="56" t="s">
        <v>489</v>
      </c>
      <c r="D1040" s="57" t="s">
        <v>92</v>
      </c>
      <c r="E1040" s="57" t="s">
        <v>356</v>
      </c>
      <c r="F1040" s="55" t="s">
        <v>357</v>
      </c>
      <c r="G1040" s="55" t="s">
        <v>358</v>
      </c>
      <c r="H1040" s="57" t="s">
        <v>211</v>
      </c>
      <c r="I1040" s="58" t="n">
        <f aca="false">'P9-013'!$N$83</f>
        <v>46345</v>
      </c>
      <c r="J1040" s="58" t="n">
        <f aca="false">'P9-013'!$O$83</f>
        <v>46346</v>
      </c>
      <c r="K1040" s="56" t="str">
        <f aca="false">IF(OR(L1040="Y",LEFT('P9-013'!$T$83,1)="D"),"",IF(AND(ISNUMBER(J1040),J1040&lt;ASOF),"⚠ เลยกำหนด",IF(AND(ISNUMBER(I1040),I1040&lt;=ASOF+14,J1040&gt;=ASOF-7),"ช่วงนี้","")))</f>
        <v/>
      </c>
      <c r="L1040" s="59"/>
      <c r="M1040" s="60"/>
    </row>
    <row r="1041" customFormat="false" ht="15" hidden="false" customHeight="false" outlineLevel="0" collapsed="false">
      <c r="A1041" s="54" t="s">
        <v>90</v>
      </c>
      <c r="B1041" s="55" t="s">
        <v>488</v>
      </c>
      <c r="C1041" s="56" t="s">
        <v>489</v>
      </c>
      <c r="D1041" s="57" t="s">
        <v>92</v>
      </c>
      <c r="E1041" s="57" t="s">
        <v>359</v>
      </c>
      <c r="F1041" s="55" t="s">
        <v>360</v>
      </c>
      <c r="G1041" s="55" t="s">
        <v>361</v>
      </c>
      <c r="H1041" s="57" t="s">
        <v>211</v>
      </c>
      <c r="I1041" s="58" t="n">
        <f aca="false">'P9-013'!$N$84</f>
        <v>46346</v>
      </c>
      <c r="J1041" s="58" t="n">
        <f aca="false">'P9-013'!$O$84</f>
        <v>46347</v>
      </c>
      <c r="K1041" s="56" t="str">
        <f aca="false">IF(OR(L1041="Y",LEFT('P9-013'!$T$84,1)="D"),"",IF(AND(ISNUMBER(J1041),J1041&lt;ASOF),"⚠ เลยกำหนด",IF(AND(ISNUMBER(I1041),I1041&lt;=ASOF+14,J1041&gt;=ASOF-7),"ช่วงนี้","")))</f>
        <v/>
      </c>
      <c r="L1041" s="59"/>
      <c r="M1041" s="60"/>
    </row>
    <row r="1042" customFormat="false" ht="15" hidden="false" customHeight="false" outlineLevel="0" collapsed="false">
      <c r="A1042" s="54" t="s">
        <v>90</v>
      </c>
      <c r="B1042" s="55" t="s">
        <v>488</v>
      </c>
      <c r="C1042" s="56" t="s">
        <v>489</v>
      </c>
      <c r="D1042" s="57" t="s">
        <v>92</v>
      </c>
      <c r="E1042" s="57" t="s">
        <v>362</v>
      </c>
      <c r="F1042" s="61" t="s">
        <v>363</v>
      </c>
      <c r="G1042" s="61" t="s">
        <v>364</v>
      </c>
      <c r="H1042" s="56" t="s">
        <v>365</v>
      </c>
      <c r="I1042" s="58" t="n">
        <f aca="false">'P9-013'!$N$86</f>
        <v>46343</v>
      </c>
      <c r="J1042" s="58" t="n">
        <f aca="false">'P9-013'!$O$86</f>
        <v>46345</v>
      </c>
      <c r="K1042" s="56" t="str">
        <f aca="false">IF(OR(L1042="Y",LEFT('P9-013'!$T$86,1)="D"),"",IF(AND(ISNUMBER(J1042),J1042&lt;ASOF),"⚠ เลยกำหนด",IF(AND(ISNUMBER(I1042),I1042&lt;=ASOF+14,J1042&gt;=ASOF-7),"ช่วงนี้","")))</f>
        <v/>
      </c>
      <c r="L1042" s="59"/>
      <c r="M1042" s="60"/>
    </row>
    <row r="1043" customFormat="false" ht="15" hidden="false" customHeight="false" outlineLevel="0" collapsed="false">
      <c r="A1043" s="54" t="s">
        <v>90</v>
      </c>
      <c r="B1043" s="55" t="s">
        <v>488</v>
      </c>
      <c r="C1043" s="56" t="s">
        <v>489</v>
      </c>
      <c r="D1043" s="57" t="s">
        <v>92</v>
      </c>
      <c r="E1043" s="57" t="s">
        <v>366</v>
      </c>
      <c r="F1043" s="61" t="s">
        <v>367</v>
      </c>
      <c r="G1043" s="61" t="s">
        <v>368</v>
      </c>
      <c r="H1043" s="57" t="s">
        <v>369</v>
      </c>
      <c r="I1043" s="58" t="n">
        <f aca="false">'P9-013'!$N$87</f>
        <v>46344</v>
      </c>
      <c r="J1043" s="58" t="n">
        <f aca="false">'P9-013'!$O$87</f>
        <v>46346</v>
      </c>
      <c r="K1043" s="56" t="str">
        <f aca="false">IF(OR(L1043="Y",LEFT('P9-013'!$T$87,1)="D"),"",IF(AND(ISNUMBER(J1043),J1043&lt;ASOF),"⚠ เลยกำหนด",IF(AND(ISNUMBER(I1043),I1043&lt;=ASOF+14,J1043&gt;=ASOF-7),"ช่วงนี้","")))</f>
        <v/>
      </c>
      <c r="L1043" s="59"/>
      <c r="M1043" s="60"/>
    </row>
    <row r="1044" customFormat="false" ht="15" hidden="false" customHeight="false" outlineLevel="0" collapsed="false">
      <c r="A1044" s="54" t="s">
        <v>90</v>
      </c>
      <c r="B1044" s="55" t="s">
        <v>488</v>
      </c>
      <c r="C1044" s="56" t="s">
        <v>489</v>
      </c>
      <c r="D1044" s="57" t="s">
        <v>92</v>
      </c>
      <c r="E1044" s="57" t="s">
        <v>370</v>
      </c>
      <c r="F1044" s="55" t="s">
        <v>371</v>
      </c>
      <c r="G1044" s="55" t="s">
        <v>372</v>
      </c>
      <c r="H1044" s="57" t="s">
        <v>211</v>
      </c>
      <c r="I1044" s="58" t="n">
        <f aca="false">'P9-013'!$N$88</f>
        <v>46345</v>
      </c>
      <c r="J1044" s="58" t="n">
        <f aca="false">'P9-013'!$O$88</f>
        <v>46346</v>
      </c>
      <c r="K1044" s="56" t="str">
        <f aca="false">IF(OR(L1044="Y",LEFT('P9-013'!$T$88,1)="D"),"",IF(AND(ISNUMBER(J1044),J1044&lt;ASOF),"⚠ เลยกำหนด",IF(AND(ISNUMBER(I1044),I1044&lt;=ASOF+14,J1044&gt;=ASOF-7),"ช่วงนี้","")))</f>
        <v/>
      </c>
      <c r="L1044" s="59"/>
      <c r="M1044" s="60"/>
    </row>
    <row r="1045" customFormat="false" ht="15" hidden="false" customHeight="false" outlineLevel="0" collapsed="false">
      <c r="A1045" s="54" t="s">
        <v>90</v>
      </c>
      <c r="B1045" s="55" t="s">
        <v>488</v>
      </c>
      <c r="C1045" s="56" t="s">
        <v>489</v>
      </c>
      <c r="D1045" s="57" t="s">
        <v>92</v>
      </c>
      <c r="E1045" s="57" t="s">
        <v>373</v>
      </c>
      <c r="F1045" s="61" t="s">
        <v>374</v>
      </c>
      <c r="G1045" s="55" t="s">
        <v>375</v>
      </c>
      <c r="H1045" s="57" t="s">
        <v>211</v>
      </c>
      <c r="I1045" s="58" t="n">
        <f aca="false">'P9-013'!$N$89</f>
        <v>46346</v>
      </c>
      <c r="J1045" s="58" t="n">
        <f aca="false">'P9-013'!$O$89</f>
        <v>46346</v>
      </c>
      <c r="K1045" s="56" t="str">
        <f aca="false">IF(OR(L1045="Y",LEFT('P9-013'!$T$89,1)="D"),"",IF(AND(ISNUMBER(J1045),J1045&lt;ASOF),"⚠ เลยกำหนด",IF(AND(ISNUMBER(I1045),I1045&lt;=ASOF+14,J1045&gt;=ASOF-7),"ช่วงนี้","")))</f>
        <v/>
      </c>
      <c r="L1045" s="59"/>
      <c r="M1045" s="60"/>
    </row>
    <row r="1046" customFormat="false" ht="15" hidden="false" customHeight="false" outlineLevel="0" collapsed="false">
      <c r="A1046" s="54" t="s">
        <v>90</v>
      </c>
      <c r="B1046" s="55" t="s">
        <v>488</v>
      </c>
      <c r="C1046" s="56" t="s">
        <v>489</v>
      </c>
      <c r="D1046" s="57" t="s">
        <v>92</v>
      </c>
      <c r="E1046" s="57" t="s">
        <v>376</v>
      </c>
      <c r="F1046" s="55" t="s">
        <v>377</v>
      </c>
      <c r="G1046" s="55" t="s">
        <v>378</v>
      </c>
      <c r="H1046" s="57" t="s">
        <v>369</v>
      </c>
      <c r="I1046" s="58" t="n">
        <f aca="false">'P9-013'!$N$91</f>
        <v>46344</v>
      </c>
      <c r="J1046" s="58" t="n">
        <f aca="false">'P9-013'!$O$91</f>
        <v>46346</v>
      </c>
      <c r="K1046" s="56" t="str">
        <f aca="false">IF(OR(L1046="Y",LEFT('P9-013'!$T$91,1)="D"),"",IF(AND(ISNUMBER(J1046),J1046&lt;ASOF),"⚠ เลยกำหนด",IF(AND(ISNUMBER(I1046),I1046&lt;=ASOF+14,J1046&gt;=ASOF-7),"ช่วงนี้","")))</f>
        <v/>
      </c>
      <c r="L1046" s="59"/>
      <c r="M1046" s="60"/>
    </row>
    <row r="1047" customFormat="false" ht="15" hidden="false" customHeight="false" outlineLevel="0" collapsed="false">
      <c r="A1047" s="54" t="s">
        <v>90</v>
      </c>
      <c r="B1047" s="55" t="s">
        <v>488</v>
      </c>
      <c r="C1047" s="56" t="s">
        <v>489</v>
      </c>
      <c r="D1047" s="57" t="s">
        <v>92</v>
      </c>
      <c r="E1047" s="57" t="s">
        <v>379</v>
      </c>
      <c r="F1047" s="61" t="s">
        <v>380</v>
      </c>
      <c r="G1047" s="61" t="s">
        <v>381</v>
      </c>
      <c r="H1047" s="57" t="s">
        <v>211</v>
      </c>
      <c r="I1047" s="58" t="n">
        <f aca="false">'P9-013'!$N$92</f>
        <v>46346</v>
      </c>
      <c r="J1047" s="58" t="n">
        <f aca="false">'P9-013'!$O$92</f>
        <v>46347</v>
      </c>
      <c r="K1047" s="56" t="str">
        <f aca="false">IF(OR(L1047="Y",LEFT('P9-013'!$T$92,1)="D"),"",IF(AND(ISNUMBER(J1047),J1047&lt;ASOF),"⚠ เลยกำหนด",IF(AND(ISNUMBER(I1047),I1047&lt;=ASOF+14,J1047&gt;=ASOF-7),"ช่วงนี้","")))</f>
        <v/>
      </c>
      <c r="L1047" s="59"/>
      <c r="M1047" s="60"/>
    </row>
    <row r="1048" customFormat="false" ht="15" hidden="false" customHeight="false" outlineLevel="0" collapsed="false">
      <c r="A1048" s="54" t="s">
        <v>90</v>
      </c>
      <c r="B1048" s="55" t="s">
        <v>488</v>
      </c>
      <c r="C1048" s="56" t="s">
        <v>489</v>
      </c>
      <c r="D1048" s="57" t="s">
        <v>92</v>
      </c>
      <c r="E1048" s="57" t="s">
        <v>382</v>
      </c>
      <c r="F1048" s="55" t="s">
        <v>383</v>
      </c>
      <c r="G1048" s="55" t="s">
        <v>384</v>
      </c>
      <c r="H1048" s="57" t="s">
        <v>369</v>
      </c>
      <c r="I1048" s="58" t="n">
        <f aca="false">'P9-013'!$N$93</f>
        <v>46344</v>
      </c>
      <c r="J1048" s="58" t="n">
        <f aca="false">'P9-013'!$O$93</f>
        <v>46346</v>
      </c>
      <c r="K1048" s="56" t="str">
        <f aca="false">IF(OR(L1048="Y",LEFT('P9-013'!$T$93,1)="D"),"",IF(AND(ISNUMBER(J1048),J1048&lt;ASOF),"⚠ เลยกำหนด",IF(AND(ISNUMBER(I1048),I1048&lt;=ASOF+14,J1048&gt;=ASOF-7),"ช่วงนี้","")))</f>
        <v/>
      </c>
      <c r="L1048" s="59"/>
      <c r="M1048" s="60"/>
    </row>
    <row r="1049" customFormat="false" ht="15" hidden="false" customHeight="false" outlineLevel="0" collapsed="false">
      <c r="A1049" s="54" t="s">
        <v>90</v>
      </c>
      <c r="B1049" s="55" t="s">
        <v>488</v>
      </c>
      <c r="C1049" s="56" t="s">
        <v>489</v>
      </c>
      <c r="D1049" s="57" t="s">
        <v>92</v>
      </c>
      <c r="E1049" s="57" t="s">
        <v>385</v>
      </c>
      <c r="F1049" s="55" t="s">
        <v>386</v>
      </c>
      <c r="G1049" s="55" t="s">
        <v>387</v>
      </c>
      <c r="H1049" s="57" t="s">
        <v>211</v>
      </c>
      <c r="I1049" s="58" t="n">
        <f aca="false">'P9-013'!$N$94</f>
        <v>46346</v>
      </c>
      <c r="J1049" s="58" t="n">
        <f aca="false">'P9-013'!$O$94</f>
        <v>46347</v>
      </c>
      <c r="K1049" s="56" t="str">
        <f aca="false">IF(OR(L1049="Y",LEFT('P9-013'!$T$94,1)="D"),"",IF(AND(ISNUMBER(J1049),J1049&lt;ASOF),"⚠ เลยกำหนด",IF(AND(ISNUMBER(I1049),I1049&lt;=ASOF+14,J1049&gt;=ASOF-7),"ช่วงนี้","")))</f>
        <v/>
      </c>
      <c r="L1049" s="59"/>
      <c r="M1049" s="60"/>
    </row>
    <row r="1050" customFormat="false" ht="15" hidden="false" customHeight="false" outlineLevel="0" collapsed="false">
      <c r="A1050" s="54" t="s">
        <v>90</v>
      </c>
      <c r="B1050" s="55" t="s">
        <v>488</v>
      </c>
      <c r="C1050" s="56" t="s">
        <v>489</v>
      </c>
      <c r="D1050" s="57" t="s">
        <v>92</v>
      </c>
      <c r="E1050" s="57" t="s">
        <v>388</v>
      </c>
      <c r="F1050" s="61" t="s">
        <v>389</v>
      </c>
      <c r="G1050" s="55" t="s">
        <v>390</v>
      </c>
      <c r="H1050" s="57" t="s">
        <v>211</v>
      </c>
      <c r="I1050" s="58" t="n">
        <f aca="false">'P9-013'!$N$95</f>
        <v>46347</v>
      </c>
      <c r="J1050" s="58" t="n">
        <f aca="false">'P9-013'!$O$95</f>
        <v>46347</v>
      </c>
      <c r="K1050" s="56" t="str">
        <f aca="false">IF(OR(L1050="Y",LEFT('P9-013'!$T$95,1)="D"),"",IF(AND(ISNUMBER(J1050),J1050&lt;ASOF),"⚠ เลยกำหนด",IF(AND(ISNUMBER(I1050),I1050&lt;=ASOF+14,J1050&gt;=ASOF-7),"ช่วงนี้","")))</f>
        <v/>
      </c>
      <c r="L1050" s="59"/>
      <c r="M1050" s="60"/>
    </row>
    <row r="1051" customFormat="false" ht="15" hidden="false" customHeight="false" outlineLevel="0" collapsed="false">
      <c r="A1051" s="54" t="s">
        <v>90</v>
      </c>
      <c r="B1051" s="55" t="s">
        <v>488</v>
      </c>
      <c r="C1051" s="56" t="s">
        <v>489</v>
      </c>
      <c r="D1051" s="57" t="s">
        <v>92</v>
      </c>
      <c r="E1051" s="57" t="s">
        <v>391</v>
      </c>
      <c r="F1051" s="55" t="s">
        <v>392</v>
      </c>
      <c r="G1051" s="55" t="s">
        <v>393</v>
      </c>
      <c r="H1051" s="57" t="s">
        <v>369</v>
      </c>
      <c r="I1051" s="58" t="n">
        <f aca="false">'P9-013'!$N$97</f>
        <v>46345</v>
      </c>
      <c r="J1051" s="58" t="n">
        <f aca="false">'P9-013'!$O$97</f>
        <v>46347</v>
      </c>
      <c r="K1051" s="56" t="str">
        <f aca="false">IF(OR(L1051="Y",LEFT('P9-013'!$T$97,1)="D"),"",IF(AND(ISNUMBER(J1051),J1051&lt;ASOF),"⚠ เลยกำหนด",IF(AND(ISNUMBER(I1051),I1051&lt;=ASOF+14,J1051&gt;=ASOF-7),"ช่วงนี้","")))</f>
        <v/>
      </c>
      <c r="L1051" s="59"/>
      <c r="M1051" s="60"/>
    </row>
    <row r="1052" customFormat="false" ht="15" hidden="false" customHeight="false" outlineLevel="0" collapsed="false">
      <c r="A1052" s="54" t="s">
        <v>90</v>
      </c>
      <c r="B1052" s="55" t="s">
        <v>488</v>
      </c>
      <c r="C1052" s="56" t="s">
        <v>489</v>
      </c>
      <c r="D1052" s="57" t="s">
        <v>92</v>
      </c>
      <c r="E1052" s="57" t="s">
        <v>394</v>
      </c>
      <c r="F1052" s="55" t="s">
        <v>395</v>
      </c>
      <c r="G1052" s="55" t="s">
        <v>396</v>
      </c>
      <c r="H1052" s="57" t="s">
        <v>211</v>
      </c>
      <c r="I1052" s="58" t="n">
        <f aca="false">'P9-013'!$N$98</f>
        <v>46346</v>
      </c>
      <c r="J1052" s="58" t="n">
        <f aca="false">'P9-013'!$O$98</f>
        <v>46347</v>
      </c>
      <c r="K1052" s="56" t="str">
        <f aca="false">IF(OR(L1052="Y",LEFT('P9-013'!$T$98,1)="D"),"",IF(AND(ISNUMBER(J1052),J1052&lt;ASOF),"⚠ เลยกำหนด",IF(AND(ISNUMBER(I1052),I1052&lt;=ASOF+14,J1052&gt;=ASOF-7),"ช่วงนี้","")))</f>
        <v/>
      </c>
      <c r="L1052" s="59"/>
      <c r="M1052" s="60"/>
    </row>
    <row r="1053" customFormat="false" ht="15" hidden="false" customHeight="false" outlineLevel="0" collapsed="false">
      <c r="A1053" s="54" t="s">
        <v>90</v>
      </c>
      <c r="B1053" s="55" t="s">
        <v>488</v>
      </c>
      <c r="C1053" s="56" t="s">
        <v>489</v>
      </c>
      <c r="D1053" s="57" t="s">
        <v>92</v>
      </c>
      <c r="E1053" s="57" t="s">
        <v>397</v>
      </c>
      <c r="F1053" s="61" t="s">
        <v>398</v>
      </c>
      <c r="G1053" s="55" t="s">
        <v>399</v>
      </c>
      <c r="H1053" s="57" t="s">
        <v>211</v>
      </c>
      <c r="I1053" s="58" t="n">
        <f aca="false">'P9-013'!$N$99</f>
        <v>46347</v>
      </c>
      <c r="J1053" s="58" t="n">
        <f aca="false">'P9-013'!$O$99</f>
        <v>46347</v>
      </c>
      <c r="K1053" s="56" t="str">
        <f aca="false">IF(OR(L1053="Y",LEFT('P9-013'!$T$99,1)="D"),"",IF(AND(ISNUMBER(J1053),J1053&lt;ASOF),"⚠ เลยกำหนด",IF(AND(ISNUMBER(I1053),I1053&lt;=ASOF+14,J1053&gt;=ASOF-7),"ช่วงนี้","")))</f>
        <v/>
      </c>
      <c r="L1053" s="59"/>
      <c r="M1053" s="60"/>
    </row>
    <row r="1054" customFormat="false" ht="15" hidden="false" customHeight="false" outlineLevel="0" collapsed="false">
      <c r="A1054" s="54" t="s">
        <v>90</v>
      </c>
      <c r="B1054" s="55" t="s">
        <v>488</v>
      </c>
      <c r="C1054" s="56" t="s">
        <v>489</v>
      </c>
      <c r="D1054" s="57" t="s">
        <v>92</v>
      </c>
      <c r="E1054" s="57" t="s">
        <v>400</v>
      </c>
      <c r="F1054" s="55" t="s">
        <v>401</v>
      </c>
      <c r="G1054" s="55" t="s">
        <v>402</v>
      </c>
      <c r="H1054" s="57" t="s">
        <v>211</v>
      </c>
      <c r="I1054" s="58" t="n">
        <f aca="false">'P9-013'!$N$102</f>
        <v>46346</v>
      </c>
      <c r="J1054" s="58" t="n">
        <f aca="false">'P9-013'!$O$102</f>
        <v>46347</v>
      </c>
      <c r="K1054" s="56" t="str">
        <f aca="false">IF(OR(L1054="Y",LEFT('P9-013'!$T$102,1)="D"),"",IF(AND(ISNUMBER(J1054),J1054&lt;ASOF),"⚠ เลยกำหนด",IF(AND(ISNUMBER(I1054),I1054&lt;=ASOF+14,J1054&gt;=ASOF-7),"ช่วงนี้","")))</f>
        <v/>
      </c>
      <c r="L1054" s="59"/>
      <c r="M1054" s="60"/>
    </row>
    <row r="1055" customFormat="false" ht="15" hidden="false" customHeight="false" outlineLevel="0" collapsed="false">
      <c r="A1055" s="54" t="s">
        <v>90</v>
      </c>
      <c r="B1055" s="55" t="s">
        <v>488</v>
      </c>
      <c r="C1055" s="56" t="s">
        <v>489</v>
      </c>
      <c r="D1055" s="57" t="s">
        <v>92</v>
      </c>
      <c r="E1055" s="57" t="s">
        <v>403</v>
      </c>
      <c r="F1055" s="55" t="s">
        <v>404</v>
      </c>
      <c r="G1055" s="55" t="s">
        <v>405</v>
      </c>
      <c r="H1055" s="57" t="s">
        <v>211</v>
      </c>
      <c r="I1055" s="58" t="n">
        <f aca="false">'P9-013'!$N$104</f>
        <v>46347</v>
      </c>
      <c r="J1055" s="58" t="n">
        <f aca="false">'P9-013'!$O$104</f>
        <v>46348</v>
      </c>
      <c r="K1055" s="56" t="str">
        <f aca="false">IF(OR(L1055="Y",LEFT('P9-013'!$T$104,1)="D"),"",IF(AND(ISNUMBER(J1055),J1055&lt;ASOF),"⚠ เลยกำหนด",IF(AND(ISNUMBER(I1055),I1055&lt;=ASOF+14,J1055&gt;=ASOF-7),"ช่วงนี้","")))</f>
        <v/>
      </c>
      <c r="L1055" s="59"/>
      <c r="M1055" s="60"/>
    </row>
    <row r="1056" customFormat="false" ht="15" hidden="false" customHeight="false" outlineLevel="0" collapsed="false">
      <c r="A1056" s="54" t="s">
        <v>90</v>
      </c>
      <c r="B1056" s="55" t="s">
        <v>488</v>
      </c>
      <c r="C1056" s="56" t="s">
        <v>489</v>
      </c>
      <c r="D1056" s="57" t="s">
        <v>92</v>
      </c>
      <c r="E1056" s="57" t="s">
        <v>406</v>
      </c>
      <c r="F1056" s="55" t="s">
        <v>407</v>
      </c>
      <c r="G1056" s="55" t="s">
        <v>408</v>
      </c>
      <c r="H1056" s="57" t="s">
        <v>211</v>
      </c>
      <c r="I1056" s="58" t="n">
        <f aca="false">'P9-013'!$N$105</f>
        <v>46347</v>
      </c>
      <c r="J1056" s="58" t="n">
        <f aca="false">'P9-013'!$O$105</f>
        <v>46348</v>
      </c>
      <c r="K1056" s="56" t="str">
        <f aca="false">IF(OR(L1056="Y",LEFT('P9-013'!$T$105,1)="D"),"",IF(AND(ISNUMBER(J1056),J1056&lt;ASOF),"⚠ เลยกำหนด",IF(AND(ISNUMBER(I1056),I1056&lt;=ASOF+14,J1056&gt;=ASOF-7),"ช่วงนี้","")))</f>
        <v/>
      </c>
      <c r="L1056" s="59"/>
      <c r="M1056" s="60"/>
    </row>
    <row r="1057" customFormat="false" ht="15" hidden="false" customHeight="false" outlineLevel="0" collapsed="false">
      <c r="A1057" s="54" t="s">
        <v>90</v>
      </c>
      <c r="B1057" s="55" t="s">
        <v>488</v>
      </c>
      <c r="C1057" s="56" t="s">
        <v>489</v>
      </c>
      <c r="D1057" s="57" t="s">
        <v>92</v>
      </c>
      <c r="E1057" s="57" t="s">
        <v>409</v>
      </c>
      <c r="F1057" s="61" t="s">
        <v>410</v>
      </c>
      <c r="G1057" s="55" t="s">
        <v>411</v>
      </c>
      <c r="H1057" s="57" t="s">
        <v>211</v>
      </c>
      <c r="I1057" s="58" t="n">
        <f aca="false">'P9-013'!$N$106</f>
        <v>46348</v>
      </c>
      <c r="J1057" s="58" t="n">
        <f aca="false">'P9-013'!$O$106</f>
        <v>46348</v>
      </c>
      <c r="K1057" s="56" t="str">
        <f aca="false">IF(OR(L1057="Y",LEFT('P9-013'!$T$106,1)="D"),"",IF(AND(ISNUMBER(J1057),J1057&lt;ASOF),"⚠ เลยกำหนด",IF(AND(ISNUMBER(I1057),I1057&lt;=ASOF+14,J1057&gt;=ASOF-7),"ช่วงนี้","")))</f>
        <v/>
      </c>
      <c r="L1057" s="59"/>
      <c r="M1057" s="60"/>
    </row>
    <row r="1058" customFormat="false" ht="15" hidden="false" customHeight="false" outlineLevel="0" collapsed="false">
      <c r="A1058" s="54" t="s">
        <v>90</v>
      </c>
      <c r="B1058" s="55" t="s">
        <v>488</v>
      </c>
      <c r="C1058" s="56" t="s">
        <v>489</v>
      </c>
      <c r="D1058" s="57" t="s">
        <v>92</v>
      </c>
      <c r="E1058" s="57" t="s">
        <v>412</v>
      </c>
      <c r="F1058" s="61" t="s">
        <v>413</v>
      </c>
      <c r="G1058" s="61" t="s">
        <v>414</v>
      </c>
      <c r="H1058" s="57" t="s">
        <v>211</v>
      </c>
      <c r="I1058" s="58" t="n">
        <f aca="false">'P9-013'!$N$108</f>
        <v>46347</v>
      </c>
      <c r="J1058" s="58" t="n">
        <f aca="false">'P9-013'!$O$108</f>
        <v>46348</v>
      </c>
      <c r="K1058" s="56" t="str">
        <f aca="false">IF(OR(L1058="Y",LEFT('P9-013'!$T$108,1)="D"),"",IF(AND(ISNUMBER(J1058),J1058&lt;ASOF),"⚠ เลยกำหนด",IF(AND(ISNUMBER(I1058),I1058&lt;=ASOF+14,J1058&gt;=ASOF-7),"ช่วงนี้","")))</f>
        <v/>
      </c>
      <c r="L1058" s="59"/>
      <c r="M1058" s="60"/>
    </row>
    <row r="1059" customFormat="false" ht="15" hidden="false" customHeight="false" outlineLevel="0" collapsed="false">
      <c r="A1059" s="54" t="s">
        <v>90</v>
      </c>
      <c r="B1059" s="55" t="s">
        <v>488</v>
      </c>
      <c r="C1059" s="56" t="s">
        <v>489</v>
      </c>
      <c r="D1059" s="57" t="s">
        <v>92</v>
      </c>
      <c r="E1059" s="57" t="s">
        <v>415</v>
      </c>
      <c r="F1059" s="55" t="s">
        <v>416</v>
      </c>
      <c r="G1059" s="55" t="s">
        <v>417</v>
      </c>
      <c r="H1059" s="57" t="s">
        <v>211</v>
      </c>
      <c r="I1059" s="58" t="n">
        <f aca="false">'P9-013'!$N$109</f>
        <v>46348</v>
      </c>
      <c r="J1059" s="58" t="n">
        <f aca="false">'P9-013'!$O$109</f>
        <v>46348</v>
      </c>
      <c r="K1059" s="56" t="str">
        <f aca="false">IF(OR(L1059="Y",LEFT('P9-013'!$T$109,1)="D"),"",IF(AND(ISNUMBER(J1059),J1059&lt;ASOF),"⚠ เลยกำหนด",IF(AND(ISNUMBER(I1059),I1059&lt;=ASOF+14,J1059&gt;=ASOF-7),"ช่วงนี้","")))</f>
        <v/>
      </c>
      <c r="L1059" s="59"/>
      <c r="M1059" s="60"/>
    </row>
    <row r="1060" customFormat="false" ht="15" hidden="false" customHeight="false" outlineLevel="0" collapsed="false">
      <c r="A1060" s="54" t="s">
        <v>90</v>
      </c>
      <c r="B1060" s="55" t="s">
        <v>488</v>
      </c>
      <c r="C1060" s="56" t="s">
        <v>489</v>
      </c>
      <c r="D1060" s="57" t="s">
        <v>92</v>
      </c>
      <c r="E1060" s="57" t="s">
        <v>418</v>
      </c>
      <c r="F1060" s="61" t="s">
        <v>419</v>
      </c>
      <c r="G1060" s="55" t="s">
        <v>420</v>
      </c>
      <c r="H1060" s="57" t="s">
        <v>211</v>
      </c>
      <c r="I1060" s="58" t="n">
        <f aca="false">'P9-013'!$N$110</f>
        <v>46347</v>
      </c>
      <c r="J1060" s="58" t="n">
        <f aca="false">'P9-013'!$O$110</f>
        <v>46348</v>
      </c>
      <c r="K1060" s="56" t="str">
        <f aca="false">IF(OR(L1060="Y",LEFT('P9-013'!$T$110,1)="D"),"",IF(AND(ISNUMBER(J1060),J1060&lt;ASOF),"⚠ เลยกำหนด",IF(AND(ISNUMBER(I1060),I1060&lt;=ASOF+14,J1060&gt;=ASOF-7),"ช่วงนี้","")))</f>
        <v/>
      </c>
      <c r="L1060" s="59"/>
      <c r="M1060" s="60"/>
    </row>
    <row r="1061" customFormat="false" ht="15" hidden="false" customHeight="false" outlineLevel="0" collapsed="false">
      <c r="A1061" s="54" t="s">
        <v>90</v>
      </c>
      <c r="B1061" s="55" t="s">
        <v>488</v>
      </c>
      <c r="C1061" s="56" t="s">
        <v>489</v>
      </c>
      <c r="D1061" s="57" t="s">
        <v>92</v>
      </c>
      <c r="E1061" s="57" t="s">
        <v>421</v>
      </c>
      <c r="F1061" s="55" t="s">
        <v>422</v>
      </c>
      <c r="G1061" s="55" t="s">
        <v>423</v>
      </c>
      <c r="H1061" s="56" t="str">
        <f aca="false">IF(COUNTIFS(SITE_ST,"P9-013",SITE_TYPE,"?*")&gt;0,"ตามจุดติดตั้ง →","0/100")</f>
        <v>ตามจุดติดตั้ง →</v>
      </c>
      <c r="I1061" s="58" t="n">
        <f aca="false">'P9-013'!$N$112</f>
        <v>46349</v>
      </c>
      <c r="J1061" s="58" t="n">
        <f aca="false">'P9-013'!$O$112</f>
        <v>46349</v>
      </c>
      <c r="K1061" s="56" t="str">
        <f aca="false">IF(OR(L1061="Y",LEFT('P9-013'!$T$112,1)="D"),"",IF(AND(ISNUMBER(J1061),J1061&lt;ASOF),"⚠ เลยกำหนด",IF(AND(ISNUMBER(I1061),I1061&lt;=ASOF+14,J1061&gt;=ASOF-7),"ช่วงนี้","")))</f>
        <v/>
      </c>
      <c r="L1061" s="59"/>
      <c r="M1061" s="60"/>
    </row>
    <row r="1062" customFormat="false" ht="15" hidden="false" customHeight="false" outlineLevel="0" collapsed="false">
      <c r="A1062" s="54" t="s">
        <v>90</v>
      </c>
      <c r="B1062" s="55" t="s">
        <v>488</v>
      </c>
      <c r="C1062" s="56" t="s">
        <v>489</v>
      </c>
      <c r="D1062" s="57" t="s">
        <v>92</v>
      </c>
      <c r="E1062" s="57" t="s">
        <v>424</v>
      </c>
      <c r="F1062" s="55" t="s">
        <v>425</v>
      </c>
      <c r="G1062" s="55" t="s">
        <v>426</v>
      </c>
      <c r="H1062" s="56" t="str">
        <f aca="false">IF(COUNTIFS(SITE_ST,"P9-013",SITE_TYPE,"?*")&gt;0,"ตามจุดติดตั้ง →","0/100")</f>
        <v>ตามจุดติดตั้ง →</v>
      </c>
      <c r="I1062" s="58" t="n">
        <f aca="false">'P9-013'!$N$113</f>
        <v>46349</v>
      </c>
      <c r="J1062" s="58" t="n">
        <f aca="false">'P9-013'!$O$113</f>
        <v>46349</v>
      </c>
      <c r="K1062" s="56" t="str">
        <f aca="false">IF(OR(L1062="Y",LEFT('P9-013'!$T$113,1)="D"),"",IF(AND(ISNUMBER(J1062),J1062&lt;ASOF),"⚠ เลยกำหนด",IF(AND(ISNUMBER(I1062),I1062&lt;=ASOF+14,J1062&gt;=ASOF-7),"ช่วงนี้","")))</f>
        <v/>
      </c>
      <c r="L1062" s="59"/>
      <c r="M1062" s="60"/>
    </row>
    <row r="1063" customFormat="false" ht="15" hidden="false" customHeight="false" outlineLevel="0" collapsed="false">
      <c r="A1063" s="54" t="s">
        <v>90</v>
      </c>
      <c r="B1063" s="55" t="s">
        <v>488</v>
      </c>
      <c r="C1063" s="56" t="s">
        <v>489</v>
      </c>
      <c r="D1063" s="57" t="s">
        <v>92</v>
      </c>
      <c r="E1063" s="57" t="s">
        <v>427</v>
      </c>
      <c r="F1063" s="61" t="s">
        <v>428</v>
      </c>
      <c r="G1063" s="61" t="s">
        <v>429</v>
      </c>
      <c r="H1063" s="57" t="s">
        <v>211</v>
      </c>
      <c r="I1063" s="58" t="n">
        <f aca="false">'P9-013'!$N$116</f>
        <v>46359</v>
      </c>
      <c r="J1063" s="58" t="n">
        <f aca="false">'P9-013'!$O$116</f>
        <v>46359</v>
      </c>
      <c r="K1063" s="56" t="str">
        <f aca="false">IF(OR(L1063="Y",LEFT('P9-013'!$T$116,1)="D"),"",IF(AND(ISNUMBER(J1063),J1063&lt;ASOF),"⚠ เลยกำหนด",IF(AND(ISNUMBER(I1063),I1063&lt;=ASOF+14,J1063&gt;=ASOF-7),"ช่วงนี้","")))</f>
        <v/>
      </c>
      <c r="L1063" s="59"/>
      <c r="M1063" s="60"/>
    </row>
    <row r="1064" customFormat="false" ht="15" hidden="false" customHeight="false" outlineLevel="0" collapsed="false">
      <c r="A1064" s="54" t="s">
        <v>90</v>
      </c>
      <c r="B1064" s="55" t="s">
        <v>488</v>
      </c>
      <c r="C1064" s="56" t="s">
        <v>489</v>
      </c>
      <c r="D1064" s="57" t="s">
        <v>92</v>
      </c>
      <c r="E1064" s="57" t="s">
        <v>430</v>
      </c>
      <c r="F1064" s="55" t="s">
        <v>431</v>
      </c>
      <c r="G1064" s="55" t="s">
        <v>432</v>
      </c>
      <c r="H1064" s="57" t="s">
        <v>211</v>
      </c>
      <c r="I1064" s="58" t="n">
        <f aca="false">'P9-013'!$N$117</f>
        <v>46359</v>
      </c>
      <c r="J1064" s="58" t="n">
        <f aca="false">'P9-013'!$O$117</f>
        <v>46359</v>
      </c>
      <c r="K1064" s="56" t="str">
        <f aca="false">IF(OR(L1064="Y",LEFT('P9-013'!$T$117,1)="D"),"",IF(AND(ISNUMBER(J1064),J1064&lt;ASOF),"⚠ เลยกำหนด",IF(AND(ISNUMBER(I1064),I1064&lt;=ASOF+14,J1064&gt;=ASOF-7),"ช่วงนี้","")))</f>
        <v/>
      </c>
      <c r="L1064" s="59"/>
      <c r="M1064" s="60"/>
    </row>
    <row r="1065" customFormat="false" ht="15" hidden="false" customHeight="false" outlineLevel="0" collapsed="false">
      <c r="A1065" s="54" t="s">
        <v>90</v>
      </c>
      <c r="B1065" s="55" t="s">
        <v>488</v>
      </c>
      <c r="C1065" s="56" t="s">
        <v>489</v>
      </c>
      <c r="D1065" s="57" t="s">
        <v>92</v>
      </c>
      <c r="E1065" s="57" t="s">
        <v>433</v>
      </c>
      <c r="F1065" s="55" t="s">
        <v>434</v>
      </c>
      <c r="G1065" s="55" t="s">
        <v>435</v>
      </c>
      <c r="H1065" s="57" t="s">
        <v>211</v>
      </c>
      <c r="I1065" s="58" t="n">
        <f aca="false">'P9-013'!$N$118</f>
        <v>46359</v>
      </c>
      <c r="J1065" s="58" t="n">
        <f aca="false">'P9-013'!$O$118</f>
        <v>46359</v>
      </c>
      <c r="K1065" s="56" t="str">
        <f aca="false">IF(OR(L1065="Y",LEFT('P9-013'!$T$118,1)="D"),"",IF(AND(ISNUMBER(J1065),J1065&lt;ASOF),"⚠ เลยกำหนด",IF(AND(ISNUMBER(I1065),I1065&lt;=ASOF+14,J1065&gt;=ASOF-7),"ช่วงนี้","")))</f>
        <v/>
      </c>
      <c r="L1065" s="59"/>
      <c r="M1065" s="60"/>
    </row>
    <row r="1066" customFormat="false" ht="15" hidden="false" customHeight="false" outlineLevel="0" collapsed="false">
      <c r="A1066" s="54" t="s">
        <v>90</v>
      </c>
      <c r="B1066" s="55" t="s">
        <v>488</v>
      </c>
      <c r="C1066" s="56" t="s">
        <v>489</v>
      </c>
      <c r="D1066" s="57" t="s">
        <v>92</v>
      </c>
      <c r="E1066" s="57" t="s">
        <v>436</v>
      </c>
      <c r="F1066" s="55" t="s">
        <v>437</v>
      </c>
      <c r="G1066" s="55" t="s">
        <v>438</v>
      </c>
      <c r="H1066" s="57" t="s">
        <v>211</v>
      </c>
      <c r="I1066" s="58" t="n">
        <f aca="false">'P9-013'!$N$119</f>
        <v>46359</v>
      </c>
      <c r="J1066" s="58" t="n">
        <f aca="false">'P9-013'!$O$119</f>
        <v>46359</v>
      </c>
      <c r="K1066" s="56" t="str">
        <f aca="false">IF(OR(L1066="Y",LEFT('P9-013'!$T$119,1)="D"),"",IF(AND(ISNUMBER(J1066),J1066&lt;ASOF),"⚠ เลยกำหนด",IF(AND(ISNUMBER(I1066),I1066&lt;=ASOF+14,J1066&gt;=ASOF-7),"ช่วงนี้","")))</f>
        <v/>
      </c>
      <c r="L1066" s="59"/>
      <c r="M1066" s="60"/>
    </row>
    <row r="1067" customFormat="false" ht="15" hidden="false" customHeight="false" outlineLevel="0" collapsed="false">
      <c r="A1067" s="54" t="s">
        <v>90</v>
      </c>
      <c r="B1067" s="55" t="s">
        <v>488</v>
      </c>
      <c r="C1067" s="56" t="s">
        <v>489</v>
      </c>
      <c r="D1067" s="57" t="s">
        <v>92</v>
      </c>
      <c r="E1067" s="57" t="s">
        <v>439</v>
      </c>
      <c r="F1067" s="55" t="s">
        <v>440</v>
      </c>
      <c r="G1067" s="55" t="s">
        <v>441</v>
      </c>
      <c r="H1067" s="57" t="s">
        <v>211</v>
      </c>
      <c r="I1067" s="58" t="n">
        <f aca="false">'P9-013'!$N$120</f>
        <v>46359</v>
      </c>
      <c r="J1067" s="58" t="n">
        <f aca="false">'P9-013'!$O$120</f>
        <v>46359</v>
      </c>
      <c r="K1067" s="56" t="str">
        <f aca="false">IF(OR(L1067="Y",LEFT('P9-013'!$T$120,1)="D"),"",IF(AND(ISNUMBER(J1067),J1067&lt;ASOF),"⚠ เลยกำหนด",IF(AND(ISNUMBER(I1067),I1067&lt;=ASOF+14,J1067&gt;=ASOF-7),"ช่วงนี้","")))</f>
        <v/>
      </c>
      <c r="L1067" s="59"/>
      <c r="M1067" s="60"/>
    </row>
    <row r="1068" customFormat="false" ht="15" hidden="false" customHeight="false" outlineLevel="0" collapsed="false">
      <c r="A1068" s="54" t="s">
        <v>90</v>
      </c>
      <c r="B1068" s="55" t="s">
        <v>488</v>
      </c>
      <c r="C1068" s="56" t="s">
        <v>489</v>
      </c>
      <c r="D1068" s="57" t="s">
        <v>92</v>
      </c>
      <c r="E1068" s="57" t="s">
        <v>442</v>
      </c>
      <c r="F1068" s="55" t="s">
        <v>443</v>
      </c>
      <c r="G1068" s="55" t="s">
        <v>444</v>
      </c>
      <c r="H1068" s="57" t="s">
        <v>211</v>
      </c>
      <c r="I1068" s="58" t="n">
        <f aca="false">'P9-013'!$N$121</f>
        <v>46359</v>
      </c>
      <c r="J1068" s="58" t="n">
        <f aca="false">'P9-013'!$O$121</f>
        <v>46359</v>
      </c>
      <c r="K1068" s="56" t="str">
        <f aca="false">IF(OR(L1068="Y",LEFT('P9-013'!$T$121,1)="D"),"",IF(AND(ISNUMBER(J1068),J1068&lt;ASOF),"⚠ เลยกำหนด",IF(AND(ISNUMBER(I1068),I1068&lt;=ASOF+14,J1068&gt;=ASOF-7),"ช่วงนี้","")))</f>
        <v/>
      </c>
      <c r="L1068" s="59"/>
      <c r="M1068" s="60"/>
    </row>
    <row r="1069" customFormat="false" ht="15" hidden="false" customHeight="false" outlineLevel="0" collapsed="false">
      <c r="A1069" s="54" t="s">
        <v>90</v>
      </c>
      <c r="B1069" s="55" t="s">
        <v>488</v>
      </c>
      <c r="C1069" s="56" t="s">
        <v>489</v>
      </c>
      <c r="D1069" s="57" t="s">
        <v>92</v>
      </c>
      <c r="E1069" s="57" t="s">
        <v>445</v>
      </c>
      <c r="F1069" s="55" t="s">
        <v>446</v>
      </c>
      <c r="G1069" s="55" t="s">
        <v>447</v>
      </c>
      <c r="H1069" s="57" t="s">
        <v>211</v>
      </c>
      <c r="I1069" s="58" t="n">
        <f aca="false">'P9-013'!$N$125</f>
        <v>46437</v>
      </c>
      <c r="J1069" s="58" t="n">
        <f aca="false">'P9-013'!$O$125</f>
        <v>46441</v>
      </c>
      <c r="K1069" s="56" t="str">
        <f aca="false">IF(OR(L1069="Y",LEFT('P9-013'!$T$125,1)="D"),"",IF(AND(ISNUMBER(J1069),J1069&lt;ASOF),"⚠ เลยกำหนด",IF(AND(ISNUMBER(I1069),I1069&lt;=ASOF+14,J1069&gt;=ASOF-7),"ช่วงนี้","")))</f>
        <v/>
      </c>
      <c r="L1069" s="59"/>
      <c r="M1069" s="60"/>
    </row>
    <row r="1070" customFormat="false" ht="15" hidden="false" customHeight="false" outlineLevel="0" collapsed="false">
      <c r="A1070" s="54" t="s">
        <v>90</v>
      </c>
      <c r="B1070" s="55" t="s">
        <v>488</v>
      </c>
      <c r="C1070" s="56" t="s">
        <v>489</v>
      </c>
      <c r="D1070" s="57" t="s">
        <v>92</v>
      </c>
      <c r="E1070" s="57" t="s">
        <v>448</v>
      </c>
      <c r="F1070" s="55" t="s">
        <v>449</v>
      </c>
      <c r="G1070" s="61" t="s">
        <v>450</v>
      </c>
      <c r="H1070" s="57" t="s">
        <v>211</v>
      </c>
      <c r="I1070" s="58" t="n">
        <f aca="false">'P9-013'!$N$126</f>
        <v>46440</v>
      </c>
      <c r="J1070" s="58" t="n">
        <f aca="false">'P9-013'!$O$126</f>
        <v>46447</v>
      </c>
      <c r="K1070" s="56" t="str">
        <f aca="false">IF(OR(L1070="Y",LEFT('P9-013'!$T$126,1)="D"),"",IF(AND(ISNUMBER(J1070),J1070&lt;ASOF),"⚠ เลยกำหนด",IF(AND(ISNUMBER(I1070),I1070&lt;=ASOF+14,J1070&gt;=ASOF-7),"ช่วงนี้","")))</f>
        <v/>
      </c>
      <c r="L1070" s="59"/>
      <c r="M1070" s="60"/>
    </row>
    <row r="1071" customFormat="false" ht="15" hidden="false" customHeight="false" outlineLevel="0" collapsed="false">
      <c r="A1071" s="54" t="s">
        <v>90</v>
      </c>
      <c r="B1071" s="55" t="s">
        <v>488</v>
      </c>
      <c r="C1071" s="56" t="s">
        <v>489</v>
      </c>
      <c r="D1071" s="57" t="s">
        <v>92</v>
      </c>
      <c r="E1071" s="57" t="s">
        <v>451</v>
      </c>
      <c r="F1071" s="61" t="s">
        <v>452</v>
      </c>
      <c r="G1071" s="61" t="s">
        <v>453</v>
      </c>
      <c r="H1071" s="57" t="s">
        <v>211</v>
      </c>
      <c r="I1071" s="58" t="n">
        <f aca="false">'P9-013'!$N$127</f>
        <v>46447</v>
      </c>
      <c r="J1071" s="58" t="n">
        <f aca="false">'P9-013'!$O$127</f>
        <v>46450</v>
      </c>
      <c r="K1071" s="56" t="str">
        <f aca="false">IF(OR(L1071="Y",LEFT('P9-013'!$T$127,1)="D"),"",IF(AND(ISNUMBER(J1071),J1071&lt;ASOF),"⚠ เลยกำหนด",IF(AND(ISNUMBER(I1071),I1071&lt;=ASOF+14,J1071&gt;=ASOF-7),"ช่วงนี้","")))</f>
        <v/>
      </c>
      <c r="L1071" s="59"/>
      <c r="M1071" s="60"/>
    </row>
    <row r="1072" customFormat="false" ht="15" hidden="false" customHeight="false" outlineLevel="0" collapsed="false">
      <c r="A1072" s="54" t="s">
        <v>94</v>
      </c>
      <c r="B1072" s="55" t="s">
        <v>490</v>
      </c>
      <c r="C1072" s="56" t="s">
        <v>491</v>
      </c>
      <c r="D1072" s="57" t="s">
        <v>96</v>
      </c>
      <c r="E1072" s="57" t="s">
        <v>208</v>
      </c>
      <c r="F1072" s="55" t="s">
        <v>209</v>
      </c>
      <c r="G1072" s="55" t="s">
        <v>210</v>
      </c>
      <c r="H1072" s="57" t="s">
        <v>211</v>
      </c>
      <c r="I1072" s="58" t="n">
        <f aca="false">'P9-014'!$N$10</f>
        <v>46328</v>
      </c>
      <c r="J1072" s="58" t="n">
        <f aca="false">'P9-014'!$O$10</f>
        <v>46340</v>
      </c>
      <c r="K1072" s="56" t="str">
        <f aca="false">IF(OR(L1072="Y",LEFT('P9-014'!$T$10,1)="D"),"",IF(AND(ISNUMBER(J1072),J1072&lt;ASOF),"⚠ เลยกำหนด",IF(AND(ISNUMBER(I1072),I1072&lt;=ASOF+14,J1072&gt;=ASOF-7),"ช่วงนี้","")))</f>
        <v>ช่วงนี้</v>
      </c>
      <c r="L1072" s="59"/>
      <c r="M1072" s="60"/>
    </row>
    <row r="1073" customFormat="false" ht="15" hidden="false" customHeight="false" outlineLevel="0" collapsed="false">
      <c r="A1073" s="54" t="s">
        <v>94</v>
      </c>
      <c r="B1073" s="55" t="s">
        <v>490</v>
      </c>
      <c r="C1073" s="56" t="s">
        <v>491</v>
      </c>
      <c r="D1073" s="57" t="s">
        <v>96</v>
      </c>
      <c r="E1073" s="57" t="s">
        <v>212</v>
      </c>
      <c r="F1073" s="55" t="s">
        <v>213</v>
      </c>
      <c r="G1073" s="55" t="s">
        <v>214</v>
      </c>
      <c r="H1073" s="57" t="s">
        <v>211</v>
      </c>
      <c r="I1073" s="58" t="n">
        <f aca="false">'P9-014'!$N$11</f>
        <v>46328</v>
      </c>
      <c r="J1073" s="58" t="n">
        <f aca="false">'P9-014'!$O$11</f>
        <v>46340</v>
      </c>
      <c r="K1073" s="56" t="str">
        <f aca="false">IF(OR(L1073="Y",LEFT('P9-014'!$T$11,1)="D"),"",IF(AND(ISNUMBER(J1073),J1073&lt;ASOF),"⚠ เลยกำหนด",IF(AND(ISNUMBER(I1073),I1073&lt;=ASOF+14,J1073&gt;=ASOF-7),"ช่วงนี้","")))</f>
        <v>ช่วงนี้</v>
      </c>
      <c r="L1073" s="59"/>
      <c r="M1073" s="60"/>
    </row>
    <row r="1074" customFormat="false" ht="15" hidden="false" customHeight="false" outlineLevel="0" collapsed="false">
      <c r="A1074" s="54" t="s">
        <v>94</v>
      </c>
      <c r="B1074" s="55" t="s">
        <v>490</v>
      </c>
      <c r="C1074" s="56" t="s">
        <v>491</v>
      </c>
      <c r="D1074" s="57" t="s">
        <v>96</v>
      </c>
      <c r="E1074" s="57" t="s">
        <v>215</v>
      </c>
      <c r="F1074" s="55" t="s">
        <v>216</v>
      </c>
      <c r="G1074" s="61" t="s">
        <v>217</v>
      </c>
      <c r="H1074" s="57" t="s">
        <v>211</v>
      </c>
      <c r="I1074" s="58" t="n">
        <f aca="false">'P9-014'!$N$12</f>
        <v>46328</v>
      </c>
      <c r="J1074" s="58" t="n">
        <f aca="false">'P9-014'!$O$12</f>
        <v>46340</v>
      </c>
      <c r="K1074" s="56" t="str">
        <f aca="false">IF(OR(L1074="Y",LEFT('P9-014'!$T$12,1)="D"),"",IF(AND(ISNUMBER(J1074),J1074&lt;ASOF),"⚠ เลยกำหนด",IF(AND(ISNUMBER(I1074),I1074&lt;=ASOF+14,J1074&gt;=ASOF-7),"ช่วงนี้","")))</f>
        <v>ช่วงนี้</v>
      </c>
      <c r="L1074" s="59"/>
      <c r="M1074" s="60"/>
    </row>
    <row r="1075" customFormat="false" ht="15" hidden="false" customHeight="false" outlineLevel="0" collapsed="false">
      <c r="A1075" s="54" t="s">
        <v>94</v>
      </c>
      <c r="B1075" s="55" t="s">
        <v>490</v>
      </c>
      <c r="C1075" s="56" t="s">
        <v>491</v>
      </c>
      <c r="D1075" s="57" t="s">
        <v>96</v>
      </c>
      <c r="E1075" s="57" t="s">
        <v>218</v>
      </c>
      <c r="F1075" s="55" t="s">
        <v>219</v>
      </c>
      <c r="G1075" s="55" t="s">
        <v>220</v>
      </c>
      <c r="H1075" s="57" t="s">
        <v>211</v>
      </c>
      <c r="I1075" s="58" t="n">
        <f aca="false">'P9-014'!$N$13</f>
        <v>46328</v>
      </c>
      <c r="J1075" s="58" t="n">
        <f aca="false">'P9-014'!$O$13</f>
        <v>46346</v>
      </c>
      <c r="K1075" s="56" t="str">
        <f aca="false">IF(OR(L1075="Y",LEFT('P9-014'!$T$13,1)="D"),"",IF(AND(ISNUMBER(J1075),J1075&lt;ASOF),"⚠ เลยกำหนด",IF(AND(ISNUMBER(I1075),I1075&lt;=ASOF+14,J1075&gt;=ASOF-7),"ช่วงนี้","")))</f>
        <v>ช่วงนี้</v>
      </c>
      <c r="L1075" s="59"/>
      <c r="M1075" s="60"/>
    </row>
    <row r="1076" customFormat="false" ht="15" hidden="false" customHeight="false" outlineLevel="0" collapsed="false">
      <c r="A1076" s="54" t="s">
        <v>94</v>
      </c>
      <c r="B1076" s="55" t="s">
        <v>490</v>
      </c>
      <c r="C1076" s="56" t="s">
        <v>491</v>
      </c>
      <c r="D1076" s="57" t="s">
        <v>96</v>
      </c>
      <c r="E1076" s="57" t="s">
        <v>221</v>
      </c>
      <c r="F1076" s="55" t="s">
        <v>222</v>
      </c>
      <c r="G1076" s="55" t="s">
        <v>223</v>
      </c>
      <c r="H1076" s="57" t="s">
        <v>211</v>
      </c>
      <c r="I1076" s="58" t="n">
        <f aca="false">'P9-014'!$N$14</f>
        <v>46340</v>
      </c>
      <c r="J1076" s="58" t="n">
        <f aca="false">'P9-014'!$O$14</f>
        <v>46450</v>
      </c>
      <c r="K1076" s="56" t="str">
        <f aca="false">IF(OR(L1076="Y",LEFT('P9-014'!$T$14,1)="D"),"",IF(AND(ISNUMBER(J1076),J1076&lt;ASOF),"⚠ เลยกำหนด",IF(AND(ISNUMBER(I1076),I1076&lt;=ASOF+14,J1076&gt;=ASOF-7),"ช่วงนี้","")))</f>
        <v>ช่วงนี้</v>
      </c>
      <c r="L1076" s="59"/>
      <c r="M1076" s="60"/>
    </row>
    <row r="1077" customFormat="false" ht="15" hidden="false" customHeight="false" outlineLevel="0" collapsed="false">
      <c r="A1077" s="54" t="s">
        <v>94</v>
      </c>
      <c r="B1077" s="55" t="s">
        <v>490</v>
      </c>
      <c r="C1077" s="56" t="s">
        <v>491</v>
      </c>
      <c r="D1077" s="57" t="s">
        <v>96</v>
      </c>
      <c r="E1077" s="57" t="s">
        <v>224</v>
      </c>
      <c r="F1077" s="55" t="s">
        <v>225</v>
      </c>
      <c r="G1077" s="61" t="s">
        <v>226</v>
      </c>
      <c r="H1077" s="57" t="s">
        <v>211</v>
      </c>
      <c r="I1077" s="58" t="n">
        <f aca="false">'P9-014'!$N$15</f>
        <v>46340</v>
      </c>
      <c r="J1077" s="58" t="n">
        <f aca="false">'P9-014'!$O$15</f>
        <v>46450</v>
      </c>
      <c r="K1077" s="56" t="str">
        <f aca="false">IF(OR(L1077="Y",LEFT('P9-014'!$T$15,1)="D"),"",IF(AND(ISNUMBER(J1077),J1077&lt;ASOF),"⚠ เลยกำหนด",IF(AND(ISNUMBER(I1077),I1077&lt;=ASOF+14,J1077&gt;=ASOF-7),"ช่วงนี้","")))</f>
        <v>ช่วงนี้</v>
      </c>
      <c r="L1077" s="59"/>
      <c r="M1077" s="60"/>
    </row>
    <row r="1078" customFormat="false" ht="15" hidden="false" customHeight="false" outlineLevel="0" collapsed="false">
      <c r="A1078" s="54" t="s">
        <v>94</v>
      </c>
      <c r="B1078" s="55" t="s">
        <v>490</v>
      </c>
      <c r="C1078" s="56" t="s">
        <v>491</v>
      </c>
      <c r="D1078" s="57" t="s">
        <v>96</v>
      </c>
      <c r="E1078" s="57" t="s">
        <v>227</v>
      </c>
      <c r="F1078" s="55" t="s">
        <v>228</v>
      </c>
      <c r="G1078" s="55" t="s">
        <v>229</v>
      </c>
      <c r="H1078" s="57" t="s">
        <v>211</v>
      </c>
      <c r="I1078" s="58" t="n">
        <f aca="false">'P9-014'!$N$17</f>
        <v>46328</v>
      </c>
      <c r="J1078" s="58" t="n">
        <f aca="false">'P9-014'!$O$17</f>
        <v>46328</v>
      </c>
      <c r="K1078" s="56" t="str">
        <f aca="false">IF(OR(L1078="Y",LEFT('P9-014'!$T$17,1)="D"),"",IF(AND(ISNUMBER(J1078),J1078&lt;ASOF),"⚠ เลยกำหนด",IF(AND(ISNUMBER(I1078),I1078&lt;=ASOF+14,J1078&gt;=ASOF-7),"ช่วงนี้","")))</f>
        <v>ช่วงนี้</v>
      </c>
      <c r="L1078" s="59"/>
      <c r="M1078" s="60"/>
    </row>
    <row r="1079" customFormat="false" ht="15" hidden="false" customHeight="false" outlineLevel="0" collapsed="false">
      <c r="A1079" s="54" t="s">
        <v>94</v>
      </c>
      <c r="B1079" s="55" t="s">
        <v>490</v>
      </c>
      <c r="C1079" s="56" t="s">
        <v>491</v>
      </c>
      <c r="D1079" s="57" t="s">
        <v>96</v>
      </c>
      <c r="E1079" s="57" t="s">
        <v>230</v>
      </c>
      <c r="F1079" s="55" t="s">
        <v>231</v>
      </c>
      <c r="G1079" s="55" t="s">
        <v>232</v>
      </c>
      <c r="H1079" s="57" t="s">
        <v>211</v>
      </c>
      <c r="I1079" s="58" t="n">
        <f aca="false">'P9-014'!$N$18</f>
        <v>46328</v>
      </c>
      <c r="J1079" s="58" t="n">
        <f aca="false">'P9-014'!$O$18</f>
        <v>46328</v>
      </c>
      <c r="K1079" s="56" t="str">
        <f aca="false">IF(OR(L1079="Y",LEFT('P9-014'!$T$18,1)="D"),"",IF(AND(ISNUMBER(J1079),J1079&lt;ASOF),"⚠ เลยกำหนด",IF(AND(ISNUMBER(I1079),I1079&lt;=ASOF+14,J1079&gt;=ASOF-7),"ช่วงนี้","")))</f>
        <v>ช่วงนี้</v>
      </c>
      <c r="L1079" s="59"/>
      <c r="M1079" s="60"/>
    </row>
    <row r="1080" customFormat="false" ht="15" hidden="false" customHeight="false" outlineLevel="0" collapsed="false">
      <c r="A1080" s="54" t="s">
        <v>94</v>
      </c>
      <c r="B1080" s="55" t="s">
        <v>490</v>
      </c>
      <c r="C1080" s="56" t="s">
        <v>491</v>
      </c>
      <c r="D1080" s="57" t="s">
        <v>96</v>
      </c>
      <c r="E1080" s="57" t="s">
        <v>233</v>
      </c>
      <c r="F1080" s="55" t="s">
        <v>234</v>
      </c>
      <c r="G1080" s="55" t="s">
        <v>235</v>
      </c>
      <c r="H1080" s="57" t="s">
        <v>211</v>
      </c>
      <c r="I1080" s="58" t="n">
        <f aca="false">'P9-014'!$N$19</f>
        <v>46328</v>
      </c>
      <c r="J1080" s="58" t="n">
        <f aca="false">'P9-014'!$O$19</f>
        <v>46328</v>
      </c>
      <c r="K1080" s="56" t="str">
        <f aca="false">IF(OR(L1080="Y",LEFT('P9-014'!$T$19,1)="D"),"",IF(AND(ISNUMBER(J1080),J1080&lt;ASOF),"⚠ เลยกำหนด",IF(AND(ISNUMBER(I1080),I1080&lt;=ASOF+14,J1080&gt;=ASOF-7),"ช่วงนี้","")))</f>
        <v>ช่วงนี้</v>
      </c>
      <c r="L1080" s="59"/>
      <c r="M1080" s="60"/>
    </row>
    <row r="1081" customFormat="false" ht="15" hidden="false" customHeight="false" outlineLevel="0" collapsed="false">
      <c r="A1081" s="54" t="s">
        <v>94</v>
      </c>
      <c r="B1081" s="55" t="s">
        <v>490</v>
      </c>
      <c r="C1081" s="56" t="s">
        <v>491</v>
      </c>
      <c r="D1081" s="57" t="s">
        <v>96</v>
      </c>
      <c r="E1081" s="57" t="s">
        <v>236</v>
      </c>
      <c r="F1081" s="55" t="s">
        <v>237</v>
      </c>
      <c r="G1081" s="55" t="s">
        <v>238</v>
      </c>
      <c r="H1081" s="57" t="s">
        <v>211</v>
      </c>
      <c r="I1081" s="58" t="n">
        <f aca="false">'P9-014'!$N$20</f>
        <v>46328</v>
      </c>
      <c r="J1081" s="58" t="n">
        <f aca="false">'P9-014'!$O$20</f>
        <v>46328</v>
      </c>
      <c r="K1081" s="56" t="str">
        <f aca="false">IF(OR(L1081="Y",LEFT('P9-014'!$T$20,1)="D"),"",IF(AND(ISNUMBER(J1081),J1081&lt;ASOF),"⚠ เลยกำหนด",IF(AND(ISNUMBER(I1081),I1081&lt;=ASOF+14,J1081&gt;=ASOF-7),"ช่วงนี้","")))</f>
        <v>ช่วงนี้</v>
      </c>
      <c r="L1081" s="59"/>
      <c r="M1081" s="60"/>
    </row>
    <row r="1082" customFormat="false" ht="15" hidden="false" customHeight="false" outlineLevel="0" collapsed="false">
      <c r="A1082" s="54" t="s">
        <v>94</v>
      </c>
      <c r="B1082" s="55" t="s">
        <v>490</v>
      </c>
      <c r="C1082" s="56" t="s">
        <v>491</v>
      </c>
      <c r="D1082" s="57" t="s">
        <v>96</v>
      </c>
      <c r="E1082" s="57" t="s">
        <v>239</v>
      </c>
      <c r="F1082" s="55" t="s">
        <v>240</v>
      </c>
      <c r="G1082" s="55" t="s">
        <v>241</v>
      </c>
      <c r="H1082" s="57" t="s">
        <v>211</v>
      </c>
      <c r="I1082" s="58" t="n">
        <f aca="false">'P9-014'!$N$21</f>
        <v>46328</v>
      </c>
      <c r="J1082" s="58" t="n">
        <f aca="false">'P9-014'!$O$21</f>
        <v>46328</v>
      </c>
      <c r="K1082" s="56" t="str">
        <f aca="false">IF(OR(L1082="Y",LEFT('P9-014'!$T$21,1)="D"),"",IF(AND(ISNUMBER(J1082),J1082&lt;ASOF),"⚠ เลยกำหนด",IF(AND(ISNUMBER(I1082),I1082&lt;=ASOF+14,J1082&gt;=ASOF-7),"ช่วงนี้","")))</f>
        <v>ช่วงนี้</v>
      </c>
      <c r="L1082" s="59"/>
      <c r="M1082" s="60"/>
    </row>
    <row r="1083" customFormat="false" ht="15" hidden="false" customHeight="false" outlineLevel="0" collapsed="false">
      <c r="A1083" s="54" t="s">
        <v>94</v>
      </c>
      <c r="B1083" s="55" t="s">
        <v>490</v>
      </c>
      <c r="C1083" s="56" t="s">
        <v>491</v>
      </c>
      <c r="D1083" s="57" t="s">
        <v>96</v>
      </c>
      <c r="E1083" s="57" t="s">
        <v>242</v>
      </c>
      <c r="F1083" s="55" t="s">
        <v>243</v>
      </c>
      <c r="G1083" s="55" t="s">
        <v>244</v>
      </c>
      <c r="H1083" s="57" t="s">
        <v>211</v>
      </c>
      <c r="I1083" s="58" t="n">
        <f aca="false">'P9-014'!$N$22</f>
        <v>46328</v>
      </c>
      <c r="J1083" s="58" t="n">
        <f aca="false">'P9-014'!$O$22</f>
        <v>46328</v>
      </c>
      <c r="K1083" s="56" t="str">
        <f aca="false">IF(OR(L1083="Y",LEFT('P9-014'!$T$22,1)="D"),"",IF(AND(ISNUMBER(J1083),J1083&lt;ASOF),"⚠ เลยกำหนด",IF(AND(ISNUMBER(I1083),I1083&lt;=ASOF+14,J1083&gt;=ASOF-7),"ช่วงนี้","")))</f>
        <v>ช่วงนี้</v>
      </c>
      <c r="L1083" s="59"/>
      <c r="M1083" s="60"/>
    </row>
    <row r="1084" customFormat="false" ht="15" hidden="false" customHeight="false" outlineLevel="0" collapsed="false">
      <c r="A1084" s="54" t="s">
        <v>94</v>
      </c>
      <c r="B1084" s="55" t="s">
        <v>490</v>
      </c>
      <c r="C1084" s="56" t="s">
        <v>491</v>
      </c>
      <c r="D1084" s="57" t="s">
        <v>96</v>
      </c>
      <c r="E1084" s="57" t="s">
        <v>245</v>
      </c>
      <c r="F1084" s="55" t="s">
        <v>246</v>
      </c>
      <c r="G1084" s="55" t="s">
        <v>247</v>
      </c>
      <c r="H1084" s="57" t="s">
        <v>211</v>
      </c>
      <c r="I1084" s="58" t="n">
        <f aca="false">'P9-014'!$N$23</f>
        <v>46328</v>
      </c>
      <c r="J1084" s="58" t="n">
        <f aca="false">'P9-014'!$O$23</f>
        <v>46328</v>
      </c>
      <c r="K1084" s="56" t="str">
        <f aca="false">IF(OR(L1084="Y",LEFT('P9-014'!$T$23,1)="D"),"",IF(AND(ISNUMBER(J1084),J1084&lt;ASOF),"⚠ เลยกำหนด",IF(AND(ISNUMBER(I1084),I1084&lt;=ASOF+14,J1084&gt;=ASOF-7),"ช่วงนี้","")))</f>
        <v>ช่วงนี้</v>
      </c>
      <c r="L1084" s="59"/>
      <c r="M1084" s="60"/>
    </row>
    <row r="1085" customFormat="false" ht="15" hidden="false" customHeight="false" outlineLevel="0" collapsed="false">
      <c r="A1085" s="54" t="s">
        <v>94</v>
      </c>
      <c r="B1085" s="55" t="s">
        <v>490</v>
      </c>
      <c r="C1085" s="56" t="s">
        <v>491</v>
      </c>
      <c r="D1085" s="57" t="s">
        <v>96</v>
      </c>
      <c r="E1085" s="57" t="s">
        <v>248</v>
      </c>
      <c r="F1085" s="55" t="s">
        <v>249</v>
      </c>
      <c r="G1085" s="55" t="s">
        <v>250</v>
      </c>
      <c r="H1085" s="57" t="s">
        <v>211</v>
      </c>
      <c r="I1085" s="58" t="n">
        <f aca="false">'P9-014'!$N$24</f>
        <v>46328</v>
      </c>
      <c r="J1085" s="58" t="n">
        <f aca="false">'P9-014'!$O$24</f>
        <v>46328</v>
      </c>
      <c r="K1085" s="56" t="str">
        <f aca="false">IF(OR(L1085="Y",LEFT('P9-014'!$T$24,1)="D"),"",IF(AND(ISNUMBER(J1085),J1085&lt;ASOF),"⚠ เลยกำหนด",IF(AND(ISNUMBER(I1085),I1085&lt;=ASOF+14,J1085&gt;=ASOF-7),"ช่วงนี้","")))</f>
        <v>ช่วงนี้</v>
      </c>
      <c r="L1085" s="59"/>
      <c r="M1085" s="60"/>
    </row>
    <row r="1086" customFormat="false" ht="15" hidden="false" customHeight="false" outlineLevel="0" collapsed="false">
      <c r="A1086" s="54" t="s">
        <v>94</v>
      </c>
      <c r="B1086" s="55" t="s">
        <v>490</v>
      </c>
      <c r="C1086" s="56" t="s">
        <v>491</v>
      </c>
      <c r="D1086" s="57" t="s">
        <v>96</v>
      </c>
      <c r="E1086" s="57" t="s">
        <v>251</v>
      </c>
      <c r="F1086" s="55" t="s">
        <v>252</v>
      </c>
      <c r="G1086" s="55" t="s">
        <v>253</v>
      </c>
      <c r="H1086" s="57" t="s">
        <v>211</v>
      </c>
      <c r="I1086" s="58" t="n">
        <f aca="false">'P9-014'!$N$26</f>
        <v>46329</v>
      </c>
      <c r="J1086" s="58" t="n">
        <f aca="false">'P9-014'!$O$26</f>
        <v>46329</v>
      </c>
      <c r="K1086" s="56" t="str">
        <f aca="false">IF(OR(L1086="Y",LEFT('P9-014'!$T$26,1)="D"),"",IF(AND(ISNUMBER(J1086),J1086&lt;ASOF),"⚠ เลยกำหนด",IF(AND(ISNUMBER(I1086),I1086&lt;=ASOF+14,J1086&gt;=ASOF-7),"ช่วงนี้","")))</f>
        <v>ช่วงนี้</v>
      </c>
      <c r="L1086" s="59"/>
      <c r="M1086" s="60"/>
    </row>
    <row r="1087" customFormat="false" ht="15" hidden="false" customHeight="false" outlineLevel="0" collapsed="false">
      <c r="A1087" s="54" t="s">
        <v>94</v>
      </c>
      <c r="B1087" s="55" t="s">
        <v>490</v>
      </c>
      <c r="C1087" s="56" t="s">
        <v>491</v>
      </c>
      <c r="D1087" s="57" t="s">
        <v>96</v>
      </c>
      <c r="E1087" s="57" t="s">
        <v>254</v>
      </c>
      <c r="F1087" s="55" t="s">
        <v>255</v>
      </c>
      <c r="G1087" s="55" t="s">
        <v>256</v>
      </c>
      <c r="H1087" s="57" t="s">
        <v>211</v>
      </c>
      <c r="I1087" s="58" t="n">
        <f aca="false">'P9-014'!$N$27</f>
        <v>46329</v>
      </c>
      <c r="J1087" s="58" t="n">
        <f aca="false">'P9-014'!$O$27</f>
        <v>46329</v>
      </c>
      <c r="K1087" s="56" t="str">
        <f aca="false">IF(OR(L1087="Y",LEFT('P9-014'!$T$27,1)="D"),"",IF(AND(ISNUMBER(J1087),J1087&lt;ASOF),"⚠ เลยกำหนด",IF(AND(ISNUMBER(I1087),I1087&lt;=ASOF+14,J1087&gt;=ASOF-7),"ช่วงนี้","")))</f>
        <v>ช่วงนี้</v>
      </c>
      <c r="L1087" s="59"/>
      <c r="M1087" s="60"/>
    </row>
    <row r="1088" customFormat="false" ht="15" hidden="false" customHeight="false" outlineLevel="0" collapsed="false">
      <c r="A1088" s="54" t="s">
        <v>94</v>
      </c>
      <c r="B1088" s="55" t="s">
        <v>490</v>
      </c>
      <c r="C1088" s="56" t="s">
        <v>491</v>
      </c>
      <c r="D1088" s="57" t="s">
        <v>96</v>
      </c>
      <c r="E1088" s="57" t="s">
        <v>257</v>
      </c>
      <c r="F1088" s="55" t="s">
        <v>258</v>
      </c>
      <c r="G1088" s="55" t="s">
        <v>259</v>
      </c>
      <c r="H1088" s="57" t="s">
        <v>211</v>
      </c>
      <c r="I1088" s="58" t="n">
        <f aca="false">'P9-014'!$N$28</f>
        <v>46329</v>
      </c>
      <c r="J1088" s="58" t="n">
        <f aca="false">'P9-014'!$O$28</f>
        <v>46329</v>
      </c>
      <c r="K1088" s="56" t="str">
        <f aca="false">IF(OR(L1088="Y",LEFT('P9-014'!$T$28,1)="D"),"",IF(AND(ISNUMBER(J1088),J1088&lt;ASOF),"⚠ เลยกำหนด",IF(AND(ISNUMBER(I1088),I1088&lt;=ASOF+14,J1088&gt;=ASOF-7),"ช่วงนี้","")))</f>
        <v>ช่วงนี้</v>
      </c>
      <c r="L1088" s="59"/>
      <c r="M1088" s="60"/>
    </row>
    <row r="1089" customFormat="false" ht="15" hidden="false" customHeight="false" outlineLevel="0" collapsed="false">
      <c r="A1089" s="54" t="s">
        <v>94</v>
      </c>
      <c r="B1089" s="55" t="s">
        <v>490</v>
      </c>
      <c r="C1089" s="56" t="s">
        <v>491</v>
      </c>
      <c r="D1089" s="57" t="s">
        <v>96</v>
      </c>
      <c r="E1089" s="57" t="s">
        <v>260</v>
      </c>
      <c r="F1089" s="55" t="s">
        <v>261</v>
      </c>
      <c r="G1089" s="55" t="s">
        <v>262</v>
      </c>
      <c r="H1089" s="57" t="s">
        <v>211</v>
      </c>
      <c r="I1089" s="58" t="n">
        <f aca="false">'P9-014'!$N$31</f>
        <v>46328</v>
      </c>
      <c r="J1089" s="58" t="n">
        <f aca="false">'P9-014'!$O$31</f>
        <v>46328</v>
      </c>
      <c r="K1089" s="56" t="str">
        <f aca="false">IF(OR(L1089="Y",LEFT('P9-014'!$T$31,1)="D"),"",IF(AND(ISNUMBER(J1089),J1089&lt;ASOF),"⚠ เลยกำหนด",IF(AND(ISNUMBER(I1089),I1089&lt;=ASOF+14,J1089&gt;=ASOF-7),"ช่วงนี้","")))</f>
        <v>ช่วงนี้</v>
      </c>
      <c r="L1089" s="59"/>
      <c r="M1089" s="60"/>
    </row>
    <row r="1090" customFormat="false" ht="15" hidden="false" customHeight="false" outlineLevel="0" collapsed="false">
      <c r="A1090" s="54" t="s">
        <v>94</v>
      </c>
      <c r="B1090" s="55" t="s">
        <v>490</v>
      </c>
      <c r="C1090" s="56" t="s">
        <v>491</v>
      </c>
      <c r="D1090" s="57" t="s">
        <v>96</v>
      </c>
      <c r="E1090" s="57" t="s">
        <v>263</v>
      </c>
      <c r="F1090" s="55" t="s">
        <v>264</v>
      </c>
      <c r="G1090" s="55" t="s">
        <v>265</v>
      </c>
      <c r="H1090" s="57" t="s">
        <v>211</v>
      </c>
      <c r="I1090" s="58" t="n">
        <f aca="false">'P9-014'!$N$32</f>
        <v>46328</v>
      </c>
      <c r="J1090" s="58" t="n">
        <f aca="false">'P9-014'!$O$32</f>
        <v>46328</v>
      </c>
      <c r="K1090" s="56" t="str">
        <f aca="false">IF(OR(L1090="Y",LEFT('P9-014'!$T$32,1)="D"),"",IF(AND(ISNUMBER(J1090),J1090&lt;ASOF),"⚠ เลยกำหนด",IF(AND(ISNUMBER(I1090),I1090&lt;=ASOF+14,J1090&gt;=ASOF-7),"ช่วงนี้","")))</f>
        <v>ช่วงนี้</v>
      </c>
      <c r="L1090" s="59"/>
      <c r="M1090" s="60"/>
    </row>
    <row r="1091" customFormat="false" ht="15" hidden="false" customHeight="false" outlineLevel="0" collapsed="false">
      <c r="A1091" s="54" t="s">
        <v>94</v>
      </c>
      <c r="B1091" s="55" t="s">
        <v>490</v>
      </c>
      <c r="C1091" s="56" t="s">
        <v>491</v>
      </c>
      <c r="D1091" s="57" t="s">
        <v>96</v>
      </c>
      <c r="E1091" s="57" t="s">
        <v>266</v>
      </c>
      <c r="F1091" s="55" t="s">
        <v>267</v>
      </c>
      <c r="G1091" s="55" t="s">
        <v>268</v>
      </c>
      <c r="H1091" s="57" t="s">
        <v>211</v>
      </c>
      <c r="I1091" s="58" t="n">
        <f aca="false">'P9-014'!$N$33</f>
        <v>46328</v>
      </c>
      <c r="J1091" s="58" t="n">
        <f aca="false">'P9-014'!$O$33</f>
        <v>46328</v>
      </c>
      <c r="K1091" s="56" t="str">
        <f aca="false">IF(OR(L1091="Y",LEFT('P9-014'!$T$33,1)="D"),"",IF(AND(ISNUMBER(J1091),J1091&lt;ASOF),"⚠ เลยกำหนด",IF(AND(ISNUMBER(I1091),I1091&lt;=ASOF+14,J1091&gt;=ASOF-7),"ช่วงนี้","")))</f>
        <v>ช่วงนี้</v>
      </c>
      <c r="L1091" s="59"/>
      <c r="M1091" s="60"/>
    </row>
    <row r="1092" customFormat="false" ht="15" hidden="false" customHeight="false" outlineLevel="0" collapsed="false">
      <c r="A1092" s="54" t="s">
        <v>94</v>
      </c>
      <c r="B1092" s="55" t="s">
        <v>490</v>
      </c>
      <c r="C1092" s="56" t="s">
        <v>491</v>
      </c>
      <c r="D1092" s="57" t="s">
        <v>96</v>
      </c>
      <c r="E1092" s="57" t="s">
        <v>269</v>
      </c>
      <c r="F1092" s="61" t="s">
        <v>270</v>
      </c>
      <c r="G1092" s="61" t="s">
        <v>271</v>
      </c>
      <c r="H1092" s="57" t="s">
        <v>211</v>
      </c>
      <c r="I1092" s="58" t="n">
        <f aca="false">'P9-014'!$N$35</f>
        <v>46328</v>
      </c>
      <c r="J1092" s="58" t="n">
        <f aca="false">'P9-014'!$O$35</f>
        <v>46328</v>
      </c>
      <c r="K1092" s="56" t="str">
        <f aca="false">IF(OR(L1092="Y",LEFT('P9-014'!$T$35,1)="D"),"",IF(AND(ISNUMBER(J1092),J1092&lt;ASOF),"⚠ เลยกำหนด",IF(AND(ISNUMBER(I1092),I1092&lt;=ASOF+14,J1092&gt;=ASOF-7),"ช่วงนี้","")))</f>
        <v>ช่วงนี้</v>
      </c>
      <c r="L1092" s="59"/>
      <c r="M1092" s="60"/>
    </row>
    <row r="1093" customFormat="false" ht="15" hidden="false" customHeight="false" outlineLevel="0" collapsed="false">
      <c r="A1093" s="54" t="s">
        <v>94</v>
      </c>
      <c r="B1093" s="55" t="s">
        <v>490</v>
      </c>
      <c r="C1093" s="56" t="s">
        <v>491</v>
      </c>
      <c r="D1093" s="57" t="s">
        <v>96</v>
      </c>
      <c r="E1093" s="57" t="s">
        <v>272</v>
      </c>
      <c r="F1093" s="55" t="s">
        <v>273</v>
      </c>
      <c r="G1093" s="55" t="s">
        <v>274</v>
      </c>
      <c r="H1093" s="57" t="s">
        <v>211</v>
      </c>
      <c r="I1093" s="58" t="n">
        <f aca="false">'P9-014'!$N$36</f>
        <v>46328</v>
      </c>
      <c r="J1093" s="58" t="n">
        <f aca="false">'P9-014'!$O$36</f>
        <v>46328</v>
      </c>
      <c r="K1093" s="56" t="str">
        <f aca="false">IF(OR(L1093="Y",LEFT('P9-014'!$T$36,1)="D"),"",IF(AND(ISNUMBER(J1093),J1093&lt;ASOF),"⚠ เลยกำหนด",IF(AND(ISNUMBER(I1093),I1093&lt;=ASOF+14,J1093&gt;=ASOF-7),"ช่วงนี้","")))</f>
        <v>ช่วงนี้</v>
      </c>
      <c r="L1093" s="59"/>
      <c r="M1093" s="60"/>
    </row>
    <row r="1094" customFormat="false" ht="15" hidden="false" customHeight="false" outlineLevel="0" collapsed="false">
      <c r="A1094" s="54" t="s">
        <v>94</v>
      </c>
      <c r="B1094" s="55" t="s">
        <v>490</v>
      </c>
      <c r="C1094" s="56" t="s">
        <v>491</v>
      </c>
      <c r="D1094" s="57" t="s">
        <v>96</v>
      </c>
      <c r="E1094" s="57" t="s">
        <v>275</v>
      </c>
      <c r="F1094" s="55" t="s">
        <v>276</v>
      </c>
      <c r="G1094" s="55" t="s">
        <v>277</v>
      </c>
      <c r="H1094" s="57" t="s">
        <v>211</v>
      </c>
      <c r="I1094" s="58" t="n">
        <f aca="false">'P9-014'!$N$37</f>
        <v>46328</v>
      </c>
      <c r="J1094" s="58" t="n">
        <f aca="false">'P9-014'!$O$37</f>
        <v>46328</v>
      </c>
      <c r="K1094" s="56" t="str">
        <f aca="false">IF(OR(L1094="Y",LEFT('P9-014'!$T$37,1)="D"),"",IF(AND(ISNUMBER(J1094),J1094&lt;ASOF),"⚠ เลยกำหนด",IF(AND(ISNUMBER(I1094),I1094&lt;=ASOF+14,J1094&gt;=ASOF-7),"ช่วงนี้","")))</f>
        <v>ช่วงนี้</v>
      </c>
      <c r="L1094" s="59"/>
      <c r="M1094" s="60"/>
    </row>
    <row r="1095" customFormat="false" ht="15" hidden="false" customHeight="false" outlineLevel="0" collapsed="false">
      <c r="A1095" s="54" t="s">
        <v>94</v>
      </c>
      <c r="B1095" s="55" t="s">
        <v>490</v>
      </c>
      <c r="C1095" s="56" t="s">
        <v>491</v>
      </c>
      <c r="D1095" s="57" t="s">
        <v>96</v>
      </c>
      <c r="E1095" s="57" t="s">
        <v>278</v>
      </c>
      <c r="F1095" s="55" t="s">
        <v>279</v>
      </c>
      <c r="G1095" s="55" t="s">
        <v>280</v>
      </c>
      <c r="H1095" s="57" t="s">
        <v>211</v>
      </c>
      <c r="I1095" s="58" t="n">
        <f aca="false">'P9-014'!$N$38</f>
        <v>46328</v>
      </c>
      <c r="J1095" s="58" t="n">
        <f aca="false">'P9-014'!$O$38</f>
        <v>46328</v>
      </c>
      <c r="K1095" s="56" t="str">
        <f aca="false">IF(OR(L1095="Y",LEFT('P9-014'!$T$38,1)="D"),"",IF(AND(ISNUMBER(J1095),J1095&lt;ASOF),"⚠ เลยกำหนด",IF(AND(ISNUMBER(I1095),I1095&lt;=ASOF+14,J1095&gt;=ASOF-7),"ช่วงนี้","")))</f>
        <v>ช่วงนี้</v>
      </c>
      <c r="L1095" s="59"/>
      <c r="M1095" s="60"/>
    </row>
    <row r="1096" customFormat="false" ht="15" hidden="false" customHeight="false" outlineLevel="0" collapsed="false">
      <c r="A1096" s="54" t="s">
        <v>94</v>
      </c>
      <c r="B1096" s="55" t="s">
        <v>490</v>
      </c>
      <c r="C1096" s="56" t="s">
        <v>491</v>
      </c>
      <c r="D1096" s="57" t="s">
        <v>96</v>
      </c>
      <c r="E1096" s="57" t="s">
        <v>281</v>
      </c>
      <c r="F1096" s="55" t="s">
        <v>282</v>
      </c>
      <c r="G1096" s="55" t="s">
        <v>283</v>
      </c>
      <c r="H1096" s="57" t="s">
        <v>211</v>
      </c>
      <c r="I1096" s="58" t="n">
        <f aca="false">'P9-014'!$N$40</f>
        <v>46328</v>
      </c>
      <c r="J1096" s="58" t="n">
        <f aca="false">'P9-014'!$O$40</f>
        <v>46328</v>
      </c>
      <c r="K1096" s="56" t="str">
        <f aca="false">IF(OR(L1096="Y",LEFT('P9-014'!$T$40,1)="D"),"",IF(AND(ISNUMBER(J1096),J1096&lt;ASOF),"⚠ เลยกำหนด",IF(AND(ISNUMBER(I1096),I1096&lt;=ASOF+14,J1096&gt;=ASOF-7),"ช่วงนี้","")))</f>
        <v>ช่วงนี้</v>
      </c>
      <c r="L1096" s="59"/>
      <c r="M1096" s="60"/>
    </row>
    <row r="1097" customFormat="false" ht="15" hidden="false" customHeight="false" outlineLevel="0" collapsed="false">
      <c r="A1097" s="54" t="s">
        <v>94</v>
      </c>
      <c r="B1097" s="55" t="s">
        <v>490</v>
      </c>
      <c r="C1097" s="56" t="s">
        <v>491</v>
      </c>
      <c r="D1097" s="57" t="s">
        <v>96</v>
      </c>
      <c r="E1097" s="57" t="s">
        <v>284</v>
      </c>
      <c r="F1097" s="55" t="s">
        <v>285</v>
      </c>
      <c r="G1097" s="61" t="s">
        <v>286</v>
      </c>
      <c r="H1097" s="57" t="s">
        <v>211</v>
      </c>
      <c r="I1097" s="58" t="n">
        <f aca="false">'P9-014'!$N$41</f>
        <v>46328</v>
      </c>
      <c r="J1097" s="58" t="n">
        <f aca="false">'P9-014'!$O$41</f>
        <v>46328</v>
      </c>
      <c r="K1097" s="56" t="str">
        <f aca="false">IF(OR(L1097="Y",LEFT('P9-014'!$T$41,1)="D"),"",IF(AND(ISNUMBER(J1097),J1097&lt;ASOF),"⚠ เลยกำหนด",IF(AND(ISNUMBER(I1097),I1097&lt;=ASOF+14,J1097&gt;=ASOF-7),"ช่วงนี้","")))</f>
        <v>ช่วงนี้</v>
      </c>
      <c r="L1097" s="59"/>
      <c r="M1097" s="60"/>
    </row>
    <row r="1098" customFormat="false" ht="15" hidden="false" customHeight="false" outlineLevel="0" collapsed="false">
      <c r="A1098" s="54" t="s">
        <v>94</v>
      </c>
      <c r="B1098" s="55" t="s">
        <v>490</v>
      </c>
      <c r="C1098" s="56" t="s">
        <v>491</v>
      </c>
      <c r="D1098" s="57" t="s">
        <v>96</v>
      </c>
      <c r="E1098" s="57" t="s">
        <v>287</v>
      </c>
      <c r="F1098" s="55" t="s">
        <v>288</v>
      </c>
      <c r="G1098" s="61" t="s">
        <v>289</v>
      </c>
      <c r="H1098" s="57" t="s">
        <v>211</v>
      </c>
      <c r="I1098" s="58" t="n">
        <f aca="false">'P9-014'!$N$42</f>
        <v>46328</v>
      </c>
      <c r="J1098" s="58" t="n">
        <f aca="false">'P9-014'!$O$42</f>
        <v>46328</v>
      </c>
      <c r="K1098" s="56" t="str">
        <f aca="false">IF(OR(L1098="Y",LEFT('P9-014'!$T$42,1)="D"),"",IF(AND(ISNUMBER(J1098),J1098&lt;ASOF),"⚠ เลยกำหนด",IF(AND(ISNUMBER(I1098),I1098&lt;=ASOF+14,J1098&gt;=ASOF-7),"ช่วงนี้","")))</f>
        <v>ช่วงนี้</v>
      </c>
      <c r="L1098" s="59"/>
      <c r="M1098" s="60"/>
    </row>
    <row r="1099" customFormat="false" ht="15" hidden="false" customHeight="false" outlineLevel="0" collapsed="false">
      <c r="A1099" s="54" t="s">
        <v>94</v>
      </c>
      <c r="B1099" s="55" t="s">
        <v>490</v>
      </c>
      <c r="C1099" s="56" t="s">
        <v>491</v>
      </c>
      <c r="D1099" s="57" t="s">
        <v>96</v>
      </c>
      <c r="E1099" s="57" t="s">
        <v>290</v>
      </c>
      <c r="F1099" s="55" t="s">
        <v>291</v>
      </c>
      <c r="G1099" s="55" t="s">
        <v>292</v>
      </c>
      <c r="H1099" s="57" t="s">
        <v>211</v>
      </c>
      <c r="I1099" s="58" t="n">
        <f aca="false">'P9-014'!$N$44</f>
        <v>46328</v>
      </c>
      <c r="J1099" s="58" t="n">
        <f aca="false">'P9-014'!$O$44</f>
        <v>46328</v>
      </c>
      <c r="K1099" s="56" t="str">
        <f aca="false">IF(OR(L1099="Y",LEFT('P9-014'!$T$44,1)="D"),"",IF(AND(ISNUMBER(J1099),J1099&lt;ASOF),"⚠ เลยกำหนด",IF(AND(ISNUMBER(I1099),I1099&lt;=ASOF+14,J1099&gt;=ASOF-7),"ช่วงนี้","")))</f>
        <v>ช่วงนี้</v>
      </c>
      <c r="L1099" s="59"/>
      <c r="M1099" s="60"/>
    </row>
    <row r="1100" customFormat="false" ht="15" hidden="false" customHeight="false" outlineLevel="0" collapsed="false">
      <c r="A1100" s="54" t="s">
        <v>94</v>
      </c>
      <c r="B1100" s="55" t="s">
        <v>490</v>
      </c>
      <c r="C1100" s="56" t="s">
        <v>491</v>
      </c>
      <c r="D1100" s="57" t="s">
        <v>96</v>
      </c>
      <c r="E1100" s="57" t="s">
        <v>293</v>
      </c>
      <c r="F1100" s="55" t="s">
        <v>294</v>
      </c>
      <c r="G1100" s="55" t="s">
        <v>295</v>
      </c>
      <c r="H1100" s="57" t="s">
        <v>211</v>
      </c>
      <c r="I1100" s="58" t="n">
        <f aca="false">'P9-014'!$N$45</f>
        <v>46328</v>
      </c>
      <c r="J1100" s="58" t="n">
        <f aca="false">'P9-014'!$O$45</f>
        <v>46328</v>
      </c>
      <c r="K1100" s="56" t="str">
        <f aca="false">IF(OR(L1100="Y",LEFT('P9-014'!$T$45,1)="D"),"",IF(AND(ISNUMBER(J1100),J1100&lt;ASOF),"⚠ เลยกำหนด",IF(AND(ISNUMBER(I1100),I1100&lt;=ASOF+14,J1100&gt;=ASOF-7),"ช่วงนี้","")))</f>
        <v>ช่วงนี้</v>
      </c>
      <c r="L1100" s="59"/>
      <c r="M1100" s="60"/>
    </row>
    <row r="1101" customFormat="false" ht="15" hidden="false" customHeight="false" outlineLevel="0" collapsed="false">
      <c r="A1101" s="54" t="s">
        <v>94</v>
      </c>
      <c r="B1101" s="55" t="s">
        <v>490</v>
      </c>
      <c r="C1101" s="56" t="s">
        <v>491</v>
      </c>
      <c r="D1101" s="57" t="s">
        <v>96</v>
      </c>
      <c r="E1101" s="57" t="s">
        <v>296</v>
      </c>
      <c r="F1101" s="55" t="s">
        <v>297</v>
      </c>
      <c r="G1101" s="55" t="s">
        <v>298</v>
      </c>
      <c r="H1101" s="57" t="s">
        <v>211</v>
      </c>
      <c r="I1101" s="58" t="n">
        <f aca="false">'P9-014'!$N$46</f>
        <v>46328</v>
      </c>
      <c r="J1101" s="58" t="n">
        <f aca="false">'P9-014'!$O$46</f>
        <v>46328</v>
      </c>
      <c r="K1101" s="56" t="str">
        <f aca="false">IF(OR(L1101="Y",LEFT('P9-014'!$T$46,1)="D"),"",IF(AND(ISNUMBER(J1101),J1101&lt;ASOF),"⚠ เลยกำหนด",IF(AND(ISNUMBER(I1101),I1101&lt;=ASOF+14,J1101&gt;=ASOF-7),"ช่วงนี้","")))</f>
        <v>ช่วงนี้</v>
      </c>
      <c r="L1101" s="59"/>
      <c r="M1101" s="60"/>
    </row>
    <row r="1102" customFormat="false" ht="15" hidden="false" customHeight="false" outlineLevel="0" collapsed="false">
      <c r="A1102" s="54" t="s">
        <v>94</v>
      </c>
      <c r="B1102" s="55" t="s">
        <v>490</v>
      </c>
      <c r="C1102" s="56" t="s">
        <v>491</v>
      </c>
      <c r="D1102" s="57" t="s">
        <v>96</v>
      </c>
      <c r="E1102" s="57" t="s">
        <v>456</v>
      </c>
      <c r="F1102" s="61" t="s">
        <v>457</v>
      </c>
      <c r="G1102" s="61" t="s">
        <v>458</v>
      </c>
      <c r="H1102" s="57" t="s">
        <v>211</v>
      </c>
      <c r="I1102" s="58" t="n">
        <f aca="false">'P9-014'!$N$48</f>
        <v>46356</v>
      </c>
      <c r="J1102" s="58" t="n">
        <f aca="false">'P9-014'!$O$48</f>
        <v>46356</v>
      </c>
      <c r="K1102" s="56" t="str">
        <f aca="false">IF(OR(L1102="Y",LEFT('P9-014'!$T$48,1)="D"),"",IF(AND(ISNUMBER(J1102),J1102&lt;ASOF),"⚠ เลยกำหนด",IF(AND(ISNUMBER(I1102),I1102&lt;=ASOF+14,J1102&gt;=ASOF-7),"ช่วงนี้","")))</f>
        <v/>
      </c>
      <c r="L1102" s="59"/>
      <c r="M1102" s="60"/>
    </row>
    <row r="1103" customFormat="false" ht="15" hidden="false" customHeight="false" outlineLevel="0" collapsed="false">
      <c r="A1103" s="54" t="s">
        <v>94</v>
      </c>
      <c r="B1103" s="55" t="s">
        <v>490</v>
      </c>
      <c r="C1103" s="56" t="s">
        <v>491</v>
      </c>
      <c r="D1103" s="57" t="s">
        <v>96</v>
      </c>
      <c r="E1103" s="57" t="s">
        <v>459</v>
      </c>
      <c r="F1103" s="55" t="s">
        <v>460</v>
      </c>
      <c r="G1103" s="55" t="s">
        <v>461</v>
      </c>
      <c r="H1103" s="57" t="s">
        <v>211</v>
      </c>
      <c r="I1103" s="58" t="n">
        <f aca="false">'P9-014'!$N$49</f>
        <v>46356</v>
      </c>
      <c r="J1103" s="58" t="n">
        <f aca="false">'P9-014'!$O$49</f>
        <v>46356</v>
      </c>
      <c r="K1103" s="56" t="str">
        <f aca="false">IF(OR(L1103="Y",LEFT('P9-014'!$T$49,1)="D"),"",IF(AND(ISNUMBER(J1103),J1103&lt;ASOF),"⚠ เลยกำหนด",IF(AND(ISNUMBER(I1103),I1103&lt;=ASOF+14,J1103&gt;=ASOF-7),"ช่วงนี้","")))</f>
        <v/>
      </c>
      <c r="L1103" s="59"/>
      <c r="M1103" s="60"/>
    </row>
    <row r="1104" customFormat="false" ht="15" hidden="false" customHeight="false" outlineLevel="0" collapsed="false">
      <c r="A1104" s="54" t="s">
        <v>94</v>
      </c>
      <c r="B1104" s="55" t="s">
        <v>490</v>
      </c>
      <c r="C1104" s="56" t="s">
        <v>491</v>
      </c>
      <c r="D1104" s="57" t="s">
        <v>96</v>
      </c>
      <c r="E1104" s="57" t="s">
        <v>462</v>
      </c>
      <c r="F1104" s="55" t="s">
        <v>463</v>
      </c>
      <c r="G1104" s="55" t="s">
        <v>464</v>
      </c>
      <c r="H1104" s="57" t="s">
        <v>211</v>
      </c>
      <c r="I1104" s="58" t="n">
        <f aca="false">'P9-014'!$N$51</f>
        <v>46356</v>
      </c>
      <c r="J1104" s="58" t="n">
        <f aca="false">'P9-014'!$O$51</f>
        <v>46356</v>
      </c>
      <c r="K1104" s="56" t="str">
        <f aca="false">IF(OR(L1104="Y",LEFT('P9-014'!$T$51,1)="D"),"",IF(AND(ISNUMBER(J1104),J1104&lt;ASOF),"⚠ เลยกำหนด",IF(AND(ISNUMBER(I1104),I1104&lt;=ASOF+14,J1104&gt;=ASOF-7),"ช่วงนี้","")))</f>
        <v/>
      </c>
      <c r="L1104" s="59"/>
      <c r="M1104" s="60"/>
    </row>
    <row r="1105" customFormat="false" ht="15" hidden="false" customHeight="false" outlineLevel="0" collapsed="false">
      <c r="A1105" s="54" t="s">
        <v>94</v>
      </c>
      <c r="B1105" s="55" t="s">
        <v>490</v>
      </c>
      <c r="C1105" s="56" t="s">
        <v>491</v>
      </c>
      <c r="D1105" s="57" t="s">
        <v>96</v>
      </c>
      <c r="E1105" s="57" t="s">
        <v>299</v>
      </c>
      <c r="F1105" s="55" t="s">
        <v>300</v>
      </c>
      <c r="G1105" s="55" t="s">
        <v>301</v>
      </c>
      <c r="H1105" s="57" t="s">
        <v>211</v>
      </c>
      <c r="I1105" s="58" t="str">
        <f aca="false">'P9-014'!$N$53</f>
        <v/>
      </c>
      <c r="J1105" s="58" t="str">
        <f aca="false">'P9-014'!$O$53</f>
        <v/>
      </c>
      <c r="K1105" s="56" t="str">
        <f aca="false">IF(OR(L1105="Y",LEFT('P9-014'!$T$53,1)="D"),"",IF(AND(ISNUMBER(J1105),J1105&lt;ASOF),"⚠ เลยกำหนด",IF(AND(ISNUMBER(I1105),I1105&lt;=ASOF+14,J1105&gt;=ASOF-7),"ช่วงนี้","")))</f>
        <v/>
      </c>
      <c r="L1105" s="59"/>
      <c r="M1105" s="60"/>
    </row>
    <row r="1106" customFormat="false" ht="15" hidden="false" customHeight="false" outlineLevel="0" collapsed="false">
      <c r="A1106" s="54" t="s">
        <v>94</v>
      </c>
      <c r="B1106" s="55" t="s">
        <v>490</v>
      </c>
      <c r="C1106" s="56" t="s">
        <v>491</v>
      </c>
      <c r="D1106" s="57" t="s">
        <v>96</v>
      </c>
      <c r="E1106" s="57" t="s">
        <v>302</v>
      </c>
      <c r="F1106" s="55" t="s">
        <v>303</v>
      </c>
      <c r="G1106" s="55" t="s">
        <v>304</v>
      </c>
      <c r="H1106" s="57" t="s">
        <v>211</v>
      </c>
      <c r="I1106" s="58" t="str">
        <f aca="false">'P9-014'!$N$54</f>
        <v/>
      </c>
      <c r="J1106" s="58" t="str">
        <f aca="false">'P9-014'!$O$54</f>
        <v/>
      </c>
      <c r="K1106" s="56" t="str">
        <f aca="false">IF(OR(L1106="Y",LEFT('P9-014'!$T$54,1)="D"),"",IF(AND(ISNUMBER(J1106),J1106&lt;ASOF),"⚠ เลยกำหนด",IF(AND(ISNUMBER(I1106),I1106&lt;=ASOF+14,J1106&gt;=ASOF-7),"ช่วงนี้","")))</f>
        <v/>
      </c>
      <c r="L1106" s="59"/>
      <c r="M1106" s="60"/>
    </row>
    <row r="1107" customFormat="false" ht="15" hidden="false" customHeight="false" outlineLevel="0" collapsed="false">
      <c r="A1107" s="54" t="s">
        <v>94</v>
      </c>
      <c r="B1107" s="55" t="s">
        <v>490</v>
      </c>
      <c r="C1107" s="56" t="s">
        <v>491</v>
      </c>
      <c r="D1107" s="57" t="s">
        <v>96</v>
      </c>
      <c r="E1107" s="57" t="s">
        <v>305</v>
      </c>
      <c r="F1107" s="55" t="s">
        <v>306</v>
      </c>
      <c r="G1107" s="55" t="s">
        <v>307</v>
      </c>
      <c r="H1107" s="56" t="str">
        <f aca="false">IF(COUNTIFS(SITE_ST,"P9-014",SITE_TYPE,"?*")&gt;0,"ตามจุดติดตั้ง →","0/100")</f>
        <v>ตามจุดติดตั้ง →</v>
      </c>
      <c r="I1107" s="58" t="n">
        <f aca="false">'P9-014'!$N$63</f>
        <v>46328</v>
      </c>
      <c r="J1107" s="58" t="n">
        <f aca="false">'P9-014'!$O$63</f>
        <v>46329</v>
      </c>
      <c r="K1107" s="56" t="str">
        <f aca="false">IF(OR(L1107="Y",LEFT('P9-014'!$T$63,1)="D"),"",IF(AND(ISNUMBER(J1107),J1107&lt;ASOF),"⚠ เลยกำหนด",IF(AND(ISNUMBER(I1107),I1107&lt;=ASOF+14,J1107&gt;=ASOF-7),"ช่วงนี้","")))</f>
        <v>ช่วงนี้</v>
      </c>
      <c r="L1107" s="59"/>
      <c r="M1107" s="60"/>
    </row>
    <row r="1108" customFormat="false" ht="15" hidden="false" customHeight="false" outlineLevel="0" collapsed="false">
      <c r="A1108" s="54" t="s">
        <v>94</v>
      </c>
      <c r="B1108" s="55" t="s">
        <v>490</v>
      </c>
      <c r="C1108" s="56" t="s">
        <v>491</v>
      </c>
      <c r="D1108" s="57" t="s">
        <v>96</v>
      </c>
      <c r="E1108" s="57" t="s">
        <v>308</v>
      </c>
      <c r="F1108" s="55" t="s">
        <v>309</v>
      </c>
      <c r="G1108" s="55" t="s">
        <v>310</v>
      </c>
      <c r="H1108" s="57" t="s">
        <v>211</v>
      </c>
      <c r="I1108" s="58" t="n">
        <f aca="false">'P9-014'!$N$64</f>
        <v>46328</v>
      </c>
      <c r="J1108" s="58" t="n">
        <f aca="false">'P9-014'!$O$64</f>
        <v>46330</v>
      </c>
      <c r="K1108" s="56" t="str">
        <f aca="false">IF(OR(L1108="Y",LEFT('P9-014'!$T$64,1)="D"),"",IF(AND(ISNUMBER(J1108),J1108&lt;ASOF),"⚠ เลยกำหนด",IF(AND(ISNUMBER(I1108),I1108&lt;=ASOF+14,J1108&gt;=ASOF-7),"ช่วงนี้","")))</f>
        <v>ช่วงนี้</v>
      </c>
      <c r="L1108" s="59"/>
      <c r="M1108" s="60"/>
    </row>
    <row r="1109" customFormat="false" ht="15" hidden="false" customHeight="false" outlineLevel="0" collapsed="false">
      <c r="A1109" s="54" t="s">
        <v>94</v>
      </c>
      <c r="B1109" s="55" t="s">
        <v>490</v>
      </c>
      <c r="C1109" s="56" t="s">
        <v>491</v>
      </c>
      <c r="D1109" s="57" t="s">
        <v>96</v>
      </c>
      <c r="E1109" s="57" t="s">
        <v>311</v>
      </c>
      <c r="F1109" s="55" t="s">
        <v>312</v>
      </c>
      <c r="G1109" s="55" t="s">
        <v>313</v>
      </c>
      <c r="H1109" s="56" t="str">
        <f aca="false">IF(COUNTIFS(SITE_ST,"P9-014",SITE_TYPE,"?*")&gt;0,"ตามจุดติดตั้ง →","50/50")</f>
        <v>ตามจุดติดตั้ง →</v>
      </c>
      <c r="I1109" s="58" t="n">
        <f aca="false">'P9-014'!$N$65</f>
        <v>46329</v>
      </c>
      <c r="J1109" s="58" t="n">
        <f aca="false">'P9-014'!$O$65</f>
        <v>46332</v>
      </c>
      <c r="K1109" s="56" t="str">
        <f aca="false">IF(OR(L1109="Y",LEFT('P9-014'!$T$65,1)="D"),"",IF(AND(ISNUMBER(J1109),J1109&lt;ASOF),"⚠ เลยกำหนด",IF(AND(ISNUMBER(I1109),I1109&lt;=ASOF+14,J1109&gt;=ASOF-7),"ช่วงนี้","")))</f>
        <v>ช่วงนี้</v>
      </c>
      <c r="L1109" s="59"/>
      <c r="M1109" s="60"/>
    </row>
    <row r="1110" customFormat="false" ht="15" hidden="false" customHeight="false" outlineLevel="0" collapsed="false">
      <c r="A1110" s="54" t="s">
        <v>94</v>
      </c>
      <c r="B1110" s="55" t="s">
        <v>490</v>
      </c>
      <c r="C1110" s="56" t="s">
        <v>491</v>
      </c>
      <c r="D1110" s="57" t="s">
        <v>96</v>
      </c>
      <c r="E1110" s="57" t="s">
        <v>314</v>
      </c>
      <c r="F1110" s="55" t="s">
        <v>315</v>
      </c>
      <c r="G1110" s="61" t="s">
        <v>316</v>
      </c>
      <c r="H1110" s="56" t="str">
        <f aca="false">IF(COUNTIFS(SITE_ST,"P9-014",SITE_TYPE,"?*")&gt;0,"ตามจุดติดตั้ง →","50/50")</f>
        <v>ตามจุดติดตั้ง →</v>
      </c>
      <c r="I1110" s="58" t="n">
        <f aca="false">'P9-014'!$N$66</f>
        <v>46331</v>
      </c>
      <c r="J1110" s="58" t="n">
        <f aca="false">'P9-014'!$O$66</f>
        <v>46335</v>
      </c>
      <c r="K1110" s="56" t="str">
        <f aca="false">IF(OR(L1110="Y",LEFT('P9-014'!$T$66,1)="D"),"",IF(AND(ISNUMBER(J1110),J1110&lt;ASOF),"⚠ เลยกำหนด",IF(AND(ISNUMBER(I1110),I1110&lt;=ASOF+14,J1110&gt;=ASOF-7),"ช่วงนี้","")))</f>
        <v>ช่วงนี้</v>
      </c>
      <c r="L1110" s="59"/>
      <c r="M1110" s="60"/>
    </row>
    <row r="1111" customFormat="false" ht="15" hidden="false" customHeight="false" outlineLevel="0" collapsed="false">
      <c r="A1111" s="54" t="s">
        <v>94</v>
      </c>
      <c r="B1111" s="55" t="s">
        <v>490</v>
      </c>
      <c r="C1111" s="56" t="s">
        <v>491</v>
      </c>
      <c r="D1111" s="57" t="s">
        <v>96</v>
      </c>
      <c r="E1111" s="57" t="s">
        <v>317</v>
      </c>
      <c r="F1111" s="61" t="s">
        <v>318</v>
      </c>
      <c r="G1111" s="61" t="s">
        <v>319</v>
      </c>
      <c r="H1111" s="56" t="str">
        <f aca="false">IF(COUNTIFS(SITE_ST,"P9-014",SITE_TYPE,"?*")&gt;0,"ตามจุดติดตั้ง →","50/50")</f>
        <v>ตามจุดติดตั้ง →</v>
      </c>
      <c r="I1111" s="58" t="n">
        <f aca="false">'P9-014'!$N$67</f>
        <v>46333</v>
      </c>
      <c r="J1111" s="58" t="n">
        <f aca="false">'P9-014'!$O$67</f>
        <v>46336</v>
      </c>
      <c r="K1111" s="56" t="str">
        <f aca="false">IF(OR(L1111="Y",LEFT('P9-014'!$T$67,1)="D"),"",IF(AND(ISNUMBER(J1111),J1111&lt;ASOF),"⚠ เลยกำหนด",IF(AND(ISNUMBER(I1111),I1111&lt;=ASOF+14,J1111&gt;=ASOF-7),"ช่วงนี้","")))</f>
        <v>ช่วงนี้</v>
      </c>
      <c r="L1111" s="59"/>
      <c r="M1111" s="60"/>
    </row>
    <row r="1112" customFormat="false" ht="15" hidden="false" customHeight="false" outlineLevel="0" collapsed="false">
      <c r="A1112" s="54" t="s">
        <v>94</v>
      </c>
      <c r="B1112" s="55" t="s">
        <v>490</v>
      </c>
      <c r="C1112" s="56" t="s">
        <v>491</v>
      </c>
      <c r="D1112" s="57" t="s">
        <v>96</v>
      </c>
      <c r="E1112" s="57" t="s">
        <v>320</v>
      </c>
      <c r="F1112" s="55" t="s">
        <v>321</v>
      </c>
      <c r="G1112" s="55" t="s">
        <v>322</v>
      </c>
      <c r="H1112" s="56" t="str">
        <f aca="false">IF(COUNTIFS(SITE_ST,"P9-014",SITE_TYPE,"?*")&gt;0,"ตามจุดติดตั้ง →","0/100")</f>
        <v>ตามจุดติดตั้ง →</v>
      </c>
      <c r="I1112" s="58" t="n">
        <f aca="false">'P9-014'!$N$68</f>
        <v>46334</v>
      </c>
      <c r="J1112" s="58" t="n">
        <f aca="false">'P9-014'!$O$68</f>
        <v>46336</v>
      </c>
      <c r="K1112" s="56" t="str">
        <f aca="false">IF(OR(L1112="Y",LEFT('P9-014'!$T$68,1)="D"),"",IF(AND(ISNUMBER(J1112),J1112&lt;ASOF),"⚠ เลยกำหนด",IF(AND(ISNUMBER(I1112),I1112&lt;=ASOF+14,J1112&gt;=ASOF-7),"ช่วงนี้","")))</f>
        <v>ช่วงนี้</v>
      </c>
      <c r="L1112" s="59"/>
      <c r="M1112" s="60"/>
    </row>
    <row r="1113" customFormat="false" ht="15" hidden="false" customHeight="false" outlineLevel="0" collapsed="false">
      <c r="A1113" s="54" t="s">
        <v>94</v>
      </c>
      <c r="B1113" s="55" t="s">
        <v>490</v>
      </c>
      <c r="C1113" s="56" t="s">
        <v>491</v>
      </c>
      <c r="D1113" s="57" t="s">
        <v>96</v>
      </c>
      <c r="E1113" s="57" t="s">
        <v>323</v>
      </c>
      <c r="F1113" s="61" t="s">
        <v>324</v>
      </c>
      <c r="G1113" s="55" t="s">
        <v>325</v>
      </c>
      <c r="H1113" s="56" t="str">
        <f aca="false">IF(COUNTIFS(SITE_ST,"P9-014",SITE_TYPE,"?*")&gt;0,"ตามจุดติดตั้ง →","0/100")</f>
        <v>ตามจุดติดตั้ง →</v>
      </c>
      <c r="I1113" s="58" t="n">
        <f aca="false">'P9-014'!$N$69</f>
        <v>46336</v>
      </c>
      <c r="J1113" s="58" t="n">
        <f aca="false">'P9-014'!$O$69</f>
        <v>46336</v>
      </c>
      <c r="K1113" s="56" t="str">
        <f aca="false">IF(OR(L1113="Y",LEFT('P9-014'!$T$69,1)="D"),"",IF(AND(ISNUMBER(J1113),J1113&lt;ASOF),"⚠ เลยกำหนด",IF(AND(ISNUMBER(I1113),I1113&lt;=ASOF+14,J1113&gt;=ASOF-7),"ช่วงนี้","")))</f>
        <v>ช่วงนี้</v>
      </c>
      <c r="L1113" s="59"/>
      <c r="M1113" s="60"/>
    </row>
    <row r="1114" customFormat="false" ht="15" hidden="false" customHeight="false" outlineLevel="0" collapsed="false">
      <c r="A1114" s="54" t="s">
        <v>94</v>
      </c>
      <c r="B1114" s="55" t="s">
        <v>490</v>
      </c>
      <c r="C1114" s="56" t="s">
        <v>491</v>
      </c>
      <c r="D1114" s="57" t="s">
        <v>96</v>
      </c>
      <c r="E1114" s="57" t="s">
        <v>326</v>
      </c>
      <c r="F1114" s="55" t="s">
        <v>327</v>
      </c>
      <c r="G1114" s="61" t="s">
        <v>328</v>
      </c>
      <c r="H1114" s="56" t="str">
        <f aca="false">IF(COUNTIFS(SITE_ST,"P9-014",SITE_TYPE,"?*")&gt;0,"ตามจุดติดตั้ง →","50/50")</f>
        <v>ตามจุดติดตั้ง →</v>
      </c>
      <c r="I1114" s="58" t="n">
        <f aca="false">'P9-014'!$N$71</f>
        <v>46343</v>
      </c>
      <c r="J1114" s="58" t="n">
        <f aca="false">'P9-014'!$O$71</f>
        <v>46344</v>
      </c>
      <c r="K1114" s="56" t="str">
        <f aca="false">IF(OR(L1114="Y",LEFT('P9-014'!$T$71,1)="D"),"",IF(AND(ISNUMBER(J1114),J1114&lt;ASOF),"⚠ เลยกำหนด",IF(AND(ISNUMBER(I1114),I1114&lt;=ASOF+14,J1114&gt;=ASOF-7),"ช่วงนี้","")))</f>
        <v/>
      </c>
      <c r="L1114" s="59"/>
      <c r="M1114" s="60"/>
    </row>
    <row r="1115" customFormat="false" ht="15" hidden="false" customHeight="false" outlineLevel="0" collapsed="false">
      <c r="A1115" s="54" t="s">
        <v>94</v>
      </c>
      <c r="B1115" s="55" t="s">
        <v>490</v>
      </c>
      <c r="C1115" s="56" t="s">
        <v>491</v>
      </c>
      <c r="D1115" s="57" t="s">
        <v>96</v>
      </c>
      <c r="E1115" s="57" t="s">
        <v>329</v>
      </c>
      <c r="F1115" s="55" t="s">
        <v>330</v>
      </c>
      <c r="G1115" s="55" t="s">
        <v>331</v>
      </c>
      <c r="H1115" s="56" t="str">
        <f aca="false">IF(COUNTIFS(SITE_ST,"P9-014",SITE_TYPE,"?*")&gt;0,"ตามจุดติดตั้ง →","50/50")</f>
        <v>ตามจุดติดตั้ง →</v>
      </c>
      <c r="I1115" s="58" t="n">
        <f aca="false">'P9-014'!$N$72</f>
        <v>46344</v>
      </c>
      <c r="J1115" s="58" t="n">
        <f aca="false">'P9-014'!$O$72</f>
        <v>46345</v>
      </c>
      <c r="K1115" s="56" t="str">
        <f aca="false">IF(OR(L1115="Y",LEFT('P9-014'!$T$72,1)="D"),"",IF(AND(ISNUMBER(J1115),J1115&lt;ASOF),"⚠ เลยกำหนด",IF(AND(ISNUMBER(I1115),I1115&lt;=ASOF+14,J1115&gt;=ASOF-7),"ช่วงนี้","")))</f>
        <v/>
      </c>
      <c r="L1115" s="59"/>
      <c r="M1115" s="60"/>
    </row>
    <row r="1116" customFormat="false" ht="15" hidden="false" customHeight="false" outlineLevel="0" collapsed="false">
      <c r="A1116" s="54" t="s">
        <v>94</v>
      </c>
      <c r="B1116" s="55" t="s">
        <v>490</v>
      </c>
      <c r="C1116" s="56" t="s">
        <v>491</v>
      </c>
      <c r="D1116" s="57" t="s">
        <v>96</v>
      </c>
      <c r="E1116" s="57" t="s">
        <v>332</v>
      </c>
      <c r="F1116" s="55" t="s">
        <v>333</v>
      </c>
      <c r="G1116" s="55" t="s">
        <v>334</v>
      </c>
      <c r="H1116" s="56" t="str">
        <f aca="false">IF(COUNTIFS(SITE_ST,"P9-014",SITE_TYPE,"?*")&gt;0,"ตามจุดติดตั้ง →","0/100")</f>
        <v>ตามจุดติดตั้ง →</v>
      </c>
      <c r="I1116" s="58" t="n">
        <f aca="false">'P9-014'!$N$73</f>
        <v>46344</v>
      </c>
      <c r="J1116" s="58" t="n">
        <f aca="false">'P9-014'!$O$73</f>
        <v>46345</v>
      </c>
      <c r="K1116" s="56" t="str">
        <f aca="false">IF(OR(L1116="Y",LEFT('P9-014'!$T$73,1)="D"),"",IF(AND(ISNUMBER(J1116),J1116&lt;ASOF),"⚠ เลยกำหนด",IF(AND(ISNUMBER(I1116),I1116&lt;=ASOF+14,J1116&gt;=ASOF-7),"ช่วงนี้","")))</f>
        <v/>
      </c>
      <c r="L1116" s="59"/>
      <c r="M1116" s="60"/>
    </row>
    <row r="1117" customFormat="false" ht="15" hidden="false" customHeight="false" outlineLevel="0" collapsed="false">
      <c r="A1117" s="54" t="s">
        <v>94</v>
      </c>
      <c r="B1117" s="55" t="s">
        <v>490</v>
      </c>
      <c r="C1117" s="56" t="s">
        <v>491</v>
      </c>
      <c r="D1117" s="57" t="s">
        <v>96</v>
      </c>
      <c r="E1117" s="57" t="s">
        <v>335</v>
      </c>
      <c r="F1117" s="55" t="s">
        <v>336</v>
      </c>
      <c r="G1117" s="61" t="s">
        <v>337</v>
      </c>
      <c r="H1117" s="56" t="str">
        <f aca="false">IF(COUNTIFS(SITE_ST,"P9-014",SITE_TYPE,"?*")&gt;0,"ตามจุดติดตั้ง →","0/100")</f>
        <v>ตามจุดติดตั้ง →</v>
      </c>
      <c r="I1117" s="58" t="n">
        <f aca="false">'P9-014'!$N$74</f>
        <v>46345</v>
      </c>
      <c r="J1117" s="58" t="n">
        <f aca="false">'P9-014'!$O$74</f>
        <v>46346</v>
      </c>
      <c r="K1117" s="56" t="str">
        <f aca="false">IF(OR(L1117="Y",LEFT('P9-014'!$T$74,1)="D"),"",IF(AND(ISNUMBER(J1117),J1117&lt;ASOF),"⚠ เลยกำหนด",IF(AND(ISNUMBER(I1117),I1117&lt;=ASOF+14,J1117&gt;=ASOF-7),"ช่วงนี้","")))</f>
        <v/>
      </c>
      <c r="L1117" s="59"/>
      <c r="M1117" s="60"/>
    </row>
    <row r="1118" customFormat="false" ht="15" hidden="false" customHeight="false" outlineLevel="0" collapsed="false">
      <c r="A1118" s="54" t="s">
        <v>94</v>
      </c>
      <c r="B1118" s="55" t="s">
        <v>490</v>
      </c>
      <c r="C1118" s="56" t="s">
        <v>491</v>
      </c>
      <c r="D1118" s="57" t="s">
        <v>96</v>
      </c>
      <c r="E1118" s="57" t="s">
        <v>338</v>
      </c>
      <c r="F1118" s="61" t="s">
        <v>339</v>
      </c>
      <c r="G1118" s="55" t="s">
        <v>340</v>
      </c>
      <c r="H1118" s="56" t="str">
        <f aca="false">IF(COUNTIFS(SITE_ST,"P9-014",SITE_TYPE,"?*")&gt;0,"ตามจุดติดตั้ง →","0/100")</f>
        <v>ตามจุดติดตั้ง →</v>
      </c>
      <c r="I1118" s="58" t="n">
        <f aca="false">'P9-014'!$N$75</f>
        <v>46345</v>
      </c>
      <c r="J1118" s="58" t="n">
        <f aca="false">'P9-014'!$O$75</f>
        <v>46346</v>
      </c>
      <c r="K1118" s="56" t="str">
        <f aca="false">IF(OR(L1118="Y",LEFT('P9-014'!$T$75,1)="D"),"",IF(AND(ISNUMBER(J1118),J1118&lt;ASOF),"⚠ เลยกำหนด",IF(AND(ISNUMBER(I1118),I1118&lt;=ASOF+14,J1118&gt;=ASOF-7),"ช่วงนี้","")))</f>
        <v/>
      </c>
      <c r="L1118" s="59"/>
      <c r="M1118" s="60"/>
    </row>
    <row r="1119" customFormat="false" ht="15" hidden="false" customHeight="false" outlineLevel="0" collapsed="false">
      <c r="A1119" s="54" t="s">
        <v>94</v>
      </c>
      <c r="B1119" s="55" t="s">
        <v>490</v>
      </c>
      <c r="C1119" s="56" t="s">
        <v>491</v>
      </c>
      <c r="D1119" s="57" t="s">
        <v>96</v>
      </c>
      <c r="E1119" s="57" t="s">
        <v>341</v>
      </c>
      <c r="F1119" s="55" t="s">
        <v>342</v>
      </c>
      <c r="G1119" s="55" t="s">
        <v>343</v>
      </c>
      <c r="H1119" s="56" t="str">
        <f aca="false">IF(COUNTIFS(SITE_ST,"P9-014",SITE_TYPE,"?*")&gt;0,"ตามจุดติดตั้ง →","0/100")</f>
        <v>ตามจุดติดตั้ง →</v>
      </c>
      <c r="I1119" s="58" t="n">
        <f aca="false">'P9-014'!$N$77</f>
        <v>46337</v>
      </c>
      <c r="J1119" s="58" t="n">
        <f aca="false">'P9-014'!$O$77</f>
        <v>46340</v>
      </c>
      <c r="K1119" s="56" t="str">
        <f aca="false">IF(OR(L1119="Y",LEFT('P9-014'!$T$77,1)="D"),"",IF(AND(ISNUMBER(J1119),J1119&lt;ASOF),"⚠ เลยกำหนด",IF(AND(ISNUMBER(I1119),I1119&lt;=ASOF+14,J1119&gt;=ASOF-7),"ช่วงนี้","")))</f>
        <v>ช่วงนี้</v>
      </c>
      <c r="L1119" s="59"/>
      <c r="M1119" s="60"/>
    </row>
    <row r="1120" customFormat="false" ht="15" hidden="false" customHeight="false" outlineLevel="0" collapsed="false">
      <c r="A1120" s="54" t="s">
        <v>94</v>
      </c>
      <c r="B1120" s="55" t="s">
        <v>490</v>
      </c>
      <c r="C1120" s="56" t="s">
        <v>491</v>
      </c>
      <c r="D1120" s="57" t="s">
        <v>96</v>
      </c>
      <c r="E1120" s="57" t="s">
        <v>344</v>
      </c>
      <c r="F1120" s="55" t="s">
        <v>345</v>
      </c>
      <c r="G1120" s="55" t="s">
        <v>346</v>
      </c>
      <c r="H1120" s="56" t="str">
        <f aca="false">IF(COUNTIFS(SITE_ST,"P9-014",SITE_TYPE,"?*")&gt;0,"ตามจุดติดตั้ง →","50/50")</f>
        <v>ตามจุดติดตั้ง →</v>
      </c>
      <c r="I1120" s="58" t="n">
        <f aca="false">'P9-014'!$N$78</f>
        <v>46338</v>
      </c>
      <c r="J1120" s="58" t="n">
        <f aca="false">'P9-014'!$O$78</f>
        <v>46346</v>
      </c>
      <c r="K1120" s="56" t="str">
        <f aca="false">IF(OR(L1120="Y",LEFT('P9-014'!$T$78,1)="D"),"",IF(AND(ISNUMBER(J1120),J1120&lt;ASOF),"⚠ เลยกำหนด",IF(AND(ISNUMBER(I1120),I1120&lt;=ASOF+14,J1120&gt;=ASOF-7),"ช่วงนี้","")))</f>
        <v>ช่วงนี้</v>
      </c>
      <c r="L1120" s="59"/>
      <c r="M1120" s="60"/>
    </row>
    <row r="1121" customFormat="false" ht="15" hidden="false" customHeight="false" outlineLevel="0" collapsed="false">
      <c r="A1121" s="54" t="s">
        <v>94</v>
      </c>
      <c r="B1121" s="55" t="s">
        <v>490</v>
      </c>
      <c r="C1121" s="56" t="s">
        <v>491</v>
      </c>
      <c r="D1121" s="57" t="s">
        <v>96</v>
      </c>
      <c r="E1121" s="57" t="s">
        <v>347</v>
      </c>
      <c r="F1121" s="61" t="s">
        <v>348</v>
      </c>
      <c r="G1121" s="55" t="s">
        <v>349</v>
      </c>
      <c r="H1121" s="56" t="str">
        <f aca="false">IF(COUNTIFS(SITE_ST,"P9-014",SITE_TYPE,"?*")&gt;0,"ตามจุดติดตั้ง →","50/50")</f>
        <v>ตามจุดติดตั้ง →</v>
      </c>
      <c r="I1121" s="58" t="n">
        <f aca="false">'P9-014'!$N$79</f>
        <v>46341</v>
      </c>
      <c r="J1121" s="58" t="n">
        <f aca="false">'P9-014'!$O$79</f>
        <v>46347</v>
      </c>
      <c r="K1121" s="56" t="str">
        <f aca="false">IF(OR(L1121="Y",LEFT('P9-014'!$T$79,1)="D"),"",IF(AND(ISNUMBER(J1121),J1121&lt;ASOF),"⚠ เลยกำหนด",IF(AND(ISNUMBER(I1121),I1121&lt;=ASOF+14,J1121&gt;=ASOF-7),"ช่วงนี้","")))</f>
        <v>ช่วงนี้</v>
      </c>
      <c r="L1121" s="59"/>
      <c r="M1121" s="60"/>
    </row>
    <row r="1122" customFormat="false" ht="15" hidden="false" customHeight="false" outlineLevel="0" collapsed="false">
      <c r="A1122" s="54" t="s">
        <v>94</v>
      </c>
      <c r="B1122" s="55" t="s">
        <v>490</v>
      </c>
      <c r="C1122" s="56" t="s">
        <v>491</v>
      </c>
      <c r="D1122" s="57" t="s">
        <v>96</v>
      </c>
      <c r="E1122" s="57" t="s">
        <v>350</v>
      </c>
      <c r="F1122" s="61" t="s">
        <v>351</v>
      </c>
      <c r="G1122" s="55" t="s">
        <v>352</v>
      </c>
      <c r="H1122" s="56" t="str">
        <f aca="false">IF(COUNTIFS(SITE_ST,"P9-014",SITE_TYPE,"?*")&gt;0,"ตามจุดติดตั้ง →","0/100")</f>
        <v>ตามจุดติดตั้ง →</v>
      </c>
      <c r="I1122" s="58" t="n">
        <f aca="false">'P9-014'!$N$80</f>
        <v>46345</v>
      </c>
      <c r="J1122" s="58" t="n">
        <f aca="false">'P9-014'!$O$80</f>
        <v>46347</v>
      </c>
      <c r="K1122" s="56" t="str">
        <f aca="false">IF(OR(L1122="Y",LEFT('P9-014'!$T$80,1)="D"),"",IF(AND(ISNUMBER(J1122),J1122&lt;ASOF),"⚠ เลยกำหนด",IF(AND(ISNUMBER(I1122),I1122&lt;=ASOF+14,J1122&gt;=ASOF-7),"ช่วงนี้","")))</f>
        <v/>
      </c>
      <c r="L1122" s="59"/>
      <c r="M1122" s="60"/>
    </row>
    <row r="1123" customFormat="false" ht="15" hidden="false" customHeight="false" outlineLevel="0" collapsed="false">
      <c r="A1123" s="54" t="s">
        <v>94</v>
      </c>
      <c r="B1123" s="55" t="s">
        <v>490</v>
      </c>
      <c r="C1123" s="56" t="s">
        <v>491</v>
      </c>
      <c r="D1123" s="57" t="s">
        <v>96</v>
      </c>
      <c r="E1123" s="57" t="s">
        <v>353</v>
      </c>
      <c r="F1123" s="61" t="s">
        <v>354</v>
      </c>
      <c r="G1123" s="55" t="s">
        <v>355</v>
      </c>
      <c r="H1123" s="56" t="str">
        <f aca="false">IF(COUNTIFS(SITE_ST,"P9-014",SITE_TYPE,"?*")&gt;0,"ตามจุดติดตั้ง →","0/100")</f>
        <v>ตามจุดติดตั้ง →</v>
      </c>
      <c r="I1123" s="58" t="n">
        <f aca="false">'P9-014'!$N$81</f>
        <v>46347</v>
      </c>
      <c r="J1123" s="58" t="n">
        <f aca="false">'P9-014'!$O$81</f>
        <v>46347</v>
      </c>
      <c r="K1123" s="56" t="str">
        <f aca="false">IF(OR(L1123="Y",LEFT('P9-014'!$T$81,1)="D"),"",IF(AND(ISNUMBER(J1123),J1123&lt;ASOF),"⚠ เลยกำหนด",IF(AND(ISNUMBER(I1123),I1123&lt;=ASOF+14,J1123&gt;=ASOF-7),"ช่วงนี้","")))</f>
        <v/>
      </c>
      <c r="L1123" s="59"/>
      <c r="M1123" s="60"/>
    </row>
    <row r="1124" customFormat="false" ht="15" hidden="false" customHeight="false" outlineLevel="0" collapsed="false">
      <c r="A1124" s="54" t="s">
        <v>94</v>
      </c>
      <c r="B1124" s="55" t="s">
        <v>490</v>
      </c>
      <c r="C1124" s="56" t="s">
        <v>491</v>
      </c>
      <c r="D1124" s="57" t="s">
        <v>96</v>
      </c>
      <c r="E1124" s="57" t="s">
        <v>356</v>
      </c>
      <c r="F1124" s="55" t="s">
        <v>357</v>
      </c>
      <c r="G1124" s="55" t="s">
        <v>358</v>
      </c>
      <c r="H1124" s="57" t="s">
        <v>211</v>
      </c>
      <c r="I1124" s="58" t="n">
        <f aca="false">'P9-014'!$N$83</f>
        <v>46345</v>
      </c>
      <c r="J1124" s="58" t="n">
        <f aca="false">'P9-014'!$O$83</f>
        <v>46346</v>
      </c>
      <c r="K1124" s="56" t="str">
        <f aca="false">IF(OR(L1124="Y",LEFT('P9-014'!$T$83,1)="D"),"",IF(AND(ISNUMBER(J1124),J1124&lt;ASOF),"⚠ เลยกำหนด",IF(AND(ISNUMBER(I1124),I1124&lt;=ASOF+14,J1124&gt;=ASOF-7),"ช่วงนี้","")))</f>
        <v/>
      </c>
      <c r="L1124" s="59"/>
      <c r="M1124" s="60"/>
    </row>
    <row r="1125" customFormat="false" ht="15" hidden="false" customHeight="false" outlineLevel="0" collapsed="false">
      <c r="A1125" s="54" t="s">
        <v>94</v>
      </c>
      <c r="B1125" s="55" t="s">
        <v>490</v>
      </c>
      <c r="C1125" s="56" t="s">
        <v>491</v>
      </c>
      <c r="D1125" s="57" t="s">
        <v>96</v>
      </c>
      <c r="E1125" s="57" t="s">
        <v>359</v>
      </c>
      <c r="F1125" s="55" t="s">
        <v>360</v>
      </c>
      <c r="G1125" s="55" t="s">
        <v>361</v>
      </c>
      <c r="H1125" s="57" t="s">
        <v>211</v>
      </c>
      <c r="I1125" s="58" t="n">
        <f aca="false">'P9-014'!$N$84</f>
        <v>46346</v>
      </c>
      <c r="J1125" s="58" t="n">
        <f aca="false">'P9-014'!$O$84</f>
        <v>46347</v>
      </c>
      <c r="K1125" s="56" t="str">
        <f aca="false">IF(OR(L1125="Y",LEFT('P9-014'!$T$84,1)="D"),"",IF(AND(ISNUMBER(J1125),J1125&lt;ASOF),"⚠ เลยกำหนด",IF(AND(ISNUMBER(I1125),I1125&lt;=ASOF+14,J1125&gt;=ASOF-7),"ช่วงนี้","")))</f>
        <v/>
      </c>
      <c r="L1125" s="59"/>
      <c r="M1125" s="60"/>
    </row>
    <row r="1126" customFormat="false" ht="15" hidden="false" customHeight="false" outlineLevel="0" collapsed="false">
      <c r="A1126" s="54" t="s">
        <v>94</v>
      </c>
      <c r="B1126" s="55" t="s">
        <v>490</v>
      </c>
      <c r="C1126" s="56" t="s">
        <v>491</v>
      </c>
      <c r="D1126" s="57" t="s">
        <v>96</v>
      </c>
      <c r="E1126" s="57" t="s">
        <v>362</v>
      </c>
      <c r="F1126" s="61" t="s">
        <v>363</v>
      </c>
      <c r="G1126" s="61" t="s">
        <v>364</v>
      </c>
      <c r="H1126" s="56" t="s">
        <v>365</v>
      </c>
      <c r="I1126" s="58" t="n">
        <f aca="false">'P9-014'!$N$86</f>
        <v>46343</v>
      </c>
      <c r="J1126" s="58" t="n">
        <f aca="false">'P9-014'!$O$86</f>
        <v>46345</v>
      </c>
      <c r="K1126" s="56" t="str">
        <f aca="false">IF(OR(L1126="Y",LEFT('P9-014'!$T$86,1)="D"),"",IF(AND(ISNUMBER(J1126),J1126&lt;ASOF),"⚠ เลยกำหนด",IF(AND(ISNUMBER(I1126),I1126&lt;=ASOF+14,J1126&gt;=ASOF-7),"ช่วงนี้","")))</f>
        <v/>
      </c>
      <c r="L1126" s="59"/>
      <c r="M1126" s="60"/>
    </row>
    <row r="1127" customFormat="false" ht="15" hidden="false" customHeight="false" outlineLevel="0" collapsed="false">
      <c r="A1127" s="54" t="s">
        <v>94</v>
      </c>
      <c r="B1127" s="55" t="s">
        <v>490</v>
      </c>
      <c r="C1127" s="56" t="s">
        <v>491</v>
      </c>
      <c r="D1127" s="57" t="s">
        <v>96</v>
      </c>
      <c r="E1127" s="57" t="s">
        <v>366</v>
      </c>
      <c r="F1127" s="61" t="s">
        <v>367</v>
      </c>
      <c r="G1127" s="61" t="s">
        <v>368</v>
      </c>
      <c r="H1127" s="57" t="s">
        <v>369</v>
      </c>
      <c r="I1127" s="58" t="n">
        <f aca="false">'P9-014'!$N$87</f>
        <v>46344</v>
      </c>
      <c r="J1127" s="58" t="n">
        <f aca="false">'P9-014'!$O$87</f>
        <v>46346</v>
      </c>
      <c r="K1127" s="56" t="str">
        <f aca="false">IF(OR(L1127="Y",LEFT('P9-014'!$T$87,1)="D"),"",IF(AND(ISNUMBER(J1127),J1127&lt;ASOF),"⚠ เลยกำหนด",IF(AND(ISNUMBER(I1127),I1127&lt;=ASOF+14,J1127&gt;=ASOF-7),"ช่วงนี้","")))</f>
        <v/>
      </c>
      <c r="L1127" s="59"/>
      <c r="M1127" s="60"/>
    </row>
    <row r="1128" customFormat="false" ht="15" hidden="false" customHeight="false" outlineLevel="0" collapsed="false">
      <c r="A1128" s="54" t="s">
        <v>94</v>
      </c>
      <c r="B1128" s="55" t="s">
        <v>490</v>
      </c>
      <c r="C1128" s="56" t="s">
        <v>491</v>
      </c>
      <c r="D1128" s="57" t="s">
        <v>96</v>
      </c>
      <c r="E1128" s="57" t="s">
        <v>370</v>
      </c>
      <c r="F1128" s="55" t="s">
        <v>371</v>
      </c>
      <c r="G1128" s="55" t="s">
        <v>372</v>
      </c>
      <c r="H1128" s="57" t="s">
        <v>211</v>
      </c>
      <c r="I1128" s="58" t="n">
        <f aca="false">'P9-014'!$N$88</f>
        <v>46345</v>
      </c>
      <c r="J1128" s="58" t="n">
        <f aca="false">'P9-014'!$O$88</f>
        <v>46346</v>
      </c>
      <c r="K1128" s="56" t="str">
        <f aca="false">IF(OR(L1128="Y",LEFT('P9-014'!$T$88,1)="D"),"",IF(AND(ISNUMBER(J1128),J1128&lt;ASOF),"⚠ เลยกำหนด",IF(AND(ISNUMBER(I1128),I1128&lt;=ASOF+14,J1128&gt;=ASOF-7),"ช่วงนี้","")))</f>
        <v/>
      </c>
      <c r="L1128" s="59"/>
      <c r="M1128" s="60"/>
    </row>
    <row r="1129" customFormat="false" ht="15" hidden="false" customHeight="false" outlineLevel="0" collapsed="false">
      <c r="A1129" s="54" t="s">
        <v>94</v>
      </c>
      <c r="B1129" s="55" t="s">
        <v>490</v>
      </c>
      <c r="C1129" s="56" t="s">
        <v>491</v>
      </c>
      <c r="D1129" s="57" t="s">
        <v>96</v>
      </c>
      <c r="E1129" s="57" t="s">
        <v>373</v>
      </c>
      <c r="F1129" s="61" t="s">
        <v>374</v>
      </c>
      <c r="G1129" s="55" t="s">
        <v>375</v>
      </c>
      <c r="H1129" s="57" t="s">
        <v>211</v>
      </c>
      <c r="I1129" s="58" t="n">
        <f aca="false">'P9-014'!$N$89</f>
        <v>46346</v>
      </c>
      <c r="J1129" s="58" t="n">
        <f aca="false">'P9-014'!$O$89</f>
        <v>46346</v>
      </c>
      <c r="K1129" s="56" t="str">
        <f aca="false">IF(OR(L1129="Y",LEFT('P9-014'!$T$89,1)="D"),"",IF(AND(ISNUMBER(J1129),J1129&lt;ASOF),"⚠ เลยกำหนด",IF(AND(ISNUMBER(I1129),I1129&lt;=ASOF+14,J1129&gt;=ASOF-7),"ช่วงนี้","")))</f>
        <v/>
      </c>
      <c r="L1129" s="59"/>
      <c r="M1129" s="60"/>
    </row>
    <row r="1130" customFormat="false" ht="15" hidden="false" customHeight="false" outlineLevel="0" collapsed="false">
      <c r="A1130" s="54" t="s">
        <v>94</v>
      </c>
      <c r="B1130" s="55" t="s">
        <v>490</v>
      </c>
      <c r="C1130" s="56" t="s">
        <v>491</v>
      </c>
      <c r="D1130" s="57" t="s">
        <v>96</v>
      </c>
      <c r="E1130" s="57" t="s">
        <v>376</v>
      </c>
      <c r="F1130" s="55" t="s">
        <v>377</v>
      </c>
      <c r="G1130" s="55" t="s">
        <v>378</v>
      </c>
      <c r="H1130" s="57" t="s">
        <v>369</v>
      </c>
      <c r="I1130" s="58" t="n">
        <f aca="false">'P9-014'!$N$91</f>
        <v>46344</v>
      </c>
      <c r="J1130" s="58" t="n">
        <f aca="false">'P9-014'!$O$91</f>
        <v>46346</v>
      </c>
      <c r="K1130" s="56" t="str">
        <f aca="false">IF(OR(L1130="Y",LEFT('P9-014'!$T$91,1)="D"),"",IF(AND(ISNUMBER(J1130),J1130&lt;ASOF),"⚠ เลยกำหนด",IF(AND(ISNUMBER(I1130),I1130&lt;=ASOF+14,J1130&gt;=ASOF-7),"ช่วงนี้","")))</f>
        <v/>
      </c>
      <c r="L1130" s="59"/>
      <c r="M1130" s="60"/>
    </row>
    <row r="1131" customFormat="false" ht="15" hidden="false" customHeight="false" outlineLevel="0" collapsed="false">
      <c r="A1131" s="54" t="s">
        <v>94</v>
      </c>
      <c r="B1131" s="55" t="s">
        <v>490</v>
      </c>
      <c r="C1131" s="56" t="s">
        <v>491</v>
      </c>
      <c r="D1131" s="57" t="s">
        <v>96</v>
      </c>
      <c r="E1131" s="57" t="s">
        <v>379</v>
      </c>
      <c r="F1131" s="61" t="s">
        <v>380</v>
      </c>
      <c r="G1131" s="61" t="s">
        <v>381</v>
      </c>
      <c r="H1131" s="57" t="s">
        <v>211</v>
      </c>
      <c r="I1131" s="58" t="n">
        <f aca="false">'P9-014'!$N$92</f>
        <v>46346</v>
      </c>
      <c r="J1131" s="58" t="n">
        <f aca="false">'P9-014'!$O$92</f>
        <v>46347</v>
      </c>
      <c r="K1131" s="56" t="str">
        <f aca="false">IF(OR(L1131="Y",LEFT('P9-014'!$T$92,1)="D"),"",IF(AND(ISNUMBER(J1131),J1131&lt;ASOF),"⚠ เลยกำหนด",IF(AND(ISNUMBER(I1131),I1131&lt;=ASOF+14,J1131&gt;=ASOF-7),"ช่วงนี้","")))</f>
        <v/>
      </c>
      <c r="L1131" s="59"/>
      <c r="M1131" s="60"/>
    </row>
    <row r="1132" customFormat="false" ht="15" hidden="false" customHeight="false" outlineLevel="0" collapsed="false">
      <c r="A1132" s="54" t="s">
        <v>94</v>
      </c>
      <c r="B1132" s="55" t="s">
        <v>490</v>
      </c>
      <c r="C1132" s="56" t="s">
        <v>491</v>
      </c>
      <c r="D1132" s="57" t="s">
        <v>96</v>
      </c>
      <c r="E1132" s="57" t="s">
        <v>382</v>
      </c>
      <c r="F1132" s="55" t="s">
        <v>383</v>
      </c>
      <c r="G1132" s="55" t="s">
        <v>384</v>
      </c>
      <c r="H1132" s="57" t="s">
        <v>369</v>
      </c>
      <c r="I1132" s="58" t="n">
        <f aca="false">'P9-014'!$N$93</f>
        <v>46344</v>
      </c>
      <c r="J1132" s="58" t="n">
        <f aca="false">'P9-014'!$O$93</f>
        <v>46346</v>
      </c>
      <c r="K1132" s="56" t="str">
        <f aca="false">IF(OR(L1132="Y",LEFT('P9-014'!$T$93,1)="D"),"",IF(AND(ISNUMBER(J1132),J1132&lt;ASOF),"⚠ เลยกำหนด",IF(AND(ISNUMBER(I1132),I1132&lt;=ASOF+14,J1132&gt;=ASOF-7),"ช่วงนี้","")))</f>
        <v/>
      </c>
      <c r="L1132" s="59"/>
      <c r="M1132" s="60"/>
    </row>
    <row r="1133" customFormat="false" ht="15" hidden="false" customHeight="false" outlineLevel="0" collapsed="false">
      <c r="A1133" s="54" t="s">
        <v>94</v>
      </c>
      <c r="B1133" s="55" t="s">
        <v>490</v>
      </c>
      <c r="C1133" s="56" t="s">
        <v>491</v>
      </c>
      <c r="D1133" s="57" t="s">
        <v>96</v>
      </c>
      <c r="E1133" s="57" t="s">
        <v>385</v>
      </c>
      <c r="F1133" s="55" t="s">
        <v>386</v>
      </c>
      <c r="G1133" s="55" t="s">
        <v>387</v>
      </c>
      <c r="H1133" s="57" t="s">
        <v>211</v>
      </c>
      <c r="I1133" s="58" t="n">
        <f aca="false">'P9-014'!$N$94</f>
        <v>46346</v>
      </c>
      <c r="J1133" s="58" t="n">
        <f aca="false">'P9-014'!$O$94</f>
        <v>46347</v>
      </c>
      <c r="K1133" s="56" t="str">
        <f aca="false">IF(OR(L1133="Y",LEFT('P9-014'!$T$94,1)="D"),"",IF(AND(ISNUMBER(J1133),J1133&lt;ASOF),"⚠ เลยกำหนด",IF(AND(ISNUMBER(I1133),I1133&lt;=ASOF+14,J1133&gt;=ASOF-7),"ช่วงนี้","")))</f>
        <v/>
      </c>
      <c r="L1133" s="59"/>
      <c r="M1133" s="60"/>
    </row>
    <row r="1134" customFormat="false" ht="15" hidden="false" customHeight="false" outlineLevel="0" collapsed="false">
      <c r="A1134" s="54" t="s">
        <v>94</v>
      </c>
      <c r="B1134" s="55" t="s">
        <v>490</v>
      </c>
      <c r="C1134" s="56" t="s">
        <v>491</v>
      </c>
      <c r="D1134" s="57" t="s">
        <v>96</v>
      </c>
      <c r="E1134" s="57" t="s">
        <v>388</v>
      </c>
      <c r="F1134" s="61" t="s">
        <v>389</v>
      </c>
      <c r="G1134" s="55" t="s">
        <v>390</v>
      </c>
      <c r="H1134" s="57" t="s">
        <v>211</v>
      </c>
      <c r="I1134" s="58" t="n">
        <f aca="false">'P9-014'!$N$95</f>
        <v>46347</v>
      </c>
      <c r="J1134" s="58" t="n">
        <f aca="false">'P9-014'!$O$95</f>
        <v>46347</v>
      </c>
      <c r="K1134" s="56" t="str">
        <f aca="false">IF(OR(L1134="Y",LEFT('P9-014'!$T$95,1)="D"),"",IF(AND(ISNUMBER(J1134),J1134&lt;ASOF),"⚠ เลยกำหนด",IF(AND(ISNUMBER(I1134),I1134&lt;=ASOF+14,J1134&gt;=ASOF-7),"ช่วงนี้","")))</f>
        <v/>
      </c>
      <c r="L1134" s="59"/>
      <c r="M1134" s="60"/>
    </row>
    <row r="1135" customFormat="false" ht="15" hidden="false" customHeight="false" outlineLevel="0" collapsed="false">
      <c r="A1135" s="54" t="s">
        <v>94</v>
      </c>
      <c r="B1135" s="55" t="s">
        <v>490</v>
      </c>
      <c r="C1135" s="56" t="s">
        <v>491</v>
      </c>
      <c r="D1135" s="57" t="s">
        <v>96</v>
      </c>
      <c r="E1135" s="57" t="s">
        <v>391</v>
      </c>
      <c r="F1135" s="55" t="s">
        <v>392</v>
      </c>
      <c r="G1135" s="55" t="s">
        <v>393</v>
      </c>
      <c r="H1135" s="57" t="s">
        <v>369</v>
      </c>
      <c r="I1135" s="58" t="n">
        <f aca="false">'P9-014'!$N$97</f>
        <v>46345</v>
      </c>
      <c r="J1135" s="58" t="n">
        <f aca="false">'P9-014'!$O$97</f>
        <v>46347</v>
      </c>
      <c r="K1135" s="56" t="str">
        <f aca="false">IF(OR(L1135="Y",LEFT('P9-014'!$T$97,1)="D"),"",IF(AND(ISNUMBER(J1135),J1135&lt;ASOF),"⚠ เลยกำหนด",IF(AND(ISNUMBER(I1135),I1135&lt;=ASOF+14,J1135&gt;=ASOF-7),"ช่วงนี้","")))</f>
        <v/>
      </c>
      <c r="L1135" s="59"/>
      <c r="M1135" s="60"/>
    </row>
    <row r="1136" customFormat="false" ht="15" hidden="false" customHeight="false" outlineLevel="0" collapsed="false">
      <c r="A1136" s="54" t="s">
        <v>94</v>
      </c>
      <c r="B1136" s="55" t="s">
        <v>490</v>
      </c>
      <c r="C1136" s="56" t="s">
        <v>491</v>
      </c>
      <c r="D1136" s="57" t="s">
        <v>96</v>
      </c>
      <c r="E1136" s="57" t="s">
        <v>394</v>
      </c>
      <c r="F1136" s="55" t="s">
        <v>395</v>
      </c>
      <c r="G1136" s="55" t="s">
        <v>396</v>
      </c>
      <c r="H1136" s="57" t="s">
        <v>211</v>
      </c>
      <c r="I1136" s="58" t="n">
        <f aca="false">'P9-014'!$N$98</f>
        <v>46346</v>
      </c>
      <c r="J1136" s="58" t="n">
        <f aca="false">'P9-014'!$O$98</f>
        <v>46347</v>
      </c>
      <c r="K1136" s="56" t="str">
        <f aca="false">IF(OR(L1136="Y",LEFT('P9-014'!$T$98,1)="D"),"",IF(AND(ISNUMBER(J1136),J1136&lt;ASOF),"⚠ เลยกำหนด",IF(AND(ISNUMBER(I1136),I1136&lt;=ASOF+14,J1136&gt;=ASOF-7),"ช่วงนี้","")))</f>
        <v/>
      </c>
      <c r="L1136" s="59"/>
      <c r="M1136" s="60"/>
    </row>
    <row r="1137" customFormat="false" ht="15" hidden="false" customHeight="false" outlineLevel="0" collapsed="false">
      <c r="A1137" s="54" t="s">
        <v>94</v>
      </c>
      <c r="B1137" s="55" t="s">
        <v>490</v>
      </c>
      <c r="C1137" s="56" t="s">
        <v>491</v>
      </c>
      <c r="D1137" s="57" t="s">
        <v>96</v>
      </c>
      <c r="E1137" s="57" t="s">
        <v>397</v>
      </c>
      <c r="F1137" s="61" t="s">
        <v>398</v>
      </c>
      <c r="G1137" s="55" t="s">
        <v>399</v>
      </c>
      <c r="H1137" s="57" t="s">
        <v>211</v>
      </c>
      <c r="I1137" s="58" t="n">
        <f aca="false">'P9-014'!$N$99</f>
        <v>46347</v>
      </c>
      <c r="J1137" s="58" t="n">
        <f aca="false">'P9-014'!$O$99</f>
        <v>46347</v>
      </c>
      <c r="K1137" s="56" t="str">
        <f aca="false">IF(OR(L1137="Y",LEFT('P9-014'!$T$99,1)="D"),"",IF(AND(ISNUMBER(J1137),J1137&lt;ASOF),"⚠ เลยกำหนด",IF(AND(ISNUMBER(I1137),I1137&lt;=ASOF+14,J1137&gt;=ASOF-7),"ช่วงนี้","")))</f>
        <v/>
      </c>
      <c r="L1137" s="59"/>
      <c r="M1137" s="60"/>
    </row>
    <row r="1138" customFormat="false" ht="15" hidden="false" customHeight="false" outlineLevel="0" collapsed="false">
      <c r="A1138" s="54" t="s">
        <v>94</v>
      </c>
      <c r="B1138" s="55" t="s">
        <v>490</v>
      </c>
      <c r="C1138" s="56" t="s">
        <v>491</v>
      </c>
      <c r="D1138" s="57" t="s">
        <v>96</v>
      </c>
      <c r="E1138" s="57" t="s">
        <v>400</v>
      </c>
      <c r="F1138" s="55" t="s">
        <v>401</v>
      </c>
      <c r="G1138" s="55" t="s">
        <v>402</v>
      </c>
      <c r="H1138" s="57" t="s">
        <v>211</v>
      </c>
      <c r="I1138" s="58" t="n">
        <f aca="false">'P9-014'!$N$102</f>
        <v>46346</v>
      </c>
      <c r="J1138" s="58" t="n">
        <f aca="false">'P9-014'!$O$102</f>
        <v>46347</v>
      </c>
      <c r="K1138" s="56" t="str">
        <f aca="false">IF(OR(L1138="Y",LEFT('P9-014'!$T$102,1)="D"),"",IF(AND(ISNUMBER(J1138),J1138&lt;ASOF),"⚠ เลยกำหนด",IF(AND(ISNUMBER(I1138),I1138&lt;=ASOF+14,J1138&gt;=ASOF-7),"ช่วงนี้","")))</f>
        <v/>
      </c>
      <c r="L1138" s="59"/>
      <c r="M1138" s="60"/>
    </row>
    <row r="1139" customFormat="false" ht="15" hidden="false" customHeight="false" outlineLevel="0" collapsed="false">
      <c r="A1139" s="54" t="s">
        <v>94</v>
      </c>
      <c r="B1139" s="55" t="s">
        <v>490</v>
      </c>
      <c r="C1139" s="56" t="s">
        <v>491</v>
      </c>
      <c r="D1139" s="57" t="s">
        <v>96</v>
      </c>
      <c r="E1139" s="57" t="s">
        <v>403</v>
      </c>
      <c r="F1139" s="55" t="s">
        <v>404</v>
      </c>
      <c r="G1139" s="55" t="s">
        <v>405</v>
      </c>
      <c r="H1139" s="57" t="s">
        <v>211</v>
      </c>
      <c r="I1139" s="58" t="n">
        <f aca="false">'P9-014'!$N$104</f>
        <v>46347</v>
      </c>
      <c r="J1139" s="58" t="n">
        <f aca="false">'P9-014'!$O$104</f>
        <v>46348</v>
      </c>
      <c r="K1139" s="56" t="str">
        <f aca="false">IF(OR(L1139="Y",LEFT('P9-014'!$T$104,1)="D"),"",IF(AND(ISNUMBER(J1139),J1139&lt;ASOF),"⚠ เลยกำหนด",IF(AND(ISNUMBER(I1139),I1139&lt;=ASOF+14,J1139&gt;=ASOF-7),"ช่วงนี้","")))</f>
        <v/>
      </c>
      <c r="L1139" s="59"/>
      <c r="M1139" s="60"/>
    </row>
    <row r="1140" customFormat="false" ht="15" hidden="false" customHeight="false" outlineLevel="0" collapsed="false">
      <c r="A1140" s="54" t="s">
        <v>94</v>
      </c>
      <c r="B1140" s="55" t="s">
        <v>490</v>
      </c>
      <c r="C1140" s="56" t="s">
        <v>491</v>
      </c>
      <c r="D1140" s="57" t="s">
        <v>96</v>
      </c>
      <c r="E1140" s="57" t="s">
        <v>406</v>
      </c>
      <c r="F1140" s="55" t="s">
        <v>407</v>
      </c>
      <c r="G1140" s="55" t="s">
        <v>408</v>
      </c>
      <c r="H1140" s="57" t="s">
        <v>211</v>
      </c>
      <c r="I1140" s="58" t="n">
        <f aca="false">'P9-014'!$N$105</f>
        <v>46347</v>
      </c>
      <c r="J1140" s="58" t="n">
        <f aca="false">'P9-014'!$O$105</f>
        <v>46348</v>
      </c>
      <c r="K1140" s="56" t="str">
        <f aca="false">IF(OR(L1140="Y",LEFT('P9-014'!$T$105,1)="D"),"",IF(AND(ISNUMBER(J1140),J1140&lt;ASOF),"⚠ เลยกำหนด",IF(AND(ISNUMBER(I1140),I1140&lt;=ASOF+14,J1140&gt;=ASOF-7),"ช่วงนี้","")))</f>
        <v/>
      </c>
      <c r="L1140" s="59"/>
      <c r="M1140" s="60"/>
    </row>
    <row r="1141" customFormat="false" ht="15" hidden="false" customHeight="false" outlineLevel="0" collapsed="false">
      <c r="A1141" s="54" t="s">
        <v>94</v>
      </c>
      <c r="B1141" s="55" t="s">
        <v>490</v>
      </c>
      <c r="C1141" s="56" t="s">
        <v>491</v>
      </c>
      <c r="D1141" s="57" t="s">
        <v>96</v>
      </c>
      <c r="E1141" s="57" t="s">
        <v>409</v>
      </c>
      <c r="F1141" s="61" t="s">
        <v>410</v>
      </c>
      <c r="G1141" s="55" t="s">
        <v>411</v>
      </c>
      <c r="H1141" s="57" t="s">
        <v>211</v>
      </c>
      <c r="I1141" s="58" t="n">
        <f aca="false">'P9-014'!$N$106</f>
        <v>46348</v>
      </c>
      <c r="J1141" s="58" t="n">
        <f aca="false">'P9-014'!$O$106</f>
        <v>46348</v>
      </c>
      <c r="K1141" s="56" t="str">
        <f aca="false">IF(OR(L1141="Y",LEFT('P9-014'!$T$106,1)="D"),"",IF(AND(ISNUMBER(J1141),J1141&lt;ASOF),"⚠ เลยกำหนด",IF(AND(ISNUMBER(I1141),I1141&lt;=ASOF+14,J1141&gt;=ASOF-7),"ช่วงนี้","")))</f>
        <v/>
      </c>
      <c r="L1141" s="59"/>
      <c r="M1141" s="60"/>
    </row>
    <row r="1142" customFormat="false" ht="15" hidden="false" customHeight="false" outlineLevel="0" collapsed="false">
      <c r="A1142" s="54" t="s">
        <v>94</v>
      </c>
      <c r="B1142" s="55" t="s">
        <v>490</v>
      </c>
      <c r="C1142" s="56" t="s">
        <v>491</v>
      </c>
      <c r="D1142" s="57" t="s">
        <v>96</v>
      </c>
      <c r="E1142" s="57" t="s">
        <v>412</v>
      </c>
      <c r="F1142" s="61" t="s">
        <v>413</v>
      </c>
      <c r="G1142" s="61" t="s">
        <v>414</v>
      </c>
      <c r="H1142" s="57" t="s">
        <v>211</v>
      </c>
      <c r="I1142" s="58" t="n">
        <f aca="false">'P9-014'!$N$108</f>
        <v>46347</v>
      </c>
      <c r="J1142" s="58" t="n">
        <f aca="false">'P9-014'!$O$108</f>
        <v>46348</v>
      </c>
      <c r="K1142" s="56" t="str">
        <f aca="false">IF(OR(L1142="Y",LEFT('P9-014'!$T$108,1)="D"),"",IF(AND(ISNUMBER(J1142),J1142&lt;ASOF),"⚠ เลยกำหนด",IF(AND(ISNUMBER(I1142),I1142&lt;=ASOF+14,J1142&gt;=ASOF-7),"ช่วงนี้","")))</f>
        <v/>
      </c>
      <c r="L1142" s="59"/>
      <c r="M1142" s="60"/>
    </row>
    <row r="1143" customFormat="false" ht="15" hidden="false" customHeight="false" outlineLevel="0" collapsed="false">
      <c r="A1143" s="54" t="s">
        <v>94</v>
      </c>
      <c r="B1143" s="55" t="s">
        <v>490</v>
      </c>
      <c r="C1143" s="56" t="s">
        <v>491</v>
      </c>
      <c r="D1143" s="57" t="s">
        <v>96</v>
      </c>
      <c r="E1143" s="57" t="s">
        <v>415</v>
      </c>
      <c r="F1143" s="55" t="s">
        <v>416</v>
      </c>
      <c r="G1143" s="55" t="s">
        <v>417</v>
      </c>
      <c r="H1143" s="57" t="s">
        <v>211</v>
      </c>
      <c r="I1143" s="58" t="n">
        <f aca="false">'P9-014'!$N$109</f>
        <v>46348</v>
      </c>
      <c r="J1143" s="58" t="n">
        <f aca="false">'P9-014'!$O$109</f>
        <v>46348</v>
      </c>
      <c r="K1143" s="56" t="str">
        <f aca="false">IF(OR(L1143="Y",LEFT('P9-014'!$T$109,1)="D"),"",IF(AND(ISNUMBER(J1143),J1143&lt;ASOF),"⚠ เลยกำหนด",IF(AND(ISNUMBER(I1143),I1143&lt;=ASOF+14,J1143&gt;=ASOF-7),"ช่วงนี้","")))</f>
        <v/>
      </c>
      <c r="L1143" s="59"/>
      <c r="M1143" s="60"/>
    </row>
    <row r="1144" customFormat="false" ht="15" hidden="false" customHeight="false" outlineLevel="0" collapsed="false">
      <c r="A1144" s="54" t="s">
        <v>94</v>
      </c>
      <c r="B1144" s="55" t="s">
        <v>490</v>
      </c>
      <c r="C1144" s="56" t="s">
        <v>491</v>
      </c>
      <c r="D1144" s="57" t="s">
        <v>96</v>
      </c>
      <c r="E1144" s="57" t="s">
        <v>418</v>
      </c>
      <c r="F1144" s="61" t="s">
        <v>419</v>
      </c>
      <c r="G1144" s="55" t="s">
        <v>420</v>
      </c>
      <c r="H1144" s="57" t="s">
        <v>211</v>
      </c>
      <c r="I1144" s="58" t="n">
        <f aca="false">'P9-014'!$N$110</f>
        <v>46347</v>
      </c>
      <c r="J1144" s="58" t="n">
        <f aca="false">'P9-014'!$O$110</f>
        <v>46348</v>
      </c>
      <c r="K1144" s="56" t="str">
        <f aca="false">IF(OR(L1144="Y",LEFT('P9-014'!$T$110,1)="D"),"",IF(AND(ISNUMBER(J1144),J1144&lt;ASOF),"⚠ เลยกำหนด",IF(AND(ISNUMBER(I1144),I1144&lt;=ASOF+14,J1144&gt;=ASOF-7),"ช่วงนี้","")))</f>
        <v/>
      </c>
      <c r="L1144" s="59"/>
      <c r="M1144" s="60"/>
    </row>
    <row r="1145" customFormat="false" ht="15" hidden="false" customHeight="false" outlineLevel="0" collapsed="false">
      <c r="A1145" s="54" t="s">
        <v>94</v>
      </c>
      <c r="B1145" s="55" t="s">
        <v>490</v>
      </c>
      <c r="C1145" s="56" t="s">
        <v>491</v>
      </c>
      <c r="D1145" s="57" t="s">
        <v>96</v>
      </c>
      <c r="E1145" s="57" t="s">
        <v>421</v>
      </c>
      <c r="F1145" s="55" t="s">
        <v>422</v>
      </c>
      <c r="G1145" s="55" t="s">
        <v>423</v>
      </c>
      <c r="H1145" s="56" t="str">
        <f aca="false">IF(COUNTIFS(SITE_ST,"P9-014",SITE_TYPE,"?*")&gt;0,"ตามจุดติดตั้ง →","0/100")</f>
        <v>ตามจุดติดตั้ง →</v>
      </c>
      <c r="I1145" s="58" t="n">
        <f aca="false">'P9-014'!$N$112</f>
        <v>46349</v>
      </c>
      <c r="J1145" s="58" t="n">
        <f aca="false">'P9-014'!$O$112</f>
        <v>46349</v>
      </c>
      <c r="K1145" s="56" t="str">
        <f aca="false">IF(OR(L1145="Y",LEFT('P9-014'!$T$112,1)="D"),"",IF(AND(ISNUMBER(J1145),J1145&lt;ASOF),"⚠ เลยกำหนด",IF(AND(ISNUMBER(I1145),I1145&lt;=ASOF+14,J1145&gt;=ASOF-7),"ช่วงนี้","")))</f>
        <v/>
      </c>
      <c r="L1145" s="59"/>
      <c r="M1145" s="60"/>
    </row>
    <row r="1146" customFormat="false" ht="15" hidden="false" customHeight="false" outlineLevel="0" collapsed="false">
      <c r="A1146" s="54" t="s">
        <v>94</v>
      </c>
      <c r="B1146" s="55" t="s">
        <v>490</v>
      </c>
      <c r="C1146" s="56" t="s">
        <v>491</v>
      </c>
      <c r="D1146" s="57" t="s">
        <v>96</v>
      </c>
      <c r="E1146" s="57" t="s">
        <v>424</v>
      </c>
      <c r="F1146" s="55" t="s">
        <v>425</v>
      </c>
      <c r="G1146" s="55" t="s">
        <v>426</v>
      </c>
      <c r="H1146" s="56" t="str">
        <f aca="false">IF(COUNTIFS(SITE_ST,"P9-014",SITE_TYPE,"?*")&gt;0,"ตามจุดติดตั้ง →","0/100")</f>
        <v>ตามจุดติดตั้ง →</v>
      </c>
      <c r="I1146" s="58" t="n">
        <f aca="false">'P9-014'!$N$113</f>
        <v>46349</v>
      </c>
      <c r="J1146" s="58" t="n">
        <f aca="false">'P9-014'!$O$113</f>
        <v>46349</v>
      </c>
      <c r="K1146" s="56" t="str">
        <f aca="false">IF(OR(L1146="Y",LEFT('P9-014'!$T$113,1)="D"),"",IF(AND(ISNUMBER(J1146),J1146&lt;ASOF),"⚠ เลยกำหนด",IF(AND(ISNUMBER(I1146),I1146&lt;=ASOF+14,J1146&gt;=ASOF-7),"ช่วงนี้","")))</f>
        <v/>
      </c>
      <c r="L1146" s="59"/>
      <c r="M1146" s="60"/>
    </row>
    <row r="1147" customFormat="false" ht="15" hidden="false" customHeight="false" outlineLevel="0" collapsed="false">
      <c r="A1147" s="54" t="s">
        <v>94</v>
      </c>
      <c r="B1147" s="55" t="s">
        <v>490</v>
      </c>
      <c r="C1147" s="56" t="s">
        <v>491</v>
      </c>
      <c r="D1147" s="57" t="s">
        <v>96</v>
      </c>
      <c r="E1147" s="57" t="s">
        <v>427</v>
      </c>
      <c r="F1147" s="61" t="s">
        <v>428</v>
      </c>
      <c r="G1147" s="61" t="s">
        <v>429</v>
      </c>
      <c r="H1147" s="57" t="s">
        <v>211</v>
      </c>
      <c r="I1147" s="58" t="n">
        <f aca="false">'P9-014'!$N$116</f>
        <v>46359</v>
      </c>
      <c r="J1147" s="58" t="n">
        <f aca="false">'P9-014'!$O$116</f>
        <v>46359</v>
      </c>
      <c r="K1147" s="56" t="str">
        <f aca="false">IF(OR(L1147="Y",LEFT('P9-014'!$T$116,1)="D"),"",IF(AND(ISNUMBER(J1147),J1147&lt;ASOF),"⚠ เลยกำหนด",IF(AND(ISNUMBER(I1147),I1147&lt;=ASOF+14,J1147&gt;=ASOF-7),"ช่วงนี้","")))</f>
        <v/>
      </c>
      <c r="L1147" s="59"/>
      <c r="M1147" s="60"/>
    </row>
    <row r="1148" customFormat="false" ht="15" hidden="false" customHeight="false" outlineLevel="0" collapsed="false">
      <c r="A1148" s="54" t="s">
        <v>94</v>
      </c>
      <c r="B1148" s="55" t="s">
        <v>490</v>
      </c>
      <c r="C1148" s="56" t="s">
        <v>491</v>
      </c>
      <c r="D1148" s="57" t="s">
        <v>96</v>
      </c>
      <c r="E1148" s="57" t="s">
        <v>430</v>
      </c>
      <c r="F1148" s="55" t="s">
        <v>431</v>
      </c>
      <c r="G1148" s="55" t="s">
        <v>432</v>
      </c>
      <c r="H1148" s="57" t="s">
        <v>211</v>
      </c>
      <c r="I1148" s="58" t="n">
        <f aca="false">'P9-014'!$N$117</f>
        <v>46359</v>
      </c>
      <c r="J1148" s="58" t="n">
        <f aca="false">'P9-014'!$O$117</f>
        <v>46359</v>
      </c>
      <c r="K1148" s="56" t="str">
        <f aca="false">IF(OR(L1148="Y",LEFT('P9-014'!$T$117,1)="D"),"",IF(AND(ISNUMBER(J1148),J1148&lt;ASOF),"⚠ เลยกำหนด",IF(AND(ISNUMBER(I1148),I1148&lt;=ASOF+14,J1148&gt;=ASOF-7),"ช่วงนี้","")))</f>
        <v/>
      </c>
      <c r="L1148" s="59"/>
      <c r="M1148" s="60"/>
    </row>
    <row r="1149" customFormat="false" ht="15" hidden="false" customHeight="false" outlineLevel="0" collapsed="false">
      <c r="A1149" s="54" t="s">
        <v>94</v>
      </c>
      <c r="B1149" s="55" t="s">
        <v>490</v>
      </c>
      <c r="C1149" s="56" t="s">
        <v>491</v>
      </c>
      <c r="D1149" s="57" t="s">
        <v>96</v>
      </c>
      <c r="E1149" s="57" t="s">
        <v>433</v>
      </c>
      <c r="F1149" s="55" t="s">
        <v>434</v>
      </c>
      <c r="G1149" s="55" t="s">
        <v>435</v>
      </c>
      <c r="H1149" s="57" t="s">
        <v>211</v>
      </c>
      <c r="I1149" s="58" t="n">
        <f aca="false">'P9-014'!$N$118</f>
        <v>46359</v>
      </c>
      <c r="J1149" s="58" t="n">
        <f aca="false">'P9-014'!$O$118</f>
        <v>46359</v>
      </c>
      <c r="K1149" s="56" t="str">
        <f aca="false">IF(OR(L1149="Y",LEFT('P9-014'!$T$118,1)="D"),"",IF(AND(ISNUMBER(J1149),J1149&lt;ASOF),"⚠ เลยกำหนด",IF(AND(ISNUMBER(I1149),I1149&lt;=ASOF+14,J1149&gt;=ASOF-7),"ช่วงนี้","")))</f>
        <v/>
      </c>
      <c r="L1149" s="59"/>
      <c r="M1149" s="60"/>
    </row>
    <row r="1150" customFormat="false" ht="15" hidden="false" customHeight="false" outlineLevel="0" collapsed="false">
      <c r="A1150" s="54" t="s">
        <v>94</v>
      </c>
      <c r="B1150" s="55" t="s">
        <v>490</v>
      </c>
      <c r="C1150" s="56" t="s">
        <v>491</v>
      </c>
      <c r="D1150" s="57" t="s">
        <v>96</v>
      </c>
      <c r="E1150" s="57" t="s">
        <v>436</v>
      </c>
      <c r="F1150" s="55" t="s">
        <v>437</v>
      </c>
      <c r="G1150" s="55" t="s">
        <v>438</v>
      </c>
      <c r="H1150" s="57" t="s">
        <v>211</v>
      </c>
      <c r="I1150" s="58" t="n">
        <f aca="false">'P9-014'!$N$119</f>
        <v>46359</v>
      </c>
      <c r="J1150" s="58" t="n">
        <f aca="false">'P9-014'!$O$119</f>
        <v>46359</v>
      </c>
      <c r="K1150" s="56" t="str">
        <f aca="false">IF(OR(L1150="Y",LEFT('P9-014'!$T$119,1)="D"),"",IF(AND(ISNUMBER(J1150),J1150&lt;ASOF),"⚠ เลยกำหนด",IF(AND(ISNUMBER(I1150),I1150&lt;=ASOF+14,J1150&gt;=ASOF-7),"ช่วงนี้","")))</f>
        <v/>
      </c>
      <c r="L1150" s="59"/>
      <c r="M1150" s="60"/>
    </row>
    <row r="1151" customFormat="false" ht="15" hidden="false" customHeight="false" outlineLevel="0" collapsed="false">
      <c r="A1151" s="54" t="s">
        <v>94</v>
      </c>
      <c r="B1151" s="55" t="s">
        <v>490</v>
      </c>
      <c r="C1151" s="56" t="s">
        <v>491</v>
      </c>
      <c r="D1151" s="57" t="s">
        <v>96</v>
      </c>
      <c r="E1151" s="57" t="s">
        <v>439</v>
      </c>
      <c r="F1151" s="55" t="s">
        <v>440</v>
      </c>
      <c r="G1151" s="55" t="s">
        <v>441</v>
      </c>
      <c r="H1151" s="57" t="s">
        <v>211</v>
      </c>
      <c r="I1151" s="58" t="n">
        <f aca="false">'P9-014'!$N$120</f>
        <v>46359</v>
      </c>
      <c r="J1151" s="58" t="n">
        <f aca="false">'P9-014'!$O$120</f>
        <v>46359</v>
      </c>
      <c r="K1151" s="56" t="str">
        <f aca="false">IF(OR(L1151="Y",LEFT('P9-014'!$T$120,1)="D"),"",IF(AND(ISNUMBER(J1151),J1151&lt;ASOF),"⚠ เลยกำหนด",IF(AND(ISNUMBER(I1151),I1151&lt;=ASOF+14,J1151&gt;=ASOF-7),"ช่วงนี้","")))</f>
        <v/>
      </c>
      <c r="L1151" s="59"/>
      <c r="M1151" s="60"/>
    </row>
    <row r="1152" customFormat="false" ht="15" hidden="false" customHeight="false" outlineLevel="0" collapsed="false">
      <c r="A1152" s="54" t="s">
        <v>94</v>
      </c>
      <c r="B1152" s="55" t="s">
        <v>490</v>
      </c>
      <c r="C1152" s="56" t="s">
        <v>491</v>
      </c>
      <c r="D1152" s="57" t="s">
        <v>96</v>
      </c>
      <c r="E1152" s="57" t="s">
        <v>442</v>
      </c>
      <c r="F1152" s="55" t="s">
        <v>443</v>
      </c>
      <c r="G1152" s="55" t="s">
        <v>444</v>
      </c>
      <c r="H1152" s="57" t="s">
        <v>211</v>
      </c>
      <c r="I1152" s="58" t="n">
        <f aca="false">'P9-014'!$N$121</f>
        <v>46359</v>
      </c>
      <c r="J1152" s="58" t="n">
        <f aca="false">'P9-014'!$O$121</f>
        <v>46359</v>
      </c>
      <c r="K1152" s="56" t="str">
        <f aca="false">IF(OR(L1152="Y",LEFT('P9-014'!$T$121,1)="D"),"",IF(AND(ISNUMBER(J1152),J1152&lt;ASOF),"⚠ เลยกำหนด",IF(AND(ISNUMBER(I1152),I1152&lt;=ASOF+14,J1152&gt;=ASOF-7),"ช่วงนี้","")))</f>
        <v/>
      </c>
      <c r="L1152" s="59"/>
      <c r="M1152" s="60"/>
    </row>
    <row r="1153" customFormat="false" ht="15" hidden="false" customHeight="false" outlineLevel="0" collapsed="false">
      <c r="A1153" s="54" t="s">
        <v>94</v>
      </c>
      <c r="B1153" s="55" t="s">
        <v>490</v>
      </c>
      <c r="C1153" s="56" t="s">
        <v>491</v>
      </c>
      <c r="D1153" s="57" t="s">
        <v>96</v>
      </c>
      <c r="E1153" s="57" t="s">
        <v>445</v>
      </c>
      <c r="F1153" s="55" t="s">
        <v>446</v>
      </c>
      <c r="G1153" s="55" t="s">
        <v>447</v>
      </c>
      <c r="H1153" s="57" t="s">
        <v>211</v>
      </c>
      <c r="I1153" s="58" t="n">
        <f aca="false">'P9-014'!$N$125</f>
        <v>46437</v>
      </c>
      <c r="J1153" s="58" t="n">
        <f aca="false">'P9-014'!$O$125</f>
        <v>46441</v>
      </c>
      <c r="K1153" s="56" t="str">
        <f aca="false">IF(OR(L1153="Y",LEFT('P9-014'!$T$125,1)="D"),"",IF(AND(ISNUMBER(J1153),J1153&lt;ASOF),"⚠ เลยกำหนด",IF(AND(ISNUMBER(I1153),I1153&lt;=ASOF+14,J1153&gt;=ASOF-7),"ช่วงนี้","")))</f>
        <v/>
      </c>
      <c r="L1153" s="59"/>
      <c r="M1153" s="60"/>
    </row>
    <row r="1154" customFormat="false" ht="15" hidden="false" customHeight="false" outlineLevel="0" collapsed="false">
      <c r="A1154" s="54" t="s">
        <v>94</v>
      </c>
      <c r="B1154" s="55" t="s">
        <v>490</v>
      </c>
      <c r="C1154" s="56" t="s">
        <v>491</v>
      </c>
      <c r="D1154" s="57" t="s">
        <v>96</v>
      </c>
      <c r="E1154" s="57" t="s">
        <v>448</v>
      </c>
      <c r="F1154" s="55" t="s">
        <v>449</v>
      </c>
      <c r="G1154" s="61" t="s">
        <v>450</v>
      </c>
      <c r="H1154" s="57" t="s">
        <v>211</v>
      </c>
      <c r="I1154" s="58" t="n">
        <f aca="false">'P9-014'!$N$126</f>
        <v>46440</v>
      </c>
      <c r="J1154" s="58" t="n">
        <f aca="false">'P9-014'!$O$126</f>
        <v>46447</v>
      </c>
      <c r="K1154" s="56" t="str">
        <f aca="false">IF(OR(L1154="Y",LEFT('P9-014'!$T$126,1)="D"),"",IF(AND(ISNUMBER(J1154),J1154&lt;ASOF),"⚠ เลยกำหนด",IF(AND(ISNUMBER(I1154),I1154&lt;=ASOF+14,J1154&gt;=ASOF-7),"ช่วงนี้","")))</f>
        <v/>
      </c>
      <c r="L1154" s="59"/>
      <c r="M1154" s="60"/>
    </row>
    <row r="1155" customFormat="false" ht="15" hidden="false" customHeight="false" outlineLevel="0" collapsed="false">
      <c r="A1155" s="54" t="s">
        <v>94</v>
      </c>
      <c r="B1155" s="55" t="s">
        <v>490</v>
      </c>
      <c r="C1155" s="56" t="s">
        <v>491</v>
      </c>
      <c r="D1155" s="57" t="s">
        <v>96</v>
      </c>
      <c r="E1155" s="57" t="s">
        <v>451</v>
      </c>
      <c r="F1155" s="61" t="s">
        <v>452</v>
      </c>
      <c r="G1155" s="61" t="s">
        <v>453</v>
      </c>
      <c r="H1155" s="57" t="s">
        <v>211</v>
      </c>
      <c r="I1155" s="58" t="n">
        <f aca="false">'P9-014'!$N$127</f>
        <v>46447</v>
      </c>
      <c r="J1155" s="58" t="n">
        <f aca="false">'P9-014'!$O$127</f>
        <v>46450</v>
      </c>
      <c r="K1155" s="56" t="str">
        <f aca="false">IF(OR(L1155="Y",LEFT('P9-014'!$T$127,1)="D"),"",IF(AND(ISNUMBER(J1155),J1155&lt;ASOF),"⚠ เลยกำหนด",IF(AND(ISNUMBER(I1155),I1155&lt;=ASOF+14,J1155&gt;=ASOF-7),"ช่วงนี้","")))</f>
        <v/>
      </c>
      <c r="L1155" s="59"/>
      <c r="M1155" s="60"/>
    </row>
    <row r="1156" customFormat="false" ht="15" hidden="false" customHeight="false" outlineLevel="0" collapsed="false">
      <c r="A1156" s="54" t="s">
        <v>98</v>
      </c>
      <c r="B1156" s="55" t="s">
        <v>492</v>
      </c>
      <c r="C1156" s="56" t="s">
        <v>493</v>
      </c>
      <c r="D1156" s="57" t="s">
        <v>100</v>
      </c>
      <c r="E1156" s="57" t="s">
        <v>208</v>
      </c>
      <c r="F1156" s="55" t="s">
        <v>209</v>
      </c>
      <c r="G1156" s="55" t="s">
        <v>210</v>
      </c>
      <c r="H1156" s="57" t="s">
        <v>211</v>
      </c>
      <c r="I1156" s="58" t="n">
        <f aca="false">'P9-015'!$N$10</f>
        <v>46328</v>
      </c>
      <c r="J1156" s="58" t="n">
        <f aca="false">'P9-015'!$O$10</f>
        <v>46340</v>
      </c>
      <c r="K1156" s="56" t="str">
        <f aca="false">IF(OR(L1156="Y",LEFT('P9-015'!$T$10,1)="D"),"",IF(AND(ISNUMBER(J1156),J1156&lt;ASOF),"⚠ เลยกำหนด",IF(AND(ISNUMBER(I1156),I1156&lt;=ASOF+14,J1156&gt;=ASOF-7),"ช่วงนี้","")))</f>
        <v>ช่วงนี้</v>
      </c>
      <c r="L1156" s="59"/>
      <c r="M1156" s="60"/>
    </row>
    <row r="1157" customFormat="false" ht="15" hidden="false" customHeight="false" outlineLevel="0" collapsed="false">
      <c r="A1157" s="54" t="s">
        <v>98</v>
      </c>
      <c r="B1157" s="55" t="s">
        <v>492</v>
      </c>
      <c r="C1157" s="56" t="s">
        <v>493</v>
      </c>
      <c r="D1157" s="57" t="s">
        <v>100</v>
      </c>
      <c r="E1157" s="57" t="s">
        <v>212</v>
      </c>
      <c r="F1157" s="55" t="s">
        <v>213</v>
      </c>
      <c r="G1157" s="55" t="s">
        <v>214</v>
      </c>
      <c r="H1157" s="57" t="s">
        <v>211</v>
      </c>
      <c r="I1157" s="58" t="n">
        <f aca="false">'P9-015'!$N$11</f>
        <v>46328</v>
      </c>
      <c r="J1157" s="58" t="n">
        <f aca="false">'P9-015'!$O$11</f>
        <v>46340</v>
      </c>
      <c r="K1157" s="56" t="str">
        <f aca="false">IF(OR(L1157="Y",LEFT('P9-015'!$T$11,1)="D"),"",IF(AND(ISNUMBER(J1157),J1157&lt;ASOF),"⚠ เลยกำหนด",IF(AND(ISNUMBER(I1157),I1157&lt;=ASOF+14,J1157&gt;=ASOF-7),"ช่วงนี้","")))</f>
        <v>ช่วงนี้</v>
      </c>
      <c r="L1157" s="59"/>
      <c r="M1157" s="60"/>
    </row>
    <row r="1158" customFormat="false" ht="15" hidden="false" customHeight="false" outlineLevel="0" collapsed="false">
      <c r="A1158" s="54" t="s">
        <v>98</v>
      </c>
      <c r="B1158" s="55" t="s">
        <v>492</v>
      </c>
      <c r="C1158" s="56" t="s">
        <v>493</v>
      </c>
      <c r="D1158" s="57" t="s">
        <v>100</v>
      </c>
      <c r="E1158" s="57" t="s">
        <v>215</v>
      </c>
      <c r="F1158" s="55" t="s">
        <v>216</v>
      </c>
      <c r="G1158" s="61" t="s">
        <v>217</v>
      </c>
      <c r="H1158" s="57" t="s">
        <v>211</v>
      </c>
      <c r="I1158" s="58" t="n">
        <f aca="false">'P9-015'!$N$12</f>
        <v>46328</v>
      </c>
      <c r="J1158" s="58" t="n">
        <f aca="false">'P9-015'!$O$12</f>
        <v>46340</v>
      </c>
      <c r="K1158" s="56" t="str">
        <f aca="false">IF(OR(L1158="Y",LEFT('P9-015'!$T$12,1)="D"),"",IF(AND(ISNUMBER(J1158),J1158&lt;ASOF),"⚠ เลยกำหนด",IF(AND(ISNUMBER(I1158),I1158&lt;=ASOF+14,J1158&gt;=ASOF-7),"ช่วงนี้","")))</f>
        <v>ช่วงนี้</v>
      </c>
      <c r="L1158" s="59"/>
      <c r="M1158" s="60"/>
    </row>
    <row r="1159" customFormat="false" ht="15" hidden="false" customHeight="false" outlineLevel="0" collapsed="false">
      <c r="A1159" s="54" t="s">
        <v>98</v>
      </c>
      <c r="B1159" s="55" t="s">
        <v>492</v>
      </c>
      <c r="C1159" s="56" t="s">
        <v>493</v>
      </c>
      <c r="D1159" s="57" t="s">
        <v>100</v>
      </c>
      <c r="E1159" s="57" t="s">
        <v>218</v>
      </c>
      <c r="F1159" s="55" t="s">
        <v>219</v>
      </c>
      <c r="G1159" s="55" t="s">
        <v>220</v>
      </c>
      <c r="H1159" s="57" t="s">
        <v>211</v>
      </c>
      <c r="I1159" s="58" t="n">
        <f aca="false">'P9-015'!$N$13</f>
        <v>46328</v>
      </c>
      <c r="J1159" s="58" t="n">
        <f aca="false">'P9-015'!$O$13</f>
        <v>46346</v>
      </c>
      <c r="K1159" s="56" t="str">
        <f aca="false">IF(OR(L1159="Y",LEFT('P9-015'!$T$13,1)="D"),"",IF(AND(ISNUMBER(J1159),J1159&lt;ASOF),"⚠ เลยกำหนด",IF(AND(ISNUMBER(I1159),I1159&lt;=ASOF+14,J1159&gt;=ASOF-7),"ช่วงนี้","")))</f>
        <v>ช่วงนี้</v>
      </c>
      <c r="L1159" s="59"/>
      <c r="M1159" s="60"/>
    </row>
    <row r="1160" customFormat="false" ht="15" hidden="false" customHeight="false" outlineLevel="0" collapsed="false">
      <c r="A1160" s="54" t="s">
        <v>98</v>
      </c>
      <c r="B1160" s="55" t="s">
        <v>492</v>
      </c>
      <c r="C1160" s="56" t="s">
        <v>493</v>
      </c>
      <c r="D1160" s="57" t="s">
        <v>100</v>
      </c>
      <c r="E1160" s="57" t="s">
        <v>221</v>
      </c>
      <c r="F1160" s="55" t="s">
        <v>222</v>
      </c>
      <c r="G1160" s="55" t="s">
        <v>223</v>
      </c>
      <c r="H1160" s="57" t="s">
        <v>211</v>
      </c>
      <c r="I1160" s="58" t="n">
        <f aca="false">'P9-015'!$N$14</f>
        <v>46340</v>
      </c>
      <c r="J1160" s="58" t="n">
        <f aca="false">'P9-015'!$O$14</f>
        <v>46450</v>
      </c>
      <c r="K1160" s="56" t="str">
        <f aca="false">IF(OR(L1160="Y",LEFT('P9-015'!$T$14,1)="D"),"",IF(AND(ISNUMBER(J1160),J1160&lt;ASOF),"⚠ เลยกำหนด",IF(AND(ISNUMBER(I1160),I1160&lt;=ASOF+14,J1160&gt;=ASOF-7),"ช่วงนี้","")))</f>
        <v>ช่วงนี้</v>
      </c>
      <c r="L1160" s="59"/>
      <c r="M1160" s="60"/>
    </row>
    <row r="1161" customFormat="false" ht="15" hidden="false" customHeight="false" outlineLevel="0" collapsed="false">
      <c r="A1161" s="54" t="s">
        <v>98</v>
      </c>
      <c r="B1161" s="55" t="s">
        <v>492</v>
      </c>
      <c r="C1161" s="56" t="s">
        <v>493</v>
      </c>
      <c r="D1161" s="57" t="s">
        <v>100</v>
      </c>
      <c r="E1161" s="57" t="s">
        <v>224</v>
      </c>
      <c r="F1161" s="55" t="s">
        <v>225</v>
      </c>
      <c r="G1161" s="61" t="s">
        <v>226</v>
      </c>
      <c r="H1161" s="57" t="s">
        <v>211</v>
      </c>
      <c r="I1161" s="58" t="n">
        <f aca="false">'P9-015'!$N$15</f>
        <v>46340</v>
      </c>
      <c r="J1161" s="58" t="n">
        <f aca="false">'P9-015'!$O$15</f>
        <v>46450</v>
      </c>
      <c r="K1161" s="56" t="str">
        <f aca="false">IF(OR(L1161="Y",LEFT('P9-015'!$T$15,1)="D"),"",IF(AND(ISNUMBER(J1161),J1161&lt;ASOF),"⚠ เลยกำหนด",IF(AND(ISNUMBER(I1161),I1161&lt;=ASOF+14,J1161&gt;=ASOF-7),"ช่วงนี้","")))</f>
        <v>ช่วงนี้</v>
      </c>
      <c r="L1161" s="59"/>
      <c r="M1161" s="60"/>
    </row>
    <row r="1162" customFormat="false" ht="15" hidden="false" customHeight="false" outlineLevel="0" collapsed="false">
      <c r="A1162" s="54" t="s">
        <v>98</v>
      </c>
      <c r="B1162" s="55" t="s">
        <v>492</v>
      </c>
      <c r="C1162" s="56" t="s">
        <v>493</v>
      </c>
      <c r="D1162" s="57" t="s">
        <v>100</v>
      </c>
      <c r="E1162" s="57" t="s">
        <v>227</v>
      </c>
      <c r="F1162" s="55" t="s">
        <v>228</v>
      </c>
      <c r="G1162" s="55" t="s">
        <v>229</v>
      </c>
      <c r="H1162" s="57" t="s">
        <v>211</v>
      </c>
      <c r="I1162" s="58" t="n">
        <f aca="false">'P9-015'!$N$17</f>
        <v>46328</v>
      </c>
      <c r="J1162" s="58" t="n">
        <f aca="false">'P9-015'!$O$17</f>
        <v>46328</v>
      </c>
      <c r="K1162" s="56" t="str">
        <f aca="false">IF(OR(L1162="Y",LEFT('P9-015'!$T$17,1)="D"),"",IF(AND(ISNUMBER(J1162),J1162&lt;ASOF),"⚠ เลยกำหนด",IF(AND(ISNUMBER(I1162),I1162&lt;=ASOF+14,J1162&gt;=ASOF-7),"ช่วงนี้","")))</f>
        <v>ช่วงนี้</v>
      </c>
      <c r="L1162" s="59"/>
      <c r="M1162" s="60"/>
    </row>
    <row r="1163" customFormat="false" ht="15" hidden="false" customHeight="false" outlineLevel="0" collapsed="false">
      <c r="A1163" s="54" t="s">
        <v>98</v>
      </c>
      <c r="B1163" s="55" t="s">
        <v>492</v>
      </c>
      <c r="C1163" s="56" t="s">
        <v>493</v>
      </c>
      <c r="D1163" s="57" t="s">
        <v>100</v>
      </c>
      <c r="E1163" s="57" t="s">
        <v>230</v>
      </c>
      <c r="F1163" s="55" t="s">
        <v>231</v>
      </c>
      <c r="G1163" s="55" t="s">
        <v>232</v>
      </c>
      <c r="H1163" s="57" t="s">
        <v>211</v>
      </c>
      <c r="I1163" s="58" t="n">
        <f aca="false">'P9-015'!$N$18</f>
        <v>46328</v>
      </c>
      <c r="J1163" s="58" t="n">
        <f aca="false">'P9-015'!$O$18</f>
        <v>46328</v>
      </c>
      <c r="K1163" s="56" t="str">
        <f aca="false">IF(OR(L1163="Y",LEFT('P9-015'!$T$18,1)="D"),"",IF(AND(ISNUMBER(J1163),J1163&lt;ASOF),"⚠ เลยกำหนด",IF(AND(ISNUMBER(I1163),I1163&lt;=ASOF+14,J1163&gt;=ASOF-7),"ช่วงนี้","")))</f>
        <v>ช่วงนี้</v>
      </c>
      <c r="L1163" s="59"/>
      <c r="M1163" s="60"/>
    </row>
    <row r="1164" customFormat="false" ht="15" hidden="false" customHeight="false" outlineLevel="0" collapsed="false">
      <c r="A1164" s="54" t="s">
        <v>98</v>
      </c>
      <c r="B1164" s="55" t="s">
        <v>492</v>
      </c>
      <c r="C1164" s="56" t="s">
        <v>493</v>
      </c>
      <c r="D1164" s="57" t="s">
        <v>100</v>
      </c>
      <c r="E1164" s="57" t="s">
        <v>233</v>
      </c>
      <c r="F1164" s="55" t="s">
        <v>234</v>
      </c>
      <c r="G1164" s="55" t="s">
        <v>235</v>
      </c>
      <c r="H1164" s="57" t="s">
        <v>211</v>
      </c>
      <c r="I1164" s="58" t="n">
        <f aca="false">'P9-015'!$N$19</f>
        <v>46328</v>
      </c>
      <c r="J1164" s="58" t="n">
        <f aca="false">'P9-015'!$O$19</f>
        <v>46328</v>
      </c>
      <c r="K1164" s="56" t="str">
        <f aca="false">IF(OR(L1164="Y",LEFT('P9-015'!$T$19,1)="D"),"",IF(AND(ISNUMBER(J1164),J1164&lt;ASOF),"⚠ เลยกำหนด",IF(AND(ISNUMBER(I1164),I1164&lt;=ASOF+14,J1164&gt;=ASOF-7),"ช่วงนี้","")))</f>
        <v>ช่วงนี้</v>
      </c>
      <c r="L1164" s="59"/>
      <c r="M1164" s="60"/>
    </row>
    <row r="1165" customFormat="false" ht="15" hidden="false" customHeight="false" outlineLevel="0" collapsed="false">
      <c r="A1165" s="54" t="s">
        <v>98</v>
      </c>
      <c r="B1165" s="55" t="s">
        <v>492</v>
      </c>
      <c r="C1165" s="56" t="s">
        <v>493</v>
      </c>
      <c r="D1165" s="57" t="s">
        <v>100</v>
      </c>
      <c r="E1165" s="57" t="s">
        <v>236</v>
      </c>
      <c r="F1165" s="55" t="s">
        <v>237</v>
      </c>
      <c r="G1165" s="55" t="s">
        <v>238</v>
      </c>
      <c r="H1165" s="57" t="s">
        <v>211</v>
      </c>
      <c r="I1165" s="58" t="n">
        <f aca="false">'P9-015'!$N$20</f>
        <v>46328</v>
      </c>
      <c r="J1165" s="58" t="n">
        <f aca="false">'P9-015'!$O$20</f>
        <v>46328</v>
      </c>
      <c r="K1165" s="56" t="str">
        <f aca="false">IF(OR(L1165="Y",LEFT('P9-015'!$T$20,1)="D"),"",IF(AND(ISNUMBER(J1165),J1165&lt;ASOF),"⚠ เลยกำหนด",IF(AND(ISNUMBER(I1165),I1165&lt;=ASOF+14,J1165&gt;=ASOF-7),"ช่วงนี้","")))</f>
        <v>ช่วงนี้</v>
      </c>
      <c r="L1165" s="59"/>
      <c r="M1165" s="60"/>
    </row>
    <row r="1166" customFormat="false" ht="15" hidden="false" customHeight="false" outlineLevel="0" collapsed="false">
      <c r="A1166" s="54" t="s">
        <v>98</v>
      </c>
      <c r="B1166" s="55" t="s">
        <v>492</v>
      </c>
      <c r="C1166" s="56" t="s">
        <v>493</v>
      </c>
      <c r="D1166" s="57" t="s">
        <v>100</v>
      </c>
      <c r="E1166" s="57" t="s">
        <v>239</v>
      </c>
      <c r="F1166" s="55" t="s">
        <v>240</v>
      </c>
      <c r="G1166" s="55" t="s">
        <v>241</v>
      </c>
      <c r="H1166" s="57" t="s">
        <v>211</v>
      </c>
      <c r="I1166" s="58" t="n">
        <f aca="false">'P9-015'!$N$21</f>
        <v>46328</v>
      </c>
      <c r="J1166" s="58" t="n">
        <f aca="false">'P9-015'!$O$21</f>
        <v>46328</v>
      </c>
      <c r="K1166" s="56" t="str">
        <f aca="false">IF(OR(L1166="Y",LEFT('P9-015'!$T$21,1)="D"),"",IF(AND(ISNUMBER(J1166),J1166&lt;ASOF),"⚠ เลยกำหนด",IF(AND(ISNUMBER(I1166),I1166&lt;=ASOF+14,J1166&gt;=ASOF-7),"ช่วงนี้","")))</f>
        <v>ช่วงนี้</v>
      </c>
      <c r="L1166" s="59"/>
      <c r="M1166" s="60"/>
    </row>
    <row r="1167" customFormat="false" ht="15" hidden="false" customHeight="false" outlineLevel="0" collapsed="false">
      <c r="A1167" s="54" t="s">
        <v>98</v>
      </c>
      <c r="B1167" s="55" t="s">
        <v>492</v>
      </c>
      <c r="C1167" s="56" t="s">
        <v>493</v>
      </c>
      <c r="D1167" s="57" t="s">
        <v>100</v>
      </c>
      <c r="E1167" s="57" t="s">
        <v>242</v>
      </c>
      <c r="F1167" s="55" t="s">
        <v>243</v>
      </c>
      <c r="G1167" s="55" t="s">
        <v>244</v>
      </c>
      <c r="H1167" s="57" t="s">
        <v>211</v>
      </c>
      <c r="I1167" s="58" t="n">
        <f aca="false">'P9-015'!$N$22</f>
        <v>46328</v>
      </c>
      <c r="J1167" s="58" t="n">
        <f aca="false">'P9-015'!$O$22</f>
        <v>46328</v>
      </c>
      <c r="K1167" s="56" t="str">
        <f aca="false">IF(OR(L1167="Y",LEFT('P9-015'!$T$22,1)="D"),"",IF(AND(ISNUMBER(J1167),J1167&lt;ASOF),"⚠ เลยกำหนด",IF(AND(ISNUMBER(I1167),I1167&lt;=ASOF+14,J1167&gt;=ASOF-7),"ช่วงนี้","")))</f>
        <v>ช่วงนี้</v>
      </c>
      <c r="L1167" s="59"/>
      <c r="M1167" s="60"/>
    </row>
    <row r="1168" customFormat="false" ht="15" hidden="false" customHeight="false" outlineLevel="0" collapsed="false">
      <c r="A1168" s="54" t="s">
        <v>98</v>
      </c>
      <c r="B1168" s="55" t="s">
        <v>492</v>
      </c>
      <c r="C1168" s="56" t="s">
        <v>493</v>
      </c>
      <c r="D1168" s="57" t="s">
        <v>100</v>
      </c>
      <c r="E1168" s="57" t="s">
        <v>248</v>
      </c>
      <c r="F1168" s="55" t="s">
        <v>249</v>
      </c>
      <c r="G1168" s="55" t="s">
        <v>250</v>
      </c>
      <c r="H1168" s="57" t="s">
        <v>211</v>
      </c>
      <c r="I1168" s="58" t="n">
        <f aca="false">'P9-015'!$N$24</f>
        <v>46328</v>
      </c>
      <c r="J1168" s="58" t="n">
        <f aca="false">'P9-015'!$O$24</f>
        <v>46328</v>
      </c>
      <c r="K1168" s="56" t="str">
        <f aca="false">IF(OR(L1168="Y",LEFT('P9-015'!$T$24,1)="D"),"",IF(AND(ISNUMBER(J1168),J1168&lt;ASOF),"⚠ เลยกำหนด",IF(AND(ISNUMBER(I1168),I1168&lt;=ASOF+14,J1168&gt;=ASOF-7),"ช่วงนี้","")))</f>
        <v>ช่วงนี้</v>
      </c>
      <c r="L1168" s="59"/>
      <c r="M1168" s="60"/>
    </row>
    <row r="1169" customFormat="false" ht="15" hidden="false" customHeight="false" outlineLevel="0" collapsed="false">
      <c r="A1169" s="54" t="s">
        <v>98</v>
      </c>
      <c r="B1169" s="55" t="s">
        <v>492</v>
      </c>
      <c r="C1169" s="56" t="s">
        <v>493</v>
      </c>
      <c r="D1169" s="57" t="s">
        <v>100</v>
      </c>
      <c r="E1169" s="57" t="s">
        <v>251</v>
      </c>
      <c r="F1169" s="55" t="s">
        <v>252</v>
      </c>
      <c r="G1169" s="55" t="s">
        <v>253</v>
      </c>
      <c r="H1169" s="57" t="s">
        <v>211</v>
      </c>
      <c r="I1169" s="58" t="n">
        <f aca="false">'P9-015'!$N$26</f>
        <v>46329</v>
      </c>
      <c r="J1169" s="58" t="n">
        <f aca="false">'P9-015'!$O$26</f>
        <v>46329</v>
      </c>
      <c r="K1169" s="56" t="str">
        <f aca="false">IF(OR(L1169="Y",LEFT('P9-015'!$T$26,1)="D"),"",IF(AND(ISNUMBER(J1169),J1169&lt;ASOF),"⚠ เลยกำหนด",IF(AND(ISNUMBER(I1169),I1169&lt;=ASOF+14,J1169&gt;=ASOF-7),"ช่วงนี้","")))</f>
        <v>ช่วงนี้</v>
      </c>
      <c r="L1169" s="59"/>
      <c r="M1169" s="60"/>
    </row>
    <row r="1170" customFormat="false" ht="15" hidden="false" customHeight="false" outlineLevel="0" collapsed="false">
      <c r="A1170" s="54" t="s">
        <v>98</v>
      </c>
      <c r="B1170" s="55" t="s">
        <v>492</v>
      </c>
      <c r="C1170" s="56" t="s">
        <v>493</v>
      </c>
      <c r="D1170" s="57" t="s">
        <v>100</v>
      </c>
      <c r="E1170" s="57" t="s">
        <v>254</v>
      </c>
      <c r="F1170" s="55" t="s">
        <v>255</v>
      </c>
      <c r="G1170" s="55" t="s">
        <v>256</v>
      </c>
      <c r="H1170" s="57" t="s">
        <v>211</v>
      </c>
      <c r="I1170" s="58" t="n">
        <f aca="false">'P9-015'!$N$27</f>
        <v>46329</v>
      </c>
      <c r="J1170" s="58" t="n">
        <f aca="false">'P9-015'!$O$27</f>
        <v>46329</v>
      </c>
      <c r="K1170" s="56" t="str">
        <f aca="false">IF(OR(L1170="Y",LEFT('P9-015'!$T$27,1)="D"),"",IF(AND(ISNUMBER(J1170),J1170&lt;ASOF),"⚠ เลยกำหนด",IF(AND(ISNUMBER(I1170),I1170&lt;=ASOF+14,J1170&gt;=ASOF-7),"ช่วงนี้","")))</f>
        <v>ช่วงนี้</v>
      </c>
      <c r="L1170" s="59"/>
      <c r="M1170" s="60"/>
    </row>
    <row r="1171" customFormat="false" ht="15" hidden="false" customHeight="false" outlineLevel="0" collapsed="false">
      <c r="A1171" s="54" t="s">
        <v>98</v>
      </c>
      <c r="B1171" s="55" t="s">
        <v>492</v>
      </c>
      <c r="C1171" s="56" t="s">
        <v>493</v>
      </c>
      <c r="D1171" s="57" t="s">
        <v>100</v>
      </c>
      <c r="E1171" s="57" t="s">
        <v>257</v>
      </c>
      <c r="F1171" s="55" t="s">
        <v>258</v>
      </c>
      <c r="G1171" s="55" t="s">
        <v>259</v>
      </c>
      <c r="H1171" s="57" t="s">
        <v>211</v>
      </c>
      <c r="I1171" s="58" t="n">
        <f aca="false">'P9-015'!$N$28</f>
        <v>46329</v>
      </c>
      <c r="J1171" s="58" t="n">
        <f aca="false">'P9-015'!$O$28</f>
        <v>46329</v>
      </c>
      <c r="K1171" s="56" t="str">
        <f aca="false">IF(OR(L1171="Y",LEFT('P9-015'!$T$28,1)="D"),"",IF(AND(ISNUMBER(J1171),J1171&lt;ASOF),"⚠ เลยกำหนด",IF(AND(ISNUMBER(I1171),I1171&lt;=ASOF+14,J1171&gt;=ASOF-7),"ช่วงนี้","")))</f>
        <v>ช่วงนี้</v>
      </c>
      <c r="L1171" s="59"/>
      <c r="M1171" s="60"/>
    </row>
    <row r="1172" customFormat="false" ht="15" hidden="false" customHeight="false" outlineLevel="0" collapsed="false">
      <c r="A1172" s="54" t="s">
        <v>98</v>
      </c>
      <c r="B1172" s="55" t="s">
        <v>492</v>
      </c>
      <c r="C1172" s="56" t="s">
        <v>493</v>
      </c>
      <c r="D1172" s="57" t="s">
        <v>100</v>
      </c>
      <c r="E1172" s="57" t="s">
        <v>260</v>
      </c>
      <c r="F1172" s="55" t="s">
        <v>261</v>
      </c>
      <c r="G1172" s="55" t="s">
        <v>262</v>
      </c>
      <c r="H1172" s="57" t="s">
        <v>211</v>
      </c>
      <c r="I1172" s="58" t="n">
        <f aca="false">'P9-015'!$N$31</f>
        <v>46328</v>
      </c>
      <c r="J1172" s="58" t="n">
        <f aca="false">'P9-015'!$O$31</f>
        <v>46328</v>
      </c>
      <c r="K1172" s="56" t="str">
        <f aca="false">IF(OR(L1172="Y",LEFT('P9-015'!$T$31,1)="D"),"",IF(AND(ISNUMBER(J1172),J1172&lt;ASOF),"⚠ เลยกำหนด",IF(AND(ISNUMBER(I1172),I1172&lt;=ASOF+14,J1172&gt;=ASOF-7),"ช่วงนี้","")))</f>
        <v>ช่วงนี้</v>
      </c>
      <c r="L1172" s="59"/>
      <c r="M1172" s="60"/>
    </row>
    <row r="1173" customFormat="false" ht="15" hidden="false" customHeight="false" outlineLevel="0" collapsed="false">
      <c r="A1173" s="54" t="s">
        <v>98</v>
      </c>
      <c r="B1173" s="55" t="s">
        <v>492</v>
      </c>
      <c r="C1173" s="56" t="s">
        <v>493</v>
      </c>
      <c r="D1173" s="57" t="s">
        <v>100</v>
      </c>
      <c r="E1173" s="57" t="s">
        <v>263</v>
      </c>
      <c r="F1173" s="55" t="s">
        <v>264</v>
      </c>
      <c r="G1173" s="55" t="s">
        <v>265</v>
      </c>
      <c r="H1173" s="57" t="s">
        <v>211</v>
      </c>
      <c r="I1173" s="58" t="n">
        <f aca="false">'P9-015'!$N$32</f>
        <v>46328</v>
      </c>
      <c r="J1173" s="58" t="n">
        <f aca="false">'P9-015'!$O$32</f>
        <v>46328</v>
      </c>
      <c r="K1173" s="56" t="str">
        <f aca="false">IF(OR(L1173="Y",LEFT('P9-015'!$T$32,1)="D"),"",IF(AND(ISNUMBER(J1173),J1173&lt;ASOF),"⚠ เลยกำหนด",IF(AND(ISNUMBER(I1173),I1173&lt;=ASOF+14,J1173&gt;=ASOF-7),"ช่วงนี้","")))</f>
        <v>ช่วงนี้</v>
      </c>
      <c r="L1173" s="59"/>
      <c r="M1173" s="60"/>
    </row>
    <row r="1174" customFormat="false" ht="15" hidden="false" customHeight="false" outlineLevel="0" collapsed="false">
      <c r="A1174" s="54" t="s">
        <v>98</v>
      </c>
      <c r="B1174" s="55" t="s">
        <v>492</v>
      </c>
      <c r="C1174" s="56" t="s">
        <v>493</v>
      </c>
      <c r="D1174" s="57" t="s">
        <v>100</v>
      </c>
      <c r="E1174" s="57" t="s">
        <v>266</v>
      </c>
      <c r="F1174" s="55" t="s">
        <v>267</v>
      </c>
      <c r="G1174" s="55" t="s">
        <v>268</v>
      </c>
      <c r="H1174" s="57" t="s">
        <v>211</v>
      </c>
      <c r="I1174" s="58" t="n">
        <f aca="false">'P9-015'!$N$33</f>
        <v>46328</v>
      </c>
      <c r="J1174" s="58" t="n">
        <f aca="false">'P9-015'!$O$33</f>
        <v>46328</v>
      </c>
      <c r="K1174" s="56" t="str">
        <f aca="false">IF(OR(L1174="Y",LEFT('P9-015'!$T$33,1)="D"),"",IF(AND(ISNUMBER(J1174),J1174&lt;ASOF),"⚠ เลยกำหนด",IF(AND(ISNUMBER(I1174),I1174&lt;=ASOF+14,J1174&gt;=ASOF-7),"ช่วงนี้","")))</f>
        <v>ช่วงนี้</v>
      </c>
      <c r="L1174" s="59"/>
      <c r="M1174" s="60"/>
    </row>
    <row r="1175" customFormat="false" ht="15" hidden="false" customHeight="false" outlineLevel="0" collapsed="false">
      <c r="A1175" s="54" t="s">
        <v>98</v>
      </c>
      <c r="B1175" s="55" t="s">
        <v>492</v>
      </c>
      <c r="C1175" s="56" t="s">
        <v>493</v>
      </c>
      <c r="D1175" s="57" t="s">
        <v>100</v>
      </c>
      <c r="E1175" s="57" t="s">
        <v>269</v>
      </c>
      <c r="F1175" s="61" t="s">
        <v>270</v>
      </c>
      <c r="G1175" s="61" t="s">
        <v>271</v>
      </c>
      <c r="H1175" s="57" t="s">
        <v>211</v>
      </c>
      <c r="I1175" s="58" t="n">
        <f aca="false">'P9-015'!$N$35</f>
        <v>46328</v>
      </c>
      <c r="J1175" s="58" t="n">
        <f aca="false">'P9-015'!$O$35</f>
        <v>46328</v>
      </c>
      <c r="K1175" s="56" t="str">
        <f aca="false">IF(OR(L1175="Y",LEFT('P9-015'!$T$35,1)="D"),"",IF(AND(ISNUMBER(J1175),J1175&lt;ASOF),"⚠ เลยกำหนด",IF(AND(ISNUMBER(I1175),I1175&lt;=ASOF+14,J1175&gt;=ASOF-7),"ช่วงนี้","")))</f>
        <v>ช่วงนี้</v>
      </c>
      <c r="L1175" s="59"/>
      <c r="M1175" s="60"/>
    </row>
    <row r="1176" customFormat="false" ht="15" hidden="false" customHeight="false" outlineLevel="0" collapsed="false">
      <c r="A1176" s="54" t="s">
        <v>98</v>
      </c>
      <c r="B1176" s="55" t="s">
        <v>492</v>
      </c>
      <c r="C1176" s="56" t="s">
        <v>493</v>
      </c>
      <c r="D1176" s="57" t="s">
        <v>100</v>
      </c>
      <c r="E1176" s="57" t="s">
        <v>272</v>
      </c>
      <c r="F1176" s="55" t="s">
        <v>273</v>
      </c>
      <c r="G1176" s="55" t="s">
        <v>274</v>
      </c>
      <c r="H1176" s="57" t="s">
        <v>211</v>
      </c>
      <c r="I1176" s="58" t="n">
        <f aca="false">'P9-015'!$N$36</f>
        <v>46328</v>
      </c>
      <c r="J1176" s="58" t="n">
        <f aca="false">'P9-015'!$O$36</f>
        <v>46328</v>
      </c>
      <c r="K1176" s="56" t="str">
        <f aca="false">IF(OR(L1176="Y",LEFT('P9-015'!$T$36,1)="D"),"",IF(AND(ISNUMBER(J1176),J1176&lt;ASOF),"⚠ เลยกำหนด",IF(AND(ISNUMBER(I1176),I1176&lt;=ASOF+14,J1176&gt;=ASOF-7),"ช่วงนี้","")))</f>
        <v>ช่วงนี้</v>
      </c>
      <c r="L1176" s="59"/>
      <c r="M1176" s="60"/>
    </row>
    <row r="1177" customFormat="false" ht="15" hidden="false" customHeight="false" outlineLevel="0" collapsed="false">
      <c r="A1177" s="54" t="s">
        <v>98</v>
      </c>
      <c r="B1177" s="55" t="s">
        <v>492</v>
      </c>
      <c r="C1177" s="56" t="s">
        <v>493</v>
      </c>
      <c r="D1177" s="57" t="s">
        <v>100</v>
      </c>
      <c r="E1177" s="57" t="s">
        <v>275</v>
      </c>
      <c r="F1177" s="55" t="s">
        <v>276</v>
      </c>
      <c r="G1177" s="55" t="s">
        <v>277</v>
      </c>
      <c r="H1177" s="57" t="s">
        <v>211</v>
      </c>
      <c r="I1177" s="58" t="n">
        <f aca="false">'P9-015'!$N$37</f>
        <v>46328</v>
      </c>
      <c r="J1177" s="58" t="n">
        <f aca="false">'P9-015'!$O$37</f>
        <v>46328</v>
      </c>
      <c r="K1177" s="56" t="str">
        <f aca="false">IF(OR(L1177="Y",LEFT('P9-015'!$T$37,1)="D"),"",IF(AND(ISNUMBER(J1177),J1177&lt;ASOF),"⚠ เลยกำหนด",IF(AND(ISNUMBER(I1177),I1177&lt;=ASOF+14,J1177&gt;=ASOF-7),"ช่วงนี้","")))</f>
        <v>ช่วงนี้</v>
      </c>
      <c r="L1177" s="59"/>
      <c r="M1177" s="60"/>
    </row>
    <row r="1178" customFormat="false" ht="15" hidden="false" customHeight="false" outlineLevel="0" collapsed="false">
      <c r="A1178" s="54" t="s">
        <v>98</v>
      </c>
      <c r="B1178" s="55" t="s">
        <v>492</v>
      </c>
      <c r="C1178" s="56" t="s">
        <v>493</v>
      </c>
      <c r="D1178" s="57" t="s">
        <v>100</v>
      </c>
      <c r="E1178" s="57" t="s">
        <v>278</v>
      </c>
      <c r="F1178" s="55" t="s">
        <v>279</v>
      </c>
      <c r="G1178" s="55" t="s">
        <v>280</v>
      </c>
      <c r="H1178" s="57" t="s">
        <v>211</v>
      </c>
      <c r="I1178" s="58" t="n">
        <f aca="false">'P9-015'!$N$38</f>
        <v>46328</v>
      </c>
      <c r="J1178" s="58" t="n">
        <f aca="false">'P9-015'!$O$38</f>
        <v>46328</v>
      </c>
      <c r="K1178" s="56" t="str">
        <f aca="false">IF(OR(L1178="Y",LEFT('P9-015'!$T$38,1)="D"),"",IF(AND(ISNUMBER(J1178),J1178&lt;ASOF),"⚠ เลยกำหนด",IF(AND(ISNUMBER(I1178),I1178&lt;=ASOF+14,J1178&gt;=ASOF-7),"ช่วงนี้","")))</f>
        <v>ช่วงนี้</v>
      </c>
      <c r="L1178" s="59"/>
      <c r="M1178" s="60"/>
    </row>
    <row r="1179" customFormat="false" ht="15" hidden="false" customHeight="false" outlineLevel="0" collapsed="false">
      <c r="A1179" s="54" t="s">
        <v>98</v>
      </c>
      <c r="B1179" s="55" t="s">
        <v>492</v>
      </c>
      <c r="C1179" s="56" t="s">
        <v>493</v>
      </c>
      <c r="D1179" s="57" t="s">
        <v>100</v>
      </c>
      <c r="E1179" s="57" t="s">
        <v>281</v>
      </c>
      <c r="F1179" s="55" t="s">
        <v>282</v>
      </c>
      <c r="G1179" s="55" t="s">
        <v>283</v>
      </c>
      <c r="H1179" s="57" t="s">
        <v>211</v>
      </c>
      <c r="I1179" s="58" t="n">
        <f aca="false">'P9-015'!$N$40</f>
        <v>46328</v>
      </c>
      <c r="J1179" s="58" t="n">
        <f aca="false">'P9-015'!$O$40</f>
        <v>46328</v>
      </c>
      <c r="K1179" s="56" t="str">
        <f aca="false">IF(OR(L1179="Y",LEFT('P9-015'!$T$40,1)="D"),"",IF(AND(ISNUMBER(J1179),J1179&lt;ASOF),"⚠ เลยกำหนด",IF(AND(ISNUMBER(I1179),I1179&lt;=ASOF+14,J1179&gt;=ASOF-7),"ช่วงนี้","")))</f>
        <v>ช่วงนี้</v>
      </c>
      <c r="L1179" s="59"/>
      <c r="M1179" s="60"/>
    </row>
    <row r="1180" customFormat="false" ht="15" hidden="false" customHeight="false" outlineLevel="0" collapsed="false">
      <c r="A1180" s="54" t="s">
        <v>98</v>
      </c>
      <c r="B1180" s="55" t="s">
        <v>492</v>
      </c>
      <c r="C1180" s="56" t="s">
        <v>493</v>
      </c>
      <c r="D1180" s="57" t="s">
        <v>100</v>
      </c>
      <c r="E1180" s="57" t="s">
        <v>284</v>
      </c>
      <c r="F1180" s="55" t="s">
        <v>285</v>
      </c>
      <c r="G1180" s="61" t="s">
        <v>286</v>
      </c>
      <c r="H1180" s="57" t="s">
        <v>211</v>
      </c>
      <c r="I1180" s="58" t="n">
        <f aca="false">'P9-015'!$N$41</f>
        <v>46328</v>
      </c>
      <c r="J1180" s="58" t="n">
        <f aca="false">'P9-015'!$O$41</f>
        <v>46328</v>
      </c>
      <c r="K1180" s="56" t="str">
        <f aca="false">IF(OR(L1180="Y",LEFT('P9-015'!$T$41,1)="D"),"",IF(AND(ISNUMBER(J1180),J1180&lt;ASOF),"⚠ เลยกำหนด",IF(AND(ISNUMBER(I1180),I1180&lt;=ASOF+14,J1180&gt;=ASOF-7),"ช่วงนี้","")))</f>
        <v>ช่วงนี้</v>
      </c>
      <c r="L1180" s="59"/>
      <c r="M1180" s="60"/>
    </row>
    <row r="1181" customFormat="false" ht="15" hidden="false" customHeight="false" outlineLevel="0" collapsed="false">
      <c r="A1181" s="54" t="s">
        <v>98</v>
      </c>
      <c r="B1181" s="55" t="s">
        <v>492</v>
      </c>
      <c r="C1181" s="56" t="s">
        <v>493</v>
      </c>
      <c r="D1181" s="57" t="s">
        <v>100</v>
      </c>
      <c r="E1181" s="57" t="s">
        <v>287</v>
      </c>
      <c r="F1181" s="55" t="s">
        <v>288</v>
      </c>
      <c r="G1181" s="61" t="s">
        <v>289</v>
      </c>
      <c r="H1181" s="57" t="s">
        <v>211</v>
      </c>
      <c r="I1181" s="58" t="n">
        <f aca="false">'P9-015'!$N$42</f>
        <v>46328</v>
      </c>
      <c r="J1181" s="58" t="n">
        <f aca="false">'P9-015'!$O$42</f>
        <v>46328</v>
      </c>
      <c r="K1181" s="56" t="str">
        <f aca="false">IF(OR(L1181="Y",LEFT('P9-015'!$T$42,1)="D"),"",IF(AND(ISNUMBER(J1181),J1181&lt;ASOF),"⚠ เลยกำหนด",IF(AND(ISNUMBER(I1181),I1181&lt;=ASOF+14,J1181&gt;=ASOF-7),"ช่วงนี้","")))</f>
        <v>ช่วงนี้</v>
      </c>
      <c r="L1181" s="59"/>
      <c r="M1181" s="60"/>
    </row>
    <row r="1182" customFormat="false" ht="15" hidden="false" customHeight="false" outlineLevel="0" collapsed="false">
      <c r="A1182" s="54" t="s">
        <v>98</v>
      </c>
      <c r="B1182" s="55" t="s">
        <v>492</v>
      </c>
      <c r="C1182" s="56" t="s">
        <v>493</v>
      </c>
      <c r="D1182" s="57" t="s">
        <v>100</v>
      </c>
      <c r="E1182" s="57" t="s">
        <v>290</v>
      </c>
      <c r="F1182" s="55" t="s">
        <v>291</v>
      </c>
      <c r="G1182" s="55" t="s">
        <v>292</v>
      </c>
      <c r="H1182" s="57" t="s">
        <v>211</v>
      </c>
      <c r="I1182" s="58" t="n">
        <f aca="false">'P9-015'!$N$44</f>
        <v>46328</v>
      </c>
      <c r="J1182" s="58" t="n">
        <f aca="false">'P9-015'!$O$44</f>
        <v>46328</v>
      </c>
      <c r="K1182" s="56" t="str">
        <f aca="false">IF(OR(L1182="Y",LEFT('P9-015'!$T$44,1)="D"),"",IF(AND(ISNUMBER(J1182),J1182&lt;ASOF),"⚠ เลยกำหนด",IF(AND(ISNUMBER(I1182),I1182&lt;=ASOF+14,J1182&gt;=ASOF-7),"ช่วงนี้","")))</f>
        <v>ช่วงนี้</v>
      </c>
      <c r="L1182" s="59"/>
      <c r="M1182" s="60"/>
    </row>
    <row r="1183" customFormat="false" ht="15" hidden="false" customHeight="false" outlineLevel="0" collapsed="false">
      <c r="A1183" s="54" t="s">
        <v>98</v>
      </c>
      <c r="B1183" s="55" t="s">
        <v>492</v>
      </c>
      <c r="C1183" s="56" t="s">
        <v>493</v>
      </c>
      <c r="D1183" s="57" t="s">
        <v>100</v>
      </c>
      <c r="E1183" s="57" t="s">
        <v>293</v>
      </c>
      <c r="F1183" s="55" t="s">
        <v>294</v>
      </c>
      <c r="G1183" s="55" t="s">
        <v>295</v>
      </c>
      <c r="H1183" s="57" t="s">
        <v>211</v>
      </c>
      <c r="I1183" s="58" t="n">
        <f aca="false">'P9-015'!$N$45</f>
        <v>46328</v>
      </c>
      <c r="J1183" s="58" t="n">
        <f aca="false">'P9-015'!$O$45</f>
        <v>46328</v>
      </c>
      <c r="K1183" s="56" t="str">
        <f aca="false">IF(OR(L1183="Y",LEFT('P9-015'!$T$45,1)="D"),"",IF(AND(ISNUMBER(J1183),J1183&lt;ASOF),"⚠ เลยกำหนด",IF(AND(ISNUMBER(I1183),I1183&lt;=ASOF+14,J1183&gt;=ASOF-7),"ช่วงนี้","")))</f>
        <v>ช่วงนี้</v>
      </c>
      <c r="L1183" s="59"/>
      <c r="M1183" s="60"/>
    </row>
    <row r="1184" customFormat="false" ht="15" hidden="false" customHeight="false" outlineLevel="0" collapsed="false">
      <c r="A1184" s="54" t="s">
        <v>98</v>
      </c>
      <c r="B1184" s="55" t="s">
        <v>492</v>
      </c>
      <c r="C1184" s="56" t="s">
        <v>493</v>
      </c>
      <c r="D1184" s="57" t="s">
        <v>100</v>
      </c>
      <c r="E1184" s="57" t="s">
        <v>296</v>
      </c>
      <c r="F1184" s="55" t="s">
        <v>297</v>
      </c>
      <c r="G1184" s="55" t="s">
        <v>298</v>
      </c>
      <c r="H1184" s="57" t="s">
        <v>211</v>
      </c>
      <c r="I1184" s="58" t="n">
        <f aca="false">'P9-015'!$N$46</f>
        <v>46328</v>
      </c>
      <c r="J1184" s="58" t="n">
        <f aca="false">'P9-015'!$O$46</f>
        <v>46328</v>
      </c>
      <c r="K1184" s="56" t="str">
        <f aca="false">IF(OR(L1184="Y",LEFT('P9-015'!$T$46,1)="D"),"",IF(AND(ISNUMBER(J1184),J1184&lt;ASOF),"⚠ เลยกำหนด",IF(AND(ISNUMBER(I1184),I1184&lt;=ASOF+14,J1184&gt;=ASOF-7),"ช่วงนี้","")))</f>
        <v>ช่วงนี้</v>
      </c>
      <c r="L1184" s="59"/>
      <c r="M1184" s="60"/>
    </row>
    <row r="1185" customFormat="false" ht="15" hidden="false" customHeight="false" outlineLevel="0" collapsed="false">
      <c r="A1185" s="54" t="s">
        <v>98</v>
      </c>
      <c r="B1185" s="55" t="s">
        <v>492</v>
      </c>
      <c r="C1185" s="56" t="s">
        <v>493</v>
      </c>
      <c r="D1185" s="57" t="s">
        <v>100</v>
      </c>
      <c r="E1185" s="57" t="s">
        <v>299</v>
      </c>
      <c r="F1185" s="55" t="s">
        <v>300</v>
      </c>
      <c r="G1185" s="55" t="s">
        <v>301</v>
      </c>
      <c r="H1185" s="57" t="s">
        <v>211</v>
      </c>
      <c r="I1185" s="58" t="str">
        <f aca="false">'P9-015'!$N$53</f>
        <v/>
      </c>
      <c r="J1185" s="58" t="str">
        <f aca="false">'P9-015'!$O$53</f>
        <v/>
      </c>
      <c r="K1185" s="56" t="str">
        <f aca="false">IF(OR(L1185="Y",LEFT('P9-015'!$T$53,1)="D"),"",IF(AND(ISNUMBER(J1185),J1185&lt;ASOF),"⚠ เลยกำหนด",IF(AND(ISNUMBER(I1185),I1185&lt;=ASOF+14,J1185&gt;=ASOF-7),"ช่วงนี้","")))</f>
        <v/>
      </c>
      <c r="L1185" s="59"/>
      <c r="M1185" s="60"/>
    </row>
    <row r="1186" customFormat="false" ht="15" hidden="false" customHeight="false" outlineLevel="0" collapsed="false">
      <c r="A1186" s="54" t="s">
        <v>98</v>
      </c>
      <c r="B1186" s="55" t="s">
        <v>492</v>
      </c>
      <c r="C1186" s="56" t="s">
        <v>493</v>
      </c>
      <c r="D1186" s="57" t="s">
        <v>100</v>
      </c>
      <c r="E1186" s="57" t="s">
        <v>302</v>
      </c>
      <c r="F1186" s="55" t="s">
        <v>303</v>
      </c>
      <c r="G1186" s="55" t="s">
        <v>304</v>
      </c>
      <c r="H1186" s="57" t="s">
        <v>211</v>
      </c>
      <c r="I1186" s="58" t="str">
        <f aca="false">'P9-015'!$N$54</f>
        <v/>
      </c>
      <c r="J1186" s="58" t="str">
        <f aca="false">'P9-015'!$O$54</f>
        <v/>
      </c>
      <c r="K1186" s="56" t="str">
        <f aca="false">IF(OR(L1186="Y",LEFT('P9-015'!$T$54,1)="D"),"",IF(AND(ISNUMBER(J1186),J1186&lt;ASOF),"⚠ เลยกำหนด",IF(AND(ISNUMBER(I1186),I1186&lt;=ASOF+14,J1186&gt;=ASOF-7),"ช่วงนี้","")))</f>
        <v/>
      </c>
      <c r="L1186" s="59"/>
      <c r="M1186" s="60"/>
    </row>
    <row r="1187" customFormat="false" ht="15" hidden="false" customHeight="false" outlineLevel="0" collapsed="false">
      <c r="A1187" s="54" t="s">
        <v>98</v>
      </c>
      <c r="B1187" s="55" t="s">
        <v>492</v>
      </c>
      <c r="C1187" s="56" t="s">
        <v>493</v>
      </c>
      <c r="D1187" s="57" t="s">
        <v>100</v>
      </c>
      <c r="E1187" s="57" t="s">
        <v>305</v>
      </c>
      <c r="F1187" s="55" t="s">
        <v>306</v>
      </c>
      <c r="G1187" s="55" t="s">
        <v>307</v>
      </c>
      <c r="H1187" s="56" t="str">
        <f aca="false">IF(COUNTIFS(SITE_ST,"P9-015",SITE_TYPE,"?*")&gt;0,"ตามจุดติดตั้ง →","0/100")</f>
        <v>ตามจุดติดตั้ง →</v>
      </c>
      <c r="I1187" s="58" t="n">
        <f aca="false">'P9-015'!$N$63</f>
        <v>46328</v>
      </c>
      <c r="J1187" s="58" t="n">
        <f aca="false">'P9-015'!$O$63</f>
        <v>46329</v>
      </c>
      <c r="K1187" s="56" t="str">
        <f aca="false">IF(OR(L1187="Y",LEFT('P9-015'!$T$63,1)="D"),"",IF(AND(ISNUMBER(J1187),J1187&lt;ASOF),"⚠ เลยกำหนด",IF(AND(ISNUMBER(I1187),I1187&lt;=ASOF+14,J1187&gt;=ASOF-7),"ช่วงนี้","")))</f>
        <v>ช่วงนี้</v>
      </c>
      <c r="L1187" s="59"/>
      <c r="M1187" s="60"/>
    </row>
    <row r="1188" customFormat="false" ht="15" hidden="false" customHeight="false" outlineLevel="0" collapsed="false">
      <c r="A1188" s="54" t="s">
        <v>98</v>
      </c>
      <c r="B1188" s="55" t="s">
        <v>492</v>
      </c>
      <c r="C1188" s="56" t="s">
        <v>493</v>
      </c>
      <c r="D1188" s="57" t="s">
        <v>100</v>
      </c>
      <c r="E1188" s="57" t="s">
        <v>308</v>
      </c>
      <c r="F1188" s="55" t="s">
        <v>309</v>
      </c>
      <c r="G1188" s="55" t="s">
        <v>310</v>
      </c>
      <c r="H1188" s="57" t="s">
        <v>211</v>
      </c>
      <c r="I1188" s="58" t="n">
        <f aca="false">'P9-015'!$N$64</f>
        <v>46328</v>
      </c>
      <c r="J1188" s="58" t="n">
        <f aca="false">'P9-015'!$O$64</f>
        <v>46331</v>
      </c>
      <c r="K1188" s="56" t="str">
        <f aca="false">IF(OR(L1188="Y",LEFT('P9-015'!$T$64,1)="D"),"",IF(AND(ISNUMBER(J1188),J1188&lt;ASOF),"⚠ เลยกำหนด",IF(AND(ISNUMBER(I1188),I1188&lt;=ASOF+14,J1188&gt;=ASOF-7),"ช่วงนี้","")))</f>
        <v>ช่วงนี้</v>
      </c>
      <c r="L1188" s="59"/>
      <c r="M1188" s="60"/>
    </row>
    <row r="1189" customFormat="false" ht="15" hidden="false" customHeight="false" outlineLevel="0" collapsed="false">
      <c r="A1189" s="54" t="s">
        <v>98</v>
      </c>
      <c r="B1189" s="55" t="s">
        <v>492</v>
      </c>
      <c r="C1189" s="56" t="s">
        <v>493</v>
      </c>
      <c r="D1189" s="57" t="s">
        <v>100</v>
      </c>
      <c r="E1189" s="57" t="s">
        <v>311</v>
      </c>
      <c r="F1189" s="55" t="s">
        <v>312</v>
      </c>
      <c r="G1189" s="55" t="s">
        <v>313</v>
      </c>
      <c r="H1189" s="56" t="str">
        <f aca="false">IF(COUNTIFS(SITE_ST,"P9-015",SITE_TYPE,"?*")&gt;0,"ตามจุดติดตั้ง →","50/50")</f>
        <v>ตามจุดติดตั้ง →</v>
      </c>
      <c r="I1189" s="58" t="n">
        <f aca="false">'P9-015'!$N$65</f>
        <v>46329</v>
      </c>
      <c r="J1189" s="58" t="n">
        <f aca="false">'P9-015'!$O$65</f>
        <v>46335</v>
      </c>
      <c r="K1189" s="56" t="str">
        <f aca="false">IF(OR(L1189="Y",LEFT('P9-015'!$T$65,1)="D"),"",IF(AND(ISNUMBER(J1189),J1189&lt;ASOF),"⚠ เลยกำหนด",IF(AND(ISNUMBER(I1189),I1189&lt;=ASOF+14,J1189&gt;=ASOF-7),"ช่วงนี้","")))</f>
        <v>ช่วงนี้</v>
      </c>
      <c r="L1189" s="59"/>
      <c r="M1189" s="60"/>
    </row>
    <row r="1190" customFormat="false" ht="15" hidden="false" customHeight="false" outlineLevel="0" collapsed="false">
      <c r="A1190" s="54" t="s">
        <v>98</v>
      </c>
      <c r="B1190" s="55" t="s">
        <v>492</v>
      </c>
      <c r="C1190" s="56" t="s">
        <v>493</v>
      </c>
      <c r="D1190" s="57" t="s">
        <v>100</v>
      </c>
      <c r="E1190" s="57" t="s">
        <v>314</v>
      </c>
      <c r="F1190" s="55" t="s">
        <v>315</v>
      </c>
      <c r="G1190" s="61" t="s">
        <v>316</v>
      </c>
      <c r="H1190" s="56" t="str">
        <f aca="false">IF(COUNTIFS(SITE_ST,"P9-015",SITE_TYPE,"?*")&gt;0,"ตามจุดติดตั้ง →","50/50")</f>
        <v>ตามจุดติดตั้ง →</v>
      </c>
      <c r="I1190" s="58" t="n">
        <f aca="false">'P9-015'!$N$66</f>
        <v>46333</v>
      </c>
      <c r="J1190" s="58" t="n">
        <f aca="false">'P9-015'!$O$66</f>
        <v>46339</v>
      </c>
      <c r="K1190" s="56" t="str">
        <f aca="false">IF(OR(L1190="Y",LEFT('P9-015'!$T$66,1)="D"),"",IF(AND(ISNUMBER(J1190),J1190&lt;ASOF),"⚠ เลยกำหนด",IF(AND(ISNUMBER(I1190),I1190&lt;=ASOF+14,J1190&gt;=ASOF-7),"ช่วงนี้","")))</f>
        <v>ช่วงนี้</v>
      </c>
      <c r="L1190" s="59"/>
      <c r="M1190" s="60"/>
    </row>
    <row r="1191" customFormat="false" ht="15" hidden="false" customHeight="false" outlineLevel="0" collapsed="false">
      <c r="A1191" s="54" t="s">
        <v>98</v>
      </c>
      <c r="B1191" s="55" t="s">
        <v>492</v>
      </c>
      <c r="C1191" s="56" t="s">
        <v>493</v>
      </c>
      <c r="D1191" s="57" t="s">
        <v>100</v>
      </c>
      <c r="E1191" s="57" t="s">
        <v>317</v>
      </c>
      <c r="F1191" s="61" t="s">
        <v>318</v>
      </c>
      <c r="G1191" s="61" t="s">
        <v>319</v>
      </c>
      <c r="H1191" s="56" t="str">
        <f aca="false">IF(COUNTIFS(SITE_ST,"P9-015",SITE_TYPE,"?*")&gt;0,"ตามจุดติดตั้ง →","50/50")</f>
        <v>ตามจุดติดตั้ง →</v>
      </c>
      <c r="I1191" s="58" t="n">
        <f aca="false">'P9-015'!$N$67</f>
        <v>46336</v>
      </c>
      <c r="J1191" s="58" t="n">
        <f aca="false">'P9-015'!$O$67</f>
        <v>46340</v>
      </c>
      <c r="K1191" s="56" t="str">
        <f aca="false">IF(OR(L1191="Y",LEFT('P9-015'!$T$67,1)="D"),"",IF(AND(ISNUMBER(J1191),J1191&lt;ASOF),"⚠ เลยกำหนด",IF(AND(ISNUMBER(I1191),I1191&lt;=ASOF+14,J1191&gt;=ASOF-7),"ช่วงนี้","")))</f>
        <v>ช่วงนี้</v>
      </c>
      <c r="L1191" s="59"/>
      <c r="M1191" s="60"/>
    </row>
    <row r="1192" customFormat="false" ht="15" hidden="false" customHeight="false" outlineLevel="0" collapsed="false">
      <c r="A1192" s="54" t="s">
        <v>98</v>
      </c>
      <c r="B1192" s="55" t="s">
        <v>492</v>
      </c>
      <c r="C1192" s="56" t="s">
        <v>493</v>
      </c>
      <c r="D1192" s="57" t="s">
        <v>100</v>
      </c>
      <c r="E1192" s="57" t="s">
        <v>320</v>
      </c>
      <c r="F1192" s="55" t="s">
        <v>321</v>
      </c>
      <c r="G1192" s="55" t="s">
        <v>322</v>
      </c>
      <c r="H1192" s="56" t="str">
        <f aca="false">IF(COUNTIFS(SITE_ST,"P9-015",SITE_TYPE,"?*")&gt;0,"ตามจุดติดตั้ง →","0/100")</f>
        <v>ตามจุดติดตั้ง →</v>
      </c>
      <c r="I1192" s="58" t="n">
        <f aca="false">'P9-015'!$N$68</f>
        <v>46338</v>
      </c>
      <c r="J1192" s="58" t="n">
        <f aca="false">'P9-015'!$O$68</f>
        <v>46341</v>
      </c>
      <c r="K1192" s="56" t="str">
        <f aca="false">IF(OR(L1192="Y",LEFT('P9-015'!$T$68,1)="D"),"",IF(AND(ISNUMBER(J1192),J1192&lt;ASOF),"⚠ เลยกำหนด",IF(AND(ISNUMBER(I1192),I1192&lt;=ASOF+14,J1192&gt;=ASOF-7),"ช่วงนี้","")))</f>
        <v>ช่วงนี้</v>
      </c>
      <c r="L1192" s="59"/>
      <c r="M1192" s="60"/>
    </row>
    <row r="1193" customFormat="false" ht="15" hidden="false" customHeight="false" outlineLevel="0" collapsed="false">
      <c r="A1193" s="54" t="s">
        <v>98</v>
      </c>
      <c r="B1193" s="55" t="s">
        <v>492</v>
      </c>
      <c r="C1193" s="56" t="s">
        <v>493</v>
      </c>
      <c r="D1193" s="57" t="s">
        <v>100</v>
      </c>
      <c r="E1193" s="57" t="s">
        <v>323</v>
      </c>
      <c r="F1193" s="61" t="s">
        <v>324</v>
      </c>
      <c r="G1193" s="55" t="s">
        <v>325</v>
      </c>
      <c r="H1193" s="56" t="str">
        <f aca="false">IF(COUNTIFS(SITE_ST,"P9-015",SITE_TYPE,"?*")&gt;0,"ตามจุดติดตั้ง →","0/100")</f>
        <v>ตามจุดติดตั้ง →</v>
      </c>
      <c r="I1193" s="58" t="n">
        <f aca="false">'P9-015'!$N$69</f>
        <v>46340</v>
      </c>
      <c r="J1193" s="58" t="n">
        <f aca="false">'P9-015'!$O$69</f>
        <v>46341</v>
      </c>
      <c r="K1193" s="56" t="str">
        <f aca="false">IF(OR(L1193="Y",LEFT('P9-015'!$T$69,1)="D"),"",IF(AND(ISNUMBER(J1193),J1193&lt;ASOF),"⚠ เลยกำหนด",IF(AND(ISNUMBER(I1193),I1193&lt;=ASOF+14,J1193&gt;=ASOF-7),"ช่วงนี้","")))</f>
        <v>ช่วงนี้</v>
      </c>
      <c r="L1193" s="59"/>
      <c r="M1193" s="60"/>
    </row>
    <row r="1194" customFormat="false" ht="15" hidden="false" customHeight="false" outlineLevel="0" collapsed="false">
      <c r="A1194" s="54" t="s">
        <v>98</v>
      </c>
      <c r="B1194" s="55" t="s">
        <v>492</v>
      </c>
      <c r="C1194" s="56" t="s">
        <v>493</v>
      </c>
      <c r="D1194" s="57" t="s">
        <v>100</v>
      </c>
      <c r="E1194" s="57" t="s">
        <v>326</v>
      </c>
      <c r="F1194" s="55" t="s">
        <v>327</v>
      </c>
      <c r="G1194" s="61" t="s">
        <v>328</v>
      </c>
      <c r="H1194" s="56" t="str">
        <f aca="false">IF(COUNTIFS(SITE_ST,"P9-015",SITE_TYPE,"?*")&gt;0,"ตามจุดติดตั้ง →","50/50")</f>
        <v>ตามจุดติดตั้ง →</v>
      </c>
      <c r="I1194" s="58" t="n">
        <f aca="false">'P9-015'!$N$71</f>
        <v>46343</v>
      </c>
      <c r="J1194" s="58" t="n">
        <f aca="false">'P9-015'!$O$71</f>
        <v>46344</v>
      </c>
      <c r="K1194" s="56" t="str">
        <f aca="false">IF(OR(L1194="Y",LEFT('P9-015'!$T$71,1)="D"),"",IF(AND(ISNUMBER(J1194),J1194&lt;ASOF),"⚠ เลยกำหนด",IF(AND(ISNUMBER(I1194),I1194&lt;=ASOF+14,J1194&gt;=ASOF-7),"ช่วงนี้","")))</f>
        <v/>
      </c>
      <c r="L1194" s="59"/>
      <c r="M1194" s="60"/>
    </row>
    <row r="1195" customFormat="false" ht="15" hidden="false" customHeight="false" outlineLevel="0" collapsed="false">
      <c r="A1195" s="54" t="s">
        <v>98</v>
      </c>
      <c r="B1195" s="55" t="s">
        <v>492</v>
      </c>
      <c r="C1195" s="56" t="s">
        <v>493</v>
      </c>
      <c r="D1195" s="57" t="s">
        <v>100</v>
      </c>
      <c r="E1195" s="57" t="s">
        <v>329</v>
      </c>
      <c r="F1195" s="55" t="s">
        <v>330</v>
      </c>
      <c r="G1195" s="55" t="s">
        <v>331</v>
      </c>
      <c r="H1195" s="56" t="str">
        <f aca="false">IF(COUNTIFS(SITE_ST,"P9-015",SITE_TYPE,"?*")&gt;0,"ตามจุดติดตั้ง →","50/50")</f>
        <v>ตามจุดติดตั้ง →</v>
      </c>
      <c r="I1195" s="58" t="n">
        <f aca="false">'P9-015'!$N$72</f>
        <v>46344</v>
      </c>
      <c r="J1195" s="58" t="n">
        <f aca="false">'P9-015'!$O$72</f>
        <v>46345</v>
      </c>
      <c r="K1195" s="56" t="str">
        <f aca="false">IF(OR(L1195="Y",LEFT('P9-015'!$T$72,1)="D"),"",IF(AND(ISNUMBER(J1195),J1195&lt;ASOF),"⚠ เลยกำหนด",IF(AND(ISNUMBER(I1195),I1195&lt;=ASOF+14,J1195&gt;=ASOF-7),"ช่วงนี้","")))</f>
        <v/>
      </c>
      <c r="L1195" s="59"/>
      <c r="M1195" s="60"/>
    </row>
    <row r="1196" customFormat="false" ht="15" hidden="false" customHeight="false" outlineLevel="0" collapsed="false">
      <c r="A1196" s="54" t="s">
        <v>98</v>
      </c>
      <c r="B1196" s="55" t="s">
        <v>492</v>
      </c>
      <c r="C1196" s="56" t="s">
        <v>493</v>
      </c>
      <c r="D1196" s="57" t="s">
        <v>100</v>
      </c>
      <c r="E1196" s="57" t="s">
        <v>332</v>
      </c>
      <c r="F1196" s="55" t="s">
        <v>333</v>
      </c>
      <c r="G1196" s="55" t="s">
        <v>334</v>
      </c>
      <c r="H1196" s="56" t="str">
        <f aca="false">IF(COUNTIFS(SITE_ST,"P9-015",SITE_TYPE,"?*")&gt;0,"ตามจุดติดตั้ง →","0/100")</f>
        <v>ตามจุดติดตั้ง →</v>
      </c>
      <c r="I1196" s="58" t="n">
        <f aca="false">'P9-015'!$N$73</f>
        <v>46344</v>
      </c>
      <c r="J1196" s="58" t="n">
        <f aca="false">'P9-015'!$O$73</f>
        <v>46345</v>
      </c>
      <c r="K1196" s="56" t="str">
        <f aca="false">IF(OR(L1196="Y",LEFT('P9-015'!$T$73,1)="D"),"",IF(AND(ISNUMBER(J1196),J1196&lt;ASOF),"⚠ เลยกำหนด",IF(AND(ISNUMBER(I1196),I1196&lt;=ASOF+14,J1196&gt;=ASOF-7),"ช่วงนี้","")))</f>
        <v/>
      </c>
      <c r="L1196" s="59"/>
      <c r="M1196" s="60"/>
    </row>
    <row r="1197" customFormat="false" ht="15" hidden="false" customHeight="false" outlineLevel="0" collapsed="false">
      <c r="A1197" s="54" t="s">
        <v>98</v>
      </c>
      <c r="B1197" s="55" t="s">
        <v>492</v>
      </c>
      <c r="C1197" s="56" t="s">
        <v>493</v>
      </c>
      <c r="D1197" s="57" t="s">
        <v>100</v>
      </c>
      <c r="E1197" s="57" t="s">
        <v>335</v>
      </c>
      <c r="F1197" s="55" t="s">
        <v>336</v>
      </c>
      <c r="G1197" s="61" t="s">
        <v>337</v>
      </c>
      <c r="H1197" s="56" t="str">
        <f aca="false">IF(COUNTIFS(SITE_ST,"P9-015",SITE_TYPE,"?*")&gt;0,"ตามจุดติดตั้ง →","0/100")</f>
        <v>ตามจุดติดตั้ง →</v>
      </c>
      <c r="I1197" s="58" t="n">
        <f aca="false">'P9-015'!$N$74</f>
        <v>46345</v>
      </c>
      <c r="J1197" s="58" t="n">
        <f aca="false">'P9-015'!$O$74</f>
        <v>46346</v>
      </c>
      <c r="K1197" s="56" t="str">
        <f aca="false">IF(OR(L1197="Y",LEFT('P9-015'!$T$74,1)="D"),"",IF(AND(ISNUMBER(J1197),J1197&lt;ASOF),"⚠ เลยกำหนด",IF(AND(ISNUMBER(I1197),I1197&lt;=ASOF+14,J1197&gt;=ASOF-7),"ช่วงนี้","")))</f>
        <v/>
      </c>
      <c r="L1197" s="59"/>
      <c r="M1197" s="60"/>
    </row>
    <row r="1198" customFormat="false" ht="15" hidden="false" customHeight="false" outlineLevel="0" collapsed="false">
      <c r="A1198" s="54" t="s">
        <v>98</v>
      </c>
      <c r="B1198" s="55" t="s">
        <v>492</v>
      </c>
      <c r="C1198" s="56" t="s">
        <v>493</v>
      </c>
      <c r="D1198" s="57" t="s">
        <v>100</v>
      </c>
      <c r="E1198" s="57" t="s">
        <v>338</v>
      </c>
      <c r="F1198" s="61" t="s">
        <v>339</v>
      </c>
      <c r="G1198" s="55" t="s">
        <v>340</v>
      </c>
      <c r="H1198" s="56" t="str">
        <f aca="false">IF(COUNTIFS(SITE_ST,"P9-015",SITE_TYPE,"?*")&gt;0,"ตามจุดติดตั้ง →","0/100")</f>
        <v>ตามจุดติดตั้ง →</v>
      </c>
      <c r="I1198" s="58" t="n">
        <f aca="false">'P9-015'!$N$75</f>
        <v>46345</v>
      </c>
      <c r="J1198" s="58" t="n">
        <f aca="false">'P9-015'!$O$75</f>
        <v>46346</v>
      </c>
      <c r="K1198" s="56" t="str">
        <f aca="false">IF(OR(L1198="Y",LEFT('P9-015'!$T$75,1)="D"),"",IF(AND(ISNUMBER(J1198),J1198&lt;ASOF),"⚠ เลยกำหนด",IF(AND(ISNUMBER(I1198),I1198&lt;=ASOF+14,J1198&gt;=ASOF-7),"ช่วงนี้","")))</f>
        <v/>
      </c>
      <c r="L1198" s="59"/>
      <c r="M1198" s="60"/>
    </row>
    <row r="1199" customFormat="false" ht="15" hidden="false" customHeight="false" outlineLevel="0" collapsed="false">
      <c r="A1199" s="54" t="s">
        <v>98</v>
      </c>
      <c r="B1199" s="55" t="s">
        <v>492</v>
      </c>
      <c r="C1199" s="56" t="s">
        <v>493</v>
      </c>
      <c r="D1199" s="57" t="s">
        <v>100</v>
      </c>
      <c r="E1199" s="57" t="s">
        <v>341</v>
      </c>
      <c r="F1199" s="55" t="s">
        <v>342</v>
      </c>
      <c r="G1199" s="55" t="s">
        <v>343</v>
      </c>
      <c r="H1199" s="56" t="str">
        <f aca="false">IF(COUNTIFS(SITE_ST,"P9-015",SITE_TYPE,"?*")&gt;0,"ตามจุดติดตั้ง →","0/100")</f>
        <v>ตามจุดติดตั้ง →</v>
      </c>
      <c r="I1199" s="58" t="n">
        <f aca="false">'P9-015'!$N$77</f>
        <v>46342</v>
      </c>
      <c r="J1199" s="58" t="n">
        <f aca="false">'P9-015'!$O$77</f>
        <v>46344</v>
      </c>
      <c r="K1199" s="56" t="str">
        <f aca="false">IF(OR(L1199="Y",LEFT('P9-015'!$T$77,1)="D"),"",IF(AND(ISNUMBER(J1199),J1199&lt;ASOF),"⚠ เลยกำหนด",IF(AND(ISNUMBER(I1199),I1199&lt;=ASOF+14,J1199&gt;=ASOF-7),"ช่วงนี้","")))</f>
        <v>ช่วงนี้</v>
      </c>
      <c r="L1199" s="59"/>
      <c r="M1199" s="60"/>
    </row>
    <row r="1200" customFormat="false" ht="15" hidden="false" customHeight="false" outlineLevel="0" collapsed="false">
      <c r="A1200" s="54" t="s">
        <v>98</v>
      </c>
      <c r="B1200" s="55" t="s">
        <v>492</v>
      </c>
      <c r="C1200" s="56" t="s">
        <v>493</v>
      </c>
      <c r="D1200" s="57" t="s">
        <v>100</v>
      </c>
      <c r="E1200" s="57" t="s">
        <v>344</v>
      </c>
      <c r="F1200" s="55" t="s">
        <v>345</v>
      </c>
      <c r="G1200" s="55" t="s">
        <v>346</v>
      </c>
      <c r="H1200" s="56" t="str">
        <f aca="false">IF(COUNTIFS(SITE_ST,"P9-015",SITE_TYPE,"?*")&gt;0,"ตามจุดติดตั้ง →","50/50")</f>
        <v>ตามจุดติดตั้ง →</v>
      </c>
      <c r="I1200" s="58" t="n">
        <f aca="false">'P9-015'!$N$78</f>
        <v>46343</v>
      </c>
      <c r="J1200" s="58" t="n">
        <f aca="false">'P9-015'!$O$78</f>
        <v>46346</v>
      </c>
      <c r="K1200" s="56" t="str">
        <f aca="false">IF(OR(L1200="Y",LEFT('P9-015'!$T$78,1)="D"),"",IF(AND(ISNUMBER(J1200),J1200&lt;ASOF),"⚠ เลยกำหนด",IF(AND(ISNUMBER(I1200),I1200&lt;=ASOF+14,J1200&gt;=ASOF-7),"ช่วงนี้","")))</f>
        <v/>
      </c>
      <c r="L1200" s="59"/>
      <c r="M1200" s="60"/>
    </row>
    <row r="1201" customFormat="false" ht="15" hidden="false" customHeight="false" outlineLevel="0" collapsed="false">
      <c r="A1201" s="54" t="s">
        <v>98</v>
      </c>
      <c r="B1201" s="55" t="s">
        <v>492</v>
      </c>
      <c r="C1201" s="56" t="s">
        <v>493</v>
      </c>
      <c r="D1201" s="57" t="s">
        <v>100</v>
      </c>
      <c r="E1201" s="57" t="s">
        <v>347</v>
      </c>
      <c r="F1201" s="61" t="s">
        <v>348</v>
      </c>
      <c r="G1201" s="55" t="s">
        <v>349</v>
      </c>
      <c r="H1201" s="56" t="str">
        <f aca="false">IF(COUNTIFS(SITE_ST,"P9-015",SITE_TYPE,"?*")&gt;0,"ตามจุดติดตั้ง →","50/50")</f>
        <v>ตามจุดติดตั้ง →</v>
      </c>
      <c r="I1201" s="58" t="n">
        <f aca="false">'P9-015'!$N$79</f>
        <v>46344</v>
      </c>
      <c r="J1201" s="58" t="n">
        <f aca="false">'P9-015'!$O$79</f>
        <v>46347</v>
      </c>
      <c r="K1201" s="56" t="str">
        <f aca="false">IF(OR(L1201="Y",LEFT('P9-015'!$T$79,1)="D"),"",IF(AND(ISNUMBER(J1201),J1201&lt;ASOF),"⚠ เลยกำหนด",IF(AND(ISNUMBER(I1201),I1201&lt;=ASOF+14,J1201&gt;=ASOF-7),"ช่วงนี้","")))</f>
        <v/>
      </c>
      <c r="L1201" s="59"/>
      <c r="M1201" s="60"/>
    </row>
    <row r="1202" customFormat="false" ht="15" hidden="false" customHeight="false" outlineLevel="0" collapsed="false">
      <c r="A1202" s="54" t="s">
        <v>98</v>
      </c>
      <c r="B1202" s="55" t="s">
        <v>492</v>
      </c>
      <c r="C1202" s="56" t="s">
        <v>493</v>
      </c>
      <c r="D1202" s="57" t="s">
        <v>100</v>
      </c>
      <c r="E1202" s="57" t="s">
        <v>350</v>
      </c>
      <c r="F1202" s="61" t="s">
        <v>351</v>
      </c>
      <c r="G1202" s="55" t="s">
        <v>352</v>
      </c>
      <c r="H1202" s="56" t="str">
        <f aca="false">IF(COUNTIFS(SITE_ST,"P9-015",SITE_TYPE,"?*")&gt;0,"ตามจุดติดตั้ง →","0/100")</f>
        <v>ตามจุดติดตั้ง →</v>
      </c>
      <c r="I1202" s="58" t="n">
        <f aca="false">'P9-015'!$N$80</f>
        <v>46346</v>
      </c>
      <c r="J1202" s="58" t="n">
        <f aca="false">'P9-015'!$O$80</f>
        <v>46347</v>
      </c>
      <c r="K1202" s="56" t="str">
        <f aca="false">IF(OR(L1202="Y",LEFT('P9-015'!$T$80,1)="D"),"",IF(AND(ISNUMBER(J1202),J1202&lt;ASOF),"⚠ เลยกำหนด",IF(AND(ISNUMBER(I1202),I1202&lt;=ASOF+14,J1202&gt;=ASOF-7),"ช่วงนี้","")))</f>
        <v/>
      </c>
      <c r="L1202" s="59"/>
      <c r="M1202" s="60"/>
    </row>
    <row r="1203" customFormat="false" ht="15" hidden="false" customHeight="false" outlineLevel="0" collapsed="false">
      <c r="A1203" s="54" t="s">
        <v>98</v>
      </c>
      <c r="B1203" s="55" t="s">
        <v>492</v>
      </c>
      <c r="C1203" s="56" t="s">
        <v>493</v>
      </c>
      <c r="D1203" s="57" t="s">
        <v>100</v>
      </c>
      <c r="E1203" s="57" t="s">
        <v>353</v>
      </c>
      <c r="F1203" s="61" t="s">
        <v>354</v>
      </c>
      <c r="G1203" s="55" t="s">
        <v>355</v>
      </c>
      <c r="H1203" s="56" t="str">
        <f aca="false">IF(COUNTIFS(SITE_ST,"P9-015",SITE_TYPE,"?*")&gt;0,"ตามจุดติดตั้ง →","0/100")</f>
        <v>ตามจุดติดตั้ง →</v>
      </c>
      <c r="I1203" s="58" t="n">
        <f aca="false">'P9-015'!$N$81</f>
        <v>46347</v>
      </c>
      <c r="J1203" s="58" t="n">
        <f aca="false">'P9-015'!$O$81</f>
        <v>46347</v>
      </c>
      <c r="K1203" s="56" t="str">
        <f aca="false">IF(OR(L1203="Y",LEFT('P9-015'!$T$81,1)="D"),"",IF(AND(ISNUMBER(J1203),J1203&lt;ASOF),"⚠ เลยกำหนด",IF(AND(ISNUMBER(I1203),I1203&lt;=ASOF+14,J1203&gt;=ASOF-7),"ช่วงนี้","")))</f>
        <v/>
      </c>
      <c r="L1203" s="59"/>
      <c r="M1203" s="60"/>
    </row>
    <row r="1204" customFormat="false" ht="15" hidden="false" customHeight="false" outlineLevel="0" collapsed="false">
      <c r="A1204" s="54" t="s">
        <v>98</v>
      </c>
      <c r="B1204" s="55" t="s">
        <v>492</v>
      </c>
      <c r="C1204" s="56" t="s">
        <v>493</v>
      </c>
      <c r="D1204" s="57" t="s">
        <v>100</v>
      </c>
      <c r="E1204" s="57" t="s">
        <v>356</v>
      </c>
      <c r="F1204" s="55" t="s">
        <v>357</v>
      </c>
      <c r="G1204" s="55" t="s">
        <v>358</v>
      </c>
      <c r="H1204" s="57" t="s">
        <v>211</v>
      </c>
      <c r="I1204" s="58" t="n">
        <f aca="false">'P9-015'!$N$83</f>
        <v>46345</v>
      </c>
      <c r="J1204" s="58" t="n">
        <f aca="false">'P9-015'!$O$83</f>
        <v>46346</v>
      </c>
      <c r="K1204" s="56" t="str">
        <f aca="false">IF(OR(L1204="Y",LEFT('P9-015'!$T$83,1)="D"),"",IF(AND(ISNUMBER(J1204),J1204&lt;ASOF),"⚠ เลยกำหนด",IF(AND(ISNUMBER(I1204),I1204&lt;=ASOF+14,J1204&gt;=ASOF-7),"ช่วงนี้","")))</f>
        <v/>
      </c>
      <c r="L1204" s="59"/>
      <c r="M1204" s="60"/>
    </row>
    <row r="1205" customFormat="false" ht="15" hidden="false" customHeight="false" outlineLevel="0" collapsed="false">
      <c r="A1205" s="54" t="s">
        <v>98</v>
      </c>
      <c r="B1205" s="55" t="s">
        <v>492</v>
      </c>
      <c r="C1205" s="56" t="s">
        <v>493</v>
      </c>
      <c r="D1205" s="57" t="s">
        <v>100</v>
      </c>
      <c r="E1205" s="57" t="s">
        <v>359</v>
      </c>
      <c r="F1205" s="55" t="s">
        <v>360</v>
      </c>
      <c r="G1205" s="55" t="s">
        <v>361</v>
      </c>
      <c r="H1205" s="57" t="s">
        <v>211</v>
      </c>
      <c r="I1205" s="58" t="n">
        <f aca="false">'P9-015'!$N$84</f>
        <v>46346</v>
      </c>
      <c r="J1205" s="58" t="n">
        <f aca="false">'P9-015'!$O$84</f>
        <v>46347</v>
      </c>
      <c r="K1205" s="56" t="str">
        <f aca="false">IF(OR(L1205="Y",LEFT('P9-015'!$T$84,1)="D"),"",IF(AND(ISNUMBER(J1205),J1205&lt;ASOF),"⚠ เลยกำหนด",IF(AND(ISNUMBER(I1205),I1205&lt;=ASOF+14,J1205&gt;=ASOF-7),"ช่วงนี้","")))</f>
        <v/>
      </c>
      <c r="L1205" s="59"/>
      <c r="M1205" s="60"/>
    </row>
    <row r="1206" customFormat="false" ht="15" hidden="false" customHeight="false" outlineLevel="0" collapsed="false">
      <c r="A1206" s="54" t="s">
        <v>98</v>
      </c>
      <c r="B1206" s="55" t="s">
        <v>492</v>
      </c>
      <c r="C1206" s="56" t="s">
        <v>493</v>
      </c>
      <c r="D1206" s="57" t="s">
        <v>100</v>
      </c>
      <c r="E1206" s="57" t="s">
        <v>362</v>
      </c>
      <c r="F1206" s="61" t="s">
        <v>363</v>
      </c>
      <c r="G1206" s="61" t="s">
        <v>364</v>
      </c>
      <c r="H1206" s="56" t="s">
        <v>365</v>
      </c>
      <c r="I1206" s="58" t="n">
        <f aca="false">'P9-015'!$N$86</f>
        <v>46343</v>
      </c>
      <c r="J1206" s="58" t="n">
        <f aca="false">'P9-015'!$O$86</f>
        <v>46345</v>
      </c>
      <c r="K1206" s="56" t="str">
        <f aca="false">IF(OR(L1206="Y",LEFT('P9-015'!$T$86,1)="D"),"",IF(AND(ISNUMBER(J1206),J1206&lt;ASOF),"⚠ เลยกำหนด",IF(AND(ISNUMBER(I1206),I1206&lt;=ASOF+14,J1206&gt;=ASOF-7),"ช่วงนี้","")))</f>
        <v/>
      </c>
      <c r="L1206" s="59"/>
      <c r="M1206" s="60"/>
    </row>
    <row r="1207" customFormat="false" ht="15" hidden="false" customHeight="false" outlineLevel="0" collapsed="false">
      <c r="A1207" s="54" t="s">
        <v>98</v>
      </c>
      <c r="B1207" s="55" t="s">
        <v>492</v>
      </c>
      <c r="C1207" s="56" t="s">
        <v>493</v>
      </c>
      <c r="D1207" s="57" t="s">
        <v>100</v>
      </c>
      <c r="E1207" s="57" t="s">
        <v>366</v>
      </c>
      <c r="F1207" s="61" t="s">
        <v>367</v>
      </c>
      <c r="G1207" s="61" t="s">
        <v>368</v>
      </c>
      <c r="H1207" s="57" t="s">
        <v>369</v>
      </c>
      <c r="I1207" s="58" t="n">
        <f aca="false">'P9-015'!$N$87</f>
        <v>46344</v>
      </c>
      <c r="J1207" s="58" t="n">
        <f aca="false">'P9-015'!$O$87</f>
        <v>46346</v>
      </c>
      <c r="K1207" s="56" t="str">
        <f aca="false">IF(OR(L1207="Y",LEFT('P9-015'!$T$87,1)="D"),"",IF(AND(ISNUMBER(J1207),J1207&lt;ASOF),"⚠ เลยกำหนด",IF(AND(ISNUMBER(I1207),I1207&lt;=ASOF+14,J1207&gt;=ASOF-7),"ช่วงนี้","")))</f>
        <v/>
      </c>
      <c r="L1207" s="59"/>
      <c r="M1207" s="60"/>
    </row>
    <row r="1208" customFormat="false" ht="15" hidden="false" customHeight="false" outlineLevel="0" collapsed="false">
      <c r="A1208" s="54" t="s">
        <v>98</v>
      </c>
      <c r="B1208" s="55" t="s">
        <v>492</v>
      </c>
      <c r="C1208" s="56" t="s">
        <v>493</v>
      </c>
      <c r="D1208" s="57" t="s">
        <v>100</v>
      </c>
      <c r="E1208" s="57" t="s">
        <v>370</v>
      </c>
      <c r="F1208" s="55" t="s">
        <v>371</v>
      </c>
      <c r="G1208" s="55" t="s">
        <v>372</v>
      </c>
      <c r="H1208" s="57" t="s">
        <v>211</v>
      </c>
      <c r="I1208" s="58" t="n">
        <f aca="false">'P9-015'!$N$88</f>
        <v>46345</v>
      </c>
      <c r="J1208" s="58" t="n">
        <f aca="false">'P9-015'!$O$88</f>
        <v>46346</v>
      </c>
      <c r="K1208" s="56" t="str">
        <f aca="false">IF(OR(L1208="Y",LEFT('P9-015'!$T$88,1)="D"),"",IF(AND(ISNUMBER(J1208),J1208&lt;ASOF),"⚠ เลยกำหนด",IF(AND(ISNUMBER(I1208),I1208&lt;=ASOF+14,J1208&gt;=ASOF-7),"ช่วงนี้","")))</f>
        <v/>
      </c>
      <c r="L1208" s="59"/>
      <c r="M1208" s="60"/>
    </row>
    <row r="1209" customFormat="false" ht="15" hidden="false" customHeight="false" outlineLevel="0" collapsed="false">
      <c r="A1209" s="54" t="s">
        <v>98</v>
      </c>
      <c r="B1209" s="55" t="s">
        <v>492</v>
      </c>
      <c r="C1209" s="56" t="s">
        <v>493</v>
      </c>
      <c r="D1209" s="57" t="s">
        <v>100</v>
      </c>
      <c r="E1209" s="57" t="s">
        <v>373</v>
      </c>
      <c r="F1209" s="61" t="s">
        <v>374</v>
      </c>
      <c r="G1209" s="55" t="s">
        <v>375</v>
      </c>
      <c r="H1209" s="57" t="s">
        <v>211</v>
      </c>
      <c r="I1209" s="58" t="n">
        <f aca="false">'P9-015'!$N$89</f>
        <v>46346</v>
      </c>
      <c r="J1209" s="58" t="n">
        <f aca="false">'P9-015'!$O$89</f>
        <v>46346</v>
      </c>
      <c r="K1209" s="56" t="str">
        <f aca="false">IF(OR(L1209="Y",LEFT('P9-015'!$T$89,1)="D"),"",IF(AND(ISNUMBER(J1209),J1209&lt;ASOF),"⚠ เลยกำหนด",IF(AND(ISNUMBER(I1209),I1209&lt;=ASOF+14,J1209&gt;=ASOF-7),"ช่วงนี้","")))</f>
        <v/>
      </c>
      <c r="L1209" s="59"/>
      <c r="M1209" s="60"/>
    </row>
    <row r="1210" customFormat="false" ht="15" hidden="false" customHeight="false" outlineLevel="0" collapsed="false">
      <c r="A1210" s="54" t="s">
        <v>98</v>
      </c>
      <c r="B1210" s="55" t="s">
        <v>492</v>
      </c>
      <c r="C1210" s="56" t="s">
        <v>493</v>
      </c>
      <c r="D1210" s="57" t="s">
        <v>100</v>
      </c>
      <c r="E1210" s="57" t="s">
        <v>376</v>
      </c>
      <c r="F1210" s="55" t="s">
        <v>377</v>
      </c>
      <c r="G1210" s="55" t="s">
        <v>378</v>
      </c>
      <c r="H1210" s="57" t="s">
        <v>369</v>
      </c>
      <c r="I1210" s="58" t="n">
        <f aca="false">'P9-015'!$N$91</f>
        <v>46344</v>
      </c>
      <c r="J1210" s="58" t="n">
        <f aca="false">'P9-015'!$O$91</f>
        <v>46346</v>
      </c>
      <c r="K1210" s="56" t="str">
        <f aca="false">IF(OR(L1210="Y",LEFT('P9-015'!$T$91,1)="D"),"",IF(AND(ISNUMBER(J1210),J1210&lt;ASOF),"⚠ เลยกำหนด",IF(AND(ISNUMBER(I1210),I1210&lt;=ASOF+14,J1210&gt;=ASOF-7),"ช่วงนี้","")))</f>
        <v/>
      </c>
      <c r="L1210" s="59"/>
      <c r="M1210" s="60"/>
    </row>
    <row r="1211" customFormat="false" ht="15" hidden="false" customHeight="false" outlineLevel="0" collapsed="false">
      <c r="A1211" s="54" t="s">
        <v>98</v>
      </c>
      <c r="B1211" s="55" t="s">
        <v>492</v>
      </c>
      <c r="C1211" s="56" t="s">
        <v>493</v>
      </c>
      <c r="D1211" s="57" t="s">
        <v>100</v>
      </c>
      <c r="E1211" s="57" t="s">
        <v>379</v>
      </c>
      <c r="F1211" s="61" t="s">
        <v>380</v>
      </c>
      <c r="G1211" s="61" t="s">
        <v>381</v>
      </c>
      <c r="H1211" s="57" t="s">
        <v>211</v>
      </c>
      <c r="I1211" s="58" t="n">
        <f aca="false">'P9-015'!$N$92</f>
        <v>46346</v>
      </c>
      <c r="J1211" s="58" t="n">
        <f aca="false">'P9-015'!$O$92</f>
        <v>46347</v>
      </c>
      <c r="K1211" s="56" t="str">
        <f aca="false">IF(OR(L1211="Y",LEFT('P9-015'!$T$92,1)="D"),"",IF(AND(ISNUMBER(J1211),J1211&lt;ASOF),"⚠ เลยกำหนด",IF(AND(ISNUMBER(I1211),I1211&lt;=ASOF+14,J1211&gt;=ASOF-7),"ช่วงนี้","")))</f>
        <v/>
      </c>
      <c r="L1211" s="59"/>
      <c r="M1211" s="60"/>
    </row>
    <row r="1212" customFormat="false" ht="15" hidden="false" customHeight="false" outlineLevel="0" collapsed="false">
      <c r="A1212" s="54" t="s">
        <v>98</v>
      </c>
      <c r="B1212" s="55" t="s">
        <v>492</v>
      </c>
      <c r="C1212" s="56" t="s">
        <v>493</v>
      </c>
      <c r="D1212" s="57" t="s">
        <v>100</v>
      </c>
      <c r="E1212" s="57" t="s">
        <v>382</v>
      </c>
      <c r="F1212" s="55" t="s">
        <v>383</v>
      </c>
      <c r="G1212" s="55" t="s">
        <v>384</v>
      </c>
      <c r="H1212" s="57" t="s">
        <v>369</v>
      </c>
      <c r="I1212" s="58" t="n">
        <f aca="false">'P9-015'!$N$93</f>
        <v>46344</v>
      </c>
      <c r="J1212" s="58" t="n">
        <f aca="false">'P9-015'!$O$93</f>
        <v>46346</v>
      </c>
      <c r="K1212" s="56" t="str">
        <f aca="false">IF(OR(L1212="Y",LEFT('P9-015'!$T$93,1)="D"),"",IF(AND(ISNUMBER(J1212),J1212&lt;ASOF),"⚠ เลยกำหนด",IF(AND(ISNUMBER(I1212),I1212&lt;=ASOF+14,J1212&gt;=ASOF-7),"ช่วงนี้","")))</f>
        <v/>
      </c>
      <c r="L1212" s="59"/>
      <c r="M1212" s="60"/>
    </row>
    <row r="1213" customFormat="false" ht="15" hidden="false" customHeight="false" outlineLevel="0" collapsed="false">
      <c r="A1213" s="54" t="s">
        <v>98</v>
      </c>
      <c r="B1213" s="55" t="s">
        <v>492</v>
      </c>
      <c r="C1213" s="56" t="s">
        <v>493</v>
      </c>
      <c r="D1213" s="57" t="s">
        <v>100</v>
      </c>
      <c r="E1213" s="57" t="s">
        <v>385</v>
      </c>
      <c r="F1213" s="55" t="s">
        <v>386</v>
      </c>
      <c r="G1213" s="55" t="s">
        <v>387</v>
      </c>
      <c r="H1213" s="57" t="s">
        <v>211</v>
      </c>
      <c r="I1213" s="58" t="n">
        <f aca="false">'P9-015'!$N$94</f>
        <v>46346</v>
      </c>
      <c r="J1213" s="58" t="n">
        <f aca="false">'P9-015'!$O$94</f>
        <v>46347</v>
      </c>
      <c r="K1213" s="56" t="str">
        <f aca="false">IF(OR(L1213="Y",LEFT('P9-015'!$T$94,1)="D"),"",IF(AND(ISNUMBER(J1213),J1213&lt;ASOF),"⚠ เลยกำหนด",IF(AND(ISNUMBER(I1213),I1213&lt;=ASOF+14,J1213&gt;=ASOF-7),"ช่วงนี้","")))</f>
        <v/>
      </c>
      <c r="L1213" s="59"/>
      <c r="M1213" s="60"/>
    </row>
    <row r="1214" customFormat="false" ht="15" hidden="false" customHeight="false" outlineLevel="0" collapsed="false">
      <c r="A1214" s="54" t="s">
        <v>98</v>
      </c>
      <c r="B1214" s="55" t="s">
        <v>492</v>
      </c>
      <c r="C1214" s="56" t="s">
        <v>493</v>
      </c>
      <c r="D1214" s="57" t="s">
        <v>100</v>
      </c>
      <c r="E1214" s="57" t="s">
        <v>388</v>
      </c>
      <c r="F1214" s="61" t="s">
        <v>389</v>
      </c>
      <c r="G1214" s="55" t="s">
        <v>390</v>
      </c>
      <c r="H1214" s="57" t="s">
        <v>211</v>
      </c>
      <c r="I1214" s="58" t="n">
        <f aca="false">'P9-015'!$N$95</f>
        <v>46347</v>
      </c>
      <c r="J1214" s="58" t="n">
        <f aca="false">'P9-015'!$O$95</f>
        <v>46347</v>
      </c>
      <c r="K1214" s="56" t="str">
        <f aca="false">IF(OR(L1214="Y",LEFT('P9-015'!$T$95,1)="D"),"",IF(AND(ISNUMBER(J1214),J1214&lt;ASOF),"⚠ เลยกำหนด",IF(AND(ISNUMBER(I1214),I1214&lt;=ASOF+14,J1214&gt;=ASOF-7),"ช่วงนี้","")))</f>
        <v/>
      </c>
      <c r="L1214" s="59"/>
      <c r="M1214" s="60"/>
    </row>
    <row r="1215" customFormat="false" ht="15" hidden="false" customHeight="false" outlineLevel="0" collapsed="false">
      <c r="A1215" s="54" t="s">
        <v>98</v>
      </c>
      <c r="B1215" s="55" t="s">
        <v>492</v>
      </c>
      <c r="C1215" s="56" t="s">
        <v>493</v>
      </c>
      <c r="D1215" s="57" t="s">
        <v>100</v>
      </c>
      <c r="E1215" s="57" t="s">
        <v>391</v>
      </c>
      <c r="F1215" s="55" t="s">
        <v>392</v>
      </c>
      <c r="G1215" s="55" t="s">
        <v>393</v>
      </c>
      <c r="H1215" s="57" t="s">
        <v>369</v>
      </c>
      <c r="I1215" s="58" t="n">
        <f aca="false">'P9-015'!$N$97</f>
        <v>46345</v>
      </c>
      <c r="J1215" s="58" t="n">
        <f aca="false">'P9-015'!$O$97</f>
        <v>46347</v>
      </c>
      <c r="K1215" s="56" t="str">
        <f aca="false">IF(OR(L1215="Y",LEFT('P9-015'!$T$97,1)="D"),"",IF(AND(ISNUMBER(J1215),J1215&lt;ASOF),"⚠ เลยกำหนด",IF(AND(ISNUMBER(I1215),I1215&lt;=ASOF+14,J1215&gt;=ASOF-7),"ช่วงนี้","")))</f>
        <v/>
      </c>
      <c r="L1215" s="59"/>
      <c r="M1215" s="60"/>
    </row>
    <row r="1216" customFormat="false" ht="15" hidden="false" customHeight="false" outlineLevel="0" collapsed="false">
      <c r="A1216" s="54" t="s">
        <v>98</v>
      </c>
      <c r="B1216" s="55" t="s">
        <v>492</v>
      </c>
      <c r="C1216" s="56" t="s">
        <v>493</v>
      </c>
      <c r="D1216" s="57" t="s">
        <v>100</v>
      </c>
      <c r="E1216" s="57" t="s">
        <v>394</v>
      </c>
      <c r="F1216" s="55" t="s">
        <v>395</v>
      </c>
      <c r="G1216" s="55" t="s">
        <v>396</v>
      </c>
      <c r="H1216" s="57" t="s">
        <v>211</v>
      </c>
      <c r="I1216" s="58" t="n">
        <f aca="false">'P9-015'!$N$98</f>
        <v>46346</v>
      </c>
      <c r="J1216" s="58" t="n">
        <f aca="false">'P9-015'!$O$98</f>
        <v>46347</v>
      </c>
      <c r="K1216" s="56" t="str">
        <f aca="false">IF(OR(L1216="Y",LEFT('P9-015'!$T$98,1)="D"),"",IF(AND(ISNUMBER(J1216),J1216&lt;ASOF),"⚠ เลยกำหนด",IF(AND(ISNUMBER(I1216),I1216&lt;=ASOF+14,J1216&gt;=ASOF-7),"ช่วงนี้","")))</f>
        <v/>
      </c>
      <c r="L1216" s="59"/>
      <c r="M1216" s="60"/>
    </row>
    <row r="1217" customFormat="false" ht="15" hidden="false" customHeight="false" outlineLevel="0" collapsed="false">
      <c r="A1217" s="54" t="s">
        <v>98</v>
      </c>
      <c r="B1217" s="55" t="s">
        <v>492</v>
      </c>
      <c r="C1217" s="56" t="s">
        <v>493</v>
      </c>
      <c r="D1217" s="57" t="s">
        <v>100</v>
      </c>
      <c r="E1217" s="57" t="s">
        <v>397</v>
      </c>
      <c r="F1217" s="61" t="s">
        <v>398</v>
      </c>
      <c r="G1217" s="55" t="s">
        <v>399</v>
      </c>
      <c r="H1217" s="57" t="s">
        <v>211</v>
      </c>
      <c r="I1217" s="58" t="n">
        <f aca="false">'P9-015'!$N$99</f>
        <v>46347</v>
      </c>
      <c r="J1217" s="58" t="n">
        <f aca="false">'P9-015'!$O$99</f>
        <v>46347</v>
      </c>
      <c r="K1217" s="56" t="str">
        <f aca="false">IF(OR(L1217="Y",LEFT('P9-015'!$T$99,1)="D"),"",IF(AND(ISNUMBER(J1217),J1217&lt;ASOF),"⚠ เลยกำหนด",IF(AND(ISNUMBER(I1217),I1217&lt;=ASOF+14,J1217&gt;=ASOF-7),"ช่วงนี้","")))</f>
        <v/>
      </c>
      <c r="L1217" s="59"/>
      <c r="M1217" s="60"/>
    </row>
    <row r="1218" customFormat="false" ht="15" hidden="false" customHeight="false" outlineLevel="0" collapsed="false">
      <c r="A1218" s="54" t="s">
        <v>98</v>
      </c>
      <c r="B1218" s="55" t="s">
        <v>492</v>
      </c>
      <c r="C1218" s="56" t="s">
        <v>493</v>
      </c>
      <c r="D1218" s="57" t="s">
        <v>100</v>
      </c>
      <c r="E1218" s="57" t="s">
        <v>467</v>
      </c>
      <c r="F1218" s="61" t="s">
        <v>468</v>
      </c>
      <c r="G1218" s="61" t="s">
        <v>469</v>
      </c>
      <c r="H1218" s="57" t="s">
        <v>211</v>
      </c>
      <c r="I1218" s="58" t="n">
        <f aca="false">'P9-015'!$N$103</f>
        <v>46346</v>
      </c>
      <c r="J1218" s="58" t="n">
        <f aca="false">'P9-015'!$O$103</f>
        <v>46347</v>
      </c>
      <c r="K1218" s="56" t="str">
        <f aca="false">IF(OR(L1218="Y",LEFT('P9-015'!$T$103,1)="D"),"",IF(AND(ISNUMBER(J1218),J1218&lt;ASOF),"⚠ เลยกำหนด",IF(AND(ISNUMBER(I1218),I1218&lt;=ASOF+14,J1218&gt;=ASOF-7),"ช่วงนี้","")))</f>
        <v/>
      </c>
      <c r="L1218" s="59"/>
      <c r="M1218" s="60"/>
    </row>
    <row r="1219" customFormat="false" ht="15" hidden="false" customHeight="false" outlineLevel="0" collapsed="false">
      <c r="A1219" s="54" t="s">
        <v>98</v>
      </c>
      <c r="B1219" s="55" t="s">
        <v>492</v>
      </c>
      <c r="C1219" s="56" t="s">
        <v>493</v>
      </c>
      <c r="D1219" s="57" t="s">
        <v>100</v>
      </c>
      <c r="E1219" s="57" t="s">
        <v>403</v>
      </c>
      <c r="F1219" s="55" t="s">
        <v>404</v>
      </c>
      <c r="G1219" s="55" t="s">
        <v>405</v>
      </c>
      <c r="H1219" s="57" t="s">
        <v>211</v>
      </c>
      <c r="I1219" s="58" t="n">
        <f aca="false">'P9-015'!$N$104</f>
        <v>46347</v>
      </c>
      <c r="J1219" s="58" t="n">
        <f aca="false">'P9-015'!$O$104</f>
        <v>46348</v>
      </c>
      <c r="K1219" s="56" t="str">
        <f aca="false">IF(OR(L1219="Y",LEFT('P9-015'!$T$104,1)="D"),"",IF(AND(ISNUMBER(J1219),J1219&lt;ASOF),"⚠ เลยกำหนด",IF(AND(ISNUMBER(I1219),I1219&lt;=ASOF+14,J1219&gt;=ASOF-7),"ช่วงนี้","")))</f>
        <v/>
      </c>
      <c r="L1219" s="59"/>
      <c r="M1219" s="60"/>
    </row>
    <row r="1220" customFormat="false" ht="15" hidden="false" customHeight="false" outlineLevel="0" collapsed="false">
      <c r="A1220" s="54" t="s">
        <v>98</v>
      </c>
      <c r="B1220" s="55" t="s">
        <v>492</v>
      </c>
      <c r="C1220" s="56" t="s">
        <v>493</v>
      </c>
      <c r="D1220" s="57" t="s">
        <v>100</v>
      </c>
      <c r="E1220" s="57" t="s">
        <v>406</v>
      </c>
      <c r="F1220" s="55" t="s">
        <v>407</v>
      </c>
      <c r="G1220" s="55" t="s">
        <v>408</v>
      </c>
      <c r="H1220" s="57" t="s">
        <v>211</v>
      </c>
      <c r="I1220" s="58" t="n">
        <f aca="false">'P9-015'!$N$105</f>
        <v>46347</v>
      </c>
      <c r="J1220" s="58" t="n">
        <f aca="false">'P9-015'!$O$105</f>
        <v>46348</v>
      </c>
      <c r="K1220" s="56" t="str">
        <f aca="false">IF(OR(L1220="Y",LEFT('P9-015'!$T$105,1)="D"),"",IF(AND(ISNUMBER(J1220),J1220&lt;ASOF),"⚠ เลยกำหนด",IF(AND(ISNUMBER(I1220),I1220&lt;=ASOF+14,J1220&gt;=ASOF-7),"ช่วงนี้","")))</f>
        <v/>
      </c>
      <c r="L1220" s="59"/>
      <c r="M1220" s="60"/>
    </row>
    <row r="1221" customFormat="false" ht="15" hidden="false" customHeight="false" outlineLevel="0" collapsed="false">
      <c r="A1221" s="54" t="s">
        <v>98</v>
      </c>
      <c r="B1221" s="55" t="s">
        <v>492</v>
      </c>
      <c r="C1221" s="56" t="s">
        <v>493</v>
      </c>
      <c r="D1221" s="57" t="s">
        <v>100</v>
      </c>
      <c r="E1221" s="57" t="s">
        <v>409</v>
      </c>
      <c r="F1221" s="61" t="s">
        <v>410</v>
      </c>
      <c r="G1221" s="55" t="s">
        <v>411</v>
      </c>
      <c r="H1221" s="57" t="s">
        <v>211</v>
      </c>
      <c r="I1221" s="58" t="n">
        <f aca="false">'P9-015'!$N$106</f>
        <v>46348</v>
      </c>
      <c r="J1221" s="58" t="n">
        <f aca="false">'P9-015'!$O$106</f>
        <v>46348</v>
      </c>
      <c r="K1221" s="56" t="str">
        <f aca="false">IF(OR(L1221="Y",LEFT('P9-015'!$T$106,1)="D"),"",IF(AND(ISNUMBER(J1221),J1221&lt;ASOF),"⚠ เลยกำหนด",IF(AND(ISNUMBER(I1221),I1221&lt;=ASOF+14,J1221&gt;=ASOF-7),"ช่วงนี้","")))</f>
        <v/>
      </c>
      <c r="L1221" s="59"/>
      <c r="M1221" s="60"/>
    </row>
    <row r="1222" customFormat="false" ht="15" hidden="false" customHeight="false" outlineLevel="0" collapsed="false">
      <c r="A1222" s="54" t="s">
        <v>98</v>
      </c>
      <c r="B1222" s="55" t="s">
        <v>492</v>
      </c>
      <c r="C1222" s="56" t="s">
        <v>493</v>
      </c>
      <c r="D1222" s="57" t="s">
        <v>100</v>
      </c>
      <c r="E1222" s="57" t="s">
        <v>412</v>
      </c>
      <c r="F1222" s="61" t="s">
        <v>413</v>
      </c>
      <c r="G1222" s="61" t="s">
        <v>414</v>
      </c>
      <c r="H1222" s="57" t="s">
        <v>211</v>
      </c>
      <c r="I1222" s="58" t="n">
        <f aca="false">'P9-015'!$N$108</f>
        <v>46347</v>
      </c>
      <c r="J1222" s="58" t="n">
        <f aca="false">'P9-015'!$O$108</f>
        <v>46348</v>
      </c>
      <c r="K1222" s="56" t="str">
        <f aca="false">IF(OR(L1222="Y",LEFT('P9-015'!$T$108,1)="D"),"",IF(AND(ISNUMBER(J1222),J1222&lt;ASOF),"⚠ เลยกำหนด",IF(AND(ISNUMBER(I1222),I1222&lt;=ASOF+14,J1222&gt;=ASOF-7),"ช่วงนี้","")))</f>
        <v/>
      </c>
      <c r="L1222" s="59"/>
      <c r="M1222" s="60"/>
    </row>
    <row r="1223" customFormat="false" ht="15" hidden="false" customHeight="false" outlineLevel="0" collapsed="false">
      <c r="A1223" s="54" t="s">
        <v>98</v>
      </c>
      <c r="B1223" s="55" t="s">
        <v>492</v>
      </c>
      <c r="C1223" s="56" t="s">
        <v>493</v>
      </c>
      <c r="D1223" s="57" t="s">
        <v>100</v>
      </c>
      <c r="E1223" s="57" t="s">
        <v>415</v>
      </c>
      <c r="F1223" s="55" t="s">
        <v>416</v>
      </c>
      <c r="G1223" s="55" t="s">
        <v>417</v>
      </c>
      <c r="H1223" s="57" t="s">
        <v>211</v>
      </c>
      <c r="I1223" s="58" t="n">
        <f aca="false">'P9-015'!$N$109</f>
        <v>46348</v>
      </c>
      <c r="J1223" s="58" t="n">
        <f aca="false">'P9-015'!$O$109</f>
        <v>46348</v>
      </c>
      <c r="K1223" s="56" t="str">
        <f aca="false">IF(OR(L1223="Y",LEFT('P9-015'!$T$109,1)="D"),"",IF(AND(ISNUMBER(J1223),J1223&lt;ASOF),"⚠ เลยกำหนด",IF(AND(ISNUMBER(I1223),I1223&lt;=ASOF+14,J1223&gt;=ASOF-7),"ช่วงนี้","")))</f>
        <v/>
      </c>
      <c r="L1223" s="59"/>
      <c r="M1223" s="60"/>
    </row>
    <row r="1224" customFormat="false" ht="15" hidden="false" customHeight="false" outlineLevel="0" collapsed="false">
      <c r="A1224" s="54" t="s">
        <v>98</v>
      </c>
      <c r="B1224" s="55" t="s">
        <v>492</v>
      </c>
      <c r="C1224" s="56" t="s">
        <v>493</v>
      </c>
      <c r="D1224" s="57" t="s">
        <v>100</v>
      </c>
      <c r="E1224" s="57" t="s">
        <v>418</v>
      </c>
      <c r="F1224" s="61" t="s">
        <v>419</v>
      </c>
      <c r="G1224" s="55" t="s">
        <v>420</v>
      </c>
      <c r="H1224" s="57" t="s">
        <v>211</v>
      </c>
      <c r="I1224" s="58" t="n">
        <f aca="false">'P9-015'!$N$110</f>
        <v>46347</v>
      </c>
      <c r="J1224" s="58" t="n">
        <f aca="false">'P9-015'!$O$110</f>
        <v>46348</v>
      </c>
      <c r="K1224" s="56" t="str">
        <f aca="false">IF(OR(L1224="Y",LEFT('P9-015'!$T$110,1)="D"),"",IF(AND(ISNUMBER(J1224),J1224&lt;ASOF),"⚠ เลยกำหนด",IF(AND(ISNUMBER(I1224),I1224&lt;=ASOF+14,J1224&gt;=ASOF-7),"ช่วงนี้","")))</f>
        <v/>
      </c>
      <c r="L1224" s="59"/>
      <c r="M1224" s="60"/>
    </row>
    <row r="1225" customFormat="false" ht="15" hidden="false" customHeight="false" outlineLevel="0" collapsed="false">
      <c r="A1225" s="54" t="s">
        <v>98</v>
      </c>
      <c r="B1225" s="55" t="s">
        <v>492</v>
      </c>
      <c r="C1225" s="56" t="s">
        <v>493</v>
      </c>
      <c r="D1225" s="57" t="s">
        <v>100</v>
      </c>
      <c r="E1225" s="57" t="s">
        <v>421</v>
      </c>
      <c r="F1225" s="55" t="s">
        <v>422</v>
      </c>
      <c r="G1225" s="55" t="s">
        <v>423</v>
      </c>
      <c r="H1225" s="56" t="str">
        <f aca="false">IF(COUNTIFS(SITE_ST,"P9-015",SITE_TYPE,"?*")&gt;0,"ตามจุดติดตั้ง →","0/100")</f>
        <v>ตามจุดติดตั้ง →</v>
      </c>
      <c r="I1225" s="58" t="n">
        <f aca="false">'P9-015'!$N$112</f>
        <v>46349</v>
      </c>
      <c r="J1225" s="58" t="n">
        <f aca="false">'P9-015'!$O$112</f>
        <v>46349</v>
      </c>
      <c r="K1225" s="56" t="str">
        <f aca="false">IF(OR(L1225="Y",LEFT('P9-015'!$T$112,1)="D"),"",IF(AND(ISNUMBER(J1225),J1225&lt;ASOF),"⚠ เลยกำหนด",IF(AND(ISNUMBER(I1225),I1225&lt;=ASOF+14,J1225&gt;=ASOF-7),"ช่วงนี้","")))</f>
        <v/>
      </c>
      <c r="L1225" s="59"/>
      <c r="M1225" s="60"/>
    </row>
    <row r="1226" customFormat="false" ht="15" hidden="false" customHeight="false" outlineLevel="0" collapsed="false">
      <c r="A1226" s="54" t="s">
        <v>98</v>
      </c>
      <c r="B1226" s="55" t="s">
        <v>492</v>
      </c>
      <c r="C1226" s="56" t="s">
        <v>493</v>
      </c>
      <c r="D1226" s="57" t="s">
        <v>100</v>
      </c>
      <c r="E1226" s="57" t="s">
        <v>424</v>
      </c>
      <c r="F1226" s="55" t="s">
        <v>425</v>
      </c>
      <c r="G1226" s="55" t="s">
        <v>426</v>
      </c>
      <c r="H1226" s="56" t="str">
        <f aca="false">IF(COUNTIFS(SITE_ST,"P9-015",SITE_TYPE,"?*")&gt;0,"ตามจุดติดตั้ง →","0/100")</f>
        <v>ตามจุดติดตั้ง →</v>
      </c>
      <c r="I1226" s="58" t="n">
        <f aca="false">'P9-015'!$N$113</f>
        <v>46349</v>
      </c>
      <c r="J1226" s="58" t="n">
        <f aca="false">'P9-015'!$O$113</f>
        <v>46349</v>
      </c>
      <c r="K1226" s="56" t="str">
        <f aca="false">IF(OR(L1226="Y",LEFT('P9-015'!$T$113,1)="D"),"",IF(AND(ISNUMBER(J1226),J1226&lt;ASOF),"⚠ เลยกำหนด",IF(AND(ISNUMBER(I1226),I1226&lt;=ASOF+14,J1226&gt;=ASOF-7),"ช่วงนี้","")))</f>
        <v/>
      </c>
      <c r="L1226" s="59"/>
      <c r="M1226" s="60"/>
    </row>
    <row r="1227" customFormat="false" ht="15" hidden="false" customHeight="false" outlineLevel="0" collapsed="false">
      <c r="A1227" s="54" t="s">
        <v>98</v>
      </c>
      <c r="B1227" s="55" t="s">
        <v>492</v>
      </c>
      <c r="C1227" s="56" t="s">
        <v>493</v>
      </c>
      <c r="D1227" s="57" t="s">
        <v>100</v>
      </c>
      <c r="E1227" s="57" t="s">
        <v>427</v>
      </c>
      <c r="F1227" s="61" t="s">
        <v>428</v>
      </c>
      <c r="G1227" s="61" t="s">
        <v>429</v>
      </c>
      <c r="H1227" s="57" t="s">
        <v>211</v>
      </c>
      <c r="I1227" s="58" t="n">
        <f aca="false">'P9-015'!$N$116</f>
        <v>46359</v>
      </c>
      <c r="J1227" s="58" t="n">
        <f aca="false">'P9-015'!$O$116</f>
        <v>46359</v>
      </c>
      <c r="K1227" s="56" t="str">
        <f aca="false">IF(OR(L1227="Y",LEFT('P9-015'!$T$116,1)="D"),"",IF(AND(ISNUMBER(J1227),J1227&lt;ASOF),"⚠ เลยกำหนด",IF(AND(ISNUMBER(I1227),I1227&lt;=ASOF+14,J1227&gt;=ASOF-7),"ช่วงนี้","")))</f>
        <v/>
      </c>
      <c r="L1227" s="59"/>
      <c r="M1227" s="60"/>
    </row>
    <row r="1228" customFormat="false" ht="15" hidden="false" customHeight="false" outlineLevel="0" collapsed="false">
      <c r="A1228" s="54" t="s">
        <v>98</v>
      </c>
      <c r="B1228" s="55" t="s">
        <v>492</v>
      </c>
      <c r="C1228" s="56" t="s">
        <v>493</v>
      </c>
      <c r="D1228" s="57" t="s">
        <v>100</v>
      </c>
      <c r="E1228" s="57" t="s">
        <v>430</v>
      </c>
      <c r="F1228" s="55" t="s">
        <v>431</v>
      </c>
      <c r="G1228" s="55" t="s">
        <v>432</v>
      </c>
      <c r="H1228" s="57" t="s">
        <v>211</v>
      </c>
      <c r="I1228" s="58" t="n">
        <f aca="false">'P9-015'!$N$117</f>
        <v>46359</v>
      </c>
      <c r="J1228" s="58" t="n">
        <f aca="false">'P9-015'!$O$117</f>
        <v>46359</v>
      </c>
      <c r="K1228" s="56" t="str">
        <f aca="false">IF(OR(L1228="Y",LEFT('P9-015'!$T$117,1)="D"),"",IF(AND(ISNUMBER(J1228),J1228&lt;ASOF),"⚠ เลยกำหนด",IF(AND(ISNUMBER(I1228),I1228&lt;=ASOF+14,J1228&gt;=ASOF-7),"ช่วงนี้","")))</f>
        <v/>
      </c>
      <c r="L1228" s="59"/>
      <c r="M1228" s="60"/>
    </row>
    <row r="1229" customFormat="false" ht="15" hidden="false" customHeight="false" outlineLevel="0" collapsed="false">
      <c r="A1229" s="54" t="s">
        <v>98</v>
      </c>
      <c r="B1229" s="55" t="s">
        <v>492</v>
      </c>
      <c r="C1229" s="56" t="s">
        <v>493</v>
      </c>
      <c r="D1229" s="57" t="s">
        <v>100</v>
      </c>
      <c r="E1229" s="57" t="s">
        <v>433</v>
      </c>
      <c r="F1229" s="55" t="s">
        <v>434</v>
      </c>
      <c r="G1229" s="55" t="s">
        <v>435</v>
      </c>
      <c r="H1229" s="57" t="s">
        <v>211</v>
      </c>
      <c r="I1229" s="58" t="n">
        <f aca="false">'P9-015'!$N$118</f>
        <v>46359</v>
      </c>
      <c r="J1229" s="58" t="n">
        <f aca="false">'P9-015'!$O$118</f>
        <v>46359</v>
      </c>
      <c r="K1229" s="56" t="str">
        <f aca="false">IF(OR(L1229="Y",LEFT('P9-015'!$T$118,1)="D"),"",IF(AND(ISNUMBER(J1229),J1229&lt;ASOF),"⚠ เลยกำหนด",IF(AND(ISNUMBER(I1229),I1229&lt;=ASOF+14,J1229&gt;=ASOF-7),"ช่วงนี้","")))</f>
        <v/>
      </c>
      <c r="L1229" s="59"/>
      <c r="M1229" s="60"/>
    </row>
    <row r="1230" customFormat="false" ht="15" hidden="false" customHeight="false" outlineLevel="0" collapsed="false">
      <c r="A1230" s="54" t="s">
        <v>98</v>
      </c>
      <c r="B1230" s="55" t="s">
        <v>492</v>
      </c>
      <c r="C1230" s="56" t="s">
        <v>493</v>
      </c>
      <c r="D1230" s="57" t="s">
        <v>100</v>
      </c>
      <c r="E1230" s="57" t="s">
        <v>436</v>
      </c>
      <c r="F1230" s="55" t="s">
        <v>437</v>
      </c>
      <c r="G1230" s="55" t="s">
        <v>438</v>
      </c>
      <c r="H1230" s="57" t="s">
        <v>211</v>
      </c>
      <c r="I1230" s="58" t="n">
        <f aca="false">'P9-015'!$N$119</f>
        <v>46359</v>
      </c>
      <c r="J1230" s="58" t="n">
        <f aca="false">'P9-015'!$O$119</f>
        <v>46359</v>
      </c>
      <c r="K1230" s="56" t="str">
        <f aca="false">IF(OR(L1230="Y",LEFT('P9-015'!$T$119,1)="D"),"",IF(AND(ISNUMBER(J1230),J1230&lt;ASOF),"⚠ เลยกำหนด",IF(AND(ISNUMBER(I1230),I1230&lt;=ASOF+14,J1230&gt;=ASOF-7),"ช่วงนี้","")))</f>
        <v/>
      </c>
      <c r="L1230" s="59"/>
      <c r="M1230" s="60"/>
    </row>
    <row r="1231" customFormat="false" ht="15" hidden="false" customHeight="false" outlineLevel="0" collapsed="false">
      <c r="A1231" s="54" t="s">
        <v>98</v>
      </c>
      <c r="B1231" s="55" t="s">
        <v>492</v>
      </c>
      <c r="C1231" s="56" t="s">
        <v>493</v>
      </c>
      <c r="D1231" s="57" t="s">
        <v>100</v>
      </c>
      <c r="E1231" s="57" t="s">
        <v>439</v>
      </c>
      <c r="F1231" s="55" t="s">
        <v>440</v>
      </c>
      <c r="G1231" s="55" t="s">
        <v>441</v>
      </c>
      <c r="H1231" s="57" t="s">
        <v>211</v>
      </c>
      <c r="I1231" s="58" t="n">
        <f aca="false">'P9-015'!$N$120</f>
        <v>46359</v>
      </c>
      <c r="J1231" s="58" t="n">
        <f aca="false">'P9-015'!$O$120</f>
        <v>46359</v>
      </c>
      <c r="K1231" s="56" t="str">
        <f aca="false">IF(OR(L1231="Y",LEFT('P9-015'!$T$120,1)="D"),"",IF(AND(ISNUMBER(J1231),J1231&lt;ASOF),"⚠ เลยกำหนด",IF(AND(ISNUMBER(I1231),I1231&lt;=ASOF+14,J1231&gt;=ASOF-7),"ช่วงนี้","")))</f>
        <v/>
      </c>
      <c r="L1231" s="59"/>
      <c r="M1231" s="60"/>
    </row>
    <row r="1232" customFormat="false" ht="15" hidden="false" customHeight="false" outlineLevel="0" collapsed="false">
      <c r="A1232" s="54" t="s">
        <v>98</v>
      </c>
      <c r="B1232" s="55" t="s">
        <v>492</v>
      </c>
      <c r="C1232" s="56" t="s">
        <v>493</v>
      </c>
      <c r="D1232" s="57" t="s">
        <v>100</v>
      </c>
      <c r="E1232" s="57" t="s">
        <v>442</v>
      </c>
      <c r="F1232" s="55" t="s">
        <v>443</v>
      </c>
      <c r="G1232" s="55" t="s">
        <v>444</v>
      </c>
      <c r="H1232" s="57" t="s">
        <v>211</v>
      </c>
      <c r="I1232" s="58" t="n">
        <f aca="false">'P9-015'!$N$121</f>
        <v>46359</v>
      </c>
      <c r="J1232" s="58" t="n">
        <f aca="false">'P9-015'!$O$121</f>
        <v>46359</v>
      </c>
      <c r="K1232" s="56" t="str">
        <f aca="false">IF(OR(L1232="Y",LEFT('P9-015'!$T$121,1)="D"),"",IF(AND(ISNUMBER(J1232),J1232&lt;ASOF),"⚠ เลยกำหนด",IF(AND(ISNUMBER(I1232),I1232&lt;=ASOF+14,J1232&gt;=ASOF-7),"ช่วงนี้","")))</f>
        <v/>
      </c>
      <c r="L1232" s="59"/>
      <c r="M1232" s="60"/>
    </row>
    <row r="1233" customFormat="false" ht="15" hidden="false" customHeight="false" outlineLevel="0" collapsed="false">
      <c r="A1233" s="54" t="s">
        <v>98</v>
      </c>
      <c r="B1233" s="55" t="s">
        <v>492</v>
      </c>
      <c r="C1233" s="56" t="s">
        <v>493</v>
      </c>
      <c r="D1233" s="57" t="s">
        <v>100</v>
      </c>
      <c r="E1233" s="57" t="s">
        <v>445</v>
      </c>
      <c r="F1233" s="55" t="s">
        <v>446</v>
      </c>
      <c r="G1233" s="55" t="s">
        <v>447</v>
      </c>
      <c r="H1233" s="57" t="s">
        <v>211</v>
      </c>
      <c r="I1233" s="58" t="n">
        <f aca="false">'P9-015'!$N$125</f>
        <v>46437</v>
      </c>
      <c r="J1233" s="58" t="n">
        <f aca="false">'P9-015'!$O$125</f>
        <v>46441</v>
      </c>
      <c r="K1233" s="56" t="str">
        <f aca="false">IF(OR(L1233="Y",LEFT('P9-015'!$T$125,1)="D"),"",IF(AND(ISNUMBER(J1233),J1233&lt;ASOF),"⚠ เลยกำหนด",IF(AND(ISNUMBER(I1233),I1233&lt;=ASOF+14,J1233&gt;=ASOF-7),"ช่วงนี้","")))</f>
        <v/>
      </c>
      <c r="L1233" s="59"/>
      <c r="M1233" s="60"/>
    </row>
    <row r="1234" customFormat="false" ht="15" hidden="false" customHeight="false" outlineLevel="0" collapsed="false">
      <c r="A1234" s="54" t="s">
        <v>98</v>
      </c>
      <c r="B1234" s="55" t="s">
        <v>492</v>
      </c>
      <c r="C1234" s="56" t="s">
        <v>493</v>
      </c>
      <c r="D1234" s="57" t="s">
        <v>100</v>
      </c>
      <c r="E1234" s="57" t="s">
        <v>448</v>
      </c>
      <c r="F1234" s="55" t="s">
        <v>449</v>
      </c>
      <c r="G1234" s="61" t="s">
        <v>450</v>
      </c>
      <c r="H1234" s="57" t="s">
        <v>211</v>
      </c>
      <c r="I1234" s="58" t="n">
        <f aca="false">'P9-015'!$N$126</f>
        <v>46440</v>
      </c>
      <c r="J1234" s="58" t="n">
        <f aca="false">'P9-015'!$O$126</f>
        <v>46447</v>
      </c>
      <c r="K1234" s="56" t="str">
        <f aca="false">IF(OR(L1234="Y",LEFT('P9-015'!$T$126,1)="D"),"",IF(AND(ISNUMBER(J1234),J1234&lt;ASOF),"⚠ เลยกำหนด",IF(AND(ISNUMBER(I1234),I1234&lt;=ASOF+14,J1234&gt;=ASOF-7),"ช่วงนี้","")))</f>
        <v/>
      </c>
      <c r="L1234" s="59"/>
      <c r="M1234" s="60"/>
    </row>
    <row r="1235" customFormat="false" ht="15" hidden="false" customHeight="false" outlineLevel="0" collapsed="false">
      <c r="A1235" s="54" t="s">
        <v>98</v>
      </c>
      <c r="B1235" s="55" t="s">
        <v>492</v>
      </c>
      <c r="C1235" s="56" t="s">
        <v>493</v>
      </c>
      <c r="D1235" s="57" t="s">
        <v>100</v>
      </c>
      <c r="E1235" s="57" t="s">
        <v>451</v>
      </c>
      <c r="F1235" s="61" t="s">
        <v>452</v>
      </c>
      <c r="G1235" s="61" t="s">
        <v>453</v>
      </c>
      <c r="H1235" s="57" t="s">
        <v>211</v>
      </c>
      <c r="I1235" s="58" t="n">
        <f aca="false">'P9-015'!$N$127</f>
        <v>46447</v>
      </c>
      <c r="J1235" s="58" t="n">
        <f aca="false">'P9-015'!$O$127</f>
        <v>46450</v>
      </c>
      <c r="K1235" s="56" t="str">
        <f aca="false">IF(OR(L1235="Y",LEFT('P9-015'!$T$127,1)="D"),"",IF(AND(ISNUMBER(J1235),J1235&lt;ASOF),"⚠ เลยกำหนด",IF(AND(ISNUMBER(I1235),I1235&lt;=ASOF+14,J1235&gt;=ASOF-7),"ช่วงนี้","")))</f>
        <v/>
      </c>
      <c r="L1235" s="59"/>
      <c r="M1235" s="60"/>
    </row>
    <row r="1236" customFormat="false" ht="15" hidden="false" customHeight="false" outlineLevel="0" collapsed="false">
      <c r="A1236" s="54" t="s">
        <v>102</v>
      </c>
      <c r="B1236" s="55" t="s">
        <v>494</v>
      </c>
      <c r="C1236" s="56" t="s">
        <v>495</v>
      </c>
      <c r="D1236" s="57" t="s">
        <v>104</v>
      </c>
      <c r="E1236" s="57" t="s">
        <v>208</v>
      </c>
      <c r="F1236" s="55" t="s">
        <v>209</v>
      </c>
      <c r="G1236" s="55" t="s">
        <v>210</v>
      </c>
      <c r="H1236" s="57" t="s">
        <v>211</v>
      </c>
      <c r="I1236" s="58" t="n">
        <f aca="false">'P9-016'!$N$10</f>
        <v>46328</v>
      </c>
      <c r="J1236" s="58" t="n">
        <f aca="false">'P9-016'!$O$10</f>
        <v>46340</v>
      </c>
      <c r="K1236" s="56" t="str">
        <f aca="false">IF(OR(L1236="Y",LEFT('P9-016'!$T$10,1)="D"),"",IF(AND(ISNUMBER(J1236),J1236&lt;ASOF),"⚠ เลยกำหนด",IF(AND(ISNUMBER(I1236),I1236&lt;=ASOF+14,J1236&gt;=ASOF-7),"ช่วงนี้","")))</f>
        <v>ช่วงนี้</v>
      </c>
      <c r="L1236" s="59"/>
      <c r="M1236" s="60"/>
    </row>
    <row r="1237" customFormat="false" ht="15" hidden="false" customHeight="false" outlineLevel="0" collapsed="false">
      <c r="A1237" s="54" t="s">
        <v>102</v>
      </c>
      <c r="B1237" s="55" t="s">
        <v>494</v>
      </c>
      <c r="C1237" s="56" t="s">
        <v>495</v>
      </c>
      <c r="D1237" s="57" t="s">
        <v>104</v>
      </c>
      <c r="E1237" s="57" t="s">
        <v>212</v>
      </c>
      <c r="F1237" s="55" t="s">
        <v>213</v>
      </c>
      <c r="G1237" s="55" t="s">
        <v>214</v>
      </c>
      <c r="H1237" s="57" t="s">
        <v>211</v>
      </c>
      <c r="I1237" s="58" t="n">
        <f aca="false">'P9-016'!$N$11</f>
        <v>46328</v>
      </c>
      <c r="J1237" s="58" t="n">
        <f aca="false">'P9-016'!$O$11</f>
        <v>46340</v>
      </c>
      <c r="K1237" s="56" t="str">
        <f aca="false">IF(OR(L1237="Y",LEFT('P9-016'!$T$11,1)="D"),"",IF(AND(ISNUMBER(J1237),J1237&lt;ASOF),"⚠ เลยกำหนด",IF(AND(ISNUMBER(I1237),I1237&lt;=ASOF+14,J1237&gt;=ASOF-7),"ช่วงนี้","")))</f>
        <v>ช่วงนี้</v>
      </c>
      <c r="L1237" s="59"/>
      <c r="M1237" s="60"/>
    </row>
    <row r="1238" customFormat="false" ht="15" hidden="false" customHeight="false" outlineLevel="0" collapsed="false">
      <c r="A1238" s="54" t="s">
        <v>102</v>
      </c>
      <c r="B1238" s="55" t="s">
        <v>494</v>
      </c>
      <c r="C1238" s="56" t="s">
        <v>495</v>
      </c>
      <c r="D1238" s="57" t="s">
        <v>104</v>
      </c>
      <c r="E1238" s="57" t="s">
        <v>215</v>
      </c>
      <c r="F1238" s="55" t="s">
        <v>216</v>
      </c>
      <c r="G1238" s="61" t="s">
        <v>217</v>
      </c>
      <c r="H1238" s="57" t="s">
        <v>211</v>
      </c>
      <c r="I1238" s="58" t="n">
        <f aca="false">'P9-016'!$N$12</f>
        <v>46328</v>
      </c>
      <c r="J1238" s="58" t="n">
        <f aca="false">'P9-016'!$O$12</f>
        <v>46340</v>
      </c>
      <c r="K1238" s="56" t="str">
        <f aca="false">IF(OR(L1238="Y",LEFT('P9-016'!$T$12,1)="D"),"",IF(AND(ISNUMBER(J1238),J1238&lt;ASOF),"⚠ เลยกำหนด",IF(AND(ISNUMBER(I1238),I1238&lt;=ASOF+14,J1238&gt;=ASOF-7),"ช่วงนี้","")))</f>
        <v>ช่วงนี้</v>
      </c>
      <c r="L1238" s="59"/>
      <c r="M1238" s="60"/>
    </row>
    <row r="1239" customFormat="false" ht="15" hidden="false" customHeight="false" outlineLevel="0" collapsed="false">
      <c r="A1239" s="54" t="s">
        <v>102</v>
      </c>
      <c r="B1239" s="55" t="s">
        <v>494</v>
      </c>
      <c r="C1239" s="56" t="s">
        <v>495</v>
      </c>
      <c r="D1239" s="57" t="s">
        <v>104</v>
      </c>
      <c r="E1239" s="57" t="s">
        <v>218</v>
      </c>
      <c r="F1239" s="55" t="s">
        <v>219</v>
      </c>
      <c r="G1239" s="55" t="s">
        <v>220</v>
      </c>
      <c r="H1239" s="57" t="s">
        <v>211</v>
      </c>
      <c r="I1239" s="58" t="n">
        <f aca="false">'P9-016'!$N$13</f>
        <v>46328</v>
      </c>
      <c r="J1239" s="58" t="n">
        <f aca="false">'P9-016'!$O$13</f>
        <v>46346</v>
      </c>
      <c r="K1239" s="56" t="str">
        <f aca="false">IF(OR(L1239="Y",LEFT('P9-016'!$T$13,1)="D"),"",IF(AND(ISNUMBER(J1239),J1239&lt;ASOF),"⚠ เลยกำหนด",IF(AND(ISNUMBER(I1239),I1239&lt;=ASOF+14,J1239&gt;=ASOF-7),"ช่วงนี้","")))</f>
        <v>ช่วงนี้</v>
      </c>
      <c r="L1239" s="59"/>
      <c r="M1239" s="60"/>
    </row>
    <row r="1240" customFormat="false" ht="15" hidden="false" customHeight="false" outlineLevel="0" collapsed="false">
      <c r="A1240" s="54" t="s">
        <v>102</v>
      </c>
      <c r="B1240" s="55" t="s">
        <v>494</v>
      </c>
      <c r="C1240" s="56" t="s">
        <v>495</v>
      </c>
      <c r="D1240" s="57" t="s">
        <v>104</v>
      </c>
      <c r="E1240" s="57" t="s">
        <v>221</v>
      </c>
      <c r="F1240" s="55" t="s">
        <v>222</v>
      </c>
      <c r="G1240" s="55" t="s">
        <v>223</v>
      </c>
      <c r="H1240" s="57" t="s">
        <v>211</v>
      </c>
      <c r="I1240" s="58" t="n">
        <f aca="false">'P9-016'!$N$14</f>
        <v>46340</v>
      </c>
      <c r="J1240" s="58" t="n">
        <f aca="false">'P9-016'!$O$14</f>
        <v>46450</v>
      </c>
      <c r="K1240" s="56" t="str">
        <f aca="false">IF(OR(L1240="Y",LEFT('P9-016'!$T$14,1)="D"),"",IF(AND(ISNUMBER(J1240),J1240&lt;ASOF),"⚠ เลยกำหนด",IF(AND(ISNUMBER(I1240),I1240&lt;=ASOF+14,J1240&gt;=ASOF-7),"ช่วงนี้","")))</f>
        <v>ช่วงนี้</v>
      </c>
      <c r="L1240" s="59"/>
      <c r="M1240" s="60"/>
    </row>
    <row r="1241" customFormat="false" ht="15" hidden="false" customHeight="false" outlineLevel="0" collapsed="false">
      <c r="A1241" s="54" t="s">
        <v>102</v>
      </c>
      <c r="B1241" s="55" t="s">
        <v>494</v>
      </c>
      <c r="C1241" s="56" t="s">
        <v>495</v>
      </c>
      <c r="D1241" s="57" t="s">
        <v>104</v>
      </c>
      <c r="E1241" s="57" t="s">
        <v>224</v>
      </c>
      <c r="F1241" s="55" t="s">
        <v>225</v>
      </c>
      <c r="G1241" s="61" t="s">
        <v>226</v>
      </c>
      <c r="H1241" s="57" t="s">
        <v>211</v>
      </c>
      <c r="I1241" s="58" t="n">
        <f aca="false">'P9-016'!$N$15</f>
        <v>46340</v>
      </c>
      <c r="J1241" s="58" t="n">
        <f aca="false">'P9-016'!$O$15</f>
        <v>46450</v>
      </c>
      <c r="K1241" s="56" t="str">
        <f aca="false">IF(OR(L1241="Y",LEFT('P9-016'!$T$15,1)="D"),"",IF(AND(ISNUMBER(J1241),J1241&lt;ASOF),"⚠ เลยกำหนด",IF(AND(ISNUMBER(I1241),I1241&lt;=ASOF+14,J1241&gt;=ASOF-7),"ช่วงนี้","")))</f>
        <v>ช่วงนี้</v>
      </c>
      <c r="L1241" s="59"/>
      <c r="M1241" s="60"/>
    </row>
    <row r="1242" customFormat="false" ht="15" hidden="false" customHeight="false" outlineLevel="0" collapsed="false">
      <c r="A1242" s="54" t="s">
        <v>102</v>
      </c>
      <c r="B1242" s="55" t="s">
        <v>494</v>
      </c>
      <c r="C1242" s="56" t="s">
        <v>495</v>
      </c>
      <c r="D1242" s="57" t="s">
        <v>104</v>
      </c>
      <c r="E1242" s="57" t="s">
        <v>227</v>
      </c>
      <c r="F1242" s="55" t="s">
        <v>228</v>
      </c>
      <c r="G1242" s="55" t="s">
        <v>229</v>
      </c>
      <c r="H1242" s="57" t="s">
        <v>211</v>
      </c>
      <c r="I1242" s="58" t="n">
        <f aca="false">'P9-016'!$N$17</f>
        <v>46328</v>
      </c>
      <c r="J1242" s="58" t="n">
        <f aca="false">'P9-016'!$O$17</f>
        <v>46328</v>
      </c>
      <c r="K1242" s="56" t="str">
        <f aca="false">IF(OR(L1242="Y",LEFT('P9-016'!$T$17,1)="D"),"",IF(AND(ISNUMBER(J1242),J1242&lt;ASOF),"⚠ เลยกำหนด",IF(AND(ISNUMBER(I1242),I1242&lt;=ASOF+14,J1242&gt;=ASOF-7),"ช่วงนี้","")))</f>
        <v>ช่วงนี้</v>
      </c>
      <c r="L1242" s="59"/>
      <c r="M1242" s="60"/>
    </row>
    <row r="1243" customFormat="false" ht="15" hidden="false" customHeight="false" outlineLevel="0" collapsed="false">
      <c r="A1243" s="54" t="s">
        <v>102</v>
      </c>
      <c r="B1243" s="55" t="s">
        <v>494</v>
      </c>
      <c r="C1243" s="56" t="s">
        <v>495</v>
      </c>
      <c r="D1243" s="57" t="s">
        <v>104</v>
      </c>
      <c r="E1243" s="57" t="s">
        <v>230</v>
      </c>
      <c r="F1243" s="55" t="s">
        <v>231</v>
      </c>
      <c r="G1243" s="55" t="s">
        <v>232</v>
      </c>
      <c r="H1243" s="57" t="s">
        <v>211</v>
      </c>
      <c r="I1243" s="58" t="n">
        <f aca="false">'P9-016'!$N$18</f>
        <v>46328</v>
      </c>
      <c r="J1243" s="58" t="n">
        <f aca="false">'P9-016'!$O$18</f>
        <v>46328</v>
      </c>
      <c r="K1243" s="56" t="str">
        <f aca="false">IF(OR(L1243="Y",LEFT('P9-016'!$T$18,1)="D"),"",IF(AND(ISNUMBER(J1243),J1243&lt;ASOF),"⚠ เลยกำหนด",IF(AND(ISNUMBER(I1243),I1243&lt;=ASOF+14,J1243&gt;=ASOF-7),"ช่วงนี้","")))</f>
        <v>ช่วงนี้</v>
      </c>
      <c r="L1243" s="59"/>
      <c r="M1243" s="60"/>
    </row>
    <row r="1244" customFormat="false" ht="15" hidden="false" customHeight="false" outlineLevel="0" collapsed="false">
      <c r="A1244" s="54" t="s">
        <v>102</v>
      </c>
      <c r="B1244" s="55" t="s">
        <v>494</v>
      </c>
      <c r="C1244" s="56" t="s">
        <v>495</v>
      </c>
      <c r="D1244" s="57" t="s">
        <v>104</v>
      </c>
      <c r="E1244" s="57" t="s">
        <v>233</v>
      </c>
      <c r="F1244" s="55" t="s">
        <v>234</v>
      </c>
      <c r="G1244" s="55" t="s">
        <v>235</v>
      </c>
      <c r="H1244" s="57" t="s">
        <v>211</v>
      </c>
      <c r="I1244" s="58" t="n">
        <f aca="false">'P9-016'!$N$19</f>
        <v>46328</v>
      </c>
      <c r="J1244" s="58" t="n">
        <f aca="false">'P9-016'!$O$19</f>
        <v>46328</v>
      </c>
      <c r="K1244" s="56" t="str">
        <f aca="false">IF(OR(L1244="Y",LEFT('P9-016'!$T$19,1)="D"),"",IF(AND(ISNUMBER(J1244),J1244&lt;ASOF),"⚠ เลยกำหนด",IF(AND(ISNUMBER(I1244),I1244&lt;=ASOF+14,J1244&gt;=ASOF-7),"ช่วงนี้","")))</f>
        <v>ช่วงนี้</v>
      </c>
      <c r="L1244" s="59"/>
      <c r="M1244" s="60"/>
    </row>
    <row r="1245" customFormat="false" ht="15" hidden="false" customHeight="false" outlineLevel="0" collapsed="false">
      <c r="A1245" s="54" t="s">
        <v>102</v>
      </c>
      <c r="B1245" s="55" t="s">
        <v>494</v>
      </c>
      <c r="C1245" s="56" t="s">
        <v>495</v>
      </c>
      <c r="D1245" s="57" t="s">
        <v>104</v>
      </c>
      <c r="E1245" s="57" t="s">
        <v>236</v>
      </c>
      <c r="F1245" s="55" t="s">
        <v>237</v>
      </c>
      <c r="G1245" s="55" t="s">
        <v>238</v>
      </c>
      <c r="H1245" s="57" t="s">
        <v>211</v>
      </c>
      <c r="I1245" s="58" t="n">
        <f aca="false">'P9-016'!$N$20</f>
        <v>46328</v>
      </c>
      <c r="J1245" s="58" t="n">
        <f aca="false">'P9-016'!$O$20</f>
        <v>46328</v>
      </c>
      <c r="K1245" s="56" t="str">
        <f aca="false">IF(OR(L1245="Y",LEFT('P9-016'!$T$20,1)="D"),"",IF(AND(ISNUMBER(J1245),J1245&lt;ASOF),"⚠ เลยกำหนด",IF(AND(ISNUMBER(I1245),I1245&lt;=ASOF+14,J1245&gt;=ASOF-7),"ช่วงนี้","")))</f>
        <v>ช่วงนี้</v>
      </c>
      <c r="L1245" s="59"/>
      <c r="M1245" s="60"/>
    </row>
    <row r="1246" customFormat="false" ht="15" hidden="false" customHeight="false" outlineLevel="0" collapsed="false">
      <c r="A1246" s="54" t="s">
        <v>102</v>
      </c>
      <c r="B1246" s="55" t="s">
        <v>494</v>
      </c>
      <c r="C1246" s="56" t="s">
        <v>495</v>
      </c>
      <c r="D1246" s="57" t="s">
        <v>104</v>
      </c>
      <c r="E1246" s="57" t="s">
        <v>239</v>
      </c>
      <c r="F1246" s="55" t="s">
        <v>240</v>
      </c>
      <c r="G1246" s="55" t="s">
        <v>241</v>
      </c>
      <c r="H1246" s="57" t="s">
        <v>211</v>
      </c>
      <c r="I1246" s="58" t="n">
        <f aca="false">'P9-016'!$N$21</f>
        <v>46328</v>
      </c>
      <c r="J1246" s="58" t="n">
        <f aca="false">'P9-016'!$O$21</f>
        <v>46328</v>
      </c>
      <c r="K1246" s="56" t="str">
        <f aca="false">IF(OR(L1246="Y",LEFT('P9-016'!$T$21,1)="D"),"",IF(AND(ISNUMBER(J1246),J1246&lt;ASOF),"⚠ เลยกำหนด",IF(AND(ISNUMBER(I1246),I1246&lt;=ASOF+14,J1246&gt;=ASOF-7),"ช่วงนี้","")))</f>
        <v>ช่วงนี้</v>
      </c>
      <c r="L1246" s="59"/>
      <c r="M1246" s="60"/>
    </row>
    <row r="1247" customFormat="false" ht="15" hidden="false" customHeight="false" outlineLevel="0" collapsed="false">
      <c r="A1247" s="54" t="s">
        <v>102</v>
      </c>
      <c r="B1247" s="55" t="s">
        <v>494</v>
      </c>
      <c r="C1247" s="56" t="s">
        <v>495</v>
      </c>
      <c r="D1247" s="57" t="s">
        <v>104</v>
      </c>
      <c r="E1247" s="57" t="s">
        <v>242</v>
      </c>
      <c r="F1247" s="55" t="s">
        <v>243</v>
      </c>
      <c r="G1247" s="55" t="s">
        <v>244</v>
      </c>
      <c r="H1247" s="57" t="s">
        <v>211</v>
      </c>
      <c r="I1247" s="58" t="n">
        <f aca="false">'P9-016'!$N$22</f>
        <v>46328</v>
      </c>
      <c r="J1247" s="58" t="n">
        <f aca="false">'P9-016'!$O$22</f>
        <v>46328</v>
      </c>
      <c r="K1247" s="56" t="str">
        <f aca="false">IF(OR(L1247="Y",LEFT('P9-016'!$T$22,1)="D"),"",IF(AND(ISNUMBER(J1247),J1247&lt;ASOF),"⚠ เลยกำหนด",IF(AND(ISNUMBER(I1247),I1247&lt;=ASOF+14,J1247&gt;=ASOF-7),"ช่วงนี้","")))</f>
        <v>ช่วงนี้</v>
      </c>
      <c r="L1247" s="59"/>
      <c r="M1247" s="60"/>
    </row>
    <row r="1248" customFormat="false" ht="15" hidden="false" customHeight="false" outlineLevel="0" collapsed="false">
      <c r="A1248" s="54" t="s">
        <v>102</v>
      </c>
      <c r="B1248" s="55" t="s">
        <v>494</v>
      </c>
      <c r="C1248" s="56" t="s">
        <v>495</v>
      </c>
      <c r="D1248" s="57" t="s">
        <v>104</v>
      </c>
      <c r="E1248" s="57" t="s">
        <v>248</v>
      </c>
      <c r="F1248" s="55" t="s">
        <v>249</v>
      </c>
      <c r="G1248" s="55" t="s">
        <v>250</v>
      </c>
      <c r="H1248" s="57" t="s">
        <v>211</v>
      </c>
      <c r="I1248" s="58" t="n">
        <f aca="false">'P9-016'!$N$24</f>
        <v>46328</v>
      </c>
      <c r="J1248" s="58" t="n">
        <f aca="false">'P9-016'!$O$24</f>
        <v>46328</v>
      </c>
      <c r="K1248" s="56" t="str">
        <f aca="false">IF(OR(L1248="Y",LEFT('P9-016'!$T$24,1)="D"),"",IF(AND(ISNUMBER(J1248),J1248&lt;ASOF),"⚠ เลยกำหนด",IF(AND(ISNUMBER(I1248),I1248&lt;=ASOF+14,J1248&gt;=ASOF-7),"ช่วงนี้","")))</f>
        <v>ช่วงนี้</v>
      </c>
      <c r="L1248" s="59"/>
      <c r="M1248" s="60"/>
    </row>
    <row r="1249" customFormat="false" ht="15" hidden="false" customHeight="false" outlineLevel="0" collapsed="false">
      <c r="A1249" s="54" t="s">
        <v>102</v>
      </c>
      <c r="B1249" s="55" t="s">
        <v>494</v>
      </c>
      <c r="C1249" s="56" t="s">
        <v>495</v>
      </c>
      <c r="D1249" s="57" t="s">
        <v>104</v>
      </c>
      <c r="E1249" s="57" t="s">
        <v>251</v>
      </c>
      <c r="F1249" s="55" t="s">
        <v>252</v>
      </c>
      <c r="G1249" s="55" t="s">
        <v>253</v>
      </c>
      <c r="H1249" s="57" t="s">
        <v>211</v>
      </c>
      <c r="I1249" s="58" t="n">
        <f aca="false">'P9-016'!$N$26</f>
        <v>46329</v>
      </c>
      <c r="J1249" s="58" t="n">
        <f aca="false">'P9-016'!$O$26</f>
        <v>46329</v>
      </c>
      <c r="K1249" s="56" t="str">
        <f aca="false">IF(OR(L1249="Y",LEFT('P9-016'!$T$26,1)="D"),"",IF(AND(ISNUMBER(J1249),J1249&lt;ASOF),"⚠ เลยกำหนด",IF(AND(ISNUMBER(I1249),I1249&lt;=ASOF+14,J1249&gt;=ASOF-7),"ช่วงนี้","")))</f>
        <v>ช่วงนี้</v>
      </c>
      <c r="L1249" s="59"/>
      <c r="M1249" s="60"/>
    </row>
    <row r="1250" customFormat="false" ht="15" hidden="false" customHeight="false" outlineLevel="0" collapsed="false">
      <c r="A1250" s="54" t="s">
        <v>102</v>
      </c>
      <c r="B1250" s="55" t="s">
        <v>494</v>
      </c>
      <c r="C1250" s="56" t="s">
        <v>495</v>
      </c>
      <c r="D1250" s="57" t="s">
        <v>104</v>
      </c>
      <c r="E1250" s="57" t="s">
        <v>254</v>
      </c>
      <c r="F1250" s="55" t="s">
        <v>255</v>
      </c>
      <c r="G1250" s="55" t="s">
        <v>256</v>
      </c>
      <c r="H1250" s="57" t="s">
        <v>211</v>
      </c>
      <c r="I1250" s="58" t="n">
        <f aca="false">'P9-016'!$N$27</f>
        <v>46329</v>
      </c>
      <c r="J1250" s="58" t="n">
        <f aca="false">'P9-016'!$O$27</f>
        <v>46329</v>
      </c>
      <c r="K1250" s="56" t="str">
        <f aca="false">IF(OR(L1250="Y",LEFT('P9-016'!$T$27,1)="D"),"",IF(AND(ISNUMBER(J1250),J1250&lt;ASOF),"⚠ เลยกำหนด",IF(AND(ISNUMBER(I1250),I1250&lt;=ASOF+14,J1250&gt;=ASOF-7),"ช่วงนี้","")))</f>
        <v>ช่วงนี้</v>
      </c>
      <c r="L1250" s="59"/>
      <c r="M1250" s="60"/>
    </row>
    <row r="1251" customFormat="false" ht="15" hidden="false" customHeight="false" outlineLevel="0" collapsed="false">
      <c r="A1251" s="54" t="s">
        <v>102</v>
      </c>
      <c r="B1251" s="55" t="s">
        <v>494</v>
      </c>
      <c r="C1251" s="56" t="s">
        <v>495</v>
      </c>
      <c r="D1251" s="57" t="s">
        <v>104</v>
      </c>
      <c r="E1251" s="57" t="s">
        <v>257</v>
      </c>
      <c r="F1251" s="55" t="s">
        <v>258</v>
      </c>
      <c r="G1251" s="55" t="s">
        <v>259</v>
      </c>
      <c r="H1251" s="57" t="s">
        <v>211</v>
      </c>
      <c r="I1251" s="58" t="n">
        <f aca="false">'P9-016'!$N$28</f>
        <v>46329</v>
      </c>
      <c r="J1251" s="58" t="n">
        <f aca="false">'P9-016'!$O$28</f>
        <v>46329</v>
      </c>
      <c r="K1251" s="56" t="str">
        <f aca="false">IF(OR(L1251="Y",LEFT('P9-016'!$T$28,1)="D"),"",IF(AND(ISNUMBER(J1251),J1251&lt;ASOF),"⚠ เลยกำหนด",IF(AND(ISNUMBER(I1251),I1251&lt;=ASOF+14,J1251&gt;=ASOF-7),"ช่วงนี้","")))</f>
        <v>ช่วงนี้</v>
      </c>
      <c r="L1251" s="59"/>
      <c r="M1251" s="60"/>
    </row>
    <row r="1252" customFormat="false" ht="15" hidden="false" customHeight="false" outlineLevel="0" collapsed="false">
      <c r="A1252" s="54" t="s">
        <v>102</v>
      </c>
      <c r="B1252" s="55" t="s">
        <v>494</v>
      </c>
      <c r="C1252" s="56" t="s">
        <v>495</v>
      </c>
      <c r="D1252" s="57" t="s">
        <v>104</v>
      </c>
      <c r="E1252" s="57" t="s">
        <v>260</v>
      </c>
      <c r="F1252" s="55" t="s">
        <v>261</v>
      </c>
      <c r="G1252" s="55" t="s">
        <v>262</v>
      </c>
      <c r="H1252" s="57" t="s">
        <v>211</v>
      </c>
      <c r="I1252" s="58" t="n">
        <f aca="false">'P9-016'!$N$31</f>
        <v>46328</v>
      </c>
      <c r="J1252" s="58" t="n">
        <f aca="false">'P9-016'!$O$31</f>
        <v>46328</v>
      </c>
      <c r="K1252" s="56" t="str">
        <f aca="false">IF(OR(L1252="Y",LEFT('P9-016'!$T$31,1)="D"),"",IF(AND(ISNUMBER(J1252),J1252&lt;ASOF),"⚠ เลยกำหนด",IF(AND(ISNUMBER(I1252),I1252&lt;=ASOF+14,J1252&gt;=ASOF-7),"ช่วงนี้","")))</f>
        <v>ช่วงนี้</v>
      </c>
      <c r="L1252" s="59"/>
      <c r="M1252" s="60"/>
    </row>
    <row r="1253" customFormat="false" ht="15" hidden="false" customHeight="false" outlineLevel="0" collapsed="false">
      <c r="A1253" s="54" t="s">
        <v>102</v>
      </c>
      <c r="B1253" s="55" t="s">
        <v>494</v>
      </c>
      <c r="C1253" s="56" t="s">
        <v>495</v>
      </c>
      <c r="D1253" s="57" t="s">
        <v>104</v>
      </c>
      <c r="E1253" s="57" t="s">
        <v>263</v>
      </c>
      <c r="F1253" s="55" t="s">
        <v>264</v>
      </c>
      <c r="G1253" s="55" t="s">
        <v>265</v>
      </c>
      <c r="H1253" s="57" t="s">
        <v>211</v>
      </c>
      <c r="I1253" s="58" t="n">
        <f aca="false">'P9-016'!$N$32</f>
        <v>46328</v>
      </c>
      <c r="J1253" s="58" t="n">
        <f aca="false">'P9-016'!$O$32</f>
        <v>46328</v>
      </c>
      <c r="K1253" s="56" t="str">
        <f aca="false">IF(OR(L1253="Y",LEFT('P9-016'!$T$32,1)="D"),"",IF(AND(ISNUMBER(J1253),J1253&lt;ASOF),"⚠ เลยกำหนด",IF(AND(ISNUMBER(I1253),I1253&lt;=ASOF+14,J1253&gt;=ASOF-7),"ช่วงนี้","")))</f>
        <v>ช่วงนี้</v>
      </c>
      <c r="L1253" s="59"/>
      <c r="M1253" s="60"/>
    </row>
    <row r="1254" customFormat="false" ht="15" hidden="false" customHeight="false" outlineLevel="0" collapsed="false">
      <c r="A1254" s="54" t="s">
        <v>102</v>
      </c>
      <c r="B1254" s="55" t="s">
        <v>494</v>
      </c>
      <c r="C1254" s="56" t="s">
        <v>495</v>
      </c>
      <c r="D1254" s="57" t="s">
        <v>104</v>
      </c>
      <c r="E1254" s="57" t="s">
        <v>266</v>
      </c>
      <c r="F1254" s="55" t="s">
        <v>267</v>
      </c>
      <c r="G1254" s="55" t="s">
        <v>268</v>
      </c>
      <c r="H1254" s="57" t="s">
        <v>211</v>
      </c>
      <c r="I1254" s="58" t="n">
        <f aca="false">'P9-016'!$N$33</f>
        <v>46328</v>
      </c>
      <c r="J1254" s="58" t="n">
        <f aca="false">'P9-016'!$O$33</f>
        <v>46328</v>
      </c>
      <c r="K1254" s="56" t="str">
        <f aca="false">IF(OR(L1254="Y",LEFT('P9-016'!$T$33,1)="D"),"",IF(AND(ISNUMBER(J1254),J1254&lt;ASOF),"⚠ เลยกำหนด",IF(AND(ISNUMBER(I1254),I1254&lt;=ASOF+14,J1254&gt;=ASOF-7),"ช่วงนี้","")))</f>
        <v>ช่วงนี้</v>
      </c>
      <c r="L1254" s="59"/>
      <c r="M1254" s="60"/>
    </row>
    <row r="1255" customFormat="false" ht="15" hidden="false" customHeight="false" outlineLevel="0" collapsed="false">
      <c r="A1255" s="54" t="s">
        <v>102</v>
      </c>
      <c r="B1255" s="55" t="s">
        <v>494</v>
      </c>
      <c r="C1255" s="56" t="s">
        <v>495</v>
      </c>
      <c r="D1255" s="57" t="s">
        <v>104</v>
      </c>
      <c r="E1255" s="57" t="s">
        <v>269</v>
      </c>
      <c r="F1255" s="61" t="s">
        <v>270</v>
      </c>
      <c r="G1255" s="61" t="s">
        <v>271</v>
      </c>
      <c r="H1255" s="57" t="s">
        <v>211</v>
      </c>
      <c r="I1255" s="58" t="n">
        <f aca="false">'P9-016'!$N$35</f>
        <v>46328</v>
      </c>
      <c r="J1255" s="58" t="n">
        <f aca="false">'P9-016'!$O$35</f>
        <v>46328</v>
      </c>
      <c r="K1255" s="56" t="str">
        <f aca="false">IF(OR(L1255="Y",LEFT('P9-016'!$T$35,1)="D"),"",IF(AND(ISNUMBER(J1255),J1255&lt;ASOF),"⚠ เลยกำหนด",IF(AND(ISNUMBER(I1255),I1255&lt;=ASOF+14,J1255&gt;=ASOF-7),"ช่วงนี้","")))</f>
        <v>ช่วงนี้</v>
      </c>
      <c r="L1255" s="59"/>
      <c r="M1255" s="60"/>
    </row>
    <row r="1256" customFormat="false" ht="15" hidden="false" customHeight="false" outlineLevel="0" collapsed="false">
      <c r="A1256" s="54" t="s">
        <v>102</v>
      </c>
      <c r="B1256" s="55" t="s">
        <v>494</v>
      </c>
      <c r="C1256" s="56" t="s">
        <v>495</v>
      </c>
      <c r="D1256" s="57" t="s">
        <v>104</v>
      </c>
      <c r="E1256" s="57" t="s">
        <v>272</v>
      </c>
      <c r="F1256" s="55" t="s">
        <v>273</v>
      </c>
      <c r="G1256" s="55" t="s">
        <v>274</v>
      </c>
      <c r="H1256" s="57" t="s">
        <v>211</v>
      </c>
      <c r="I1256" s="58" t="n">
        <f aca="false">'P9-016'!$N$36</f>
        <v>46328</v>
      </c>
      <c r="J1256" s="58" t="n">
        <f aca="false">'P9-016'!$O$36</f>
        <v>46328</v>
      </c>
      <c r="K1256" s="56" t="str">
        <f aca="false">IF(OR(L1256="Y",LEFT('P9-016'!$T$36,1)="D"),"",IF(AND(ISNUMBER(J1256),J1256&lt;ASOF),"⚠ เลยกำหนด",IF(AND(ISNUMBER(I1256),I1256&lt;=ASOF+14,J1256&gt;=ASOF-7),"ช่วงนี้","")))</f>
        <v>ช่วงนี้</v>
      </c>
      <c r="L1256" s="59"/>
      <c r="M1256" s="60"/>
    </row>
    <row r="1257" customFormat="false" ht="15" hidden="false" customHeight="false" outlineLevel="0" collapsed="false">
      <c r="A1257" s="54" t="s">
        <v>102</v>
      </c>
      <c r="B1257" s="55" t="s">
        <v>494</v>
      </c>
      <c r="C1257" s="56" t="s">
        <v>495</v>
      </c>
      <c r="D1257" s="57" t="s">
        <v>104</v>
      </c>
      <c r="E1257" s="57" t="s">
        <v>275</v>
      </c>
      <c r="F1257" s="55" t="s">
        <v>276</v>
      </c>
      <c r="G1257" s="55" t="s">
        <v>277</v>
      </c>
      <c r="H1257" s="57" t="s">
        <v>211</v>
      </c>
      <c r="I1257" s="58" t="n">
        <f aca="false">'P9-016'!$N$37</f>
        <v>46328</v>
      </c>
      <c r="J1257" s="58" t="n">
        <f aca="false">'P9-016'!$O$37</f>
        <v>46328</v>
      </c>
      <c r="K1257" s="56" t="str">
        <f aca="false">IF(OR(L1257="Y",LEFT('P9-016'!$T$37,1)="D"),"",IF(AND(ISNUMBER(J1257),J1257&lt;ASOF),"⚠ เลยกำหนด",IF(AND(ISNUMBER(I1257),I1257&lt;=ASOF+14,J1257&gt;=ASOF-7),"ช่วงนี้","")))</f>
        <v>ช่วงนี้</v>
      </c>
      <c r="L1257" s="59"/>
      <c r="M1257" s="60"/>
    </row>
    <row r="1258" customFormat="false" ht="15" hidden="false" customHeight="false" outlineLevel="0" collapsed="false">
      <c r="A1258" s="54" t="s">
        <v>102</v>
      </c>
      <c r="B1258" s="55" t="s">
        <v>494</v>
      </c>
      <c r="C1258" s="56" t="s">
        <v>495</v>
      </c>
      <c r="D1258" s="57" t="s">
        <v>104</v>
      </c>
      <c r="E1258" s="57" t="s">
        <v>278</v>
      </c>
      <c r="F1258" s="55" t="s">
        <v>279</v>
      </c>
      <c r="G1258" s="55" t="s">
        <v>280</v>
      </c>
      <c r="H1258" s="57" t="s">
        <v>211</v>
      </c>
      <c r="I1258" s="58" t="n">
        <f aca="false">'P9-016'!$N$38</f>
        <v>46328</v>
      </c>
      <c r="J1258" s="58" t="n">
        <f aca="false">'P9-016'!$O$38</f>
        <v>46328</v>
      </c>
      <c r="K1258" s="56" t="str">
        <f aca="false">IF(OR(L1258="Y",LEFT('P9-016'!$T$38,1)="D"),"",IF(AND(ISNUMBER(J1258),J1258&lt;ASOF),"⚠ เลยกำหนด",IF(AND(ISNUMBER(I1258),I1258&lt;=ASOF+14,J1258&gt;=ASOF-7),"ช่วงนี้","")))</f>
        <v>ช่วงนี้</v>
      </c>
      <c r="L1258" s="59"/>
      <c r="M1258" s="60"/>
    </row>
    <row r="1259" customFormat="false" ht="15" hidden="false" customHeight="false" outlineLevel="0" collapsed="false">
      <c r="A1259" s="54" t="s">
        <v>102</v>
      </c>
      <c r="B1259" s="55" t="s">
        <v>494</v>
      </c>
      <c r="C1259" s="56" t="s">
        <v>495</v>
      </c>
      <c r="D1259" s="57" t="s">
        <v>104</v>
      </c>
      <c r="E1259" s="57" t="s">
        <v>281</v>
      </c>
      <c r="F1259" s="55" t="s">
        <v>282</v>
      </c>
      <c r="G1259" s="55" t="s">
        <v>283</v>
      </c>
      <c r="H1259" s="57" t="s">
        <v>211</v>
      </c>
      <c r="I1259" s="58" t="n">
        <f aca="false">'P9-016'!$N$40</f>
        <v>46328</v>
      </c>
      <c r="J1259" s="58" t="n">
        <f aca="false">'P9-016'!$O$40</f>
        <v>46328</v>
      </c>
      <c r="K1259" s="56" t="str">
        <f aca="false">IF(OR(L1259="Y",LEFT('P9-016'!$T$40,1)="D"),"",IF(AND(ISNUMBER(J1259),J1259&lt;ASOF),"⚠ เลยกำหนด",IF(AND(ISNUMBER(I1259),I1259&lt;=ASOF+14,J1259&gt;=ASOF-7),"ช่วงนี้","")))</f>
        <v>ช่วงนี้</v>
      </c>
      <c r="L1259" s="59"/>
      <c r="M1259" s="60"/>
    </row>
    <row r="1260" customFormat="false" ht="15" hidden="false" customHeight="false" outlineLevel="0" collapsed="false">
      <c r="A1260" s="54" t="s">
        <v>102</v>
      </c>
      <c r="B1260" s="55" t="s">
        <v>494</v>
      </c>
      <c r="C1260" s="56" t="s">
        <v>495</v>
      </c>
      <c r="D1260" s="57" t="s">
        <v>104</v>
      </c>
      <c r="E1260" s="57" t="s">
        <v>284</v>
      </c>
      <c r="F1260" s="55" t="s">
        <v>285</v>
      </c>
      <c r="G1260" s="61" t="s">
        <v>286</v>
      </c>
      <c r="H1260" s="57" t="s">
        <v>211</v>
      </c>
      <c r="I1260" s="58" t="n">
        <f aca="false">'P9-016'!$N$41</f>
        <v>46328</v>
      </c>
      <c r="J1260" s="58" t="n">
        <f aca="false">'P9-016'!$O$41</f>
        <v>46328</v>
      </c>
      <c r="K1260" s="56" t="str">
        <f aca="false">IF(OR(L1260="Y",LEFT('P9-016'!$T$41,1)="D"),"",IF(AND(ISNUMBER(J1260),J1260&lt;ASOF),"⚠ เลยกำหนด",IF(AND(ISNUMBER(I1260),I1260&lt;=ASOF+14,J1260&gt;=ASOF-7),"ช่วงนี้","")))</f>
        <v>ช่วงนี้</v>
      </c>
      <c r="L1260" s="59"/>
      <c r="M1260" s="60"/>
    </row>
    <row r="1261" customFormat="false" ht="15" hidden="false" customHeight="false" outlineLevel="0" collapsed="false">
      <c r="A1261" s="54" t="s">
        <v>102</v>
      </c>
      <c r="B1261" s="55" t="s">
        <v>494</v>
      </c>
      <c r="C1261" s="56" t="s">
        <v>495</v>
      </c>
      <c r="D1261" s="57" t="s">
        <v>104</v>
      </c>
      <c r="E1261" s="57" t="s">
        <v>287</v>
      </c>
      <c r="F1261" s="55" t="s">
        <v>288</v>
      </c>
      <c r="G1261" s="61" t="s">
        <v>289</v>
      </c>
      <c r="H1261" s="57" t="s">
        <v>211</v>
      </c>
      <c r="I1261" s="58" t="n">
        <f aca="false">'P9-016'!$N$42</f>
        <v>46328</v>
      </c>
      <c r="J1261" s="58" t="n">
        <f aca="false">'P9-016'!$O$42</f>
        <v>46328</v>
      </c>
      <c r="K1261" s="56" t="str">
        <f aca="false">IF(OR(L1261="Y",LEFT('P9-016'!$T$42,1)="D"),"",IF(AND(ISNUMBER(J1261),J1261&lt;ASOF),"⚠ เลยกำหนด",IF(AND(ISNUMBER(I1261),I1261&lt;=ASOF+14,J1261&gt;=ASOF-7),"ช่วงนี้","")))</f>
        <v>ช่วงนี้</v>
      </c>
      <c r="L1261" s="59"/>
      <c r="M1261" s="60"/>
    </row>
    <row r="1262" customFormat="false" ht="15" hidden="false" customHeight="false" outlineLevel="0" collapsed="false">
      <c r="A1262" s="54" t="s">
        <v>102</v>
      </c>
      <c r="B1262" s="55" t="s">
        <v>494</v>
      </c>
      <c r="C1262" s="56" t="s">
        <v>495</v>
      </c>
      <c r="D1262" s="57" t="s">
        <v>104</v>
      </c>
      <c r="E1262" s="57" t="s">
        <v>290</v>
      </c>
      <c r="F1262" s="55" t="s">
        <v>291</v>
      </c>
      <c r="G1262" s="55" t="s">
        <v>292</v>
      </c>
      <c r="H1262" s="57" t="s">
        <v>211</v>
      </c>
      <c r="I1262" s="58" t="n">
        <f aca="false">'P9-016'!$N$44</f>
        <v>46328</v>
      </c>
      <c r="J1262" s="58" t="n">
        <f aca="false">'P9-016'!$O$44</f>
        <v>46328</v>
      </c>
      <c r="K1262" s="56" t="str">
        <f aca="false">IF(OR(L1262="Y",LEFT('P9-016'!$T$44,1)="D"),"",IF(AND(ISNUMBER(J1262),J1262&lt;ASOF),"⚠ เลยกำหนด",IF(AND(ISNUMBER(I1262),I1262&lt;=ASOF+14,J1262&gt;=ASOF-7),"ช่วงนี้","")))</f>
        <v>ช่วงนี้</v>
      </c>
      <c r="L1262" s="59"/>
      <c r="M1262" s="60"/>
    </row>
    <row r="1263" customFormat="false" ht="15" hidden="false" customHeight="false" outlineLevel="0" collapsed="false">
      <c r="A1263" s="54" t="s">
        <v>102</v>
      </c>
      <c r="B1263" s="55" t="s">
        <v>494</v>
      </c>
      <c r="C1263" s="56" t="s">
        <v>495</v>
      </c>
      <c r="D1263" s="57" t="s">
        <v>104</v>
      </c>
      <c r="E1263" s="57" t="s">
        <v>293</v>
      </c>
      <c r="F1263" s="55" t="s">
        <v>294</v>
      </c>
      <c r="G1263" s="55" t="s">
        <v>295</v>
      </c>
      <c r="H1263" s="57" t="s">
        <v>211</v>
      </c>
      <c r="I1263" s="58" t="n">
        <f aca="false">'P9-016'!$N$45</f>
        <v>46328</v>
      </c>
      <c r="J1263" s="58" t="n">
        <f aca="false">'P9-016'!$O$45</f>
        <v>46328</v>
      </c>
      <c r="K1263" s="56" t="str">
        <f aca="false">IF(OR(L1263="Y",LEFT('P9-016'!$T$45,1)="D"),"",IF(AND(ISNUMBER(J1263),J1263&lt;ASOF),"⚠ เลยกำหนด",IF(AND(ISNUMBER(I1263),I1263&lt;=ASOF+14,J1263&gt;=ASOF-7),"ช่วงนี้","")))</f>
        <v>ช่วงนี้</v>
      </c>
      <c r="L1263" s="59"/>
      <c r="M1263" s="60"/>
    </row>
    <row r="1264" customFormat="false" ht="15" hidden="false" customHeight="false" outlineLevel="0" collapsed="false">
      <c r="A1264" s="54" t="s">
        <v>102</v>
      </c>
      <c r="B1264" s="55" t="s">
        <v>494</v>
      </c>
      <c r="C1264" s="56" t="s">
        <v>495</v>
      </c>
      <c r="D1264" s="57" t="s">
        <v>104</v>
      </c>
      <c r="E1264" s="57" t="s">
        <v>296</v>
      </c>
      <c r="F1264" s="55" t="s">
        <v>297</v>
      </c>
      <c r="G1264" s="55" t="s">
        <v>298</v>
      </c>
      <c r="H1264" s="57" t="s">
        <v>211</v>
      </c>
      <c r="I1264" s="58" t="n">
        <f aca="false">'P9-016'!$N$46</f>
        <v>46328</v>
      </c>
      <c r="J1264" s="58" t="n">
        <f aca="false">'P9-016'!$O$46</f>
        <v>46328</v>
      </c>
      <c r="K1264" s="56" t="str">
        <f aca="false">IF(OR(L1264="Y",LEFT('P9-016'!$T$46,1)="D"),"",IF(AND(ISNUMBER(J1264),J1264&lt;ASOF),"⚠ เลยกำหนด",IF(AND(ISNUMBER(I1264),I1264&lt;=ASOF+14,J1264&gt;=ASOF-7),"ช่วงนี้","")))</f>
        <v>ช่วงนี้</v>
      </c>
      <c r="L1264" s="59"/>
      <c r="M1264" s="60"/>
    </row>
    <row r="1265" customFormat="false" ht="15" hidden="false" customHeight="false" outlineLevel="0" collapsed="false">
      <c r="A1265" s="54" t="s">
        <v>102</v>
      </c>
      <c r="B1265" s="55" t="s">
        <v>494</v>
      </c>
      <c r="C1265" s="56" t="s">
        <v>495</v>
      </c>
      <c r="D1265" s="57" t="s">
        <v>104</v>
      </c>
      <c r="E1265" s="57" t="s">
        <v>456</v>
      </c>
      <c r="F1265" s="61" t="s">
        <v>457</v>
      </c>
      <c r="G1265" s="61" t="s">
        <v>458</v>
      </c>
      <c r="H1265" s="57" t="s">
        <v>211</v>
      </c>
      <c r="I1265" s="58" t="n">
        <f aca="false">'P9-016'!$N$48</f>
        <v>46356</v>
      </c>
      <c r="J1265" s="58" t="n">
        <f aca="false">'P9-016'!$O$48</f>
        <v>46356</v>
      </c>
      <c r="K1265" s="56" t="str">
        <f aca="false">IF(OR(L1265="Y",LEFT('P9-016'!$T$48,1)="D"),"",IF(AND(ISNUMBER(J1265),J1265&lt;ASOF),"⚠ เลยกำหนด",IF(AND(ISNUMBER(I1265),I1265&lt;=ASOF+14,J1265&gt;=ASOF-7),"ช่วงนี้","")))</f>
        <v/>
      </c>
      <c r="L1265" s="59"/>
      <c r="M1265" s="60"/>
    </row>
    <row r="1266" customFormat="false" ht="15" hidden="false" customHeight="false" outlineLevel="0" collapsed="false">
      <c r="A1266" s="54" t="s">
        <v>102</v>
      </c>
      <c r="B1266" s="55" t="s">
        <v>494</v>
      </c>
      <c r="C1266" s="56" t="s">
        <v>495</v>
      </c>
      <c r="D1266" s="57" t="s">
        <v>104</v>
      </c>
      <c r="E1266" s="57" t="s">
        <v>459</v>
      </c>
      <c r="F1266" s="55" t="s">
        <v>460</v>
      </c>
      <c r="G1266" s="55" t="s">
        <v>461</v>
      </c>
      <c r="H1266" s="57" t="s">
        <v>211</v>
      </c>
      <c r="I1266" s="58" t="n">
        <f aca="false">'P9-016'!$N$49</f>
        <v>46356</v>
      </c>
      <c r="J1266" s="58" t="n">
        <f aca="false">'P9-016'!$O$49</f>
        <v>46356</v>
      </c>
      <c r="K1266" s="56" t="str">
        <f aca="false">IF(OR(L1266="Y",LEFT('P9-016'!$T$49,1)="D"),"",IF(AND(ISNUMBER(J1266),J1266&lt;ASOF),"⚠ เลยกำหนด",IF(AND(ISNUMBER(I1266),I1266&lt;=ASOF+14,J1266&gt;=ASOF-7),"ช่วงนี้","")))</f>
        <v/>
      </c>
      <c r="L1266" s="59"/>
      <c r="M1266" s="60"/>
    </row>
    <row r="1267" customFormat="false" ht="15" hidden="false" customHeight="false" outlineLevel="0" collapsed="false">
      <c r="A1267" s="54" t="s">
        <v>102</v>
      </c>
      <c r="B1267" s="55" t="s">
        <v>494</v>
      </c>
      <c r="C1267" s="56" t="s">
        <v>495</v>
      </c>
      <c r="D1267" s="57" t="s">
        <v>104</v>
      </c>
      <c r="E1267" s="57" t="s">
        <v>462</v>
      </c>
      <c r="F1267" s="55" t="s">
        <v>463</v>
      </c>
      <c r="G1267" s="55" t="s">
        <v>464</v>
      </c>
      <c r="H1267" s="57" t="s">
        <v>211</v>
      </c>
      <c r="I1267" s="58" t="n">
        <f aca="false">'P9-016'!$N$51</f>
        <v>46356</v>
      </c>
      <c r="J1267" s="58" t="n">
        <f aca="false">'P9-016'!$O$51</f>
        <v>46356</v>
      </c>
      <c r="K1267" s="56" t="str">
        <f aca="false">IF(OR(L1267="Y",LEFT('P9-016'!$T$51,1)="D"),"",IF(AND(ISNUMBER(J1267),J1267&lt;ASOF),"⚠ เลยกำหนด",IF(AND(ISNUMBER(I1267),I1267&lt;=ASOF+14,J1267&gt;=ASOF-7),"ช่วงนี้","")))</f>
        <v/>
      </c>
      <c r="L1267" s="59"/>
      <c r="M1267" s="60"/>
    </row>
    <row r="1268" customFormat="false" ht="15" hidden="false" customHeight="false" outlineLevel="0" collapsed="false">
      <c r="A1268" s="54" t="s">
        <v>102</v>
      </c>
      <c r="B1268" s="55" t="s">
        <v>494</v>
      </c>
      <c r="C1268" s="56" t="s">
        <v>495</v>
      </c>
      <c r="D1268" s="57" t="s">
        <v>104</v>
      </c>
      <c r="E1268" s="57" t="s">
        <v>299</v>
      </c>
      <c r="F1268" s="55" t="s">
        <v>300</v>
      </c>
      <c r="G1268" s="55" t="s">
        <v>301</v>
      </c>
      <c r="H1268" s="57" t="s">
        <v>211</v>
      </c>
      <c r="I1268" s="58" t="str">
        <f aca="false">'P9-016'!$N$53</f>
        <v/>
      </c>
      <c r="J1268" s="58" t="str">
        <f aca="false">'P9-016'!$O$53</f>
        <v/>
      </c>
      <c r="K1268" s="56" t="str">
        <f aca="false">IF(OR(L1268="Y",LEFT('P9-016'!$T$53,1)="D"),"",IF(AND(ISNUMBER(J1268),J1268&lt;ASOF),"⚠ เลยกำหนด",IF(AND(ISNUMBER(I1268),I1268&lt;=ASOF+14,J1268&gt;=ASOF-7),"ช่วงนี้","")))</f>
        <v/>
      </c>
      <c r="L1268" s="59"/>
      <c r="M1268" s="60"/>
    </row>
    <row r="1269" customFormat="false" ht="15" hidden="false" customHeight="false" outlineLevel="0" collapsed="false">
      <c r="A1269" s="54" t="s">
        <v>102</v>
      </c>
      <c r="B1269" s="55" t="s">
        <v>494</v>
      </c>
      <c r="C1269" s="56" t="s">
        <v>495</v>
      </c>
      <c r="D1269" s="57" t="s">
        <v>104</v>
      </c>
      <c r="E1269" s="57" t="s">
        <v>302</v>
      </c>
      <c r="F1269" s="55" t="s">
        <v>303</v>
      </c>
      <c r="G1269" s="55" t="s">
        <v>304</v>
      </c>
      <c r="H1269" s="57" t="s">
        <v>211</v>
      </c>
      <c r="I1269" s="58" t="str">
        <f aca="false">'P9-016'!$N$54</f>
        <v/>
      </c>
      <c r="J1269" s="58" t="str">
        <f aca="false">'P9-016'!$O$54</f>
        <v/>
      </c>
      <c r="K1269" s="56" t="str">
        <f aca="false">IF(OR(L1269="Y",LEFT('P9-016'!$T$54,1)="D"),"",IF(AND(ISNUMBER(J1269),J1269&lt;ASOF),"⚠ เลยกำหนด",IF(AND(ISNUMBER(I1269),I1269&lt;=ASOF+14,J1269&gt;=ASOF-7),"ช่วงนี้","")))</f>
        <v/>
      </c>
      <c r="L1269" s="59"/>
      <c r="M1269" s="60"/>
    </row>
    <row r="1270" customFormat="false" ht="15" hidden="false" customHeight="false" outlineLevel="0" collapsed="false">
      <c r="A1270" s="54" t="s">
        <v>102</v>
      </c>
      <c r="B1270" s="55" t="s">
        <v>494</v>
      </c>
      <c r="C1270" s="56" t="s">
        <v>495</v>
      </c>
      <c r="D1270" s="57" t="s">
        <v>104</v>
      </c>
      <c r="E1270" s="57" t="s">
        <v>305</v>
      </c>
      <c r="F1270" s="55" t="s">
        <v>306</v>
      </c>
      <c r="G1270" s="55" t="s">
        <v>307</v>
      </c>
      <c r="H1270" s="56" t="str">
        <f aca="false">IF(COUNTIFS(SITE_ST,"P9-016",SITE_TYPE,"?*")&gt;0,"ตามจุดติดตั้ง →","0/100")</f>
        <v>ตามจุดติดตั้ง →</v>
      </c>
      <c r="I1270" s="58" t="n">
        <f aca="false">'P9-016'!$N$63</f>
        <v>46328</v>
      </c>
      <c r="J1270" s="58" t="n">
        <f aca="false">'P9-016'!$O$63</f>
        <v>46329</v>
      </c>
      <c r="K1270" s="56" t="str">
        <f aca="false">IF(OR(L1270="Y",LEFT('P9-016'!$T$63,1)="D"),"",IF(AND(ISNUMBER(J1270),J1270&lt;ASOF),"⚠ เลยกำหนด",IF(AND(ISNUMBER(I1270),I1270&lt;=ASOF+14,J1270&gt;=ASOF-7),"ช่วงนี้","")))</f>
        <v>ช่วงนี้</v>
      </c>
      <c r="L1270" s="59"/>
      <c r="M1270" s="60"/>
    </row>
    <row r="1271" customFormat="false" ht="15" hidden="false" customHeight="false" outlineLevel="0" collapsed="false">
      <c r="A1271" s="54" t="s">
        <v>102</v>
      </c>
      <c r="B1271" s="55" t="s">
        <v>494</v>
      </c>
      <c r="C1271" s="56" t="s">
        <v>495</v>
      </c>
      <c r="D1271" s="57" t="s">
        <v>104</v>
      </c>
      <c r="E1271" s="57" t="s">
        <v>308</v>
      </c>
      <c r="F1271" s="55" t="s">
        <v>309</v>
      </c>
      <c r="G1271" s="55" t="s">
        <v>310</v>
      </c>
      <c r="H1271" s="57" t="s">
        <v>211</v>
      </c>
      <c r="I1271" s="58" t="n">
        <f aca="false">'P9-016'!$N$64</f>
        <v>46328</v>
      </c>
      <c r="J1271" s="58" t="n">
        <f aca="false">'P9-016'!$O$64</f>
        <v>46330</v>
      </c>
      <c r="K1271" s="56" t="str">
        <f aca="false">IF(OR(L1271="Y",LEFT('P9-016'!$T$64,1)="D"),"",IF(AND(ISNUMBER(J1271),J1271&lt;ASOF),"⚠ เลยกำหนด",IF(AND(ISNUMBER(I1271),I1271&lt;=ASOF+14,J1271&gt;=ASOF-7),"ช่วงนี้","")))</f>
        <v>ช่วงนี้</v>
      </c>
      <c r="L1271" s="59"/>
      <c r="M1271" s="60"/>
    </row>
    <row r="1272" customFormat="false" ht="15" hidden="false" customHeight="false" outlineLevel="0" collapsed="false">
      <c r="A1272" s="54" t="s">
        <v>102</v>
      </c>
      <c r="B1272" s="55" t="s">
        <v>494</v>
      </c>
      <c r="C1272" s="56" t="s">
        <v>495</v>
      </c>
      <c r="D1272" s="57" t="s">
        <v>104</v>
      </c>
      <c r="E1272" s="57" t="s">
        <v>311</v>
      </c>
      <c r="F1272" s="55" t="s">
        <v>312</v>
      </c>
      <c r="G1272" s="55" t="s">
        <v>313</v>
      </c>
      <c r="H1272" s="56" t="str">
        <f aca="false">IF(COUNTIFS(SITE_ST,"P9-016",SITE_TYPE,"?*")&gt;0,"ตามจุดติดตั้ง →","50/50")</f>
        <v>ตามจุดติดตั้ง →</v>
      </c>
      <c r="I1272" s="58" t="n">
        <f aca="false">'P9-016'!$N$65</f>
        <v>46329</v>
      </c>
      <c r="J1272" s="58" t="n">
        <f aca="false">'P9-016'!$O$65</f>
        <v>46332</v>
      </c>
      <c r="K1272" s="56" t="str">
        <f aca="false">IF(OR(L1272="Y",LEFT('P9-016'!$T$65,1)="D"),"",IF(AND(ISNUMBER(J1272),J1272&lt;ASOF),"⚠ เลยกำหนด",IF(AND(ISNUMBER(I1272),I1272&lt;=ASOF+14,J1272&gt;=ASOF-7),"ช่วงนี้","")))</f>
        <v>ช่วงนี้</v>
      </c>
      <c r="L1272" s="59"/>
      <c r="M1272" s="60"/>
    </row>
    <row r="1273" customFormat="false" ht="15" hidden="false" customHeight="false" outlineLevel="0" collapsed="false">
      <c r="A1273" s="54" t="s">
        <v>102</v>
      </c>
      <c r="B1273" s="55" t="s">
        <v>494</v>
      </c>
      <c r="C1273" s="56" t="s">
        <v>495</v>
      </c>
      <c r="D1273" s="57" t="s">
        <v>104</v>
      </c>
      <c r="E1273" s="57" t="s">
        <v>314</v>
      </c>
      <c r="F1273" s="55" t="s">
        <v>315</v>
      </c>
      <c r="G1273" s="61" t="s">
        <v>316</v>
      </c>
      <c r="H1273" s="56" t="str">
        <f aca="false">IF(COUNTIFS(SITE_ST,"P9-016",SITE_TYPE,"?*")&gt;0,"ตามจุดติดตั้ง →","50/50")</f>
        <v>ตามจุดติดตั้ง →</v>
      </c>
      <c r="I1273" s="58" t="n">
        <f aca="false">'P9-016'!$N$66</f>
        <v>46331</v>
      </c>
      <c r="J1273" s="58" t="n">
        <f aca="false">'P9-016'!$O$66</f>
        <v>46335</v>
      </c>
      <c r="K1273" s="56" t="str">
        <f aca="false">IF(OR(L1273="Y",LEFT('P9-016'!$T$66,1)="D"),"",IF(AND(ISNUMBER(J1273),J1273&lt;ASOF),"⚠ เลยกำหนด",IF(AND(ISNUMBER(I1273),I1273&lt;=ASOF+14,J1273&gt;=ASOF-7),"ช่วงนี้","")))</f>
        <v>ช่วงนี้</v>
      </c>
      <c r="L1273" s="59"/>
      <c r="M1273" s="60"/>
    </row>
    <row r="1274" customFormat="false" ht="15" hidden="false" customHeight="false" outlineLevel="0" collapsed="false">
      <c r="A1274" s="54" t="s">
        <v>102</v>
      </c>
      <c r="B1274" s="55" t="s">
        <v>494</v>
      </c>
      <c r="C1274" s="56" t="s">
        <v>495</v>
      </c>
      <c r="D1274" s="57" t="s">
        <v>104</v>
      </c>
      <c r="E1274" s="57" t="s">
        <v>317</v>
      </c>
      <c r="F1274" s="61" t="s">
        <v>318</v>
      </c>
      <c r="G1274" s="61" t="s">
        <v>319</v>
      </c>
      <c r="H1274" s="56" t="str">
        <f aca="false">IF(COUNTIFS(SITE_ST,"P9-016",SITE_TYPE,"?*")&gt;0,"ตามจุดติดตั้ง →","50/50")</f>
        <v>ตามจุดติดตั้ง →</v>
      </c>
      <c r="I1274" s="58" t="n">
        <f aca="false">'P9-016'!$N$67</f>
        <v>46333</v>
      </c>
      <c r="J1274" s="58" t="n">
        <f aca="false">'P9-016'!$O$67</f>
        <v>46336</v>
      </c>
      <c r="K1274" s="56" t="str">
        <f aca="false">IF(OR(L1274="Y",LEFT('P9-016'!$T$67,1)="D"),"",IF(AND(ISNUMBER(J1274),J1274&lt;ASOF),"⚠ เลยกำหนด",IF(AND(ISNUMBER(I1274),I1274&lt;=ASOF+14,J1274&gt;=ASOF-7),"ช่วงนี้","")))</f>
        <v>ช่วงนี้</v>
      </c>
      <c r="L1274" s="59"/>
      <c r="M1274" s="60"/>
    </row>
    <row r="1275" customFormat="false" ht="15" hidden="false" customHeight="false" outlineLevel="0" collapsed="false">
      <c r="A1275" s="54" t="s">
        <v>102</v>
      </c>
      <c r="B1275" s="55" t="s">
        <v>494</v>
      </c>
      <c r="C1275" s="56" t="s">
        <v>495</v>
      </c>
      <c r="D1275" s="57" t="s">
        <v>104</v>
      </c>
      <c r="E1275" s="57" t="s">
        <v>320</v>
      </c>
      <c r="F1275" s="55" t="s">
        <v>321</v>
      </c>
      <c r="G1275" s="55" t="s">
        <v>322</v>
      </c>
      <c r="H1275" s="56" t="str">
        <f aca="false">IF(COUNTIFS(SITE_ST,"P9-016",SITE_TYPE,"?*")&gt;0,"ตามจุดติดตั้ง →","0/100")</f>
        <v>ตามจุดติดตั้ง →</v>
      </c>
      <c r="I1275" s="58" t="n">
        <f aca="false">'P9-016'!$N$68</f>
        <v>46334</v>
      </c>
      <c r="J1275" s="58" t="n">
        <f aca="false">'P9-016'!$O$68</f>
        <v>46336</v>
      </c>
      <c r="K1275" s="56" t="str">
        <f aca="false">IF(OR(L1275="Y",LEFT('P9-016'!$T$68,1)="D"),"",IF(AND(ISNUMBER(J1275),J1275&lt;ASOF),"⚠ เลยกำหนด",IF(AND(ISNUMBER(I1275),I1275&lt;=ASOF+14,J1275&gt;=ASOF-7),"ช่วงนี้","")))</f>
        <v>ช่วงนี้</v>
      </c>
      <c r="L1275" s="59"/>
      <c r="M1275" s="60"/>
    </row>
    <row r="1276" customFormat="false" ht="15" hidden="false" customHeight="false" outlineLevel="0" collapsed="false">
      <c r="A1276" s="54" t="s">
        <v>102</v>
      </c>
      <c r="B1276" s="55" t="s">
        <v>494</v>
      </c>
      <c r="C1276" s="56" t="s">
        <v>495</v>
      </c>
      <c r="D1276" s="57" t="s">
        <v>104</v>
      </c>
      <c r="E1276" s="57" t="s">
        <v>323</v>
      </c>
      <c r="F1276" s="61" t="s">
        <v>324</v>
      </c>
      <c r="G1276" s="55" t="s">
        <v>325</v>
      </c>
      <c r="H1276" s="56" t="str">
        <f aca="false">IF(COUNTIFS(SITE_ST,"P9-016",SITE_TYPE,"?*")&gt;0,"ตามจุดติดตั้ง →","0/100")</f>
        <v>ตามจุดติดตั้ง →</v>
      </c>
      <c r="I1276" s="58" t="n">
        <f aca="false">'P9-016'!$N$69</f>
        <v>46336</v>
      </c>
      <c r="J1276" s="58" t="n">
        <f aca="false">'P9-016'!$O$69</f>
        <v>46336</v>
      </c>
      <c r="K1276" s="56" t="str">
        <f aca="false">IF(OR(L1276="Y",LEFT('P9-016'!$T$69,1)="D"),"",IF(AND(ISNUMBER(J1276),J1276&lt;ASOF),"⚠ เลยกำหนด",IF(AND(ISNUMBER(I1276),I1276&lt;=ASOF+14,J1276&gt;=ASOF-7),"ช่วงนี้","")))</f>
        <v>ช่วงนี้</v>
      </c>
      <c r="L1276" s="59"/>
      <c r="M1276" s="60"/>
    </row>
    <row r="1277" customFormat="false" ht="15" hidden="false" customHeight="false" outlineLevel="0" collapsed="false">
      <c r="A1277" s="54" t="s">
        <v>102</v>
      </c>
      <c r="B1277" s="55" t="s">
        <v>494</v>
      </c>
      <c r="C1277" s="56" t="s">
        <v>495</v>
      </c>
      <c r="D1277" s="57" t="s">
        <v>104</v>
      </c>
      <c r="E1277" s="57" t="s">
        <v>326</v>
      </c>
      <c r="F1277" s="55" t="s">
        <v>327</v>
      </c>
      <c r="G1277" s="61" t="s">
        <v>328</v>
      </c>
      <c r="H1277" s="56" t="str">
        <f aca="false">IF(COUNTIFS(SITE_ST,"P9-016",SITE_TYPE,"?*")&gt;0,"ตามจุดติดตั้ง →","50/50")</f>
        <v>ตามจุดติดตั้ง →</v>
      </c>
      <c r="I1277" s="58" t="n">
        <f aca="false">'P9-016'!$N$71</f>
        <v>46343</v>
      </c>
      <c r="J1277" s="58" t="n">
        <f aca="false">'P9-016'!$O$71</f>
        <v>46344</v>
      </c>
      <c r="K1277" s="56" t="str">
        <f aca="false">IF(OR(L1277="Y",LEFT('P9-016'!$T$71,1)="D"),"",IF(AND(ISNUMBER(J1277),J1277&lt;ASOF),"⚠ เลยกำหนด",IF(AND(ISNUMBER(I1277),I1277&lt;=ASOF+14,J1277&gt;=ASOF-7),"ช่วงนี้","")))</f>
        <v/>
      </c>
      <c r="L1277" s="59"/>
      <c r="M1277" s="60"/>
    </row>
    <row r="1278" customFormat="false" ht="15" hidden="false" customHeight="false" outlineLevel="0" collapsed="false">
      <c r="A1278" s="54" t="s">
        <v>102</v>
      </c>
      <c r="B1278" s="55" t="s">
        <v>494</v>
      </c>
      <c r="C1278" s="56" t="s">
        <v>495</v>
      </c>
      <c r="D1278" s="57" t="s">
        <v>104</v>
      </c>
      <c r="E1278" s="57" t="s">
        <v>329</v>
      </c>
      <c r="F1278" s="55" t="s">
        <v>330</v>
      </c>
      <c r="G1278" s="55" t="s">
        <v>331</v>
      </c>
      <c r="H1278" s="56" t="str">
        <f aca="false">IF(COUNTIFS(SITE_ST,"P9-016",SITE_TYPE,"?*")&gt;0,"ตามจุดติดตั้ง →","50/50")</f>
        <v>ตามจุดติดตั้ง →</v>
      </c>
      <c r="I1278" s="58" t="n">
        <f aca="false">'P9-016'!$N$72</f>
        <v>46344</v>
      </c>
      <c r="J1278" s="58" t="n">
        <f aca="false">'P9-016'!$O$72</f>
        <v>46345</v>
      </c>
      <c r="K1278" s="56" t="str">
        <f aca="false">IF(OR(L1278="Y",LEFT('P9-016'!$T$72,1)="D"),"",IF(AND(ISNUMBER(J1278),J1278&lt;ASOF),"⚠ เลยกำหนด",IF(AND(ISNUMBER(I1278),I1278&lt;=ASOF+14,J1278&gt;=ASOF-7),"ช่วงนี้","")))</f>
        <v/>
      </c>
      <c r="L1278" s="59"/>
      <c r="M1278" s="60"/>
    </row>
    <row r="1279" customFormat="false" ht="15" hidden="false" customHeight="false" outlineLevel="0" collapsed="false">
      <c r="A1279" s="54" t="s">
        <v>102</v>
      </c>
      <c r="B1279" s="55" t="s">
        <v>494</v>
      </c>
      <c r="C1279" s="56" t="s">
        <v>495</v>
      </c>
      <c r="D1279" s="57" t="s">
        <v>104</v>
      </c>
      <c r="E1279" s="57" t="s">
        <v>332</v>
      </c>
      <c r="F1279" s="55" t="s">
        <v>333</v>
      </c>
      <c r="G1279" s="55" t="s">
        <v>334</v>
      </c>
      <c r="H1279" s="56" t="str">
        <f aca="false">IF(COUNTIFS(SITE_ST,"P9-016",SITE_TYPE,"?*")&gt;0,"ตามจุดติดตั้ง →","0/100")</f>
        <v>ตามจุดติดตั้ง →</v>
      </c>
      <c r="I1279" s="58" t="n">
        <f aca="false">'P9-016'!$N$73</f>
        <v>46344</v>
      </c>
      <c r="J1279" s="58" t="n">
        <f aca="false">'P9-016'!$O$73</f>
        <v>46345</v>
      </c>
      <c r="K1279" s="56" t="str">
        <f aca="false">IF(OR(L1279="Y",LEFT('P9-016'!$T$73,1)="D"),"",IF(AND(ISNUMBER(J1279),J1279&lt;ASOF),"⚠ เลยกำหนด",IF(AND(ISNUMBER(I1279),I1279&lt;=ASOF+14,J1279&gt;=ASOF-7),"ช่วงนี้","")))</f>
        <v/>
      </c>
      <c r="L1279" s="59"/>
      <c r="M1279" s="60"/>
    </row>
    <row r="1280" customFormat="false" ht="15" hidden="false" customHeight="false" outlineLevel="0" collapsed="false">
      <c r="A1280" s="54" t="s">
        <v>102</v>
      </c>
      <c r="B1280" s="55" t="s">
        <v>494</v>
      </c>
      <c r="C1280" s="56" t="s">
        <v>495</v>
      </c>
      <c r="D1280" s="57" t="s">
        <v>104</v>
      </c>
      <c r="E1280" s="57" t="s">
        <v>335</v>
      </c>
      <c r="F1280" s="55" t="s">
        <v>336</v>
      </c>
      <c r="G1280" s="61" t="s">
        <v>337</v>
      </c>
      <c r="H1280" s="56" t="str">
        <f aca="false">IF(COUNTIFS(SITE_ST,"P9-016",SITE_TYPE,"?*")&gt;0,"ตามจุดติดตั้ง →","0/100")</f>
        <v>ตามจุดติดตั้ง →</v>
      </c>
      <c r="I1280" s="58" t="n">
        <f aca="false">'P9-016'!$N$74</f>
        <v>46345</v>
      </c>
      <c r="J1280" s="58" t="n">
        <f aca="false">'P9-016'!$O$74</f>
        <v>46346</v>
      </c>
      <c r="K1280" s="56" t="str">
        <f aca="false">IF(OR(L1280="Y",LEFT('P9-016'!$T$74,1)="D"),"",IF(AND(ISNUMBER(J1280),J1280&lt;ASOF),"⚠ เลยกำหนด",IF(AND(ISNUMBER(I1280),I1280&lt;=ASOF+14,J1280&gt;=ASOF-7),"ช่วงนี้","")))</f>
        <v/>
      </c>
      <c r="L1280" s="59"/>
      <c r="M1280" s="60"/>
    </row>
    <row r="1281" customFormat="false" ht="15" hidden="false" customHeight="false" outlineLevel="0" collapsed="false">
      <c r="A1281" s="54" t="s">
        <v>102</v>
      </c>
      <c r="B1281" s="55" t="s">
        <v>494</v>
      </c>
      <c r="C1281" s="56" t="s">
        <v>495</v>
      </c>
      <c r="D1281" s="57" t="s">
        <v>104</v>
      </c>
      <c r="E1281" s="57" t="s">
        <v>338</v>
      </c>
      <c r="F1281" s="61" t="s">
        <v>339</v>
      </c>
      <c r="G1281" s="55" t="s">
        <v>340</v>
      </c>
      <c r="H1281" s="56" t="str">
        <f aca="false">IF(COUNTIFS(SITE_ST,"P9-016",SITE_TYPE,"?*")&gt;0,"ตามจุดติดตั้ง →","0/100")</f>
        <v>ตามจุดติดตั้ง →</v>
      </c>
      <c r="I1281" s="58" t="n">
        <f aca="false">'P9-016'!$N$75</f>
        <v>46345</v>
      </c>
      <c r="J1281" s="58" t="n">
        <f aca="false">'P9-016'!$O$75</f>
        <v>46346</v>
      </c>
      <c r="K1281" s="56" t="str">
        <f aca="false">IF(OR(L1281="Y",LEFT('P9-016'!$T$75,1)="D"),"",IF(AND(ISNUMBER(J1281),J1281&lt;ASOF),"⚠ เลยกำหนด",IF(AND(ISNUMBER(I1281),I1281&lt;=ASOF+14,J1281&gt;=ASOF-7),"ช่วงนี้","")))</f>
        <v/>
      </c>
      <c r="L1281" s="59"/>
      <c r="M1281" s="60"/>
    </row>
    <row r="1282" customFormat="false" ht="15" hidden="false" customHeight="false" outlineLevel="0" collapsed="false">
      <c r="A1282" s="54" t="s">
        <v>102</v>
      </c>
      <c r="B1282" s="55" t="s">
        <v>494</v>
      </c>
      <c r="C1282" s="56" t="s">
        <v>495</v>
      </c>
      <c r="D1282" s="57" t="s">
        <v>104</v>
      </c>
      <c r="E1282" s="57" t="s">
        <v>341</v>
      </c>
      <c r="F1282" s="55" t="s">
        <v>342</v>
      </c>
      <c r="G1282" s="55" t="s">
        <v>343</v>
      </c>
      <c r="H1282" s="56" t="str">
        <f aca="false">IF(COUNTIFS(SITE_ST,"P9-016",SITE_TYPE,"?*")&gt;0,"ตามจุดติดตั้ง →","0/100")</f>
        <v>ตามจุดติดตั้ง →</v>
      </c>
      <c r="I1282" s="58" t="n">
        <f aca="false">'P9-016'!$N$77</f>
        <v>46337</v>
      </c>
      <c r="J1282" s="58" t="n">
        <f aca="false">'P9-016'!$O$77</f>
        <v>46340</v>
      </c>
      <c r="K1282" s="56" t="str">
        <f aca="false">IF(OR(L1282="Y",LEFT('P9-016'!$T$77,1)="D"),"",IF(AND(ISNUMBER(J1282),J1282&lt;ASOF),"⚠ เลยกำหนด",IF(AND(ISNUMBER(I1282),I1282&lt;=ASOF+14,J1282&gt;=ASOF-7),"ช่วงนี้","")))</f>
        <v>ช่วงนี้</v>
      </c>
      <c r="L1282" s="59"/>
      <c r="M1282" s="60"/>
    </row>
    <row r="1283" customFormat="false" ht="15" hidden="false" customHeight="false" outlineLevel="0" collapsed="false">
      <c r="A1283" s="54" t="s">
        <v>102</v>
      </c>
      <c r="B1283" s="55" t="s">
        <v>494</v>
      </c>
      <c r="C1283" s="56" t="s">
        <v>495</v>
      </c>
      <c r="D1283" s="57" t="s">
        <v>104</v>
      </c>
      <c r="E1283" s="57" t="s">
        <v>344</v>
      </c>
      <c r="F1283" s="55" t="s">
        <v>345</v>
      </c>
      <c r="G1283" s="55" t="s">
        <v>346</v>
      </c>
      <c r="H1283" s="56" t="str">
        <f aca="false">IF(COUNTIFS(SITE_ST,"P9-016",SITE_TYPE,"?*")&gt;0,"ตามจุดติดตั้ง →","50/50")</f>
        <v>ตามจุดติดตั้ง →</v>
      </c>
      <c r="I1283" s="58" t="n">
        <f aca="false">'P9-016'!$N$78</f>
        <v>46338</v>
      </c>
      <c r="J1283" s="58" t="n">
        <f aca="false">'P9-016'!$O$78</f>
        <v>46346</v>
      </c>
      <c r="K1283" s="56" t="str">
        <f aca="false">IF(OR(L1283="Y",LEFT('P9-016'!$T$78,1)="D"),"",IF(AND(ISNUMBER(J1283),J1283&lt;ASOF),"⚠ เลยกำหนด",IF(AND(ISNUMBER(I1283),I1283&lt;=ASOF+14,J1283&gt;=ASOF-7),"ช่วงนี้","")))</f>
        <v>ช่วงนี้</v>
      </c>
      <c r="L1283" s="59"/>
      <c r="M1283" s="60"/>
    </row>
    <row r="1284" customFormat="false" ht="15" hidden="false" customHeight="false" outlineLevel="0" collapsed="false">
      <c r="A1284" s="54" t="s">
        <v>102</v>
      </c>
      <c r="B1284" s="55" t="s">
        <v>494</v>
      </c>
      <c r="C1284" s="56" t="s">
        <v>495</v>
      </c>
      <c r="D1284" s="57" t="s">
        <v>104</v>
      </c>
      <c r="E1284" s="57" t="s">
        <v>347</v>
      </c>
      <c r="F1284" s="61" t="s">
        <v>348</v>
      </c>
      <c r="G1284" s="55" t="s">
        <v>349</v>
      </c>
      <c r="H1284" s="56" t="str">
        <f aca="false">IF(COUNTIFS(SITE_ST,"P9-016",SITE_TYPE,"?*")&gt;0,"ตามจุดติดตั้ง →","50/50")</f>
        <v>ตามจุดติดตั้ง →</v>
      </c>
      <c r="I1284" s="58" t="n">
        <f aca="false">'P9-016'!$N$79</f>
        <v>46341</v>
      </c>
      <c r="J1284" s="58" t="n">
        <f aca="false">'P9-016'!$O$79</f>
        <v>46347</v>
      </c>
      <c r="K1284" s="56" t="str">
        <f aca="false">IF(OR(L1284="Y",LEFT('P9-016'!$T$79,1)="D"),"",IF(AND(ISNUMBER(J1284),J1284&lt;ASOF),"⚠ เลยกำหนด",IF(AND(ISNUMBER(I1284),I1284&lt;=ASOF+14,J1284&gt;=ASOF-7),"ช่วงนี้","")))</f>
        <v>ช่วงนี้</v>
      </c>
      <c r="L1284" s="59"/>
      <c r="M1284" s="60"/>
    </row>
    <row r="1285" customFormat="false" ht="15" hidden="false" customHeight="false" outlineLevel="0" collapsed="false">
      <c r="A1285" s="54" t="s">
        <v>102</v>
      </c>
      <c r="B1285" s="55" t="s">
        <v>494</v>
      </c>
      <c r="C1285" s="56" t="s">
        <v>495</v>
      </c>
      <c r="D1285" s="57" t="s">
        <v>104</v>
      </c>
      <c r="E1285" s="57" t="s">
        <v>350</v>
      </c>
      <c r="F1285" s="61" t="s">
        <v>351</v>
      </c>
      <c r="G1285" s="55" t="s">
        <v>352</v>
      </c>
      <c r="H1285" s="56" t="str">
        <f aca="false">IF(COUNTIFS(SITE_ST,"P9-016",SITE_TYPE,"?*")&gt;0,"ตามจุดติดตั้ง →","0/100")</f>
        <v>ตามจุดติดตั้ง →</v>
      </c>
      <c r="I1285" s="58" t="n">
        <f aca="false">'P9-016'!$N$80</f>
        <v>46345</v>
      </c>
      <c r="J1285" s="58" t="n">
        <f aca="false">'P9-016'!$O$80</f>
        <v>46347</v>
      </c>
      <c r="K1285" s="56" t="str">
        <f aca="false">IF(OR(L1285="Y",LEFT('P9-016'!$T$80,1)="D"),"",IF(AND(ISNUMBER(J1285),J1285&lt;ASOF),"⚠ เลยกำหนด",IF(AND(ISNUMBER(I1285),I1285&lt;=ASOF+14,J1285&gt;=ASOF-7),"ช่วงนี้","")))</f>
        <v/>
      </c>
      <c r="L1285" s="59"/>
      <c r="M1285" s="60"/>
    </row>
    <row r="1286" customFormat="false" ht="15" hidden="false" customHeight="false" outlineLevel="0" collapsed="false">
      <c r="A1286" s="54" t="s">
        <v>102</v>
      </c>
      <c r="B1286" s="55" t="s">
        <v>494</v>
      </c>
      <c r="C1286" s="56" t="s">
        <v>495</v>
      </c>
      <c r="D1286" s="57" t="s">
        <v>104</v>
      </c>
      <c r="E1286" s="57" t="s">
        <v>353</v>
      </c>
      <c r="F1286" s="61" t="s">
        <v>354</v>
      </c>
      <c r="G1286" s="55" t="s">
        <v>355</v>
      </c>
      <c r="H1286" s="56" t="str">
        <f aca="false">IF(COUNTIFS(SITE_ST,"P9-016",SITE_TYPE,"?*")&gt;0,"ตามจุดติดตั้ง →","0/100")</f>
        <v>ตามจุดติดตั้ง →</v>
      </c>
      <c r="I1286" s="58" t="n">
        <f aca="false">'P9-016'!$N$81</f>
        <v>46347</v>
      </c>
      <c r="J1286" s="58" t="n">
        <f aca="false">'P9-016'!$O$81</f>
        <v>46347</v>
      </c>
      <c r="K1286" s="56" t="str">
        <f aca="false">IF(OR(L1286="Y",LEFT('P9-016'!$T$81,1)="D"),"",IF(AND(ISNUMBER(J1286),J1286&lt;ASOF),"⚠ เลยกำหนด",IF(AND(ISNUMBER(I1286),I1286&lt;=ASOF+14,J1286&gt;=ASOF-7),"ช่วงนี้","")))</f>
        <v/>
      </c>
      <c r="L1286" s="59"/>
      <c r="M1286" s="60"/>
    </row>
    <row r="1287" customFormat="false" ht="15" hidden="false" customHeight="false" outlineLevel="0" collapsed="false">
      <c r="A1287" s="54" t="s">
        <v>102</v>
      </c>
      <c r="B1287" s="55" t="s">
        <v>494</v>
      </c>
      <c r="C1287" s="56" t="s">
        <v>495</v>
      </c>
      <c r="D1287" s="57" t="s">
        <v>104</v>
      </c>
      <c r="E1287" s="57" t="s">
        <v>356</v>
      </c>
      <c r="F1287" s="55" t="s">
        <v>357</v>
      </c>
      <c r="G1287" s="55" t="s">
        <v>358</v>
      </c>
      <c r="H1287" s="57" t="s">
        <v>211</v>
      </c>
      <c r="I1287" s="58" t="n">
        <f aca="false">'P9-016'!$N$83</f>
        <v>46345</v>
      </c>
      <c r="J1287" s="58" t="n">
        <f aca="false">'P9-016'!$O$83</f>
        <v>46346</v>
      </c>
      <c r="K1287" s="56" t="str">
        <f aca="false">IF(OR(L1287="Y",LEFT('P9-016'!$T$83,1)="D"),"",IF(AND(ISNUMBER(J1287),J1287&lt;ASOF),"⚠ เลยกำหนด",IF(AND(ISNUMBER(I1287),I1287&lt;=ASOF+14,J1287&gt;=ASOF-7),"ช่วงนี้","")))</f>
        <v/>
      </c>
      <c r="L1287" s="59"/>
      <c r="M1287" s="60"/>
    </row>
    <row r="1288" customFormat="false" ht="15" hidden="false" customHeight="false" outlineLevel="0" collapsed="false">
      <c r="A1288" s="54" t="s">
        <v>102</v>
      </c>
      <c r="B1288" s="55" t="s">
        <v>494</v>
      </c>
      <c r="C1288" s="56" t="s">
        <v>495</v>
      </c>
      <c r="D1288" s="57" t="s">
        <v>104</v>
      </c>
      <c r="E1288" s="57" t="s">
        <v>359</v>
      </c>
      <c r="F1288" s="55" t="s">
        <v>360</v>
      </c>
      <c r="G1288" s="55" t="s">
        <v>361</v>
      </c>
      <c r="H1288" s="57" t="s">
        <v>211</v>
      </c>
      <c r="I1288" s="58" t="n">
        <f aca="false">'P9-016'!$N$84</f>
        <v>46346</v>
      </c>
      <c r="J1288" s="58" t="n">
        <f aca="false">'P9-016'!$O$84</f>
        <v>46347</v>
      </c>
      <c r="K1288" s="56" t="str">
        <f aca="false">IF(OR(L1288="Y",LEFT('P9-016'!$T$84,1)="D"),"",IF(AND(ISNUMBER(J1288),J1288&lt;ASOF),"⚠ เลยกำหนด",IF(AND(ISNUMBER(I1288),I1288&lt;=ASOF+14,J1288&gt;=ASOF-7),"ช่วงนี้","")))</f>
        <v/>
      </c>
      <c r="L1288" s="59"/>
      <c r="M1288" s="60"/>
    </row>
    <row r="1289" customFormat="false" ht="15" hidden="false" customHeight="false" outlineLevel="0" collapsed="false">
      <c r="A1289" s="54" t="s">
        <v>102</v>
      </c>
      <c r="B1289" s="55" t="s">
        <v>494</v>
      </c>
      <c r="C1289" s="56" t="s">
        <v>495</v>
      </c>
      <c r="D1289" s="57" t="s">
        <v>104</v>
      </c>
      <c r="E1289" s="57" t="s">
        <v>362</v>
      </c>
      <c r="F1289" s="61" t="s">
        <v>363</v>
      </c>
      <c r="G1289" s="61" t="s">
        <v>364</v>
      </c>
      <c r="H1289" s="56" t="s">
        <v>365</v>
      </c>
      <c r="I1289" s="58" t="n">
        <f aca="false">'P9-016'!$N$86</f>
        <v>46343</v>
      </c>
      <c r="J1289" s="58" t="n">
        <f aca="false">'P9-016'!$O$86</f>
        <v>46345</v>
      </c>
      <c r="K1289" s="56" t="str">
        <f aca="false">IF(OR(L1289="Y",LEFT('P9-016'!$T$86,1)="D"),"",IF(AND(ISNUMBER(J1289),J1289&lt;ASOF),"⚠ เลยกำหนด",IF(AND(ISNUMBER(I1289),I1289&lt;=ASOF+14,J1289&gt;=ASOF-7),"ช่วงนี้","")))</f>
        <v/>
      </c>
      <c r="L1289" s="59"/>
      <c r="M1289" s="60"/>
    </row>
    <row r="1290" customFormat="false" ht="15" hidden="false" customHeight="false" outlineLevel="0" collapsed="false">
      <c r="A1290" s="54" t="s">
        <v>102</v>
      </c>
      <c r="B1290" s="55" t="s">
        <v>494</v>
      </c>
      <c r="C1290" s="56" t="s">
        <v>495</v>
      </c>
      <c r="D1290" s="57" t="s">
        <v>104</v>
      </c>
      <c r="E1290" s="57" t="s">
        <v>366</v>
      </c>
      <c r="F1290" s="61" t="s">
        <v>367</v>
      </c>
      <c r="G1290" s="61" t="s">
        <v>368</v>
      </c>
      <c r="H1290" s="57" t="s">
        <v>369</v>
      </c>
      <c r="I1290" s="58" t="n">
        <f aca="false">'P9-016'!$N$87</f>
        <v>46344</v>
      </c>
      <c r="J1290" s="58" t="n">
        <f aca="false">'P9-016'!$O$87</f>
        <v>46346</v>
      </c>
      <c r="K1290" s="56" t="str">
        <f aca="false">IF(OR(L1290="Y",LEFT('P9-016'!$T$87,1)="D"),"",IF(AND(ISNUMBER(J1290),J1290&lt;ASOF),"⚠ เลยกำหนด",IF(AND(ISNUMBER(I1290),I1290&lt;=ASOF+14,J1290&gt;=ASOF-7),"ช่วงนี้","")))</f>
        <v/>
      </c>
      <c r="L1290" s="59"/>
      <c r="M1290" s="60"/>
    </row>
    <row r="1291" customFormat="false" ht="15" hidden="false" customHeight="false" outlineLevel="0" collapsed="false">
      <c r="A1291" s="54" t="s">
        <v>102</v>
      </c>
      <c r="B1291" s="55" t="s">
        <v>494</v>
      </c>
      <c r="C1291" s="56" t="s">
        <v>495</v>
      </c>
      <c r="D1291" s="57" t="s">
        <v>104</v>
      </c>
      <c r="E1291" s="57" t="s">
        <v>370</v>
      </c>
      <c r="F1291" s="55" t="s">
        <v>371</v>
      </c>
      <c r="G1291" s="55" t="s">
        <v>372</v>
      </c>
      <c r="H1291" s="57" t="s">
        <v>211</v>
      </c>
      <c r="I1291" s="58" t="n">
        <f aca="false">'P9-016'!$N$88</f>
        <v>46345</v>
      </c>
      <c r="J1291" s="58" t="n">
        <f aca="false">'P9-016'!$O$88</f>
        <v>46346</v>
      </c>
      <c r="K1291" s="56" t="str">
        <f aca="false">IF(OR(L1291="Y",LEFT('P9-016'!$T$88,1)="D"),"",IF(AND(ISNUMBER(J1291),J1291&lt;ASOF),"⚠ เลยกำหนด",IF(AND(ISNUMBER(I1291),I1291&lt;=ASOF+14,J1291&gt;=ASOF-7),"ช่วงนี้","")))</f>
        <v/>
      </c>
      <c r="L1291" s="59"/>
      <c r="M1291" s="60"/>
    </row>
    <row r="1292" customFormat="false" ht="15" hidden="false" customHeight="false" outlineLevel="0" collapsed="false">
      <c r="A1292" s="54" t="s">
        <v>102</v>
      </c>
      <c r="B1292" s="55" t="s">
        <v>494</v>
      </c>
      <c r="C1292" s="56" t="s">
        <v>495</v>
      </c>
      <c r="D1292" s="57" t="s">
        <v>104</v>
      </c>
      <c r="E1292" s="57" t="s">
        <v>373</v>
      </c>
      <c r="F1292" s="61" t="s">
        <v>374</v>
      </c>
      <c r="G1292" s="55" t="s">
        <v>375</v>
      </c>
      <c r="H1292" s="57" t="s">
        <v>211</v>
      </c>
      <c r="I1292" s="58" t="n">
        <f aca="false">'P9-016'!$N$89</f>
        <v>46346</v>
      </c>
      <c r="J1292" s="58" t="n">
        <f aca="false">'P9-016'!$O$89</f>
        <v>46346</v>
      </c>
      <c r="K1292" s="56" t="str">
        <f aca="false">IF(OR(L1292="Y",LEFT('P9-016'!$T$89,1)="D"),"",IF(AND(ISNUMBER(J1292),J1292&lt;ASOF),"⚠ เลยกำหนด",IF(AND(ISNUMBER(I1292),I1292&lt;=ASOF+14,J1292&gt;=ASOF-7),"ช่วงนี้","")))</f>
        <v/>
      </c>
      <c r="L1292" s="59"/>
      <c r="M1292" s="60"/>
    </row>
    <row r="1293" customFormat="false" ht="15" hidden="false" customHeight="false" outlineLevel="0" collapsed="false">
      <c r="A1293" s="54" t="s">
        <v>102</v>
      </c>
      <c r="B1293" s="55" t="s">
        <v>494</v>
      </c>
      <c r="C1293" s="56" t="s">
        <v>495</v>
      </c>
      <c r="D1293" s="57" t="s">
        <v>104</v>
      </c>
      <c r="E1293" s="57" t="s">
        <v>376</v>
      </c>
      <c r="F1293" s="55" t="s">
        <v>377</v>
      </c>
      <c r="G1293" s="55" t="s">
        <v>378</v>
      </c>
      <c r="H1293" s="57" t="s">
        <v>369</v>
      </c>
      <c r="I1293" s="58" t="n">
        <f aca="false">'P9-016'!$N$91</f>
        <v>46344</v>
      </c>
      <c r="J1293" s="58" t="n">
        <f aca="false">'P9-016'!$O$91</f>
        <v>46346</v>
      </c>
      <c r="K1293" s="56" t="str">
        <f aca="false">IF(OR(L1293="Y",LEFT('P9-016'!$T$91,1)="D"),"",IF(AND(ISNUMBER(J1293),J1293&lt;ASOF),"⚠ เลยกำหนด",IF(AND(ISNUMBER(I1293),I1293&lt;=ASOF+14,J1293&gt;=ASOF-7),"ช่วงนี้","")))</f>
        <v/>
      </c>
      <c r="L1293" s="59"/>
      <c r="M1293" s="60"/>
    </row>
    <row r="1294" customFormat="false" ht="15" hidden="false" customHeight="false" outlineLevel="0" collapsed="false">
      <c r="A1294" s="54" t="s">
        <v>102</v>
      </c>
      <c r="B1294" s="55" t="s">
        <v>494</v>
      </c>
      <c r="C1294" s="56" t="s">
        <v>495</v>
      </c>
      <c r="D1294" s="57" t="s">
        <v>104</v>
      </c>
      <c r="E1294" s="57" t="s">
        <v>379</v>
      </c>
      <c r="F1294" s="61" t="s">
        <v>380</v>
      </c>
      <c r="G1294" s="61" t="s">
        <v>381</v>
      </c>
      <c r="H1294" s="57" t="s">
        <v>211</v>
      </c>
      <c r="I1294" s="58" t="n">
        <f aca="false">'P9-016'!$N$92</f>
        <v>46346</v>
      </c>
      <c r="J1294" s="58" t="n">
        <f aca="false">'P9-016'!$O$92</f>
        <v>46347</v>
      </c>
      <c r="K1294" s="56" t="str">
        <f aca="false">IF(OR(L1294="Y",LEFT('P9-016'!$T$92,1)="D"),"",IF(AND(ISNUMBER(J1294),J1294&lt;ASOF),"⚠ เลยกำหนด",IF(AND(ISNUMBER(I1294),I1294&lt;=ASOF+14,J1294&gt;=ASOF-7),"ช่วงนี้","")))</f>
        <v/>
      </c>
      <c r="L1294" s="59"/>
      <c r="M1294" s="60"/>
    </row>
    <row r="1295" customFormat="false" ht="15" hidden="false" customHeight="false" outlineLevel="0" collapsed="false">
      <c r="A1295" s="54" t="s">
        <v>102</v>
      </c>
      <c r="B1295" s="55" t="s">
        <v>494</v>
      </c>
      <c r="C1295" s="56" t="s">
        <v>495</v>
      </c>
      <c r="D1295" s="57" t="s">
        <v>104</v>
      </c>
      <c r="E1295" s="57" t="s">
        <v>382</v>
      </c>
      <c r="F1295" s="55" t="s">
        <v>383</v>
      </c>
      <c r="G1295" s="55" t="s">
        <v>384</v>
      </c>
      <c r="H1295" s="57" t="s">
        <v>369</v>
      </c>
      <c r="I1295" s="58" t="n">
        <f aca="false">'P9-016'!$N$93</f>
        <v>46344</v>
      </c>
      <c r="J1295" s="58" t="n">
        <f aca="false">'P9-016'!$O$93</f>
        <v>46346</v>
      </c>
      <c r="K1295" s="56" t="str">
        <f aca="false">IF(OR(L1295="Y",LEFT('P9-016'!$T$93,1)="D"),"",IF(AND(ISNUMBER(J1295),J1295&lt;ASOF),"⚠ เลยกำหนด",IF(AND(ISNUMBER(I1295),I1295&lt;=ASOF+14,J1295&gt;=ASOF-7),"ช่วงนี้","")))</f>
        <v/>
      </c>
      <c r="L1295" s="59"/>
      <c r="M1295" s="60"/>
    </row>
    <row r="1296" customFormat="false" ht="15" hidden="false" customHeight="false" outlineLevel="0" collapsed="false">
      <c r="A1296" s="54" t="s">
        <v>102</v>
      </c>
      <c r="B1296" s="55" t="s">
        <v>494</v>
      </c>
      <c r="C1296" s="56" t="s">
        <v>495</v>
      </c>
      <c r="D1296" s="57" t="s">
        <v>104</v>
      </c>
      <c r="E1296" s="57" t="s">
        <v>385</v>
      </c>
      <c r="F1296" s="55" t="s">
        <v>386</v>
      </c>
      <c r="G1296" s="55" t="s">
        <v>387</v>
      </c>
      <c r="H1296" s="57" t="s">
        <v>211</v>
      </c>
      <c r="I1296" s="58" t="n">
        <f aca="false">'P9-016'!$N$94</f>
        <v>46346</v>
      </c>
      <c r="J1296" s="58" t="n">
        <f aca="false">'P9-016'!$O$94</f>
        <v>46347</v>
      </c>
      <c r="K1296" s="56" t="str">
        <f aca="false">IF(OR(L1296="Y",LEFT('P9-016'!$T$94,1)="D"),"",IF(AND(ISNUMBER(J1296),J1296&lt;ASOF),"⚠ เลยกำหนด",IF(AND(ISNUMBER(I1296),I1296&lt;=ASOF+14,J1296&gt;=ASOF-7),"ช่วงนี้","")))</f>
        <v/>
      </c>
      <c r="L1296" s="59"/>
      <c r="M1296" s="60"/>
    </row>
    <row r="1297" customFormat="false" ht="15" hidden="false" customHeight="false" outlineLevel="0" collapsed="false">
      <c r="A1297" s="54" t="s">
        <v>102</v>
      </c>
      <c r="B1297" s="55" t="s">
        <v>494</v>
      </c>
      <c r="C1297" s="56" t="s">
        <v>495</v>
      </c>
      <c r="D1297" s="57" t="s">
        <v>104</v>
      </c>
      <c r="E1297" s="57" t="s">
        <v>388</v>
      </c>
      <c r="F1297" s="61" t="s">
        <v>389</v>
      </c>
      <c r="G1297" s="55" t="s">
        <v>390</v>
      </c>
      <c r="H1297" s="57" t="s">
        <v>211</v>
      </c>
      <c r="I1297" s="58" t="n">
        <f aca="false">'P9-016'!$N$95</f>
        <v>46347</v>
      </c>
      <c r="J1297" s="58" t="n">
        <f aca="false">'P9-016'!$O$95</f>
        <v>46347</v>
      </c>
      <c r="K1297" s="56" t="str">
        <f aca="false">IF(OR(L1297="Y",LEFT('P9-016'!$T$95,1)="D"),"",IF(AND(ISNUMBER(J1297),J1297&lt;ASOF),"⚠ เลยกำหนด",IF(AND(ISNUMBER(I1297),I1297&lt;=ASOF+14,J1297&gt;=ASOF-7),"ช่วงนี้","")))</f>
        <v/>
      </c>
      <c r="L1297" s="59"/>
      <c r="M1297" s="60"/>
    </row>
    <row r="1298" customFormat="false" ht="15" hidden="false" customHeight="false" outlineLevel="0" collapsed="false">
      <c r="A1298" s="54" t="s">
        <v>102</v>
      </c>
      <c r="B1298" s="55" t="s">
        <v>494</v>
      </c>
      <c r="C1298" s="56" t="s">
        <v>495</v>
      </c>
      <c r="D1298" s="57" t="s">
        <v>104</v>
      </c>
      <c r="E1298" s="57" t="s">
        <v>391</v>
      </c>
      <c r="F1298" s="55" t="s">
        <v>392</v>
      </c>
      <c r="G1298" s="55" t="s">
        <v>393</v>
      </c>
      <c r="H1298" s="57" t="s">
        <v>369</v>
      </c>
      <c r="I1298" s="58" t="n">
        <f aca="false">'P9-016'!$N$97</f>
        <v>46345</v>
      </c>
      <c r="J1298" s="58" t="n">
        <f aca="false">'P9-016'!$O$97</f>
        <v>46347</v>
      </c>
      <c r="K1298" s="56" t="str">
        <f aca="false">IF(OR(L1298="Y",LEFT('P9-016'!$T$97,1)="D"),"",IF(AND(ISNUMBER(J1298),J1298&lt;ASOF),"⚠ เลยกำหนด",IF(AND(ISNUMBER(I1298),I1298&lt;=ASOF+14,J1298&gt;=ASOF-7),"ช่วงนี้","")))</f>
        <v/>
      </c>
      <c r="L1298" s="59"/>
      <c r="M1298" s="60"/>
    </row>
    <row r="1299" customFormat="false" ht="15" hidden="false" customHeight="false" outlineLevel="0" collapsed="false">
      <c r="A1299" s="54" t="s">
        <v>102</v>
      </c>
      <c r="B1299" s="55" t="s">
        <v>494</v>
      </c>
      <c r="C1299" s="56" t="s">
        <v>495</v>
      </c>
      <c r="D1299" s="57" t="s">
        <v>104</v>
      </c>
      <c r="E1299" s="57" t="s">
        <v>394</v>
      </c>
      <c r="F1299" s="55" t="s">
        <v>395</v>
      </c>
      <c r="G1299" s="55" t="s">
        <v>396</v>
      </c>
      <c r="H1299" s="57" t="s">
        <v>211</v>
      </c>
      <c r="I1299" s="58" t="n">
        <f aca="false">'P9-016'!$N$98</f>
        <v>46346</v>
      </c>
      <c r="J1299" s="58" t="n">
        <f aca="false">'P9-016'!$O$98</f>
        <v>46347</v>
      </c>
      <c r="K1299" s="56" t="str">
        <f aca="false">IF(OR(L1299="Y",LEFT('P9-016'!$T$98,1)="D"),"",IF(AND(ISNUMBER(J1299),J1299&lt;ASOF),"⚠ เลยกำหนด",IF(AND(ISNUMBER(I1299),I1299&lt;=ASOF+14,J1299&gt;=ASOF-7),"ช่วงนี้","")))</f>
        <v/>
      </c>
      <c r="L1299" s="59"/>
      <c r="M1299" s="60"/>
    </row>
    <row r="1300" customFormat="false" ht="15" hidden="false" customHeight="false" outlineLevel="0" collapsed="false">
      <c r="A1300" s="54" t="s">
        <v>102</v>
      </c>
      <c r="B1300" s="55" t="s">
        <v>494</v>
      </c>
      <c r="C1300" s="56" t="s">
        <v>495</v>
      </c>
      <c r="D1300" s="57" t="s">
        <v>104</v>
      </c>
      <c r="E1300" s="57" t="s">
        <v>397</v>
      </c>
      <c r="F1300" s="61" t="s">
        <v>398</v>
      </c>
      <c r="G1300" s="55" t="s">
        <v>399</v>
      </c>
      <c r="H1300" s="57" t="s">
        <v>211</v>
      </c>
      <c r="I1300" s="58" t="n">
        <f aca="false">'P9-016'!$N$99</f>
        <v>46347</v>
      </c>
      <c r="J1300" s="58" t="n">
        <f aca="false">'P9-016'!$O$99</f>
        <v>46347</v>
      </c>
      <c r="K1300" s="56" t="str">
        <f aca="false">IF(OR(L1300="Y",LEFT('P9-016'!$T$99,1)="D"),"",IF(AND(ISNUMBER(J1300),J1300&lt;ASOF),"⚠ เลยกำหนด",IF(AND(ISNUMBER(I1300),I1300&lt;=ASOF+14,J1300&gt;=ASOF-7),"ช่วงนี้","")))</f>
        <v/>
      </c>
      <c r="L1300" s="59"/>
      <c r="M1300" s="60"/>
    </row>
    <row r="1301" customFormat="false" ht="15" hidden="false" customHeight="false" outlineLevel="0" collapsed="false">
      <c r="A1301" s="54" t="s">
        <v>102</v>
      </c>
      <c r="B1301" s="55" t="s">
        <v>494</v>
      </c>
      <c r="C1301" s="56" t="s">
        <v>495</v>
      </c>
      <c r="D1301" s="57" t="s">
        <v>104</v>
      </c>
      <c r="E1301" s="57" t="s">
        <v>467</v>
      </c>
      <c r="F1301" s="61" t="s">
        <v>468</v>
      </c>
      <c r="G1301" s="61" t="s">
        <v>469</v>
      </c>
      <c r="H1301" s="57" t="s">
        <v>211</v>
      </c>
      <c r="I1301" s="58" t="n">
        <f aca="false">'P9-016'!$N$103</f>
        <v>46346</v>
      </c>
      <c r="J1301" s="58" t="n">
        <f aca="false">'P9-016'!$O$103</f>
        <v>46347</v>
      </c>
      <c r="K1301" s="56" t="str">
        <f aca="false">IF(OR(L1301="Y",LEFT('P9-016'!$T$103,1)="D"),"",IF(AND(ISNUMBER(J1301),J1301&lt;ASOF),"⚠ เลยกำหนด",IF(AND(ISNUMBER(I1301),I1301&lt;=ASOF+14,J1301&gt;=ASOF-7),"ช่วงนี้","")))</f>
        <v/>
      </c>
      <c r="L1301" s="59"/>
      <c r="M1301" s="60"/>
    </row>
    <row r="1302" customFormat="false" ht="15" hidden="false" customHeight="false" outlineLevel="0" collapsed="false">
      <c r="A1302" s="54" t="s">
        <v>102</v>
      </c>
      <c r="B1302" s="55" t="s">
        <v>494</v>
      </c>
      <c r="C1302" s="56" t="s">
        <v>495</v>
      </c>
      <c r="D1302" s="57" t="s">
        <v>104</v>
      </c>
      <c r="E1302" s="57" t="s">
        <v>403</v>
      </c>
      <c r="F1302" s="55" t="s">
        <v>404</v>
      </c>
      <c r="G1302" s="55" t="s">
        <v>405</v>
      </c>
      <c r="H1302" s="57" t="s">
        <v>211</v>
      </c>
      <c r="I1302" s="58" t="n">
        <f aca="false">'P9-016'!$N$104</f>
        <v>46347</v>
      </c>
      <c r="J1302" s="58" t="n">
        <f aca="false">'P9-016'!$O$104</f>
        <v>46348</v>
      </c>
      <c r="K1302" s="56" t="str">
        <f aca="false">IF(OR(L1302="Y",LEFT('P9-016'!$T$104,1)="D"),"",IF(AND(ISNUMBER(J1302),J1302&lt;ASOF),"⚠ เลยกำหนด",IF(AND(ISNUMBER(I1302),I1302&lt;=ASOF+14,J1302&gt;=ASOF-7),"ช่วงนี้","")))</f>
        <v/>
      </c>
      <c r="L1302" s="59"/>
      <c r="M1302" s="60"/>
    </row>
    <row r="1303" customFormat="false" ht="15" hidden="false" customHeight="false" outlineLevel="0" collapsed="false">
      <c r="A1303" s="54" t="s">
        <v>102</v>
      </c>
      <c r="B1303" s="55" t="s">
        <v>494</v>
      </c>
      <c r="C1303" s="56" t="s">
        <v>495</v>
      </c>
      <c r="D1303" s="57" t="s">
        <v>104</v>
      </c>
      <c r="E1303" s="57" t="s">
        <v>406</v>
      </c>
      <c r="F1303" s="55" t="s">
        <v>407</v>
      </c>
      <c r="G1303" s="55" t="s">
        <v>408</v>
      </c>
      <c r="H1303" s="57" t="s">
        <v>211</v>
      </c>
      <c r="I1303" s="58" t="n">
        <f aca="false">'P9-016'!$N$105</f>
        <v>46347</v>
      </c>
      <c r="J1303" s="58" t="n">
        <f aca="false">'P9-016'!$O$105</f>
        <v>46348</v>
      </c>
      <c r="K1303" s="56" t="str">
        <f aca="false">IF(OR(L1303="Y",LEFT('P9-016'!$T$105,1)="D"),"",IF(AND(ISNUMBER(J1303),J1303&lt;ASOF),"⚠ เลยกำหนด",IF(AND(ISNUMBER(I1303),I1303&lt;=ASOF+14,J1303&gt;=ASOF-7),"ช่วงนี้","")))</f>
        <v/>
      </c>
      <c r="L1303" s="59"/>
      <c r="M1303" s="60"/>
    </row>
    <row r="1304" customFormat="false" ht="15" hidden="false" customHeight="false" outlineLevel="0" collapsed="false">
      <c r="A1304" s="54" t="s">
        <v>102</v>
      </c>
      <c r="B1304" s="55" t="s">
        <v>494</v>
      </c>
      <c r="C1304" s="56" t="s">
        <v>495</v>
      </c>
      <c r="D1304" s="57" t="s">
        <v>104</v>
      </c>
      <c r="E1304" s="57" t="s">
        <v>409</v>
      </c>
      <c r="F1304" s="61" t="s">
        <v>410</v>
      </c>
      <c r="G1304" s="55" t="s">
        <v>411</v>
      </c>
      <c r="H1304" s="57" t="s">
        <v>211</v>
      </c>
      <c r="I1304" s="58" t="n">
        <f aca="false">'P9-016'!$N$106</f>
        <v>46348</v>
      </c>
      <c r="J1304" s="58" t="n">
        <f aca="false">'P9-016'!$O$106</f>
        <v>46348</v>
      </c>
      <c r="K1304" s="56" t="str">
        <f aca="false">IF(OR(L1304="Y",LEFT('P9-016'!$T$106,1)="D"),"",IF(AND(ISNUMBER(J1304),J1304&lt;ASOF),"⚠ เลยกำหนด",IF(AND(ISNUMBER(I1304),I1304&lt;=ASOF+14,J1304&gt;=ASOF-7),"ช่วงนี้","")))</f>
        <v/>
      </c>
      <c r="L1304" s="59"/>
      <c r="M1304" s="60"/>
    </row>
    <row r="1305" customFormat="false" ht="15" hidden="false" customHeight="false" outlineLevel="0" collapsed="false">
      <c r="A1305" s="54" t="s">
        <v>102</v>
      </c>
      <c r="B1305" s="55" t="s">
        <v>494</v>
      </c>
      <c r="C1305" s="56" t="s">
        <v>495</v>
      </c>
      <c r="D1305" s="57" t="s">
        <v>104</v>
      </c>
      <c r="E1305" s="57" t="s">
        <v>412</v>
      </c>
      <c r="F1305" s="61" t="s">
        <v>413</v>
      </c>
      <c r="G1305" s="61" t="s">
        <v>414</v>
      </c>
      <c r="H1305" s="57" t="s">
        <v>211</v>
      </c>
      <c r="I1305" s="58" t="n">
        <f aca="false">'P9-016'!$N$108</f>
        <v>46347</v>
      </c>
      <c r="J1305" s="58" t="n">
        <f aca="false">'P9-016'!$O$108</f>
        <v>46348</v>
      </c>
      <c r="K1305" s="56" t="str">
        <f aca="false">IF(OR(L1305="Y",LEFT('P9-016'!$T$108,1)="D"),"",IF(AND(ISNUMBER(J1305),J1305&lt;ASOF),"⚠ เลยกำหนด",IF(AND(ISNUMBER(I1305),I1305&lt;=ASOF+14,J1305&gt;=ASOF-7),"ช่วงนี้","")))</f>
        <v/>
      </c>
      <c r="L1305" s="59"/>
      <c r="M1305" s="60"/>
    </row>
    <row r="1306" customFormat="false" ht="15" hidden="false" customHeight="false" outlineLevel="0" collapsed="false">
      <c r="A1306" s="54" t="s">
        <v>102</v>
      </c>
      <c r="B1306" s="55" t="s">
        <v>494</v>
      </c>
      <c r="C1306" s="56" t="s">
        <v>495</v>
      </c>
      <c r="D1306" s="57" t="s">
        <v>104</v>
      </c>
      <c r="E1306" s="57" t="s">
        <v>415</v>
      </c>
      <c r="F1306" s="55" t="s">
        <v>416</v>
      </c>
      <c r="G1306" s="55" t="s">
        <v>417</v>
      </c>
      <c r="H1306" s="57" t="s">
        <v>211</v>
      </c>
      <c r="I1306" s="58" t="n">
        <f aca="false">'P9-016'!$N$109</f>
        <v>46348</v>
      </c>
      <c r="J1306" s="58" t="n">
        <f aca="false">'P9-016'!$O$109</f>
        <v>46348</v>
      </c>
      <c r="K1306" s="56" t="str">
        <f aca="false">IF(OR(L1306="Y",LEFT('P9-016'!$T$109,1)="D"),"",IF(AND(ISNUMBER(J1306),J1306&lt;ASOF),"⚠ เลยกำหนด",IF(AND(ISNUMBER(I1306),I1306&lt;=ASOF+14,J1306&gt;=ASOF-7),"ช่วงนี้","")))</f>
        <v/>
      </c>
      <c r="L1306" s="59"/>
      <c r="M1306" s="60"/>
    </row>
    <row r="1307" customFormat="false" ht="15" hidden="false" customHeight="false" outlineLevel="0" collapsed="false">
      <c r="A1307" s="54" t="s">
        <v>102</v>
      </c>
      <c r="B1307" s="55" t="s">
        <v>494</v>
      </c>
      <c r="C1307" s="56" t="s">
        <v>495</v>
      </c>
      <c r="D1307" s="57" t="s">
        <v>104</v>
      </c>
      <c r="E1307" s="57" t="s">
        <v>418</v>
      </c>
      <c r="F1307" s="61" t="s">
        <v>419</v>
      </c>
      <c r="G1307" s="55" t="s">
        <v>420</v>
      </c>
      <c r="H1307" s="57" t="s">
        <v>211</v>
      </c>
      <c r="I1307" s="58" t="n">
        <f aca="false">'P9-016'!$N$110</f>
        <v>46347</v>
      </c>
      <c r="J1307" s="58" t="n">
        <f aca="false">'P9-016'!$O$110</f>
        <v>46348</v>
      </c>
      <c r="K1307" s="56" t="str">
        <f aca="false">IF(OR(L1307="Y",LEFT('P9-016'!$T$110,1)="D"),"",IF(AND(ISNUMBER(J1307),J1307&lt;ASOF),"⚠ เลยกำหนด",IF(AND(ISNUMBER(I1307),I1307&lt;=ASOF+14,J1307&gt;=ASOF-7),"ช่วงนี้","")))</f>
        <v/>
      </c>
      <c r="L1307" s="59"/>
      <c r="M1307" s="60"/>
    </row>
    <row r="1308" customFormat="false" ht="15" hidden="false" customHeight="false" outlineLevel="0" collapsed="false">
      <c r="A1308" s="54" t="s">
        <v>102</v>
      </c>
      <c r="B1308" s="55" t="s">
        <v>494</v>
      </c>
      <c r="C1308" s="56" t="s">
        <v>495</v>
      </c>
      <c r="D1308" s="57" t="s">
        <v>104</v>
      </c>
      <c r="E1308" s="57" t="s">
        <v>421</v>
      </c>
      <c r="F1308" s="55" t="s">
        <v>422</v>
      </c>
      <c r="G1308" s="55" t="s">
        <v>423</v>
      </c>
      <c r="H1308" s="56" t="str">
        <f aca="false">IF(COUNTIFS(SITE_ST,"P9-016",SITE_TYPE,"?*")&gt;0,"ตามจุดติดตั้ง →","0/100")</f>
        <v>ตามจุดติดตั้ง →</v>
      </c>
      <c r="I1308" s="58" t="n">
        <f aca="false">'P9-016'!$N$112</f>
        <v>46349</v>
      </c>
      <c r="J1308" s="58" t="n">
        <f aca="false">'P9-016'!$O$112</f>
        <v>46349</v>
      </c>
      <c r="K1308" s="56" t="str">
        <f aca="false">IF(OR(L1308="Y",LEFT('P9-016'!$T$112,1)="D"),"",IF(AND(ISNUMBER(J1308),J1308&lt;ASOF),"⚠ เลยกำหนด",IF(AND(ISNUMBER(I1308),I1308&lt;=ASOF+14,J1308&gt;=ASOF-7),"ช่วงนี้","")))</f>
        <v/>
      </c>
      <c r="L1308" s="59"/>
      <c r="M1308" s="60"/>
    </row>
    <row r="1309" customFormat="false" ht="15" hidden="false" customHeight="false" outlineLevel="0" collapsed="false">
      <c r="A1309" s="54" t="s">
        <v>102</v>
      </c>
      <c r="B1309" s="55" t="s">
        <v>494</v>
      </c>
      <c r="C1309" s="56" t="s">
        <v>495</v>
      </c>
      <c r="D1309" s="57" t="s">
        <v>104</v>
      </c>
      <c r="E1309" s="57" t="s">
        <v>424</v>
      </c>
      <c r="F1309" s="55" t="s">
        <v>425</v>
      </c>
      <c r="G1309" s="55" t="s">
        <v>426</v>
      </c>
      <c r="H1309" s="56" t="str">
        <f aca="false">IF(COUNTIFS(SITE_ST,"P9-016",SITE_TYPE,"?*")&gt;0,"ตามจุดติดตั้ง →","0/100")</f>
        <v>ตามจุดติดตั้ง →</v>
      </c>
      <c r="I1309" s="58" t="n">
        <f aca="false">'P9-016'!$N$113</f>
        <v>46349</v>
      </c>
      <c r="J1309" s="58" t="n">
        <f aca="false">'P9-016'!$O$113</f>
        <v>46349</v>
      </c>
      <c r="K1309" s="56" t="str">
        <f aca="false">IF(OR(L1309="Y",LEFT('P9-016'!$T$113,1)="D"),"",IF(AND(ISNUMBER(J1309),J1309&lt;ASOF),"⚠ เลยกำหนด",IF(AND(ISNUMBER(I1309),I1309&lt;=ASOF+14,J1309&gt;=ASOF-7),"ช่วงนี้","")))</f>
        <v/>
      </c>
      <c r="L1309" s="59"/>
      <c r="M1309" s="60"/>
    </row>
    <row r="1310" customFormat="false" ht="15" hidden="false" customHeight="false" outlineLevel="0" collapsed="false">
      <c r="A1310" s="54" t="s">
        <v>102</v>
      </c>
      <c r="B1310" s="55" t="s">
        <v>494</v>
      </c>
      <c r="C1310" s="56" t="s">
        <v>495</v>
      </c>
      <c r="D1310" s="57" t="s">
        <v>104</v>
      </c>
      <c r="E1310" s="57" t="s">
        <v>427</v>
      </c>
      <c r="F1310" s="61" t="s">
        <v>428</v>
      </c>
      <c r="G1310" s="61" t="s">
        <v>429</v>
      </c>
      <c r="H1310" s="57" t="s">
        <v>211</v>
      </c>
      <c r="I1310" s="58" t="n">
        <f aca="false">'P9-016'!$N$116</f>
        <v>46359</v>
      </c>
      <c r="J1310" s="58" t="n">
        <f aca="false">'P9-016'!$O$116</f>
        <v>46359</v>
      </c>
      <c r="K1310" s="56" t="str">
        <f aca="false">IF(OR(L1310="Y",LEFT('P9-016'!$T$116,1)="D"),"",IF(AND(ISNUMBER(J1310),J1310&lt;ASOF),"⚠ เลยกำหนด",IF(AND(ISNUMBER(I1310),I1310&lt;=ASOF+14,J1310&gt;=ASOF-7),"ช่วงนี้","")))</f>
        <v/>
      </c>
      <c r="L1310" s="59"/>
      <c r="M1310" s="60"/>
    </row>
    <row r="1311" customFormat="false" ht="15" hidden="false" customHeight="false" outlineLevel="0" collapsed="false">
      <c r="A1311" s="54" t="s">
        <v>102</v>
      </c>
      <c r="B1311" s="55" t="s">
        <v>494</v>
      </c>
      <c r="C1311" s="56" t="s">
        <v>495</v>
      </c>
      <c r="D1311" s="57" t="s">
        <v>104</v>
      </c>
      <c r="E1311" s="57" t="s">
        <v>430</v>
      </c>
      <c r="F1311" s="55" t="s">
        <v>431</v>
      </c>
      <c r="G1311" s="55" t="s">
        <v>432</v>
      </c>
      <c r="H1311" s="57" t="s">
        <v>211</v>
      </c>
      <c r="I1311" s="58" t="n">
        <f aca="false">'P9-016'!$N$117</f>
        <v>46359</v>
      </c>
      <c r="J1311" s="58" t="n">
        <f aca="false">'P9-016'!$O$117</f>
        <v>46359</v>
      </c>
      <c r="K1311" s="56" t="str">
        <f aca="false">IF(OR(L1311="Y",LEFT('P9-016'!$T$117,1)="D"),"",IF(AND(ISNUMBER(J1311),J1311&lt;ASOF),"⚠ เลยกำหนด",IF(AND(ISNUMBER(I1311),I1311&lt;=ASOF+14,J1311&gt;=ASOF-7),"ช่วงนี้","")))</f>
        <v/>
      </c>
      <c r="L1311" s="59"/>
      <c r="M1311" s="60"/>
    </row>
    <row r="1312" customFormat="false" ht="15" hidden="false" customHeight="false" outlineLevel="0" collapsed="false">
      <c r="A1312" s="54" t="s">
        <v>102</v>
      </c>
      <c r="B1312" s="55" t="s">
        <v>494</v>
      </c>
      <c r="C1312" s="56" t="s">
        <v>495</v>
      </c>
      <c r="D1312" s="57" t="s">
        <v>104</v>
      </c>
      <c r="E1312" s="57" t="s">
        <v>433</v>
      </c>
      <c r="F1312" s="55" t="s">
        <v>434</v>
      </c>
      <c r="G1312" s="55" t="s">
        <v>435</v>
      </c>
      <c r="H1312" s="57" t="s">
        <v>211</v>
      </c>
      <c r="I1312" s="58" t="n">
        <f aca="false">'P9-016'!$N$118</f>
        <v>46359</v>
      </c>
      <c r="J1312" s="58" t="n">
        <f aca="false">'P9-016'!$O$118</f>
        <v>46359</v>
      </c>
      <c r="K1312" s="56" t="str">
        <f aca="false">IF(OR(L1312="Y",LEFT('P9-016'!$T$118,1)="D"),"",IF(AND(ISNUMBER(J1312),J1312&lt;ASOF),"⚠ เลยกำหนด",IF(AND(ISNUMBER(I1312),I1312&lt;=ASOF+14,J1312&gt;=ASOF-7),"ช่วงนี้","")))</f>
        <v/>
      </c>
      <c r="L1312" s="59"/>
      <c r="M1312" s="60"/>
    </row>
    <row r="1313" customFormat="false" ht="15" hidden="false" customHeight="false" outlineLevel="0" collapsed="false">
      <c r="A1313" s="54" t="s">
        <v>102</v>
      </c>
      <c r="B1313" s="55" t="s">
        <v>494</v>
      </c>
      <c r="C1313" s="56" t="s">
        <v>495</v>
      </c>
      <c r="D1313" s="57" t="s">
        <v>104</v>
      </c>
      <c r="E1313" s="57" t="s">
        <v>436</v>
      </c>
      <c r="F1313" s="55" t="s">
        <v>437</v>
      </c>
      <c r="G1313" s="55" t="s">
        <v>438</v>
      </c>
      <c r="H1313" s="57" t="s">
        <v>211</v>
      </c>
      <c r="I1313" s="58" t="n">
        <f aca="false">'P9-016'!$N$119</f>
        <v>46359</v>
      </c>
      <c r="J1313" s="58" t="n">
        <f aca="false">'P9-016'!$O$119</f>
        <v>46359</v>
      </c>
      <c r="K1313" s="56" t="str">
        <f aca="false">IF(OR(L1313="Y",LEFT('P9-016'!$T$119,1)="D"),"",IF(AND(ISNUMBER(J1313),J1313&lt;ASOF),"⚠ เลยกำหนด",IF(AND(ISNUMBER(I1313),I1313&lt;=ASOF+14,J1313&gt;=ASOF-7),"ช่วงนี้","")))</f>
        <v/>
      </c>
      <c r="L1313" s="59"/>
      <c r="M1313" s="60"/>
    </row>
    <row r="1314" customFormat="false" ht="15" hidden="false" customHeight="false" outlineLevel="0" collapsed="false">
      <c r="A1314" s="54" t="s">
        <v>102</v>
      </c>
      <c r="B1314" s="55" t="s">
        <v>494</v>
      </c>
      <c r="C1314" s="56" t="s">
        <v>495</v>
      </c>
      <c r="D1314" s="57" t="s">
        <v>104</v>
      </c>
      <c r="E1314" s="57" t="s">
        <v>439</v>
      </c>
      <c r="F1314" s="55" t="s">
        <v>440</v>
      </c>
      <c r="G1314" s="55" t="s">
        <v>441</v>
      </c>
      <c r="H1314" s="57" t="s">
        <v>211</v>
      </c>
      <c r="I1314" s="58" t="n">
        <f aca="false">'P9-016'!$N$120</f>
        <v>46359</v>
      </c>
      <c r="J1314" s="58" t="n">
        <f aca="false">'P9-016'!$O$120</f>
        <v>46359</v>
      </c>
      <c r="K1314" s="56" t="str">
        <f aca="false">IF(OR(L1314="Y",LEFT('P9-016'!$T$120,1)="D"),"",IF(AND(ISNUMBER(J1314),J1314&lt;ASOF),"⚠ เลยกำหนด",IF(AND(ISNUMBER(I1314),I1314&lt;=ASOF+14,J1314&gt;=ASOF-7),"ช่วงนี้","")))</f>
        <v/>
      </c>
      <c r="L1314" s="59"/>
      <c r="M1314" s="60"/>
    </row>
    <row r="1315" customFormat="false" ht="15" hidden="false" customHeight="false" outlineLevel="0" collapsed="false">
      <c r="A1315" s="54" t="s">
        <v>102</v>
      </c>
      <c r="B1315" s="55" t="s">
        <v>494</v>
      </c>
      <c r="C1315" s="56" t="s">
        <v>495</v>
      </c>
      <c r="D1315" s="57" t="s">
        <v>104</v>
      </c>
      <c r="E1315" s="57" t="s">
        <v>442</v>
      </c>
      <c r="F1315" s="55" t="s">
        <v>443</v>
      </c>
      <c r="G1315" s="55" t="s">
        <v>444</v>
      </c>
      <c r="H1315" s="57" t="s">
        <v>211</v>
      </c>
      <c r="I1315" s="58" t="n">
        <f aca="false">'P9-016'!$N$121</f>
        <v>46359</v>
      </c>
      <c r="J1315" s="58" t="n">
        <f aca="false">'P9-016'!$O$121</f>
        <v>46359</v>
      </c>
      <c r="K1315" s="56" t="str">
        <f aca="false">IF(OR(L1315="Y",LEFT('P9-016'!$T$121,1)="D"),"",IF(AND(ISNUMBER(J1315),J1315&lt;ASOF),"⚠ เลยกำหนด",IF(AND(ISNUMBER(I1315),I1315&lt;=ASOF+14,J1315&gt;=ASOF-7),"ช่วงนี้","")))</f>
        <v/>
      </c>
      <c r="L1315" s="59"/>
      <c r="M1315" s="60"/>
    </row>
    <row r="1316" customFormat="false" ht="15" hidden="false" customHeight="false" outlineLevel="0" collapsed="false">
      <c r="A1316" s="54" t="s">
        <v>102</v>
      </c>
      <c r="B1316" s="55" t="s">
        <v>494</v>
      </c>
      <c r="C1316" s="56" t="s">
        <v>495</v>
      </c>
      <c r="D1316" s="57" t="s">
        <v>104</v>
      </c>
      <c r="E1316" s="57" t="s">
        <v>445</v>
      </c>
      <c r="F1316" s="55" t="s">
        <v>446</v>
      </c>
      <c r="G1316" s="55" t="s">
        <v>447</v>
      </c>
      <c r="H1316" s="57" t="s">
        <v>211</v>
      </c>
      <c r="I1316" s="58" t="n">
        <f aca="false">'P9-016'!$N$125</f>
        <v>46437</v>
      </c>
      <c r="J1316" s="58" t="n">
        <f aca="false">'P9-016'!$O$125</f>
        <v>46441</v>
      </c>
      <c r="K1316" s="56" t="str">
        <f aca="false">IF(OR(L1316="Y",LEFT('P9-016'!$T$125,1)="D"),"",IF(AND(ISNUMBER(J1316),J1316&lt;ASOF),"⚠ เลยกำหนด",IF(AND(ISNUMBER(I1316),I1316&lt;=ASOF+14,J1316&gt;=ASOF-7),"ช่วงนี้","")))</f>
        <v/>
      </c>
      <c r="L1316" s="59"/>
      <c r="M1316" s="60"/>
    </row>
    <row r="1317" customFormat="false" ht="15" hidden="false" customHeight="false" outlineLevel="0" collapsed="false">
      <c r="A1317" s="54" t="s">
        <v>102</v>
      </c>
      <c r="B1317" s="55" t="s">
        <v>494</v>
      </c>
      <c r="C1317" s="56" t="s">
        <v>495</v>
      </c>
      <c r="D1317" s="57" t="s">
        <v>104</v>
      </c>
      <c r="E1317" s="57" t="s">
        <v>448</v>
      </c>
      <c r="F1317" s="55" t="s">
        <v>449</v>
      </c>
      <c r="G1317" s="61" t="s">
        <v>450</v>
      </c>
      <c r="H1317" s="57" t="s">
        <v>211</v>
      </c>
      <c r="I1317" s="58" t="n">
        <f aca="false">'P9-016'!$N$126</f>
        <v>46440</v>
      </c>
      <c r="J1317" s="58" t="n">
        <f aca="false">'P9-016'!$O$126</f>
        <v>46447</v>
      </c>
      <c r="K1317" s="56" t="str">
        <f aca="false">IF(OR(L1317="Y",LEFT('P9-016'!$T$126,1)="D"),"",IF(AND(ISNUMBER(J1317),J1317&lt;ASOF),"⚠ เลยกำหนด",IF(AND(ISNUMBER(I1317),I1317&lt;=ASOF+14,J1317&gt;=ASOF-7),"ช่วงนี้","")))</f>
        <v/>
      </c>
      <c r="L1317" s="59"/>
      <c r="M1317" s="60"/>
    </row>
    <row r="1318" customFormat="false" ht="15" hidden="false" customHeight="false" outlineLevel="0" collapsed="false">
      <c r="A1318" s="54" t="s">
        <v>102</v>
      </c>
      <c r="B1318" s="55" t="s">
        <v>494</v>
      </c>
      <c r="C1318" s="56" t="s">
        <v>495</v>
      </c>
      <c r="D1318" s="57" t="s">
        <v>104</v>
      </c>
      <c r="E1318" s="57" t="s">
        <v>451</v>
      </c>
      <c r="F1318" s="61" t="s">
        <v>452</v>
      </c>
      <c r="G1318" s="61" t="s">
        <v>453</v>
      </c>
      <c r="H1318" s="57" t="s">
        <v>211</v>
      </c>
      <c r="I1318" s="58" t="n">
        <f aca="false">'P9-016'!$N$127</f>
        <v>46447</v>
      </c>
      <c r="J1318" s="58" t="n">
        <f aca="false">'P9-016'!$O$127</f>
        <v>46450</v>
      </c>
      <c r="K1318" s="56" t="str">
        <f aca="false">IF(OR(L1318="Y",LEFT('P9-016'!$T$127,1)="D"),"",IF(AND(ISNUMBER(J1318),J1318&lt;ASOF),"⚠ เลยกำหนด",IF(AND(ISNUMBER(I1318),I1318&lt;=ASOF+14,J1318&gt;=ASOF-7),"ช่วงนี้","")))</f>
        <v/>
      </c>
      <c r="L1318" s="59"/>
      <c r="M1318" s="60"/>
    </row>
    <row r="1319" customFormat="false" ht="15" hidden="false" customHeight="false" outlineLevel="0" collapsed="false">
      <c r="A1319" s="54" t="s">
        <v>106</v>
      </c>
      <c r="B1319" s="55" t="s">
        <v>496</v>
      </c>
      <c r="C1319" s="56" t="s">
        <v>497</v>
      </c>
      <c r="D1319" s="57" t="s">
        <v>108</v>
      </c>
      <c r="E1319" s="57" t="s">
        <v>208</v>
      </c>
      <c r="F1319" s="55" t="s">
        <v>209</v>
      </c>
      <c r="G1319" s="55" t="s">
        <v>210</v>
      </c>
      <c r="H1319" s="57" t="s">
        <v>211</v>
      </c>
      <c r="I1319" s="58" t="n">
        <f aca="false">'P9-017'!$N$10</f>
        <v>46328</v>
      </c>
      <c r="J1319" s="58" t="n">
        <f aca="false">'P9-017'!$O$10</f>
        <v>46340</v>
      </c>
      <c r="K1319" s="56" t="str">
        <f aca="false">IF(OR(L1319="Y",LEFT('P9-017'!$T$10,1)="D"),"",IF(AND(ISNUMBER(J1319),J1319&lt;ASOF),"⚠ เลยกำหนด",IF(AND(ISNUMBER(I1319),I1319&lt;=ASOF+14,J1319&gt;=ASOF-7),"ช่วงนี้","")))</f>
        <v>ช่วงนี้</v>
      </c>
      <c r="L1319" s="59"/>
      <c r="M1319" s="60"/>
    </row>
    <row r="1320" customFormat="false" ht="15" hidden="false" customHeight="false" outlineLevel="0" collapsed="false">
      <c r="A1320" s="54" t="s">
        <v>106</v>
      </c>
      <c r="B1320" s="55" t="s">
        <v>496</v>
      </c>
      <c r="C1320" s="56" t="s">
        <v>497</v>
      </c>
      <c r="D1320" s="57" t="s">
        <v>108</v>
      </c>
      <c r="E1320" s="57" t="s">
        <v>212</v>
      </c>
      <c r="F1320" s="55" t="s">
        <v>213</v>
      </c>
      <c r="G1320" s="55" t="s">
        <v>214</v>
      </c>
      <c r="H1320" s="57" t="s">
        <v>211</v>
      </c>
      <c r="I1320" s="58" t="n">
        <f aca="false">'P9-017'!$N$11</f>
        <v>46328</v>
      </c>
      <c r="J1320" s="58" t="n">
        <f aca="false">'P9-017'!$O$11</f>
        <v>46340</v>
      </c>
      <c r="K1320" s="56" t="str">
        <f aca="false">IF(OR(L1320="Y",LEFT('P9-017'!$T$11,1)="D"),"",IF(AND(ISNUMBER(J1320),J1320&lt;ASOF),"⚠ เลยกำหนด",IF(AND(ISNUMBER(I1320),I1320&lt;=ASOF+14,J1320&gt;=ASOF-7),"ช่วงนี้","")))</f>
        <v>ช่วงนี้</v>
      </c>
      <c r="L1320" s="59"/>
      <c r="M1320" s="60"/>
    </row>
    <row r="1321" customFormat="false" ht="15" hidden="false" customHeight="false" outlineLevel="0" collapsed="false">
      <c r="A1321" s="54" t="s">
        <v>106</v>
      </c>
      <c r="B1321" s="55" t="s">
        <v>496</v>
      </c>
      <c r="C1321" s="56" t="s">
        <v>497</v>
      </c>
      <c r="D1321" s="57" t="s">
        <v>108</v>
      </c>
      <c r="E1321" s="57" t="s">
        <v>215</v>
      </c>
      <c r="F1321" s="55" t="s">
        <v>216</v>
      </c>
      <c r="G1321" s="61" t="s">
        <v>217</v>
      </c>
      <c r="H1321" s="57" t="s">
        <v>211</v>
      </c>
      <c r="I1321" s="58" t="n">
        <f aca="false">'P9-017'!$N$12</f>
        <v>46328</v>
      </c>
      <c r="J1321" s="58" t="n">
        <f aca="false">'P9-017'!$O$12</f>
        <v>46340</v>
      </c>
      <c r="K1321" s="56" t="str">
        <f aca="false">IF(OR(L1321="Y",LEFT('P9-017'!$T$12,1)="D"),"",IF(AND(ISNUMBER(J1321),J1321&lt;ASOF),"⚠ เลยกำหนด",IF(AND(ISNUMBER(I1321),I1321&lt;=ASOF+14,J1321&gt;=ASOF-7),"ช่วงนี้","")))</f>
        <v>ช่วงนี้</v>
      </c>
      <c r="L1321" s="59"/>
      <c r="M1321" s="60"/>
    </row>
    <row r="1322" customFormat="false" ht="15" hidden="false" customHeight="false" outlineLevel="0" collapsed="false">
      <c r="A1322" s="54" t="s">
        <v>106</v>
      </c>
      <c r="B1322" s="55" t="s">
        <v>496</v>
      </c>
      <c r="C1322" s="56" t="s">
        <v>497</v>
      </c>
      <c r="D1322" s="57" t="s">
        <v>108</v>
      </c>
      <c r="E1322" s="57" t="s">
        <v>218</v>
      </c>
      <c r="F1322" s="55" t="s">
        <v>219</v>
      </c>
      <c r="G1322" s="55" t="s">
        <v>220</v>
      </c>
      <c r="H1322" s="57" t="s">
        <v>211</v>
      </c>
      <c r="I1322" s="58" t="n">
        <f aca="false">'P9-017'!$N$13</f>
        <v>46328</v>
      </c>
      <c r="J1322" s="58" t="n">
        <f aca="false">'P9-017'!$O$13</f>
        <v>46346</v>
      </c>
      <c r="K1322" s="56" t="str">
        <f aca="false">IF(OR(L1322="Y",LEFT('P9-017'!$T$13,1)="D"),"",IF(AND(ISNUMBER(J1322),J1322&lt;ASOF),"⚠ เลยกำหนด",IF(AND(ISNUMBER(I1322),I1322&lt;=ASOF+14,J1322&gt;=ASOF-7),"ช่วงนี้","")))</f>
        <v>ช่วงนี้</v>
      </c>
      <c r="L1322" s="59"/>
      <c r="M1322" s="60"/>
    </row>
    <row r="1323" customFormat="false" ht="15" hidden="false" customHeight="false" outlineLevel="0" collapsed="false">
      <c r="A1323" s="54" t="s">
        <v>106</v>
      </c>
      <c r="B1323" s="55" t="s">
        <v>496</v>
      </c>
      <c r="C1323" s="56" t="s">
        <v>497</v>
      </c>
      <c r="D1323" s="57" t="s">
        <v>108</v>
      </c>
      <c r="E1323" s="57" t="s">
        <v>221</v>
      </c>
      <c r="F1323" s="55" t="s">
        <v>222</v>
      </c>
      <c r="G1323" s="55" t="s">
        <v>223</v>
      </c>
      <c r="H1323" s="57" t="s">
        <v>211</v>
      </c>
      <c r="I1323" s="58" t="n">
        <f aca="false">'P9-017'!$N$14</f>
        <v>46340</v>
      </c>
      <c r="J1323" s="58" t="n">
        <f aca="false">'P9-017'!$O$14</f>
        <v>46450</v>
      </c>
      <c r="K1323" s="56" t="str">
        <f aca="false">IF(OR(L1323="Y",LEFT('P9-017'!$T$14,1)="D"),"",IF(AND(ISNUMBER(J1323),J1323&lt;ASOF),"⚠ เลยกำหนด",IF(AND(ISNUMBER(I1323),I1323&lt;=ASOF+14,J1323&gt;=ASOF-7),"ช่วงนี้","")))</f>
        <v>ช่วงนี้</v>
      </c>
      <c r="L1323" s="59"/>
      <c r="M1323" s="60"/>
    </row>
    <row r="1324" customFormat="false" ht="15" hidden="false" customHeight="false" outlineLevel="0" collapsed="false">
      <c r="A1324" s="54" t="s">
        <v>106</v>
      </c>
      <c r="B1324" s="55" t="s">
        <v>496</v>
      </c>
      <c r="C1324" s="56" t="s">
        <v>497</v>
      </c>
      <c r="D1324" s="57" t="s">
        <v>108</v>
      </c>
      <c r="E1324" s="57" t="s">
        <v>224</v>
      </c>
      <c r="F1324" s="55" t="s">
        <v>225</v>
      </c>
      <c r="G1324" s="61" t="s">
        <v>226</v>
      </c>
      <c r="H1324" s="57" t="s">
        <v>211</v>
      </c>
      <c r="I1324" s="58" t="n">
        <f aca="false">'P9-017'!$N$15</f>
        <v>46340</v>
      </c>
      <c r="J1324" s="58" t="n">
        <f aca="false">'P9-017'!$O$15</f>
        <v>46450</v>
      </c>
      <c r="K1324" s="56" t="str">
        <f aca="false">IF(OR(L1324="Y",LEFT('P9-017'!$T$15,1)="D"),"",IF(AND(ISNUMBER(J1324),J1324&lt;ASOF),"⚠ เลยกำหนด",IF(AND(ISNUMBER(I1324),I1324&lt;=ASOF+14,J1324&gt;=ASOF-7),"ช่วงนี้","")))</f>
        <v>ช่วงนี้</v>
      </c>
      <c r="L1324" s="59"/>
      <c r="M1324" s="60"/>
    </row>
    <row r="1325" customFormat="false" ht="15" hidden="false" customHeight="false" outlineLevel="0" collapsed="false">
      <c r="A1325" s="54" t="s">
        <v>106</v>
      </c>
      <c r="B1325" s="55" t="s">
        <v>496</v>
      </c>
      <c r="C1325" s="56" t="s">
        <v>497</v>
      </c>
      <c r="D1325" s="57" t="s">
        <v>108</v>
      </c>
      <c r="E1325" s="57" t="s">
        <v>227</v>
      </c>
      <c r="F1325" s="55" t="s">
        <v>228</v>
      </c>
      <c r="G1325" s="55" t="s">
        <v>229</v>
      </c>
      <c r="H1325" s="57" t="s">
        <v>211</v>
      </c>
      <c r="I1325" s="58" t="n">
        <f aca="false">'P9-017'!$N$17</f>
        <v>46328</v>
      </c>
      <c r="J1325" s="58" t="n">
        <f aca="false">'P9-017'!$O$17</f>
        <v>46328</v>
      </c>
      <c r="K1325" s="56" t="str">
        <f aca="false">IF(OR(L1325="Y",LEFT('P9-017'!$T$17,1)="D"),"",IF(AND(ISNUMBER(J1325),J1325&lt;ASOF),"⚠ เลยกำหนด",IF(AND(ISNUMBER(I1325),I1325&lt;=ASOF+14,J1325&gt;=ASOF-7),"ช่วงนี้","")))</f>
        <v>ช่วงนี้</v>
      </c>
      <c r="L1325" s="59"/>
      <c r="M1325" s="60"/>
    </row>
    <row r="1326" customFormat="false" ht="15" hidden="false" customHeight="false" outlineLevel="0" collapsed="false">
      <c r="A1326" s="54" t="s">
        <v>106</v>
      </c>
      <c r="B1326" s="55" t="s">
        <v>496</v>
      </c>
      <c r="C1326" s="56" t="s">
        <v>497</v>
      </c>
      <c r="D1326" s="57" t="s">
        <v>108</v>
      </c>
      <c r="E1326" s="57" t="s">
        <v>230</v>
      </c>
      <c r="F1326" s="55" t="s">
        <v>231</v>
      </c>
      <c r="G1326" s="55" t="s">
        <v>232</v>
      </c>
      <c r="H1326" s="57" t="s">
        <v>211</v>
      </c>
      <c r="I1326" s="58" t="n">
        <f aca="false">'P9-017'!$N$18</f>
        <v>46328</v>
      </c>
      <c r="J1326" s="58" t="n">
        <f aca="false">'P9-017'!$O$18</f>
        <v>46328</v>
      </c>
      <c r="K1326" s="56" t="str">
        <f aca="false">IF(OR(L1326="Y",LEFT('P9-017'!$T$18,1)="D"),"",IF(AND(ISNUMBER(J1326),J1326&lt;ASOF),"⚠ เลยกำหนด",IF(AND(ISNUMBER(I1326),I1326&lt;=ASOF+14,J1326&gt;=ASOF-7),"ช่วงนี้","")))</f>
        <v>ช่วงนี้</v>
      </c>
      <c r="L1326" s="59"/>
      <c r="M1326" s="60"/>
    </row>
    <row r="1327" customFormat="false" ht="15" hidden="false" customHeight="false" outlineLevel="0" collapsed="false">
      <c r="A1327" s="54" t="s">
        <v>106</v>
      </c>
      <c r="B1327" s="55" t="s">
        <v>496</v>
      </c>
      <c r="C1327" s="56" t="s">
        <v>497</v>
      </c>
      <c r="D1327" s="57" t="s">
        <v>108</v>
      </c>
      <c r="E1327" s="57" t="s">
        <v>233</v>
      </c>
      <c r="F1327" s="55" t="s">
        <v>234</v>
      </c>
      <c r="G1327" s="55" t="s">
        <v>235</v>
      </c>
      <c r="H1327" s="57" t="s">
        <v>211</v>
      </c>
      <c r="I1327" s="58" t="n">
        <f aca="false">'P9-017'!$N$19</f>
        <v>46328</v>
      </c>
      <c r="J1327" s="58" t="n">
        <f aca="false">'P9-017'!$O$19</f>
        <v>46328</v>
      </c>
      <c r="K1327" s="56" t="str">
        <f aca="false">IF(OR(L1327="Y",LEFT('P9-017'!$T$19,1)="D"),"",IF(AND(ISNUMBER(J1327),J1327&lt;ASOF),"⚠ เลยกำหนด",IF(AND(ISNUMBER(I1327),I1327&lt;=ASOF+14,J1327&gt;=ASOF-7),"ช่วงนี้","")))</f>
        <v>ช่วงนี้</v>
      </c>
      <c r="L1327" s="59"/>
      <c r="M1327" s="60"/>
    </row>
    <row r="1328" customFormat="false" ht="15" hidden="false" customHeight="false" outlineLevel="0" collapsed="false">
      <c r="A1328" s="54" t="s">
        <v>106</v>
      </c>
      <c r="B1328" s="55" t="s">
        <v>496</v>
      </c>
      <c r="C1328" s="56" t="s">
        <v>497</v>
      </c>
      <c r="D1328" s="57" t="s">
        <v>108</v>
      </c>
      <c r="E1328" s="57" t="s">
        <v>236</v>
      </c>
      <c r="F1328" s="55" t="s">
        <v>237</v>
      </c>
      <c r="G1328" s="55" t="s">
        <v>238</v>
      </c>
      <c r="H1328" s="57" t="s">
        <v>211</v>
      </c>
      <c r="I1328" s="58" t="n">
        <f aca="false">'P9-017'!$N$20</f>
        <v>46328</v>
      </c>
      <c r="J1328" s="58" t="n">
        <f aca="false">'P9-017'!$O$20</f>
        <v>46328</v>
      </c>
      <c r="K1328" s="56" t="str">
        <f aca="false">IF(OR(L1328="Y",LEFT('P9-017'!$T$20,1)="D"),"",IF(AND(ISNUMBER(J1328),J1328&lt;ASOF),"⚠ เลยกำหนด",IF(AND(ISNUMBER(I1328),I1328&lt;=ASOF+14,J1328&gt;=ASOF-7),"ช่วงนี้","")))</f>
        <v>ช่วงนี้</v>
      </c>
      <c r="L1328" s="59"/>
      <c r="M1328" s="60"/>
    </row>
    <row r="1329" customFormat="false" ht="15" hidden="false" customHeight="false" outlineLevel="0" collapsed="false">
      <c r="A1329" s="54" t="s">
        <v>106</v>
      </c>
      <c r="B1329" s="55" t="s">
        <v>496</v>
      </c>
      <c r="C1329" s="56" t="s">
        <v>497</v>
      </c>
      <c r="D1329" s="57" t="s">
        <v>108</v>
      </c>
      <c r="E1329" s="57" t="s">
        <v>239</v>
      </c>
      <c r="F1329" s="55" t="s">
        <v>240</v>
      </c>
      <c r="G1329" s="55" t="s">
        <v>241</v>
      </c>
      <c r="H1329" s="57" t="s">
        <v>211</v>
      </c>
      <c r="I1329" s="58" t="n">
        <f aca="false">'P9-017'!$N$21</f>
        <v>46328</v>
      </c>
      <c r="J1329" s="58" t="n">
        <f aca="false">'P9-017'!$O$21</f>
        <v>46328</v>
      </c>
      <c r="K1329" s="56" t="str">
        <f aca="false">IF(OR(L1329="Y",LEFT('P9-017'!$T$21,1)="D"),"",IF(AND(ISNUMBER(J1329),J1329&lt;ASOF),"⚠ เลยกำหนด",IF(AND(ISNUMBER(I1329),I1329&lt;=ASOF+14,J1329&gt;=ASOF-7),"ช่วงนี้","")))</f>
        <v>ช่วงนี้</v>
      </c>
      <c r="L1329" s="59"/>
      <c r="M1329" s="60"/>
    </row>
    <row r="1330" customFormat="false" ht="15" hidden="false" customHeight="false" outlineLevel="0" collapsed="false">
      <c r="A1330" s="54" t="s">
        <v>106</v>
      </c>
      <c r="B1330" s="55" t="s">
        <v>496</v>
      </c>
      <c r="C1330" s="56" t="s">
        <v>497</v>
      </c>
      <c r="D1330" s="57" t="s">
        <v>108</v>
      </c>
      <c r="E1330" s="57" t="s">
        <v>242</v>
      </c>
      <c r="F1330" s="55" t="s">
        <v>243</v>
      </c>
      <c r="G1330" s="55" t="s">
        <v>244</v>
      </c>
      <c r="H1330" s="57" t="s">
        <v>211</v>
      </c>
      <c r="I1330" s="58" t="n">
        <f aca="false">'P9-017'!$N$22</f>
        <v>46328</v>
      </c>
      <c r="J1330" s="58" t="n">
        <f aca="false">'P9-017'!$O$22</f>
        <v>46328</v>
      </c>
      <c r="K1330" s="56" t="str">
        <f aca="false">IF(OR(L1330="Y",LEFT('P9-017'!$T$22,1)="D"),"",IF(AND(ISNUMBER(J1330),J1330&lt;ASOF),"⚠ เลยกำหนด",IF(AND(ISNUMBER(I1330),I1330&lt;=ASOF+14,J1330&gt;=ASOF-7),"ช่วงนี้","")))</f>
        <v>ช่วงนี้</v>
      </c>
      <c r="L1330" s="59"/>
      <c r="M1330" s="60"/>
    </row>
    <row r="1331" customFormat="false" ht="15" hidden="false" customHeight="false" outlineLevel="0" collapsed="false">
      <c r="A1331" s="54" t="s">
        <v>106</v>
      </c>
      <c r="B1331" s="55" t="s">
        <v>496</v>
      </c>
      <c r="C1331" s="56" t="s">
        <v>497</v>
      </c>
      <c r="D1331" s="57" t="s">
        <v>108</v>
      </c>
      <c r="E1331" s="57" t="s">
        <v>245</v>
      </c>
      <c r="F1331" s="55" t="s">
        <v>246</v>
      </c>
      <c r="G1331" s="55" t="s">
        <v>247</v>
      </c>
      <c r="H1331" s="57" t="s">
        <v>211</v>
      </c>
      <c r="I1331" s="58" t="n">
        <f aca="false">'P9-017'!$N$23</f>
        <v>46328</v>
      </c>
      <c r="J1331" s="58" t="n">
        <f aca="false">'P9-017'!$O$23</f>
        <v>46328</v>
      </c>
      <c r="K1331" s="56" t="str">
        <f aca="false">IF(OR(L1331="Y",LEFT('P9-017'!$T$23,1)="D"),"",IF(AND(ISNUMBER(J1331),J1331&lt;ASOF),"⚠ เลยกำหนด",IF(AND(ISNUMBER(I1331),I1331&lt;=ASOF+14,J1331&gt;=ASOF-7),"ช่วงนี้","")))</f>
        <v>ช่วงนี้</v>
      </c>
      <c r="L1331" s="59"/>
      <c r="M1331" s="60"/>
    </row>
    <row r="1332" customFormat="false" ht="15" hidden="false" customHeight="false" outlineLevel="0" collapsed="false">
      <c r="A1332" s="54" t="s">
        <v>106</v>
      </c>
      <c r="B1332" s="55" t="s">
        <v>496</v>
      </c>
      <c r="C1332" s="56" t="s">
        <v>497</v>
      </c>
      <c r="D1332" s="57" t="s">
        <v>108</v>
      </c>
      <c r="E1332" s="57" t="s">
        <v>248</v>
      </c>
      <c r="F1332" s="55" t="s">
        <v>249</v>
      </c>
      <c r="G1332" s="55" t="s">
        <v>250</v>
      </c>
      <c r="H1332" s="57" t="s">
        <v>211</v>
      </c>
      <c r="I1332" s="58" t="n">
        <f aca="false">'P9-017'!$N$24</f>
        <v>46328</v>
      </c>
      <c r="J1332" s="58" t="n">
        <f aca="false">'P9-017'!$O$24</f>
        <v>46328</v>
      </c>
      <c r="K1332" s="56" t="str">
        <f aca="false">IF(OR(L1332="Y",LEFT('P9-017'!$T$24,1)="D"),"",IF(AND(ISNUMBER(J1332),J1332&lt;ASOF),"⚠ เลยกำหนด",IF(AND(ISNUMBER(I1332),I1332&lt;=ASOF+14,J1332&gt;=ASOF-7),"ช่วงนี้","")))</f>
        <v>ช่วงนี้</v>
      </c>
      <c r="L1332" s="59"/>
      <c r="M1332" s="60"/>
    </row>
    <row r="1333" customFormat="false" ht="15" hidden="false" customHeight="false" outlineLevel="0" collapsed="false">
      <c r="A1333" s="54" t="s">
        <v>106</v>
      </c>
      <c r="B1333" s="55" t="s">
        <v>496</v>
      </c>
      <c r="C1333" s="56" t="s">
        <v>497</v>
      </c>
      <c r="D1333" s="57" t="s">
        <v>108</v>
      </c>
      <c r="E1333" s="57" t="s">
        <v>251</v>
      </c>
      <c r="F1333" s="55" t="s">
        <v>252</v>
      </c>
      <c r="G1333" s="55" t="s">
        <v>253</v>
      </c>
      <c r="H1333" s="57" t="s">
        <v>211</v>
      </c>
      <c r="I1333" s="58" t="n">
        <f aca="false">'P9-017'!$N$26</f>
        <v>46329</v>
      </c>
      <c r="J1333" s="58" t="n">
        <f aca="false">'P9-017'!$O$26</f>
        <v>46329</v>
      </c>
      <c r="K1333" s="56" t="str">
        <f aca="false">IF(OR(L1333="Y",LEFT('P9-017'!$T$26,1)="D"),"",IF(AND(ISNUMBER(J1333),J1333&lt;ASOF),"⚠ เลยกำหนด",IF(AND(ISNUMBER(I1333),I1333&lt;=ASOF+14,J1333&gt;=ASOF-7),"ช่วงนี้","")))</f>
        <v>ช่วงนี้</v>
      </c>
      <c r="L1333" s="59"/>
      <c r="M1333" s="60"/>
    </row>
    <row r="1334" customFormat="false" ht="15" hidden="false" customHeight="false" outlineLevel="0" collapsed="false">
      <c r="A1334" s="54" t="s">
        <v>106</v>
      </c>
      <c r="B1334" s="55" t="s">
        <v>496</v>
      </c>
      <c r="C1334" s="56" t="s">
        <v>497</v>
      </c>
      <c r="D1334" s="57" t="s">
        <v>108</v>
      </c>
      <c r="E1334" s="57" t="s">
        <v>254</v>
      </c>
      <c r="F1334" s="55" t="s">
        <v>255</v>
      </c>
      <c r="G1334" s="55" t="s">
        <v>256</v>
      </c>
      <c r="H1334" s="57" t="s">
        <v>211</v>
      </c>
      <c r="I1334" s="58" t="n">
        <f aca="false">'P9-017'!$N$27</f>
        <v>46329</v>
      </c>
      <c r="J1334" s="58" t="n">
        <f aca="false">'P9-017'!$O$27</f>
        <v>46329</v>
      </c>
      <c r="K1334" s="56" t="str">
        <f aca="false">IF(OR(L1334="Y",LEFT('P9-017'!$T$27,1)="D"),"",IF(AND(ISNUMBER(J1334),J1334&lt;ASOF),"⚠ เลยกำหนด",IF(AND(ISNUMBER(I1334),I1334&lt;=ASOF+14,J1334&gt;=ASOF-7),"ช่วงนี้","")))</f>
        <v>ช่วงนี้</v>
      </c>
      <c r="L1334" s="59"/>
      <c r="M1334" s="60"/>
    </row>
    <row r="1335" customFormat="false" ht="15" hidden="false" customHeight="false" outlineLevel="0" collapsed="false">
      <c r="A1335" s="54" t="s">
        <v>106</v>
      </c>
      <c r="B1335" s="55" t="s">
        <v>496</v>
      </c>
      <c r="C1335" s="56" t="s">
        <v>497</v>
      </c>
      <c r="D1335" s="57" t="s">
        <v>108</v>
      </c>
      <c r="E1335" s="57" t="s">
        <v>257</v>
      </c>
      <c r="F1335" s="55" t="s">
        <v>258</v>
      </c>
      <c r="G1335" s="55" t="s">
        <v>259</v>
      </c>
      <c r="H1335" s="57" t="s">
        <v>211</v>
      </c>
      <c r="I1335" s="58" t="n">
        <f aca="false">'P9-017'!$N$28</f>
        <v>46329</v>
      </c>
      <c r="J1335" s="58" t="n">
        <f aca="false">'P9-017'!$O$28</f>
        <v>46329</v>
      </c>
      <c r="K1335" s="56" t="str">
        <f aca="false">IF(OR(L1335="Y",LEFT('P9-017'!$T$28,1)="D"),"",IF(AND(ISNUMBER(J1335),J1335&lt;ASOF),"⚠ เลยกำหนด",IF(AND(ISNUMBER(I1335),I1335&lt;=ASOF+14,J1335&gt;=ASOF-7),"ช่วงนี้","")))</f>
        <v>ช่วงนี้</v>
      </c>
      <c r="L1335" s="59"/>
      <c r="M1335" s="60"/>
    </row>
    <row r="1336" customFormat="false" ht="15" hidden="false" customHeight="false" outlineLevel="0" collapsed="false">
      <c r="A1336" s="54" t="s">
        <v>106</v>
      </c>
      <c r="B1336" s="55" t="s">
        <v>496</v>
      </c>
      <c r="C1336" s="56" t="s">
        <v>497</v>
      </c>
      <c r="D1336" s="57" t="s">
        <v>108</v>
      </c>
      <c r="E1336" s="57" t="s">
        <v>260</v>
      </c>
      <c r="F1336" s="55" t="s">
        <v>261</v>
      </c>
      <c r="G1336" s="55" t="s">
        <v>262</v>
      </c>
      <c r="H1336" s="57" t="s">
        <v>211</v>
      </c>
      <c r="I1336" s="58" t="n">
        <f aca="false">'P9-017'!$N$31</f>
        <v>46328</v>
      </c>
      <c r="J1336" s="58" t="n">
        <f aca="false">'P9-017'!$O$31</f>
        <v>46328</v>
      </c>
      <c r="K1336" s="56" t="str">
        <f aca="false">IF(OR(L1336="Y",LEFT('P9-017'!$T$31,1)="D"),"",IF(AND(ISNUMBER(J1336),J1336&lt;ASOF),"⚠ เลยกำหนด",IF(AND(ISNUMBER(I1336),I1336&lt;=ASOF+14,J1336&gt;=ASOF-7),"ช่วงนี้","")))</f>
        <v>ช่วงนี้</v>
      </c>
      <c r="L1336" s="59"/>
      <c r="M1336" s="60"/>
    </row>
    <row r="1337" customFormat="false" ht="15" hidden="false" customHeight="false" outlineLevel="0" collapsed="false">
      <c r="A1337" s="54" t="s">
        <v>106</v>
      </c>
      <c r="B1337" s="55" t="s">
        <v>496</v>
      </c>
      <c r="C1337" s="56" t="s">
        <v>497</v>
      </c>
      <c r="D1337" s="57" t="s">
        <v>108</v>
      </c>
      <c r="E1337" s="57" t="s">
        <v>263</v>
      </c>
      <c r="F1337" s="55" t="s">
        <v>264</v>
      </c>
      <c r="G1337" s="55" t="s">
        <v>265</v>
      </c>
      <c r="H1337" s="57" t="s">
        <v>211</v>
      </c>
      <c r="I1337" s="58" t="n">
        <f aca="false">'P9-017'!$N$32</f>
        <v>46328</v>
      </c>
      <c r="J1337" s="58" t="n">
        <f aca="false">'P9-017'!$O$32</f>
        <v>46328</v>
      </c>
      <c r="K1337" s="56" t="str">
        <f aca="false">IF(OR(L1337="Y",LEFT('P9-017'!$T$32,1)="D"),"",IF(AND(ISNUMBER(J1337),J1337&lt;ASOF),"⚠ เลยกำหนด",IF(AND(ISNUMBER(I1337),I1337&lt;=ASOF+14,J1337&gt;=ASOF-7),"ช่วงนี้","")))</f>
        <v>ช่วงนี้</v>
      </c>
      <c r="L1337" s="59"/>
      <c r="M1337" s="60"/>
    </row>
    <row r="1338" customFormat="false" ht="15" hidden="false" customHeight="false" outlineLevel="0" collapsed="false">
      <c r="A1338" s="54" t="s">
        <v>106</v>
      </c>
      <c r="B1338" s="55" t="s">
        <v>496</v>
      </c>
      <c r="C1338" s="56" t="s">
        <v>497</v>
      </c>
      <c r="D1338" s="57" t="s">
        <v>108</v>
      </c>
      <c r="E1338" s="57" t="s">
        <v>266</v>
      </c>
      <c r="F1338" s="55" t="s">
        <v>267</v>
      </c>
      <c r="G1338" s="55" t="s">
        <v>268</v>
      </c>
      <c r="H1338" s="57" t="s">
        <v>211</v>
      </c>
      <c r="I1338" s="58" t="n">
        <f aca="false">'P9-017'!$N$33</f>
        <v>46328</v>
      </c>
      <c r="J1338" s="58" t="n">
        <f aca="false">'P9-017'!$O$33</f>
        <v>46328</v>
      </c>
      <c r="K1338" s="56" t="str">
        <f aca="false">IF(OR(L1338="Y",LEFT('P9-017'!$T$33,1)="D"),"",IF(AND(ISNUMBER(J1338),J1338&lt;ASOF),"⚠ เลยกำหนด",IF(AND(ISNUMBER(I1338),I1338&lt;=ASOF+14,J1338&gt;=ASOF-7),"ช่วงนี้","")))</f>
        <v>ช่วงนี้</v>
      </c>
      <c r="L1338" s="59"/>
      <c r="M1338" s="60"/>
    </row>
    <row r="1339" customFormat="false" ht="15" hidden="false" customHeight="false" outlineLevel="0" collapsed="false">
      <c r="A1339" s="54" t="s">
        <v>106</v>
      </c>
      <c r="B1339" s="55" t="s">
        <v>496</v>
      </c>
      <c r="C1339" s="56" t="s">
        <v>497</v>
      </c>
      <c r="D1339" s="57" t="s">
        <v>108</v>
      </c>
      <c r="E1339" s="57" t="s">
        <v>269</v>
      </c>
      <c r="F1339" s="61" t="s">
        <v>270</v>
      </c>
      <c r="G1339" s="61" t="s">
        <v>271</v>
      </c>
      <c r="H1339" s="57" t="s">
        <v>211</v>
      </c>
      <c r="I1339" s="58" t="n">
        <f aca="false">'P9-017'!$N$35</f>
        <v>46328</v>
      </c>
      <c r="J1339" s="58" t="n">
        <f aca="false">'P9-017'!$O$35</f>
        <v>46328</v>
      </c>
      <c r="K1339" s="56" t="str">
        <f aca="false">IF(OR(L1339="Y",LEFT('P9-017'!$T$35,1)="D"),"",IF(AND(ISNUMBER(J1339),J1339&lt;ASOF),"⚠ เลยกำหนด",IF(AND(ISNUMBER(I1339),I1339&lt;=ASOF+14,J1339&gt;=ASOF-7),"ช่วงนี้","")))</f>
        <v>ช่วงนี้</v>
      </c>
      <c r="L1339" s="59"/>
      <c r="M1339" s="60"/>
    </row>
    <row r="1340" customFormat="false" ht="15" hidden="false" customHeight="false" outlineLevel="0" collapsed="false">
      <c r="A1340" s="54" t="s">
        <v>106</v>
      </c>
      <c r="B1340" s="55" t="s">
        <v>496</v>
      </c>
      <c r="C1340" s="56" t="s">
        <v>497</v>
      </c>
      <c r="D1340" s="57" t="s">
        <v>108</v>
      </c>
      <c r="E1340" s="57" t="s">
        <v>272</v>
      </c>
      <c r="F1340" s="55" t="s">
        <v>273</v>
      </c>
      <c r="G1340" s="55" t="s">
        <v>274</v>
      </c>
      <c r="H1340" s="57" t="s">
        <v>211</v>
      </c>
      <c r="I1340" s="58" t="n">
        <f aca="false">'P9-017'!$N$36</f>
        <v>46328</v>
      </c>
      <c r="J1340" s="58" t="n">
        <f aca="false">'P9-017'!$O$36</f>
        <v>46328</v>
      </c>
      <c r="K1340" s="56" t="str">
        <f aca="false">IF(OR(L1340="Y",LEFT('P9-017'!$T$36,1)="D"),"",IF(AND(ISNUMBER(J1340),J1340&lt;ASOF),"⚠ เลยกำหนด",IF(AND(ISNUMBER(I1340),I1340&lt;=ASOF+14,J1340&gt;=ASOF-7),"ช่วงนี้","")))</f>
        <v>ช่วงนี้</v>
      </c>
      <c r="L1340" s="59"/>
      <c r="M1340" s="60"/>
    </row>
    <row r="1341" customFormat="false" ht="15" hidden="false" customHeight="false" outlineLevel="0" collapsed="false">
      <c r="A1341" s="54" t="s">
        <v>106</v>
      </c>
      <c r="B1341" s="55" t="s">
        <v>496</v>
      </c>
      <c r="C1341" s="56" t="s">
        <v>497</v>
      </c>
      <c r="D1341" s="57" t="s">
        <v>108</v>
      </c>
      <c r="E1341" s="57" t="s">
        <v>275</v>
      </c>
      <c r="F1341" s="55" t="s">
        <v>276</v>
      </c>
      <c r="G1341" s="55" t="s">
        <v>277</v>
      </c>
      <c r="H1341" s="57" t="s">
        <v>211</v>
      </c>
      <c r="I1341" s="58" t="n">
        <f aca="false">'P9-017'!$N$37</f>
        <v>46328</v>
      </c>
      <c r="J1341" s="58" t="n">
        <f aca="false">'P9-017'!$O$37</f>
        <v>46328</v>
      </c>
      <c r="K1341" s="56" t="str">
        <f aca="false">IF(OR(L1341="Y",LEFT('P9-017'!$T$37,1)="D"),"",IF(AND(ISNUMBER(J1341),J1341&lt;ASOF),"⚠ เลยกำหนด",IF(AND(ISNUMBER(I1341),I1341&lt;=ASOF+14,J1341&gt;=ASOF-7),"ช่วงนี้","")))</f>
        <v>ช่วงนี้</v>
      </c>
      <c r="L1341" s="59"/>
      <c r="M1341" s="60"/>
    </row>
    <row r="1342" customFormat="false" ht="15" hidden="false" customHeight="false" outlineLevel="0" collapsed="false">
      <c r="A1342" s="54" t="s">
        <v>106</v>
      </c>
      <c r="B1342" s="55" t="s">
        <v>496</v>
      </c>
      <c r="C1342" s="56" t="s">
        <v>497</v>
      </c>
      <c r="D1342" s="57" t="s">
        <v>108</v>
      </c>
      <c r="E1342" s="57" t="s">
        <v>278</v>
      </c>
      <c r="F1342" s="55" t="s">
        <v>279</v>
      </c>
      <c r="G1342" s="55" t="s">
        <v>280</v>
      </c>
      <c r="H1342" s="57" t="s">
        <v>211</v>
      </c>
      <c r="I1342" s="58" t="n">
        <f aca="false">'P9-017'!$N$38</f>
        <v>46328</v>
      </c>
      <c r="J1342" s="58" t="n">
        <f aca="false">'P9-017'!$O$38</f>
        <v>46328</v>
      </c>
      <c r="K1342" s="56" t="str">
        <f aca="false">IF(OR(L1342="Y",LEFT('P9-017'!$T$38,1)="D"),"",IF(AND(ISNUMBER(J1342),J1342&lt;ASOF),"⚠ เลยกำหนด",IF(AND(ISNUMBER(I1342),I1342&lt;=ASOF+14,J1342&gt;=ASOF-7),"ช่วงนี้","")))</f>
        <v>ช่วงนี้</v>
      </c>
      <c r="L1342" s="59"/>
      <c r="M1342" s="60"/>
    </row>
    <row r="1343" customFormat="false" ht="15" hidden="false" customHeight="false" outlineLevel="0" collapsed="false">
      <c r="A1343" s="54" t="s">
        <v>106</v>
      </c>
      <c r="B1343" s="55" t="s">
        <v>496</v>
      </c>
      <c r="C1343" s="56" t="s">
        <v>497</v>
      </c>
      <c r="D1343" s="57" t="s">
        <v>108</v>
      </c>
      <c r="E1343" s="57" t="s">
        <v>281</v>
      </c>
      <c r="F1343" s="55" t="s">
        <v>282</v>
      </c>
      <c r="G1343" s="55" t="s">
        <v>283</v>
      </c>
      <c r="H1343" s="57" t="s">
        <v>211</v>
      </c>
      <c r="I1343" s="58" t="n">
        <f aca="false">'P9-017'!$N$40</f>
        <v>46328</v>
      </c>
      <c r="J1343" s="58" t="n">
        <f aca="false">'P9-017'!$O$40</f>
        <v>46328</v>
      </c>
      <c r="K1343" s="56" t="str">
        <f aca="false">IF(OR(L1343="Y",LEFT('P9-017'!$T$40,1)="D"),"",IF(AND(ISNUMBER(J1343),J1343&lt;ASOF),"⚠ เลยกำหนด",IF(AND(ISNUMBER(I1343),I1343&lt;=ASOF+14,J1343&gt;=ASOF-7),"ช่วงนี้","")))</f>
        <v>ช่วงนี้</v>
      </c>
      <c r="L1343" s="59"/>
      <c r="M1343" s="60"/>
    </row>
    <row r="1344" customFormat="false" ht="15" hidden="false" customHeight="false" outlineLevel="0" collapsed="false">
      <c r="A1344" s="54" t="s">
        <v>106</v>
      </c>
      <c r="B1344" s="55" t="s">
        <v>496</v>
      </c>
      <c r="C1344" s="56" t="s">
        <v>497</v>
      </c>
      <c r="D1344" s="57" t="s">
        <v>108</v>
      </c>
      <c r="E1344" s="57" t="s">
        <v>284</v>
      </c>
      <c r="F1344" s="55" t="s">
        <v>285</v>
      </c>
      <c r="G1344" s="61" t="s">
        <v>286</v>
      </c>
      <c r="H1344" s="57" t="s">
        <v>211</v>
      </c>
      <c r="I1344" s="58" t="n">
        <f aca="false">'P9-017'!$N$41</f>
        <v>46328</v>
      </c>
      <c r="J1344" s="58" t="n">
        <f aca="false">'P9-017'!$O$41</f>
        <v>46328</v>
      </c>
      <c r="K1344" s="56" t="str">
        <f aca="false">IF(OR(L1344="Y",LEFT('P9-017'!$T$41,1)="D"),"",IF(AND(ISNUMBER(J1344),J1344&lt;ASOF),"⚠ เลยกำหนด",IF(AND(ISNUMBER(I1344),I1344&lt;=ASOF+14,J1344&gt;=ASOF-7),"ช่วงนี้","")))</f>
        <v>ช่วงนี้</v>
      </c>
      <c r="L1344" s="59"/>
      <c r="M1344" s="60"/>
    </row>
    <row r="1345" customFormat="false" ht="15" hidden="false" customHeight="false" outlineLevel="0" collapsed="false">
      <c r="A1345" s="54" t="s">
        <v>106</v>
      </c>
      <c r="B1345" s="55" t="s">
        <v>496</v>
      </c>
      <c r="C1345" s="56" t="s">
        <v>497</v>
      </c>
      <c r="D1345" s="57" t="s">
        <v>108</v>
      </c>
      <c r="E1345" s="57" t="s">
        <v>287</v>
      </c>
      <c r="F1345" s="55" t="s">
        <v>288</v>
      </c>
      <c r="G1345" s="61" t="s">
        <v>289</v>
      </c>
      <c r="H1345" s="57" t="s">
        <v>211</v>
      </c>
      <c r="I1345" s="58" t="n">
        <f aca="false">'P9-017'!$N$42</f>
        <v>46328</v>
      </c>
      <c r="J1345" s="58" t="n">
        <f aca="false">'P9-017'!$O$42</f>
        <v>46328</v>
      </c>
      <c r="K1345" s="56" t="str">
        <f aca="false">IF(OR(L1345="Y",LEFT('P9-017'!$T$42,1)="D"),"",IF(AND(ISNUMBER(J1345),J1345&lt;ASOF),"⚠ เลยกำหนด",IF(AND(ISNUMBER(I1345),I1345&lt;=ASOF+14,J1345&gt;=ASOF-7),"ช่วงนี้","")))</f>
        <v>ช่วงนี้</v>
      </c>
      <c r="L1345" s="59"/>
      <c r="M1345" s="60"/>
    </row>
    <row r="1346" customFormat="false" ht="15" hidden="false" customHeight="false" outlineLevel="0" collapsed="false">
      <c r="A1346" s="54" t="s">
        <v>106</v>
      </c>
      <c r="B1346" s="55" t="s">
        <v>496</v>
      </c>
      <c r="C1346" s="56" t="s">
        <v>497</v>
      </c>
      <c r="D1346" s="57" t="s">
        <v>108</v>
      </c>
      <c r="E1346" s="57" t="s">
        <v>290</v>
      </c>
      <c r="F1346" s="55" t="s">
        <v>291</v>
      </c>
      <c r="G1346" s="55" t="s">
        <v>292</v>
      </c>
      <c r="H1346" s="57" t="s">
        <v>211</v>
      </c>
      <c r="I1346" s="58" t="n">
        <f aca="false">'P9-017'!$N$44</f>
        <v>46328</v>
      </c>
      <c r="J1346" s="58" t="n">
        <f aca="false">'P9-017'!$O$44</f>
        <v>46328</v>
      </c>
      <c r="K1346" s="56" t="str">
        <f aca="false">IF(OR(L1346="Y",LEFT('P9-017'!$T$44,1)="D"),"",IF(AND(ISNUMBER(J1346),J1346&lt;ASOF),"⚠ เลยกำหนด",IF(AND(ISNUMBER(I1346),I1346&lt;=ASOF+14,J1346&gt;=ASOF-7),"ช่วงนี้","")))</f>
        <v>ช่วงนี้</v>
      </c>
      <c r="L1346" s="59"/>
      <c r="M1346" s="60"/>
    </row>
    <row r="1347" customFormat="false" ht="15" hidden="false" customHeight="false" outlineLevel="0" collapsed="false">
      <c r="A1347" s="54" t="s">
        <v>106</v>
      </c>
      <c r="B1347" s="55" t="s">
        <v>496</v>
      </c>
      <c r="C1347" s="56" t="s">
        <v>497</v>
      </c>
      <c r="D1347" s="57" t="s">
        <v>108</v>
      </c>
      <c r="E1347" s="57" t="s">
        <v>293</v>
      </c>
      <c r="F1347" s="55" t="s">
        <v>294</v>
      </c>
      <c r="G1347" s="55" t="s">
        <v>295</v>
      </c>
      <c r="H1347" s="57" t="s">
        <v>211</v>
      </c>
      <c r="I1347" s="58" t="n">
        <f aca="false">'P9-017'!$N$45</f>
        <v>46328</v>
      </c>
      <c r="J1347" s="58" t="n">
        <f aca="false">'P9-017'!$O$45</f>
        <v>46328</v>
      </c>
      <c r="K1347" s="56" t="str">
        <f aca="false">IF(OR(L1347="Y",LEFT('P9-017'!$T$45,1)="D"),"",IF(AND(ISNUMBER(J1347),J1347&lt;ASOF),"⚠ เลยกำหนด",IF(AND(ISNUMBER(I1347),I1347&lt;=ASOF+14,J1347&gt;=ASOF-7),"ช่วงนี้","")))</f>
        <v>ช่วงนี้</v>
      </c>
      <c r="L1347" s="59"/>
      <c r="M1347" s="60"/>
    </row>
    <row r="1348" customFormat="false" ht="15" hidden="false" customHeight="false" outlineLevel="0" collapsed="false">
      <c r="A1348" s="54" t="s">
        <v>106</v>
      </c>
      <c r="B1348" s="55" t="s">
        <v>496</v>
      </c>
      <c r="C1348" s="56" t="s">
        <v>497</v>
      </c>
      <c r="D1348" s="57" t="s">
        <v>108</v>
      </c>
      <c r="E1348" s="57" t="s">
        <v>296</v>
      </c>
      <c r="F1348" s="55" t="s">
        <v>297</v>
      </c>
      <c r="G1348" s="55" t="s">
        <v>298</v>
      </c>
      <c r="H1348" s="57" t="s">
        <v>211</v>
      </c>
      <c r="I1348" s="58" t="n">
        <f aca="false">'P9-017'!$N$46</f>
        <v>46328</v>
      </c>
      <c r="J1348" s="58" t="n">
        <f aca="false">'P9-017'!$O$46</f>
        <v>46328</v>
      </c>
      <c r="K1348" s="56" t="str">
        <f aca="false">IF(OR(L1348="Y",LEFT('P9-017'!$T$46,1)="D"),"",IF(AND(ISNUMBER(J1348),J1348&lt;ASOF),"⚠ เลยกำหนด",IF(AND(ISNUMBER(I1348),I1348&lt;=ASOF+14,J1348&gt;=ASOF-7),"ช่วงนี้","")))</f>
        <v>ช่วงนี้</v>
      </c>
      <c r="L1348" s="59"/>
      <c r="M1348" s="60"/>
    </row>
    <row r="1349" customFormat="false" ht="15" hidden="false" customHeight="false" outlineLevel="0" collapsed="false">
      <c r="A1349" s="54" t="s">
        <v>106</v>
      </c>
      <c r="B1349" s="55" t="s">
        <v>496</v>
      </c>
      <c r="C1349" s="56" t="s">
        <v>497</v>
      </c>
      <c r="D1349" s="57" t="s">
        <v>108</v>
      </c>
      <c r="E1349" s="57" t="s">
        <v>299</v>
      </c>
      <c r="F1349" s="55" t="s">
        <v>300</v>
      </c>
      <c r="G1349" s="55" t="s">
        <v>301</v>
      </c>
      <c r="H1349" s="57" t="s">
        <v>211</v>
      </c>
      <c r="I1349" s="58" t="str">
        <f aca="false">'P9-017'!$N$53</f>
        <v/>
      </c>
      <c r="J1349" s="58" t="str">
        <f aca="false">'P9-017'!$O$53</f>
        <v/>
      </c>
      <c r="K1349" s="56" t="str">
        <f aca="false">IF(OR(L1349="Y",LEFT('P9-017'!$T$53,1)="D"),"",IF(AND(ISNUMBER(J1349),J1349&lt;ASOF),"⚠ เลยกำหนด",IF(AND(ISNUMBER(I1349),I1349&lt;=ASOF+14,J1349&gt;=ASOF-7),"ช่วงนี้","")))</f>
        <v/>
      </c>
      <c r="L1349" s="59"/>
      <c r="M1349" s="60"/>
    </row>
    <row r="1350" customFormat="false" ht="15" hidden="false" customHeight="false" outlineLevel="0" collapsed="false">
      <c r="A1350" s="54" t="s">
        <v>106</v>
      </c>
      <c r="B1350" s="55" t="s">
        <v>496</v>
      </c>
      <c r="C1350" s="56" t="s">
        <v>497</v>
      </c>
      <c r="D1350" s="57" t="s">
        <v>108</v>
      </c>
      <c r="E1350" s="57" t="s">
        <v>302</v>
      </c>
      <c r="F1350" s="55" t="s">
        <v>303</v>
      </c>
      <c r="G1350" s="55" t="s">
        <v>304</v>
      </c>
      <c r="H1350" s="57" t="s">
        <v>211</v>
      </c>
      <c r="I1350" s="58" t="str">
        <f aca="false">'P9-017'!$N$54</f>
        <v/>
      </c>
      <c r="J1350" s="58" t="str">
        <f aca="false">'P9-017'!$O$54</f>
        <v/>
      </c>
      <c r="K1350" s="56" t="str">
        <f aca="false">IF(OR(L1350="Y",LEFT('P9-017'!$T$54,1)="D"),"",IF(AND(ISNUMBER(J1350),J1350&lt;ASOF),"⚠ เลยกำหนด",IF(AND(ISNUMBER(I1350),I1350&lt;=ASOF+14,J1350&gt;=ASOF-7),"ช่วงนี้","")))</f>
        <v/>
      </c>
      <c r="L1350" s="59"/>
      <c r="M1350" s="60"/>
    </row>
    <row r="1351" customFormat="false" ht="15" hidden="false" customHeight="false" outlineLevel="0" collapsed="false">
      <c r="A1351" s="54" t="s">
        <v>106</v>
      </c>
      <c r="B1351" s="55" t="s">
        <v>496</v>
      </c>
      <c r="C1351" s="56" t="s">
        <v>497</v>
      </c>
      <c r="D1351" s="57" t="s">
        <v>108</v>
      </c>
      <c r="E1351" s="57" t="s">
        <v>305</v>
      </c>
      <c r="F1351" s="55" t="s">
        <v>306</v>
      </c>
      <c r="G1351" s="55" t="s">
        <v>307</v>
      </c>
      <c r="H1351" s="56" t="str">
        <f aca="false">IF(COUNTIFS(SITE_ST,"P9-017",SITE_TYPE,"?*")&gt;0,"ตามจุดติดตั้ง →","0/100")</f>
        <v>ตามจุดติดตั้ง →</v>
      </c>
      <c r="I1351" s="58" t="n">
        <f aca="false">'P9-017'!$N$63</f>
        <v>46328</v>
      </c>
      <c r="J1351" s="58" t="n">
        <f aca="false">'P9-017'!$O$63</f>
        <v>46329</v>
      </c>
      <c r="K1351" s="56" t="str">
        <f aca="false">IF(OR(L1351="Y",LEFT('P9-017'!$T$63,1)="D"),"",IF(AND(ISNUMBER(J1351),J1351&lt;ASOF),"⚠ เลยกำหนด",IF(AND(ISNUMBER(I1351),I1351&lt;=ASOF+14,J1351&gt;=ASOF-7),"ช่วงนี้","")))</f>
        <v>ช่วงนี้</v>
      </c>
      <c r="L1351" s="59"/>
      <c r="M1351" s="60"/>
    </row>
    <row r="1352" customFormat="false" ht="15" hidden="false" customHeight="false" outlineLevel="0" collapsed="false">
      <c r="A1352" s="54" t="s">
        <v>106</v>
      </c>
      <c r="B1352" s="55" t="s">
        <v>496</v>
      </c>
      <c r="C1352" s="56" t="s">
        <v>497</v>
      </c>
      <c r="D1352" s="57" t="s">
        <v>108</v>
      </c>
      <c r="E1352" s="57" t="s">
        <v>308</v>
      </c>
      <c r="F1352" s="55" t="s">
        <v>309</v>
      </c>
      <c r="G1352" s="55" t="s">
        <v>310</v>
      </c>
      <c r="H1352" s="57" t="s">
        <v>211</v>
      </c>
      <c r="I1352" s="58" t="n">
        <f aca="false">'P9-017'!$N$64</f>
        <v>46328</v>
      </c>
      <c r="J1352" s="58" t="n">
        <f aca="false">'P9-017'!$O$64</f>
        <v>46331</v>
      </c>
      <c r="K1352" s="56" t="str">
        <f aca="false">IF(OR(L1352="Y",LEFT('P9-017'!$T$64,1)="D"),"",IF(AND(ISNUMBER(J1352),J1352&lt;ASOF),"⚠ เลยกำหนด",IF(AND(ISNUMBER(I1352),I1352&lt;=ASOF+14,J1352&gt;=ASOF-7),"ช่วงนี้","")))</f>
        <v>ช่วงนี้</v>
      </c>
      <c r="L1352" s="59"/>
      <c r="M1352" s="60"/>
    </row>
    <row r="1353" customFormat="false" ht="15" hidden="false" customHeight="false" outlineLevel="0" collapsed="false">
      <c r="A1353" s="54" t="s">
        <v>106</v>
      </c>
      <c r="B1353" s="55" t="s">
        <v>496</v>
      </c>
      <c r="C1353" s="56" t="s">
        <v>497</v>
      </c>
      <c r="D1353" s="57" t="s">
        <v>108</v>
      </c>
      <c r="E1353" s="57" t="s">
        <v>311</v>
      </c>
      <c r="F1353" s="55" t="s">
        <v>312</v>
      </c>
      <c r="G1353" s="55" t="s">
        <v>313</v>
      </c>
      <c r="H1353" s="56" t="str">
        <f aca="false">IF(COUNTIFS(SITE_ST,"P9-017",SITE_TYPE,"?*")&gt;0,"ตามจุดติดตั้ง →","50/50")</f>
        <v>ตามจุดติดตั้ง →</v>
      </c>
      <c r="I1353" s="58" t="n">
        <f aca="false">'P9-017'!$N$65</f>
        <v>46329</v>
      </c>
      <c r="J1353" s="58" t="n">
        <f aca="false">'P9-017'!$O$65</f>
        <v>46335</v>
      </c>
      <c r="K1353" s="56" t="str">
        <f aca="false">IF(OR(L1353="Y",LEFT('P9-017'!$T$65,1)="D"),"",IF(AND(ISNUMBER(J1353),J1353&lt;ASOF),"⚠ เลยกำหนด",IF(AND(ISNUMBER(I1353),I1353&lt;=ASOF+14,J1353&gt;=ASOF-7),"ช่วงนี้","")))</f>
        <v>ช่วงนี้</v>
      </c>
      <c r="L1353" s="59"/>
      <c r="M1353" s="60"/>
    </row>
    <row r="1354" customFormat="false" ht="15" hidden="false" customHeight="false" outlineLevel="0" collapsed="false">
      <c r="A1354" s="54" t="s">
        <v>106</v>
      </c>
      <c r="B1354" s="55" t="s">
        <v>496</v>
      </c>
      <c r="C1354" s="56" t="s">
        <v>497</v>
      </c>
      <c r="D1354" s="57" t="s">
        <v>108</v>
      </c>
      <c r="E1354" s="57" t="s">
        <v>314</v>
      </c>
      <c r="F1354" s="55" t="s">
        <v>315</v>
      </c>
      <c r="G1354" s="61" t="s">
        <v>316</v>
      </c>
      <c r="H1354" s="56" t="str">
        <f aca="false">IF(COUNTIFS(SITE_ST,"P9-017",SITE_TYPE,"?*")&gt;0,"ตามจุดติดตั้ง →","50/50")</f>
        <v>ตามจุดติดตั้ง →</v>
      </c>
      <c r="I1354" s="58" t="n">
        <f aca="false">'P9-017'!$N$66</f>
        <v>46333</v>
      </c>
      <c r="J1354" s="58" t="n">
        <f aca="false">'P9-017'!$O$66</f>
        <v>46339</v>
      </c>
      <c r="K1354" s="56" t="str">
        <f aca="false">IF(OR(L1354="Y",LEFT('P9-017'!$T$66,1)="D"),"",IF(AND(ISNUMBER(J1354),J1354&lt;ASOF),"⚠ เลยกำหนด",IF(AND(ISNUMBER(I1354),I1354&lt;=ASOF+14,J1354&gt;=ASOF-7),"ช่วงนี้","")))</f>
        <v>ช่วงนี้</v>
      </c>
      <c r="L1354" s="59"/>
      <c r="M1354" s="60"/>
    </row>
    <row r="1355" customFormat="false" ht="15" hidden="false" customHeight="false" outlineLevel="0" collapsed="false">
      <c r="A1355" s="54" t="s">
        <v>106</v>
      </c>
      <c r="B1355" s="55" t="s">
        <v>496</v>
      </c>
      <c r="C1355" s="56" t="s">
        <v>497</v>
      </c>
      <c r="D1355" s="57" t="s">
        <v>108</v>
      </c>
      <c r="E1355" s="57" t="s">
        <v>317</v>
      </c>
      <c r="F1355" s="61" t="s">
        <v>318</v>
      </c>
      <c r="G1355" s="61" t="s">
        <v>319</v>
      </c>
      <c r="H1355" s="56" t="str">
        <f aca="false">IF(COUNTIFS(SITE_ST,"P9-017",SITE_TYPE,"?*")&gt;0,"ตามจุดติดตั้ง →","50/50")</f>
        <v>ตามจุดติดตั้ง →</v>
      </c>
      <c r="I1355" s="58" t="n">
        <f aca="false">'P9-017'!$N$67</f>
        <v>46336</v>
      </c>
      <c r="J1355" s="58" t="n">
        <f aca="false">'P9-017'!$O$67</f>
        <v>46340</v>
      </c>
      <c r="K1355" s="56" t="str">
        <f aca="false">IF(OR(L1355="Y",LEFT('P9-017'!$T$67,1)="D"),"",IF(AND(ISNUMBER(J1355),J1355&lt;ASOF),"⚠ เลยกำหนด",IF(AND(ISNUMBER(I1355),I1355&lt;=ASOF+14,J1355&gt;=ASOF-7),"ช่วงนี้","")))</f>
        <v>ช่วงนี้</v>
      </c>
      <c r="L1355" s="59"/>
      <c r="M1355" s="60"/>
    </row>
    <row r="1356" customFormat="false" ht="15" hidden="false" customHeight="false" outlineLevel="0" collapsed="false">
      <c r="A1356" s="54" t="s">
        <v>106</v>
      </c>
      <c r="B1356" s="55" t="s">
        <v>496</v>
      </c>
      <c r="C1356" s="56" t="s">
        <v>497</v>
      </c>
      <c r="D1356" s="57" t="s">
        <v>108</v>
      </c>
      <c r="E1356" s="57" t="s">
        <v>320</v>
      </c>
      <c r="F1356" s="55" t="s">
        <v>321</v>
      </c>
      <c r="G1356" s="55" t="s">
        <v>322</v>
      </c>
      <c r="H1356" s="56" t="str">
        <f aca="false">IF(COUNTIFS(SITE_ST,"P9-017",SITE_TYPE,"?*")&gt;0,"ตามจุดติดตั้ง →","0/100")</f>
        <v>ตามจุดติดตั้ง →</v>
      </c>
      <c r="I1356" s="58" t="n">
        <f aca="false">'P9-017'!$N$68</f>
        <v>46338</v>
      </c>
      <c r="J1356" s="58" t="n">
        <f aca="false">'P9-017'!$O$68</f>
        <v>46341</v>
      </c>
      <c r="K1356" s="56" t="str">
        <f aca="false">IF(OR(L1356="Y",LEFT('P9-017'!$T$68,1)="D"),"",IF(AND(ISNUMBER(J1356),J1356&lt;ASOF),"⚠ เลยกำหนด",IF(AND(ISNUMBER(I1356),I1356&lt;=ASOF+14,J1356&gt;=ASOF-7),"ช่วงนี้","")))</f>
        <v>ช่วงนี้</v>
      </c>
      <c r="L1356" s="59"/>
      <c r="M1356" s="60"/>
    </row>
    <row r="1357" customFormat="false" ht="15" hidden="false" customHeight="false" outlineLevel="0" collapsed="false">
      <c r="A1357" s="54" t="s">
        <v>106</v>
      </c>
      <c r="B1357" s="55" t="s">
        <v>496</v>
      </c>
      <c r="C1357" s="56" t="s">
        <v>497</v>
      </c>
      <c r="D1357" s="57" t="s">
        <v>108</v>
      </c>
      <c r="E1357" s="57" t="s">
        <v>323</v>
      </c>
      <c r="F1357" s="61" t="s">
        <v>324</v>
      </c>
      <c r="G1357" s="55" t="s">
        <v>325</v>
      </c>
      <c r="H1357" s="56" t="str">
        <f aca="false">IF(COUNTIFS(SITE_ST,"P9-017",SITE_TYPE,"?*")&gt;0,"ตามจุดติดตั้ง →","0/100")</f>
        <v>ตามจุดติดตั้ง →</v>
      </c>
      <c r="I1357" s="58" t="n">
        <f aca="false">'P9-017'!$N$69</f>
        <v>46340</v>
      </c>
      <c r="J1357" s="58" t="n">
        <f aca="false">'P9-017'!$O$69</f>
        <v>46341</v>
      </c>
      <c r="K1357" s="56" t="str">
        <f aca="false">IF(OR(L1357="Y",LEFT('P9-017'!$T$69,1)="D"),"",IF(AND(ISNUMBER(J1357),J1357&lt;ASOF),"⚠ เลยกำหนด",IF(AND(ISNUMBER(I1357),I1357&lt;=ASOF+14,J1357&gt;=ASOF-7),"ช่วงนี้","")))</f>
        <v>ช่วงนี้</v>
      </c>
      <c r="L1357" s="59"/>
      <c r="M1357" s="60"/>
    </row>
    <row r="1358" customFormat="false" ht="15" hidden="false" customHeight="false" outlineLevel="0" collapsed="false">
      <c r="A1358" s="54" t="s">
        <v>106</v>
      </c>
      <c r="B1358" s="55" t="s">
        <v>496</v>
      </c>
      <c r="C1358" s="56" t="s">
        <v>497</v>
      </c>
      <c r="D1358" s="57" t="s">
        <v>108</v>
      </c>
      <c r="E1358" s="57" t="s">
        <v>326</v>
      </c>
      <c r="F1358" s="55" t="s">
        <v>327</v>
      </c>
      <c r="G1358" s="61" t="s">
        <v>328</v>
      </c>
      <c r="H1358" s="56" t="str">
        <f aca="false">IF(COUNTIFS(SITE_ST,"P9-017",SITE_TYPE,"?*")&gt;0,"ตามจุดติดตั้ง →","50/50")</f>
        <v>ตามจุดติดตั้ง →</v>
      </c>
      <c r="I1358" s="58" t="n">
        <f aca="false">'P9-017'!$N$71</f>
        <v>46343</v>
      </c>
      <c r="J1358" s="58" t="n">
        <f aca="false">'P9-017'!$O$71</f>
        <v>46344</v>
      </c>
      <c r="K1358" s="56" t="str">
        <f aca="false">IF(OR(L1358="Y",LEFT('P9-017'!$T$71,1)="D"),"",IF(AND(ISNUMBER(J1358),J1358&lt;ASOF),"⚠ เลยกำหนด",IF(AND(ISNUMBER(I1358),I1358&lt;=ASOF+14,J1358&gt;=ASOF-7),"ช่วงนี้","")))</f>
        <v/>
      </c>
      <c r="L1358" s="59"/>
      <c r="M1358" s="60"/>
    </row>
    <row r="1359" customFormat="false" ht="15" hidden="false" customHeight="false" outlineLevel="0" collapsed="false">
      <c r="A1359" s="54" t="s">
        <v>106</v>
      </c>
      <c r="B1359" s="55" t="s">
        <v>496</v>
      </c>
      <c r="C1359" s="56" t="s">
        <v>497</v>
      </c>
      <c r="D1359" s="57" t="s">
        <v>108</v>
      </c>
      <c r="E1359" s="57" t="s">
        <v>329</v>
      </c>
      <c r="F1359" s="55" t="s">
        <v>330</v>
      </c>
      <c r="G1359" s="55" t="s">
        <v>331</v>
      </c>
      <c r="H1359" s="56" t="str">
        <f aca="false">IF(COUNTIFS(SITE_ST,"P9-017",SITE_TYPE,"?*")&gt;0,"ตามจุดติดตั้ง →","50/50")</f>
        <v>ตามจุดติดตั้ง →</v>
      </c>
      <c r="I1359" s="58" t="n">
        <f aca="false">'P9-017'!$N$72</f>
        <v>46344</v>
      </c>
      <c r="J1359" s="58" t="n">
        <f aca="false">'P9-017'!$O$72</f>
        <v>46345</v>
      </c>
      <c r="K1359" s="56" t="str">
        <f aca="false">IF(OR(L1359="Y",LEFT('P9-017'!$T$72,1)="D"),"",IF(AND(ISNUMBER(J1359),J1359&lt;ASOF),"⚠ เลยกำหนด",IF(AND(ISNUMBER(I1359),I1359&lt;=ASOF+14,J1359&gt;=ASOF-7),"ช่วงนี้","")))</f>
        <v/>
      </c>
      <c r="L1359" s="59"/>
      <c r="M1359" s="60"/>
    </row>
    <row r="1360" customFormat="false" ht="15" hidden="false" customHeight="false" outlineLevel="0" collapsed="false">
      <c r="A1360" s="54" t="s">
        <v>106</v>
      </c>
      <c r="B1360" s="55" t="s">
        <v>496</v>
      </c>
      <c r="C1360" s="56" t="s">
        <v>497</v>
      </c>
      <c r="D1360" s="57" t="s">
        <v>108</v>
      </c>
      <c r="E1360" s="57" t="s">
        <v>332</v>
      </c>
      <c r="F1360" s="55" t="s">
        <v>333</v>
      </c>
      <c r="G1360" s="55" t="s">
        <v>334</v>
      </c>
      <c r="H1360" s="56" t="str">
        <f aca="false">IF(COUNTIFS(SITE_ST,"P9-017",SITE_TYPE,"?*")&gt;0,"ตามจุดติดตั้ง →","0/100")</f>
        <v>ตามจุดติดตั้ง →</v>
      </c>
      <c r="I1360" s="58" t="n">
        <f aca="false">'P9-017'!$N$73</f>
        <v>46344</v>
      </c>
      <c r="J1360" s="58" t="n">
        <f aca="false">'P9-017'!$O$73</f>
        <v>46345</v>
      </c>
      <c r="K1360" s="56" t="str">
        <f aca="false">IF(OR(L1360="Y",LEFT('P9-017'!$T$73,1)="D"),"",IF(AND(ISNUMBER(J1360),J1360&lt;ASOF),"⚠ เลยกำหนด",IF(AND(ISNUMBER(I1360),I1360&lt;=ASOF+14,J1360&gt;=ASOF-7),"ช่วงนี้","")))</f>
        <v/>
      </c>
      <c r="L1360" s="59"/>
      <c r="M1360" s="60"/>
    </row>
    <row r="1361" customFormat="false" ht="15" hidden="false" customHeight="false" outlineLevel="0" collapsed="false">
      <c r="A1361" s="54" t="s">
        <v>106</v>
      </c>
      <c r="B1361" s="55" t="s">
        <v>496</v>
      </c>
      <c r="C1361" s="56" t="s">
        <v>497</v>
      </c>
      <c r="D1361" s="57" t="s">
        <v>108</v>
      </c>
      <c r="E1361" s="57" t="s">
        <v>335</v>
      </c>
      <c r="F1361" s="55" t="s">
        <v>336</v>
      </c>
      <c r="G1361" s="61" t="s">
        <v>337</v>
      </c>
      <c r="H1361" s="56" t="str">
        <f aca="false">IF(COUNTIFS(SITE_ST,"P9-017",SITE_TYPE,"?*")&gt;0,"ตามจุดติดตั้ง →","0/100")</f>
        <v>ตามจุดติดตั้ง →</v>
      </c>
      <c r="I1361" s="58" t="n">
        <f aca="false">'P9-017'!$N$74</f>
        <v>46345</v>
      </c>
      <c r="J1361" s="58" t="n">
        <f aca="false">'P9-017'!$O$74</f>
        <v>46346</v>
      </c>
      <c r="K1361" s="56" t="str">
        <f aca="false">IF(OR(L1361="Y",LEFT('P9-017'!$T$74,1)="D"),"",IF(AND(ISNUMBER(J1361),J1361&lt;ASOF),"⚠ เลยกำหนด",IF(AND(ISNUMBER(I1361),I1361&lt;=ASOF+14,J1361&gt;=ASOF-7),"ช่วงนี้","")))</f>
        <v/>
      </c>
      <c r="L1361" s="59"/>
      <c r="M1361" s="60"/>
    </row>
    <row r="1362" customFormat="false" ht="15" hidden="false" customHeight="false" outlineLevel="0" collapsed="false">
      <c r="A1362" s="54" t="s">
        <v>106</v>
      </c>
      <c r="B1362" s="55" t="s">
        <v>496</v>
      </c>
      <c r="C1362" s="56" t="s">
        <v>497</v>
      </c>
      <c r="D1362" s="57" t="s">
        <v>108</v>
      </c>
      <c r="E1362" s="57" t="s">
        <v>338</v>
      </c>
      <c r="F1362" s="61" t="s">
        <v>339</v>
      </c>
      <c r="G1362" s="55" t="s">
        <v>340</v>
      </c>
      <c r="H1362" s="56" t="str">
        <f aca="false">IF(COUNTIFS(SITE_ST,"P9-017",SITE_TYPE,"?*")&gt;0,"ตามจุดติดตั้ง →","0/100")</f>
        <v>ตามจุดติดตั้ง →</v>
      </c>
      <c r="I1362" s="58" t="n">
        <f aca="false">'P9-017'!$N$75</f>
        <v>46345</v>
      </c>
      <c r="J1362" s="58" t="n">
        <f aca="false">'P9-017'!$O$75</f>
        <v>46346</v>
      </c>
      <c r="K1362" s="56" t="str">
        <f aca="false">IF(OR(L1362="Y",LEFT('P9-017'!$T$75,1)="D"),"",IF(AND(ISNUMBER(J1362),J1362&lt;ASOF),"⚠ เลยกำหนด",IF(AND(ISNUMBER(I1362),I1362&lt;=ASOF+14,J1362&gt;=ASOF-7),"ช่วงนี้","")))</f>
        <v/>
      </c>
      <c r="L1362" s="59"/>
      <c r="M1362" s="60"/>
    </row>
    <row r="1363" customFormat="false" ht="15" hidden="false" customHeight="false" outlineLevel="0" collapsed="false">
      <c r="A1363" s="54" t="s">
        <v>106</v>
      </c>
      <c r="B1363" s="55" t="s">
        <v>496</v>
      </c>
      <c r="C1363" s="56" t="s">
        <v>497</v>
      </c>
      <c r="D1363" s="57" t="s">
        <v>108</v>
      </c>
      <c r="E1363" s="57" t="s">
        <v>341</v>
      </c>
      <c r="F1363" s="55" t="s">
        <v>342</v>
      </c>
      <c r="G1363" s="55" t="s">
        <v>343</v>
      </c>
      <c r="H1363" s="56" t="str">
        <f aca="false">IF(COUNTIFS(SITE_ST,"P9-017",SITE_TYPE,"?*")&gt;0,"ตามจุดติดตั้ง →","0/100")</f>
        <v>ตามจุดติดตั้ง →</v>
      </c>
      <c r="I1363" s="58" t="n">
        <f aca="false">'P9-017'!$N$77</f>
        <v>46342</v>
      </c>
      <c r="J1363" s="58" t="n">
        <f aca="false">'P9-017'!$O$77</f>
        <v>46344</v>
      </c>
      <c r="K1363" s="56" t="str">
        <f aca="false">IF(OR(L1363="Y",LEFT('P9-017'!$T$77,1)="D"),"",IF(AND(ISNUMBER(J1363),J1363&lt;ASOF),"⚠ เลยกำหนด",IF(AND(ISNUMBER(I1363),I1363&lt;=ASOF+14,J1363&gt;=ASOF-7),"ช่วงนี้","")))</f>
        <v>ช่วงนี้</v>
      </c>
      <c r="L1363" s="59"/>
      <c r="M1363" s="60"/>
    </row>
    <row r="1364" customFormat="false" ht="15" hidden="false" customHeight="false" outlineLevel="0" collapsed="false">
      <c r="A1364" s="54" t="s">
        <v>106</v>
      </c>
      <c r="B1364" s="55" t="s">
        <v>496</v>
      </c>
      <c r="C1364" s="56" t="s">
        <v>497</v>
      </c>
      <c r="D1364" s="57" t="s">
        <v>108</v>
      </c>
      <c r="E1364" s="57" t="s">
        <v>344</v>
      </c>
      <c r="F1364" s="55" t="s">
        <v>345</v>
      </c>
      <c r="G1364" s="55" t="s">
        <v>346</v>
      </c>
      <c r="H1364" s="56" t="str">
        <f aca="false">IF(COUNTIFS(SITE_ST,"P9-017",SITE_TYPE,"?*")&gt;0,"ตามจุดติดตั้ง →","50/50")</f>
        <v>ตามจุดติดตั้ง →</v>
      </c>
      <c r="I1364" s="58" t="n">
        <f aca="false">'P9-017'!$N$78</f>
        <v>46343</v>
      </c>
      <c r="J1364" s="58" t="n">
        <f aca="false">'P9-017'!$O$78</f>
        <v>46346</v>
      </c>
      <c r="K1364" s="56" t="str">
        <f aca="false">IF(OR(L1364="Y",LEFT('P9-017'!$T$78,1)="D"),"",IF(AND(ISNUMBER(J1364),J1364&lt;ASOF),"⚠ เลยกำหนด",IF(AND(ISNUMBER(I1364),I1364&lt;=ASOF+14,J1364&gt;=ASOF-7),"ช่วงนี้","")))</f>
        <v/>
      </c>
      <c r="L1364" s="59"/>
      <c r="M1364" s="60"/>
    </row>
    <row r="1365" customFormat="false" ht="15" hidden="false" customHeight="false" outlineLevel="0" collapsed="false">
      <c r="A1365" s="54" t="s">
        <v>106</v>
      </c>
      <c r="B1365" s="55" t="s">
        <v>496</v>
      </c>
      <c r="C1365" s="56" t="s">
        <v>497</v>
      </c>
      <c r="D1365" s="57" t="s">
        <v>108</v>
      </c>
      <c r="E1365" s="57" t="s">
        <v>347</v>
      </c>
      <c r="F1365" s="61" t="s">
        <v>348</v>
      </c>
      <c r="G1365" s="55" t="s">
        <v>349</v>
      </c>
      <c r="H1365" s="56" t="str">
        <f aca="false">IF(COUNTIFS(SITE_ST,"P9-017",SITE_TYPE,"?*")&gt;0,"ตามจุดติดตั้ง →","50/50")</f>
        <v>ตามจุดติดตั้ง →</v>
      </c>
      <c r="I1365" s="58" t="n">
        <f aca="false">'P9-017'!$N$79</f>
        <v>46344</v>
      </c>
      <c r="J1365" s="58" t="n">
        <f aca="false">'P9-017'!$O$79</f>
        <v>46347</v>
      </c>
      <c r="K1365" s="56" t="str">
        <f aca="false">IF(OR(L1365="Y",LEFT('P9-017'!$T$79,1)="D"),"",IF(AND(ISNUMBER(J1365),J1365&lt;ASOF),"⚠ เลยกำหนด",IF(AND(ISNUMBER(I1365),I1365&lt;=ASOF+14,J1365&gt;=ASOF-7),"ช่วงนี้","")))</f>
        <v/>
      </c>
      <c r="L1365" s="59"/>
      <c r="M1365" s="60"/>
    </row>
    <row r="1366" customFormat="false" ht="15" hidden="false" customHeight="false" outlineLevel="0" collapsed="false">
      <c r="A1366" s="54" t="s">
        <v>106</v>
      </c>
      <c r="B1366" s="55" t="s">
        <v>496</v>
      </c>
      <c r="C1366" s="56" t="s">
        <v>497</v>
      </c>
      <c r="D1366" s="57" t="s">
        <v>108</v>
      </c>
      <c r="E1366" s="57" t="s">
        <v>350</v>
      </c>
      <c r="F1366" s="61" t="s">
        <v>351</v>
      </c>
      <c r="G1366" s="55" t="s">
        <v>352</v>
      </c>
      <c r="H1366" s="56" t="str">
        <f aca="false">IF(COUNTIFS(SITE_ST,"P9-017",SITE_TYPE,"?*")&gt;0,"ตามจุดติดตั้ง →","0/100")</f>
        <v>ตามจุดติดตั้ง →</v>
      </c>
      <c r="I1366" s="58" t="n">
        <f aca="false">'P9-017'!$N$80</f>
        <v>46346</v>
      </c>
      <c r="J1366" s="58" t="n">
        <f aca="false">'P9-017'!$O$80</f>
        <v>46347</v>
      </c>
      <c r="K1366" s="56" t="str">
        <f aca="false">IF(OR(L1366="Y",LEFT('P9-017'!$T$80,1)="D"),"",IF(AND(ISNUMBER(J1366),J1366&lt;ASOF),"⚠ เลยกำหนด",IF(AND(ISNUMBER(I1366),I1366&lt;=ASOF+14,J1366&gt;=ASOF-7),"ช่วงนี้","")))</f>
        <v/>
      </c>
      <c r="L1366" s="59"/>
      <c r="M1366" s="60"/>
    </row>
    <row r="1367" customFormat="false" ht="15" hidden="false" customHeight="false" outlineLevel="0" collapsed="false">
      <c r="A1367" s="54" t="s">
        <v>106</v>
      </c>
      <c r="B1367" s="55" t="s">
        <v>496</v>
      </c>
      <c r="C1367" s="56" t="s">
        <v>497</v>
      </c>
      <c r="D1367" s="57" t="s">
        <v>108</v>
      </c>
      <c r="E1367" s="57" t="s">
        <v>353</v>
      </c>
      <c r="F1367" s="61" t="s">
        <v>354</v>
      </c>
      <c r="G1367" s="55" t="s">
        <v>355</v>
      </c>
      <c r="H1367" s="56" t="str">
        <f aca="false">IF(COUNTIFS(SITE_ST,"P9-017",SITE_TYPE,"?*")&gt;0,"ตามจุดติดตั้ง →","0/100")</f>
        <v>ตามจุดติดตั้ง →</v>
      </c>
      <c r="I1367" s="58" t="n">
        <f aca="false">'P9-017'!$N$81</f>
        <v>46347</v>
      </c>
      <c r="J1367" s="58" t="n">
        <f aca="false">'P9-017'!$O$81</f>
        <v>46347</v>
      </c>
      <c r="K1367" s="56" t="str">
        <f aca="false">IF(OR(L1367="Y",LEFT('P9-017'!$T$81,1)="D"),"",IF(AND(ISNUMBER(J1367),J1367&lt;ASOF),"⚠ เลยกำหนด",IF(AND(ISNUMBER(I1367),I1367&lt;=ASOF+14,J1367&gt;=ASOF-7),"ช่วงนี้","")))</f>
        <v/>
      </c>
      <c r="L1367" s="59"/>
      <c r="M1367" s="60"/>
    </row>
    <row r="1368" customFormat="false" ht="15" hidden="false" customHeight="false" outlineLevel="0" collapsed="false">
      <c r="A1368" s="54" t="s">
        <v>106</v>
      </c>
      <c r="B1368" s="55" t="s">
        <v>496</v>
      </c>
      <c r="C1368" s="56" t="s">
        <v>497</v>
      </c>
      <c r="D1368" s="57" t="s">
        <v>108</v>
      </c>
      <c r="E1368" s="57" t="s">
        <v>356</v>
      </c>
      <c r="F1368" s="55" t="s">
        <v>357</v>
      </c>
      <c r="G1368" s="55" t="s">
        <v>358</v>
      </c>
      <c r="H1368" s="57" t="s">
        <v>211</v>
      </c>
      <c r="I1368" s="58" t="n">
        <f aca="false">'P9-017'!$N$83</f>
        <v>46345</v>
      </c>
      <c r="J1368" s="58" t="n">
        <f aca="false">'P9-017'!$O$83</f>
        <v>46346</v>
      </c>
      <c r="K1368" s="56" t="str">
        <f aca="false">IF(OR(L1368="Y",LEFT('P9-017'!$T$83,1)="D"),"",IF(AND(ISNUMBER(J1368),J1368&lt;ASOF),"⚠ เลยกำหนด",IF(AND(ISNUMBER(I1368),I1368&lt;=ASOF+14,J1368&gt;=ASOF-7),"ช่วงนี้","")))</f>
        <v/>
      </c>
      <c r="L1368" s="59"/>
      <c r="M1368" s="60"/>
    </row>
    <row r="1369" customFormat="false" ht="15" hidden="false" customHeight="false" outlineLevel="0" collapsed="false">
      <c r="A1369" s="54" t="s">
        <v>106</v>
      </c>
      <c r="B1369" s="55" t="s">
        <v>496</v>
      </c>
      <c r="C1369" s="56" t="s">
        <v>497</v>
      </c>
      <c r="D1369" s="57" t="s">
        <v>108</v>
      </c>
      <c r="E1369" s="57" t="s">
        <v>359</v>
      </c>
      <c r="F1369" s="55" t="s">
        <v>360</v>
      </c>
      <c r="G1369" s="55" t="s">
        <v>361</v>
      </c>
      <c r="H1369" s="57" t="s">
        <v>211</v>
      </c>
      <c r="I1369" s="58" t="n">
        <f aca="false">'P9-017'!$N$84</f>
        <v>46346</v>
      </c>
      <c r="J1369" s="58" t="n">
        <f aca="false">'P9-017'!$O$84</f>
        <v>46347</v>
      </c>
      <c r="K1369" s="56" t="str">
        <f aca="false">IF(OR(L1369="Y",LEFT('P9-017'!$T$84,1)="D"),"",IF(AND(ISNUMBER(J1369),J1369&lt;ASOF),"⚠ เลยกำหนด",IF(AND(ISNUMBER(I1369),I1369&lt;=ASOF+14,J1369&gt;=ASOF-7),"ช่วงนี้","")))</f>
        <v/>
      </c>
      <c r="L1369" s="59"/>
      <c r="M1369" s="60"/>
    </row>
    <row r="1370" customFormat="false" ht="15" hidden="false" customHeight="false" outlineLevel="0" collapsed="false">
      <c r="A1370" s="54" t="s">
        <v>106</v>
      </c>
      <c r="B1370" s="55" t="s">
        <v>496</v>
      </c>
      <c r="C1370" s="56" t="s">
        <v>497</v>
      </c>
      <c r="D1370" s="57" t="s">
        <v>108</v>
      </c>
      <c r="E1370" s="57" t="s">
        <v>362</v>
      </c>
      <c r="F1370" s="61" t="s">
        <v>363</v>
      </c>
      <c r="G1370" s="61" t="s">
        <v>364</v>
      </c>
      <c r="H1370" s="56" t="s">
        <v>365</v>
      </c>
      <c r="I1370" s="58" t="n">
        <f aca="false">'P9-017'!$N$86</f>
        <v>46343</v>
      </c>
      <c r="J1370" s="58" t="n">
        <f aca="false">'P9-017'!$O$86</f>
        <v>46345</v>
      </c>
      <c r="K1370" s="56" t="str">
        <f aca="false">IF(OR(L1370="Y",LEFT('P9-017'!$T$86,1)="D"),"",IF(AND(ISNUMBER(J1370),J1370&lt;ASOF),"⚠ เลยกำหนด",IF(AND(ISNUMBER(I1370),I1370&lt;=ASOF+14,J1370&gt;=ASOF-7),"ช่วงนี้","")))</f>
        <v/>
      </c>
      <c r="L1370" s="59"/>
      <c r="M1370" s="60"/>
    </row>
    <row r="1371" customFormat="false" ht="15" hidden="false" customHeight="false" outlineLevel="0" collapsed="false">
      <c r="A1371" s="54" t="s">
        <v>106</v>
      </c>
      <c r="B1371" s="55" t="s">
        <v>496</v>
      </c>
      <c r="C1371" s="56" t="s">
        <v>497</v>
      </c>
      <c r="D1371" s="57" t="s">
        <v>108</v>
      </c>
      <c r="E1371" s="57" t="s">
        <v>366</v>
      </c>
      <c r="F1371" s="61" t="s">
        <v>367</v>
      </c>
      <c r="G1371" s="61" t="s">
        <v>368</v>
      </c>
      <c r="H1371" s="57" t="s">
        <v>369</v>
      </c>
      <c r="I1371" s="58" t="n">
        <f aca="false">'P9-017'!$N$87</f>
        <v>46344</v>
      </c>
      <c r="J1371" s="58" t="n">
        <f aca="false">'P9-017'!$O$87</f>
        <v>46346</v>
      </c>
      <c r="K1371" s="56" t="str">
        <f aca="false">IF(OR(L1371="Y",LEFT('P9-017'!$T$87,1)="D"),"",IF(AND(ISNUMBER(J1371),J1371&lt;ASOF),"⚠ เลยกำหนด",IF(AND(ISNUMBER(I1371),I1371&lt;=ASOF+14,J1371&gt;=ASOF-7),"ช่วงนี้","")))</f>
        <v/>
      </c>
      <c r="L1371" s="59"/>
      <c r="M1371" s="60"/>
    </row>
    <row r="1372" customFormat="false" ht="15" hidden="false" customHeight="false" outlineLevel="0" collapsed="false">
      <c r="A1372" s="54" t="s">
        <v>106</v>
      </c>
      <c r="B1372" s="55" t="s">
        <v>496</v>
      </c>
      <c r="C1372" s="56" t="s">
        <v>497</v>
      </c>
      <c r="D1372" s="57" t="s">
        <v>108</v>
      </c>
      <c r="E1372" s="57" t="s">
        <v>370</v>
      </c>
      <c r="F1372" s="55" t="s">
        <v>371</v>
      </c>
      <c r="G1372" s="55" t="s">
        <v>372</v>
      </c>
      <c r="H1372" s="57" t="s">
        <v>211</v>
      </c>
      <c r="I1372" s="58" t="n">
        <f aca="false">'P9-017'!$N$88</f>
        <v>46345</v>
      </c>
      <c r="J1372" s="58" t="n">
        <f aca="false">'P9-017'!$O$88</f>
        <v>46346</v>
      </c>
      <c r="K1372" s="56" t="str">
        <f aca="false">IF(OR(L1372="Y",LEFT('P9-017'!$T$88,1)="D"),"",IF(AND(ISNUMBER(J1372),J1372&lt;ASOF),"⚠ เลยกำหนด",IF(AND(ISNUMBER(I1372),I1372&lt;=ASOF+14,J1372&gt;=ASOF-7),"ช่วงนี้","")))</f>
        <v/>
      </c>
      <c r="L1372" s="59"/>
      <c r="M1372" s="60"/>
    </row>
    <row r="1373" customFormat="false" ht="15" hidden="false" customHeight="false" outlineLevel="0" collapsed="false">
      <c r="A1373" s="54" t="s">
        <v>106</v>
      </c>
      <c r="B1373" s="55" t="s">
        <v>496</v>
      </c>
      <c r="C1373" s="56" t="s">
        <v>497</v>
      </c>
      <c r="D1373" s="57" t="s">
        <v>108</v>
      </c>
      <c r="E1373" s="57" t="s">
        <v>373</v>
      </c>
      <c r="F1373" s="61" t="s">
        <v>374</v>
      </c>
      <c r="G1373" s="55" t="s">
        <v>375</v>
      </c>
      <c r="H1373" s="57" t="s">
        <v>211</v>
      </c>
      <c r="I1373" s="58" t="n">
        <f aca="false">'P9-017'!$N$89</f>
        <v>46346</v>
      </c>
      <c r="J1373" s="58" t="n">
        <f aca="false">'P9-017'!$O$89</f>
        <v>46346</v>
      </c>
      <c r="K1373" s="56" t="str">
        <f aca="false">IF(OR(L1373="Y",LEFT('P9-017'!$T$89,1)="D"),"",IF(AND(ISNUMBER(J1373),J1373&lt;ASOF),"⚠ เลยกำหนด",IF(AND(ISNUMBER(I1373),I1373&lt;=ASOF+14,J1373&gt;=ASOF-7),"ช่วงนี้","")))</f>
        <v/>
      </c>
      <c r="L1373" s="59"/>
      <c r="M1373" s="60"/>
    </row>
    <row r="1374" customFormat="false" ht="15" hidden="false" customHeight="false" outlineLevel="0" collapsed="false">
      <c r="A1374" s="54" t="s">
        <v>106</v>
      </c>
      <c r="B1374" s="55" t="s">
        <v>496</v>
      </c>
      <c r="C1374" s="56" t="s">
        <v>497</v>
      </c>
      <c r="D1374" s="57" t="s">
        <v>108</v>
      </c>
      <c r="E1374" s="57" t="s">
        <v>376</v>
      </c>
      <c r="F1374" s="55" t="s">
        <v>377</v>
      </c>
      <c r="G1374" s="55" t="s">
        <v>378</v>
      </c>
      <c r="H1374" s="57" t="s">
        <v>369</v>
      </c>
      <c r="I1374" s="58" t="n">
        <f aca="false">'P9-017'!$N$91</f>
        <v>46344</v>
      </c>
      <c r="J1374" s="58" t="n">
        <f aca="false">'P9-017'!$O$91</f>
        <v>46346</v>
      </c>
      <c r="K1374" s="56" t="str">
        <f aca="false">IF(OR(L1374="Y",LEFT('P9-017'!$T$91,1)="D"),"",IF(AND(ISNUMBER(J1374),J1374&lt;ASOF),"⚠ เลยกำหนด",IF(AND(ISNUMBER(I1374),I1374&lt;=ASOF+14,J1374&gt;=ASOF-7),"ช่วงนี้","")))</f>
        <v/>
      </c>
      <c r="L1374" s="59"/>
      <c r="M1374" s="60"/>
    </row>
    <row r="1375" customFormat="false" ht="15" hidden="false" customHeight="false" outlineLevel="0" collapsed="false">
      <c r="A1375" s="54" t="s">
        <v>106</v>
      </c>
      <c r="B1375" s="55" t="s">
        <v>496</v>
      </c>
      <c r="C1375" s="56" t="s">
        <v>497</v>
      </c>
      <c r="D1375" s="57" t="s">
        <v>108</v>
      </c>
      <c r="E1375" s="57" t="s">
        <v>379</v>
      </c>
      <c r="F1375" s="61" t="s">
        <v>380</v>
      </c>
      <c r="G1375" s="61" t="s">
        <v>381</v>
      </c>
      <c r="H1375" s="57" t="s">
        <v>211</v>
      </c>
      <c r="I1375" s="58" t="n">
        <f aca="false">'P9-017'!$N$92</f>
        <v>46346</v>
      </c>
      <c r="J1375" s="58" t="n">
        <f aca="false">'P9-017'!$O$92</f>
        <v>46347</v>
      </c>
      <c r="K1375" s="56" t="str">
        <f aca="false">IF(OR(L1375="Y",LEFT('P9-017'!$T$92,1)="D"),"",IF(AND(ISNUMBER(J1375),J1375&lt;ASOF),"⚠ เลยกำหนด",IF(AND(ISNUMBER(I1375),I1375&lt;=ASOF+14,J1375&gt;=ASOF-7),"ช่วงนี้","")))</f>
        <v/>
      </c>
      <c r="L1375" s="59"/>
      <c r="M1375" s="60"/>
    </row>
    <row r="1376" customFormat="false" ht="15" hidden="false" customHeight="false" outlineLevel="0" collapsed="false">
      <c r="A1376" s="54" t="s">
        <v>106</v>
      </c>
      <c r="B1376" s="55" t="s">
        <v>496</v>
      </c>
      <c r="C1376" s="56" t="s">
        <v>497</v>
      </c>
      <c r="D1376" s="57" t="s">
        <v>108</v>
      </c>
      <c r="E1376" s="57" t="s">
        <v>382</v>
      </c>
      <c r="F1376" s="55" t="s">
        <v>383</v>
      </c>
      <c r="G1376" s="55" t="s">
        <v>384</v>
      </c>
      <c r="H1376" s="57" t="s">
        <v>369</v>
      </c>
      <c r="I1376" s="58" t="n">
        <f aca="false">'P9-017'!$N$93</f>
        <v>46344</v>
      </c>
      <c r="J1376" s="58" t="n">
        <f aca="false">'P9-017'!$O$93</f>
        <v>46346</v>
      </c>
      <c r="K1376" s="56" t="str">
        <f aca="false">IF(OR(L1376="Y",LEFT('P9-017'!$T$93,1)="D"),"",IF(AND(ISNUMBER(J1376),J1376&lt;ASOF),"⚠ เลยกำหนด",IF(AND(ISNUMBER(I1376),I1376&lt;=ASOF+14,J1376&gt;=ASOF-7),"ช่วงนี้","")))</f>
        <v/>
      </c>
      <c r="L1376" s="59"/>
      <c r="M1376" s="60"/>
    </row>
    <row r="1377" customFormat="false" ht="15" hidden="false" customHeight="false" outlineLevel="0" collapsed="false">
      <c r="A1377" s="54" t="s">
        <v>106</v>
      </c>
      <c r="B1377" s="55" t="s">
        <v>496</v>
      </c>
      <c r="C1377" s="56" t="s">
        <v>497</v>
      </c>
      <c r="D1377" s="57" t="s">
        <v>108</v>
      </c>
      <c r="E1377" s="57" t="s">
        <v>385</v>
      </c>
      <c r="F1377" s="55" t="s">
        <v>386</v>
      </c>
      <c r="G1377" s="55" t="s">
        <v>387</v>
      </c>
      <c r="H1377" s="57" t="s">
        <v>211</v>
      </c>
      <c r="I1377" s="58" t="n">
        <f aca="false">'P9-017'!$N$94</f>
        <v>46346</v>
      </c>
      <c r="J1377" s="58" t="n">
        <f aca="false">'P9-017'!$O$94</f>
        <v>46347</v>
      </c>
      <c r="K1377" s="56" t="str">
        <f aca="false">IF(OR(L1377="Y",LEFT('P9-017'!$T$94,1)="D"),"",IF(AND(ISNUMBER(J1377),J1377&lt;ASOF),"⚠ เลยกำหนด",IF(AND(ISNUMBER(I1377),I1377&lt;=ASOF+14,J1377&gt;=ASOF-7),"ช่วงนี้","")))</f>
        <v/>
      </c>
      <c r="L1377" s="59"/>
      <c r="M1377" s="60"/>
    </row>
    <row r="1378" customFormat="false" ht="15" hidden="false" customHeight="false" outlineLevel="0" collapsed="false">
      <c r="A1378" s="54" t="s">
        <v>106</v>
      </c>
      <c r="B1378" s="55" t="s">
        <v>496</v>
      </c>
      <c r="C1378" s="56" t="s">
        <v>497</v>
      </c>
      <c r="D1378" s="57" t="s">
        <v>108</v>
      </c>
      <c r="E1378" s="57" t="s">
        <v>388</v>
      </c>
      <c r="F1378" s="61" t="s">
        <v>389</v>
      </c>
      <c r="G1378" s="55" t="s">
        <v>390</v>
      </c>
      <c r="H1378" s="57" t="s">
        <v>211</v>
      </c>
      <c r="I1378" s="58" t="n">
        <f aca="false">'P9-017'!$N$95</f>
        <v>46347</v>
      </c>
      <c r="J1378" s="58" t="n">
        <f aca="false">'P9-017'!$O$95</f>
        <v>46347</v>
      </c>
      <c r="K1378" s="56" t="str">
        <f aca="false">IF(OR(L1378="Y",LEFT('P9-017'!$T$95,1)="D"),"",IF(AND(ISNUMBER(J1378),J1378&lt;ASOF),"⚠ เลยกำหนด",IF(AND(ISNUMBER(I1378),I1378&lt;=ASOF+14,J1378&gt;=ASOF-7),"ช่วงนี้","")))</f>
        <v/>
      </c>
      <c r="L1378" s="59"/>
      <c r="M1378" s="60"/>
    </row>
    <row r="1379" customFormat="false" ht="15" hidden="false" customHeight="false" outlineLevel="0" collapsed="false">
      <c r="A1379" s="54" t="s">
        <v>106</v>
      </c>
      <c r="B1379" s="55" t="s">
        <v>496</v>
      </c>
      <c r="C1379" s="56" t="s">
        <v>497</v>
      </c>
      <c r="D1379" s="57" t="s">
        <v>108</v>
      </c>
      <c r="E1379" s="57" t="s">
        <v>391</v>
      </c>
      <c r="F1379" s="55" t="s">
        <v>392</v>
      </c>
      <c r="G1379" s="55" t="s">
        <v>393</v>
      </c>
      <c r="H1379" s="57" t="s">
        <v>369</v>
      </c>
      <c r="I1379" s="58" t="n">
        <f aca="false">'P9-017'!$N$97</f>
        <v>46345</v>
      </c>
      <c r="J1379" s="58" t="n">
        <f aca="false">'P9-017'!$O$97</f>
        <v>46347</v>
      </c>
      <c r="K1379" s="56" t="str">
        <f aca="false">IF(OR(L1379="Y",LEFT('P9-017'!$T$97,1)="D"),"",IF(AND(ISNUMBER(J1379),J1379&lt;ASOF),"⚠ เลยกำหนด",IF(AND(ISNUMBER(I1379),I1379&lt;=ASOF+14,J1379&gt;=ASOF-7),"ช่วงนี้","")))</f>
        <v/>
      </c>
      <c r="L1379" s="59"/>
      <c r="M1379" s="60"/>
    </row>
    <row r="1380" customFormat="false" ht="15" hidden="false" customHeight="false" outlineLevel="0" collapsed="false">
      <c r="A1380" s="54" t="s">
        <v>106</v>
      </c>
      <c r="B1380" s="55" t="s">
        <v>496</v>
      </c>
      <c r="C1380" s="56" t="s">
        <v>497</v>
      </c>
      <c r="D1380" s="57" t="s">
        <v>108</v>
      </c>
      <c r="E1380" s="57" t="s">
        <v>394</v>
      </c>
      <c r="F1380" s="55" t="s">
        <v>395</v>
      </c>
      <c r="G1380" s="55" t="s">
        <v>396</v>
      </c>
      <c r="H1380" s="57" t="s">
        <v>211</v>
      </c>
      <c r="I1380" s="58" t="n">
        <f aca="false">'P9-017'!$N$98</f>
        <v>46346</v>
      </c>
      <c r="J1380" s="58" t="n">
        <f aca="false">'P9-017'!$O$98</f>
        <v>46347</v>
      </c>
      <c r="K1380" s="56" t="str">
        <f aca="false">IF(OR(L1380="Y",LEFT('P9-017'!$T$98,1)="D"),"",IF(AND(ISNUMBER(J1380),J1380&lt;ASOF),"⚠ เลยกำหนด",IF(AND(ISNUMBER(I1380),I1380&lt;=ASOF+14,J1380&gt;=ASOF-7),"ช่วงนี้","")))</f>
        <v/>
      </c>
      <c r="L1380" s="59"/>
      <c r="M1380" s="60"/>
    </row>
    <row r="1381" customFormat="false" ht="15" hidden="false" customHeight="false" outlineLevel="0" collapsed="false">
      <c r="A1381" s="54" t="s">
        <v>106</v>
      </c>
      <c r="B1381" s="55" t="s">
        <v>496</v>
      </c>
      <c r="C1381" s="56" t="s">
        <v>497</v>
      </c>
      <c r="D1381" s="57" t="s">
        <v>108</v>
      </c>
      <c r="E1381" s="57" t="s">
        <v>397</v>
      </c>
      <c r="F1381" s="61" t="s">
        <v>398</v>
      </c>
      <c r="G1381" s="55" t="s">
        <v>399</v>
      </c>
      <c r="H1381" s="57" t="s">
        <v>211</v>
      </c>
      <c r="I1381" s="58" t="n">
        <f aca="false">'P9-017'!$N$99</f>
        <v>46347</v>
      </c>
      <c r="J1381" s="58" t="n">
        <f aca="false">'P9-017'!$O$99</f>
        <v>46347</v>
      </c>
      <c r="K1381" s="56" t="str">
        <f aca="false">IF(OR(L1381="Y",LEFT('P9-017'!$T$99,1)="D"),"",IF(AND(ISNUMBER(J1381),J1381&lt;ASOF),"⚠ เลยกำหนด",IF(AND(ISNUMBER(I1381),I1381&lt;=ASOF+14,J1381&gt;=ASOF-7),"ช่วงนี้","")))</f>
        <v/>
      </c>
      <c r="L1381" s="59"/>
      <c r="M1381" s="60"/>
    </row>
    <row r="1382" customFormat="false" ht="15" hidden="false" customHeight="false" outlineLevel="0" collapsed="false">
      <c r="A1382" s="54" t="s">
        <v>106</v>
      </c>
      <c r="B1382" s="55" t="s">
        <v>496</v>
      </c>
      <c r="C1382" s="56" t="s">
        <v>497</v>
      </c>
      <c r="D1382" s="57" t="s">
        <v>108</v>
      </c>
      <c r="E1382" s="57" t="s">
        <v>400</v>
      </c>
      <c r="F1382" s="55" t="s">
        <v>401</v>
      </c>
      <c r="G1382" s="55" t="s">
        <v>402</v>
      </c>
      <c r="H1382" s="57" t="s">
        <v>211</v>
      </c>
      <c r="I1382" s="58" t="n">
        <f aca="false">'P9-017'!$N$102</f>
        <v>46346</v>
      </c>
      <c r="J1382" s="58" t="n">
        <f aca="false">'P9-017'!$O$102</f>
        <v>46347</v>
      </c>
      <c r="K1382" s="56" t="str">
        <f aca="false">IF(OR(L1382="Y",LEFT('P9-017'!$T$102,1)="D"),"",IF(AND(ISNUMBER(J1382),J1382&lt;ASOF),"⚠ เลยกำหนด",IF(AND(ISNUMBER(I1382),I1382&lt;=ASOF+14,J1382&gt;=ASOF-7),"ช่วงนี้","")))</f>
        <v/>
      </c>
      <c r="L1382" s="59"/>
      <c r="M1382" s="60"/>
    </row>
    <row r="1383" customFormat="false" ht="15" hidden="false" customHeight="false" outlineLevel="0" collapsed="false">
      <c r="A1383" s="54" t="s">
        <v>106</v>
      </c>
      <c r="B1383" s="55" t="s">
        <v>496</v>
      </c>
      <c r="C1383" s="56" t="s">
        <v>497</v>
      </c>
      <c r="D1383" s="57" t="s">
        <v>108</v>
      </c>
      <c r="E1383" s="57" t="s">
        <v>403</v>
      </c>
      <c r="F1383" s="55" t="s">
        <v>404</v>
      </c>
      <c r="G1383" s="55" t="s">
        <v>405</v>
      </c>
      <c r="H1383" s="57" t="s">
        <v>211</v>
      </c>
      <c r="I1383" s="58" t="n">
        <f aca="false">'P9-017'!$N$104</f>
        <v>46347</v>
      </c>
      <c r="J1383" s="58" t="n">
        <f aca="false">'P9-017'!$O$104</f>
        <v>46348</v>
      </c>
      <c r="K1383" s="56" t="str">
        <f aca="false">IF(OR(L1383="Y",LEFT('P9-017'!$T$104,1)="D"),"",IF(AND(ISNUMBER(J1383),J1383&lt;ASOF),"⚠ เลยกำหนด",IF(AND(ISNUMBER(I1383),I1383&lt;=ASOF+14,J1383&gt;=ASOF-7),"ช่วงนี้","")))</f>
        <v/>
      </c>
      <c r="L1383" s="59"/>
      <c r="M1383" s="60"/>
    </row>
    <row r="1384" customFormat="false" ht="15" hidden="false" customHeight="false" outlineLevel="0" collapsed="false">
      <c r="A1384" s="54" t="s">
        <v>106</v>
      </c>
      <c r="B1384" s="55" t="s">
        <v>496</v>
      </c>
      <c r="C1384" s="56" t="s">
        <v>497</v>
      </c>
      <c r="D1384" s="57" t="s">
        <v>108</v>
      </c>
      <c r="E1384" s="57" t="s">
        <v>406</v>
      </c>
      <c r="F1384" s="55" t="s">
        <v>407</v>
      </c>
      <c r="G1384" s="55" t="s">
        <v>408</v>
      </c>
      <c r="H1384" s="57" t="s">
        <v>211</v>
      </c>
      <c r="I1384" s="58" t="n">
        <f aca="false">'P9-017'!$N$105</f>
        <v>46347</v>
      </c>
      <c r="J1384" s="58" t="n">
        <f aca="false">'P9-017'!$O$105</f>
        <v>46348</v>
      </c>
      <c r="K1384" s="56" t="str">
        <f aca="false">IF(OR(L1384="Y",LEFT('P9-017'!$T$105,1)="D"),"",IF(AND(ISNUMBER(J1384),J1384&lt;ASOF),"⚠ เลยกำหนด",IF(AND(ISNUMBER(I1384),I1384&lt;=ASOF+14,J1384&gt;=ASOF-7),"ช่วงนี้","")))</f>
        <v/>
      </c>
      <c r="L1384" s="59"/>
      <c r="M1384" s="60"/>
    </row>
    <row r="1385" customFormat="false" ht="15" hidden="false" customHeight="false" outlineLevel="0" collapsed="false">
      <c r="A1385" s="54" t="s">
        <v>106</v>
      </c>
      <c r="B1385" s="55" t="s">
        <v>496</v>
      </c>
      <c r="C1385" s="56" t="s">
        <v>497</v>
      </c>
      <c r="D1385" s="57" t="s">
        <v>108</v>
      </c>
      <c r="E1385" s="57" t="s">
        <v>409</v>
      </c>
      <c r="F1385" s="61" t="s">
        <v>410</v>
      </c>
      <c r="G1385" s="55" t="s">
        <v>411</v>
      </c>
      <c r="H1385" s="57" t="s">
        <v>211</v>
      </c>
      <c r="I1385" s="58" t="n">
        <f aca="false">'P9-017'!$N$106</f>
        <v>46348</v>
      </c>
      <c r="J1385" s="58" t="n">
        <f aca="false">'P9-017'!$O$106</f>
        <v>46348</v>
      </c>
      <c r="K1385" s="56" t="str">
        <f aca="false">IF(OR(L1385="Y",LEFT('P9-017'!$T$106,1)="D"),"",IF(AND(ISNUMBER(J1385),J1385&lt;ASOF),"⚠ เลยกำหนด",IF(AND(ISNUMBER(I1385),I1385&lt;=ASOF+14,J1385&gt;=ASOF-7),"ช่วงนี้","")))</f>
        <v/>
      </c>
      <c r="L1385" s="59"/>
      <c r="M1385" s="60"/>
    </row>
    <row r="1386" customFormat="false" ht="15" hidden="false" customHeight="false" outlineLevel="0" collapsed="false">
      <c r="A1386" s="54" t="s">
        <v>106</v>
      </c>
      <c r="B1386" s="55" t="s">
        <v>496</v>
      </c>
      <c r="C1386" s="56" t="s">
        <v>497</v>
      </c>
      <c r="D1386" s="57" t="s">
        <v>108</v>
      </c>
      <c r="E1386" s="57" t="s">
        <v>412</v>
      </c>
      <c r="F1386" s="61" t="s">
        <v>413</v>
      </c>
      <c r="G1386" s="61" t="s">
        <v>414</v>
      </c>
      <c r="H1386" s="57" t="s">
        <v>211</v>
      </c>
      <c r="I1386" s="58" t="n">
        <f aca="false">'P9-017'!$N$108</f>
        <v>46347</v>
      </c>
      <c r="J1386" s="58" t="n">
        <f aca="false">'P9-017'!$O$108</f>
        <v>46348</v>
      </c>
      <c r="K1386" s="56" t="str">
        <f aca="false">IF(OR(L1386="Y",LEFT('P9-017'!$T$108,1)="D"),"",IF(AND(ISNUMBER(J1386),J1386&lt;ASOF),"⚠ เลยกำหนด",IF(AND(ISNUMBER(I1386),I1386&lt;=ASOF+14,J1386&gt;=ASOF-7),"ช่วงนี้","")))</f>
        <v/>
      </c>
      <c r="L1386" s="59"/>
      <c r="M1386" s="60"/>
    </row>
    <row r="1387" customFormat="false" ht="15" hidden="false" customHeight="false" outlineLevel="0" collapsed="false">
      <c r="A1387" s="54" t="s">
        <v>106</v>
      </c>
      <c r="B1387" s="55" t="s">
        <v>496</v>
      </c>
      <c r="C1387" s="56" t="s">
        <v>497</v>
      </c>
      <c r="D1387" s="57" t="s">
        <v>108</v>
      </c>
      <c r="E1387" s="57" t="s">
        <v>415</v>
      </c>
      <c r="F1387" s="55" t="s">
        <v>416</v>
      </c>
      <c r="G1387" s="55" t="s">
        <v>417</v>
      </c>
      <c r="H1387" s="57" t="s">
        <v>211</v>
      </c>
      <c r="I1387" s="58" t="n">
        <f aca="false">'P9-017'!$N$109</f>
        <v>46348</v>
      </c>
      <c r="J1387" s="58" t="n">
        <f aca="false">'P9-017'!$O$109</f>
        <v>46348</v>
      </c>
      <c r="K1387" s="56" t="str">
        <f aca="false">IF(OR(L1387="Y",LEFT('P9-017'!$T$109,1)="D"),"",IF(AND(ISNUMBER(J1387),J1387&lt;ASOF),"⚠ เลยกำหนด",IF(AND(ISNUMBER(I1387),I1387&lt;=ASOF+14,J1387&gt;=ASOF-7),"ช่วงนี้","")))</f>
        <v/>
      </c>
      <c r="L1387" s="59"/>
      <c r="M1387" s="60"/>
    </row>
    <row r="1388" customFormat="false" ht="15" hidden="false" customHeight="false" outlineLevel="0" collapsed="false">
      <c r="A1388" s="54" t="s">
        <v>106</v>
      </c>
      <c r="B1388" s="55" t="s">
        <v>496</v>
      </c>
      <c r="C1388" s="56" t="s">
        <v>497</v>
      </c>
      <c r="D1388" s="57" t="s">
        <v>108</v>
      </c>
      <c r="E1388" s="57" t="s">
        <v>418</v>
      </c>
      <c r="F1388" s="61" t="s">
        <v>419</v>
      </c>
      <c r="G1388" s="55" t="s">
        <v>420</v>
      </c>
      <c r="H1388" s="57" t="s">
        <v>211</v>
      </c>
      <c r="I1388" s="58" t="n">
        <f aca="false">'P9-017'!$N$110</f>
        <v>46347</v>
      </c>
      <c r="J1388" s="58" t="n">
        <f aca="false">'P9-017'!$O$110</f>
        <v>46348</v>
      </c>
      <c r="K1388" s="56" t="str">
        <f aca="false">IF(OR(L1388="Y",LEFT('P9-017'!$T$110,1)="D"),"",IF(AND(ISNUMBER(J1388),J1388&lt;ASOF),"⚠ เลยกำหนด",IF(AND(ISNUMBER(I1388),I1388&lt;=ASOF+14,J1388&gt;=ASOF-7),"ช่วงนี้","")))</f>
        <v/>
      </c>
      <c r="L1388" s="59"/>
      <c r="M1388" s="60"/>
    </row>
    <row r="1389" customFormat="false" ht="15" hidden="false" customHeight="false" outlineLevel="0" collapsed="false">
      <c r="A1389" s="54" t="s">
        <v>106</v>
      </c>
      <c r="B1389" s="55" t="s">
        <v>496</v>
      </c>
      <c r="C1389" s="56" t="s">
        <v>497</v>
      </c>
      <c r="D1389" s="57" t="s">
        <v>108</v>
      </c>
      <c r="E1389" s="57" t="s">
        <v>421</v>
      </c>
      <c r="F1389" s="55" t="s">
        <v>422</v>
      </c>
      <c r="G1389" s="55" t="s">
        <v>423</v>
      </c>
      <c r="H1389" s="56" t="str">
        <f aca="false">IF(COUNTIFS(SITE_ST,"P9-017",SITE_TYPE,"?*")&gt;0,"ตามจุดติดตั้ง →","0/100")</f>
        <v>ตามจุดติดตั้ง →</v>
      </c>
      <c r="I1389" s="58" t="n">
        <f aca="false">'P9-017'!$N$112</f>
        <v>46349</v>
      </c>
      <c r="J1389" s="58" t="n">
        <f aca="false">'P9-017'!$O$112</f>
        <v>46349</v>
      </c>
      <c r="K1389" s="56" t="str">
        <f aca="false">IF(OR(L1389="Y",LEFT('P9-017'!$T$112,1)="D"),"",IF(AND(ISNUMBER(J1389),J1389&lt;ASOF),"⚠ เลยกำหนด",IF(AND(ISNUMBER(I1389),I1389&lt;=ASOF+14,J1389&gt;=ASOF-7),"ช่วงนี้","")))</f>
        <v/>
      </c>
      <c r="L1389" s="59"/>
      <c r="M1389" s="60"/>
    </row>
    <row r="1390" customFormat="false" ht="15" hidden="false" customHeight="false" outlineLevel="0" collapsed="false">
      <c r="A1390" s="54" t="s">
        <v>106</v>
      </c>
      <c r="B1390" s="55" t="s">
        <v>496</v>
      </c>
      <c r="C1390" s="56" t="s">
        <v>497</v>
      </c>
      <c r="D1390" s="57" t="s">
        <v>108</v>
      </c>
      <c r="E1390" s="57" t="s">
        <v>424</v>
      </c>
      <c r="F1390" s="55" t="s">
        <v>425</v>
      </c>
      <c r="G1390" s="55" t="s">
        <v>426</v>
      </c>
      <c r="H1390" s="56" t="str">
        <f aca="false">IF(COUNTIFS(SITE_ST,"P9-017",SITE_TYPE,"?*")&gt;0,"ตามจุดติดตั้ง →","0/100")</f>
        <v>ตามจุดติดตั้ง →</v>
      </c>
      <c r="I1390" s="58" t="n">
        <f aca="false">'P9-017'!$N$113</f>
        <v>46349</v>
      </c>
      <c r="J1390" s="58" t="n">
        <f aca="false">'P9-017'!$O$113</f>
        <v>46349</v>
      </c>
      <c r="K1390" s="56" t="str">
        <f aca="false">IF(OR(L1390="Y",LEFT('P9-017'!$T$113,1)="D"),"",IF(AND(ISNUMBER(J1390),J1390&lt;ASOF),"⚠ เลยกำหนด",IF(AND(ISNUMBER(I1390),I1390&lt;=ASOF+14,J1390&gt;=ASOF-7),"ช่วงนี้","")))</f>
        <v/>
      </c>
      <c r="L1390" s="59"/>
      <c r="M1390" s="60"/>
    </row>
    <row r="1391" customFormat="false" ht="15" hidden="false" customHeight="false" outlineLevel="0" collapsed="false">
      <c r="A1391" s="54" t="s">
        <v>106</v>
      </c>
      <c r="B1391" s="55" t="s">
        <v>496</v>
      </c>
      <c r="C1391" s="56" t="s">
        <v>497</v>
      </c>
      <c r="D1391" s="57" t="s">
        <v>108</v>
      </c>
      <c r="E1391" s="57" t="s">
        <v>427</v>
      </c>
      <c r="F1391" s="61" t="s">
        <v>428</v>
      </c>
      <c r="G1391" s="61" t="s">
        <v>429</v>
      </c>
      <c r="H1391" s="57" t="s">
        <v>211</v>
      </c>
      <c r="I1391" s="58" t="n">
        <f aca="false">'P9-017'!$N$116</f>
        <v>46359</v>
      </c>
      <c r="J1391" s="58" t="n">
        <f aca="false">'P9-017'!$O$116</f>
        <v>46359</v>
      </c>
      <c r="K1391" s="56" t="str">
        <f aca="false">IF(OR(L1391="Y",LEFT('P9-017'!$T$116,1)="D"),"",IF(AND(ISNUMBER(J1391),J1391&lt;ASOF),"⚠ เลยกำหนด",IF(AND(ISNUMBER(I1391),I1391&lt;=ASOF+14,J1391&gt;=ASOF-7),"ช่วงนี้","")))</f>
        <v/>
      </c>
      <c r="L1391" s="59"/>
      <c r="M1391" s="60"/>
    </row>
    <row r="1392" customFormat="false" ht="15" hidden="false" customHeight="false" outlineLevel="0" collapsed="false">
      <c r="A1392" s="54" t="s">
        <v>106</v>
      </c>
      <c r="B1392" s="55" t="s">
        <v>496</v>
      </c>
      <c r="C1392" s="56" t="s">
        <v>497</v>
      </c>
      <c r="D1392" s="57" t="s">
        <v>108</v>
      </c>
      <c r="E1392" s="57" t="s">
        <v>430</v>
      </c>
      <c r="F1392" s="55" t="s">
        <v>431</v>
      </c>
      <c r="G1392" s="55" t="s">
        <v>432</v>
      </c>
      <c r="H1392" s="57" t="s">
        <v>211</v>
      </c>
      <c r="I1392" s="58" t="n">
        <f aca="false">'P9-017'!$N$117</f>
        <v>46359</v>
      </c>
      <c r="J1392" s="58" t="n">
        <f aca="false">'P9-017'!$O$117</f>
        <v>46359</v>
      </c>
      <c r="K1392" s="56" t="str">
        <f aca="false">IF(OR(L1392="Y",LEFT('P9-017'!$T$117,1)="D"),"",IF(AND(ISNUMBER(J1392),J1392&lt;ASOF),"⚠ เลยกำหนด",IF(AND(ISNUMBER(I1392),I1392&lt;=ASOF+14,J1392&gt;=ASOF-7),"ช่วงนี้","")))</f>
        <v/>
      </c>
      <c r="L1392" s="59"/>
      <c r="M1392" s="60"/>
    </row>
    <row r="1393" customFormat="false" ht="15" hidden="false" customHeight="false" outlineLevel="0" collapsed="false">
      <c r="A1393" s="54" t="s">
        <v>106</v>
      </c>
      <c r="B1393" s="55" t="s">
        <v>496</v>
      </c>
      <c r="C1393" s="56" t="s">
        <v>497</v>
      </c>
      <c r="D1393" s="57" t="s">
        <v>108</v>
      </c>
      <c r="E1393" s="57" t="s">
        <v>433</v>
      </c>
      <c r="F1393" s="55" t="s">
        <v>434</v>
      </c>
      <c r="G1393" s="55" t="s">
        <v>435</v>
      </c>
      <c r="H1393" s="57" t="s">
        <v>211</v>
      </c>
      <c r="I1393" s="58" t="n">
        <f aca="false">'P9-017'!$N$118</f>
        <v>46359</v>
      </c>
      <c r="J1393" s="58" t="n">
        <f aca="false">'P9-017'!$O$118</f>
        <v>46359</v>
      </c>
      <c r="K1393" s="56" t="str">
        <f aca="false">IF(OR(L1393="Y",LEFT('P9-017'!$T$118,1)="D"),"",IF(AND(ISNUMBER(J1393),J1393&lt;ASOF),"⚠ เลยกำหนด",IF(AND(ISNUMBER(I1393),I1393&lt;=ASOF+14,J1393&gt;=ASOF-7),"ช่วงนี้","")))</f>
        <v/>
      </c>
      <c r="L1393" s="59"/>
      <c r="M1393" s="60"/>
    </row>
    <row r="1394" customFormat="false" ht="15" hidden="false" customHeight="false" outlineLevel="0" collapsed="false">
      <c r="A1394" s="54" t="s">
        <v>106</v>
      </c>
      <c r="B1394" s="55" t="s">
        <v>496</v>
      </c>
      <c r="C1394" s="56" t="s">
        <v>497</v>
      </c>
      <c r="D1394" s="57" t="s">
        <v>108</v>
      </c>
      <c r="E1394" s="57" t="s">
        <v>436</v>
      </c>
      <c r="F1394" s="55" t="s">
        <v>437</v>
      </c>
      <c r="G1394" s="55" t="s">
        <v>438</v>
      </c>
      <c r="H1394" s="57" t="s">
        <v>211</v>
      </c>
      <c r="I1394" s="58" t="n">
        <f aca="false">'P9-017'!$N$119</f>
        <v>46359</v>
      </c>
      <c r="J1394" s="58" t="n">
        <f aca="false">'P9-017'!$O$119</f>
        <v>46359</v>
      </c>
      <c r="K1394" s="56" t="str">
        <f aca="false">IF(OR(L1394="Y",LEFT('P9-017'!$T$119,1)="D"),"",IF(AND(ISNUMBER(J1394),J1394&lt;ASOF),"⚠ เลยกำหนด",IF(AND(ISNUMBER(I1394),I1394&lt;=ASOF+14,J1394&gt;=ASOF-7),"ช่วงนี้","")))</f>
        <v/>
      </c>
      <c r="L1394" s="59"/>
      <c r="M1394" s="60"/>
    </row>
    <row r="1395" customFormat="false" ht="15" hidden="false" customHeight="false" outlineLevel="0" collapsed="false">
      <c r="A1395" s="54" t="s">
        <v>106</v>
      </c>
      <c r="B1395" s="55" t="s">
        <v>496</v>
      </c>
      <c r="C1395" s="56" t="s">
        <v>497</v>
      </c>
      <c r="D1395" s="57" t="s">
        <v>108</v>
      </c>
      <c r="E1395" s="57" t="s">
        <v>439</v>
      </c>
      <c r="F1395" s="55" t="s">
        <v>440</v>
      </c>
      <c r="G1395" s="55" t="s">
        <v>441</v>
      </c>
      <c r="H1395" s="57" t="s">
        <v>211</v>
      </c>
      <c r="I1395" s="58" t="n">
        <f aca="false">'P9-017'!$N$120</f>
        <v>46359</v>
      </c>
      <c r="J1395" s="58" t="n">
        <f aca="false">'P9-017'!$O$120</f>
        <v>46359</v>
      </c>
      <c r="K1395" s="56" t="str">
        <f aca="false">IF(OR(L1395="Y",LEFT('P9-017'!$T$120,1)="D"),"",IF(AND(ISNUMBER(J1395),J1395&lt;ASOF),"⚠ เลยกำหนด",IF(AND(ISNUMBER(I1395),I1395&lt;=ASOF+14,J1395&gt;=ASOF-7),"ช่วงนี้","")))</f>
        <v/>
      </c>
      <c r="L1395" s="59"/>
      <c r="M1395" s="60"/>
    </row>
    <row r="1396" customFormat="false" ht="15" hidden="false" customHeight="false" outlineLevel="0" collapsed="false">
      <c r="A1396" s="54" t="s">
        <v>106</v>
      </c>
      <c r="B1396" s="55" t="s">
        <v>496</v>
      </c>
      <c r="C1396" s="56" t="s">
        <v>497</v>
      </c>
      <c r="D1396" s="57" t="s">
        <v>108</v>
      </c>
      <c r="E1396" s="57" t="s">
        <v>442</v>
      </c>
      <c r="F1396" s="55" t="s">
        <v>443</v>
      </c>
      <c r="G1396" s="55" t="s">
        <v>444</v>
      </c>
      <c r="H1396" s="57" t="s">
        <v>211</v>
      </c>
      <c r="I1396" s="58" t="n">
        <f aca="false">'P9-017'!$N$121</f>
        <v>46359</v>
      </c>
      <c r="J1396" s="58" t="n">
        <f aca="false">'P9-017'!$O$121</f>
        <v>46359</v>
      </c>
      <c r="K1396" s="56" t="str">
        <f aca="false">IF(OR(L1396="Y",LEFT('P9-017'!$T$121,1)="D"),"",IF(AND(ISNUMBER(J1396),J1396&lt;ASOF),"⚠ เลยกำหนด",IF(AND(ISNUMBER(I1396),I1396&lt;=ASOF+14,J1396&gt;=ASOF-7),"ช่วงนี้","")))</f>
        <v/>
      </c>
      <c r="L1396" s="59"/>
      <c r="M1396" s="60"/>
    </row>
    <row r="1397" customFormat="false" ht="15" hidden="false" customHeight="false" outlineLevel="0" collapsed="false">
      <c r="A1397" s="54" t="s">
        <v>106</v>
      </c>
      <c r="B1397" s="55" t="s">
        <v>496</v>
      </c>
      <c r="C1397" s="56" t="s">
        <v>497</v>
      </c>
      <c r="D1397" s="57" t="s">
        <v>108</v>
      </c>
      <c r="E1397" s="57" t="s">
        <v>445</v>
      </c>
      <c r="F1397" s="55" t="s">
        <v>446</v>
      </c>
      <c r="G1397" s="55" t="s">
        <v>447</v>
      </c>
      <c r="H1397" s="57" t="s">
        <v>211</v>
      </c>
      <c r="I1397" s="58" t="n">
        <f aca="false">'P9-017'!$N$125</f>
        <v>46437</v>
      </c>
      <c r="J1397" s="58" t="n">
        <f aca="false">'P9-017'!$O$125</f>
        <v>46441</v>
      </c>
      <c r="K1397" s="56" t="str">
        <f aca="false">IF(OR(L1397="Y",LEFT('P9-017'!$T$125,1)="D"),"",IF(AND(ISNUMBER(J1397),J1397&lt;ASOF),"⚠ เลยกำหนด",IF(AND(ISNUMBER(I1397),I1397&lt;=ASOF+14,J1397&gt;=ASOF-7),"ช่วงนี้","")))</f>
        <v/>
      </c>
      <c r="L1397" s="59"/>
      <c r="M1397" s="60"/>
    </row>
    <row r="1398" customFormat="false" ht="15" hidden="false" customHeight="false" outlineLevel="0" collapsed="false">
      <c r="A1398" s="54" t="s">
        <v>106</v>
      </c>
      <c r="B1398" s="55" t="s">
        <v>496</v>
      </c>
      <c r="C1398" s="56" t="s">
        <v>497</v>
      </c>
      <c r="D1398" s="57" t="s">
        <v>108</v>
      </c>
      <c r="E1398" s="57" t="s">
        <v>448</v>
      </c>
      <c r="F1398" s="55" t="s">
        <v>449</v>
      </c>
      <c r="G1398" s="61" t="s">
        <v>450</v>
      </c>
      <c r="H1398" s="57" t="s">
        <v>211</v>
      </c>
      <c r="I1398" s="58" t="n">
        <f aca="false">'P9-017'!$N$126</f>
        <v>46440</v>
      </c>
      <c r="J1398" s="58" t="n">
        <f aca="false">'P9-017'!$O$126</f>
        <v>46447</v>
      </c>
      <c r="K1398" s="56" t="str">
        <f aca="false">IF(OR(L1398="Y",LEFT('P9-017'!$T$126,1)="D"),"",IF(AND(ISNUMBER(J1398),J1398&lt;ASOF),"⚠ เลยกำหนด",IF(AND(ISNUMBER(I1398),I1398&lt;=ASOF+14,J1398&gt;=ASOF-7),"ช่วงนี้","")))</f>
        <v/>
      </c>
      <c r="L1398" s="59"/>
      <c r="M1398" s="60"/>
    </row>
    <row r="1399" customFormat="false" ht="15" hidden="false" customHeight="false" outlineLevel="0" collapsed="false">
      <c r="A1399" s="54" t="s">
        <v>106</v>
      </c>
      <c r="B1399" s="55" t="s">
        <v>496</v>
      </c>
      <c r="C1399" s="56" t="s">
        <v>497</v>
      </c>
      <c r="D1399" s="57" t="s">
        <v>108</v>
      </c>
      <c r="E1399" s="57" t="s">
        <v>451</v>
      </c>
      <c r="F1399" s="61" t="s">
        <v>452</v>
      </c>
      <c r="G1399" s="61" t="s">
        <v>453</v>
      </c>
      <c r="H1399" s="57" t="s">
        <v>211</v>
      </c>
      <c r="I1399" s="58" t="n">
        <f aca="false">'P9-017'!$N$127</f>
        <v>46447</v>
      </c>
      <c r="J1399" s="58" t="n">
        <f aca="false">'P9-017'!$O$127</f>
        <v>46450</v>
      </c>
      <c r="K1399" s="56" t="str">
        <f aca="false">IF(OR(L1399="Y",LEFT('P9-017'!$T$127,1)="D"),"",IF(AND(ISNUMBER(J1399),J1399&lt;ASOF),"⚠ เลยกำหนด",IF(AND(ISNUMBER(I1399),I1399&lt;=ASOF+14,J1399&gt;=ASOF-7),"ช่วงนี้","")))</f>
        <v/>
      </c>
      <c r="L1399" s="59"/>
      <c r="M1399" s="60"/>
    </row>
    <row r="1400" customFormat="false" ht="15" hidden="false" customHeight="false" outlineLevel="0" collapsed="false">
      <c r="A1400" s="54" t="s">
        <v>110</v>
      </c>
      <c r="B1400" s="55" t="s">
        <v>498</v>
      </c>
      <c r="C1400" s="56" t="s">
        <v>499</v>
      </c>
      <c r="D1400" s="57" t="s">
        <v>112</v>
      </c>
      <c r="E1400" s="57" t="s">
        <v>208</v>
      </c>
      <c r="F1400" s="55" t="s">
        <v>209</v>
      </c>
      <c r="G1400" s="55" t="s">
        <v>210</v>
      </c>
      <c r="H1400" s="57" t="s">
        <v>211</v>
      </c>
      <c r="I1400" s="58" t="n">
        <f aca="false">'P9-018'!$N$10</f>
        <v>46328</v>
      </c>
      <c r="J1400" s="58" t="n">
        <f aca="false">'P9-018'!$O$10</f>
        <v>46340</v>
      </c>
      <c r="K1400" s="56" t="str">
        <f aca="false">IF(OR(L1400="Y",LEFT('P9-018'!$T$10,1)="D"),"",IF(AND(ISNUMBER(J1400),J1400&lt;ASOF),"⚠ เลยกำหนด",IF(AND(ISNUMBER(I1400),I1400&lt;=ASOF+14,J1400&gt;=ASOF-7),"ช่วงนี้","")))</f>
        <v>ช่วงนี้</v>
      </c>
      <c r="L1400" s="59"/>
      <c r="M1400" s="60"/>
    </row>
    <row r="1401" customFormat="false" ht="15" hidden="false" customHeight="false" outlineLevel="0" collapsed="false">
      <c r="A1401" s="54" t="s">
        <v>110</v>
      </c>
      <c r="B1401" s="55" t="s">
        <v>498</v>
      </c>
      <c r="C1401" s="56" t="s">
        <v>499</v>
      </c>
      <c r="D1401" s="57" t="s">
        <v>112</v>
      </c>
      <c r="E1401" s="57" t="s">
        <v>212</v>
      </c>
      <c r="F1401" s="55" t="s">
        <v>213</v>
      </c>
      <c r="G1401" s="55" t="s">
        <v>214</v>
      </c>
      <c r="H1401" s="57" t="s">
        <v>211</v>
      </c>
      <c r="I1401" s="58" t="n">
        <f aca="false">'P9-018'!$N$11</f>
        <v>46328</v>
      </c>
      <c r="J1401" s="58" t="n">
        <f aca="false">'P9-018'!$O$11</f>
        <v>46340</v>
      </c>
      <c r="K1401" s="56" t="str">
        <f aca="false">IF(OR(L1401="Y",LEFT('P9-018'!$T$11,1)="D"),"",IF(AND(ISNUMBER(J1401),J1401&lt;ASOF),"⚠ เลยกำหนด",IF(AND(ISNUMBER(I1401),I1401&lt;=ASOF+14,J1401&gt;=ASOF-7),"ช่วงนี้","")))</f>
        <v>ช่วงนี้</v>
      </c>
      <c r="L1401" s="59"/>
      <c r="M1401" s="60"/>
    </row>
    <row r="1402" customFormat="false" ht="15" hidden="false" customHeight="false" outlineLevel="0" collapsed="false">
      <c r="A1402" s="54" t="s">
        <v>110</v>
      </c>
      <c r="B1402" s="55" t="s">
        <v>498</v>
      </c>
      <c r="C1402" s="56" t="s">
        <v>499</v>
      </c>
      <c r="D1402" s="57" t="s">
        <v>112</v>
      </c>
      <c r="E1402" s="57" t="s">
        <v>215</v>
      </c>
      <c r="F1402" s="55" t="s">
        <v>216</v>
      </c>
      <c r="G1402" s="61" t="s">
        <v>217</v>
      </c>
      <c r="H1402" s="57" t="s">
        <v>211</v>
      </c>
      <c r="I1402" s="58" t="n">
        <f aca="false">'P9-018'!$N$12</f>
        <v>46328</v>
      </c>
      <c r="J1402" s="58" t="n">
        <f aca="false">'P9-018'!$O$12</f>
        <v>46340</v>
      </c>
      <c r="K1402" s="56" t="str">
        <f aca="false">IF(OR(L1402="Y",LEFT('P9-018'!$T$12,1)="D"),"",IF(AND(ISNUMBER(J1402),J1402&lt;ASOF),"⚠ เลยกำหนด",IF(AND(ISNUMBER(I1402),I1402&lt;=ASOF+14,J1402&gt;=ASOF-7),"ช่วงนี้","")))</f>
        <v>ช่วงนี้</v>
      </c>
      <c r="L1402" s="59"/>
      <c r="M1402" s="60"/>
    </row>
    <row r="1403" customFormat="false" ht="15" hidden="false" customHeight="false" outlineLevel="0" collapsed="false">
      <c r="A1403" s="54" t="s">
        <v>110</v>
      </c>
      <c r="B1403" s="55" t="s">
        <v>498</v>
      </c>
      <c r="C1403" s="56" t="s">
        <v>499</v>
      </c>
      <c r="D1403" s="57" t="s">
        <v>112</v>
      </c>
      <c r="E1403" s="57" t="s">
        <v>218</v>
      </c>
      <c r="F1403" s="55" t="s">
        <v>219</v>
      </c>
      <c r="G1403" s="55" t="s">
        <v>220</v>
      </c>
      <c r="H1403" s="57" t="s">
        <v>211</v>
      </c>
      <c r="I1403" s="58" t="n">
        <f aca="false">'P9-018'!$N$13</f>
        <v>46328</v>
      </c>
      <c r="J1403" s="58" t="n">
        <f aca="false">'P9-018'!$O$13</f>
        <v>46346</v>
      </c>
      <c r="K1403" s="56" t="str">
        <f aca="false">IF(OR(L1403="Y",LEFT('P9-018'!$T$13,1)="D"),"",IF(AND(ISNUMBER(J1403),J1403&lt;ASOF),"⚠ เลยกำหนด",IF(AND(ISNUMBER(I1403),I1403&lt;=ASOF+14,J1403&gt;=ASOF-7),"ช่วงนี้","")))</f>
        <v>ช่วงนี้</v>
      </c>
      <c r="L1403" s="59"/>
      <c r="M1403" s="60"/>
    </row>
    <row r="1404" customFormat="false" ht="15" hidden="false" customHeight="false" outlineLevel="0" collapsed="false">
      <c r="A1404" s="54" t="s">
        <v>110</v>
      </c>
      <c r="B1404" s="55" t="s">
        <v>498</v>
      </c>
      <c r="C1404" s="56" t="s">
        <v>499</v>
      </c>
      <c r="D1404" s="57" t="s">
        <v>112</v>
      </c>
      <c r="E1404" s="57" t="s">
        <v>221</v>
      </c>
      <c r="F1404" s="55" t="s">
        <v>222</v>
      </c>
      <c r="G1404" s="55" t="s">
        <v>223</v>
      </c>
      <c r="H1404" s="57" t="s">
        <v>211</v>
      </c>
      <c r="I1404" s="58" t="n">
        <f aca="false">'P9-018'!$N$14</f>
        <v>46340</v>
      </c>
      <c r="J1404" s="58" t="n">
        <f aca="false">'P9-018'!$O$14</f>
        <v>46450</v>
      </c>
      <c r="K1404" s="56" t="str">
        <f aca="false">IF(OR(L1404="Y",LEFT('P9-018'!$T$14,1)="D"),"",IF(AND(ISNUMBER(J1404),J1404&lt;ASOF),"⚠ เลยกำหนด",IF(AND(ISNUMBER(I1404),I1404&lt;=ASOF+14,J1404&gt;=ASOF-7),"ช่วงนี้","")))</f>
        <v>ช่วงนี้</v>
      </c>
      <c r="L1404" s="59"/>
      <c r="M1404" s="60"/>
    </row>
    <row r="1405" customFormat="false" ht="15" hidden="false" customHeight="false" outlineLevel="0" collapsed="false">
      <c r="A1405" s="54" t="s">
        <v>110</v>
      </c>
      <c r="B1405" s="55" t="s">
        <v>498</v>
      </c>
      <c r="C1405" s="56" t="s">
        <v>499</v>
      </c>
      <c r="D1405" s="57" t="s">
        <v>112</v>
      </c>
      <c r="E1405" s="57" t="s">
        <v>224</v>
      </c>
      <c r="F1405" s="55" t="s">
        <v>225</v>
      </c>
      <c r="G1405" s="61" t="s">
        <v>226</v>
      </c>
      <c r="H1405" s="57" t="s">
        <v>211</v>
      </c>
      <c r="I1405" s="58" t="n">
        <f aca="false">'P9-018'!$N$15</f>
        <v>46340</v>
      </c>
      <c r="J1405" s="58" t="n">
        <f aca="false">'P9-018'!$O$15</f>
        <v>46450</v>
      </c>
      <c r="K1405" s="56" t="str">
        <f aca="false">IF(OR(L1405="Y",LEFT('P9-018'!$T$15,1)="D"),"",IF(AND(ISNUMBER(J1405),J1405&lt;ASOF),"⚠ เลยกำหนด",IF(AND(ISNUMBER(I1405),I1405&lt;=ASOF+14,J1405&gt;=ASOF-7),"ช่วงนี้","")))</f>
        <v>ช่วงนี้</v>
      </c>
      <c r="L1405" s="59"/>
      <c r="M1405" s="60"/>
    </row>
    <row r="1406" customFormat="false" ht="15" hidden="false" customHeight="false" outlineLevel="0" collapsed="false">
      <c r="A1406" s="54" t="s">
        <v>110</v>
      </c>
      <c r="B1406" s="55" t="s">
        <v>498</v>
      </c>
      <c r="C1406" s="56" t="s">
        <v>499</v>
      </c>
      <c r="D1406" s="57" t="s">
        <v>112</v>
      </c>
      <c r="E1406" s="57" t="s">
        <v>227</v>
      </c>
      <c r="F1406" s="55" t="s">
        <v>228</v>
      </c>
      <c r="G1406" s="55" t="s">
        <v>229</v>
      </c>
      <c r="H1406" s="57" t="s">
        <v>211</v>
      </c>
      <c r="I1406" s="58" t="n">
        <f aca="false">'P9-018'!$N$17</f>
        <v>46328</v>
      </c>
      <c r="J1406" s="58" t="n">
        <f aca="false">'P9-018'!$O$17</f>
        <v>46328</v>
      </c>
      <c r="K1406" s="56" t="str">
        <f aca="false">IF(OR(L1406="Y",LEFT('P9-018'!$T$17,1)="D"),"",IF(AND(ISNUMBER(J1406),J1406&lt;ASOF),"⚠ เลยกำหนด",IF(AND(ISNUMBER(I1406),I1406&lt;=ASOF+14,J1406&gt;=ASOF-7),"ช่วงนี้","")))</f>
        <v>ช่วงนี้</v>
      </c>
      <c r="L1406" s="59"/>
      <c r="M1406" s="60"/>
    </row>
    <row r="1407" customFormat="false" ht="15" hidden="false" customHeight="false" outlineLevel="0" collapsed="false">
      <c r="A1407" s="54" t="s">
        <v>110</v>
      </c>
      <c r="B1407" s="55" t="s">
        <v>498</v>
      </c>
      <c r="C1407" s="56" t="s">
        <v>499</v>
      </c>
      <c r="D1407" s="57" t="s">
        <v>112</v>
      </c>
      <c r="E1407" s="57" t="s">
        <v>230</v>
      </c>
      <c r="F1407" s="55" t="s">
        <v>231</v>
      </c>
      <c r="G1407" s="55" t="s">
        <v>232</v>
      </c>
      <c r="H1407" s="57" t="s">
        <v>211</v>
      </c>
      <c r="I1407" s="58" t="n">
        <f aca="false">'P9-018'!$N$18</f>
        <v>46328</v>
      </c>
      <c r="J1407" s="58" t="n">
        <f aca="false">'P9-018'!$O$18</f>
        <v>46328</v>
      </c>
      <c r="K1407" s="56" t="str">
        <f aca="false">IF(OR(L1407="Y",LEFT('P9-018'!$T$18,1)="D"),"",IF(AND(ISNUMBER(J1407),J1407&lt;ASOF),"⚠ เลยกำหนด",IF(AND(ISNUMBER(I1407),I1407&lt;=ASOF+14,J1407&gt;=ASOF-7),"ช่วงนี้","")))</f>
        <v>ช่วงนี้</v>
      </c>
      <c r="L1407" s="59"/>
      <c r="M1407" s="60"/>
    </row>
    <row r="1408" customFormat="false" ht="15" hidden="false" customHeight="false" outlineLevel="0" collapsed="false">
      <c r="A1408" s="54" t="s">
        <v>110</v>
      </c>
      <c r="B1408" s="55" t="s">
        <v>498</v>
      </c>
      <c r="C1408" s="56" t="s">
        <v>499</v>
      </c>
      <c r="D1408" s="57" t="s">
        <v>112</v>
      </c>
      <c r="E1408" s="57" t="s">
        <v>233</v>
      </c>
      <c r="F1408" s="55" t="s">
        <v>234</v>
      </c>
      <c r="G1408" s="55" t="s">
        <v>235</v>
      </c>
      <c r="H1408" s="57" t="s">
        <v>211</v>
      </c>
      <c r="I1408" s="58" t="n">
        <f aca="false">'P9-018'!$N$19</f>
        <v>46328</v>
      </c>
      <c r="J1408" s="58" t="n">
        <f aca="false">'P9-018'!$O$19</f>
        <v>46328</v>
      </c>
      <c r="K1408" s="56" t="str">
        <f aca="false">IF(OR(L1408="Y",LEFT('P9-018'!$T$19,1)="D"),"",IF(AND(ISNUMBER(J1408),J1408&lt;ASOF),"⚠ เลยกำหนด",IF(AND(ISNUMBER(I1408),I1408&lt;=ASOF+14,J1408&gt;=ASOF-7),"ช่วงนี้","")))</f>
        <v>ช่วงนี้</v>
      </c>
      <c r="L1408" s="59"/>
      <c r="M1408" s="60"/>
    </row>
    <row r="1409" customFormat="false" ht="15" hidden="false" customHeight="false" outlineLevel="0" collapsed="false">
      <c r="A1409" s="54" t="s">
        <v>110</v>
      </c>
      <c r="B1409" s="55" t="s">
        <v>498</v>
      </c>
      <c r="C1409" s="56" t="s">
        <v>499</v>
      </c>
      <c r="D1409" s="57" t="s">
        <v>112</v>
      </c>
      <c r="E1409" s="57" t="s">
        <v>236</v>
      </c>
      <c r="F1409" s="55" t="s">
        <v>237</v>
      </c>
      <c r="G1409" s="55" t="s">
        <v>238</v>
      </c>
      <c r="H1409" s="57" t="s">
        <v>211</v>
      </c>
      <c r="I1409" s="58" t="n">
        <f aca="false">'P9-018'!$N$20</f>
        <v>46328</v>
      </c>
      <c r="J1409" s="58" t="n">
        <f aca="false">'P9-018'!$O$20</f>
        <v>46328</v>
      </c>
      <c r="K1409" s="56" t="str">
        <f aca="false">IF(OR(L1409="Y",LEFT('P9-018'!$T$20,1)="D"),"",IF(AND(ISNUMBER(J1409),J1409&lt;ASOF),"⚠ เลยกำหนด",IF(AND(ISNUMBER(I1409),I1409&lt;=ASOF+14,J1409&gt;=ASOF-7),"ช่วงนี้","")))</f>
        <v>ช่วงนี้</v>
      </c>
      <c r="L1409" s="59"/>
      <c r="M1409" s="60"/>
    </row>
    <row r="1410" customFormat="false" ht="15" hidden="false" customHeight="false" outlineLevel="0" collapsed="false">
      <c r="A1410" s="54" t="s">
        <v>110</v>
      </c>
      <c r="B1410" s="55" t="s">
        <v>498</v>
      </c>
      <c r="C1410" s="56" t="s">
        <v>499</v>
      </c>
      <c r="D1410" s="57" t="s">
        <v>112</v>
      </c>
      <c r="E1410" s="57" t="s">
        <v>239</v>
      </c>
      <c r="F1410" s="55" t="s">
        <v>240</v>
      </c>
      <c r="G1410" s="55" t="s">
        <v>241</v>
      </c>
      <c r="H1410" s="57" t="s">
        <v>211</v>
      </c>
      <c r="I1410" s="58" t="n">
        <f aca="false">'P9-018'!$N$21</f>
        <v>46328</v>
      </c>
      <c r="J1410" s="58" t="n">
        <f aca="false">'P9-018'!$O$21</f>
        <v>46328</v>
      </c>
      <c r="K1410" s="56" t="str">
        <f aca="false">IF(OR(L1410="Y",LEFT('P9-018'!$T$21,1)="D"),"",IF(AND(ISNUMBER(J1410),J1410&lt;ASOF),"⚠ เลยกำหนด",IF(AND(ISNUMBER(I1410),I1410&lt;=ASOF+14,J1410&gt;=ASOF-7),"ช่วงนี้","")))</f>
        <v>ช่วงนี้</v>
      </c>
      <c r="L1410" s="59"/>
      <c r="M1410" s="60"/>
    </row>
    <row r="1411" customFormat="false" ht="15" hidden="false" customHeight="false" outlineLevel="0" collapsed="false">
      <c r="A1411" s="54" t="s">
        <v>110</v>
      </c>
      <c r="B1411" s="55" t="s">
        <v>498</v>
      </c>
      <c r="C1411" s="56" t="s">
        <v>499</v>
      </c>
      <c r="D1411" s="57" t="s">
        <v>112</v>
      </c>
      <c r="E1411" s="57" t="s">
        <v>242</v>
      </c>
      <c r="F1411" s="55" t="s">
        <v>243</v>
      </c>
      <c r="G1411" s="55" t="s">
        <v>244</v>
      </c>
      <c r="H1411" s="57" t="s">
        <v>211</v>
      </c>
      <c r="I1411" s="58" t="n">
        <f aca="false">'P9-018'!$N$22</f>
        <v>46328</v>
      </c>
      <c r="J1411" s="58" t="n">
        <f aca="false">'P9-018'!$O$22</f>
        <v>46328</v>
      </c>
      <c r="K1411" s="56" t="str">
        <f aca="false">IF(OR(L1411="Y",LEFT('P9-018'!$T$22,1)="D"),"",IF(AND(ISNUMBER(J1411),J1411&lt;ASOF),"⚠ เลยกำหนด",IF(AND(ISNUMBER(I1411),I1411&lt;=ASOF+14,J1411&gt;=ASOF-7),"ช่วงนี้","")))</f>
        <v>ช่วงนี้</v>
      </c>
      <c r="L1411" s="59"/>
      <c r="M1411" s="60"/>
    </row>
    <row r="1412" customFormat="false" ht="15" hidden="false" customHeight="false" outlineLevel="0" collapsed="false">
      <c r="A1412" s="54" t="s">
        <v>110</v>
      </c>
      <c r="B1412" s="55" t="s">
        <v>498</v>
      </c>
      <c r="C1412" s="56" t="s">
        <v>499</v>
      </c>
      <c r="D1412" s="57" t="s">
        <v>112</v>
      </c>
      <c r="E1412" s="57" t="s">
        <v>245</v>
      </c>
      <c r="F1412" s="55" t="s">
        <v>246</v>
      </c>
      <c r="G1412" s="55" t="s">
        <v>247</v>
      </c>
      <c r="H1412" s="57" t="s">
        <v>211</v>
      </c>
      <c r="I1412" s="58" t="n">
        <f aca="false">'P9-018'!$N$23</f>
        <v>46328</v>
      </c>
      <c r="J1412" s="58" t="n">
        <f aca="false">'P9-018'!$O$23</f>
        <v>46328</v>
      </c>
      <c r="K1412" s="56" t="str">
        <f aca="false">IF(OR(L1412="Y",LEFT('P9-018'!$T$23,1)="D"),"",IF(AND(ISNUMBER(J1412),J1412&lt;ASOF),"⚠ เลยกำหนด",IF(AND(ISNUMBER(I1412),I1412&lt;=ASOF+14,J1412&gt;=ASOF-7),"ช่วงนี้","")))</f>
        <v>ช่วงนี้</v>
      </c>
      <c r="L1412" s="59"/>
      <c r="M1412" s="60"/>
    </row>
    <row r="1413" customFormat="false" ht="15" hidden="false" customHeight="false" outlineLevel="0" collapsed="false">
      <c r="A1413" s="54" t="s">
        <v>110</v>
      </c>
      <c r="B1413" s="55" t="s">
        <v>498</v>
      </c>
      <c r="C1413" s="56" t="s">
        <v>499</v>
      </c>
      <c r="D1413" s="57" t="s">
        <v>112</v>
      </c>
      <c r="E1413" s="57" t="s">
        <v>248</v>
      </c>
      <c r="F1413" s="55" t="s">
        <v>249</v>
      </c>
      <c r="G1413" s="55" t="s">
        <v>250</v>
      </c>
      <c r="H1413" s="57" t="s">
        <v>211</v>
      </c>
      <c r="I1413" s="58" t="n">
        <f aca="false">'P9-018'!$N$24</f>
        <v>46328</v>
      </c>
      <c r="J1413" s="58" t="n">
        <f aca="false">'P9-018'!$O$24</f>
        <v>46328</v>
      </c>
      <c r="K1413" s="56" t="str">
        <f aca="false">IF(OR(L1413="Y",LEFT('P9-018'!$T$24,1)="D"),"",IF(AND(ISNUMBER(J1413),J1413&lt;ASOF),"⚠ เลยกำหนด",IF(AND(ISNUMBER(I1413),I1413&lt;=ASOF+14,J1413&gt;=ASOF-7),"ช่วงนี้","")))</f>
        <v>ช่วงนี้</v>
      </c>
      <c r="L1413" s="59"/>
      <c r="M1413" s="60"/>
    </row>
    <row r="1414" customFormat="false" ht="15" hidden="false" customHeight="false" outlineLevel="0" collapsed="false">
      <c r="A1414" s="54" t="s">
        <v>110</v>
      </c>
      <c r="B1414" s="55" t="s">
        <v>498</v>
      </c>
      <c r="C1414" s="56" t="s">
        <v>499</v>
      </c>
      <c r="D1414" s="57" t="s">
        <v>112</v>
      </c>
      <c r="E1414" s="57" t="s">
        <v>251</v>
      </c>
      <c r="F1414" s="55" t="s">
        <v>252</v>
      </c>
      <c r="G1414" s="55" t="s">
        <v>253</v>
      </c>
      <c r="H1414" s="57" t="s">
        <v>211</v>
      </c>
      <c r="I1414" s="58" t="n">
        <f aca="false">'P9-018'!$N$26</f>
        <v>46329</v>
      </c>
      <c r="J1414" s="58" t="n">
        <f aca="false">'P9-018'!$O$26</f>
        <v>46329</v>
      </c>
      <c r="K1414" s="56" t="str">
        <f aca="false">IF(OR(L1414="Y",LEFT('P9-018'!$T$26,1)="D"),"",IF(AND(ISNUMBER(J1414),J1414&lt;ASOF),"⚠ เลยกำหนด",IF(AND(ISNUMBER(I1414),I1414&lt;=ASOF+14,J1414&gt;=ASOF-7),"ช่วงนี้","")))</f>
        <v>ช่วงนี้</v>
      </c>
      <c r="L1414" s="59"/>
      <c r="M1414" s="60"/>
    </row>
    <row r="1415" customFormat="false" ht="15" hidden="false" customHeight="false" outlineLevel="0" collapsed="false">
      <c r="A1415" s="54" t="s">
        <v>110</v>
      </c>
      <c r="B1415" s="55" t="s">
        <v>498</v>
      </c>
      <c r="C1415" s="56" t="s">
        <v>499</v>
      </c>
      <c r="D1415" s="57" t="s">
        <v>112</v>
      </c>
      <c r="E1415" s="57" t="s">
        <v>254</v>
      </c>
      <c r="F1415" s="55" t="s">
        <v>255</v>
      </c>
      <c r="G1415" s="55" t="s">
        <v>256</v>
      </c>
      <c r="H1415" s="57" t="s">
        <v>211</v>
      </c>
      <c r="I1415" s="58" t="n">
        <f aca="false">'P9-018'!$N$27</f>
        <v>46329</v>
      </c>
      <c r="J1415" s="58" t="n">
        <f aca="false">'P9-018'!$O$27</f>
        <v>46329</v>
      </c>
      <c r="K1415" s="56" t="str">
        <f aca="false">IF(OR(L1415="Y",LEFT('P9-018'!$T$27,1)="D"),"",IF(AND(ISNUMBER(J1415),J1415&lt;ASOF),"⚠ เลยกำหนด",IF(AND(ISNUMBER(I1415),I1415&lt;=ASOF+14,J1415&gt;=ASOF-7),"ช่วงนี้","")))</f>
        <v>ช่วงนี้</v>
      </c>
      <c r="L1415" s="59"/>
      <c r="M1415" s="60"/>
    </row>
    <row r="1416" customFormat="false" ht="15" hidden="false" customHeight="false" outlineLevel="0" collapsed="false">
      <c r="A1416" s="54" t="s">
        <v>110</v>
      </c>
      <c r="B1416" s="55" t="s">
        <v>498</v>
      </c>
      <c r="C1416" s="56" t="s">
        <v>499</v>
      </c>
      <c r="D1416" s="57" t="s">
        <v>112</v>
      </c>
      <c r="E1416" s="57" t="s">
        <v>257</v>
      </c>
      <c r="F1416" s="55" t="s">
        <v>258</v>
      </c>
      <c r="G1416" s="55" t="s">
        <v>259</v>
      </c>
      <c r="H1416" s="57" t="s">
        <v>211</v>
      </c>
      <c r="I1416" s="58" t="n">
        <f aca="false">'P9-018'!$N$28</f>
        <v>46329</v>
      </c>
      <c r="J1416" s="58" t="n">
        <f aca="false">'P9-018'!$O$28</f>
        <v>46329</v>
      </c>
      <c r="K1416" s="56" t="str">
        <f aca="false">IF(OR(L1416="Y",LEFT('P9-018'!$T$28,1)="D"),"",IF(AND(ISNUMBER(J1416),J1416&lt;ASOF),"⚠ เลยกำหนด",IF(AND(ISNUMBER(I1416),I1416&lt;=ASOF+14,J1416&gt;=ASOF-7),"ช่วงนี้","")))</f>
        <v>ช่วงนี้</v>
      </c>
      <c r="L1416" s="59"/>
      <c r="M1416" s="60"/>
    </row>
    <row r="1417" customFormat="false" ht="15" hidden="false" customHeight="false" outlineLevel="0" collapsed="false">
      <c r="A1417" s="54" t="s">
        <v>110</v>
      </c>
      <c r="B1417" s="55" t="s">
        <v>498</v>
      </c>
      <c r="C1417" s="56" t="s">
        <v>499</v>
      </c>
      <c r="D1417" s="57" t="s">
        <v>112</v>
      </c>
      <c r="E1417" s="57" t="s">
        <v>260</v>
      </c>
      <c r="F1417" s="55" t="s">
        <v>261</v>
      </c>
      <c r="G1417" s="55" t="s">
        <v>262</v>
      </c>
      <c r="H1417" s="57" t="s">
        <v>211</v>
      </c>
      <c r="I1417" s="58" t="n">
        <f aca="false">'P9-018'!$N$31</f>
        <v>46328</v>
      </c>
      <c r="J1417" s="58" t="n">
        <f aca="false">'P9-018'!$O$31</f>
        <v>46328</v>
      </c>
      <c r="K1417" s="56" t="str">
        <f aca="false">IF(OR(L1417="Y",LEFT('P9-018'!$T$31,1)="D"),"",IF(AND(ISNUMBER(J1417),J1417&lt;ASOF),"⚠ เลยกำหนด",IF(AND(ISNUMBER(I1417),I1417&lt;=ASOF+14,J1417&gt;=ASOF-7),"ช่วงนี้","")))</f>
        <v>ช่วงนี้</v>
      </c>
      <c r="L1417" s="59"/>
      <c r="M1417" s="60"/>
    </row>
    <row r="1418" customFormat="false" ht="15" hidden="false" customHeight="false" outlineLevel="0" collapsed="false">
      <c r="A1418" s="54" t="s">
        <v>110</v>
      </c>
      <c r="B1418" s="55" t="s">
        <v>498</v>
      </c>
      <c r="C1418" s="56" t="s">
        <v>499</v>
      </c>
      <c r="D1418" s="57" t="s">
        <v>112</v>
      </c>
      <c r="E1418" s="57" t="s">
        <v>263</v>
      </c>
      <c r="F1418" s="55" t="s">
        <v>264</v>
      </c>
      <c r="G1418" s="55" t="s">
        <v>265</v>
      </c>
      <c r="H1418" s="57" t="s">
        <v>211</v>
      </c>
      <c r="I1418" s="58" t="n">
        <f aca="false">'P9-018'!$N$32</f>
        <v>46328</v>
      </c>
      <c r="J1418" s="58" t="n">
        <f aca="false">'P9-018'!$O$32</f>
        <v>46328</v>
      </c>
      <c r="K1418" s="56" t="str">
        <f aca="false">IF(OR(L1418="Y",LEFT('P9-018'!$T$32,1)="D"),"",IF(AND(ISNUMBER(J1418),J1418&lt;ASOF),"⚠ เลยกำหนด",IF(AND(ISNUMBER(I1418),I1418&lt;=ASOF+14,J1418&gt;=ASOF-7),"ช่วงนี้","")))</f>
        <v>ช่วงนี้</v>
      </c>
      <c r="L1418" s="59"/>
      <c r="M1418" s="60"/>
    </row>
    <row r="1419" customFormat="false" ht="15" hidden="false" customHeight="false" outlineLevel="0" collapsed="false">
      <c r="A1419" s="54" t="s">
        <v>110</v>
      </c>
      <c r="B1419" s="55" t="s">
        <v>498</v>
      </c>
      <c r="C1419" s="56" t="s">
        <v>499</v>
      </c>
      <c r="D1419" s="57" t="s">
        <v>112</v>
      </c>
      <c r="E1419" s="57" t="s">
        <v>266</v>
      </c>
      <c r="F1419" s="55" t="s">
        <v>267</v>
      </c>
      <c r="G1419" s="55" t="s">
        <v>268</v>
      </c>
      <c r="H1419" s="57" t="s">
        <v>211</v>
      </c>
      <c r="I1419" s="58" t="n">
        <f aca="false">'P9-018'!$N$33</f>
        <v>46328</v>
      </c>
      <c r="J1419" s="58" t="n">
        <f aca="false">'P9-018'!$O$33</f>
        <v>46328</v>
      </c>
      <c r="K1419" s="56" t="str">
        <f aca="false">IF(OR(L1419="Y",LEFT('P9-018'!$T$33,1)="D"),"",IF(AND(ISNUMBER(J1419),J1419&lt;ASOF),"⚠ เลยกำหนด",IF(AND(ISNUMBER(I1419),I1419&lt;=ASOF+14,J1419&gt;=ASOF-7),"ช่วงนี้","")))</f>
        <v>ช่วงนี้</v>
      </c>
      <c r="L1419" s="59"/>
      <c r="M1419" s="60"/>
    </row>
    <row r="1420" customFormat="false" ht="15" hidden="false" customHeight="false" outlineLevel="0" collapsed="false">
      <c r="A1420" s="54" t="s">
        <v>110</v>
      </c>
      <c r="B1420" s="55" t="s">
        <v>498</v>
      </c>
      <c r="C1420" s="56" t="s">
        <v>499</v>
      </c>
      <c r="D1420" s="57" t="s">
        <v>112</v>
      </c>
      <c r="E1420" s="57" t="s">
        <v>269</v>
      </c>
      <c r="F1420" s="61" t="s">
        <v>270</v>
      </c>
      <c r="G1420" s="61" t="s">
        <v>271</v>
      </c>
      <c r="H1420" s="57" t="s">
        <v>211</v>
      </c>
      <c r="I1420" s="58" t="n">
        <f aca="false">'P9-018'!$N$35</f>
        <v>46328</v>
      </c>
      <c r="J1420" s="58" t="n">
        <f aca="false">'P9-018'!$O$35</f>
        <v>46328</v>
      </c>
      <c r="K1420" s="56" t="str">
        <f aca="false">IF(OR(L1420="Y",LEFT('P9-018'!$T$35,1)="D"),"",IF(AND(ISNUMBER(J1420),J1420&lt;ASOF),"⚠ เลยกำหนด",IF(AND(ISNUMBER(I1420),I1420&lt;=ASOF+14,J1420&gt;=ASOF-7),"ช่วงนี้","")))</f>
        <v>ช่วงนี้</v>
      </c>
      <c r="L1420" s="59"/>
      <c r="M1420" s="60"/>
    </row>
    <row r="1421" customFormat="false" ht="15" hidden="false" customHeight="false" outlineLevel="0" collapsed="false">
      <c r="A1421" s="54" t="s">
        <v>110</v>
      </c>
      <c r="B1421" s="55" t="s">
        <v>498</v>
      </c>
      <c r="C1421" s="56" t="s">
        <v>499</v>
      </c>
      <c r="D1421" s="57" t="s">
        <v>112</v>
      </c>
      <c r="E1421" s="57" t="s">
        <v>272</v>
      </c>
      <c r="F1421" s="55" t="s">
        <v>273</v>
      </c>
      <c r="G1421" s="55" t="s">
        <v>274</v>
      </c>
      <c r="H1421" s="57" t="s">
        <v>211</v>
      </c>
      <c r="I1421" s="58" t="n">
        <f aca="false">'P9-018'!$N$36</f>
        <v>46328</v>
      </c>
      <c r="J1421" s="58" t="n">
        <f aca="false">'P9-018'!$O$36</f>
        <v>46328</v>
      </c>
      <c r="K1421" s="56" t="str">
        <f aca="false">IF(OR(L1421="Y",LEFT('P9-018'!$T$36,1)="D"),"",IF(AND(ISNUMBER(J1421),J1421&lt;ASOF),"⚠ เลยกำหนด",IF(AND(ISNUMBER(I1421),I1421&lt;=ASOF+14,J1421&gt;=ASOF-7),"ช่วงนี้","")))</f>
        <v>ช่วงนี้</v>
      </c>
      <c r="L1421" s="59"/>
      <c r="M1421" s="60"/>
    </row>
    <row r="1422" customFormat="false" ht="15" hidden="false" customHeight="false" outlineLevel="0" collapsed="false">
      <c r="A1422" s="54" t="s">
        <v>110</v>
      </c>
      <c r="B1422" s="55" t="s">
        <v>498</v>
      </c>
      <c r="C1422" s="56" t="s">
        <v>499</v>
      </c>
      <c r="D1422" s="57" t="s">
        <v>112</v>
      </c>
      <c r="E1422" s="57" t="s">
        <v>275</v>
      </c>
      <c r="F1422" s="55" t="s">
        <v>276</v>
      </c>
      <c r="G1422" s="55" t="s">
        <v>277</v>
      </c>
      <c r="H1422" s="57" t="s">
        <v>211</v>
      </c>
      <c r="I1422" s="58" t="n">
        <f aca="false">'P9-018'!$N$37</f>
        <v>46328</v>
      </c>
      <c r="J1422" s="58" t="n">
        <f aca="false">'P9-018'!$O$37</f>
        <v>46328</v>
      </c>
      <c r="K1422" s="56" t="str">
        <f aca="false">IF(OR(L1422="Y",LEFT('P9-018'!$T$37,1)="D"),"",IF(AND(ISNUMBER(J1422),J1422&lt;ASOF),"⚠ เลยกำหนด",IF(AND(ISNUMBER(I1422),I1422&lt;=ASOF+14,J1422&gt;=ASOF-7),"ช่วงนี้","")))</f>
        <v>ช่วงนี้</v>
      </c>
      <c r="L1422" s="59"/>
      <c r="M1422" s="60"/>
    </row>
    <row r="1423" customFormat="false" ht="15" hidden="false" customHeight="false" outlineLevel="0" collapsed="false">
      <c r="A1423" s="54" t="s">
        <v>110</v>
      </c>
      <c r="B1423" s="55" t="s">
        <v>498</v>
      </c>
      <c r="C1423" s="56" t="s">
        <v>499</v>
      </c>
      <c r="D1423" s="57" t="s">
        <v>112</v>
      </c>
      <c r="E1423" s="57" t="s">
        <v>278</v>
      </c>
      <c r="F1423" s="55" t="s">
        <v>279</v>
      </c>
      <c r="G1423" s="55" t="s">
        <v>280</v>
      </c>
      <c r="H1423" s="57" t="s">
        <v>211</v>
      </c>
      <c r="I1423" s="58" t="n">
        <f aca="false">'P9-018'!$N$38</f>
        <v>46328</v>
      </c>
      <c r="J1423" s="58" t="n">
        <f aca="false">'P9-018'!$O$38</f>
        <v>46328</v>
      </c>
      <c r="K1423" s="56" t="str">
        <f aca="false">IF(OR(L1423="Y",LEFT('P9-018'!$T$38,1)="D"),"",IF(AND(ISNUMBER(J1423),J1423&lt;ASOF),"⚠ เลยกำหนด",IF(AND(ISNUMBER(I1423),I1423&lt;=ASOF+14,J1423&gt;=ASOF-7),"ช่วงนี้","")))</f>
        <v>ช่วงนี้</v>
      </c>
      <c r="L1423" s="59"/>
      <c r="M1423" s="60"/>
    </row>
    <row r="1424" customFormat="false" ht="15" hidden="false" customHeight="false" outlineLevel="0" collapsed="false">
      <c r="A1424" s="54" t="s">
        <v>110</v>
      </c>
      <c r="B1424" s="55" t="s">
        <v>498</v>
      </c>
      <c r="C1424" s="56" t="s">
        <v>499</v>
      </c>
      <c r="D1424" s="57" t="s">
        <v>112</v>
      </c>
      <c r="E1424" s="57" t="s">
        <v>281</v>
      </c>
      <c r="F1424" s="55" t="s">
        <v>282</v>
      </c>
      <c r="G1424" s="55" t="s">
        <v>283</v>
      </c>
      <c r="H1424" s="57" t="s">
        <v>211</v>
      </c>
      <c r="I1424" s="58" t="n">
        <f aca="false">'P9-018'!$N$40</f>
        <v>46328</v>
      </c>
      <c r="J1424" s="58" t="n">
        <f aca="false">'P9-018'!$O$40</f>
        <v>46328</v>
      </c>
      <c r="K1424" s="56" t="str">
        <f aca="false">IF(OR(L1424="Y",LEFT('P9-018'!$T$40,1)="D"),"",IF(AND(ISNUMBER(J1424),J1424&lt;ASOF),"⚠ เลยกำหนด",IF(AND(ISNUMBER(I1424),I1424&lt;=ASOF+14,J1424&gt;=ASOF-7),"ช่วงนี้","")))</f>
        <v>ช่วงนี้</v>
      </c>
      <c r="L1424" s="59"/>
      <c r="M1424" s="60"/>
    </row>
    <row r="1425" customFormat="false" ht="15" hidden="false" customHeight="false" outlineLevel="0" collapsed="false">
      <c r="A1425" s="54" t="s">
        <v>110</v>
      </c>
      <c r="B1425" s="55" t="s">
        <v>498</v>
      </c>
      <c r="C1425" s="56" t="s">
        <v>499</v>
      </c>
      <c r="D1425" s="57" t="s">
        <v>112</v>
      </c>
      <c r="E1425" s="57" t="s">
        <v>284</v>
      </c>
      <c r="F1425" s="55" t="s">
        <v>285</v>
      </c>
      <c r="G1425" s="61" t="s">
        <v>286</v>
      </c>
      <c r="H1425" s="57" t="s">
        <v>211</v>
      </c>
      <c r="I1425" s="58" t="n">
        <f aca="false">'P9-018'!$N$41</f>
        <v>46328</v>
      </c>
      <c r="J1425" s="58" t="n">
        <f aca="false">'P9-018'!$O$41</f>
        <v>46328</v>
      </c>
      <c r="K1425" s="56" t="str">
        <f aca="false">IF(OR(L1425="Y",LEFT('P9-018'!$T$41,1)="D"),"",IF(AND(ISNUMBER(J1425),J1425&lt;ASOF),"⚠ เลยกำหนด",IF(AND(ISNUMBER(I1425),I1425&lt;=ASOF+14,J1425&gt;=ASOF-7),"ช่วงนี้","")))</f>
        <v>ช่วงนี้</v>
      </c>
      <c r="L1425" s="59"/>
      <c r="M1425" s="60"/>
    </row>
    <row r="1426" customFormat="false" ht="15" hidden="false" customHeight="false" outlineLevel="0" collapsed="false">
      <c r="A1426" s="54" t="s">
        <v>110</v>
      </c>
      <c r="B1426" s="55" t="s">
        <v>498</v>
      </c>
      <c r="C1426" s="56" t="s">
        <v>499</v>
      </c>
      <c r="D1426" s="57" t="s">
        <v>112</v>
      </c>
      <c r="E1426" s="57" t="s">
        <v>287</v>
      </c>
      <c r="F1426" s="55" t="s">
        <v>288</v>
      </c>
      <c r="G1426" s="61" t="s">
        <v>289</v>
      </c>
      <c r="H1426" s="57" t="s">
        <v>211</v>
      </c>
      <c r="I1426" s="58" t="n">
        <f aca="false">'P9-018'!$N$42</f>
        <v>46328</v>
      </c>
      <c r="J1426" s="58" t="n">
        <f aca="false">'P9-018'!$O$42</f>
        <v>46328</v>
      </c>
      <c r="K1426" s="56" t="str">
        <f aca="false">IF(OR(L1426="Y",LEFT('P9-018'!$T$42,1)="D"),"",IF(AND(ISNUMBER(J1426),J1426&lt;ASOF),"⚠ เลยกำหนด",IF(AND(ISNUMBER(I1426),I1426&lt;=ASOF+14,J1426&gt;=ASOF-7),"ช่วงนี้","")))</f>
        <v>ช่วงนี้</v>
      </c>
      <c r="L1426" s="59"/>
      <c r="M1426" s="60"/>
    </row>
    <row r="1427" customFormat="false" ht="15" hidden="false" customHeight="false" outlineLevel="0" collapsed="false">
      <c r="A1427" s="54" t="s">
        <v>110</v>
      </c>
      <c r="B1427" s="55" t="s">
        <v>498</v>
      </c>
      <c r="C1427" s="56" t="s">
        <v>499</v>
      </c>
      <c r="D1427" s="57" t="s">
        <v>112</v>
      </c>
      <c r="E1427" s="57" t="s">
        <v>290</v>
      </c>
      <c r="F1427" s="55" t="s">
        <v>291</v>
      </c>
      <c r="G1427" s="55" t="s">
        <v>292</v>
      </c>
      <c r="H1427" s="57" t="s">
        <v>211</v>
      </c>
      <c r="I1427" s="58" t="n">
        <f aca="false">'P9-018'!$N$44</f>
        <v>46328</v>
      </c>
      <c r="J1427" s="58" t="n">
        <f aca="false">'P9-018'!$O$44</f>
        <v>46328</v>
      </c>
      <c r="K1427" s="56" t="str">
        <f aca="false">IF(OR(L1427="Y",LEFT('P9-018'!$T$44,1)="D"),"",IF(AND(ISNUMBER(J1427),J1427&lt;ASOF),"⚠ เลยกำหนด",IF(AND(ISNUMBER(I1427),I1427&lt;=ASOF+14,J1427&gt;=ASOF-7),"ช่วงนี้","")))</f>
        <v>ช่วงนี้</v>
      </c>
      <c r="L1427" s="59"/>
      <c r="M1427" s="60"/>
    </row>
    <row r="1428" customFormat="false" ht="15" hidden="false" customHeight="false" outlineLevel="0" collapsed="false">
      <c r="A1428" s="54" t="s">
        <v>110</v>
      </c>
      <c r="B1428" s="55" t="s">
        <v>498</v>
      </c>
      <c r="C1428" s="56" t="s">
        <v>499</v>
      </c>
      <c r="D1428" s="57" t="s">
        <v>112</v>
      </c>
      <c r="E1428" s="57" t="s">
        <v>293</v>
      </c>
      <c r="F1428" s="55" t="s">
        <v>294</v>
      </c>
      <c r="G1428" s="55" t="s">
        <v>295</v>
      </c>
      <c r="H1428" s="57" t="s">
        <v>211</v>
      </c>
      <c r="I1428" s="58" t="n">
        <f aca="false">'P9-018'!$N$45</f>
        <v>46328</v>
      </c>
      <c r="J1428" s="58" t="n">
        <f aca="false">'P9-018'!$O$45</f>
        <v>46328</v>
      </c>
      <c r="K1428" s="56" t="str">
        <f aca="false">IF(OR(L1428="Y",LEFT('P9-018'!$T$45,1)="D"),"",IF(AND(ISNUMBER(J1428),J1428&lt;ASOF),"⚠ เลยกำหนด",IF(AND(ISNUMBER(I1428),I1428&lt;=ASOF+14,J1428&gt;=ASOF-7),"ช่วงนี้","")))</f>
        <v>ช่วงนี้</v>
      </c>
      <c r="L1428" s="59"/>
      <c r="M1428" s="60"/>
    </row>
    <row r="1429" customFormat="false" ht="15" hidden="false" customHeight="false" outlineLevel="0" collapsed="false">
      <c r="A1429" s="54" t="s">
        <v>110</v>
      </c>
      <c r="B1429" s="55" t="s">
        <v>498</v>
      </c>
      <c r="C1429" s="56" t="s">
        <v>499</v>
      </c>
      <c r="D1429" s="57" t="s">
        <v>112</v>
      </c>
      <c r="E1429" s="57" t="s">
        <v>296</v>
      </c>
      <c r="F1429" s="55" t="s">
        <v>297</v>
      </c>
      <c r="G1429" s="55" t="s">
        <v>298</v>
      </c>
      <c r="H1429" s="57" t="s">
        <v>211</v>
      </c>
      <c r="I1429" s="58" t="n">
        <f aca="false">'P9-018'!$N$46</f>
        <v>46328</v>
      </c>
      <c r="J1429" s="58" t="n">
        <f aca="false">'P9-018'!$O$46</f>
        <v>46328</v>
      </c>
      <c r="K1429" s="56" t="str">
        <f aca="false">IF(OR(L1429="Y",LEFT('P9-018'!$T$46,1)="D"),"",IF(AND(ISNUMBER(J1429),J1429&lt;ASOF),"⚠ เลยกำหนด",IF(AND(ISNUMBER(I1429),I1429&lt;=ASOF+14,J1429&gt;=ASOF-7),"ช่วงนี้","")))</f>
        <v>ช่วงนี้</v>
      </c>
      <c r="L1429" s="59"/>
      <c r="M1429" s="60"/>
    </row>
    <row r="1430" customFormat="false" ht="15" hidden="false" customHeight="false" outlineLevel="0" collapsed="false">
      <c r="A1430" s="54" t="s">
        <v>110</v>
      </c>
      <c r="B1430" s="55" t="s">
        <v>498</v>
      </c>
      <c r="C1430" s="56" t="s">
        <v>499</v>
      </c>
      <c r="D1430" s="57" t="s">
        <v>112</v>
      </c>
      <c r="E1430" s="57" t="s">
        <v>456</v>
      </c>
      <c r="F1430" s="61" t="s">
        <v>457</v>
      </c>
      <c r="G1430" s="61" t="s">
        <v>458</v>
      </c>
      <c r="H1430" s="57" t="s">
        <v>211</v>
      </c>
      <c r="I1430" s="58" t="n">
        <f aca="false">'P9-018'!$N$48</f>
        <v>46356</v>
      </c>
      <c r="J1430" s="58" t="n">
        <f aca="false">'P9-018'!$O$48</f>
        <v>46356</v>
      </c>
      <c r="K1430" s="56" t="str">
        <f aca="false">IF(OR(L1430="Y",LEFT('P9-018'!$T$48,1)="D"),"",IF(AND(ISNUMBER(J1430),J1430&lt;ASOF),"⚠ เลยกำหนด",IF(AND(ISNUMBER(I1430),I1430&lt;=ASOF+14,J1430&gt;=ASOF-7),"ช่วงนี้","")))</f>
        <v/>
      </c>
      <c r="L1430" s="59"/>
      <c r="M1430" s="60"/>
    </row>
    <row r="1431" customFormat="false" ht="15" hidden="false" customHeight="false" outlineLevel="0" collapsed="false">
      <c r="A1431" s="54" t="s">
        <v>110</v>
      </c>
      <c r="B1431" s="55" t="s">
        <v>498</v>
      </c>
      <c r="C1431" s="56" t="s">
        <v>499</v>
      </c>
      <c r="D1431" s="57" t="s">
        <v>112</v>
      </c>
      <c r="E1431" s="57" t="s">
        <v>459</v>
      </c>
      <c r="F1431" s="55" t="s">
        <v>460</v>
      </c>
      <c r="G1431" s="55" t="s">
        <v>461</v>
      </c>
      <c r="H1431" s="57" t="s">
        <v>211</v>
      </c>
      <c r="I1431" s="58" t="n">
        <f aca="false">'P9-018'!$N$49</f>
        <v>46356</v>
      </c>
      <c r="J1431" s="58" t="n">
        <f aca="false">'P9-018'!$O$49</f>
        <v>46356</v>
      </c>
      <c r="K1431" s="56" t="str">
        <f aca="false">IF(OR(L1431="Y",LEFT('P9-018'!$T$49,1)="D"),"",IF(AND(ISNUMBER(J1431),J1431&lt;ASOF),"⚠ เลยกำหนด",IF(AND(ISNUMBER(I1431),I1431&lt;=ASOF+14,J1431&gt;=ASOF-7),"ช่วงนี้","")))</f>
        <v/>
      </c>
      <c r="L1431" s="59"/>
      <c r="M1431" s="60"/>
    </row>
    <row r="1432" customFormat="false" ht="15" hidden="false" customHeight="false" outlineLevel="0" collapsed="false">
      <c r="A1432" s="54" t="s">
        <v>110</v>
      </c>
      <c r="B1432" s="55" t="s">
        <v>498</v>
      </c>
      <c r="C1432" s="56" t="s">
        <v>499</v>
      </c>
      <c r="D1432" s="57" t="s">
        <v>112</v>
      </c>
      <c r="E1432" s="57" t="s">
        <v>462</v>
      </c>
      <c r="F1432" s="55" t="s">
        <v>463</v>
      </c>
      <c r="G1432" s="55" t="s">
        <v>464</v>
      </c>
      <c r="H1432" s="57" t="s">
        <v>211</v>
      </c>
      <c r="I1432" s="58" t="n">
        <f aca="false">'P9-018'!$N$51</f>
        <v>46356</v>
      </c>
      <c r="J1432" s="58" t="n">
        <f aca="false">'P9-018'!$O$51</f>
        <v>46356</v>
      </c>
      <c r="K1432" s="56" t="str">
        <f aca="false">IF(OR(L1432="Y",LEFT('P9-018'!$T$51,1)="D"),"",IF(AND(ISNUMBER(J1432),J1432&lt;ASOF),"⚠ เลยกำหนด",IF(AND(ISNUMBER(I1432),I1432&lt;=ASOF+14,J1432&gt;=ASOF-7),"ช่วงนี้","")))</f>
        <v/>
      </c>
      <c r="L1432" s="59"/>
      <c r="M1432" s="60"/>
    </row>
    <row r="1433" customFormat="false" ht="15" hidden="false" customHeight="false" outlineLevel="0" collapsed="false">
      <c r="A1433" s="54" t="s">
        <v>110</v>
      </c>
      <c r="B1433" s="55" t="s">
        <v>498</v>
      </c>
      <c r="C1433" s="56" t="s">
        <v>499</v>
      </c>
      <c r="D1433" s="57" t="s">
        <v>112</v>
      </c>
      <c r="E1433" s="57" t="s">
        <v>299</v>
      </c>
      <c r="F1433" s="55" t="s">
        <v>300</v>
      </c>
      <c r="G1433" s="55" t="s">
        <v>301</v>
      </c>
      <c r="H1433" s="57" t="s">
        <v>211</v>
      </c>
      <c r="I1433" s="58" t="str">
        <f aca="false">'P9-018'!$N$53</f>
        <v/>
      </c>
      <c r="J1433" s="58" t="str">
        <f aca="false">'P9-018'!$O$53</f>
        <v/>
      </c>
      <c r="K1433" s="56" t="str">
        <f aca="false">IF(OR(L1433="Y",LEFT('P9-018'!$T$53,1)="D"),"",IF(AND(ISNUMBER(J1433),J1433&lt;ASOF),"⚠ เลยกำหนด",IF(AND(ISNUMBER(I1433),I1433&lt;=ASOF+14,J1433&gt;=ASOF-7),"ช่วงนี้","")))</f>
        <v/>
      </c>
      <c r="L1433" s="59"/>
      <c r="M1433" s="60"/>
    </row>
    <row r="1434" customFormat="false" ht="15" hidden="false" customHeight="false" outlineLevel="0" collapsed="false">
      <c r="A1434" s="54" t="s">
        <v>110</v>
      </c>
      <c r="B1434" s="55" t="s">
        <v>498</v>
      </c>
      <c r="C1434" s="56" t="s">
        <v>499</v>
      </c>
      <c r="D1434" s="57" t="s">
        <v>112</v>
      </c>
      <c r="E1434" s="57" t="s">
        <v>302</v>
      </c>
      <c r="F1434" s="55" t="s">
        <v>303</v>
      </c>
      <c r="G1434" s="55" t="s">
        <v>304</v>
      </c>
      <c r="H1434" s="57" t="s">
        <v>211</v>
      </c>
      <c r="I1434" s="58" t="str">
        <f aca="false">'P9-018'!$N$54</f>
        <v/>
      </c>
      <c r="J1434" s="58" t="str">
        <f aca="false">'P9-018'!$O$54</f>
        <v/>
      </c>
      <c r="K1434" s="56" t="str">
        <f aca="false">IF(OR(L1434="Y",LEFT('P9-018'!$T$54,1)="D"),"",IF(AND(ISNUMBER(J1434),J1434&lt;ASOF),"⚠ เลยกำหนด",IF(AND(ISNUMBER(I1434),I1434&lt;=ASOF+14,J1434&gt;=ASOF-7),"ช่วงนี้","")))</f>
        <v/>
      </c>
      <c r="L1434" s="59"/>
      <c r="M1434" s="60"/>
    </row>
    <row r="1435" customFormat="false" ht="15" hidden="false" customHeight="false" outlineLevel="0" collapsed="false">
      <c r="A1435" s="54" t="s">
        <v>110</v>
      </c>
      <c r="B1435" s="55" t="s">
        <v>498</v>
      </c>
      <c r="C1435" s="56" t="s">
        <v>499</v>
      </c>
      <c r="D1435" s="57" t="s">
        <v>112</v>
      </c>
      <c r="E1435" s="57" t="s">
        <v>305</v>
      </c>
      <c r="F1435" s="55" t="s">
        <v>306</v>
      </c>
      <c r="G1435" s="55" t="s">
        <v>307</v>
      </c>
      <c r="H1435" s="56" t="str">
        <f aca="false">IF(COUNTIFS(SITE_ST,"P9-018",SITE_TYPE,"?*")&gt;0,"ตามจุดติดตั้ง →","0/100")</f>
        <v>ตามจุดติดตั้ง →</v>
      </c>
      <c r="I1435" s="58" t="n">
        <f aca="false">'P9-018'!$N$63</f>
        <v>46328</v>
      </c>
      <c r="J1435" s="58" t="n">
        <f aca="false">'P9-018'!$O$63</f>
        <v>46329</v>
      </c>
      <c r="K1435" s="56" t="str">
        <f aca="false">IF(OR(L1435="Y",LEFT('P9-018'!$T$63,1)="D"),"",IF(AND(ISNUMBER(J1435),J1435&lt;ASOF),"⚠ เลยกำหนด",IF(AND(ISNUMBER(I1435),I1435&lt;=ASOF+14,J1435&gt;=ASOF-7),"ช่วงนี้","")))</f>
        <v>ช่วงนี้</v>
      </c>
      <c r="L1435" s="59"/>
      <c r="M1435" s="60"/>
    </row>
    <row r="1436" customFormat="false" ht="15" hidden="false" customHeight="false" outlineLevel="0" collapsed="false">
      <c r="A1436" s="54" t="s">
        <v>110</v>
      </c>
      <c r="B1436" s="55" t="s">
        <v>498</v>
      </c>
      <c r="C1436" s="56" t="s">
        <v>499</v>
      </c>
      <c r="D1436" s="57" t="s">
        <v>112</v>
      </c>
      <c r="E1436" s="57" t="s">
        <v>308</v>
      </c>
      <c r="F1436" s="55" t="s">
        <v>309</v>
      </c>
      <c r="G1436" s="55" t="s">
        <v>310</v>
      </c>
      <c r="H1436" s="57" t="s">
        <v>211</v>
      </c>
      <c r="I1436" s="58" t="n">
        <f aca="false">'P9-018'!$N$64</f>
        <v>46328</v>
      </c>
      <c r="J1436" s="58" t="n">
        <f aca="false">'P9-018'!$O$64</f>
        <v>46330</v>
      </c>
      <c r="K1436" s="56" t="str">
        <f aca="false">IF(OR(L1436="Y",LEFT('P9-018'!$T$64,1)="D"),"",IF(AND(ISNUMBER(J1436),J1436&lt;ASOF),"⚠ เลยกำหนด",IF(AND(ISNUMBER(I1436),I1436&lt;=ASOF+14,J1436&gt;=ASOF-7),"ช่วงนี้","")))</f>
        <v>ช่วงนี้</v>
      </c>
      <c r="L1436" s="59"/>
      <c r="M1436" s="60"/>
    </row>
    <row r="1437" customFormat="false" ht="15" hidden="false" customHeight="false" outlineLevel="0" collapsed="false">
      <c r="A1437" s="54" t="s">
        <v>110</v>
      </c>
      <c r="B1437" s="55" t="s">
        <v>498</v>
      </c>
      <c r="C1437" s="56" t="s">
        <v>499</v>
      </c>
      <c r="D1437" s="57" t="s">
        <v>112</v>
      </c>
      <c r="E1437" s="57" t="s">
        <v>311</v>
      </c>
      <c r="F1437" s="55" t="s">
        <v>312</v>
      </c>
      <c r="G1437" s="55" t="s">
        <v>313</v>
      </c>
      <c r="H1437" s="56" t="str">
        <f aca="false">IF(COUNTIFS(SITE_ST,"P9-018",SITE_TYPE,"?*")&gt;0,"ตามจุดติดตั้ง →","50/50")</f>
        <v>ตามจุดติดตั้ง →</v>
      </c>
      <c r="I1437" s="58" t="n">
        <f aca="false">'P9-018'!$N$65</f>
        <v>46329</v>
      </c>
      <c r="J1437" s="58" t="n">
        <f aca="false">'P9-018'!$O$65</f>
        <v>46332</v>
      </c>
      <c r="K1437" s="56" t="str">
        <f aca="false">IF(OR(L1437="Y",LEFT('P9-018'!$T$65,1)="D"),"",IF(AND(ISNUMBER(J1437),J1437&lt;ASOF),"⚠ เลยกำหนด",IF(AND(ISNUMBER(I1437),I1437&lt;=ASOF+14,J1437&gt;=ASOF-7),"ช่วงนี้","")))</f>
        <v>ช่วงนี้</v>
      </c>
      <c r="L1437" s="59"/>
      <c r="M1437" s="60"/>
    </row>
    <row r="1438" customFormat="false" ht="15" hidden="false" customHeight="false" outlineLevel="0" collapsed="false">
      <c r="A1438" s="54" t="s">
        <v>110</v>
      </c>
      <c r="B1438" s="55" t="s">
        <v>498</v>
      </c>
      <c r="C1438" s="56" t="s">
        <v>499</v>
      </c>
      <c r="D1438" s="57" t="s">
        <v>112</v>
      </c>
      <c r="E1438" s="57" t="s">
        <v>314</v>
      </c>
      <c r="F1438" s="55" t="s">
        <v>315</v>
      </c>
      <c r="G1438" s="61" t="s">
        <v>316</v>
      </c>
      <c r="H1438" s="56" t="str">
        <f aca="false">IF(COUNTIFS(SITE_ST,"P9-018",SITE_TYPE,"?*")&gt;0,"ตามจุดติดตั้ง →","50/50")</f>
        <v>ตามจุดติดตั้ง →</v>
      </c>
      <c r="I1438" s="58" t="n">
        <f aca="false">'P9-018'!$N$66</f>
        <v>46331</v>
      </c>
      <c r="J1438" s="58" t="n">
        <f aca="false">'P9-018'!$O$66</f>
        <v>46335</v>
      </c>
      <c r="K1438" s="56" t="str">
        <f aca="false">IF(OR(L1438="Y",LEFT('P9-018'!$T$66,1)="D"),"",IF(AND(ISNUMBER(J1438),J1438&lt;ASOF),"⚠ เลยกำหนด",IF(AND(ISNUMBER(I1438),I1438&lt;=ASOF+14,J1438&gt;=ASOF-7),"ช่วงนี้","")))</f>
        <v>ช่วงนี้</v>
      </c>
      <c r="L1438" s="59"/>
      <c r="M1438" s="60"/>
    </row>
    <row r="1439" customFormat="false" ht="15" hidden="false" customHeight="false" outlineLevel="0" collapsed="false">
      <c r="A1439" s="54" t="s">
        <v>110</v>
      </c>
      <c r="B1439" s="55" t="s">
        <v>498</v>
      </c>
      <c r="C1439" s="56" t="s">
        <v>499</v>
      </c>
      <c r="D1439" s="57" t="s">
        <v>112</v>
      </c>
      <c r="E1439" s="57" t="s">
        <v>317</v>
      </c>
      <c r="F1439" s="61" t="s">
        <v>318</v>
      </c>
      <c r="G1439" s="61" t="s">
        <v>319</v>
      </c>
      <c r="H1439" s="56" t="str">
        <f aca="false">IF(COUNTIFS(SITE_ST,"P9-018",SITE_TYPE,"?*")&gt;0,"ตามจุดติดตั้ง →","50/50")</f>
        <v>ตามจุดติดตั้ง →</v>
      </c>
      <c r="I1439" s="58" t="n">
        <f aca="false">'P9-018'!$N$67</f>
        <v>46333</v>
      </c>
      <c r="J1439" s="58" t="n">
        <f aca="false">'P9-018'!$O$67</f>
        <v>46336</v>
      </c>
      <c r="K1439" s="56" t="str">
        <f aca="false">IF(OR(L1439="Y",LEFT('P9-018'!$T$67,1)="D"),"",IF(AND(ISNUMBER(J1439),J1439&lt;ASOF),"⚠ เลยกำหนด",IF(AND(ISNUMBER(I1439),I1439&lt;=ASOF+14,J1439&gt;=ASOF-7),"ช่วงนี้","")))</f>
        <v>ช่วงนี้</v>
      </c>
      <c r="L1439" s="59"/>
      <c r="M1439" s="60"/>
    </row>
    <row r="1440" customFormat="false" ht="15" hidden="false" customHeight="false" outlineLevel="0" collapsed="false">
      <c r="A1440" s="54" t="s">
        <v>110</v>
      </c>
      <c r="B1440" s="55" t="s">
        <v>498</v>
      </c>
      <c r="C1440" s="56" t="s">
        <v>499</v>
      </c>
      <c r="D1440" s="57" t="s">
        <v>112</v>
      </c>
      <c r="E1440" s="57" t="s">
        <v>320</v>
      </c>
      <c r="F1440" s="55" t="s">
        <v>321</v>
      </c>
      <c r="G1440" s="55" t="s">
        <v>322</v>
      </c>
      <c r="H1440" s="56" t="str">
        <f aca="false">IF(COUNTIFS(SITE_ST,"P9-018",SITE_TYPE,"?*")&gt;0,"ตามจุดติดตั้ง →","0/100")</f>
        <v>ตามจุดติดตั้ง →</v>
      </c>
      <c r="I1440" s="58" t="n">
        <f aca="false">'P9-018'!$N$68</f>
        <v>46334</v>
      </c>
      <c r="J1440" s="58" t="n">
        <f aca="false">'P9-018'!$O$68</f>
        <v>46336</v>
      </c>
      <c r="K1440" s="56" t="str">
        <f aca="false">IF(OR(L1440="Y",LEFT('P9-018'!$T$68,1)="D"),"",IF(AND(ISNUMBER(J1440),J1440&lt;ASOF),"⚠ เลยกำหนด",IF(AND(ISNUMBER(I1440),I1440&lt;=ASOF+14,J1440&gt;=ASOF-7),"ช่วงนี้","")))</f>
        <v>ช่วงนี้</v>
      </c>
      <c r="L1440" s="59"/>
      <c r="M1440" s="60"/>
    </row>
    <row r="1441" customFormat="false" ht="15" hidden="false" customHeight="false" outlineLevel="0" collapsed="false">
      <c r="A1441" s="54" t="s">
        <v>110</v>
      </c>
      <c r="B1441" s="55" t="s">
        <v>498</v>
      </c>
      <c r="C1441" s="56" t="s">
        <v>499</v>
      </c>
      <c r="D1441" s="57" t="s">
        <v>112</v>
      </c>
      <c r="E1441" s="57" t="s">
        <v>323</v>
      </c>
      <c r="F1441" s="61" t="s">
        <v>324</v>
      </c>
      <c r="G1441" s="55" t="s">
        <v>325</v>
      </c>
      <c r="H1441" s="56" t="str">
        <f aca="false">IF(COUNTIFS(SITE_ST,"P9-018",SITE_TYPE,"?*")&gt;0,"ตามจุดติดตั้ง →","0/100")</f>
        <v>ตามจุดติดตั้ง →</v>
      </c>
      <c r="I1441" s="58" t="n">
        <f aca="false">'P9-018'!$N$69</f>
        <v>46336</v>
      </c>
      <c r="J1441" s="58" t="n">
        <f aca="false">'P9-018'!$O$69</f>
        <v>46336</v>
      </c>
      <c r="K1441" s="56" t="str">
        <f aca="false">IF(OR(L1441="Y",LEFT('P9-018'!$T$69,1)="D"),"",IF(AND(ISNUMBER(J1441),J1441&lt;ASOF),"⚠ เลยกำหนด",IF(AND(ISNUMBER(I1441),I1441&lt;=ASOF+14,J1441&gt;=ASOF-7),"ช่วงนี้","")))</f>
        <v>ช่วงนี้</v>
      </c>
      <c r="L1441" s="59"/>
      <c r="M1441" s="60"/>
    </row>
    <row r="1442" customFormat="false" ht="15" hidden="false" customHeight="false" outlineLevel="0" collapsed="false">
      <c r="A1442" s="54" t="s">
        <v>110</v>
      </c>
      <c r="B1442" s="55" t="s">
        <v>498</v>
      </c>
      <c r="C1442" s="56" t="s">
        <v>499</v>
      </c>
      <c r="D1442" s="57" t="s">
        <v>112</v>
      </c>
      <c r="E1442" s="57" t="s">
        <v>326</v>
      </c>
      <c r="F1442" s="55" t="s">
        <v>327</v>
      </c>
      <c r="G1442" s="61" t="s">
        <v>328</v>
      </c>
      <c r="H1442" s="56" t="str">
        <f aca="false">IF(COUNTIFS(SITE_ST,"P9-018",SITE_TYPE,"?*")&gt;0,"ตามจุดติดตั้ง →","50/50")</f>
        <v>ตามจุดติดตั้ง →</v>
      </c>
      <c r="I1442" s="58" t="n">
        <f aca="false">'P9-018'!$N$71</f>
        <v>46343</v>
      </c>
      <c r="J1442" s="58" t="n">
        <f aca="false">'P9-018'!$O$71</f>
        <v>46344</v>
      </c>
      <c r="K1442" s="56" t="str">
        <f aca="false">IF(OR(L1442="Y",LEFT('P9-018'!$T$71,1)="D"),"",IF(AND(ISNUMBER(J1442),J1442&lt;ASOF),"⚠ เลยกำหนด",IF(AND(ISNUMBER(I1442),I1442&lt;=ASOF+14,J1442&gt;=ASOF-7),"ช่วงนี้","")))</f>
        <v/>
      </c>
      <c r="L1442" s="59"/>
      <c r="M1442" s="60"/>
    </row>
    <row r="1443" customFormat="false" ht="15" hidden="false" customHeight="false" outlineLevel="0" collapsed="false">
      <c r="A1443" s="54" t="s">
        <v>110</v>
      </c>
      <c r="B1443" s="55" t="s">
        <v>498</v>
      </c>
      <c r="C1443" s="56" t="s">
        <v>499</v>
      </c>
      <c r="D1443" s="57" t="s">
        <v>112</v>
      </c>
      <c r="E1443" s="57" t="s">
        <v>329</v>
      </c>
      <c r="F1443" s="55" t="s">
        <v>330</v>
      </c>
      <c r="G1443" s="55" t="s">
        <v>331</v>
      </c>
      <c r="H1443" s="56" t="str">
        <f aca="false">IF(COUNTIFS(SITE_ST,"P9-018",SITE_TYPE,"?*")&gt;0,"ตามจุดติดตั้ง →","50/50")</f>
        <v>ตามจุดติดตั้ง →</v>
      </c>
      <c r="I1443" s="58" t="n">
        <f aca="false">'P9-018'!$N$72</f>
        <v>46344</v>
      </c>
      <c r="J1443" s="58" t="n">
        <f aca="false">'P9-018'!$O$72</f>
        <v>46345</v>
      </c>
      <c r="K1443" s="56" t="str">
        <f aca="false">IF(OR(L1443="Y",LEFT('P9-018'!$T$72,1)="D"),"",IF(AND(ISNUMBER(J1443),J1443&lt;ASOF),"⚠ เลยกำหนด",IF(AND(ISNUMBER(I1443),I1443&lt;=ASOF+14,J1443&gt;=ASOF-7),"ช่วงนี้","")))</f>
        <v/>
      </c>
      <c r="L1443" s="59"/>
      <c r="M1443" s="60"/>
    </row>
    <row r="1444" customFormat="false" ht="15" hidden="false" customHeight="false" outlineLevel="0" collapsed="false">
      <c r="A1444" s="54" t="s">
        <v>110</v>
      </c>
      <c r="B1444" s="55" t="s">
        <v>498</v>
      </c>
      <c r="C1444" s="56" t="s">
        <v>499</v>
      </c>
      <c r="D1444" s="57" t="s">
        <v>112</v>
      </c>
      <c r="E1444" s="57" t="s">
        <v>332</v>
      </c>
      <c r="F1444" s="55" t="s">
        <v>333</v>
      </c>
      <c r="G1444" s="55" t="s">
        <v>334</v>
      </c>
      <c r="H1444" s="56" t="str">
        <f aca="false">IF(COUNTIFS(SITE_ST,"P9-018",SITE_TYPE,"?*")&gt;0,"ตามจุดติดตั้ง →","0/100")</f>
        <v>ตามจุดติดตั้ง →</v>
      </c>
      <c r="I1444" s="58" t="n">
        <f aca="false">'P9-018'!$N$73</f>
        <v>46344</v>
      </c>
      <c r="J1444" s="58" t="n">
        <f aca="false">'P9-018'!$O$73</f>
        <v>46345</v>
      </c>
      <c r="K1444" s="56" t="str">
        <f aca="false">IF(OR(L1444="Y",LEFT('P9-018'!$T$73,1)="D"),"",IF(AND(ISNUMBER(J1444),J1444&lt;ASOF),"⚠ เลยกำหนด",IF(AND(ISNUMBER(I1444),I1444&lt;=ASOF+14,J1444&gt;=ASOF-7),"ช่วงนี้","")))</f>
        <v/>
      </c>
      <c r="L1444" s="59"/>
      <c r="M1444" s="60"/>
    </row>
    <row r="1445" customFormat="false" ht="15" hidden="false" customHeight="false" outlineLevel="0" collapsed="false">
      <c r="A1445" s="54" t="s">
        <v>110</v>
      </c>
      <c r="B1445" s="55" t="s">
        <v>498</v>
      </c>
      <c r="C1445" s="56" t="s">
        <v>499</v>
      </c>
      <c r="D1445" s="57" t="s">
        <v>112</v>
      </c>
      <c r="E1445" s="57" t="s">
        <v>335</v>
      </c>
      <c r="F1445" s="55" t="s">
        <v>336</v>
      </c>
      <c r="G1445" s="61" t="s">
        <v>337</v>
      </c>
      <c r="H1445" s="56" t="str">
        <f aca="false">IF(COUNTIFS(SITE_ST,"P9-018",SITE_TYPE,"?*")&gt;0,"ตามจุดติดตั้ง →","0/100")</f>
        <v>ตามจุดติดตั้ง →</v>
      </c>
      <c r="I1445" s="58" t="n">
        <f aca="false">'P9-018'!$N$74</f>
        <v>46345</v>
      </c>
      <c r="J1445" s="58" t="n">
        <f aca="false">'P9-018'!$O$74</f>
        <v>46346</v>
      </c>
      <c r="K1445" s="56" t="str">
        <f aca="false">IF(OR(L1445="Y",LEFT('P9-018'!$T$74,1)="D"),"",IF(AND(ISNUMBER(J1445),J1445&lt;ASOF),"⚠ เลยกำหนด",IF(AND(ISNUMBER(I1445),I1445&lt;=ASOF+14,J1445&gt;=ASOF-7),"ช่วงนี้","")))</f>
        <v/>
      </c>
      <c r="L1445" s="59"/>
      <c r="M1445" s="60"/>
    </row>
    <row r="1446" customFormat="false" ht="15" hidden="false" customHeight="false" outlineLevel="0" collapsed="false">
      <c r="A1446" s="54" t="s">
        <v>110</v>
      </c>
      <c r="B1446" s="55" t="s">
        <v>498</v>
      </c>
      <c r="C1446" s="56" t="s">
        <v>499</v>
      </c>
      <c r="D1446" s="57" t="s">
        <v>112</v>
      </c>
      <c r="E1446" s="57" t="s">
        <v>338</v>
      </c>
      <c r="F1446" s="61" t="s">
        <v>339</v>
      </c>
      <c r="G1446" s="55" t="s">
        <v>340</v>
      </c>
      <c r="H1446" s="56" t="str">
        <f aca="false">IF(COUNTIFS(SITE_ST,"P9-018",SITE_TYPE,"?*")&gt;0,"ตามจุดติดตั้ง →","0/100")</f>
        <v>ตามจุดติดตั้ง →</v>
      </c>
      <c r="I1446" s="58" t="n">
        <f aca="false">'P9-018'!$N$75</f>
        <v>46345</v>
      </c>
      <c r="J1446" s="58" t="n">
        <f aca="false">'P9-018'!$O$75</f>
        <v>46346</v>
      </c>
      <c r="K1446" s="56" t="str">
        <f aca="false">IF(OR(L1446="Y",LEFT('P9-018'!$T$75,1)="D"),"",IF(AND(ISNUMBER(J1446),J1446&lt;ASOF),"⚠ เลยกำหนด",IF(AND(ISNUMBER(I1446),I1446&lt;=ASOF+14,J1446&gt;=ASOF-7),"ช่วงนี้","")))</f>
        <v/>
      </c>
      <c r="L1446" s="59"/>
      <c r="M1446" s="60"/>
    </row>
    <row r="1447" customFormat="false" ht="15" hidden="false" customHeight="false" outlineLevel="0" collapsed="false">
      <c r="A1447" s="54" t="s">
        <v>110</v>
      </c>
      <c r="B1447" s="55" t="s">
        <v>498</v>
      </c>
      <c r="C1447" s="56" t="s">
        <v>499</v>
      </c>
      <c r="D1447" s="57" t="s">
        <v>112</v>
      </c>
      <c r="E1447" s="57" t="s">
        <v>341</v>
      </c>
      <c r="F1447" s="55" t="s">
        <v>342</v>
      </c>
      <c r="G1447" s="55" t="s">
        <v>343</v>
      </c>
      <c r="H1447" s="56" t="str">
        <f aca="false">IF(COUNTIFS(SITE_ST,"P9-018",SITE_TYPE,"?*")&gt;0,"ตามจุดติดตั้ง →","0/100")</f>
        <v>ตามจุดติดตั้ง →</v>
      </c>
      <c r="I1447" s="58" t="n">
        <f aca="false">'P9-018'!$N$77</f>
        <v>46337</v>
      </c>
      <c r="J1447" s="58" t="n">
        <f aca="false">'P9-018'!$O$77</f>
        <v>46340</v>
      </c>
      <c r="K1447" s="56" t="str">
        <f aca="false">IF(OR(L1447="Y",LEFT('P9-018'!$T$77,1)="D"),"",IF(AND(ISNUMBER(J1447),J1447&lt;ASOF),"⚠ เลยกำหนด",IF(AND(ISNUMBER(I1447),I1447&lt;=ASOF+14,J1447&gt;=ASOF-7),"ช่วงนี้","")))</f>
        <v>ช่วงนี้</v>
      </c>
      <c r="L1447" s="59"/>
      <c r="M1447" s="60"/>
    </row>
    <row r="1448" customFormat="false" ht="15" hidden="false" customHeight="false" outlineLevel="0" collapsed="false">
      <c r="A1448" s="54" t="s">
        <v>110</v>
      </c>
      <c r="B1448" s="55" t="s">
        <v>498</v>
      </c>
      <c r="C1448" s="56" t="s">
        <v>499</v>
      </c>
      <c r="D1448" s="57" t="s">
        <v>112</v>
      </c>
      <c r="E1448" s="57" t="s">
        <v>344</v>
      </c>
      <c r="F1448" s="55" t="s">
        <v>345</v>
      </c>
      <c r="G1448" s="55" t="s">
        <v>346</v>
      </c>
      <c r="H1448" s="56" t="str">
        <f aca="false">IF(COUNTIFS(SITE_ST,"P9-018",SITE_TYPE,"?*")&gt;0,"ตามจุดติดตั้ง →","50/50")</f>
        <v>ตามจุดติดตั้ง →</v>
      </c>
      <c r="I1448" s="58" t="n">
        <f aca="false">'P9-018'!$N$78</f>
        <v>46338</v>
      </c>
      <c r="J1448" s="58" t="n">
        <f aca="false">'P9-018'!$O$78</f>
        <v>46346</v>
      </c>
      <c r="K1448" s="56" t="str">
        <f aca="false">IF(OR(L1448="Y",LEFT('P9-018'!$T$78,1)="D"),"",IF(AND(ISNUMBER(J1448),J1448&lt;ASOF),"⚠ เลยกำหนด",IF(AND(ISNUMBER(I1448),I1448&lt;=ASOF+14,J1448&gt;=ASOF-7),"ช่วงนี้","")))</f>
        <v>ช่วงนี้</v>
      </c>
      <c r="L1448" s="59"/>
      <c r="M1448" s="60"/>
    </row>
    <row r="1449" customFormat="false" ht="15" hidden="false" customHeight="false" outlineLevel="0" collapsed="false">
      <c r="A1449" s="54" t="s">
        <v>110</v>
      </c>
      <c r="B1449" s="55" t="s">
        <v>498</v>
      </c>
      <c r="C1449" s="56" t="s">
        <v>499</v>
      </c>
      <c r="D1449" s="57" t="s">
        <v>112</v>
      </c>
      <c r="E1449" s="57" t="s">
        <v>347</v>
      </c>
      <c r="F1449" s="61" t="s">
        <v>348</v>
      </c>
      <c r="G1449" s="55" t="s">
        <v>349</v>
      </c>
      <c r="H1449" s="56" t="str">
        <f aca="false">IF(COUNTIFS(SITE_ST,"P9-018",SITE_TYPE,"?*")&gt;0,"ตามจุดติดตั้ง →","50/50")</f>
        <v>ตามจุดติดตั้ง →</v>
      </c>
      <c r="I1449" s="58" t="n">
        <f aca="false">'P9-018'!$N$79</f>
        <v>46341</v>
      </c>
      <c r="J1449" s="58" t="n">
        <f aca="false">'P9-018'!$O$79</f>
        <v>46347</v>
      </c>
      <c r="K1449" s="56" t="str">
        <f aca="false">IF(OR(L1449="Y",LEFT('P9-018'!$T$79,1)="D"),"",IF(AND(ISNUMBER(J1449),J1449&lt;ASOF),"⚠ เลยกำหนด",IF(AND(ISNUMBER(I1449),I1449&lt;=ASOF+14,J1449&gt;=ASOF-7),"ช่วงนี้","")))</f>
        <v>ช่วงนี้</v>
      </c>
      <c r="L1449" s="59"/>
      <c r="M1449" s="60"/>
    </row>
    <row r="1450" customFormat="false" ht="15" hidden="false" customHeight="false" outlineLevel="0" collapsed="false">
      <c r="A1450" s="54" t="s">
        <v>110</v>
      </c>
      <c r="B1450" s="55" t="s">
        <v>498</v>
      </c>
      <c r="C1450" s="56" t="s">
        <v>499</v>
      </c>
      <c r="D1450" s="57" t="s">
        <v>112</v>
      </c>
      <c r="E1450" s="57" t="s">
        <v>350</v>
      </c>
      <c r="F1450" s="61" t="s">
        <v>351</v>
      </c>
      <c r="G1450" s="55" t="s">
        <v>352</v>
      </c>
      <c r="H1450" s="56" t="str">
        <f aca="false">IF(COUNTIFS(SITE_ST,"P9-018",SITE_TYPE,"?*")&gt;0,"ตามจุดติดตั้ง →","0/100")</f>
        <v>ตามจุดติดตั้ง →</v>
      </c>
      <c r="I1450" s="58" t="n">
        <f aca="false">'P9-018'!$N$80</f>
        <v>46345</v>
      </c>
      <c r="J1450" s="58" t="n">
        <f aca="false">'P9-018'!$O$80</f>
        <v>46347</v>
      </c>
      <c r="K1450" s="56" t="str">
        <f aca="false">IF(OR(L1450="Y",LEFT('P9-018'!$T$80,1)="D"),"",IF(AND(ISNUMBER(J1450),J1450&lt;ASOF),"⚠ เลยกำหนด",IF(AND(ISNUMBER(I1450),I1450&lt;=ASOF+14,J1450&gt;=ASOF-7),"ช่วงนี้","")))</f>
        <v/>
      </c>
      <c r="L1450" s="59"/>
      <c r="M1450" s="60"/>
    </row>
    <row r="1451" customFormat="false" ht="15" hidden="false" customHeight="false" outlineLevel="0" collapsed="false">
      <c r="A1451" s="54" t="s">
        <v>110</v>
      </c>
      <c r="B1451" s="55" t="s">
        <v>498</v>
      </c>
      <c r="C1451" s="56" t="s">
        <v>499</v>
      </c>
      <c r="D1451" s="57" t="s">
        <v>112</v>
      </c>
      <c r="E1451" s="57" t="s">
        <v>353</v>
      </c>
      <c r="F1451" s="61" t="s">
        <v>354</v>
      </c>
      <c r="G1451" s="55" t="s">
        <v>355</v>
      </c>
      <c r="H1451" s="56" t="str">
        <f aca="false">IF(COUNTIFS(SITE_ST,"P9-018",SITE_TYPE,"?*")&gt;0,"ตามจุดติดตั้ง →","0/100")</f>
        <v>ตามจุดติดตั้ง →</v>
      </c>
      <c r="I1451" s="58" t="n">
        <f aca="false">'P9-018'!$N$81</f>
        <v>46347</v>
      </c>
      <c r="J1451" s="58" t="n">
        <f aca="false">'P9-018'!$O$81</f>
        <v>46347</v>
      </c>
      <c r="K1451" s="56" t="str">
        <f aca="false">IF(OR(L1451="Y",LEFT('P9-018'!$T$81,1)="D"),"",IF(AND(ISNUMBER(J1451),J1451&lt;ASOF),"⚠ เลยกำหนด",IF(AND(ISNUMBER(I1451),I1451&lt;=ASOF+14,J1451&gt;=ASOF-7),"ช่วงนี้","")))</f>
        <v/>
      </c>
      <c r="L1451" s="59"/>
      <c r="M1451" s="60"/>
    </row>
    <row r="1452" customFormat="false" ht="15" hidden="false" customHeight="false" outlineLevel="0" collapsed="false">
      <c r="A1452" s="54" t="s">
        <v>110</v>
      </c>
      <c r="B1452" s="55" t="s">
        <v>498</v>
      </c>
      <c r="C1452" s="56" t="s">
        <v>499</v>
      </c>
      <c r="D1452" s="57" t="s">
        <v>112</v>
      </c>
      <c r="E1452" s="57" t="s">
        <v>356</v>
      </c>
      <c r="F1452" s="55" t="s">
        <v>357</v>
      </c>
      <c r="G1452" s="55" t="s">
        <v>358</v>
      </c>
      <c r="H1452" s="57" t="s">
        <v>211</v>
      </c>
      <c r="I1452" s="58" t="n">
        <f aca="false">'P9-018'!$N$83</f>
        <v>46345</v>
      </c>
      <c r="J1452" s="58" t="n">
        <f aca="false">'P9-018'!$O$83</f>
        <v>46346</v>
      </c>
      <c r="K1452" s="56" t="str">
        <f aca="false">IF(OR(L1452="Y",LEFT('P9-018'!$T$83,1)="D"),"",IF(AND(ISNUMBER(J1452),J1452&lt;ASOF),"⚠ เลยกำหนด",IF(AND(ISNUMBER(I1452),I1452&lt;=ASOF+14,J1452&gt;=ASOF-7),"ช่วงนี้","")))</f>
        <v/>
      </c>
      <c r="L1452" s="59"/>
      <c r="M1452" s="60"/>
    </row>
    <row r="1453" customFormat="false" ht="15" hidden="false" customHeight="false" outlineLevel="0" collapsed="false">
      <c r="A1453" s="54" t="s">
        <v>110</v>
      </c>
      <c r="B1453" s="55" t="s">
        <v>498</v>
      </c>
      <c r="C1453" s="56" t="s">
        <v>499</v>
      </c>
      <c r="D1453" s="57" t="s">
        <v>112</v>
      </c>
      <c r="E1453" s="57" t="s">
        <v>359</v>
      </c>
      <c r="F1453" s="55" t="s">
        <v>360</v>
      </c>
      <c r="G1453" s="55" t="s">
        <v>361</v>
      </c>
      <c r="H1453" s="57" t="s">
        <v>211</v>
      </c>
      <c r="I1453" s="58" t="n">
        <f aca="false">'P9-018'!$N$84</f>
        <v>46346</v>
      </c>
      <c r="J1453" s="58" t="n">
        <f aca="false">'P9-018'!$O$84</f>
        <v>46347</v>
      </c>
      <c r="K1453" s="56" t="str">
        <f aca="false">IF(OR(L1453="Y",LEFT('P9-018'!$T$84,1)="D"),"",IF(AND(ISNUMBER(J1453),J1453&lt;ASOF),"⚠ เลยกำหนด",IF(AND(ISNUMBER(I1453),I1453&lt;=ASOF+14,J1453&gt;=ASOF-7),"ช่วงนี้","")))</f>
        <v/>
      </c>
      <c r="L1453" s="59"/>
      <c r="M1453" s="60"/>
    </row>
    <row r="1454" customFormat="false" ht="15" hidden="false" customHeight="false" outlineLevel="0" collapsed="false">
      <c r="A1454" s="54" t="s">
        <v>110</v>
      </c>
      <c r="B1454" s="55" t="s">
        <v>498</v>
      </c>
      <c r="C1454" s="56" t="s">
        <v>499</v>
      </c>
      <c r="D1454" s="57" t="s">
        <v>112</v>
      </c>
      <c r="E1454" s="57" t="s">
        <v>362</v>
      </c>
      <c r="F1454" s="61" t="s">
        <v>363</v>
      </c>
      <c r="G1454" s="61" t="s">
        <v>364</v>
      </c>
      <c r="H1454" s="56" t="s">
        <v>365</v>
      </c>
      <c r="I1454" s="58" t="n">
        <f aca="false">'P9-018'!$N$86</f>
        <v>46343</v>
      </c>
      <c r="J1454" s="58" t="n">
        <f aca="false">'P9-018'!$O$86</f>
        <v>46345</v>
      </c>
      <c r="K1454" s="56" t="str">
        <f aca="false">IF(OR(L1454="Y",LEFT('P9-018'!$T$86,1)="D"),"",IF(AND(ISNUMBER(J1454),J1454&lt;ASOF),"⚠ เลยกำหนด",IF(AND(ISNUMBER(I1454),I1454&lt;=ASOF+14,J1454&gt;=ASOF-7),"ช่วงนี้","")))</f>
        <v/>
      </c>
      <c r="L1454" s="59"/>
      <c r="M1454" s="60"/>
    </row>
    <row r="1455" customFormat="false" ht="15" hidden="false" customHeight="false" outlineLevel="0" collapsed="false">
      <c r="A1455" s="54" t="s">
        <v>110</v>
      </c>
      <c r="B1455" s="55" t="s">
        <v>498</v>
      </c>
      <c r="C1455" s="56" t="s">
        <v>499</v>
      </c>
      <c r="D1455" s="57" t="s">
        <v>112</v>
      </c>
      <c r="E1455" s="57" t="s">
        <v>366</v>
      </c>
      <c r="F1455" s="61" t="s">
        <v>367</v>
      </c>
      <c r="G1455" s="61" t="s">
        <v>368</v>
      </c>
      <c r="H1455" s="57" t="s">
        <v>369</v>
      </c>
      <c r="I1455" s="58" t="n">
        <f aca="false">'P9-018'!$N$87</f>
        <v>46344</v>
      </c>
      <c r="J1455" s="58" t="n">
        <f aca="false">'P9-018'!$O$87</f>
        <v>46346</v>
      </c>
      <c r="K1455" s="56" t="str">
        <f aca="false">IF(OR(L1455="Y",LEFT('P9-018'!$T$87,1)="D"),"",IF(AND(ISNUMBER(J1455),J1455&lt;ASOF),"⚠ เลยกำหนด",IF(AND(ISNUMBER(I1455),I1455&lt;=ASOF+14,J1455&gt;=ASOF-7),"ช่วงนี้","")))</f>
        <v/>
      </c>
      <c r="L1455" s="59"/>
      <c r="M1455" s="60"/>
    </row>
    <row r="1456" customFormat="false" ht="15" hidden="false" customHeight="false" outlineLevel="0" collapsed="false">
      <c r="A1456" s="54" t="s">
        <v>110</v>
      </c>
      <c r="B1456" s="55" t="s">
        <v>498</v>
      </c>
      <c r="C1456" s="56" t="s">
        <v>499</v>
      </c>
      <c r="D1456" s="57" t="s">
        <v>112</v>
      </c>
      <c r="E1456" s="57" t="s">
        <v>370</v>
      </c>
      <c r="F1456" s="55" t="s">
        <v>371</v>
      </c>
      <c r="G1456" s="55" t="s">
        <v>372</v>
      </c>
      <c r="H1456" s="57" t="s">
        <v>211</v>
      </c>
      <c r="I1456" s="58" t="n">
        <f aca="false">'P9-018'!$N$88</f>
        <v>46345</v>
      </c>
      <c r="J1456" s="58" t="n">
        <f aca="false">'P9-018'!$O$88</f>
        <v>46346</v>
      </c>
      <c r="K1456" s="56" t="str">
        <f aca="false">IF(OR(L1456="Y",LEFT('P9-018'!$T$88,1)="D"),"",IF(AND(ISNUMBER(J1456),J1456&lt;ASOF),"⚠ เลยกำหนด",IF(AND(ISNUMBER(I1456),I1456&lt;=ASOF+14,J1456&gt;=ASOF-7),"ช่วงนี้","")))</f>
        <v/>
      </c>
      <c r="L1456" s="59"/>
      <c r="M1456" s="60"/>
    </row>
    <row r="1457" customFormat="false" ht="15" hidden="false" customHeight="false" outlineLevel="0" collapsed="false">
      <c r="A1457" s="54" t="s">
        <v>110</v>
      </c>
      <c r="B1457" s="55" t="s">
        <v>498</v>
      </c>
      <c r="C1457" s="56" t="s">
        <v>499</v>
      </c>
      <c r="D1457" s="57" t="s">
        <v>112</v>
      </c>
      <c r="E1457" s="57" t="s">
        <v>373</v>
      </c>
      <c r="F1457" s="61" t="s">
        <v>374</v>
      </c>
      <c r="G1457" s="55" t="s">
        <v>375</v>
      </c>
      <c r="H1457" s="57" t="s">
        <v>211</v>
      </c>
      <c r="I1457" s="58" t="n">
        <f aca="false">'P9-018'!$N$89</f>
        <v>46346</v>
      </c>
      <c r="J1457" s="58" t="n">
        <f aca="false">'P9-018'!$O$89</f>
        <v>46346</v>
      </c>
      <c r="K1457" s="56" t="str">
        <f aca="false">IF(OR(L1457="Y",LEFT('P9-018'!$T$89,1)="D"),"",IF(AND(ISNUMBER(J1457),J1457&lt;ASOF),"⚠ เลยกำหนด",IF(AND(ISNUMBER(I1457),I1457&lt;=ASOF+14,J1457&gt;=ASOF-7),"ช่วงนี้","")))</f>
        <v/>
      </c>
      <c r="L1457" s="59"/>
      <c r="M1457" s="60"/>
    </row>
    <row r="1458" customFormat="false" ht="15" hidden="false" customHeight="false" outlineLevel="0" collapsed="false">
      <c r="A1458" s="54" t="s">
        <v>110</v>
      </c>
      <c r="B1458" s="55" t="s">
        <v>498</v>
      </c>
      <c r="C1458" s="56" t="s">
        <v>499</v>
      </c>
      <c r="D1458" s="57" t="s">
        <v>112</v>
      </c>
      <c r="E1458" s="57" t="s">
        <v>376</v>
      </c>
      <c r="F1458" s="55" t="s">
        <v>377</v>
      </c>
      <c r="G1458" s="55" t="s">
        <v>378</v>
      </c>
      <c r="H1458" s="57" t="s">
        <v>369</v>
      </c>
      <c r="I1458" s="58" t="n">
        <f aca="false">'P9-018'!$N$91</f>
        <v>46344</v>
      </c>
      <c r="J1458" s="58" t="n">
        <f aca="false">'P9-018'!$O$91</f>
        <v>46346</v>
      </c>
      <c r="K1458" s="56" t="str">
        <f aca="false">IF(OR(L1458="Y",LEFT('P9-018'!$T$91,1)="D"),"",IF(AND(ISNUMBER(J1458),J1458&lt;ASOF),"⚠ เลยกำหนด",IF(AND(ISNUMBER(I1458),I1458&lt;=ASOF+14,J1458&gt;=ASOF-7),"ช่วงนี้","")))</f>
        <v/>
      </c>
      <c r="L1458" s="59"/>
      <c r="M1458" s="60"/>
    </row>
    <row r="1459" customFormat="false" ht="15" hidden="false" customHeight="false" outlineLevel="0" collapsed="false">
      <c r="A1459" s="54" t="s">
        <v>110</v>
      </c>
      <c r="B1459" s="55" t="s">
        <v>498</v>
      </c>
      <c r="C1459" s="56" t="s">
        <v>499</v>
      </c>
      <c r="D1459" s="57" t="s">
        <v>112</v>
      </c>
      <c r="E1459" s="57" t="s">
        <v>379</v>
      </c>
      <c r="F1459" s="61" t="s">
        <v>380</v>
      </c>
      <c r="G1459" s="61" t="s">
        <v>381</v>
      </c>
      <c r="H1459" s="57" t="s">
        <v>211</v>
      </c>
      <c r="I1459" s="58" t="n">
        <f aca="false">'P9-018'!$N$92</f>
        <v>46346</v>
      </c>
      <c r="J1459" s="58" t="n">
        <f aca="false">'P9-018'!$O$92</f>
        <v>46347</v>
      </c>
      <c r="K1459" s="56" t="str">
        <f aca="false">IF(OR(L1459="Y",LEFT('P9-018'!$T$92,1)="D"),"",IF(AND(ISNUMBER(J1459),J1459&lt;ASOF),"⚠ เลยกำหนด",IF(AND(ISNUMBER(I1459),I1459&lt;=ASOF+14,J1459&gt;=ASOF-7),"ช่วงนี้","")))</f>
        <v/>
      </c>
      <c r="L1459" s="59"/>
      <c r="M1459" s="60"/>
    </row>
    <row r="1460" customFormat="false" ht="15" hidden="false" customHeight="false" outlineLevel="0" collapsed="false">
      <c r="A1460" s="54" t="s">
        <v>110</v>
      </c>
      <c r="B1460" s="55" t="s">
        <v>498</v>
      </c>
      <c r="C1460" s="56" t="s">
        <v>499</v>
      </c>
      <c r="D1460" s="57" t="s">
        <v>112</v>
      </c>
      <c r="E1460" s="57" t="s">
        <v>382</v>
      </c>
      <c r="F1460" s="55" t="s">
        <v>383</v>
      </c>
      <c r="G1460" s="55" t="s">
        <v>384</v>
      </c>
      <c r="H1460" s="57" t="s">
        <v>369</v>
      </c>
      <c r="I1460" s="58" t="n">
        <f aca="false">'P9-018'!$N$93</f>
        <v>46344</v>
      </c>
      <c r="J1460" s="58" t="n">
        <f aca="false">'P9-018'!$O$93</f>
        <v>46346</v>
      </c>
      <c r="K1460" s="56" t="str">
        <f aca="false">IF(OR(L1460="Y",LEFT('P9-018'!$T$93,1)="D"),"",IF(AND(ISNUMBER(J1460),J1460&lt;ASOF),"⚠ เลยกำหนด",IF(AND(ISNUMBER(I1460),I1460&lt;=ASOF+14,J1460&gt;=ASOF-7),"ช่วงนี้","")))</f>
        <v/>
      </c>
      <c r="L1460" s="59"/>
      <c r="M1460" s="60"/>
    </row>
    <row r="1461" customFormat="false" ht="15" hidden="false" customHeight="false" outlineLevel="0" collapsed="false">
      <c r="A1461" s="54" t="s">
        <v>110</v>
      </c>
      <c r="B1461" s="55" t="s">
        <v>498</v>
      </c>
      <c r="C1461" s="56" t="s">
        <v>499</v>
      </c>
      <c r="D1461" s="57" t="s">
        <v>112</v>
      </c>
      <c r="E1461" s="57" t="s">
        <v>385</v>
      </c>
      <c r="F1461" s="55" t="s">
        <v>386</v>
      </c>
      <c r="G1461" s="55" t="s">
        <v>387</v>
      </c>
      <c r="H1461" s="57" t="s">
        <v>211</v>
      </c>
      <c r="I1461" s="58" t="n">
        <f aca="false">'P9-018'!$N$94</f>
        <v>46346</v>
      </c>
      <c r="J1461" s="58" t="n">
        <f aca="false">'P9-018'!$O$94</f>
        <v>46347</v>
      </c>
      <c r="K1461" s="56" t="str">
        <f aca="false">IF(OR(L1461="Y",LEFT('P9-018'!$T$94,1)="D"),"",IF(AND(ISNUMBER(J1461),J1461&lt;ASOF),"⚠ เลยกำหนด",IF(AND(ISNUMBER(I1461),I1461&lt;=ASOF+14,J1461&gt;=ASOF-7),"ช่วงนี้","")))</f>
        <v/>
      </c>
      <c r="L1461" s="59"/>
      <c r="M1461" s="60"/>
    </row>
    <row r="1462" customFormat="false" ht="15" hidden="false" customHeight="false" outlineLevel="0" collapsed="false">
      <c r="A1462" s="54" t="s">
        <v>110</v>
      </c>
      <c r="B1462" s="55" t="s">
        <v>498</v>
      </c>
      <c r="C1462" s="56" t="s">
        <v>499</v>
      </c>
      <c r="D1462" s="57" t="s">
        <v>112</v>
      </c>
      <c r="E1462" s="57" t="s">
        <v>388</v>
      </c>
      <c r="F1462" s="61" t="s">
        <v>389</v>
      </c>
      <c r="G1462" s="55" t="s">
        <v>390</v>
      </c>
      <c r="H1462" s="57" t="s">
        <v>211</v>
      </c>
      <c r="I1462" s="58" t="n">
        <f aca="false">'P9-018'!$N$95</f>
        <v>46347</v>
      </c>
      <c r="J1462" s="58" t="n">
        <f aca="false">'P9-018'!$O$95</f>
        <v>46347</v>
      </c>
      <c r="K1462" s="56" t="str">
        <f aca="false">IF(OR(L1462="Y",LEFT('P9-018'!$T$95,1)="D"),"",IF(AND(ISNUMBER(J1462),J1462&lt;ASOF),"⚠ เลยกำหนด",IF(AND(ISNUMBER(I1462),I1462&lt;=ASOF+14,J1462&gt;=ASOF-7),"ช่วงนี้","")))</f>
        <v/>
      </c>
      <c r="L1462" s="59"/>
      <c r="M1462" s="60"/>
    </row>
    <row r="1463" customFormat="false" ht="15" hidden="false" customHeight="false" outlineLevel="0" collapsed="false">
      <c r="A1463" s="54" t="s">
        <v>110</v>
      </c>
      <c r="B1463" s="55" t="s">
        <v>498</v>
      </c>
      <c r="C1463" s="56" t="s">
        <v>499</v>
      </c>
      <c r="D1463" s="57" t="s">
        <v>112</v>
      </c>
      <c r="E1463" s="57" t="s">
        <v>391</v>
      </c>
      <c r="F1463" s="55" t="s">
        <v>392</v>
      </c>
      <c r="G1463" s="55" t="s">
        <v>393</v>
      </c>
      <c r="H1463" s="57" t="s">
        <v>369</v>
      </c>
      <c r="I1463" s="58" t="n">
        <f aca="false">'P9-018'!$N$97</f>
        <v>46345</v>
      </c>
      <c r="J1463" s="58" t="n">
        <f aca="false">'P9-018'!$O$97</f>
        <v>46347</v>
      </c>
      <c r="K1463" s="56" t="str">
        <f aca="false">IF(OR(L1463="Y",LEFT('P9-018'!$T$97,1)="D"),"",IF(AND(ISNUMBER(J1463),J1463&lt;ASOF),"⚠ เลยกำหนด",IF(AND(ISNUMBER(I1463),I1463&lt;=ASOF+14,J1463&gt;=ASOF-7),"ช่วงนี้","")))</f>
        <v/>
      </c>
      <c r="L1463" s="59"/>
      <c r="M1463" s="60"/>
    </row>
    <row r="1464" customFormat="false" ht="15" hidden="false" customHeight="false" outlineLevel="0" collapsed="false">
      <c r="A1464" s="54" t="s">
        <v>110</v>
      </c>
      <c r="B1464" s="55" t="s">
        <v>498</v>
      </c>
      <c r="C1464" s="56" t="s">
        <v>499</v>
      </c>
      <c r="D1464" s="57" t="s">
        <v>112</v>
      </c>
      <c r="E1464" s="57" t="s">
        <v>394</v>
      </c>
      <c r="F1464" s="55" t="s">
        <v>395</v>
      </c>
      <c r="G1464" s="55" t="s">
        <v>396</v>
      </c>
      <c r="H1464" s="57" t="s">
        <v>211</v>
      </c>
      <c r="I1464" s="58" t="n">
        <f aca="false">'P9-018'!$N$98</f>
        <v>46346</v>
      </c>
      <c r="J1464" s="58" t="n">
        <f aca="false">'P9-018'!$O$98</f>
        <v>46347</v>
      </c>
      <c r="K1464" s="56" t="str">
        <f aca="false">IF(OR(L1464="Y",LEFT('P9-018'!$T$98,1)="D"),"",IF(AND(ISNUMBER(J1464),J1464&lt;ASOF),"⚠ เลยกำหนด",IF(AND(ISNUMBER(I1464),I1464&lt;=ASOF+14,J1464&gt;=ASOF-7),"ช่วงนี้","")))</f>
        <v/>
      </c>
      <c r="L1464" s="59"/>
      <c r="M1464" s="60"/>
    </row>
    <row r="1465" customFormat="false" ht="15" hidden="false" customHeight="false" outlineLevel="0" collapsed="false">
      <c r="A1465" s="54" t="s">
        <v>110</v>
      </c>
      <c r="B1465" s="55" t="s">
        <v>498</v>
      </c>
      <c r="C1465" s="56" t="s">
        <v>499</v>
      </c>
      <c r="D1465" s="57" t="s">
        <v>112</v>
      </c>
      <c r="E1465" s="57" t="s">
        <v>397</v>
      </c>
      <c r="F1465" s="61" t="s">
        <v>398</v>
      </c>
      <c r="G1465" s="55" t="s">
        <v>399</v>
      </c>
      <c r="H1465" s="57" t="s">
        <v>211</v>
      </c>
      <c r="I1465" s="58" t="n">
        <f aca="false">'P9-018'!$N$99</f>
        <v>46347</v>
      </c>
      <c r="J1465" s="58" t="n">
        <f aca="false">'P9-018'!$O$99</f>
        <v>46347</v>
      </c>
      <c r="K1465" s="56" t="str">
        <f aca="false">IF(OR(L1465="Y",LEFT('P9-018'!$T$99,1)="D"),"",IF(AND(ISNUMBER(J1465),J1465&lt;ASOF),"⚠ เลยกำหนด",IF(AND(ISNUMBER(I1465),I1465&lt;=ASOF+14,J1465&gt;=ASOF-7),"ช่วงนี้","")))</f>
        <v/>
      </c>
      <c r="L1465" s="59"/>
      <c r="M1465" s="60"/>
    </row>
    <row r="1466" customFormat="false" ht="15" hidden="false" customHeight="false" outlineLevel="0" collapsed="false">
      <c r="A1466" s="54" t="s">
        <v>110</v>
      </c>
      <c r="B1466" s="55" t="s">
        <v>498</v>
      </c>
      <c r="C1466" s="56" t="s">
        <v>499</v>
      </c>
      <c r="D1466" s="57" t="s">
        <v>112</v>
      </c>
      <c r="E1466" s="57" t="s">
        <v>400</v>
      </c>
      <c r="F1466" s="55" t="s">
        <v>401</v>
      </c>
      <c r="G1466" s="55" t="s">
        <v>402</v>
      </c>
      <c r="H1466" s="57" t="s">
        <v>211</v>
      </c>
      <c r="I1466" s="58" t="n">
        <f aca="false">'P9-018'!$N$102</f>
        <v>46346</v>
      </c>
      <c r="J1466" s="58" t="n">
        <f aca="false">'P9-018'!$O$102</f>
        <v>46347</v>
      </c>
      <c r="K1466" s="56" t="str">
        <f aca="false">IF(OR(L1466="Y",LEFT('P9-018'!$T$102,1)="D"),"",IF(AND(ISNUMBER(J1466),J1466&lt;ASOF),"⚠ เลยกำหนด",IF(AND(ISNUMBER(I1466),I1466&lt;=ASOF+14,J1466&gt;=ASOF-7),"ช่วงนี้","")))</f>
        <v/>
      </c>
      <c r="L1466" s="59"/>
      <c r="M1466" s="60"/>
    </row>
    <row r="1467" customFormat="false" ht="15" hidden="false" customHeight="false" outlineLevel="0" collapsed="false">
      <c r="A1467" s="54" t="s">
        <v>110</v>
      </c>
      <c r="B1467" s="55" t="s">
        <v>498</v>
      </c>
      <c r="C1467" s="56" t="s">
        <v>499</v>
      </c>
      <c r="D1467" s="57" t="s">
        <v>112</v>
      </c>
      <c r="E1467" s="57" t="s">
        <v>403</v>
      </c>
      <c r="F1467" s="55" t="s">
        <v>404</v>
      </c>
      <c r="G1467" s="55" t="s">
        <v>405</v>
      </c>
      <c r="H1467" s="57" t="s">
        <v>211</v>
      </c>
      <c r="I1467" s="58" t="n">
        <f aca="false">'P9-018'!$N$104</f>
        <v>46347</v>
      </c>
      <c r="J1467" s="58" t="n">
        <f aca="false">'P9-018'!$O$104</f>
        <v>46348</v>
      </c>
      <c r="K1467" s="56" t="str">
        <f aca="false">IF(OR(L1467="Y",LEFT('P9-018'!$T$104,1)="D"),"",IF(AND(ISNUMBER(J1467),J1467&lt;ASOF),"⚠ เลยกำหนด",IF(AND(ISNUMBER(I1467),I1467&lt;=ASOF+14,J1467&gt;=ASOF-7),"ช่วงนี้","")))</f>
        <v/>
      </c>
      <c r="L1467" s="59"/>
      <c r="M1467" s="60"/>
    </row>
    <row r="1468" customFormat="false" ht="15" hidden="false" customHeight="false" outlineLevel="0" collapsed="false">
      <c r="A1468" s="54" t="s">
        <v>110</v>
      </c>
      <c r="B1468" s="55" t="s">
        <v>498</v>
      </c>
      <c r="C1468" s="56" t="s">
        <v>499</v>
      </c>
      <c r="D1468" s="57" t="s">
        <v>112</v>
      </c>
      <c r="E1468" s="57" t="s">
        <v>406</v>
      </c>
      <c r="F1468" s="55" t="s">
        <v>407</v>
      </c>
      <c r="G1468" s="55" t="s">
        <v>408</v>
      </c>
      <c r="H1468" s="57" t="s">
        <v>211</v>
      </c>
      <c r="I1468" s="58" t="n">
        <f aca="false">'P9-018'!$N$105</f>
        <v>46347</v>
      </c>
      <c r="J1468" s="58" t="n">
        <f aca="false">'P9-018'!$O$105</f>
        <v>46348</v>
      </c>
      <c r="K1468" s="56" t="str">
        <f aca="false">IF(OR(L1468="Y",LEFT('P9-018'!$T$105,1)="D"),"",IF(AND(ISNUMBER(J1468),J1468&lt;ASOF),"⚠ เลยกำหนด",IF(AND(ISNUMBER(I1468),I1468&lt;=ASOF+14,J1468&gt;=ASOF-7),"ช่วงนี้","")))</f>
        <v/>
      </c>
      <c r="L1468" s="59"/>
      <c r="M1468" s="60"/>
    </row>
    <row r="1469" customFormat="false" ht="15" hidden="false" customHeight="false" outlineLevel="0" collapsed="false">
      <c r="A1469" s="54" t="s">
        <v>110</v>
      </c>
      <c r="B1469" s="55" t="s">
        <v>498</v>
      </c>
      <c r="C1469" s="56" t="s">
        <v>499</v>
      </c>
      <c r="D1469" s="57" t="s">
        <v>112</v>
      </c>
      <c r="E1469" s="57" t="s">
        <v>409</v>
      </c>
      <c r="F1469" s="61" t="s">
        <v>410</v>
      </c>
      <c r="G1469" s="55" t="s">
        <v>411</v>
      </c>
      <c r="H1469" s="57" t="s">
        <v>211</v>
      </c>
      <c r="I1469" s="58" t="n">
        <f aca="false">'P9-018'!$N$106</f>
        <v>46348</v>
      </c>
      <c r="J1469" s="58" t="n">
        <f aca="false">'P9-018'!$O$106</f>
        <v>46348</v>
      </c>
      <c r="K1469" s="56" t="str">
        <f aca="false">IF(OR(L1469="Y",LEFT('P9-018'!$T$106,1)="D"),"",IF(AND(ISNUMBER(J1469),J1469&lt;ASOF),"⚠ เลยกำหนด",IF(AND(ISNUMBER(I1469),I1469&lt;=ASOF+14,J1469&gt;=ASOF-7),"ช่วงนี้","")))</f>
        <v/>
      </c>
      <c r="L1469" s="59"/>
      <c r="M1469" s="60"/>
    </row>
    <row r="1470" customFormat="false" ht="15" hidden="false" customHeight="false" outlineLevel="0" collapsed="false">
      <c r="A1470" s="54" t="s">
        <v>110</v>
      </c>
      <c r="B1470" s="55" t="s">
        <v>498</v>
      </c>
      <c r="C1470" s="56" t="s">
        <v>499</v>
      </c>
      <c r="D1470" s="57" t="s">
        <v>112</v>
      </c>
      <c r="E1470" s="57" t="s">
        <v>412</v>
      </c>
      <c r="F1470" s="61" t="s">
        <v>413</v>
      </c>
      <c r="G1470" s="61" t="s">
        <v>414</v>
      </c>
      <c r="H1470" s="57" t="s">
        <v>211</v>
      </c>
      <c r="I1470" s="58" t="n">
        <f aca="false">'P9-018'!$N$108</f>
        <v>46347</v>
      </c>
      <c r="J1470" s="58" t="n">
        <f aca="false">'P9-018'!$O$108</f>
        <v>46348</v>
      </c>
      <c r="K1470" s="56" t="str">
        <f aca="false">IF(OR(L1470="Y",LEFT('P9-018'!$T$108,1)="D"),"",IF(AND(ISNUMBER(J1470),J1470&lt;ASOF),"⚠ เลยกำหนด",IF(AND(ISNUMBER(I1470),I1470&lt;=ASOF+14,J1470&gt;=ASOF-7),"ช่วงนี้","")))</f>
        <v/>
      </c>
      <c r="L1470" s="59"/>
      <c r="M1470" s="60"/>
    </row>
    <row r="1471" customFormat="false" ht="15" hidden="false" customHeight="false" outlineLevel="0" collapsed="false">
      <c r="A1471" s="54" t="s">
        <v>110</v>
      </c>
      <c r="B1471" s="55" t="s">
        <v>498</v>
      </c>
      <c r="C1471" s="56" t="s">
        <v>499</v>
      </c>
      <c r="D1471" s="57" t="s">
        <v>112</v>
      </c>
      <c r="E1471" s="57" t="s">
        <v>415</v>
      </c>
      <c r="F1471" s="55" t="s">
        <v>416</v>
      </c>
      <c r="G1471" s="55" t="s">
        <v>417</v>
      </c>
      <c r="H1471" s="57" t="s">
        <v>211</v>
      </c>
      <c r="I1471" s="58" t="n">
        <f aca="false">'P9-018'!$N$109</f>
        <v>46348</v>
      </c>
      <c r="J1471" s="58" t="n">
        <f aca="false">'P9-018'!$O$109</f>
        <v>46348</v>
      </c>
      <c r="K1471" s="56" t="str">
        <f aca="false">IF(OR(L1471="Y",LEFT('P9-018'!$T$109,1)="D"),"",IF(AND(ISNUMBER(J1471),J1471&lt;ASOF),"⚠ เลยกำหนด",IF(AND(ISNUMBER(I1471),I1471&lt;=ASOF+14,J1471&gt;=ASOF-7),"ช่วงนี้","")))</f>
        <v/>
      </c>
      <c r="L1471" s="59"/>
      <c r="M1471" s="60"/>
    </row>
    <row r="1472" customFormat="false" ht="15" hidden="false" customHeight="false" outlineLevel="0" collapsed="false">
      <c r="A1472" s="54" t="s">
        <v>110</v>
      </c>
      <c r="B1472" s="55" t="s">
        <v>498</v>
      </c>
      <c r="C1472" s="56" t="s">
        <v>499</v>
      </c>
      <c r="D1472" s="57" t="s">
        <v>112</v>
      </c>
      <c r="E1472" s="57" t="s">
        <v>418</v>
      </c>
      <c r="F1472" s="61" t="s">
        <v>419</v>
      </c>
      <c r="G1472" s="55" t="s">
        <v>420</v>
      </c>
      <c r="H1472" s="57" t="s">
        <v>211</v>
      </c>
      <c r="I1472" s="58" t="n">
        <f aca="false">'P9-018'!$N$110</f>
        <v>46347</v>
      </c>
      <c r="J1472" s="58" t="n">
        <f aca="false">'P9-018'!$O$110</f>
        <v>46348</v>
      </c>
      <c r="K1472" s="56" t="str">
        <f aca="false">IF(OR(L1472="Y",LEFT('P9-018'!$T$110,1)="D"),"",IF(AND(ISNUMBER(J1472),J1472&lt;ASOF),"⚠ เลยกำหนด",IF(AND(ISNUMBER(I1472),I1472&lt;=ASOF+14,J1472&gt;=ASOF-7),"ช่วงนี้","")))</f>
        <v/>
      </c>
      <c r="L1472" s="59"/>
      <c r="M1472" s="60"/>
    </row>
    <row r="1473" customFormat="false" ht="15" hidden="false" customHeight="false" outlineLevel="0" collapsed="false">
      <c r="A1473" s="54" t="s">
        <v>110</v>
      </c>
      <c r="B1473" s="55" t="s">
        <v>498</v>
      </c>
      <c r="C1473" s="56" t="s">
        <v>499</v>
      </c>
      <c r="D1473" s="57" t="s">
        <v>112</v>
      </c>
      <c r="E1473" s="57" t="s">
        <v>421</v>
      </c>
      <c r="F1473" s="55" t="s">
        <v>422</v>
      </c>
      <c r="G1473" s="55" t="s">
        <v>423</v>
      </c>
      <c r="H1473" s="56" t="str">
        <f aca="false">IF(COUNTIFS(SITE_ST,"P9-018",SITE_TYPE,"?*")&gt;0,"ตามจุดติดตั้ง →","0/100")</f>
        <v>ตามจุดติดตั้ง →</v>
      </c>
      <c r="I1473" s="58" t="n">
        <f aca="false">'P9-018'!$N$112</f>
        <v>46349</v>
      </c>
      <c r="J1473" s="58" t="n">
        <f aca="false">'P9-018'!$O$112</f>
        <v>46349</v>
      </c>
      <c r="K1473" s="56" t="str">
        <f aca="false">IF(OR(L1473="Y",LEFT('P9-018'!$T$112,1)="D"),"",IF(AND(ISNUMBER(J1473),J1473&lt;ASOF),"⚠ เลยกำหนด",IF(AND(ISNUMBER(I1473),I1473&lt;=ASOF+14,J1473&gt;=ASOF-7),"ช่วงนี้","")))</f>
        <v/>
      </c>
      <c r="L1473" s="59"/>
      <c r="M1473" s="60"/>
    </row>
    <row r="1474" customFormat="false" ht="15" hidden="false" customHeight="false" outlineLevel="0" collapsed="false">
      <c r="A1474" s="54" t="s">
        <v>110</v>
      </c>
      <c r="B1474" s="55" t="s">
        <v>498</v>
      </c>
      <c r="C1474" s="56" t="s">
        <v>499</v>
      </c>
      <c r="D1474" s="57" t="s">
        <v>112</v>
      </c>
      <c r="E1474" s="57" t="s">
        <v>424</v>
      </c>
      <c r="F1474" s="55" t="s">
        <v>425</v>
      </c>
      <c r="G1474" s="55" t="s">
        <v>426</v>
      </c>
      <c r="H1474" s="56" t="str">
        <f aca="false">IF(COUNTIFS(SITE_ST,"P9-018",SITE_TYPE,"?*")&gt;0,"ตามจุดติดตั้ง →","0/100")</f>
        <v>ตามจุดติดตั้ง →</v>
      </c>
      <c r="I1474" s="58" t="n">
        <f aca="false">'P9-018'!$N$113</f>
        <v>46349</v>
      </c>
      <c r="J1474" s="58" t="n">
        <f aca="false">'P9-018'!$O$113</f>
        <v>46349</v>
      </c>
      <c r="K1474" s="56" t="str">
        <f aca="false">IF(OR(L1474="Y",LEFT('P9-018'!$T$113,1)="D"),"",IF(AND(ISNUMBER(J1474),J1474&lt;ASOF),"⚠ เลยกำหนด",IF(AND(ISNUMBER(I1474),I1474&lt;=ASOF+14,J1474&gt;=ASOF-7),"ช่วงนี้","")))</f>
        <v/>
      </c>
      <c r="L1474" s="59"/>
      <c r="M1474" s="60"/>
    </row>
    <row r="1475" customFormat="false" ht="15" hidden="false" customHeight="false" outlineLevel="0" collapsed="false">
      <c r="A1475" s="54" t="s">
        <v>110</v>
      </c>
      <c r="B1475" s="55" t="s">
        <v>498</v>
      </c>
      <c r="C1475" s="56" t="s">
        <v>499</v>
      </c>
      <c r="D1475" s="57" t="s">
        <v>112</v>
      </c>
      <c r="E1475" s="57" t="s">
        <v>427</v>
      </c>
      <c r="F1475" s="61" t="s">
        <v>428</v>
      </c>
      <c r="G1475" s="61" t="s">
        <v>429</v>
      </c>
      <c r="H1475" s="57" t="s">
        <v>211</v>
      </c>
      <c r="I1475" s="58" t="n">
        <f aca="false">'P9-018'!$N$116</f>
        <v>46359</v>
      </c>
      <c r="J1475" s="58" t="n">
        <f aca="false">'P9-018'!$O$116</f>
        <v>46359</v>
      </c>
      <c r="K1475" s="56" t="str">
        <f aca="false">IF(OR(L1475="Y",LEFT('P9-018'!$T$116,1)="D"),"",IF(AND(ISNUMBER(J1475),J1475&lt;ASOF),"⚠ เลยกำหนด",IF(AND(ISNUMBER(I1475),I1475&lt;=ASOF+14,J1475&gt;=ASOF-7),"ช่วงนี้","")))</f>
        <v/>
      </c>
      <c r="L1475" s="59"/>
      <c r="M1475" s="60"/>
    </row>
    <row r="1476" customFormat="false" ht="15" hidden="false" customHeight="false" outlineLevel="0" collapsed="false">
      <c r="A1476" s="54" t="s">
        <v>110</v>
      </c>
      <c r="B1476" s="55" t="s">
        <v>498</v>
      </c>
      <c r="C1476" s="56" t="s">
        <v>499</v>
      </c>
      <c r="D1476" s="57" t="s">
        <v>112</v>
      </c>
      <c r="E1476" s="57" t="s">
        <v>430</v>
      </c>
      <c r="F1476" s="55" t="s">
        <v>431</v>
      </c>
      <c r="G1476" s="55" t="s">
        <v>432</v>
      </c>
      <c r="H1476" s="57" t="s">
        <v>211</v>
      </c>
      <c r="I1476" s="58" t="n">
        <f aca="false">'P9-018'!$N$117</f>
        <v>46359</v>
      </c>
      <c r="J1476" s="58" t="n">
        <f aca="false">'P9-018'!$O$117</f>
        <v>46359</v>
      </c>
      <c r="K1476" s="56" t="str">
        <f aca="false">IF(OR(L1476="Y",LEFT('P9-018'!$T$117,1)="D"),"",IF(AND(ISNUMBER(J1476),J1476&lt;ASOF),"⚠ เลยกำหนด",IF(AND(ISNUMBER(I1476),I1476&lt;=ASOF+14,J1476&gt;=ASOF-7),"ช่วงนี้","")))</f>
        <v/>
      </c>
      <c r="L1476" s="59"/>
      <c r="M1476" s="60"/>
    </row>
    <row r="1477" customFormat="false" ht="15" hidden="false" customHeight="false" outlineLevel="0" collapsed="false">
      <c r="A1477" s="54" t="s">
        <v>110</v>
      </c>
      <c r="B1477" s="55" t="s">
        <v>498</v>
      </c>
      <c r="C1477" s="56" t="s">
        <v>499</v>
      </c>
      <c r="D1477" s="57" t="s">
        <v>112</v>
      </c>
      <c r="E1477" s="57" t="s">
        <v>433</v>
      </c>
      <c r="F1477" s="55" t="s">
        <v>434</v>
      </c>
      <c r="G1477" s="55" t="s">
        <v>435</v>
      </c>
      <c r="H1477" s="57" t="s">
        <v>211</v>
      </c>
      <c r="I1477" s="58" t="n">
        <f aca="false">'P9-018'!$N$118</f>
        <v>46359</v>
      </c>
      <c r="J1477" s="58" t="n">
        <f aca="false">'P9-018'!$O$118</f>
        <v>46359</v>
      </c>
      <c r="K1477" s="56" t="str">
        <f aca="false">IF(OR(L1477="Y",LEFT('P9-018'!$T$118,1)="D"),"",IF(AND(ISNUMBER(J1477),J1477&lt;ASOF),"⚠ เลยกำหนด",IF(AND(ISNUMBER(I1477),I1477&lt;=ASOF+14,J1477&gt;=ASOF-7),"ช่วงนี้","")))</f>
        <v/>
      </c>
      <c r="L1477" s="59"/>
      <c r="M1477" s="60"/>
    </row>
    <row r="1478" customFormat="false" ht="15" hidden="false" customHeight="false" outlineLevel="0" collapsed="false">
      <c r="A1478" s="54" t="s">
        <v>110</v>
      </c>
      <c r="B1478" s="55" t="s">
        <v>498</v>
      </c>
      <c r="C1478" s="56" t="s">
        <v>499</v>
      </c>
      <c r="D1478" s="57" t="s">
        <v>112</v>
      </c>
      <c r="E1478" s="57" t="s">
        <v>436</v>
      </c>
      <c r="F1478" s="55" t="s">
        <v>437</v>
      </c>
      <c r="G1478" s="55" t="s">
        <v>438</v>
      </c>
      <c r="H1478" s="57" t="s">
        <v>211</v>
      </c>
      <c r="I1478" s="58" t="n">
        <f aca="false">'P9-018'!$N$119</f>
        <v>46359</v>
      </c>
      <c r="J1478" s="58" t="n">
        <f aca="false">'P9-018'!$O$119</f>
        <v>46359</v>
      </c>
      <c r="K1478" s="56" t="str">
        <f aca="false">IF(OR(L1478="Y",LEFT('P9-018'!$T$119,1)="D"),"",IF(AND(ISNUMBER(J1478),J1478&lt;ASOF),"⚠ เลยกำหนด",IF(AND(ISNUMBER(I1478),I1478&lt;=ASOF+14,J1478&gt;=ASOF-7),"ช่วงนี้","")))</f>
        <v/>
      </c>
      <c r="L1478" s="59"/>
      <c r="M1478" s="60"/>
    </row>
    <row r="1479" customFormat="false" ht="15" hidden="false" customHeight="false" outlineLevel="0" collapsed="false">
      <c r="A1479" s="54" t="s">
        <v>110</v>
      </c>
      <c r="B1479" s="55" t="s">
        <v>498</v>
      </c>
      <c r="C1479" s="56" t="s">
        <v>499</v>
      </c>
      <c r="D1479" s="57" t="s">
        <v>112</v>
      </c>
      <c r="E1479" s="57" t="s">
        <v>439</v>
      </c>
      <c r="F1479" s="55" t="s">
        <v>440</v>
      </c>
      <c r="G1479" s="55" t="s">
        <v>441</v>
      </c>
      <c r="H1479" s="57" t="s">
        <v>211</v>
      </c>
      <c r="I1479" s="58" t="n">
        <f aca="false">'P9-018'!$N$120</f>
        <v>46359</v>
      </c>
      <c r="J1479" s="58" t="n">
        <f aca="false">'P9-018'!$O$120</f>
        <v>46359</v>
      </c>
      <c r="K1479" s="56" t="str">
        <f aca="false">IF(OR(L1479="Y",LEFT('P9-018'!$T$120,1)="D"),"",IF(AND(ISNUMBER(J1479),J1479&lt;ASOF),"⚠ เลยกำหนด",IF(AND(ISNUMBER(I1479),I1479&lt;=ASOF+14,J1479&gt;=ASOF-7),"ช่วงนี้","")))</f>
        <v/>
      </c>
      <c r="L1479" s="59"/>
      <c r="M1479" s="60"/>
    </row>
    <row r="1480" customFormat="false" ht="15" hidden="false" customHeight="false" outlineLevel="0" collapsed="false">
      <c r="A1480" s="54" t="s">
        <v>110</v>
      </c>
      <c r="B1480" s="55" t="s">
        <v>498</v>
      </c>
      <c r="C1480" s="56" t="s">
        <v>499</v>
      </c>
      <c r="D1480" s="57" t="s">
        <v>112</v>
      </c>
      <c r="E1480" s="57" t="s">
        <v>442</v>
      </c>
      <c r="F1480" s="55" t="s">
        <v>443</v>
      </c>
      <c r="G1480" s="55" t="s">
        <v>444</v>
      </c>
      <c r="H1480" s="57" t="s">
        <v>211</v>
      </c>
      <c r="I1480" s="58" t="n">
        <f aca="false">'P9-018'!$N$121</f>
        <v>46359</v>
      </c>
      <c r="J1480" s="58" t="n">
        <f aca="false">'P9-018'!$O$121</f>
        <v>46359</v>
      </c>
      <c r="K1480" s="56" t="str">
        <f aca="false">IF(OR(L1480="Y",LEFT('P9-018'!$T$121,1)="D"),"",IF(AND(ISNUMBER(J1480),J1480&lt;ASOF),"⚠ เลยกำหนด",IF(AND(ISNUMBER(I1480),I1480&lt;=ASOF+14,J1480&gt;=ASOF-7),"ช่วงนี้","")))</f>
        <v/>
      </c>
      <c r="L1480" s="59"/>
      <c r="M1480" s="60"/>
    </row>
    <row r="1481" customFormat="false" ht="15" hidden="false" customHeight="false" outlineLevel="0" collapsed="false">
      <c r="A1481" s="54" t="s">
        <v>110</v>
      </c>
      <c r="B1481" s="55" t="s">
        <v>498</v>
      </c>
      <c r="C1481" s="56" t="s">
        <v>499</v>
      </c>
      <c r="D1481" s="57" t="s">
        <v>112</v>
      </c>
      <c r="E1481" s="57" t="s">
        <v>445</v>
      </c>
      <c r="F1481" s="55" t="s">
        <v>446</v>
      </c>
      <c r="G1481" s="55" t="s">
        <v>447</v>
      </c>
      <c r="H1481" s="57" t="s">
        <v>211</v>
      </c>
      <c r="I1481" s="58" t="n">
        <f aca="false">'P9-018'!$N$125</f>
        <v>46437</v>
      </c>
      <c r="J1481" s="58" t="n">
        <f aca="false">'P9-018'!$O$125</f>
        <v>46441</v>
      </c>
      <c r="K1481" s="56" t="str">
        <f aca="false">IF(OR(L1481="Y",LEFT('P9-018'!$T$125,1)="D"),"",IF(AND(ISNUMBER(J1481),J1481&lt;ASOF),"⚠ เลยกำหนด",IF(AND(ISNUMBER(I1481),I1481&lt;=ASOF+14,J1481&gt;=ASOF-7),"ช่วงนี้","")))</f>
        <v/>
      </c>
      <c r="L1481" s="59"/>
      <c r="M1481" s="60"/>
    </row>
    <row r="1482" customFormat="false" ht="15" hidden="false" customHeight="false" outlineLevel="0" collapsed="false">
      <c r="A1482" s="54" t="s">
        <v>110</v>
      </c>
      <c r="B1482" s="55" t="s">
        <v>498</v>
      </c>
      <c r="C1482" s="56" t="s">
        <v>499</v>
      </c>
      <c r="D1482" s="57" t="s">
        <v>112</v>
      </c>
      <c r="E1482" s="57" t="s">
        <v>448</v>
      </c>
      <c r="F1482" s="55" t="s">
        <v>449</v>
      </c>
      <c r="G1482" s="61" t="s">
        <v>450</v>
      </c>
      <c r="H1482" s="57" t="s">
        <v>211</v>
      </c>
      <c r="I1482" s="58" t="n">
        <f aca="false">'P9-018'!$N$126</f>
        <v>46440</v>
      </c>
      <c r="J1482" s="58" t="n">
        <f aca="false">'P9-018'!$O$126</f>
        <v>46447</v>
      </c>
      <c r="K1482" s="56" t="str">
        <f aca="false">IF(OR(L1482="Y",LEFT('P9-018'!$T$126,1)="D"),"",IF(AND(ISNUMBER(J1482),J1482&lt;ASOF),"⚠ เลยกำหนด",IF(AND(ISNUMBER(I1482),I1482&lt;=ASOF+14,J1482&gt;=ASOF-7),"ช่วงนี้","")))</f>
        <v/>
      </c>
      <c r="L1482" s="59"/>
      <c r="M1482" s="60"/>
    </row>
    <row r="1483" customFormat="false" ht="15" hidden="false" customHeight="false" outlineLevel="0" collapsed="false">
      <c r="A1483" s="54" t="s">
        <v>110</v>
      </c>
      <c r="B1483" s="55" t="s">
        <v>498</v>
      </c>
      <c r="C1483" s="56" t="s">
        <v>499</v>
      </c>
      <c r="D1483" s="57" t="s">
        <v>112</v>
      </c>
      <c r="E1483" s="57" t="s">
        <v>451</v>
      </c>
      <c r="F1483" s="61" t="s">
        <v>452</v>
      </c>
      <c r="G1483" s="61" t="s">
        <v>453</v>
      </c>
      <c r="H1483" s="57" t="s">
        <v>211</v>
      </c>
      <c r="I1483" s="58" t="n">
        <f aca="false">'P9-018'!$N$127</f>
        <v>46447</v>
      </c>
      <c r="J1483" s="58" t="n">
        <f aca="false">'P9-018'!$O$127</f>
        <v>46450</v>
      </c>
      <c r="K1483" s="56" t="str">
        <f aca="false">IF(OR(L1483="Y",LEFT('P9-018'!$T$127,1)="D"),"",IF(AND(ISNUMBER(J1483),J1483&lt;ASOF),"⚠ เลยกำหนด",IF(AND(ISNUMBER(I1483),I1483&lt;=ASOF+14,J1483&gt;=ASOF-7),"ช่วงนี้","")))</f>
        <v/>
      </c>
      <c r="L1483" s="59"/>
      <c r="M1483" s="60"/>
    </row>
    <row r="1484" customFormat="false" ht="15" hidden="false" customHeight="false" outlineLevel="0" collapsed="false">
      <c r="A1484" s="54" t="s">
        <v>114</v>
      </c>
      <c r="B1484" s="55" t="s">
        <v>500</v>
      </c>
      <c r="C1484" s="56" t="s">
        <v>501</v>
      </c>
      <c r="D1484" s="57" t="s">
        <v>116</v>
      </c>
      <c r="E1484" s="57" t="s">
        <v>208</v>
      </c>
      <c r="F1484" s="55" t="s">
        <v>209</v>
      </c>
      <c r="G1484" s="55" t="s">
        <v>210</v>
      </c>
      <c r="H1484" s="57" t="s">
        <v>211</v>
      </c>
      <c r="I1484" s="58" t="n">
        <f aca="false">'P9-019'!$N$10</f>
        <v>46328</v>
      </c>
      <c r="J1484" s="58" t="n">
        <f aca="false">'P9-019'!$O$10</f>
        <v>46340</v>
      </c>
      <c r="K1484" s="56" t="str">
        <f aca="false">IF(OR(L1484="Y",LEFT('P9-019'!$T$10,1)="D"),"",IF(AND(ISNUMBER(J1484),J1484&lt;ASOF),"⚠ เลยกำหนด",IF(AND(ISNUMBER(I1484),I1484&lt;=ASOF+14,J1484&gt;=ASOF-7),"ช่วงนี้","")))</f>
        <v>ช่วงนี้</v>
      </c>
      <c r="L1484" s="59"/>
      <c r="M1484" s="60"/>
    </row>
    <row r="1485" customFormat="false" ht="15" hidden="false" customHeight="false" outlineLevel="0" collapsed="false">
      <c r="A1485" s="54" t="s">
        <v>114</v>
      </c>
      <c r="B1485" s="55" t="s">
        <v>500</v>
      </c>
      <c r="C1485" s="56" t="s">
        <v>501</v>
      </c>
      <c r="D1485" s="57" t="s">
        <v>116</v>
      </c>
      <c r="E1485" s="57" t="s">
        <v>212</v>
      </c>
      <c r="F1485" s="55" t="s">
        <v>213</v>
      </c>
      <c r="G1485" s="55" t="s">
        <v>214</v>
      </c>
      <c r="H1485" s="57" t="s">
        <v>211</v>
      </c>
      <c r="I1485" s="58" t="n">
        <f aca="false">'P9-019'!$N$11</f>
        <v>46328</v>
      </c>
      <c r="J1485" s="58" t="n">
        <f aca="false">'P9-019'!$O$11</f>
        <v>46340</v>
      </c>
      <c r="K1485" s="56" t="str">
        <f aca="false">IF(OR(L1485="Y",LEFT('P9-019'!$T$11,1)="D"),"",IF(AND(ISNUMBER(J1485),J1485&lt;ASOF),"⚠ เลยกำหนด",IF(AND(ISNUMBER(I1485),I1485&lt;=ASOF+14,J1485&gt;=ASOF-7),"ช่วงนี้","")))</f>
        <v>ช่วงนี้</v>
      </c>
      <c r="L1485" s="59"/>
      <c r="M1485" s="60"/>
    </row>
    <row r="1486" customFormat="false" ht="15" hidden="false" customHeight="false" outlineLevel="0" collapsed="false">
      <c r="A1486" s="54" t="s">
        <v>114</v>
      </c>
      <c r="B1486" s="55" t="s">
        <v>500</v>
      </c>
      <c r="C1486" s="56" t="s">
        <v>501</v>
      </c>
      <c r="D1486" s="57" t="s">
        <v>116</v>
      </c>
      <c r="E1486" s="57" t="s">
        <v>215</v>
      </c>
      <c r="F1486" s="55" t="s">
        <v>216</v>
      </c>
      <c r="G1486" s="61" t="s">
        <v>217</v>
      </c>
      <c r="H1486" s="57" t="s">
        <v>211</v>
      </c>
      <c r="I1486" s="58" t="n">
        <f aca="false">'P9-019'!$N$12</f>
        <v>46328</v>
      </c>
      <c r="J1486" s="58" t="n">
        <f aca="false">'P9-019'!$O$12</f>
        <v>46340</v>
      </c>
      <c r="K1486" s="56" t="str">
        <f aca="false">IF(OR(L1486="Y",LEFT('P9-019'!$T$12,1)="D"),"",IF(AND(ISNUMBER(J1486),J1486&lt;ASOF),"⚠ เลยกำหนด",IF(AND(ISNUMBER(I1486),I1486&lt;=ASOF+14,J1486&gt;=ASOF-7),"ช่วงนี้","")))</f>
        <v>ช่วงนี้</v>
      </c>
      <c r="L1486" s="59"/>
      <c r="M1486" s="60"/>
    </row>
    <row r="1487" customFormat="false" ht="15" hidden="false" customHeight="false" outlineLevel="0" collapsed="false">
      <c r="A1487" s="54" t="s">
        <v>114</v>
      </c>
      <c r="B1487" s="55" t="s">
        <v>500</v>
      </c>
      <c r="C1487" s="56" t="s">
        <v>501</v>
      </c>
      <c r="D1487" s="57" t="s">
        <v>116</v>
      </c>
      <c r="E1487" s="57" t="s">
        <v>218</v>
      </c>
      <c r="F1487" s="55" t="s">
        <v>219</v>
      </c>
      <c r="G1487" s="55" t="s">
        <v>220</v>
      </c>
      <c r="H1487" s="57" t="s">
        <v>211</v>
      </c>
      <c r="I1487" s="58" t="n">
        <f aca="false">'P9-019'!$N$13</f>
        <v>46328</v>
      </c>
      <c r="J1487" s="58" t="n">
        <f aca="false">'P9-019'!$O$13</f>
        <v>46346</v>
      </c>
      <c r="K1487" s="56" t="str">
        <f aca="false">IF(OR(L1487="Y",LEFT('P9-019'!$T$13,1)="D"),"",IF(AND(ISNUMBER(J1487),J1487&lt;ASOF),"⚠ เลยกำหนด",IF(AND(ISNUMBER(I1487),I1487&lt;=ASOF+14,J1487&gt;=ASOF-7),"ช่วงนี้","")))</f>
        <v>ช่วงนี้</v>
      </c>
      <c r="L1487" s="59"/>
      <c r="M1487" s="60"/>
    </row>
    <row r="1488" customFormat="false" ht="15" hidden="false" customHeight="false" outlineLevel="0" collapsed="false">
      <c r="A1488" s="54" t="s">
        <v>114</v>
      </c>
      <c r="B1488" s="55" t="s">
        <v>500</v>
      </c>
      <c r="C1488" s="56" t="s">
        <v>501</v>
      </c>
      <c r="D1488" s="57" t="s">
        <v>116</v>
      </c>
      <c r="E1488" s="57" t="s">
        <v>221</v>
      </c>
      <c r="F1488" s="55" t="s">
        <v>222</v>
      </c>
      <c r="G1488" s="55" t="s">
        <v>223</v>
      </c>
      <c r="H1488" s="57" t="s">
        <v>211</v>
      </c>
      <c r="I1488" s="58" t="n">
        <f aca="false">'P9-019'!$N$14</f>
        <v>46340</v>
      </c>
      <c r="J1488" s="58" t="n">
        <f aca="false">'P9-019'!$O$14</f>
        <v>46450</v>
      </c>
      <c r="K1488" s="56" t="str">
        <f aca="false">IF(OR(L1488="Y",LEFT('P9-019'!$T$14,1)="D"),"",IF(AND(ISNUMBER(J1488),J1488&lt;ASOF),"⚠ เลยกำหนด",IF(AND(ISNUMBER(I1488),I1488&lt;=ASOF+14,J1488&gt;=ASOF-7),"ช่วงนี้","")))</f>
        <v>ช่วงนี้</v>
      </c>
      <c r="L1488" s="59"/>
      <c r="M1488" s="60"/>
    </row>
    <row r="1489" customFormat="false" ht="15" hidden="false" customHeight="false" outlineLevel="0" collapsed="false">
      <c r="A1489" s="54" t="s">
        <v>114</v>
      </c>
      <c r="B1489" s="55" t="s">
        <v>500</v>
      </c>
      <c r="C1489" s="56" t="s">
        <v>501</v>
      </c>
      <c r="D1489" s="57" t="s">
        <v>116</v>
      </c>
      <c r="E1489" s="57" t="s">
        <v>224</v>
      </c>
      <c r="F1489" s="55" t="s">
        <v>225</v>
      </c>
      <c r="G1489" s="61" t="s">
        <v>226</v>
      </c>
      <c r="H1489" s="57" t="s">
        <v>211</v>
      </c>
      <c r="I1489" s="58" t="n">
        <f aca="false">'P9-019'!$N$15</f>
        <v>46340</v>
      </c>
      <c r="J1489" s="58" t="n">
        <f aca="false">'P9-019'!$O$15</f>
        <v>46450</v>
      </c>
      <c r="K1489" s="56" t="str">
        <f aca="false">IF(OR(L1489="Y",LEFT('P9-019'!$T$15,1)="D"),"",IF(AND(ISNUMBER(J1489),J1489&lt;ASOF),"⚠ เลยกำหนด",IF(AND(ISNUMBER(I1489),I1489&lt;=ASOF+14,J1489&gt;=ASOF-7),"ช่วงนี้","")))</f>
        <v>ช่วงนี้</v>
      </c>
      <c r="L1489" s="59"/>
      <c r="M1489" s="60"/>
    </row>
    <row r="1490" customFormat="false" ht="15" hidden="false" customHeight="false" outlineLevel="0" collapsed="false">
      <c r="A1490" s="54" t="s">
        <v>114</v>
      </c>
      <c r="B1490" s="55" t="s">
        <v>500</v>
      </c>
      <c r="C1490" s="56" t="s">
        <v>501</v>
      </c>
      <c r="D1490" s="57" t="s">
        <v>116</v>
      </c>
      <c r="E1490" s="57" t="s">
        <v>227</v>
      </c>
      <c r="F1490" s="55" t="s">
        <v>228</v>
      </c>
      <c r="G1490" s="55" t="s">
        <v>229</v>
      </c>
      <c r="H1490" s="57" t="s">
        <v>211</v>
      </c>
      <c r="I1490" s="58" t="n">
        <f aca="false">'P9-019'!$N$17</f>
        <v>46328</v>
      </c>
      <c r="J1490" s="58" t="n">
        <f aca="false">'P9-019'!$O$17</f>
        <v>46328</v>
      </c>
      <c r="K1490" s="56" t="str">
        <f aca="false">IF(OR(L1490="Y",LEFT('P9-019'!$T$17,1)="D"),"",IF(AND(ISNUMBER(J1490),J1490&lt;ASOF),"⚠ เลยกำหนด",IF(AND(ISNUMBER(I1490),I1490&lt;=ASOF+14,J1490&gt;=ASOF-7),"ช่วงนี้","")))</f>
        <v>ช่วงนี้</v>
      </c>
      <c r="L1490" s="59"/>
      <c r="M1490" s="60"/>
    </row>
    <row r="1491" customFormat="false" ht="15" hidden="false" customHeight="false" outlineLevel="0" collapsed="false">
      <c r="A1491" s="54" t="s">
        <v>114</v>
      </c>
      <c r="B1491" s="55" t="s">
        <v>500</v>
      </c>
      <c r="C1491" s="56" t="s">
        <v>501</v>
      </c>
      <c r="D1491" s="57" t="s">
        <v>116</v>
      </c>
      <c r="E1491" s="57" t="s">
        <v>230</v>
      </c>
      <c r="F1491" s="55" t="s">
        <v>231</v>
      </c>
      <c r="G1491" s="55" t="s">
        <v>232</v>
      </c>
      <c r="H1491" s="57" t="s">
        <v>211</v>
      </c>
      <c r="I1491" s="58" t="n">
        <f aca="false">'P9-019'!$N$18</f>
        <v>46328</v>
      </c>
      <c r="J1491" s="58" t="n">
        <f aca="false">'P9-019'!$O$18</f>
        <v>46328</v>
      </c>
      <c r="K1491" s="56" t="str">
        <f aca="false">IF(OR(L1491="Y",LEFT('P9-019'!$T$18,1)="D"),"",IF(AND(ISNUMBER(J1491),J1491&lt;ASOF),"⚠ เลยกำหนด",IF(AND(ISNUMBER(I1491),I1491&lt;=ASOF+14,J1491&gt;=ASOF-7),"ช่วงนี้","")))</f>
        <v>ช่วงนี้</v>
      </c>
      <c r="L1491" s="59"/>
      <c r="M1491" s="60"/>
    </row>
    <row r="1492" customFormat="false" ht="15" hidden="false" customHeight="false" outlineLevel="0" collapsed="false">
      <c r="A1492" s="54" t="s">
        <v>114</v>
      </c>
      <c r="B1492" s="55" t="s">
        <v>500</v>
      </c>
      <c r="C1492" s="56" t="s">
        <v>501</v>
      </c>
      <c r="D1492" s="57" t="s">
        <v>116</v>
      </c>
      <c r="E1492" s="57" t="s">
        <v>233</v>
      </c>
      <c r="F1492" s="55" t="s">
        <v>234</v>
      </c>
      <c r="G1492" s="55" t="s">
        <v>235</v>
      </c>
      <c r="H1492" s="57" t="s">
        <v>211</v>
      </c>
      <c r="I1492" s="58" t="n">
        <f aca="false">'P9-019'!$N$19</f>
        <v>46328</v>
      </c>
      <c r="J1492" s="58" t="n">
        <f aca="false">'P9-019'!$O$19</f>
        <v>46328</v>
      </c>
      <c r="K1492" s="56" t="str">
        <f aca="false">IF(OR(L1492="Y",LEFT('P9-019'!$T$19,1)="D"),"",IF(AND(ISNUMBER(J1492),J1492&lt;ASOF),"⚠ เลยกำหนด",IF(AND(ISNUMBER(I1492),I1492&lt;=ASOF+14,J1492&gt;=ASOF-7),"ช่วงนี้","")))</f>
        <v>ช่วงนี้</v>
      </c>
      <c r="L1492" s="59"/>
      <c r="M1492" s="60"/>
    </row>
    <row r="1493" customFormat="false" ht="15" hidden="false" customHeight="false" outlineLevel="0" collapsed="false">
      <c r="A1493" s="54" t="s">
        <v>114</v>
      </c>
      <c r="B1493" s="55" t="s">
        <v>500</v>
      </c>
      <c r="C1493" s="56" t="s">
        <v>501</v>
      </c>
      <c r="D1493" s="57" t="s">
        <v>116</v>
      </c>
      <c r="E1493" s="57" t="s">
        <v>236</v>
      </c>
      <c r="F1493" s="55" t="s">
        <v>237</v>
      </c>
      <c r="G1493" s="55" t="s">
        <v>238</v>
      </c>
      <c r="H1493" s="57" t="s">
        <v>211</v>
      </c>
      <c r="I1493" s="58" t="n">
        <f aca="false">'P9-019'!$N$20</f>
        <v>46328</v>
      </c>
      <c r="J1493" s="58" t="n">
        <f aca="false">'P9-019'!$O$20</f>
        <v>46328</v>
      </c>
      <c r="K1493" s="56" t="str">
        <f aca="false">IF(OR(L1493="Y",LEFT('P9-019'!$T$20,1)="D"),"",IF(AND(ISNUMBER(J1493),J1493&lt;ASOF),"⚠ เลยกำหนด",IF(AND(ISNUMBER(I1493),I1493&lt;=ASOF+14,J1493&gt;=ASOF-7),"ช่วงนี้","")))</f>
        <v>ช่วงนี้</v>
      </c>
      <c r="L1493" s="59"/>
      <c r="M1493" s="60"/>
    </row>
    <row r="1494" customFormat="false" ht="15" hidden="false" customHeight="false" outlineLevel="0" collapsed="false">
      <c r="A1494" s="54" t="s">
        <v>114</v>
      </c>
      <c r="B1494" s="55" t="s">
        <v>500</v>
      </c>
      <c r="C1494" s="56" t="s">
        <v>501</v>
      </c>
      <c r="D1494" s="57" t="s">
        <v>116</v>
      </c>
      <c r="E1494" s="57" t="s">
        <v>239</v>
      </c>
      <c r="F1494" s="55" t="s">
        <v>240</v>
      </c>
      <c r="G1494" s="55" t="s">
        <v>241</v>
      </c>
      <c r="H1494" s="57" t="s">
        <v>211</v>
      </c>
      <c r="I1494" s="58" t="n">
        <f aca="false">'P9-019'!$N$21</f>
        <v>46328</v>
      </c>
      <c r="J1494" s="58" t="n">
        <f aca="false">'P9-019'!$O$21</f>
        <v>46328</v>
      </c>
      <c r="K1494" s="56" t="str">
        <f aca="false">IF(OR(L1494="Y",LEFT('P9-019'!$T$21,1)="D"),"",IF(AND(ISNUMBER(J1494),J1494&lt;ASOF),"⚠ เลยกำหนด",IF(AND(ISNUMBER(I1494),I1494&lt;=ASOF+14,J1494&gt;=ASOF-7),"ช่วงนี้","")))</f>
        <v>ช่วงนี้</v>
      </c>
      <c r="L1494" s="59"/>
      <c r="M1494" s="60"/>
    </row>
    <row r="1495" customFormat="false" ht="15" hidden="false" customHeight="false" outlineLevel="0" collapsed="false">
      <c r="A1495" s="54" t="s">
        <v>114</v>
      </c>
      <c r="B1495" s="55" t="s">
        <v>500</v>
      </c>
      <c r="C1495" s="56" t="s">
        <v>501</v>
      </c>
      <c r="D1495" s="57" t="s">
        <v>116</v>
      </c>
      <c r="E1495" s="57" t="s">
        <v>242</v>
      </c>
      <c r="F1495" s="55" t="s">
        <v>243</v>
      </c>
      <c r="G1495" s="55" t="s">
        <v>244</v>
      </c>
      <c r="H1495" s="57" t="s">
        <v>211</v>
      </c>
      <c r="I1495" s="58" t="n">
        <f aca="false">'P9-019'!$N$22</f>
        <v>46328</v>
      </c>
      <c r="J1495" s="58" t="n">
        <f aca="false">'P9-019'!$O$22</f>
        <v>46328</v>
      </c>
      <c r="K1495" s="56" t="str">
        <f aca="false">IF(OR(L1495="Y",LEFT('P9-019'!$T$22,1)="D"),"",IF(AND(ISNUMBER(J1495),J1495&lt;ASOF),"⚠ เลยกำหนด",IF(AND(ISNUMBER(I1495),I1495&lt;=ASOF+14,J1495&gt;=ASOF-7),"ช่วงนี้","")))</f>
        <v>ช่วงนี้</v>
      </c>
      <c r="L1495" s="59"/>
      <c r="M1495" s="60"/>
    </row>
    <row r="1496" customFormat="false" ht="15" hidden="false" customHeight="false" outlineLevel="0" collapsed="false">
      <c r="A1496" s="54" t="s">
        <v>114</v>
      </c>
      <c r="B1496" s="55" t="s">
        <v>500</v>
      </c>
      <c r="C1496" s="56" t="s">
        <v>501</v>
      </c>
      <c r="D1496" s="57" t="s">
        <v>116</v>
      </c>
      <c r="E1496" s="57" t="s">
        <v>248</v>
      </c>
      <c r="F1496" s="55" t="s">
        <v>249</v>
      </c>
      <c r="G1496" s="55" t="s">
        <v>250</v>
      </c>
      <c r="H1496" s="57" t="s">
        <v>211</v>
      </c>
      <c r="I1496" s="58" t="n">
        <f aca="false">'P9-019'!$N$24</f>
        <v>46328</v>
      </c>
      <c r="J1496" s="58" t="n">
        <f aca="false">'P9-019'!$O$24</f>
        <v>46328</v>
      </c>
      <c r="K1496" s="56" t="str">
        <f aca="false">IF(OR(L1496="Y",LEFT('P9-019'!$T$24,1)="D"),"",IF(AND(ISNUMBER(J1496),J1496&lt;ASOF),"⚠ เลยกำหนด",IF(AND(ISNUMBER(I1496),I1496&lt;=ASOF+14,J1496&gt;=ASOF-7),"ช่วงนี้","")))</f>
        <v>ช่วงนี้</v>
      </c>
      <c r="L1496" s="59"/>
      <c r="M1496" s="60"/>
    </row>
    <row r="1497" customFormat="false" ht="15" hidden="false" customHeight="false" outlineLevel="0" collapsed="false">
      <c r="A1497" s="54" t="s">
        <v>114</v>
      </c>
      <c r="B1497" s="55" t="s">
        <v>500</v>
      </c>
      <c r="C1497" s="56" t="s">
        <v>501</v>
      </c>
      <c r="D1497" s="57" t="s">
        <v>116</v>
      </c>
      <c r="E1497" s="57" t="s">
        <v>251</v>
      </c>
      <c r="F1497" s="55" t="s">
        <v>252</v>
      </c>
      <c r="G1497" s="55" t="s">
        <v>253</v>
      </c>
      <c r="H1497" s="57" t="s">
        <v>211</v>
      </c>
      <c r="I1497" s="58" t="n">
        <f aca="false">'P9-019'!$N$26</f>
        <v>46329</v>
      </c>
      <c r="J1497" s="58" t="n">
        <f aca="false">'P9-019'!$O$26</f>
        <v>46329</v>
      </c>
      <c r="K1497" s="56" t="str">
        <f aca="false">IF(OR(L1497="Y",LEFT('P9-019'!$T$26,1)="D"),"",IF(AND(ISNUMBER(J1497),J1497&lt;ASOF),"⚠ เลยกำหนด",IF(AND(ISNUMBER(I1497),I1497&lt;=ASOF+14,J1497&gt;=ASOF-7),"ช่วงนี้","")))</f>
        <v>ช่วงนี้</v>
      </c>
      <c r="L1497" s="59"/>
      <c r="M1497" s="60"/>
    </row>
    <row r="1498" customFormat="false" ht="15" hidden="false" customHeight="false" outlineLevel="0" collapsed="false">
      <c r="A1498" s="54" t="s">
        <v>114</v>
      </c>
      <c r="B1498" s="55" t="s">
        <v>500</v>
      </c>
      <c r="C1498" s="56" t="s">
        <v>501</v>
      </c>
      <c r="D1498" s="57" t="s">
        <v>116</v>
      </c>
      <c r="E1498" s="57" t="s">
        <v>254</v>
      </c>
      <c r="F1498" s="55" t="s">
        <v>255</v>
      </c>
      <c r="G1498" s="55" t="s">
        <v>256</v>
      </c>
      <c r="H1498" s="57" t="s">
        <v>211</v>
      </c>
      <c r="I1498" s="58" t="n">
        <f aca="false">'P9-019'!$N$27</f>
        <v>46329</v>
      </c>
      <c r="J1498" s="58" t="n">
        <f aca="false">'P9-019'!$O$27</f>
        <v>46329</v>
      </c>
      <c r="K1498" s="56" t="str">
        <f aca="false">IF(OR(L1498="Y",LEFT('P9-019'!$T$27,1)="D"),"",IF(AND(ISNUMBER(J1498),J1498&lt;ASOF),"⚠ เลยกำหนด",IF(AND(ISNUMBER(I1498),I1498&lt;=ASOF+14,J1498&gt;=ASOF-7),"ช่วงนี้","")))</f>
        <v>ช่วงนี้</v>
      </c>
      <c r="L1498" s="59"/>
      <c r="M1498" s="60"/>
    </row>
    <row r="1499" customFormat="false" ht="15" hidden="false" customHeight="false" outlineLevel="0" collapsed="false">
      <c r="A1499" s="54" t="s">
        <v>114</v>
      </c>
      <c r="B1499" s="55" t="s">
        <v>500</v>
      </c>
      <c r="C1499" s="56" t="s">
        <v>501</v>
      </c>
      <c r="D1499" s="57" t="s">
        <v>116</v>
      </c>
      <c r="E1499" s="57" t="s">
        <v>257</v>
      </c>
      <c r="F1499" s="55" t="s">
        <v>258</v>
      </c>
      <c r="G1499" s="55" t="s">
        <v>259</v>
      </c>
      <c r="H1499" s="57" t="s">
        <v>211</v>
      </c>
      <c r="I1499" s="58" t="n">
        <f aca="false">'P9-019'!$N$28</f>
        <v>46329</v>
      </c>
      <c r="J1499" s="58" t="n">
        <f aca="false">'P9-019'!$O$28</f>
        <v>46329</v>
      </c>
      <c r="K1499" s="56" t="str">
        <f aca="false">IF(OR(L1499="Y",LEFT('P9-019'!$T$28,1)="D"),"",IF(AND(ISNUMBER(J1499),J1499&lt;ASOF),"⚠ เลยกำหนด",IF(AND(ISNUMBER(I1499),I1499&lt;=ASOF+14,J1499&gt;=ASOF-7),"ช่วงนี้","")))</f>
        <v>ช่วงนี้</v>
      </c>
      <c r="L1499" s="59"/>
      <c r="M1499" s="60"/>
    </row>
    <row r="1500" customFormat="false" ht="15" hidden="false" customHeight="false" outlineLevel="0" collapsed="false">
      <c r="A1500" s="54" t="s">
        <v>114</v>
      </c>
      <c r="B1500" s="55" t="s">
        <v>500</v>
      </c>
      <c r="C1500" s="56" t="s">
        <v>501</v>
      </c>
      <c r="D1500" s="57" t="s">
        <v>116</v>
      </c>
      <c r="E1500" s="57" t="s">
        <v>260</v>
      </c>
      <c r="F1500" s="55" t="s">
        <v>261</v>
      </c>
      <c r="G1500" s="55" t="s">
        <v>262</v>
      </c>
      <c r="H1500" s="57" t="s">
        <v>211</v>
      </c>
      <c r="I1500" s="58" t="n">
        <f aca="false">'P9-019'!$N$31</f>
        <v>46328</v>
      </c>
      <c r="J1500" s="58" t="n">
        <f aca="false">'P9-019'!$O$31</f>
        <v>46328</v>
      </c>
      <c r="K1500" s="56" t="str">
        <f aca="false">IF(OR(L1500="Y",LEFT('P9-019'!$T$31,1)="D"),"",IF(AND(ISNUMBER(J1500),J1500&lt;ASOF),"⚠ เลยกำหนด",IF(AND(ISNUMBER(I1500),I1500&lt;=ASOF+14,J1500&gt;=ASOF-7),"ช่วงนี้","")))</f>
        <v>ช่วงนี้</v>
      </c>
      <c r="L1500" s="59"/>
      <c r="M1500" s="60"/>
    </row>
    <row r="1501" customFormat="false" ht="15" hidden="false" customHeight="false" outlineLevel="0" collapsed="false">
      <c r="A1501" s="54" t="s">
        <v>114</v>
      </c>
      <c r="B1501" s="55" t="s">
        <v>500</v>
      </c>
      <c r="C1501" s="56" t="s">
        <v>501</v>
      </c>
      <c r="D1501" s="57" t="s">
        <v>116</v>
      </c>
      <c r="E1501" s="57" t="s">
        <v>263</v>
      </c>
      <c r="F1501" s="55" t="s">
        <v>264</v>
      </c>
      <c r="G1501" s="55" t="s">
        <v>265</v>
      </c>
      <c r="H1501" s="57" t="s">
        <v>211</v>
      </c>
      <c r="I1501" s="58" t="n">
        <f aca="false">'P9-019'!$N$32</f>
        <v>46328</v>
      </c>
      <c r="J1501" s="58" t="n">
        <f aca="false">'P9-019'!$O$32</f>
        <v>46328</v>
      </c>
      <c r="K1501" s="56" t="str">
        <f aca="false">IF(OR(L1501="Y",LEFT('P9-019'!$T$32,1)="D"),"",IF(AND(ISNUMBER(J1501),J1501&lt;ASOF),"⚠ เลยกำหนด",IF(AND(ISNUMBER(I1501),I1501&lt;=ASOF+14,J1501&gt;=ASOF-7),"ช่วงนี้","")))</f>
        <v>ช่วงนี้</v>
      </c>
      <c r="L1501" s="59"/>
      <c r="M1501" s="60"/>
    </row>
    <row r="1502" customFormat="false" ht="15" hidden="false" customHeight="false" outlineLevel="0" collapsed="false">
      <c r="A1502" s="54" t="s">
        <v>114</v>
      </c>
      <c r="B1502" s="55" t="s">
        <v>500</v>
      </c>
      <c r="C1502" s="56" t="s">
        <v>501</v>
      </c>
      <c r="D1502" s="57" t="s">
        <v>116</v>
      </c>
      <c r="E1502" s="57" t="s">
        <v>266</v>
      </c>
      <c r="F1502" s="55" t="s">
        <v>267</v>
      </c>
      <c r="G1502" s="55" t="s">
        <v>268</v>
      </c>
      <c r="H1502" s="57" t="s">
        <v>211</v>
      </c>
      <c r="I1502" s="58" t="n">
        <f aca="false">'P9-019'!$N$33</f>
        <v>46328</v>
      </c>
      <c r="J1502" s="58" t="n">
        <f aca="false">'P9-019'!$O$33</f>
        <v>46328</v>
      </c>
      <c r="K1502" s="56" t="str">
        <f aca="false">IF(OR(L1502="Y",LEFT('P9-019'!$T$33,1)="D"),"",IF(AND(ISNUMBER(J1502),J1502&lt;ASOF),"⚠ เลยกำหนด",IF(AND(ISNUMBER(I1502),I1502&lt;=ASOF+14,J1502&gt;=ASOF-7),"ช่วงนี้","")))</f>
        <v>ช่วงนี้</v>
      </c>
      <c r="L1502" s="59"/>
      <c r="M1502" s="60"/>
    </row>
    <row r="1503" customFormat="false" ht="15" hidden="false" customHeight="false" outlineLevel="0" collapsed="false">
      <c r="A1503" s="54" t="s">
        <v>114</v>
      </c>
      <c r="B1503" s="55" t="s">
        <v>500</v>
      </c>
      <c r="C1503" s="56" t="s">
        <v>501</v>
      </c>
      <c r="D1503" s="57" t="s">
        <v>116</v>
      </c>
      <c r="E1503" s="57" t="s">
        <v>269</v>
      </c>
      <c r="F1503" s="61" t="s">
        <v>270</v>
      </c>
      <c r="G1503" s="61" t="s">
        <v>271</v>
      </c>
      <c r="H1503" s="57" t="s">
        <v>211</v>
      </c>
      <c r="I1503" s="58" t="n">
        <f aca="false">'P9-019'!$N$35</f>
        <v>46328</v>
      </c>
      <c r="J1503" s="58" t="n">
        <f aca="false">'P9-019'!$O$35</f>
        <v>46328</v>
      </c>
      <c r="K1503" s="56" t="str">
        <f aca="false">IF(OR(L1503="Y",LEFT('P9-019'!$T$35,1)="D"),"",IF(AND(ISNUMBER(J1503),J1503&lt;ASOF),"⚠ เลยกำหนด",IF(AND(ISNUMBER(I1503),I1503&lt;=ASOF+14,J1503&gt;=ASOF-7),"ช่วงนี้","")))</f>
        <v>ช่วงนี้</v>
      </c>
      <c r="L1503" s="59"/>
      <c r="M1503" s="60"/>
    </row>
    <row r="1504" customFormat="false" ht="15" hidden="false" customHeight="false" outlineLevel="0" collapsed="false">
      <c r="A1504" s="54" t="s">
        <v>114</v>
      </c>
      <c r="B1504" s="55" t="s">
        <v>500</v>
      </c>
      <c r="C1504" s="56" t="s">
        <v>501</v>
      </c>
      <c r="D1504" s="57" t="s">
        <v>116</v>
      </c>
      <c r="E1504" s="57" t="s">
        <v>272</v>
      </c>
      <c r="F1504" s="55" t="s">
        <v>273</v>
      </c>
      <c r="G1504" s="55" t="s">
        <v>274</v>
      </c>
      <c r="H1504" s="57" t="s">
        <v>211</v>
      </c>
      <c r="I1504" s="58" t="n">
        <f aca="false">'P9-019'!$N$36</f>
        <v>46328</v>
      </c>
      <c r="J1504" s="58" t="n">
        <f aca="false">'P9-019'!$O$36</f>
        <v>46328</v>
      </c>
      <c r="K1504" s="56" t="str">
        <f aca="false">IF(OR(L1504="Y",LEFT('P9-019'!$T$36,1)="D"),"",IF(AND(ISNUMBER(J1504),J1504&lt;ASOF),"⚠ เลยกำหนด",IF(AND(ISNUMBER(I1504),I1504&lt;=ASOF+14,J1504&gt;=ASOF-7),"ช่วงนี้","")))</f>
        <v>ช่วงนี้</v>
      </c>
      <c r="L1504" s="59"/>
      <c r="M1504" s="60"/>
    </row>
    <row r="1505" customFormat="false" ht="15" hidden="false" customHeight="false" outlineLevel="0" collapsed="false">
      <c r="A1505" s="54" t="s">
        <v>114</v>
      </c>
      <c r="B1505" s="55" t="s">
        <v>500</v>
      </c>
      <c r="C1505" s="56" t="s">
        <v>501</v>
      </c>
      <c r="D1505" s="57" t="s">
        <v>116</v>
      </c>
      <c r="E1505" s="57" t="s">
        <v>275</v>
      </c>
      <c r="F1505" s="55" t="s">
        <v>276</v>
      </c>
      <c r="G1505" s="55" t="s">
        <v>277</v>
      </c>
      <c r="H1505" s="57" t="s">
        <v>211</v>
      </c>
      <c r="I1505" s="58" t="n">
        <f aca="false">'P9-019'!$N$37</f>
        <v>46328</v>
      </c>
      <c r="J1505" s="58" t="n">
        <f aca="false">'P9-019'!$O$37</f>
        <v>46328</v>
      </c>
      <c r="K1505" s="56" t="str">
        <f aca="false">IF(OR(L1505="Y",LEFT('P9-019'!$T$37,1)="D"),"",IF(AND(ISNUMBER(J1505),J1505&lt;ASOF),"⚠ เลยกำหนด",IF(AND(ISNUMBER(I1505),I1505&lt;=ASOF+14,J1505&gt;=ASOF-7),"ช่วงนี้","")))</f>
        <v>ช่วงนี้</v>
      </c>
      <c r="L1505" s="59"/>
      <c r="M1505" s="60"/>
    </row>
    <row r="1506" customFormat="false" ht="15" hidden="false" customHeight="false" outlineLevel="0" collapsed="false">
      <c r="A1506" s="54" t="s">
        <v>114</v>
      </c>
      <c r="B1506" s="55" t="s">
        <v>500</v>
      </c>
      <c r="C1506" s="56" t="s">
        <v>501</v>
      </c>
      <c r="D1506" s="57" t="s">
        <v>116</v>
      </c>
      <c r="E1506" s="57" t="s">
        <v>278</v>
      </c>
      <c r="F1506" s="55" t="s">
        <v>279</v>
      </c>
      <c r="G1506" s="55" t="s">
        <v>280</v>
      </c>
      <c r="H1506" s="57" t="s">
        <v>211</v>
      </c>
      <c r="I1506" s="58" t="n">
        <f aca="false">'P9-019'!$N$38</f>
        <v>46328</v>
      </c>
      <c r="J1506" s="58" t="n">
        <f aca="false">'P9-019'!$O$38</f>
        <v>46328</v>
      </c>
      <c r="K1506" s="56" t="str">
        <f aca="false">IF(OR(L1506="Y",LEFT('P9-019'!$T$38,1)="D"),"",IF(AND(ISNUMBER(J1506),J1506&lt;ASOF),"⚠ เลยกำหนด",IF(AND(ISNUMBER(I1506),I1506&lt;=ASOF+14,J1506&gt;=ASOF-7),"ช่วงนี้","")))</f>
        <v>ช่วงนี้</v>
      </c>
      <c r="L1506" s="59"/>
      <c r="M1506" s="60"/>
    </row>
    <row r="1507" customFormat="false" ht="15" hidden="false" customHeight="false" outlineLevel="0" collapsed="false">
      <c r="A1507" s="54" t="s">
        <v>114</v>
      </c>
      <c r="B1507" s="55" t="s">
        <v>500</v>
      </c>
      <c r="C1507" s="56" t="s">
        <v>501</v>
      </c>
      <c r="D1507" s="57" t="s">
        <v>116</v>
      </c>
      <c r="E1507" s="57" t="s">
        <v>281</v>
      </c>
      <c r="F1507" s="55" t="s">
        <v>282</v>
      </c>
      <c r="G1507" s="55" t="s">
        <v>283</v>
      </c>
      <c r="H1507" s="57" t="s">
        <v>211</v>
      </c>
      <c r="I1507" s="58" t="n">
        <f aca="false">'P9-019'!$N$40</f>
        <v>46328</v>
      </c>
      <c r="J1507" s="58" t="n">
        <f aca="false">'P9-019'!$O$40</f>
        <v>46328</v>
      </c>
      <c r="K1507" s="56" t="str">
        <f aca="false">IF(OR(L1507="Y",LEFT('P9-019'!$T$40,1)="D"),"",IF(AND(ISNUMBER(J1507),J1507&lt;ASOF),"⚠ เลยกำหนด",IF(AND(ISNUMBER(I1507),I1507&lt;=ASOF+14,J1507&gt;=ASOF-7),"ช่วงนี้","")))</f>
        <v>ช่วงนี้</v>
      </c>
      <c r="L1507" s="59"/>
      <c r="M1507" s="60"/>
    </row>
    <row r="1508" customFormat="false" ht="15" hidden="false" customHeight="false" outlineLevel="0" collapsed="false">
      <c r="A1508" s="54" t="s">
        <v>114</v>
      </c>
      <c r="B1508" s="55" t="s">
        <v>500</v>
      </c>
      <c r="C1508" s="56" t="s">
        <v>501</v>
      </c>
      <c r="D1508" s="57" t="s">
        <v>116</v>
      </c>
      <c r="E1508" s="57" t="s">
        <v>284</v>
      </c>
      <c r="F1508" s="55" t="s">
        <v>285</v>
      </c>
      <c r="G1508" s="61" t="s">
        <v>286</v>
      </c>
      <c r="H1508" s="57" t="s">
        <v>211</v>
      </c>
      <c r="I1508" s="58" t="n">
        <f aca="false">'P9-019'!$N$41</f>
        <v>46328</v>
      </c>
      <c r="J1508" s="58" t="n">
        <f aca="false">'P9-019'!$O$41</f>
        <v>46328</v>
      </c>
      <c r="K1508" s="56" t="str">
        <f aca="false">IF(OR(L1508="Y",LEFT('P9-019'!$T$41,1)="D"),"",IF(AND(ISNUMBER(J1508),J1508&lt;ASOF),"⚠ เลยกำหนด",IF(AND(ISNUMBER(I1508),I1508&lt;=ASOF+14,J1508&gt;=ASOF-7),"ช่วงนี้","")))</f>
        <v>ช่วงนี้</v>
      </c>
      <c r="L1508" s="59"/>
      <c r="M1508" s="60"/>
    </row>
    <row r="1509" customFormat="false" ht="15" hidden="false" customHeight="false" outlineLevel="0" collapsed="false">
      <c r="A1509" s="54" t="s">
        <v>114</v>
      </c>
      <c r="B1509" s="55" t="s">
        <v>500</v>
      </c>
      <c r="C1509" s="56" t="s">
        <v>501</v>
      </c>
      <c r="D1509" s="57" t="s">
        <v>116</v>
      </c>
      <c r="E1509" s="57" t="s">
        <v>287</v>
      </c>
      <c r="F1509" s="55" t="s">
        <v>288</v>
      </c>
      <c r="G1509" s="61" t="s">
        <v>289</v>
      </c>
      <c r="H1509" s="57" t="s">
        <v>211</v>
      </c>
      <c r="I1509" s="58" t="n">
        <f aca="false">'P9-019'!$N$42</f>
        <v>46328</v>
      </c>
      <c r="J1509" s="58" t="n">
        <f aca="false">'P9-019'!$O$42</f>
        <v>46328</v>
      </c>
      <c r="K1509" s="56" t="str">
        <f aca="false">IF(OR(L1509="Y",LEFT('P9-019'!$T$42,1)="D"),"",IF(AND(ISNUMBER(J1509),J1509&lt;ASOF),"⚠ เลยกำหนด",IF(AND(ISNUMBER(I1509),I1509&lt;=ASOF+14,J1509&gt;=ASOF-7),"ช่วงนี้","")))</f>
        <v>ช่วงนี้</v>
      </c>
      <c r="L1509" s="59"/>
      <c r="M1509" s="60"/>
    </row>
    <row r="1510" customFormat="false" ht="15" hidden="false" customHeight="false" outlineLevel="0" collapsed="false">
      <c r="A1510" s="54" t="s">
        <v>114</v>
      </c>
      <c r="B1510" s="55" t="s">
        <v>500</v>
      </c>
      <c r="C1510" s="56" t="s">
        <v>501</v>
      </c>
      <c r="D1510" s="57" t="s">
        <v>116</v>
      </c>
      <c r="E1510" s="57" t="s">
        <v>290</v>
      </c>
      <c r="F1510" s="55" t="s">
        <v>291</v>
      </c>
      <c r="G1510" s="55" t="s">
        <v>292</v>
      </c>
      <c r="H1510" s="57" t="s">
        <v>211</v>
      </c>
      <c r="I1510" s="58" t="n">
        <f aca="false">'P9-019'!$N$44</f>
        <v>46328</v>
      </c>
      <c r="J1510" s="58" t="n">
        <f aca="false">'P9-019'!$O$44</f>
        <v>46328</v>
      </c>
      <c r="K1510" s="56" t="str">
        <f aca="false">IF(OR(L1510="Y",LEFT('P9-019'!$T$44,1)="D"),"",IF(AND(ISNUMBER(J1510),J1510&lt;ASOF),"⚠ เลยกำหนด",IF(AND(ISNUMBER(I1510),I1510&lt;=ASOF+14,J1510&gt;=ASOF-7),"ช่วงนี้","")))</f>
        <v>ช่วงนี้</v>
      </c>
      <c r="L1510" s="59"/>
      <c r="M1510" s="60"/>
    </row>
    <row r="1511" customFormat="false" ht="15" hidden="false" customHeight="false" outlineLevel="0" collapsed="false">
      <c r="A1511" s="54" t="s">
        <v>114</v>
      </c>
      <c r="B1511" s="55" t="s">
        <v>500</v>
      </c>
      <c r="C1511" s="56" t="s">
        <v>501</v>
      </c>
      <c r="D1511" s="57" t="s">
        <v>116</v>
      </c>
      <c r="E1511" s="57" t="s">
        <v>293</v>
      </c>
      <c r="F1511" s="55" t="s">
        <v>294</v>
      </c>
      <c r="G1511" s="55" t="s">
        <v>295</v>
      </c>
      <c r="H1511" s="57" t="s">
        <v>211</v>
      </c>
      <c r="I1511" s="58" t="n">
        <f aca="false">'P9-019'!$N$45</f>
        <v>46328</v>
      </c>
      <c r="J1511" s="58" t="n">
        <f aca="false">'P9-019'!$O$45</f>
        <v>46328</v>
      </c>
      <c r="K1511" s="56" t="str">
        <f aca="false">IF(OR(L1511="Y",LEFT('P9-019'!$T$45,1)="D"),"",IF(AND(ISNUMBER(J1511),J1511&lt;ASOF),"⚠ เลยกำหนด",IF(AND(ISNUMBER(I1511),I1511&lt;=ASOF+14,J1511&gt;=ASOF-7),"ช่วงนี้","")))</f>
        <v>ช่วงนี้</v>
      </c>
      <c r="L1511" s="59"/>
      <c r="M1511" s="60"/>
    </row>
    <row r="1512" customFormat="false" ht="15" hidden="false" customHeight="false" outlineLevel="0" collapsed="false">
      <c r="A1512" s="54" t="s">
        <v>114</v>
      </c>
      <c r="B1512" s="55" t="s">
        <v>500</v>
      </c>
      <c r="C1512" s="56" t="s">
        <v>501</v>
      </c>
      <c r="D1512" s="57" t="s">
        <v>116</v>
      </c>
      <c r="E1512" s="57" t="s">
        <v>296</v>
      </c>
      <c r="F1512" s="55" t="s">
        <v>297</v>
      </c>
      <c r="G1512" s="55" t="s">
        <v>298</v>
      </c>
      <c r="H1512" s="57" t="s">
        <v>211</v>
      </c>
      <c r="I1512" s="58" t="n">
        <f aca="false">'P9-019'!$N$46</f>
        <v>46328</v>
      </c>
      <c r="J1512" s="58" t="n">
        <f aca="false">'P9-019'!$O$46</f>
        <v>46328</v>
      </c>
      <c r="K1512" s="56" t="str">
        <f aca="false">IF(OR(L1512="Y",LEFT('P9-019'!$T$46,1)="D"),"",IF(AND(ISNUMBER(J1512),J1512&lt;ASOF),"⚠ เลยกำหนด",IF(AND(ISNUMBER(I1512),I1512&lt;=ASOF+14,J1512&gt;=ASOF-7),"ช่วงนี้","")))</f>
        <v>ช่วงนี้</v>
      </c>
      <c r="L1512" s="59"/>
      <c r="M1512" s="60"/>
    </row>
    <row r="1513" customFormat="false" ht="15" hidden="false" customHeight="false" outlineLevel="0" collapsed="false">
      <c r="A1513" s="54" t="s">
        <v>114</v>
      </c>
      <c r="B1513" s="55" t="s">
        <v>500</v>
      </c>
      <c r="C1513" s="56" t="s">
        <v>501</v>
      </c>
      <c r="D1513" s="57" t="s">
        <v>116</v>
      </c>
      <c r="E1513" s="57" t="s">
        <v>299</v>
      </c>
      <c r="F1513" s="55" t="s">
        <v>300</v>
      </c>
      <c r="G1513" s="55" t="s">
        <v>301</v>
      </c>
      <c r="H1513" s="57" t="s">
        <v>211</v>
      </c>
      <c r="I1513" s="58" t="str">
        <f aca="false">'P9-019'!$N$53</f>
        <v/>
      </c>
      <c r="J1513" s="58" t="str">
        <f aca="false">'P9-019'!$O$53</f>
        <v/>
      </c>
      <c r="K1513" s="56" t="str">
        <f aca="false">IF(OR(L1513="Y",LEFT('P9-019'!$T$53,1)="D"),"",IF(AND(ISNUMBER(J1513),J1513&lt;ASOF),"⚠ เลยกำหนด",IF(AND(ISNUMBER(I1513),I1513&lt;=ASOF+14,J1513&gt;=ASOF-7),"ช่วงนี้","")))</f>
        <v/>
      </c>
      <c r="L1513" s="59"/>
      <c r="M1513" s="60"/>
    </row>
    <row r="1514" customFormat="false" ht="15" hidden="false" customHeight="false" outlineLevel="0" collapsed="false">
      <c r="A1514" s="54" t="s">
        <v>114</v>
      </c>
      <c r="B1514" s="55" t="s">
        <v>500</v>
      </c>
      <c r="C1514" s="56" t="s">
        <v>501</v>
      </c>
      <c r="D1514" s="57" t="s">
        <v>116</v>
      </c>
      <c r="E1514" s="57" t="s">
        <v>302</v>
      </c>
      <c r="F1514" s="55" t="s">
        <v>303</v>
      </c>
      <c r="G1514" s="55" t="s">
        <v>304</v>
      </c>
      <c r="H1514" s="57" t="s">
        <v>211</v>
      </c>
      <c r="I1514" s="58" t="str">
        <f aca="false">'P9-019'!$N$54</f>
        <v/>
      </c>
      <c r="J1514" s="58" t="str">
        <f aca="false">'P9-019'!$O$54</f>
        <v/>
      </c>
      <c r="K1514" s="56" t="str">
        <f aca="false">IF(OR(L1514="Y",LEFT('P9-019'!$T$54,1)="D"),"",IF(AND(ISNUMBER(J1514),J1514&lt;ASOF),"⚠ เลยกำหนด",IF(AND(ISNUMBER(I1514),I1514&lt;=ASOF+14,J1514&gt;=ASOF-7),"ช่วงนี้","")))</f>
        <v/>
      </c>
      <c r="L1514" s="59"/>
      <c r="M1514" s="60"/>
    </row>
    <row r="1515" customFormat="false" ht="15" hidden="false" customHeight="false" outlineLevel="0" collapsed="false">
      <c r="A1515" s="54" t="s">
        <v>114</v>
      </c>
      <c r="B1515" s="55" t="s">
        <v>500</v>
      </c>
      <c r="C1515" s="56" t="s">
        <v>501</v>
      </c>
      <c r="D1515" s="57" t="s">
        <v>116</v>
      </c>
      <c r="E1515" s="57" t="s">
        <v>305</v>
      </c>
      <c r="F1515" s="55" t="s">
        <v>306</v>
      </c>
      <c r="G1515" s="55" t="s">
        <v>307</v>
      </c>
      <c r="H1515" s="56" t="str">
        <f aca="false">IF(COUNTIFS(SITE_ST,"P9-019",SITE_TYPE,"?*")&gt;0,"ตามจุดติดตั้ง →","0/100")</f>
        <v>ตามจุดติดตั้ง →</v>
      </c>
      <c r="I1515" s="58" t="n">
        <f aca="false">'P9-019'!$N$63</f>
        <v>46328</v>
      </c>
      <c r="J1515" s="58" t="n">
        <f aca="false">'P9-019'!$O$63</f>
        <v>46329</v>
      </c>
      <c r="K1515" s="56" t="str">
        <f aca="false">IF(OR(L1515="Y",LEFT('P9-019'!$T$63,1)="D"),"",IF(AND(ISNUMBER(J1515),J1515&lt;ASOF),"⚠ เลยกำหนด",IF(AND(ISNUMBER(I1515),I1515&lt;=ASOF+14,J1515&gt;=ASOF-7),"ช่วงนี้","")))</f>
        <v>ช่วงนี้</v>
      </c>
      <c r="L1515" s="59"/>
      <c r="M1515" s="60"/>
    </row>
    <row r="1516" customFormat="false" ht="15" hidden="false" customHeight="false" outlineLevel="0" collapsed="false">
      <c r="A1516" s="54" t="s">
        <v>114</v>
      </c>
      <c r="B1516" s="55" t="s">
        <v>500</v>
      </c>
      <c r="C1516" s="56" t="s">
        <v>501</v>
      </c>
      <c r="D1516" s="57" t="s">
        <v>116</v>
      </c>
      <c r="E1516" s="57" t="s">
        <v>308</v>
      </c>
      <c r="F1516" s="55" t="s">
        <v>309</v>
      </c>
      <c r="G1516" s="55" t="s">
        <v>310</v>
      </c>
      <c r="H1516" s="57" t="s">
        <v>211</v>
      </c>
      <c r="I1516" s="58" t="n">
        <f aca="false">'P9-019'!$N$64</f>
        <v>46328</v>
      </c>
      <c r="J1516" s="58" t="n">
        <f aca="false">'P9-019'!$O$64</f>
        <v>46331</v>
      </c>
      <c r="K1516" s="56" t="str">
        <f aca="false">IF(OR(L1516="Y",LEFT('P9-019'!$T$64,1)="D"),"",IF(AND(ISNUMBER(J1516),J1516&lt;ASOF),"⚠ เลยกำหนด",IF(AND(ISNUMBER(I1516),I1516&lt;=ASOF+14,J1516&gt;=ASOF-7),"ช่วงนี้","")))</f>
        <v>ช่วงนี้</v>
      </c>
      <c r="L1516" s="59"/>
      <c r="M1516" s="60"/>
    </row>
    <row r="1517" customFormat="false" ht="15" hidden="false" customHeight="false" outlineLevel="0" collapsed="false">
      <c r="A1517" s="54" t="s">
        <v>114</v>
      </c>
      <c r="B1517" s="55" t="s">
        <v>500</v>
      </c>
      <c r="C1517" s="56" t="s">
        <v>501</v>
      </c>
      <c r="D1517" s="57" t="s">
        <v>116</v>
      </c>
      <c r="E1517" s="57" t="s">
        <v>311</v>
      </c>
      <c r="F1517" s="55" t="s">
        <v>312</v>
      </c>
      <c r="G1517" s="55" t="s">
        <v>313</v>
      </c>
      <c r="H1517" s="56" t="str">
        <f aca="false">IF(COUNTIFS(SITE_ST,"P9-019",SITE_TYPE,"?*")&gt;0,"ตามจุดติดตั้ง →","50/50")</f>
        <v>ตามจุดติดตั้ง →</v>
      </c>
      <c r="I1517" s="58" t="n">
        <f aca="false">'P9-019'!$N$65</f>
        <v>46329</v>
      </c>
      <c r="J1517" s="58" t="n">
        <f aca="false">'P9-019'!$O$65</f>
        <v>46335</v>
      </c>
      <c r="K1517" s="56" t="str">
        <f aca="false">IF(OR(L1517="Y",LEFT('P9-019'!$T$65,1)="D"),"",IF(AND(ISNUMBER(J1517),J1517&lt;ASOF),"⚠ เลยกำหนด",IF(AND(ISNUMBER(I1517),I1517&lt;=ASOF+14,J1517&gt;=ASOF-7),"ช่วงนี้","")))</f>
        <v>ช่วงนี้</v>
      </c>
      <c r="L1517" s="59"/>
      <c r="M1517" s="60"/>
    </row>
    <row r="1518" customFormat="false" ht="15" hidden="false" customHeight="false" outlineLevel="0" collapsed="false">
      <c r="A1518" s="54" t="s">
        <v>114</v>
      </c>
      <c r="B1518" s="55" t="s">
        <v>500</v>
      </c>
      <c r="C1518" s="56" t="s">
        <v>501</v>
      </c>
      <c r="D1518" s="57" t="s">
        <v>116</v>
      </c>
      <c r="E1518" s="57" t="s">
        <v>314</v>
      </c>
      <c r="F1518" s="55" t="s">
        <v>315</v>
      </c>
      <c r="G1518" s="61" t="s">
        <v>316</v>
      </c>
      <c r="H1518" s="56" t="str">
        <f aca="false">IF(COUNTIFS(SITE_ST,"P9-019",SITE_TYPE,"?*")&gt;0,"ตามจุดติดตั้ง →","50/50")</f>
        <v>ตามจุดติดตั้ง →</v>
      </c>
      <c r="I1518" s="58" t="n">
        <f aca="false">'P9-019'!$N$66</f>
        <v>46333</v>
      </c>
      <c r="J1518" s="58" t="n">
        <f aca="false">'P9-019'!$O$66</f>
        <v>46339</v>
      </c>
      <c r="K1518" s="56" t="str">
        <f aca="false">IF(OR(L1518="Y",LEFT('P9-019'!$T$66,1)="D"),"",IF(AND(ISNUMBER(J1518),J1518&lt;ASOF),"⚠ เลยกำหนด",IF(AND(ISNUMBER(I1518),I1518&lt;=ASOF+14,J1518&gt;=ASOF-7),"ช่วงนี้","")))</f>
        <v>ช่วงนี้</v>
      </c>
      <c r="L1518" s="59"/>
      <c r="M1518" s="60"/>
    </row>
    <row r="1519" customFormat="false" ht="15" hidden="false" customHeight="false" outlineLevel="0" collapsed="false">
      <c r="A1519" s="54" t="s">
        <v>114</v>
      </c>
      <c r="B1519" s="55" t="s">
        <v>500</v>
      </c>
      <c r="C1519" s="56" t="s">
        <v>501</v>
      </c>
      <c r="D1519" s="57" t="s">
        <v>116</v>
      </c>
      <c r="E1519" s="57" t="s">
        <v>317</v>
      </c>
      <c r="F1519" s="61" t="s">
        <v>318</v>
      </c>
      <c r="G1519" s="61" t="s">
        <v>319</v>
      </c>
      <c r="H1519" s="56" t="str">
        <f aca="false">IF(COUNTIFS(SITE_ST,"P9-019",SITE_TYPE,"?*")&gt;0,"ตามจุดติดตั้ง →","50/50")</f>
        <v>ตามจุดติดตั้ง →</v>
      </c>
      <c r="I1519" s="58" t="n">
        <f aca="false">'P9-019'!$N$67</f>
        <v>46336</v>
      </c>
      <c r="J1519" s="58" t="n">
        <f aca="false">'P9-019'!$O$67</f>
        <v>46340</v>
      </c>
      <c r="K1519" s="56" t="str">
        <f aca="false">IF(OR(L1519="Y",LEFT('P9-019'!$T$67,1)="D"),"",IF(AND(ISNUMBER(J1519),J1519&lt;ASOF),"⚠ เลยกำหนด",IF(AND(ISNUMBER(I1519),I1519&lt;=ASOF+14,J1519&gt;=ASOF-7),"ช่วงนี้","")))</f>
        <v>ช่วงนี้</v>
      </c>
      <c r="L1519" s="59"/>
      <c r="M1519" s="60"/>
    </row>
    <row r="1520" customFormat="false" ht="15" hidden="false" customHeight="false" outlineLevel="0" collapsed="false">
      <c r="A1520" s="54" t="s">
        <v>114</v>
      </c>
      <c r="B1520" s="55" t="s">
        <v>500</v>
      </c>
      <c r="C1520" s="56" t="s">
        <v>501</v>
      </c>
      <c r="D1520" s="57" t="s">
        <v>116</v>
      </c>
      <c r="E1520" s="57" t="s">
        <v>320</v>
      </c>
      <c r="F1520" s="55" t="s">
        <v>321</v>
      </c>
      <c r="G1520" s="55" t="s">
        <v>322</v>
      </c>
      <c r="H1520" s="56" t="str">
        <f aca="false">IF(COUNTIFS(SITE_ST,"P9-019",SITE_TYPE,"?*")&gt;0,"ตามจุดติดตั้ง →","0/100")</f>
        <v>ตามจุดติดตั้ง →</v>
      </c>
      <c r="I1520" s="58" t="n">
        <f aca="false">'P9-019'!$N$68</f>
        <v>46338</v>
      </c>
      <c r="J1520" s="58" t="n">
        <f aca="false">'P9-019'!$O$68</f>
        <v>46341</v>
      </c>
      <c r="K1520" s="56" t="str">
        <f aca="false">IF(OR(L1520="Y",LEFT('P9-019'!$T$68,1)="D"),"",IF(AND(ISNUMBER(J1520),J1520&lt;ASOF),"⚠ เลยกำหนด",IF(AND(ISNUMBER(I1520),I1520&lt;=ASOF+14,J1520&gt;=ASOF-7),"ช่วงนี้","")))</f>
        <v>ช่วงนี้</v>
      </c>
      <c r="L1520" s="59"/>
      <c r="M1520" s="60"/>
    </row>
    <row r="1521" customFormat="false" ht="15" hidden="false" customHeight="false" outlineLevel="0" collapsed="false">
      <c r="A1521" s="54" t="s">
        <v>114</v>
      </c>
      <c r="B1521" s="55" t="s">
        <v>500</v>
      </c>
      <c r="C1521" s="56" t="s">
        <v>501</v>
      </c>
      <c r="D1521" s="57" t="s">
        <v>116</v>
      </c>
      <c r="E1521" s="57" t="s">
        <v>323</v>
      </c>
      <c r="F1521" s="61" t="s">
        <v>324</v>
      </c>
      <c r="G1521" s="55" t="s">
        <v>325</v>
      </c>
      <c r="H1521" s="56" t="str">
        <f aca="false">IF(COUNTIFS(SITE_ST,"P9-019",SITE_TYPE,"?*")&gt;0,"ตามจุดติดตั้ง →","0/100")</f>
        <v>ตามจุดติดตั้ง →</v>
      </c>
      <c r="I1521" s="58" t="n">
        <f aca="false">'P9-019'!$N$69</f>
        <v>46340</v>
      </c>
      <c r="J1521" s="58" t="n">
        <f aca="false">'P9-019'!$O$69</f>
        <v>46341</v>
      </c>
      <c r="K1521" s="56" t="str">
        <f aca="false">IF(OR(L1521="Y",LEFT('P9-019'!$T$69,1)="D"),"",IF(AND(ISNUMBER(J1521),J1521&lt;ASOF),"⚠ เลยกำหนด",IF(AND(ISNUMBER(I1521),I1521&lt;=ASOF+14,J1521&gt;=ASOF-7),"ช่วงนี้","")))</f>
        <v>ช่วงนี้</v>
      </c>
      <c r="L1521" s="59"/>
      <c r="M1521" s="60"/>
    </row>
    <row r="1522" customFormat="false" ht="15" hidden="false" customHeight="false" outlineLevel="0" collapsed="false">
      <c r="A1522" s="54" t="s">
        <v>114</v>
      </c>
      <c r="B1522" s="55" t="s">
        <v>500</v>
      </c>
      <c r="C1522" s="56" t="s">
        <v>501</v>
      </c>
      <c r="D1522" s="57" t="s">
        <v>116</v>
      </c>
      <c r="E1522" s="57" t="s">
        <v>326</v>
      </c>
      <c r="F1522" s="55" t="s">
        <v>327</v>
      </c>
      <c r="G1522" s="61" t="s">
        <v>328</v>
      </c>
      <c r="H1522" s="56" t="str">
        <f aca="false">IF(COUNTIFS(SITE_ST,"P9-019",SITE_TYPE,"?*")&gt;0,"ตามจุดติดตั้ง →","50/50")</f>
        <v>ตามจุดติดตั้ง →</v>
      </c>
      <c r="I1522" s="58" t="n">
        <f aca="false">'P9-019'!$N$71</f>
        <v>46343</v>
      </c>
      <c r="J1522" s="58" t="n">
        <f aca="false">'P9-019'!$O$71</f>
        <v>46344</v>
      </c>
      <c r="K1522" s="56" t="str">
        <f aca="false">IF(OR(L1522="Y",LEFT('P9-019'!$T$71,1)="D"),"",IF(AND(ISNUMBER(J1522),J1522&lt;ASOF),"⚠ เลยกำหนด",IF(AND(ISNUMBER(I1522),I1522&lt;=ASOF+14,J1522&gt;=ASOF-7),"ช่วงนี้","")))</f>
        <v/>
      </c>
      <c r="L1522" s="59"/>
      <c r="M1522" s="60"/>
    </row>
    <row r="1523" customFormat="false" ht="15" hidden="false" customHeight="false" outlineLevel="0" collapsed="false">
      <c r="A1523" s="54" t="s">
        <v>114</v>
      </c>
      <c r="B1523" s="55" t="s">
        <v>500</v>
      </c>
      <c r="C1523" s="56" t="s">
        <v>501</v>
      </c>
      <c r="D1523" s="57" t="s">
        <v>116</v>
      </c>
      <c r="E1523" s="57" t="s">
        <v>329</v>
      </c>
      <c r="F1523" s="55" t="s">
        <v>330</v>
      </c>
      <c r="G1523" s="55" t="s">
        <v>331</v>
      </c>
      <c r="H1523" s="56" t="str">
        <f aca="false">IF(COUNTIFS(SITE_ST,"P9-019",SITE_TYPE,"?*")&gt;0,"ตามจุดติดตั้ง →","50/50")</f>
        <v>ตามจุดติดตั้ง →</v>
      </c>
      <c r="I1523" s="58" t="n">
        <f aca="false">'P9-019'!$N$72</f>
        <v>46344</v>
      </c>
      <c r="J1523" s="58" t="n">
        <f aca="false">'P9-019'!$O$72</f>
        <v>46345</v>
      </c>
      <c r="K1523" s="56" t="str">
        <f aca="false">IF(OR(L1523="Y",LEFT('P9-019'!$T$72,1)="D"),"",IF(AND(ISNUMBER(J1523),J1523&lt;ASOF),"⚠ เลยกำหนด",IF(AND(ISNUMBER(I1523),I1523&lt;=ASOF+14,J1523&gt;=ASOF-7),"ช่วงนี้","")))</f>
        <v/>
      </c>
      <c r="L1523" s="59"/>
      <c r="M1523" s="60"/>
    </row>
    <row r="1524" customFormat="false" ht="15" hidden="false" customHeight="false" outlineLevel="0" collapsed="false">
      <c r="A1524" s="54" t="s">
        <v>114</v>
      </c>
      <c r="B1524" s="55" t="s">
        <v>500</v>
      </c>
      <c r="C1524" s="56" t="s">
        <v>501</v>
      </c>
      <c r="D1524" s="57" t="s">
        <v>116</v>
      </c>
      <c r="E1524" s="57" t="s">
        <v>332</v>
      </c>
      <c r="F1524" s="55" t="s">
        <v>333</v>
      </c>
      <c r="G1524" s="55" t="s">
        <v>334</v>
      </c>
      <c r="H1524" s="56" t="str">
        <f aca="false">IF(COUNTIFS(SITE_ST,"P9-019",SITE_TYPE,"?*")&gt;0,"ตามจุดติดตั้ง →","0/100")</f>
        <v>ตามจุดติดตั้ง →</v>
      </c>
      <c r="I1524" s="58" t="n">
        <f aca="false">'P9-019'!$N$73</f>
        <v>46344</v>
      </c>
      <c r="J1524" s="58" t="n">
        <f aca="false">'P9-019'!$O$73</f>
        <v>46345</v>
      </c>
      <c r="K1524" s="56" t="str">
        <f aca="false">IF(OR(L1524="Y",LEFT('P9-019'!$T$73,1)="D"),"",IF(AND(ISNUMBER(J1524),J1524&lt;ASOF),"⚠ เลยกำหนด",IF(AND(ISNUMBER(I1524),I1524&lt;=ASOF+14,J1524&gt;=ASOF-7),"ช่วงนี้","")))</f>
        <v/>
      </c>
      <c r="L1524" s="59"/>
      <c r="M1524" s="60"/>
    </row>
    <row r="1525" customFormat="false" ht="15" hidden="false" customHeight="false" outlineLevel="0" collapsed="false">
      <c r="A1525" s="54" t="s">
        <v>114</v>
      </c>
      <c r="B1525" s="55" t="s">
        <v>500</v>
      </c>
      <c r="C1525" s="56" t="s">
        <v>501</v>
      </c>
      <c r="D1525" s="57" t="s">
        <v>116</v>
      </c>
      <c r="E1525" s="57" t="s">
        <v>335</v>
      </c>
      <c r="F1525" s="55" t="s">
        <v>336</v>
      </c>
      <c r="G1525" s="61" t="s">
        <v>337</v>
      </c>
      <c r="H1525" s="56" t="str">
        <f aca="false">IF(COUNTIFS(SITE_ST,"P9-019",SITE_TYPE,"?*")&gt;0,"ตามจุดติดตั้ง →","0/100")</f>
        <v>ตามจุดติดตั้ง →</v>
      </c>
      <c r="I1525" s="58" t="n">
        <f aca="false">'P9-019'!$N$74</f>
        <v>46345</v>
      </c>
      <c r="J1525" s="58" t="n">
        <f aca="false">'P9-019'!$O$74</f>
        <v>46346</v>
      </c>
      <c r="K1525" s="56" t="str">
        <f aca="false">IF(OR(L1525="Y",LEFT('P9-019'!$T$74,1)="D"),"",IF(AND(ISNUMBER(J1525),J1525&lt;ASOF),"⚠ เลยกำหนด",IF(AND(ISNUMBER(I1525),I1525&lt;=ASOF+14,J1525&gt;=ASOF-7),"ช่วงนี้","")))</f>
        <v/>
      </c>
      <c r="L1525" s="59"/>
      <c r="M1525" s="60"/>
    </row>
    <row r="1526" customFormat="false" ht="15" hidden="false" customHeight="false" outlineLevel="0" collapsed="false">
      <c r="A1526" s="54" t="s">
        <v>114</v>
      </c>
      <c r="B1526" s="55" t="s">
        <v>500</v>
      </c>
      <c r="C1526" s="56" t="s">
        <v>501</v>
      </c>
      <c r="D1526" s="57" t="s">
        <v>116</v>
      </c>
      <c r="E1526" s="57" t="s">
        <v>338</v>
      </c>
      <c r="F1526" s="61" t="s">
        <v>339</v>
      </c>
      <c r="G1526" s="55" t="s">
        <v>340</v>
      </c>
      <c r="H1526" s="56" t="str">
        <f aca="false">IF(COUNTIFS(SITE_ST,"P9-019",SITE_TYPE,"?*")&gt;0,"ตามจุดติดตั้ง →","0/100")</f>
        <v>ตามจุดติดตั้ง →</v>
      </c>
      <c r="I1526" s="58" t="n">
        <f aca="false">'P9-019'!$N$75</f>
        <v>46345</v>
      </c>
      <c r="J1526" s="58" t="n">
        <f aca="false">'P9-019'!$O$75</f>
        <v>46346</v>
      </c>
      <c r="K1526" s="56" t="str">
        <f aca="false">IF(OR(L1526="Y",LEFT('P9-019'!$T$75,1)="D"),"",IF(AND(ISNUMBER(J1526),J1526&lt;ASOF),"⚠ เลยกำหนด",IF(AND(ISNUMBER(I1526),I1526&lt;=ASOF+14,J1526&gt;=ASOF-7),"ช่วงนี้","")))</f>
        <v/>
      </c>
      <c r="L1526" s="59"/>
      <c r="M1526" s="60"/>
    </row>
    <row r="1527" customFormat="false" ht="15" hidden="false" customHeight="false" outlineLevel="0" collapsed="false">
      <c r="A1527" s="54" t="s">
        <v>114</v>
      </c>
      <c r="B1527" s="55" t="s">
        <v>500</v>
      </c>
      <c r="C1527" s="56" t="s">
        <v>501</v>
      </c>
      <c r="D1527" s="57" t="s">
        <v>116</v>
      </c>
      <c r="E1527" s="57" t="s">
        <v>341</v>
      </c>
      <c r="F1527" s="55" t="s">
        <v>342</v>
      </c>
      <c r="G1527" s="55" t="s">
        <v>343</v>
      </c>
      <c r="H1527" s="56" t="str">
        <f aca="false">IF(COUNTIFS(SITE_ST,"P9-019",SITE_TYPE,"?*")&gt;0,"ตามจุดติดตั้ง →","0/100")</f>
        <v>ตามจุดติดตั้ง →</v>
      </c>
      <c r="I1527" s="58" t="n">
        <f aca="false">'P9-019'!$N$77</f>
        <v>46342</v>
      </c>
      <c r="J1527" s="58" t="n">
        <f aca="false">'P9-019'!$O$77</f>
        <v>46344</v>
      </c>
      <c r="K1527" s="56" t="str">
        <f aca="false">IF(OR(L1527="Y",LEFT('P9-019'!$T$77,1)="D"),"",IF(AND(ISNUMBER(J1527),J1527&lt;ASOF),"⚠ เลยกำหนด",IF(AND(ISNUMBER(I1527),I1527&lt;=ASOF+14,J1527&gt;=ASOF-7),"ช่วงนี้","")))</f>
        <v>ช่วงนี้</v>
      </c>
      <c r="L1527" s="59"/>
      <c r="M1527" s="60"/>
    </row>
    <row r="1528" customFormat="false" ht="15" hidden="false" customHeight="false" outlineLevel="0" collapsed="false">
      <c r="A1528" s="54" t="s">
        <v>114</v>
      </c>
      <c r="B1528" s="55" t="s">
        <v>500</v>
      </c>
      <c r="C1528" s="56" t="s">
        <v>501</v>
      </c>
      <c r="D1528" s="57" t="s">
        <v>116</v>
      </c>
      <c r="E1528" s="57" t="s">
        <v>344</v>
      </c>
      <c r="F1528" s="55" t="s">
        <v>345</v>
      </c>
      <c r="G1528" s="55" t="s">
        <v>346</v>
      </c>
      <c r="H1528" s="56" t="str">
        <f aca="false">IF(COUNTIFS(SITE_ST,"P9-019",SITE_TYPE,"?*")&gt;0,"ตามจุดติดตั้ง →","50/50")</f>
        <v>ตามจุดติดตั้ง →</v>
      </c>
      <c r="I1528" s="58" t="n">
        <f aca="false">'P9-019'!$N$78</f>
        <v>46343</v>
      </c>
      <c r="J1528" s="58" t="n">
        <f aca="false">'P9-019'!$O$78</f>
        <v>46346</v>
      </c>
      <c r="K1528" s="56" t="str">
        <f aca="false">IF(OR(L1528="Y",LEFT('P9-019'!$T$78,1)="D"),"",IF(AND(ISNUMBER(J1528),J1528&lt;ASOF),"⚠ เลยกำหนด",IF(AND(ISNUMBER(I1528),I1528&lt;=ASOF+14,J1528&gt;=ASOF-7),"ช่วงนี้","")))</f>
        <v/>
      </c>
      <c r="L1528" s="59"/>
      <c r="M1528" s="60"/>
    </row>
    <row r="1529" customFormat="false" ht="15" hidden="false" customHeight="false" outlineLevel="0" collapsed="false">
      <c r="A1529" s="54" t="s">
        <v>114</v>
      </c>
      <c r="B1529" s="55" t="s">
        <v>500</v>
      </c>
      <c r="C1529" s="56" t="s">
        <v>501</v>
      </c>
      <c r="D1529" s="57" t="s">
        <v>116</v>
      </c>
      <c r="E1529" s="57" t="s">
        <v>347</v>
      </c>
      <c r="F1529" s="61" t="s">
        <v>348</v>
      </c>
      <c r="G1529" s="55" t="s">
        <v>349</v>
      </c>
      <c r="H1529" s="56" t="str">
        <f aca="false">IF(COUNTIFS(SITE_ST,"P9-019",SITE_TYPE,"?*")&gt;0,"ตามจุดติดตั้ง →","50/50")</f>
        <v>ตามจุดติดตั้ง →</v>
      </c>
      <c r="I1529" s="58" t="n">
        <f aca="false">'P9-019'!$N$79</f>
        <v>46344</v>
      </c>
      <c r="J1529" s="58" t="n">
        <f aca="false">'P9-019'!$O$79</f>
        <v>46347</v>
      </c>
      <c r="K1529" s="56" t="str">
        <f aca="false">IF(OR(L1529="Y",LEFT('P9-019'!$T$79,1)="D"),"",IF(AND(ISNUMBER(J1529),J1529&lt;ASOF),"⚠ เลยกำหนด",IF(AND(ISNUMBER(I1529),I1529&lt;=ASOF+14,J1529&gt;=ASOF-7),"ช่วงนี้","")))</f>
        <v/>
      </c>
      <c r="L1529" s="59"/>
      <c r="M1529" s="60"/>
    </row>
    <row r="1530" customFormat="false" ht="15" hidden="false" customHeight="false" outlineLevel="0" collapsed="false">
      <c r="A1530" s="54" t="s">
        <v>114</v>
      </c>
      <c r="B1530" s="55" t="s">
        <v>500</v>
      </c>
      <c r="C1530" s="56" t="s">
        <v>501</v>
      </c>
      <c r="D1530" s="57" t="s">
        <v>116</v>
      </c>
      <c r="E1530" s="57" t="s">
        <v>350</v>
      </c>
      <c r="F1530" s="61" t="s">
        <v>351</v>
      </c>
      <c r="G1530" s="55" t="s">
        <v>352</v>
      </c>
      <c r="H1530" s="56" t="str">
        <f aca="false">IF(COUNTIFS(SITE_ST,"P9-019",SITE_TYPE,"?*")&gt;0,"ตามจุดติดตั้ง →","0/100")</f>
        <v>ตามจุดติดตั้ง →</v>
      </c>
      <c r="I1530" s="58" t="n">
        <f aca="false">'P9-019'!$N$80</f>
        <v>46346</v>
      </c>
      <c r="J1530" s="58" t="n">
        <f aca="false">'P9-019'!$O$80</f>
        <v>46347</v>
      </c>
      <c r="K1530" s="56" t="str">
        <f aca="false">IF(OR(L1530="Y",LEFT('P9-019'!$T$80,1)="D"),"",IF(AND(ISNUMBER(J1530),J1530&lt;ASOF),"⚠ เลยกำหนด",IF(AND(ISNUMBER(I1530),I1530&lt;=ASOF+14,J1530&gt;=ASOF-7),"ช่วงนี้","")))</f>
        <v/>
      </c>
      <c r="L1530" s="59"/>
      <c r="M1530" s="60"/>
    </row>
    <row r="1531" customFormat="false" ht="15" hidden="false" customHeight="false" outlineLevel="0" collapsed="false">
      <c r="A1531" s="54" t="s">
        <v>114</v>
      </c>
      <c r="B1531" s="55" t="s">
        <v>500</v>
      </c>
      <c r="C1531" s="56" t="s">
        <v>501</v>
      </c>
      <c r="D1531" s="57" t="s">
        <v>116</v>
      </c>
      <c r="E1531" s="57" t="s">
        <v>353</v>
      </c>
      <c r="F1531" s="61" t="s">
        <v>354</v>
      </c>
      <c r="G1531" s="55" t="s">
        <v>355</v>
      </c>
      <c r="H1531" s="56" t="str">
        <f aca="false">IF(COUNTIFS(SITE_ST,"P9-019",SITE_TYPE,"?*")&gt;0,"ตามจุดติดตั้ง →","0/100")</f>
        <v>ตามจุดติดตั้ง →</v>
      </c>
      <c r="I1531" s="58" t="n">
        <f aca="false">'P9-019'!$N$81</f>
        <v>46347</v>
      </c>
      <c r="J1531" s="58" t="n">
        <f aca="false">'P9-019'!$O$81</f>
        <v>46347</v>
      </c>
      <c r="K1531" s="56" t="str">
        <f aca="false">IF(OR(L1531="Y",LEFT('P9-019'!$T$81,1)="D"),"",IF(AND(ISNUMBER(J1531),J1531&lt;ASOF),"⚠ เลยกำหนด",IF(AND(ISNUMBER(I1531),I1531&lt;=ASOF+14,J1531&gt;=ASOF-7),"ช่วงนี้","")))</f>
        <v/>
      </c>
      <c r="L1531" s="59"/>
      <c r="M1531" s="60"/>
    </row>
    <row r="1532" customFormat="false" ht="15" hidden="false" customHeight="false" outlineLevel="0" collapsed="false">
      <c r="A1532" s="54" t="s">
        <v>114</v>
      </c>
      <c r="B1532" s="55" t="s">
        <v>500</v>
      </c>
      <c r="C1532" s="56" t="s">
        <v>501</v>
      </c>
      <c r="D1532" s="57" t="s">
        <v>116</v>
      </c>
      <c r="E1532" s="57" t="s">
        <v>356</v>
      </c>
      <c r="F1532" s="55" t="s">
        <v>357</v>
      </c>
      <c r="G1532" s="55" t="s">
        <v>358</v>
      </c>
      <c r="H1532" s="57" t="s">
        <v>211</v>
      </c>
      <c r="I1532" s="58" t="n">
        <f aca="false">'P9-019'!$N$83</f>
        <v>46345</v>
      </c>
      <c r="J1532" s="58" t="n">
        <f aca="false">'P9-019'!$O$83</f>
        <v>46346</v>
      </c>
      <c r="K1532" s="56" t="str">
        <f aca="false">IF(OR(L1532="Y",LEFT('P9-019'!$T$83,1)="D"),"",IF(AND(ISNUMBER(J1532),J1532&lt;ASOF),"⚠ เลยกำหนด",IF(AND(ISNUMBER(I1532),I1532&lt;=ASOF+14,J1532&gt;=ASOF-7),"ช่วงนี้","")))</f>
        <v/>
      </c>
      <c r="L1532" s="59"/>
      <c r="M1532" s="60"/>
    </row>
    <row r="1533" customFormat="false" ht="15" hidden="false" customHeight="false" outlineLevel="0" collapsed="false">
      <c r="A1533" s="54" t="s">
        <v>114</v>
      </c>
      <c r="B1533" s="55" t="s">
        <v>500</v>
      </c>
      <c r="C1533" s="56" t="s">
        <v>501</v>
      </c>
      <c r="D1533" s="57" t="s">
        <v>116</v>
      </c>
      <c r="E1533" s="57" t="s">
        <v>359</v>
      </c>
      <c r="F1533" s="55" t="s">
        <v>360</v>
      </c>
      <c r="G1533" s="55" t="s">
        <v>361</v>
      </c>
      <c r="H1533" s="57" t="s">
        <v>211</v>
      </c>
      <c r="I1533" s="58" t="n">
        <f aca="false">'P9-019'!$N$84</f>
        <v>46346</v>
      </c>
      <c r="J1533" s="58" t="n">
        <f aca="false">'P9-019'!$O$84</f>
        <v>46347</v>
      </c>
      <c r="K1533" s="56" t="str">
        <f aca="false">IF(OR(L1533="Y",LEFT('P9-019'!$T$84,1)="D"),"",IF(AND(ISNUMBER(J1533),J1533&lt;ASOF),"⚠ เลยกำหนด",IF(AND(ISNUMBER(I1533),I1533&lt;=ASOF+14,J1533&gt;=ASOF-7),"ช่วงนี้","")))</f>
        <v/>
      </c>
      <c r="L1533" s="59"/>
      <c r="M1533" s="60"/>
    </row>
    <row r="1534" customFormat="false" ht="15" hidden="false" customHeight="false" outlineLevel="0" collapsed="false">
      <c r="A1534" s="54" t="s">
        <v>114</v>
      </c>
      <c r="B1534" s="55" t="s">
        <v>500</v>
      </c>
      <c r="C1534" s="56" t="s">
        <v>501</v>
      </c>
      <c r="D1534" s="57" t="s">
        <v>116</v>
      </c>
      <c r="E1534" s="57" t="s">
        <v>362</v>
      </c>
      <c r="F1534" s="61" t="s">
        <v>363</v>
      </c>
      <c r="G1534" s="61" t="s">
        <v>364</v>
      </c>
      <c r="H1534" s="56" t="s">
        <v>365</v>
      </c>
      <c r="I1534" s="58" t="n">
        <f aca="false">'P9-019'!$N$86</f>
        <v>46343</v>
      </c>
      <c r="J1534" s="58" t="n">
        <f aca="false">'P9-019'!$O$86</f>
        <v>46345</v>
      </c>
      <c r="K1534" s="56" t="str">
        <f aca="false">IF(OR(L1534="Y",LEFT('P9-019'!$T$86,1)="D"),"",IF(AND(ISNUMBER(J1534),J1534&lt;ASOF),"⚠ เลยกำหนด",IF(AND(ISNUMBER(I1534),I1534&lt;=ASOF+14,J1534&gt;=ASOF-7),"ช่วงนี้","")))</f>
        <v/>
      </c>
      <c r="L1534" s="59"/>
      <c r="M1534" s="60"/>
    </row>
    <row r="1535" customFormat="false" ht="15" hidden="false" customHeight="false" outlineLevel="0" collapsed="false">
      <c r="A1535" s="54" t="s">
        <v>114</v>
      </c>
      <c r="B1535" s="55" t="s">
        <v>500</v>
      </c>
      <c r="C1535" s="56" t="s">
        <v>501</v>
      </c>
      <c r="D1535" s="57" t="s">
        <v>116</v>
      </c>
      <c r="E1535" s="57" t="s">
        <v>366</v>
      </c>
      <c r="F1535" s="61" t="s">
        <v>367</v>
      </c>
      <c r="G1535" s="61" t="s">
        <v>368</v>
      </c>
      <c r="H1535" s="57" t="s">
        <v>369</v>
      </c>
      <c r="I1535" s="58" t="n">
        <f aca="false">'P9-019'!$N$87</f>
        <v>46344</v>
      </c>
      <c r="J1535" s="58" t="n">
        <f aca="false">'P9-019'!$O$87</f>
        <v>46346</v>
      </c>
      <c r="K1535" s="56" t="str">
        <f aca="false">IF(OR(L1535="Y",LEFT('P9-019'!$T$87,1)="D"),"",IF(AND(ISNUMBER(J1535),J1535&lt;ASOF),"⚠ เลยกำหนด",IF(AND(ISNUMBER(I1535),I1535&lt;=ASOF+14,J1535&gt;=ASOF-7),"ช่วงนี้","")))</f>
        <v/>
      </c>
      <c r="L1535" s="59"/>
      <c r="M1535" s="60"/>
    </row>
    <row r="1536" customFormat="false" ht="15" hidden="false" customHeight="false" outlineLevel="0" collapsed="false">
      <c r="A1536" s="54" t="s">
        <v>114</v>
      </c>
      <c r="B1536" s="55" t="s">
        <v>500</v>
      </c>
      <c r="C1536" s="56" t="s">
        <v>501</v>
      </c>
      <c r="D1536" s="57" t="s">
        <v>116</v>
      </c>
      <c r="E1536" s="57" t="s">
        <v>370</v>
      </c>
      <c r="F1536" s="55" t="s">
        <v>371</v>
      </c>
      <c r="G1536" s="55" t="s">
        <v>372</v>
      </c>
      <c r="H1536" s="57" t="s">
        <v>211</v>
      </c>
      <c r="I1536" s="58" t="n">
        <f aca="false">'P9-019'!$N$88</f>
        <v>46345</v>
      </c>
      <c r="J1536" s="58" t="n">
        <f aca="false">'P9-019'!$O$88</f>
        <v>46346</v>
      </c>
      <c r="K1536" s="56" t="str">
        <f aca="false">IF(OR(L1536="Y",LEFT('P9-019'!$T$88,1)="D"),"",IF(AND(ISNUMBER(J1536),J1536&lt;ASOF),"⚠ เลยกำหนด",IF(AND(ISNUMBER(I1536),I1536&lt;=ASOF+14,J1536&gt;=ASOF-7),"ช่วงนี้","")))</f>
        <v/>
      </c>
      <c r="L1536" s="59"/>
      <c r="M1536" s="60"/>
    </row>
    <row r="1537" customFormat="false" ht="15" hidden="false" customHeight="false" outlineLevel="0" collapsed="false">
      <c r="A1537" s="54" t="s">
        <v>114</v>
      </c>
      <c r="B1537" s="55" t="s">
        <v>500</v>
      </c>
      <c r="C1537" s="56" t="s">
        <v>501</v>
      </c>
      <c r="D1537" s="57" t="s">
        <v>116</v>
      </c>
      <c r="E1537" s="57" t="s">
        <v>373</v>
      </c>
      <c r="F1537" s="61" t="s">
        <v>374</v>
      </c>
      <c r="G1537" s="55" t="s">
        <v>375</v>
      </c>
      <c r="H1537" s="57" t="s">
        <v>211</v>
      </c>
      <c r="I1537" s="58" t="n">
        <f aca="false">'P9-019'!$N$89</f>
        <v>46346</v>
      </c>
      <c r="J1537" s="58" t="n">
        <f aca="false">'P9-019'!$O$89</f>
        <v>46346</v>
      </c>
      <c r="K1537" s="56" t="str">
        <f aca="false">IF(OR(L1537="Y",LEFT('P9-019'!$T$89,1)="D"),"",IF(AND(ISNUMBER(J1537),J1537&lt;ASOF),"⚠ เลยกำหนด",IF(AND(ISNUMBER(I1537),I1537&lt;=ASOF+14,J1537&gt;=ASOF-7),"ช่วงนี้","")))</f>
        <v/>
      </c>
      <c r="L1537" s="59"/>
      <c r="M1537" s="60"/>
    </row>
    <row r="1538" customFormat="false" ht="15" hidden="false" customHeight="false" outlineLevel="0" collapsed="false">
      <c r="A1538" s="54" t="s">
        <v>114</v>
      </c>
      <c r="B1538" s="55" t="s">
        <v>500</v>
      </c>
      <c r="C1538" s="56" t="s">
        <v>501</v>
      </c>
      <c r="D1538" s="57" t="s">
        <v>116</v>
      </c>
      <c r="E1538" s="57" t="s">
        <v>376</v>
      </c>
      <c r="F1538" s="55" t="s">
        <v>377</v>
      </c>
      <c r="G1538" s="55" t="s">
        <v>378</v>
      </c>
      <c r="H1538" s="57" t="s">
        <v>369</v>
      </c>
      <c r="I1538" s="58" t="n">
        <f aca="false">'P9-019'!$N$91</f>
        <v>46344</v>
      </c>
      <c r="J1538" s="58" t="n">
        <f aca="false">'P9-019'!$O$91</f>
        <v>46346</v>
      </c>
      <c r="K1538" s="56" t="str">
        <f aca="false">IF(OR(L1538="Y",LEFT('P9-019'!$T$91,1)="D"),"",IF(AND(ISNUMBER(J1538),J1538&lt;ASOF),"⚠ เลยกำหนด",IF(AND(ISNUMBER(I1538),I1538&lt;=ASOF+14,J1538&gt;=ASOF-7),"ช่วงนี้","")))</f>
        <v/>
      </c>
      <c r="L1538" s="59"/>
      <c r="M1538" s="60"/>
    </row>
    <row r="1539" customFormat="false" ht="15" hidden="false" customHeight="false" outlineLevel="0" collapsed="false">
      <c r="A1539" s="54" t="s">
        <v>114</v>
      </c>
      <c r="B1539" s="55" t="s">
        <v>500</v>
      </c>
      <c r="C1539" s="56" t="s">
        <v>501</v>
      </c>
      <c r="D1539" s="57" t="s">
        <v>116</v>
      </c>
      <c r="E1539" s="57" t="s">
        <v>379</v>
      </c>
      <c r="F1539" s="61" t="s">
        <v>380</v>
      </c>
      <c r="G1539" s="61" t="s">
        <v>381</v>
      </c>
      <c r="H1539" s="57" t="s">
        <v>211</v>
      </c>
      <c r="I1539" s="58" t="n">
        <f aca="false">'P9-019'!$N$92</f>
        <v>46346</v>
      </c>
      <c r="J1539" s="58" t="n">
        <f aca="false">'P9-019'!$O$92</f>
        <v>46347</v>
      </c>
      <c r="K1539" s="56" t="str">
        <f aca="false">IF(OR(L1539="Y",LEFT('P9-019'!$T$92,1)="D"),"",IF(AND(ISNUMBER(J1539),J1539&lt;ASOF),"⚠ เลยกำหนด",IF(AND(ISNUMBER(I1539),I1539&lt;=ASOF+14,J1539&gt;=ASOF-7),"ช่วงนี้","")))</f>
        <v/>
      </c>
      <c r="L1539" s="59"/>
      <c r="M1539" s="60"/>
    </row>
    <row r="1540" customFormat="false" ht="15" hidden="false" customHeight="false" outlineLevel="0" collapsed="false">
      <c r="A1540" s="54" t="s">
        <v>114</v>
      </c>
      <c r="B1540" s="55" t="s">
        <v>500</v>
      </c>
      <c r="C1540" s="56" t="s">
        <v>501</v>
      </c>
      <c r="D1540" s="57" t="s">
        <v>116</v>
      </c>
      <c r="E1540" s="57" t="s">
        <v>382</v>
      </c>
      <c r="F1540" s="55" t="s">
        <v>383</v>
      </c>
      <c r="G1540" s="55" t="s">
        <v>384</v>
      </c>
      <c r="H1540" s="57" t="s">
        <v>369</v>
      </c>
      <c r="I1540" s="58" t="n">
        <f aca="false">'P9-019'!$N$93</f>
        <v>46344</v>
      </c>
      <c r="J1540" s="58" t="n">
        <f aca="false">'P9-019'!$O$93</f>
        <v>46346</v>
      </c>
      <c r="K1540" s="56" t="str">
        <f aca="false">IF(OR(L1540="Y",LEFT('P9-019'!$T$93,1)="D"),"",IF(AND(ISNUMBER(J1540),J1540&lt;ASOF),"⚠ เลยกำหนด",IF(AND(ISNUMBER(I1540),I1540&lt;=ASOF+14,J1540&gt;=ASOF-7),"ช่วงนี้","")))</f>
        <v/>
      </c>
      <c r="L1540" s="59"/>
      <c r="M1540" s="60"/>
    </row>
    <row r="1541" customFormat="false" ht="15" hidden="false" customHeight="false" outlineLevel="0" collapsed="false">
      <c r="A1541" s="54" t="s">
        <v>114</v>
      </c>
      <c r="B1541" s="55" t="s">
        <v>500</v>
      </c>
      <c r="C1541" s="56" t="s">
        <v>501</v>
      </c>
      <c r="D1541" s="57" t="s">
        <v>116</v>
      </c>
      <c r="E1541" s="57" t="s">
        <v>385</v>
      </c>
      <c r="F1541" s="55" t="s">
        <v>386</v>
      </c>
      <c r="G1541" s="55" t="s">
        <v>387</v>
      </c>
      <c r="H1541" s="57" t="s">
        <v>211</v>
      </c>
      <c r="I1541" s="58" t="n">
        <f aca="false">'P9-019'!$N$94</f>
        <v>46346</v>
      </c>
      <c r="J1541" s="58" t="n">
        <f aca="false">'P9-019'!$O$94</f>
        <v>46347</v>
      </c>
      <c r="K1541" s="56" t="str">
        <f aca="false">IF(OR(L1541="Y",LEFT('P9-019'!$T$94,1)="D"),"",IF(AND(ISNUMBER(J1541),J1541&lt;ASOF),"⚠ เลยกำหนด",IF(AND(ISNUMBER(I1541),I1541&lt;=ASOF+14,J1541&gt;=ASOF-7),"ช่วงนี้","")))</f>
        <v/>
      </c>
      <c r="L1541" s="59"/>
      <c r="M1541" s="60"/>
    </row>
    <row r="1542" customFormat="false" ht="15" hidden="false" customHeight="false" outlineLevel="0" collapsed="false">
      <c r="A1542" s="54" t="s">
        <v>114</v>
      </c>
      <c r="B1542" s="55" t="s">
        <v>500</v>
      </c>
      <c r="C1542" s="56" t="s">
        <v>501</v>
      </c>
      <c r="D1542" s="57" t="s">
        <v>116</v>
      </c>
      <c r="E1542" s="57" t="s">
        <v>388</v>
      </c>
      <c r="F1542" s="61" t="s">
        <v>389</v>
      </c>
      <c r="G1542" s="55" t="s">
        <v>390</v>
      </c>
      <c r="H1542" s="57" t="s">
        <v>211</v>
      </c>
      <c r="I1542" s="58" t="n">
        <f aca="false">'P9-019'!$N$95</f>
        <v>46347</v>
      </c>
      <c r="J1542" s="58" t="n">
        <f aca="false">'P9-019'!$O$95</f>
        <v>46347</v>
      </c>
      <c r="K1542" s="56" t="str">
        <f aca="false">IF(OR(L1542="Y",LEFT('P9-019'!$T$95,1)="D"),"",IF(AND(ISNUMBER(J1542),J1542&lt;ASOF),"⚠ เลยกำหนด",IF(AND(ISNUMBER(I1542),I1542&lt;=ASOF+14,J1542&gt;=ASOF-7),"ช่วงนี้","")))</f>
        <v/>
      </c>
      <c r="L1542" s="59"/>
      <c r="M1542" s="60"/>
    </row>
    <row r="1543" customFormat="false" ht="15" hidden="false" customHeight="false" outlineLevel="0" collapsed="false">
      <c r="A1543" s="54" t="s">
        <v>114</v>
      </c>
      <c r="B1543" s="55" t="s">
        <v>500</v>
      </c>
      <c r="C1543" s="56" t="s">
        <v>501</v>
      </c>
      <c r="D1543" s="57" t="s">
        <v>116</v>
      </c>
      <c r="E1543" s="57" t="s">
        <v>391</v>
      </c>
      <c r="F1543" s="55" t="s">
        <v>392</v>
      </c>
      <c r="G1543" s="55" t="s">
        <v>393</v>
      </c>
      <c r="H1543" s="57" t="s">
        <v>369</v>
      </c>
      <c r="I1543" s="58" t="n">
        <f aca="false">'P9-019'!$N$97</f>
        <v>46345</v>
      </c>
      <c r="J1543" s="58" t="n">
        <f aca="false">'P9-019'!$O$97</f>
        <v>46347</v>
      </c>
      <c r="K1543" s="56" t="str">
        <f aca="false">IF(OR(L1543="Y",LEFT('P9-019'!$T$97,1)="D"),"",IF(AND(ISNUMBER(J1543),J1543&lt;ASOF),"⚠ เลยกำหนด",IF(AND(ISNUMBER(I1543),I1543&lt;=ASOF+14,J1543&gt;=ASOF-7),"ช่วงนี้","")))</f>
        <v/>
      </c>
      <c r="L1543" s="59"/>
      <c r="M1543" s="60"/>
    </row>
    <row r="1544" customFormat="false" ht="15" hidden="false" customHeight="false" outlineLevel="0" collapsed="false">
      <c r="A1544" s="54" t="s">
        <v>114</v>
      </c>
      <c r="B1544" s="55" t="s">
        <v>500</v>
      </c>
      <c r="C1544" s="56" t="s">
        <v>501</v>
      </c>
      <c r="D1544" s="57" t="s">
        <v>116</v>
      </c>
      <c r="E1544" s="57" t="s">
        <v>394</v>
      </c>
      <c r="F1544" s="55" t="s">
        <v>395</v>
      </c>
      <c r="G1544" s="55" t="s">
        <v>396</v>
      </c>
      <c r="H1544" s="57" t="s">
        <v>211</v>
      </c>
      <c r="I1544" s="58" t="n">
        <f aca="false">'P9-019'!$N$98</f>
        <v>46346</v>
      </c>
      <c r="J1544" s="58" t="n">
        <f aca="false">'P9-019'!$O$98</f>
        <v>46347</v>
      </c>
      <c r="K1544" s="56" t="str">
        <f aca="false">IF(OR(L1544="Y",LEFT('P9-019'!$T$98,1)="D"),"",IF(AND(ISNUMBER(J1544),J1544&lt;ASOF),"⚠ เลยกำหนด",IF(AND(ISNUMBER(I1544),I1544&lt;=ASOF+14,J1544&gt;=ASOF-7),"ช่วงนี้","")))</f>
        <v/>
      </c>
      <c r="L1544" s="59"/>
      <c r="M1544" s="60"/>
    </row>
    <row r="1545" customFormat="false" ht="15" hidden="false" customHeight="false" outlineLevel="0" collapsed="false">
      <c r="A1545" s="54" t="s">
        <v>114</v>
      </c>
      <c r="B1545" s="55" t="s">
        <v>500</v>
      </c>
      <c r="C1545" s="56" t="s">
        <v>501</v>
      </c>
      <c r="D1545" s="57" t="s">
        <v>116</v>
      </c>
      <c r="E1545" s="57" t="s">
        <v>397</v>
      </c>
      <c r="F1545" s="61" t="s">
        <v>398</v>
      </c>
      <c r="G1545" s="55" t="s">
        <v>399</v>
      </c>
      <c r="H1545" s="57" t="s">
        <v>211</v>
      </c>
      <c r="I1545" s="58" t="n">
        <f aca="false">'P9-019'!$N$99</f>
        <v>46347</v>
      </c>
      <c r="J1545" s="58" t="n">
        <f aca="false">'P9-019'!$O$99</f>
        <v>46347</v>
      </c>
      <c r="K1545" s="56" t="str">
        <f aca="false">IF(OR(L1545="Y",LEFT('P9-019'!$T$99,1)="D"),"",IF(AND(ISNUMBER(J1545),J1545&lt;ASOF),"⚠ เลยกำหนด",IF(AND(ISNUMBER(I1545),I1545&lt;=ASOF+14,J1545&gt;=ASOF-7),"ช่วงนี้","")))</f>
        <v/>
      </c>
      <c r="L1545" s="59"/>
      <c r="M1545" s="60"/>
    </row>
    <row r="1546" customFormat="false" ht="15" hidden="false" customHeight="false" outlineLevel="0" collapsed="false">
      <c r="A1546" s="54" t="s">
        <v>114</v>
      </c>
      <c r="B1546" s="55" t="s">
        <v>500</v>
      </c>
      <c r="C1546" s="56" t="s">
        <v>501</v>
      </c>
      <c r="D1546" s="57" t="s">
        <v>116</v>
      </c>
      <c r="E1546" s="57" t="s">
        <v>467</v>
      </c>
      <c r="F1546" s="61" t="s">
        <v>468</v>
      </c>
      <c r="G1546" s="61" t="s">
        <v>469</v>
      </c>
      <c r="H1546" s="57" t="s">
        <v>211</v>
      </c>
      <c r="I1546" s="58" t="n">
        <f aca="false">'P9-019'!$N$103</f>
        <v>46346</v>
      </c>
      <c r="J1546" s="58" t="n">
        <f aca="false">'P9-019'!$O$103</f>
        <v>46347</v>
      </c>
      <c r="K1546" s="56" t="str">
        <f aca="false">IF(OR(L1546="Y",LEFT('P9-019'!$T$103,1)="D"),"",IF(AND(ISNUMBER(J1546),J1546&lt;ASOF),"⚠ เลยกำหนด",IF(AND(ISNUMBER(I1546),I1546&lt;=ASOF+14,J1546&gt;=ASOF-7),"ช่วงนี้","")))</f>
        <v/>
      </c>
      <c r="L1546" s="59"/>
      <c r="M1546" s="60"/>
    </row>
    <row r="1547" customFormat="false" ht="15" hidden="false" customHeight="false" outlineLevel="0" collapsed="false">
      <c r="A1547" s="54" t="s">
        <v>114</v>
      </c>
      <c r="B1547" s="55" t="s">
        <v>500</v>
      </c>
      <c r="C1547" s="56" t="s">
        <v>501</v>
      </c>
      <c r="D1547" s="57" t="s">
        <v>116</v>
      </c>
      <c r="E1547" s="57" t="s">
        <v>403</v>
      </c>
      <c r="F1547" s="55" t="s">
        <v>404</v>
      </c>
      <c r="G1547" s="55" t="s">
        <v>405</v>
      </c>
      <c r="H1547" s="57" t="s">
        <v>211</v>
      </c>
      <c r="I1547" s="58" t="n">
        <f aca="false">'P9-019'!$N$104</f>
        <v>46347</v>
      </c>
      <c r="J1547" s="58" t="n">
        <f aca="false">'P9-019'!$O$104</f>
        <v>46348</v>
      </c>
      <c r="K1547" s="56" t="str">
        <f aca="false">IF(OR(L1547="Y",LEFT('P9-019'!$T$104,1)="D"),"",IF(AND(ISNUMBER(J1547),J1547&lt;ASOF),"⚠ เลยกำหนด",IF(AND(ISNUMBER(I1547),I1547&lt;=ASOF+14,J1547&gt;=ASOF-7),"ช่วงนี้","")))</f>
        <v/>
      </c>
      <c r="L1547" s="59"/>
      <c r="M1547" s="60"/>
    </row>
    <row r="1548" customFormat="false" ht="15" hidden="false" customHeight="false" outlineLevel="0" collapsed="false">
      <c r="A1548" s="54" t="s">
        <v>114</v>
      </c>
      <c r="B1548" s="55" t="s">
        <v>500</v>
      </c>
      <c r="C1548" s="56" t="s">
        <v>501</v>
      </c>
      <c r="D1548" s="57" t="s">
        <v>116</v>
      </c>
      <c r="E1548" s="57" t="s">
        <v>406</v>
      </c>
      <c r="F1548" s="55" t="s">
        <v>407</v>
      </c>
      <c r="G1548" s="55" t="s">
        <v>408</v>
      </c>
      <c r="H1548" s="57" t="s">
        <v>211</v>
      </c>
      <c r="I1548" s="58" t="n">
        <f aca="false">'P9-019'!$N$105</f>
        <v>46347</v>
      </c>
      <c r="J1548" s="58" t="n">
        <f aca="false">'P9-019'!$O$105</f>
        <v>46348</v>
      </c>
      <c r="K1548" s="56" t="str">
        <f aca="false">IF(OR(L1548="Y",LEFT('P9-019'!$T$105,1)="D"),"",IF(AND(ISNUMBER(J1548),J1548&lt;ASOF),"⚠ เลยกำหนด",IF(AND(ISNUMBER(I1548),I1548&lt;=ASOF+14,J1548&gt;=ASOF-7),"ช่วงนี้","")))</f>
        <v/>
      </c>
      <c r="L1548" s="59"/>
      <c r="M1548" s="60"/>
    </row>
    <row r="1549" customFormat="false" ht="15" hidden="false" customHeight="false" outlineLevel="0" collapsed="false">
      <c r="A1549" s="54" t="s">
        <v>114</v>
      </c>
      <c r="B1549" s="55" t="s">
        <v>500</v>
      </c>
      <c r="C1549" s="56" t="s">
        <v>501</v>
      </c>
      <c r="D1549" s="57" t="s">
        <v>116</v>
      </c>
      <c r="E1549" s="57" t="s">
        <v>409</v>
      </c>
      <c r="F1549" s="61" t="s">
        <v>410</v>
      </c>
      <c r="G1549" s="55" t="s">
        <v>411</v>
      </c>
      <c r="H1549" s="57" t="s">
        <v>211</v>
      </c>
      <c r="I1549" s="58" t="n">
        <f aca="false">'P9-019'!$N$106</f>
        <v>46348</v>
      </c>
      <c r="J1549" s="58" t="n">
        <f aca="false">'P9-019'!$O$106</f>
        <v>46348</v>
      </c>
      <c r="K1549" s="56" t="str">
        <f aca="false">IF(OR(L1549="Y",LEFT('P9-019'!$T$106,1)="D"),"",IF(AND(ISNUMBER(J1549),J1549&lt;ASOF),"⚠ เลยกำหนด",IF(AND(ISNUMBER(I1549),I1549&lt;=ASOF+14,J1549&gt;=ASOF-7),"ช่วงนี้","")))</f>
        <v/>
      </c>
      <c r="L1549" s="59"/>
      <c r="M1549" s="60"/>
    </row>
    <row r="1550" customFormat="false" ht="15" hidden="false" customHeight="false" outlineLevel="0" collapsed="false">
      <c r="A1550" s="54" t="s">
        <v>114</v>
      </c>
      <c r="B1550" s="55" t="s">
        <v>500</v>
      </c>
      <c r="C1550" s="56" t="s">
        <v>501</v>
      </c>
      <c r="D1550" s="57" t="s">
        <v>116</v>
      </c>
      <c r="E1550" s="57" t="s">
        <v>412</v>
      </c>
      <c r="F1550" s="61" t="s">
        <v>413</v>
      </c>
      <c r="G1550" s="61" t="s">
        <v>414</v>
      </c>
      <c r="H1550" s="57" t="s">
        <v>211</v>
      </c>
      <c r="I1550" s="58" t="n">
        <f aca="false">'P9-019'!$N$108</f>
        <v>46347</v>
      </c>
      <c r="J1550" s="58" t="n">
        <f aca="false">'P9-019'!$O$108</f>
        <v>46348</v>
      </c>
      <c r="K1550" s="56" t="str">
        <f aca="false">IF(OR(L1550="Y",LEFT('P9-019'!$T$108,1)="D"),"",IF(AND(ISNUMBER(J1550),J1550&lt;ASOF),"⚠ เลยกำหนด",IF(AND(ISNUMBER(I1550),I1550&lt;=ASOF+14,J1550&gt;=ASOF-7),"ช่วงนี้","")))</f>
        <v/>
      </c>
      <c r="L1550" s="59"/>
      <c r="M1550" s="60"/>
    </row>
    <row r="1551" customFormat="false" ht="15" hidden="false" customHeight="false" outlineLevel="0" collapsed="false">
      <c r="A1551" s="54" t="s">
        <v>114</v>
      </c>
      <c r="B1551" s="55" t="s">
        <v>500</v>
      </c>
      <c r="C1551" s="56" t="s">
        <v>501</v>
      </c>
      <c r="D1551" s="57" t="s">
        <v>116</v>
      </c>
      <c r="E1551" s="57" t="s">
        <v>415</v>
      </c>
      <c r="F1551" s="55" t="s">
        <v>416</v>
      </c>
      <c r="G1551" s="55" t="s">
        <v>417</v>
      </c>
      <c r="H1551" s="57" t="s">
        <v>211</v>
      </c>
      <c r="I1551" s="58" t="n">
        <f aca="false">'P9-019'!$N$109</f>
        <v>46348</v>
      </c>
      <c r="J1551" s="58" t="n">
        <f aca="false">'P9-019'!$O$109</f>
        <v>46348</v>
      </c>
      <c r="K1551" s="56" t="str">
        <f aca="false">IF(OR(L1551="Y",LEFT('P9-019'!$T$109,1)="D"),"",IF(AND(ISNUMBER(J1551),J1551&lt;ASOF),"⚠ เลยกำหนด",IF(AND(ISNUMBER(I1551),I1551&lt;=ASOF+14,J1551&gt;=ASOF-7),"ช่วงนี้","")))</f>
        <v/>
      </c>
      <c r="L1551" s="59"/>
      <c r="M1551" s="60"/>
    </row>
    <row r="1552" customFormat="false" ht="15" hidden="false" customHeight="false" outlineLevel="0" collapsed="false">
      <c r="A1552" s="54" t="s">
        <v>114</v>
      </c>
      <c r="B1552" s="55" t="s">
        <v>500</v>
      </c>
      <c r="C1552" s="56" t="s">
        <v>501</v>
      </c>
      <c r="D1552" s="57" t="s">
        <v>116</v>
      </c>
      <c r="E1552" s="57" t="s">
        <v>418</v>
      </c>
      <c r="F1552" s="61" t="s">
        <v>419</v>
      </c>
      <c r="G1552" s="55" t="s">
        <v>420</v>
      </c>
      <c r="H1552" s="57" t="s">
        <v>211</v>
      </c>
      <c r="I1552" s="58" t="n">
        <f aca="false">'P9-019'!$N$110</f>
        <v>46347</v>
      </c>
      <c r="J1552" s="58" t="n">
        <f aca="false">'P9-019'!$O$110</f>
        <v>46348</v>
      </c>
      <c r="K1552" s="56" t="str">
        <f aca="false">IF(OR(L1552="Y",LEFT('P9-019'!$T$110,1)="D"),"",IF(AND(ISNUMBER(J1552),J1552&lt;ASOF),"⚠ เลยกำหนด",IF(AND(ISNUMBER(I1552),I1552&lt;=ASOF+14,J1552&gt;=ASOF-7),"ช่วงนี้","")))</f>
        <v/>
      </c>
      <c r="L1552" s="59"/>
      <c r="M1552" s="60"/>
    </row>
    <row r="1553" customFormat="false" ht="15" hidden="false" customHeight="false" outlineLevel="0" collapsed="false">
      <c r="A1553" s="54" t="s">
        <v>114</v>
      </c>
      <c r="B1553" s="55" t="s">
        <v>500</v>
      </c>
      <c r="C1553" s="56" t="s">
        <v>501</v>
      </c>
      <c r="D1553" s="57" t="s">
        <v>116</v>
      </c>
      <c r="E1553" s="57" t="s">
        <v>421</v>
      </c>
      <c r="F1553" s="55" t="s">
        <v>422</v>
      </c>
      <c r="G1553" s="55" t="s">
        <v>423</v>
      </c>
      <c r="H1553" s="56" t="str">
        <f aca="false">IF(COUNTIFS(SITE_ST,"P9-019",SITE_TYPE,"?*")&gt;0,"ตามจุดติดตั้ง →","0/100")</f>
        <v>ตามจุดติดตั้ง →</v>
      </c>
      <c r="I1553" s="58" t="n">
        <f aca="false">'P9-019'!$N$112</f>
        <v>46349</v>
      </c>
      <c r="J1553" s="58" t="n">
        <f aca="false">'P9-019'!$O$112</f>
        <v>46349</v>
      </c>
      <c r="K1553" s="56" t="str">
        <f aca="false">IF(OR(L1553="Y",LEFT('P9-019'!$T$112,1)="D"),"",IF(AND(ISNUMBER(J1553),J1553&lt;ASOF),"⚠ เลยกำหนด",IF(AND(ISNUMBER(I1553),I1553&lt;=ASOF+14,J1553&gt;=ASOF-7),"ช่วงนี้","")))</f>
        <v/>
      </c>
      <c r="L1553" s="59"/>
      <c r="M1553" s="60"/>
    </row>
    <row r="1554" customFormat="false" ht="15" hidden="false" customHeight="false" outlineLevel="0" collapsed="false">
      <c r="A1554" s="54" t="s">
        <v>114</v>
      </c>
      <c r="B1554" s="55" t="s">
        <v>500</v>
      </c>
      <c r="C1554" s="56" t="s">
        <v>501</v>
      </c>
      <c r="D1554" s="57" t="s">
        <v>116</v>
      </c>
      <c r="E1554" s="57" t="s">
        <v>424</v>
      </c>
      <c r="F1554" s="55" t="s">
        <v>425</v>
      </c>
      <c r="G1554" s="55" t="s">
        <v>426</v>
      </c>
      <c r="H1554" s="56" t="str">
        <f aca="false">IF(COUNTIFS(SITE_ST,"P9-019",SITE_TYPE,"?*")&gt;0,"ตามจุดติดตั้ง →","0/100")</f>
        <v>ตามจุดติดตั้ง →</v>
      </c>
      <c r="I1554" s="58" t="n">
        <f aca="false">'P9-019'!$N$113</f>
        <v>46349</v>
      </c>
      <c r="J1554" s="58" t="n">
        <f aca="false">'P9-019'!$O$113</f>
        <v>46349</v>
      </c>
      <c r="K1554" s="56" t="str">
        <f aca="false">IF(OR(L1554="Y",LEFT('P9-019'!$T$113,1)="D"),"",IF(AND(ISNUMBER(J1554),J1554&lt;ASOF),"⚠ เลยกำหนด",IF(AND(ISNUMBER(I1554),I1554&lt;=ASOF+14,J1554&gt;=ASOF-7),"ช่วงนี้","")))</f>
        <v/>
      </c>
      <c r="L1554" s="59"/>
      <c r="M1554" s="60"/>
    </row>
    <row r="1555" customFormat="false" ht="15" hidden="false" customHeight="false" outlineLevel="0" collapsed="false">
      <c r="A1555" s="54" t="s">
        <v>114</v>
      </c>
      <c r="B1555" s="55" t="s">
        <v>500</v>
      </c>
      <c r="C1555" s="56" t="s">
        <v>501</v>
      </c>
      <c r="D1555" s="57" t="s">
        <v>116</v>
      </c>
      <c r="E1555" s="57" t="s">
        <v>427</v>
      </c>
      <c r="F1555" s="61" t="s">
        <v>428</v>
      </c>
      <c r="G1555" s="61" t="s">
        <v>429</v>
      </c>
      <c r="H1555" s="57" t="s">
        <v>211</v>
      </c>
      <c r="I1555" s="58" t="n">
        <f aca="false">'P9-019'!$N$116</f>
        <v>46359</v>
      </c>
      <c r="J1555" s="58" t="n">
        <f aca="false">'P9-019'!$O$116</f>
        <v>46359</v>
      </c>
      <c r="K1555" s="56" t="str">
        <f aca="false">IF(OR(L1555="Y",LEFT('P9-019'!$T$116,1)="D"),"",IF(AND(ISNUMBER(J1555),J1555&lt;ASOF),"⚠ เลยกำหนด",IF(AND(ISNUMBER(I1555),I1555&lt;=ASOF+14,J1555&gt;=ASOF-7),"ช่วงนี้","")))</f>
        <v/>
      </c>
      <c r="L1555" s="59"/>
      <c r="M1555" s="60"/>
    </row>
    <row r="1556" customFormat="false" ht="15" hidden="false" customHeight="false" outlineLevel="0" collapsed="false">
      <c r="A1556" s="54" t="s">
        <v>114</v>
      </c>
      <c r="B1556" s="55" t="s">
        <v>500</v>
      </c>
      <c r="C1556" s="56" t="s">
        <v>501</v>
      </c>
      <c r="D1556" s="57" t="s">
        <v>116</v>
      </c>
      <c r="E1556" s="57" t="s">
        <v>430</v>
      </c>
      <c r="F1556" s="55" t="s">
        <v>431</v>
      </c>
      <c r="G1556" s="55" t="s">
        <v>432</v>
      </c>
      <c r="H1556" s="57" t="s">
        <v>211</v>
      </c>
      <c r="I1556" s="58" t="n">
        <f aca="false">'P9-019'!$N$117</f>
        <v>46359</v>
      </c>
      <c r="J1556" s="58" t="n">
        <f aca="false">'P9-019'!$O$117</f>
        <v>46359</v>
      </c>
      <c r="K1556" s="56" t="str">
        <f aca="false">IF(OR(L1556="Y",LEFT('P9-019'!$T$117,1)="D"),"",IF(AND(ISNUMBER(J1556),J1556&lt;ASOF),"⚠ เลยกำหนด",IF(AND(ISNUMBER(I1556),I1556&lt;=ASOF+14,J1556&gt;=ASOF-7),"ช่วงนี้","")))</f>
        <v/>
      </c>
      <c r="L1556" s="59"/>
      <c r="M1556" s="60"/>
    </row>
    <row r="1557" customFormat="false" ht="15" hidden="false" customHeight="false" outlineLevel="0" collapsed="false">
      <c r="A1557" s="54" t="s">
        <v>114</v>
      </c>
      <c r="B1557" s="55" t="s">
        <v>500</v>
      </c>
      <c r="C1557" s="56" t="s">
        <v>501</v>
      </c>
      <c r="D1557" s="57" t="s">
        <v>116</v>
      </c>
      <c r="E1557" s="57" t="s">
        <v>433</v>
      </c>
      <c r="F1557" s="55" t="s">
        <v>434</v>
      </c>
      <c r="G1557" s="55" t="s">
        <v>435</v>
      </c>
      <c r="H1557" s="57" t="s">
        <v>211</v>
      </c>
      <c r="I1557" s="58" t="n">
        <f aca="false">'P9-019'!$N$118</f>
        <v>46359</v>
      </c>
      <c r="J1557" s="58" t="n">
        <f aca="false">'P9-019'!$O$118</f>
        <v>46359</v>
      </c>
      <c r="K1557" s="56" t="str">
        <f aca="false">IF(OR(L1557="Y",LEFT('P9-019'!$T$118,1)="D"),"",IF(AND(ISNUMBER(J1557),J1557&lt;ASOF),"⚠ เลยกำหนด",IF(AND(ISNUMBER(I1557),I1557&lt;=ASOF+14,J1557&gt;=ASOF-7),"ช่วงนี้","")))</f>
        <v/>
      </c>
      <c r="L1557" s="59"/>
      <c r="M1557" s="60"/>
    </row>
    <row r="1558" customFormat="false" ht="15" hidden="false" customHeight="false" outlineLevel="0" collapsed="false">
      <c r="A1558" s="54" t="s">
        <v>114</v>
      </c>
      <c r="B1558" s="55" t="s">
        <v>500</v>
      </c>
      <c r="C1558" s="56" t="s">
        <v>501</v>
      </c>
      <c r="D1558" s="57" t="s">
        <v>116</v>
      </c>
      <c r="E1558" s="57" t="s">
        <v>436</v>
      </c>
      <c r="F1558" s="55" t="s">
        <v>437</v>
      </c>
      <c r="G1558" s="55" t="s">
        <v>438</v>
      </c>
      <c r="H1558" s="57" t="s">
        <v>211</v>
      </c>
      <c r="I1558" s="58" t="n">
        <f aca="false">'P9-019'!$N$119</f>
        <v>46359</v>
      </c>
      <c r="J1558" s="58" t="n">
        <f aca="false">'P9-019'!$O$119</f>
        <v>46359</v>
      </c>
      <c r="K1558" s="56" t="str">
        <f aca="false">IF(OR(L1558="Y",LEFT('P9-019'!$T$119,1)="D"),"",IF(AND(ISNUMBER(J1558),J1558&lt;ASOF),"⚠ เลยกำหนด",IF(AND(ISNUMBER(I1558),I1558&lt;=ASOF+14,J1558&gt;=ASOF-7),"ช่วงนี้","")))</f>
        <v/>
      </c>
      <c r="L1558" s="59"/>
      <c r="M1558" s="60"/>
    </row>
    <row r="1559" customFormat="false" ht="15" hidden="false" customHeight="false" outlineLevel="0" collapsed="false">
      <c r="A1559" s="54" t="s">
        <v>114</v>
      </c>
      <c r="B1559" s="55" t="s">
        <v>500</v>
      </c>
      <c r="C1559" s="56" t="s">
        <v>501</v>
      </c>
      <c r="D1559" s="57" t="s">
        <v>116</v>
      </c>
      <c r="E1559" s="57" t="s">
        <v>439</v>
      </c>
      <c r="F1559" s="55" t="s">
        <v>440</v>
      </c>
      <c r="G1559" s="55" t="s">
        <v>441</v>
      </c>
      <c r="H1559" s="57" t="s">
        <v>211</v>
      </c>
      <c r="I1559" s="58" t="n">
        <f aca="false">'P9-019'!$N$120</f>
        <v>46359</v>
      </c>
      <c r="J1559" s="58" t="n">
        <f aca="false">'P9-019'!$O$120</f>
        <v>46359</v>
      </c>
      <c r="K1559" s="56" t="str">
        <f aca="false">IF(OR(L1559="Y",LEFT('P9-019'!$T$120,1)="D"),"",IF(AND(ISNUMBER(J1559),J1559&lt;ASOF),"⚠ เลยกำหนด",IF(AND(ISNUMBER(I1559),I1559&lt;=ASOF+14,J1559&gt;=ASOF-7),"ช่วงนี้","")))</f>
        <v/>
      </c>
      <c r="L1559" s="59"/>
      <c r="M1559" s="60"/>
    </row>
    <row r="1560" customFormat="false" ht="15" hidden="false" customHeight="false" outlineLevel="0" collapsed="false">
      <c r="A1560" s="54" t="s">
        <v>114</v>
      </c>
      <c r="B1560" s="55" t="s">
        <v>500</v>
      </c>
      <c r="C1560" s="56" t="s">
        <v>501</v>
      </c>
      <c r="D1560" s="57" t="s">
        <v>116</v>
      </c>
      <c r="E1560" s="57" t="s">
        <v>442</v>
      </c>
      <c r="F1560" s="55" t="s">
        <v>443</v>
      </c>
      <c r="G1560" s="55" t="s">
        <v>444</v>
      </c>
      <c r="H1560" s="57" t="s">
        <v>211</v>
      </c>
      <c r="I1560" s="58" t="n">
        <f aca="false">'P9-019'!$N$121</f>
        <v>46359</v>
      </c>
      <c r="J1560" s="58" t="n">
        <f aca="false">'P9-019'!$O$121</f>
        <v>46359</v>
      </c>
      <c r="K1560" s="56" t="str">
        <f aca="false">IF(OR(L1560="Y",LEFT('P9-019'!$T$121,1)="D"),"",IF(AND(ISNUMBER(J1560),J1560&lt;ASOF),"⚠ เลยกำหนด",IF(AND(ISNUMBER(I1560),I1560&lt;=ASOF+14,J1560&gt;=ASOF-7),"ช่วงนี้","")))</f>
        <v/>
      </c>
      <c r="L1560" s="59"/>
      <c r="M1560" s="60"/>
    </row>
    <row r="1561" customFormat="false" ht="15" hidden="false" customHeight="false" outlineLevel="0" collapsed="false">
      <c r="A1561" s="54" t="s">
        <v>114</v>
      </c>
      <c r="B1561" s="55" t="s">
        <v>500</v>
      </c>
      <c r="C1561" s="56" t="s">
        <v>501</v>
      </c>
      <c r="D1561" s="57" t="s">
        <v>116</v>
      </c>
      <c r="E1561" s="57" t="s">
        <v>445</v>
      </c>
      <c r="F1561" s="55" t="s">
        <v>446</v>
      </c>
      <c r="G1561" s="55" t="s">
        <v>447</v>
      </c>
      <c r="H1561" s="57" t="s">
        <v>211</v>
      </c>
      <c r="I1561" s="58" t="n">
        <f aca="false">'P9-019'!$N$125</f>
        <v>46437</v>
      </c>
      <c r="J1561" s="58" t="n">
        <f aca="false">'P9-019'!$O$125</f>
        <v>46441</v>
      </c>
      <c r="K1561" s="56" t="str">
        <f aca="false">IF(OR(L1561="Y",LEFT('P9-019'!$T$125,1)="D"),"",IF(AND(ISNUMBER(J1561),J1561&lt;ASOF),"⚠ เลยกำหนด",IF(AND(ISNUMBER(I1561),I1561&lt;=ASOF+14,J1561&gt;=ASOF-7),"ช่วงนี้","")))</f>
        <v/>
      </c>
      <c r="L1561" s="59"/>
      <c r="M1561" s="60"/>
    </row>
    <row r="1562" customFormat="false" ht="15" hidden="false" customHeight="false" outlineLevel="0" collapsed="false">
      <c r="A1562" s="54" t="s">
        <v>114</v>
      </c>
      <c r="B1562" s="55" t="s">
        <v>500</v>
      </c>
      <c r="C1562" s="56" t="s">
        <v>501</v>
      </c>
      <c r="D1562" s="57" t="s">
        <v>116</v>
      </c>
      <c r="E1562" s="57" t="s">
        <v>448</v>
      </c>
      <c r="F1562" s="55" t="s">
        <v>449</v>
      </c>
      <c r="G1562" s="61" t="s">
        <v>450</v>
      </c>
      <c r="H1562" s="57" t="s">
        <v>211</v>
      </c>
      <c r="I1562" s="58" t="n">
        <f aca="false">'P9-019'!$N$126</f>
        <v>46440</v>
      </c>
      <c r="J1562" s="58" t="n">
        <f aca="false">'P9-019'!$O$126</f>
        <v>46447</v>
      </c>
      <c r="K1562" s="56" t="str">
        <f aca="false">IF(OR(L1562="Y",LEFT('P9-019'!$T$126,1)="D"),"",IF(AND(ISNUMBER(J1562),J1562&lt;ASOF),"⚠ เลยกำหนด",IF(AND(ISNUMBER(I1562),I1562&lt;=ASOF+14,J1562&gt;=ASOF-7),"ช่วงนี้","")))</f>
        <v/>
      </c>
      <c r="L1562" s="59"/>
      <c r="M1562" s="60"/>
    </row>
    <row r="1563" customFormat="false" ht="15" hidden="false" customHeight="false" outlineLevel="0" collapsed="false">
      <c r="A1563" s="54" t="s">
        <v>114</v>
      </c>
      <c r="B1563" s="55" t="s">
        <v>500</v>
      </c>
      <c r="C1563" s="56" t="s">
        <v>501</v>
      </c>
      <c r="D1563" s="57" t="s">
        <v>116</v>
      </c>
      <c r="E1563" s="57" t="s">
        <v>451</v>
      </c>
      <c r="F1563" s="61" t="s">
        <v>452</v>
      </c>
      <c r="G1563" s="61" t="s">
        <v>453</v>
      </c>
      <c r="H1563" s="57" t="s">
        <v>211</v>
      </c>
      <c r="I1563" s="58" t="n">
        <f aca="false">'P9-019'!$N$127</f>
        <v>46447</v>
      </c>
      <c r="J1563" s="58" t="n">
        <f aca="false">'P9-019'!$O$127</f>
        <v>46450</v>
      </c>
      <c r="K1563" s="56" t="str">
        <f aca="false">IF(OR(L1563="Y",LEFT('P9-019'!$T$127,1)="D"),"",IF(AND(ISNUMBER(J1563),J1563&lt;ASOF),"⚠ เลยกำหนด",IF(AND(ISNUMBER(I1563),I1563&lt;=ASOF+14,J1563&gt;=ASOF-7),"ช่วงนี้","")))</f>
        <v/>
      </c>
      <c r="L1563" s="59"/>
      <c r="M1563" s="60"/>
    </row>
    <row r="1564" customFormat="false" ht="15" hidden="false" customHeight="false" outlineLevel="0" collapsed="false">
      <c r="A1564" s="54" t="s">
        <v>118</v>
      </c>
      <c r="B1564" s="55" t="s">
        <v>502</v>
      </c>
      <c r="C1564" s="56" t="s">
        <v>503</v>
      </c>
      <c r="D1564" s="57" t="s">
        <v>120</v>
      </c>
      <c r="E1564" s="57" t="s">
        <v>208</v>
      </c>
      <c r="F1564" s="55" t="s">
        <v>209</v>
      </c>
      <c r="G1564" s="55" t="s">
        <v>210</v>
      </c>
      <c r="H1564" s="57" t="s">
        <v>211</v>
      </c>
      <c r="I1564" s="58" t="n">
        <f aca="false">'P9-020'!$N$10</f>
        <v>46328</v>
      </c>
      <c r="J1564" s="58" t="n">
        <f aca="false">'P9-020'!$O$10</f>
        <v>46340</v>
      </c>
      <c r="K1564" s="56" t="str">
        <f aca="false">IF(OR(L1564="Y",LEFT('P9-020'!$T$10,1)="D"),"",IF(AND(ISNUMBER(J1564),J1564&lt;ASOF),"⚠ เลยกำหนด",IF(AND(ISNUMBER(I1564),I1564&lt;=ASOF+14,J1564&gt;=ASOF-7),"ช่วงนี้","")))</f>
        <v>ช่วงนี้</v>
      </c>
      <c r="L1564" s="59"/>
      <c r="M1564" s="60"/>
    </row>
    <row r="1565" customFormat="false" ht="15" hidden="false" customHeight="false" outlineLevel="0" collapsed="false">
      <c r="A1565" s="54" t="s">
        <v>118</v>
      </c>
      <c r="B1565" s="55" t="s">
        <v>502</v>
      </c>
      <c r="C1565" s="56" t="s">
        <v>503</v>
      </c>
      <c r="D1565" s="57" t="s">
        <v>120</v>
      </c>
      <c r="E1565" s="57" t="s">
        <v>212</v>
      </c>
      <c r="F1565" s="55" t="s">
        <v>213</v>
      </c>
      <c r="G1565" s="55" t="s">
        <v>214</v>
      </c>
      <c r="H1565" s="57" t="s">
        <v>211</v>
      </c>
      <c r="I1565" s="58" t="n">
        <f aca="false">'P9-020'!$N$11</f>
        <v>46328</v>
      </c>
      <c r="J1565" s="58" t="n">
        <f aca="false">'P9-020'!$O$11</f>
        <v>46340</v>
      </c>
      <c r="K1565" s="56" t="str">
        <f aca="false">IF(OR(L1565="Y",LEFT('P9-020'!$T$11,1)="D"),"",IF(AND(ISNUMBER(J1565),J1565&lt;ASOF),"⚠ เลยกำหนด",IF(AND(ISNUMBER(I1565),I1565&lt;=ASOF+14,J1565&gt;=ASOF-7),"ช่วงนี้","")))</f>
        <v>ช่วงนี้</v>
      </c>
      <c r="L1565" s="59"/>
      <c r="M1565" s="60"/>
    </row>
    <row r="1566" customFormat="false" ht="15" hidden="false" customHeight="false" outlineLevel="0" collapsed="false">
      <c r="A1566" s="54" t="s">
        <v>118</v>
      </c>
      <c r="B1566" s="55" t="s">
        <v>502</v>
      </c>
      <c r="C1566" s="56" t="s">
        <v>503</v>
      </c>
      <c r="D1566" s="57" t="s">
        <v>120</v>
      </c>
      <c r="E1566" s="57" t="s">
        <v>215</v>
      </c>
      <c r="F1566" s="55" t="s">
        <v>216</v>
      </c>
      <c r="G1566" s="61" t="s">
        <v>217</v>
      </c>
      <c r="H1566" s="57" t="s">
        <v>211</v>
      </c>
      <c r="I1566" s="58" t="n">
        <f aca="false">'P9-020'!$N$12</f>
        <v>46328</v>
      </c>
      <c r="J1566" s="58" t="n">
        <f aca="false">'P9-020'!$O$12</f>
        <v>46340</v>
      </c>
      <c r="K1566" s="56" t="str">
        <f aca="false">IF(OR(L1566="Y",LEFT('P9-020'!$T$12,1)="D"),"",IF(AND(ISNUMBER(J1566),J1566&lt;ASOF),"⚠ เลยกำหนด",IF(AND(ISNUMBER(I1566),I1566&lt;=ASOF+14,J1566&gt;=ASOF-7),"ช่วงนี้","")))</f>
        <v>ช่วงนี้</v>
      </c>
      <c r="L1566" s="59"/>
      <c r="M1566" s="60"/>
    </row>
    <row r="1567" customFormat="false" ht="15" hidden="false" customHeight="false" outlineLevel="0" collapsed="false">
      <c r="A1567" s="54" t="s">
        <v>118</v>
      </c>
      <c r="B1567" s="55" t="s">
        <v>502</v>
      </c>
      <c r="C1567" s="56" t="s">
        <v>503</v>
      </c>
      <c r="D1567" s="57" t="s">
        <v>120</v>
      </c>
      <c r="E1567" s="57" t="s">
        <v>218</v>
      </c>
      <c r="F1567" s="55" t="s">
        <v>219</v>
      </c>
      <c r="G1567" s="55" t="s">
        <v>220</v>
      </c>
      <c r="H1567" s="57" t="s">
        <v>211</v>
      </c>
      <c r="I1567" s="58" t="n">
        <f aca="false">'P9-020'!$N$13</f>
        <v>46328</v>
      </c>
      <c r="J1567" s="58" t="n">
        <f aca="false">'P9-020'!$O$13</f>
        <v>46346</v>
      </c>
      <c r="K1567" s="56" t="str">
        <f aca="false">IF(OR(L1567="Y",LEFT('P9-020'!$T$13,1)="D"),"",IF(AND(ISNUMBER(J1567),J1567&lt;ASOF),"⚠ เลยกำหนด",IF(AND(ISNUMBER(I1567),I1567&lt;=ASOF+14,J1567&gt;=ASOF-7),"ช่วงนี้","")))</f>
        <v>ช่วงนี้</v>
      </c>
      <c r="L1567" s="59"/>
      <c r="M1567" s="60"/>
    </row>
    <row r="1568" customFormat="false" ht="15" hidden="false" customHeight="false" outlineLevel="0" collapsed="false">
      <c r="A1568" s="54" t="s">
        <v>118</v>
      </c>
      <c r="B1568" s="55" t="s">
        <v>502</v>
      </c>
      <c r="C1568" s="56" t="s">
        <v>503</v>
      </c>
      <c r="D1568" s="57" t="s">
        <v>120</v>
      </c>
      <c r="E1568" s="57" t="s">
        <v>221</v>
      </c>
      <c r="F1568" s="55" t="s">
        <v>222</v>
      </c>
      <c r="G1568" s="55" t="s">
        <v>223</v>
      </c>
      <c r="H1568" s="57" t="s">
        <v>211</v>
      </c>
      <c r="I1568" s="58" t="n">
        <f aca="false">'P9-020'!$N$14</f>
        <v>46340</v>
      </c>
      <c r="J1568" s="58" t="n">
        <f aca="false">'P9-020'!$O$14</f>
        <v>46450</v>
      </c>
      <c r="K1568" s="56" t="str">
        <f aca="false">IF(OR(L1568="Y",LEFT('P9-020'!$T$14,1)="D"),"",IF(AND(ISNUMBER(J1568),J1568&lt;ASOF),"⚠ เลยกำหนด",IF(AND(ISNUMBER(I1568),I1568&lt;=ASOF+14,J1568&gt;=ASOF-7),"ช่วงนี้","")))</f>
        <v>ช่วงนี้</v>
      </c>
      <c r="L1568" s="59"/>
      <c r="M1568" s="60"/>
    </row>
    <row r="1569" customFormat="false" ht="15" hidden="false" customHeight="false" outlineLevel="0" collapsed="false">
      <c r="A1569" s="54" t="s">
        <v>118</v>
      </c>
      <c r="B1569" s="55" t="s">
        <v>502</v>
      </c>
      <c r="C1569" s="56" t="s">
        <v>503</v>
      </c>
      <c r="D1569" s="57" t="s">
        <v>120</v>
      </c>
      <c r="E1569" s="57" t="s">
        <v>224</v>
      </c>
      <c r="F1569" s="55" t="s">
        <v>225</v>
      </c>
      <c r="G1569" s="61" t="s">
        <v>226</v>
      </c>
      <c r="H1569" s="57" t="s">
        <v>211</v>
      </c>
      <c r="I1569" s="58" t="n">
        <f aca="false">'P9-020'!$N$15</f>
        <v>46340</v>
      </c>
      <c r="J1569" s="58" t="n">
        <f aca="false">'P9-020'!$O$15</f>
        <v>46450</v>
      </c>
      <c r="K1569" s="56" t="str">
        <f aca="false">IF(OR(L1569="Y",LEFT('P9-020'!$T$15,1)="D"),"",IF(AND(ISNUMBER(J1569),J1569&lt;ASOF),"⚠ เลยกำหนด",IF(AND(ISNUMBER(I1569),I1569&lt;=ASOF+14,J1569&gt;=ASOF-7),"ช่วงนี้","")))</f>
        <v>ช่วงนี้</v>
      </c>
      <c r="L1569" s="59"/>
      <c r="M1569" s="60"/>
    </row>
    <row r="1570" customFormat="false" ht="15" hidden="false" customHeight="false" outlineLevel="0" collapsed="false">
      <c r="A1570" s="54" t="s">
        <v>118</v>
      </c>
      <c r="B1570" s="55" t="s">
        <v>502</v>
      </c>
      <c r="C1570" s="56" t="s">
        <v>503</v>
      </c>
      <c r="D1570" s="57" t="s">
        <v>120</v>
      </c>
      <c r="E1570" s="57" t="s">
        <v>227</v>
      </c>
      <c r="F1570" s="55" t="s">
        <v>228</v>
      </c>
      <c r="G1570" s="55" t="s">
        <v>229</v>
      </c>
      <c r="H1570" s="57" t="s">
        <v>211</v>
      </c>
      <c r="I1570" s="58" t="n">
        <f aca="false">'P9-020'!$N$17</f>
        <v>46328</v>
      </c>
      <c r="J1570" s="58" t="n">
        <f aca="false">'P9-020'!$O$17</f>
        <v>46328</v>
      </c>
      <c r="K1570" s="56" t="str">
        <f aca="false">IF(OR(L1570="Y",LEFT('P9-020'!$T$17,1)="D"),"",IF(AND(ISNUMBER(J1570),J1570&lt;ASOF),"⚠ เลยกำหนด",IF(AND(ISNUMBER(I1570),I1570&lt;=ASOF+14,J1570&gt;=ASOF-7),"ช่วงนี้","")))</f>
        <v>ช่วงนี้</v>
      </c>
      <c r="L1570" s="59"/>
      <c r="M1570" s="60"/>
    </row>
    <row r="1571" customFormat="false" ht="15" hidden="false" customHeight="false" outlineLevel="0" collapsed="false">
      <c r="A1571" s="54" t="s">
        <v>118</v>
      </c>
      <c r="B1571" s="55" t="s">
        <v>502</v>
      </c>
      <c r="C1571" s="56" t="s">
        <v>503</v>
      </c>
      <c r="D1571" s="57" t="s">
        <v>120</v>
      </c>
      <c r="E1571" s="57" t="s">
        <v>230</v>
      </c>
      <c r="F1571" s="55" t="s">
        <v>231</v>
      </c>
      <c r="G1571" s="55" t="s">
        <v>232</v>
      </c>
      <c r="H1571" s="57" t="s">
        <v>211</v>
      </c>
      <c r="I1571" s="58" t="n">
        <f aca="false">'P9-020'!$N$18</f>
        <v>46328</v>
      </c>
      <c r="J1571" s="58" t="n">
        <f aca="false">'P9-020'!$O$18</f>
        <v>46328</v>
      </c>
      <c r="K1571" s="56" t="str">
        <f aca="false">IF(OR(L1571="Y",LEFT('P9-020'!$T$18,1)="D"),"",IF(AND(ISNUMBER(J1571),J1571&lt;ASOF),"⚠ เลยกำหนด",IF(AND(ISNUMBER(I1571),I1571&lt;=ASOF+14,J1571&gt;=ASOF-7),"ช่วงนี้","")))</f>
        <v>ช่วงนี้</v>
      </c>
      <c r="L1571" s="59"/>
      <c r="M1571" s="60"/>
    </row>
    <row r="1572" customFormat="false" ht="15" hidden="false" customHeight="false" outlineLevel="0" collapsed="false">
      <c r="A1572" s="54" t="s">
        <v>118</v>
      </c>
      <c r="B1572" s="55" t="s">
        <v>502</v>
      </c>
      <c r="C1572" s="56" t="s">
        <v>503</v>
      </c>
      <c r="D1572" s="57" t="s">
        <v>120</v>
      </c>
      <c r="E1572" s="57" t="s">
        <v>233</v>
      </c>
      <c r="F1572" s="55" t="s">
        <v>234</v>
      </c>
      <c r="G1572" s="55" t="s">
        <v>235</v>
      </c>
      <c r="H1572" s="57" t="s">
        <v>211</v>
      </c>
      <c r="I1572" s="58" t="n">
        <f aca="false">'P9-020'!$N$19</f>
        <v>46328</v>
      </c>
      <c r="J1572" s="58" t="n">
        <f aca="false">'P9-020'!$O$19</f>
        <v>46328</v>
      </c>
      <c r="K1572" s="56" t="str">
        <f aca="false">IF(OR(L1572="Y",LEFT('P9-020'!$T$19,1)="D"),"",IF(AND(ISNUMBER(J1572),J1572&lt;ASOF),"⚠ เลยกำหนด",IF(AND(ISNUMBER(I1572),I1572&lt;=ASOF+14,J1572&gt;=ASOF-7),"ช่วงนี้","")))</f>
        <v>ช่วงนี้</v>
      </c>
      <c r="L1572" s="59"/>
      <c r="M1572" s="60"/>
    </row>
    <row r="1573" customFormat="false" ht="15" hidden="false" customHeight="false" outlineLevel="0" collapsed="false">
      <c r="A1573" s="54" t="s">
        <v>118</v>
      </c>
      <c r="B1573" s="55" t="s">
        <v>502</v>
      </c>
      <c r="C1573" s="56" t="s">
        <v>503</v>
      </c>
      <c r="D1573" s="57" t="s">
        <v>120</v>
      </c>
      <c r="E1573" s="57" t="s">
        <v>236</v>
      </c>
      <c r="F1573" s="55" t="s">
        <v>237</v>
      </c>
      <c r="G1573" s="55" t="s">
        <v>238</v>
      </c>
      <c r="H1573" s="57" t="s">
        <v>211</v>
      </c>
      <c r="I1573" s="58" t="n">
        <f aca="false">'P9-020'!$N$20</f>
        <v>46328</v>
      </c>
      <c r="J1573" s="58" t="n">
        <f aca="false">'P9-020'!$O$20</f>
        <v>46328</v>
      </c>
      <c r="K1573" s="56" t="str">
        <f aca="false">IF(OR(L1573="Y",LEFT('P9-020'!$T$20,1)="D"),"",IF(AND(ISNUMBER(J1573),J1573&lt;ASOF),"⚠ เลยกำหนด",IF(AND(ISNUMBER(I1573),I1573&lt;=ASOF+14,J1573&gt;=ASOF-7),"ช่วงนี้","")))</f>
        <v>ช่วงนี้</v>
      </c>
      <c r="L1573" s="59"/>
      <c r="M1573" s="60"/>
    </row>
    <row r="1574" customFormat="false" ht="15" hidden="false" customHeight="false" outlineLevel="0" collapsed="false">
      <c r="A1574" s="54" t="s">
        <v>118</v>
      </c>
      <c r="B1574" s="55" t="s">
        <v>502</v>
      </c>
      <c r="C1574" s="56" t="s">
        <v>503</v>
      </c>
      <c r="D1574" s="57" t="s">
        <v>120</v>
      </c>
      <c r="E1574" s="57" t="s">
        <v>239</v>
      </c>
      <c r="F1574" s="55" t="s">
        <v>240</v>
      </c>
      <c r="G1574" s="55" t="s">
        <v>241</v>
      </c>
      <c r="H1574" s="57" t="s">
        <v>211</v>
      </c>
      <c r="I1574" s="58" t="n">
        <f aca="false">'P9-020'!$N$21</f>
        <v>46328</v>
      </c>
      <c r="J1574" s="58" t="n">
        <f aca="false">'P9-020'!$O$21</f>
        <v>46328</v>
      </c>
      <c r="K1574" s="56" t="str">
        <f aca="false">IF(OR(L1574="Y",LEFT('P9-020'!$T$21,1)="D"),"",IF(AND(ISNUMBER(J1574),J1574&lt;ASOF),"⚠ เลยกำหนด",IF(AND(ISNUMBER(I1574),I1574&lt;=ASOF+14,J1574&gt;=ASOF-7),"ช่วงนี้","")))</f>
        <v>ช่วงนี้</v>
      </c>
      <c r="L1574" s="59"/>
      <c r="M1574" s="60"/>
    </row>
    <row r="1575" customFormat="false" ht="15" hidden="false" customHeight="false" outlineLevel="0" collapsed="false">
      <c r="A1575" s="54" t="s">
        <v>118</v>
      </c>
      <c r="B1575" s="55" t="s">
        <v>502</v>
      </c>
      <c r="C1575" s="56" t="s">
        <v>503</v>
      </c>
      <c r="D1575" s="57" t="s">
        <v>120</v>
      </c>
      <c r="E1575" s="57" t="s">
        <v>242</v>
      </c>
      <c r="F1575" s="55" t="s">
        <v>243</v>
      </c>
      <c r="G1575" s="55" t="s">
        <v>244</v>
      </c>
      <c r="H1575" s="57" t="s">
        <v>211</v>
      </c>
      <c r="I1575" s="58" t="n">
        <f aca="false">'P9-020'!$N$22</f>
        <v>46328</v>
      </c>
      <c r="J1575" s="58" t="n">
        <f aca="false">'P9-020'!$O$22</f>
        <v>46328</v>
      </c>
      <c r="K1575" s="56" t="str">
        <f aca="false">IF(OR(L1575="Y",LEFT('P9-020'!$T$22,1)="D"),"",IF(AND(ISNUMBER(J1575),J1575&lt;ASOF),"⚠ เลยกำหนด",IF(AND(ISNUMBER(I1575),I1575&lt;=ASOF+14,J1575&gt;=ASOF-7),"ช่วงนี้","")))</f>
        <v>ช่วงนี้</v>
      </c>
      <c r="L1575" s="59"/>
      <c r="M1575" s="60"/>
    </row>
    <row r="1576" customFormat="false" ht="15" hidden="false" customHeight="false" outlineLevel="0" collapsed="false">
      <c r="A1576" s="54" t="s">
        <v>118</v>
      </c>
      <c r="B1576" s="55" t="s">
        <v>502</v>
      </c>
      <c r="C1576" s="56" t="s">
        <v>503</v>
      </c>
      <c r="D1576" s="57" t="s">
        <v>120</v>
      </c>
      <c r="E1576" s="57" t="s">
        <v>248</v>
      </c>
      <c r="F1576" s="55" t="s">
        <v>249</v>
      </c>
      <c r="G1576" s="55" t="s">
        <v>250</v>
      </c>
      <c r="H1576" s="57" t="s">
        <v>211</v>
      </c>
      <c r="I1576" s="58" t="n">
        <f aca="false">'P9-020'!$N$24</f>
        <v>46328</v>
      </c>
      <c r="J1576" s="58" t="n">
        <f aca="false">'P9-020'!$O$24</f>
        <v>46328</v>
      </c>
      <c r="K1576" s="56" t="str">
        <f aca="false">IF(OR(L1576="Y",LEFT('P9-020'!$T$24,1)="D"),"",IF(AND(ISNUMBER(J1576),J1576&lt;ASOF),"⚠ เลยกำหนด",IF(AND(ISNUMBER(I1576),I1576&lt;=ASOF+14,J1576&gt;=ASOF-7),"ช่วงนี้","")))</f>
        <v>ช่วงนี้</v>
      </c>
      <c r="L1576" s="59"/>
      <c r="M1576" s="60"/>
    </row>
    <row r="1577" customFormat="false" ht="15" hidden="false" customHeight="false" outlineLevel="0" collapsed="false">
      <c r="A1577" s="54" t="s">
        <v>118</v>
      </c>
      <c r="B1577" s="55" t="s">
        <v>502</v>
      </c>
      <c r="C1577" s="56" t="s">
        <v>503</v>
      </c>
      <c r="D1577" s="57" t="s">
        <v>120</v>
      </c>
      <c r="E1577" s="57" t="s">
        <v>251</v>
      </c>
      <c r="F1577" s="55" t="s">
        <v>252</v>
      </c>
      <c r="G1577" s="55" t="s">
        <v>253</v>
      </c>
      <c r="H1577" s="57" t="s">
        <v>211</v>
      </c>
      <c r="I1577" s="58" t="n">
        <f aca="false">'P9-020'!$N$26</f>
        <v>46329</v>
      </c>
      <c r="J1577" s="58" t="n">
        <f aca="false">'P9-020'!$O$26</f>
        <v>46329</v>
      </c>
      <c r="K1577" s="56" t="str">
        <f aca="false">IF(OR(L1577="Y",LEFT('P9-020'!$T$26,1)="D"),"",IF(AND(ISNUMBER(J1577),J1577&lt;ASOF),"⚠ เลยกำหนด",IF(AND(ISNUMBER(I1577),I1577&lt;=ASOF+14,J1577&gt;=ASOF-7),"ช่วงนี้","")))</f>
        <v>ช่วงนี้</v>
      </c>
      <c r="L1577" s="59"/>
      <c r="M1577" s="60"/>
    </row>
    <row r="1578" customFormat="false" ht="15" hidden="false" customHeight="false" outlineLevel="0" collapsed="false">
      <c r="A1578" s="54" t="s">
        <v>118</v>
      </c>
      <c r="B1578" s="55" t="s">
        <v>502</v>
      </c>
      <c r="C1578" s="56" t="s">
        <v>503</v>
      </c>
      <c r="D1578" s="57" t="s">
        <v>120</v>
      </c>
      <c r="E1578" s="57" t="s">
        <v>254</v>
      </c>
      <c r="F1578" s="55" t="s">
        <v>255</v>
      </c>
      <c r="G1578" s="55" t="s">
        <v>256</v>
      </c>
      <c r="H1578" s="57" t="s">
        <v>211</v>
      </c>
      <c r="I1578" s="58" t="n">
        <f aca="false">'P9-020'!$N$27</f>
        <v>46329</v>
      </c>
      <c r="J1578" s="58" t="n">
        <f aca="false">'P9-020'!$O$27</f>
        <v>46329</v>
      </c>
      <c r="K1578" s="56" t="str">
        <f aca="false">IF(OR(L1578="Y",LEFT('P9-020'!$T$27,1)="D"),"",IF(AND(ISNUMBER(J1578),J1578&lt;ASOF),"⚠ เลยกำหนด",IF(AND(ISNUMBER(I1578),I1578&lt;=ASOF+14,J1578&gt;=ASOF-7),"ช่วงนี้","")))</f>
        <v>ช่วงนี้</v>
      </c>
      <c r="L1578" s="59"/>
      <c r="M1578" s="60"/>
    </row>
    <row r="1579" customFormat="false" ht="15" hidden="false" customHeight="false" outlineLevel="0" collapsed="false">
      <c r="A1579" s="54" t="s">
        <v>118</v>
      </c>
      <c r="B1579" s="55" t="s">
        <v>502</v>
      </c>
      <c r="C1579" s="56" t="s">
        <v>503</v>
      </c>
      <c r="D1579" s="57" t="s">
        <v>120</v>
      </c>
      <c r="E1579" s="57" t="s">
        <v>257</v>
      </c>
      <c r="F1579" s="55" t="s">
        <v>258</v>
      </c>
      <c r="G1579" s="55" t="s">
        <v>259</v>
      </c>
      <c r="H1579" s="57" t="s">
        <v>211</v>
      </c>
      <c r="I1579" s="58" t="n">
        <f aca="false">'P9-020'!$N$28</f>
        <v>46329</v>
      </c>
      <c r="J1579" s="58" t="n">
        <f aca="false">'P9-020'!$O$28</f>
        <v>46329</v>
      </c>
      <c r="K1579" s="56" t="str">
        <f aca="false">IF(OR(L1579="Y",LEFT('P9-020'!$T$28,1)="D"),"",IF(AND(ISNUMBER(J1579),J1579&lt;ASOF),"⚠ เลยกำหนด",IF(AND(ISNUMBER(I1579),I1579&lt;=ASOF+14,J1579&gt;=ASOF-7),"ช่วงนี้","")))</f>
        <v>ช่วงนี้</v>
      </c>
      <c r="L1579" s="59"/>
      <c r="M1579" s="60"/>
    </row>
    <row r="1580" customFormat="false" ht="15" hidden="false" customHeight="false" outlineLevel="0" collapsed="false">
      <c r="A1580" s="54" t="s">
        <v>118</v>
      </c>
      <c r="B1580" s="55" t="s">
        <v>502</v>
      </c>
      <c r="C1580" s="56" t="s">
        <v>503</v>
      </c>
      <c r="D1580" s="57" t="s">
        <v>120</v>
      </c>
      <c r="E1580" s="57" t="s">
        <v>260</v>
      </c>
      <c r="F1580" s="55" t="s">
        <v>261</v>
      </c>
      <c r="G1580" s="55" t="s">
        <v>262</v>
      </c>
      <c r="H1580" s="57" t="s">
        <v>211</v>
      </c>
      <c r="I1580" s="58" t="n">
        <f aca="false">'P9-020'!$N$31</f>
        <v>46328</v>
      </c>
      <c r="J1580" s="58" t="n">
        <f aca="false">'P9-020'!$O$31</f>
        <v>46328</v>
      </c>
      <c r="K1580" s="56" t="str">
        <f aca="false">IF(OR(L1580="Y",LEFT('P9-020'!$T$31,1)="D"),"",IF(AND(ISNUMBER(J1580),J1580&lt;ASOF),"⚠ เลยกำหนด",IF(AND(ISNUMBER(I1580),I1580&lt;=ASOF+14,J1580&gt;=ASOF-7),"ช่วงนี้","")))</f>
        <v>ช่วงนี้</v>
      </c>
      <c r="L1580" s="59"/>
      <c r="M1580" s="60"/>
    </row>
    <row r="1581" customFormat="false" ht="15" hidden="false" customHeight="false" outlineLevel="0" collapsed="false">
      <c r="A1581" s="54" t="s">
        <v>118</v>
      </c>
      <c r="B1581" s="55" t="s">
        <v>502</v>
      </c>
      <c r="C1581" s="56" t="s">
        <v>503</v>
      </c>
      <c r="D1581" s="57" t="s">
        <v>120</v>
      </c>
      <c r="E1581" s="57" t="s">
        <v>263</v>
      </c>
      <c r="F1581" s="55" t="s">
        <v>264</v>
      </c>
      <c r="G1581" s="55" t="s">
        <v>265</v>
      </c>
      <c r="H1581" s="57" t="s">
        <v>211</v>
      </c>
      <c r="I1581" s="58" t="n">
        <f aca="false">'P9-020'!$N$32</f>
        <v>46328</v>
      </c>
      <c r="J1581" s="58" t="n">
        <f aca="false">'P9-020'!$O$32</f>
        <v>46328</v>
      </c>
      <c r="K1581" s="56" t="str">
        <f aca="false">IF(OR(L1581="Y",LEFT('P9-020'!$T$32,1)="D"),"",IF(AND(ISNUMBER(J1581),J1581&lt;ASOF),"⚠ เลยกำหนด",IF(AND(ISNUMBER(I1581),I1581&lt;=ASOF+14,J1581&gt;=ASOF-7),"ช่วงนี้","")))</f>
        <v>ช่วงนี้</v>
      </c>
      <c r="L1581" s="59"/>
      <c r="M1581" s="60"/>
    </row>
    <row r="1582" customFormat="false" ht="15" hidden="false" customHeight="false" outlineLevel="0" collapsed="false">
      <c r="A1582" s="54" t="s">
        <v>118</v>
      </c>
      <c r="B1582" s="55" t="s">
        <v>502</v>
      </c>
      <c r="C1582" s="56" t="s">
        <v>503</v>
      </c>
      <c r="D1582" s="57" t="s">
        <v>120</v>
      </c>
      <c r="E1582" s="57" t="s">
        <v>266</v>
      </c>
      <c r="F1582" s="55" t="s">
        <v>267</v>
      </c>
      <c r="G1582" s="55" t="s">
        <v>268</v>
      </c>
      <c r="H1582" s="57" t="s">
        <v>211</v>
      </c>
      <c r="I1582" s="58" t="n">
        <f aca="false">'P9-020'!$N$33</f>
        <v>46328</v>
      </c>
      <c r="J1582" s="58" t="n">
        <f aca="false">'P9-020'!$O$33</f>
        <v>46328</v>
      </c>
      <c r="K1582" s="56" t="str">
        <f aca="false">IF(OR(L1582="Y",LEFT('P9-020'!$T$33,1)="D"),"",IF(AND(ISNUMBER(J1582),J1582&lt;ASOF),"⚠ เลยกำหนด",IF(AND(ISNUMBER(I1582),I1582&lt;=ASOF+14,J1582&gt;=ASOF-7),"ช่วงนี้","")))</f>
        <v>ช่วงนี้</v>
      </c>
      <c r="L1582" s="59"/>
      <c r="M1582" s="60"/>
    </row>
    <row r="1583" customFormat="false" ht="15" hidden="false" customHeight="false" outlineLevel="0" collapsed="false">
      <c r="A1583" s="54" t="s">
        <v>118</v>
      </c>
      <c r="B1583" s="55" t="s">
        <v>502</v>
      </c>
      <c r="C1583" s="56" t="s">
        <v>503</v>
      </c>
      <c r="D1583" s="57" t="s">
        <v>120</v>
      </c>
      <c r="E1583" s="57" t="s">
        <v>269</v>
      </c>
      <c r="F1583" s="61" t="s">
        <v>270</v>
      </c>
      <c r="G1583" s="61" t="s">
        <v>271</v>
      </c>
      <c r="H1583" s="57" t="s">
        <v>211</v>
      </c>
      <c r="I1583" s="58" t="n">
        <f aca="false">'P9-020'!$N$35</f>
        <v>46328</v>
      </c>
      <c r="J1583" s="58" t="n">
        <f aca="false">'P9-020'!$O$35</f>
        <v>46328</v>
      </c>
      <c r="K1583" s="56" t="str">
        <f aca="false">IF(OR(L1583="Y",LEFT('P9-020'!$T$35,1)="D"),"",IF(AND(ISNUMBER(J1583),J1583&lt;ASOF),"⚠ เลยกำหนด",IF(AND(ISNUMBER(I1583),I1583&lt;=ASOF+14,J1583&gt;=ASOF-7),"ช่วงนี้","")))</f>
        <v>ช่วงนี้</v>
      </c>
      <c r="L1583" s="59"/>
      <c r="M1583" s="60"/>
    </row>
    <row r="1584" customFormat="false" ht="15" hidden="false" customHeight="false" outlineLevel="0" collapsed="false">
      <c r="A1584" s="54" t="s">
        <v>118</v>
      </c>
      <c r="B1584" s="55" t="s">
        <v>502</v>
      </c>
      <c r="C1584" s="56" t="s">
        <v>503</v>
      </c>
      <c r="D1584" s="57" t="s">
        <v>120</v>
      </c>
      <c r="E1584" s="57" t="s">
        <v>272</v>
      </c>
      <c r="F1584" s="55" t="s">
        <v>273</v>
      </c>
      <c r="G1584" s="55" t="s">
        <v>274</v>
      </c>
      <c r="H1584" s="57" t="s">
        <v>211</v>
      </c>
      <c r="I1584" s="58" t="n">
        <f aca="false">'P9-020'!$N$36</f>
        <v>46328</v>
      </c>
      <c r="J1584" s="58" t="n">
        <f aca="false">'P9-020'!$O$36</f>
        <v>46328</v>
      </c>
      <c r="K1584" s="56" t="str">
        <f aca="false">IF(OR(L1584="Y",LEFT('P9-020'!$T$36,1)="D"),"",IF(AND(ISNUMBER(J1584),J1584&lt;ASOF),"⚠ เลยกำหนด",IF(AND(ISNUMBER(I1584),I1584&lt;=ASOF+14,J1584&gt;=ASOF-7),"ช่วงนี้","")))</f>
        <v>ช่วงนี้</v>
      </c>
      <c r="L1584" s="59"/>
      <c r="M1584" s="60"/>
    </row>
    <row r="1585" customFormat="false" ht="15" hidden="false" customHeight="false" outlineLevel="0" collapsed="false">
      <c r="A1585" s="54" t="s">
        <v>118</v>
      </c>
      <c r="B1585" s="55" t="s">
        <v>502</v>
      </c>
      <c r="C1585" s="56" t="s">
        <v>503</v>
      </c>
      <c r="D1585" s="57" t="s">
        <v>120</v>
      </c>
      <c r="E1585" s="57" t="s">
        <v>275</v>
      </c>
      <c r="F1585" s="55" t="s">
        <v>276</v>
      </c>
      <c r="G1585" s="55" t="s">
        <v>277</v>
      </c>
      <c r="H1585" s="57" t="s">
        <v>211</v>
      </c>
      <c r="I1585" s="58" t="n">
        <f aca="false">'P9-020'!$N$37</f>
        <v>46328</v>
      </c>
      <c r="J1585" s="58" t="n">
        <f aca="false">'P9-020'!$O$37</f>
        <v>46328</v>
      </c>
      <c r="K1585" s="56" t="str">
        <f aca="false">IF(OR(L1585="Y",LEFT('P9-020'!$T$37,1)="D"),"",IF(AND(ISNUMBER(J1585),J1585&lt;ASOF),"⚠ เลยกำหนด",IF(AND(ISNUMBER(I1585),I1585&lt;=ASOF+14,J1585&gt;=ASOF-7),"ช่วงนี้","")))</f>
        <v>ช่วงนี้</v>
      </c>
      <c r="L1585" s="59"/>
      <c r="M1585" s="60"/>
    </row>
    <row r="1586" customFormat="false" ht="15" hidden="false" customHeight="false" outlineLevel="0" collapsed="false">
      <c r="A1586" s="54" t="s">
        <v>118</v>
      </c>
      <c r="B1586" s="55" t="s">
        <v>502</v>
      </c>
      <c r="C1586" s="56" t="s">
        <v>503</v>
      </c>
      <c r="D1586" s="57" t="s">
        <v>120</v>
      </c>
      <c r="E1586" s="57" t="s">
        <v>278</v>
      </c>
      <c r="F1586" s="55" t="s">
        <v>279</v>
      </c>
      <c r="G1586" s="55" t="s">
        <v>280</v>
      </c>
      <c r="H1586" s="57" t="s">
        <v>211</v>
      </c>
      <c r="I1586" s="58" t="n">
        <f aca="false">'P9-020'!$N$38</f>
        <v>46328</v>
      </c>
      <c r="J1586" s="58" t="n">
        <f aca="false">'P9-020'!$O$38</f>
        <v>46328</v>
      </c>
      <c r="K1586" s="56" t="str">
        <f aca="false">IF(OR(L1586="Y",LEFT('P9-020'!$T$38,1)="D"),"",IF(AND(ISNUMBER(J1586),J1586&lt;ASOF),"⚠ เลยกำหนด",IF(AND(ISNUMBER(I1586),I1586&lt;=ASOF+14,J1586&gt;=ASOF-7),"ช่วงนี้","")))</f>
        <v>ช่วงนี้</v>
      </c>
      <c r="L1586" s="59"/>
      <c r="M1586" s="60"/>
    </row>
    <row r="1587" customFormat="false" ht="15" hidden="false" customHeight="false" outlineLevel="0" collapsed="false">
      <c r="A1587" s="54" t="s">
        <v>118</v>
      </c>
      <c r="B1587" s="55" t="s">
        <v>502</v>
      </c>
      <c r="C1587" s="56" t="s">
        <v>503</v>
      </c>
      <c r="D1587" s="57" t="s">
        <v>120</v>
      </c>
      <c r="E1587" s="57" t="s">
        <v>281</v>
      </c>
      <c r="F1587" s="55" t="s">
        <v>282</v>
      </c>
      <c r="G1587" s="55" t="s">
        <v>283</v>
      </c>
      <c r="H1587" s="57" t="s">
        <v>211</v>
      </c>
      <c r="I1587" s="58" t="n">
        <f aca="false">'P9-020'!$N$40</f>
        <v>46328</v>
      </c>
      <c r="J1587" s="58" t="n">
        <f aca="false">'P9-020'!$O$40</f>
        <v>46328</v>
      </c>
      <c r="K1587" s="56" t="str">
        <f aca="false">IF(OR(L1587="Y",LEFT('P9-020'!$T$40,1)="D"),"",IF(AND(ISNUMBER(J1587),J1587&lt;ASOF),"⚠ เลยกำหนด",IF(AND(ISNUMBER(I1587),I1587&lt;=ASOF+14,J1587&gt;=ASOF-7),"ช่วงนี้","")))</f>
        <v>ช่วงนี้</v>
      </c>
      <c r="L1587" s="59"/>
      <c r="M1587" s="60"/>
    </row>
    <row r="1588" customFormat="false" ht="15" hidden="false" customHeight="false" outlineLevel="0" collapsed="false">
      <c r="A1588" s="54" t="s">
        <v>118</v>
      </c>
      <c r="B1588" s="55" t="s">
        <v>502</v>
      </c>
      <c r="C1588" s="56" t="s">
        <v>503</v>
      </c>
      <c r="D1588" s="57" t="s">
        <v>120</v>
      </c>
      <c r="E1588" s="57" t="s">
        <v>284</v>
      </c>
      <c r="F1588" s="55" t="s">
        <v>285</v>
      </c>
      <c r="G1588" s="61" t="s">
        <v>286</v>
      </c>
      <c r="H1588" s="57" t="s">
        <v>211</v>
      </c>
      <c r="I1588" s="58" t="n">
        <f aca="false">'P9-020'!$N$41</f>
        <v>46328</v>
      </c>
      <c r="J1588" s="58" t="n">
        <f aca="false">'P9-020'!$O$41</f>
        <v>46328</v>
      </c>
      <c r="K1588" s="56" t="str">
        <f aca="false">IF(OR(L1588="Y",LEFT('P9-020'!$T$41,1)="D"),"",IF(AND(ISNUMBER(J1588),J1588&lt;ASOF),"⚠ เลยกำหนด",IF(AND(ISNUMBER(I1588),I1588&lt;=ASOF+14,J1588&gt;=ASOF-7),"ช่วงนี้","")))</f>
        <v>ช่วงนี้</v>
      </c>
      <c r="L1588" s="59"/>
      <c r="M1588" s="60"/>
    </row>
    <row r="1589" customFormat="false" ht="15" hidden="false" customHeight="false" outlineLevel="0" collapsed="false">
      <c r="A1589" s="54" t="s">
        <v>118</v>
      </c>
      <c r="B1589" s="55" t="s">
        <v>502</v>
      </c>
      <c r="C1589" s="56" t="s">
        <v>503</v>
      </c>
      <c r="D1589" s="57" t="s">
        <v>120</v>
      </c>
      <c r="E1589" s="57" t="s">
        <v>287</v>
      </c>
      <c r="F1589" s="55" t="s">
        <v>288</v>
      </c>
      <c r="G1589" s="61" t="s">
        <v>289</v>
      </c>
      <c r="H1589" s="57" t="s">
        <v>211</v>
      </c>
      <c r="I1589" s="58" t="n">
        <f aca="false">'P9-020'!$N$42</f>
        <v>46328</v>
      </c>
      <c r="J1589" s="58" t="n">
        <f aca="false">'P9-020'!$O$42</f>
        <v>46328</v>
      </c>
      <c r="K1589" s="56" t="str">
        <f aca="false">IF(OR(L1589="Y",LEFT('P9-020'!$T$42,1)="D"),"",IF(AND(ISNUMBER(J1589),J1589&lt;ASOF),"⚠ เลยกำหนด",IF(AND(ISNUMBER(I1589),I1589&lt;=ASOF+14,J1589&gt;=ASOF-7),"ช่วงนี้","")))</f>
        <v>ช่วงนี้</v>
      </c>
      <c r="L1589" s="59"/>
      <c r="M1589" s="60"/>
    </row>
    <row r="1590" customFormat="false" ht="15" hidden="false" customHeight="false" outlineLevel="0" collapsed="false">
      <c r="A1590" s="54" t="s">
        <v>118</v>
      </c>
      <c r="B1590" s="55" t="s">
        <v>502</v>
      </c>
      <c r="C1590" s="56" t="s">
        <v>503</v>
      </c>
      <c r="D1590" s="57" t="s">
        <v>120</v>
      </c>
      <c r="E1590" s="57" t="s">
        <v>290</v>
      </c>
      <c r="F1590" s="55" t="s">
        <v>291</v>
      </c>
      <c r="G1590" s="55" t="s">
        <v>292</v>
      </c>
      <c r="H1590" s="57" t="s">
        <v>211</v>
      </c>
      <c r="I1590" s="58" t="n">
        <f aca="false">'P9-020'!$N$44</f>
        <v>46328</v>
      </c>
      <c r="J1590" s="58" t="n">
        <f aca="false">'P9-020'!$O$44</f>
        <v>46328</v>
      </c>
      <c r="K1590" s="56" t="str">
        <f aca="false">IF(OR(L1590="Y",LEFT('P9-020'!$T$44,1)="D"),"",IF(AND(ISNUMBER(J1590),J1590&lt;ASOF),"⚠ เลยกำหนด",IF(AND(ISNUMBER(I1590),I1590&lt;=ASOF+14,J1590&gt;=ASOF-7),"ช่วงนี้","")))</f>
        <v>ช่วงนี้</v>
      </c>
      <c r="L1590" s="59"/>
      <c r="M1590" s="60"/>
    </row>
    <row r="1591" customFormat="false" ht="15" hidden="false" customHeight="false" outlineLevel="0" collapsed="false">
      <c r="A1591" s="54" t="s">
        <v>118</v>
      </c>
      <c r="B1591" s="55" t="s">
        <v>502</v>
      </c>
      <c r="C1591" s="56" t="s">
        <v>503</v>
      </c>
      <c r="D1591" s="57" t="s">
        <v>120</v>
      </c>
      <c r="E1591" s="57" t="s">
        <v>293</v>
      </c>
      <c r="F1591" s="55" t="s">
        <v>294</v>
      </c>
      <c r="G1591" s="55" t="s">
        <v>295</v>
      </c>
      <c r="H1591" s="57" t="s">
        <v>211</v>
      </c>
      <c r="I1591" s="58" t="n">
        <f aca="false">'P9-020'!$N$45</f>
        <v>46328</v>
      </c>
      <c r="J1591" s="58" t="n">
        <f aca="false">'P9-020'!$O$45</f>
        <v>46328</v>
      </c>
      <c r="K1591" s="56" t="str">
        <f aca="false">IF(OR(L1591="Y",LEFT('P9-020'!$T$45,1)="D"),"",IF(AND(ISNUMBER(J1591),J1591&lt;ASOF),"⚠ เลยกำหนด",IF(AND(ISNUMBER(I1591),I1591&lt;=ASOF+14,J1591&gt;=ASOF-7),"ช่วงนี้","")))</f>
        <v>ช่วงนี้</v>
      </c>
      <c r="L1591" s="59"/>
      <c r="M1591" s="60"/>
    </row>
    <row r="1592" customFormat="false" ht="15" hidden="false" customHeight="false" outlineLevel="0" collapsed="false">
      <c r="A1592" s="54" t="s">
        <v>118</v>
      </c>
      <c r="B1592" s="55" t="s">
        <v>502</v>
      </c>
      <c r="C1592" s="56" t="s">
        <v>503</v>
      </c>
      <c r="D1592" s="57" t="s">
        <v>120</v>
      </c>
      <c r="E1592" s="57" t="s">
        <v>296</v>
      </c>
      <c r="F1592" s="55" t="s">
        <v>297</v>
      </c>
      <c r="G1592" s="55" t="s">
        <v>298</v>
      </c>
      <c r="H1592" s="57" t="s">
        <v>211</v>
      </c>
      <c r="I1592" s="58" t="n">
        <f aca="false">'P9-020'!$N$46</f>
        <v>46328</v>
      </c>
      <c r="J1592" s="58" t="n">
        <f aca="false">'P9-020'!$O$46</f>
        <v>46328</v>
      </c>
      <c r="K1592" s="56" t="str">
        <f aca="false">IF(OR(L1592="Y",LEFT('P9-020'!$T$46,1)="D"),"",IF(AND(ISNUMBER(J1592),J1592&lt;ASOF),"⚠ เลยกำหนด",IF(AND(ISNUMBER(I1592),I1592&lt;=ASOF+14,J1592&gt;=ASOF-7),"ช่วงนี้","")))</f>
        <v>ช่วงนี้</v>
      </c>
      <c r="L1592" s="59"/>
      <c r="M1592" s="60"/>
    </row>
    <row r="1593" customFormat="false" ht="15" hidden="false" customHeight="false" outlineLevel="0" collapsed="false">
      <c r="A1593" s="54" t="s">
        <v>118</v>
      </c>
      <c r="B1593" s="55" t="s">
        <v>502</v>
      </c>
      <c r="C1593" s="56" t="s">
        <v>503</v>
      </c>
      <c r="D1593" s="57" t="s">
        <v>120</v>
      </c>
      <c r="E1593" s="57" t="s">
        <v>456</v>
      </c>
      <c r="F1593" s="61" t="s">
        <v>457</v>
      </c>
      <c r="G1593" s="61" t="s">
        <v>458</v>
      </c>
      <c r="H1593" s="57" t="s">
        <v>211</v>
      </c>
      <c r="I1593" s="58" t="n">
        <f aca="false">'P9-020'!$N$48</f>
        <v>46356</v>
      </c>
      <c r="J1593" s="58" t="n">
        <f aca="false">'P9-020'!$O$48</f>
        <v>46356</v>
      </c>
      <c r="K1593" s="56" t="str">
        <f aca="false">IF(OR(L1593="Y",LEFT('P9-020'!$T$48,1)="D"),"",IF(AND(ISNUMBER(J1593),J1593&lt;ASOF),"⚠ เลยกำหนด",IF(AND(ISNUMBER(I1593),I1593&lt;=ASOF+14,J1593&gt;=ASOF-7),"ช่วงนี้","")))</f>
        <v/>
      </c>
      <c r="L1593" s="59"/>
      <c r="M1593" s="60"/>
    </row>
    <row r="1594" customFormat="false" ht="15" hidden="false" customHeight="false" outlineLevel="0" collapsed="false">
      <c r="A1594" s="54" t="s">
        <v>118</v>
      </c>
      <c r="B1594" s="55" t="s">
        <v>502</v>
      </c>
      <c r="C1594" s="56" t="s">
        <v>503</v>
      </c>
      <c r="D1594" s="57" t="s">
        <v>120</v>
      </c>
      <c r="E1594" s="57" t="s">
        <v>459</v>
      </c>
      <c r="F1594" s="55" t="s">
        <v>460</v>
      </c>
      <c r="G1594" s="55" t="s">
        <v>461</v>
      </c>
      <c r="H1594" s="57" t="s">
        <v>211</v>
      </c>
      <c r="I1594" s="58" t="n">
        <f aca="false">'P9-020'!$N$49</f>
        <v>46356</v>
      </c>
      <c r="J1594" s="58" t="n">
        <f aca="false">'P9-020'!$O$49</f>
        <v>46356</v>
      </c>
      <c r="K1594" s="56" t="str">
        <f aca="false">IF(OR(L1594="Y",LEFT('P9-020'!$T$49,1)="D"),"",IF(AND(ISNUMBER(J1594),J1594&lt;ASOF),"⚠ เลยกำหนด",IF(AND(ISNUMBER(I1594),I1594&lt;=ASOF+14,J1594&gt;=ASOF-7),"ช่วงนี้","")))</f>
        <v/>
      </c>
      <c r="L1594" s="59"/>
      <c r="M1594" s="60"/>
    </row>
    <row r="1595" customFormat="false" ht="15" hidden="false" customHeight="false" outlineLevel="0" collapsed="false">
      <c r="A1595" s="54" t="s">
        <v>118</v>
      </c>
      <c r="B1595" s="55" t="s">
        <v>502</v>
      </c>
      <c r="C1595" s="56" t="s">
        <v>503</v>
      </c>
      <c r="D1595" s="57" t="s">
        <v>120</v>
      </c>
      <c r="E1595" s="57" t="s">
        <v>462</v>
      </c>
      <c r="F1595" s="55" t="s">
        <v>463</v>
      </c>
      <c r="G1595" s="55" t="s">
        <v>464</v>
      </c>
      <c r="H1595" s="57" t="s">
        <v>211</v>
      </c>
      <c r="I1595" s="58" t="n">
        <f aca="false">'P9-020'!$N$51</f>
        <v>46356</v>
      </c>
      <c r="J1595" s="58" t="n">
        <f aca="false">'P9-020'!$O$51</f>
        <v>46356</v>
      </c>
      <c r="K1595" s="56" t="str">
        <f aca="false">IF(OR(L1595="Y",LEFT('P9-020'!$T$51,1)="D"),"",IF(AND(ISNUMBER(J1595),J1595&lt;ASOF),"⚠ เลยกำหนด",IF(AND(ISNUMBER(I1595),I1595&lt;=ASOF+14,J1595&gt;=ASOF-7),"ช่วงนี้","")))</f>
        <v/>
      </c>
      <c r="L1595" s="59"/>
      <c r="M1595" s="60"/>
    </row>
    <row r="1596" customFormat="false" ht="15" hidden="false" customHeight="false" outlineLevel="0" collapsed="false">
      <c r="A1596" s="54" t="s">
        <v>118</v>
      </c>
      <c r="B1596" s="55" t="s">
        <v>502</v>
      </c>
      <c r="C1596" s="56" t="s">
        <v>503</v>
      </c>
      <c r="D1596" s="57" t="s">
        <v>120</v>
      </c>
      <c r="E1596" s="57" t="s">
        <v>299</v>
      </c>
      <c r="F1596" s="55" t="s">
        <v>300</v>
      </c>
      <c r="G1596" s="55" t="s">
        <v>301</v>
      </c>
      <c r="H1596" s="57" t="s">
        <v>211</v>
      </c>
      <c r="I1596" s="58" t="str">
        <f aca="false">'P9-020'!$N$53</f>
        <v/>
      </c>
      <c r="J1596" s="58" t="str">
        <f aca="false">'P9-020'!$O$53</f>
        <v/>
      </c>
      <c r="K1596" s="56" t="str">
        <f aca="false">IF(OR(L1596="Y",LEFT('P9-020'!$T$53,1)="D"),"",IF(AND(ISNUMBER(J1596),J1596&lt;ASOF),"⚠ เลยกำหนด",IF(AND(ISNUMBER(I1596),I1596&lt;=ASOF+14,J1596&gt;=ASOF-7),"ช่วงนี้","")))</f>
        <v/>
      </c>
      <c r="L1596" s="59"/>
      <c r="M1596" s="60"/>
    </row>
    <row r="1597" customFormat="false" ht="15" hidden="false" customHeight="false" outlineLevel="0" collapsed="false">
      <c r="A1597" s="54" t="s">
        <v>118</v>
      </c>
      <c r="B1597" s="55" t="s">
        <v>502</v>
      </c>
      <c r="C1597" s="56" t="s">
        <v>503</v>
      </c>
      <c r="D1597" s="57" t="s">
        <v>120</v>
      </c>
      <c r="E1597" s="57" t="s">
        <v>302</v>
      </c>
      <c r="F1597" s="55" t="s">
        <v>303</v>
      </c>
      <c r="G1597" s="55" t="s">
        <v>304</v>
      </c>
      <c r="H1597" s="57" t="s">
        <v>211</v>
      </c>
      <c r="I1597" s="58" t="str">
        <f aca="false">'P9-020'!$N$54</f>
        <v/>
      </c>
      <c r="J1597" s="58" t="str">
        <f aca="false">'P9-020'!$O$54</f>
        <v/>
      </c>
      <c r="K1597" s="56" t="str">
        <f aca="false">IF(OR(L1597="Y",LEFT('P9-020'!$T$54,1)="D"),"",IF(AND(ISNUMBER(J1597),J1597&lt;ASOF),"⚠ เลยกำหนด",IF(AND(ISNUMBER(I1597),I1597&lt;=ASOF+14,J1597&gt;=ASOF-7),"ช่วงนี้","")))</f>
        <v/>
      </c>
      <c r="L1597" s="59"/>
      <c r="M1597" s="60"/>
    </row>
    <row r="1598" customFormat="false" ht="15" hidden="false" customHeight="false" outlineLevel="0" collapsed="false">
      <c r="A1598" s="54" t="s">
        <v>118</v>
      </c>
      <c r="B1598" s="55" t="s">
        <v>502</v>
      </c>
      <c r="C1598" s="56" t="s">
        <v>503</v>
      </c>
      <c r="D1598" s="57" t="s">
        <v>120</v>
      </c>
      <c r="E1598" s="57" t="s">
        <v>305</v>
      </c>
      <c r="F1598" s="55" t="s">
        <v>306</v>
      </c>
      <c r="G1598" s="55" t="s">
        <v>307</v>
      </c>
      <c r="H1598" s="56" t="str">
        <f aca="false">IF(COUNTIFS(SITE_ST,"P9-020",SITE_TYPE,"?*")&gt;0,"ตามจุดติดตั้ง →","0/100")</f>
        <v>ตามจุดติดตั้ง →</v>
      </c>
      <c r="I1598" s="58" t="n">
        <f aca="false">'P9-020'!$N$63</f>
        <v>46328</v>
      </c>
      <c r="J1598" s="58" t="n">
        <f aca="false">'P9-020'!$O$63</f>
        <v>46329</v>
      </c>
      <c r="K1598" s="56" t="str">
        <f aca="false">IF(OR(L1598="Y",LEFT('P9-020'!$T$63,1)="D"),"",IF(AND(ISNUMBER(J1598),J1598&lt;ASOF),"⚠ เลยกำหนด",IF(AND(ISNUMBER(I1598),I1598&lt;=ASOF+14,J1598&gt;=ASOF-7),"ช่วงนี้","")))</f>
        <v>ช่วงนี้</v>
      </c>
      <c r="L1598" s="59"/>
      <c r="M1598" s="60"/>
    </row>
    <row r="1599" customFormat="false" ht="15" hidden="false" customHeight="false" outlineLevel="0" collapsed="false">
      <c r="A1599" s="54" t="s">
        <v>118</v>
      </c>
      <c r="B1599" s="55" t="s">
        <v>502</v>
      </c>
      <c r="C1599" s="56" t="s">
        <v>503</v>
      </c>
      <c r="D1599" s="57" t="s">
        <v>120</v>
      </c>
      <c r="E1599" s="57" t="s">
        <v>308</v>
      </c>
      <c r="F1599" s="55" t="s">
        <v>309</v>
      </c>
      <c r="G1599" s="55" t="s">
        <v>310</v>
      </c>
      <c r="H1599" s="57" t="s">
        <v>211</v>
      </c>
      <c r="I1599" s="58" t="n">
        <f aca="false">'P9-020'!$N$64</f>
        <v>46328</v>
      </c>
      <c r="J1599" s="58" t="n">
        <f aca="false">'P9-020'!$O$64</f>
        <v>46330</v>
      </c>
      <c r="K1599" s="56" t="str">
        <f aca="false">IF(OR(L1599="Y",LEFT('P9-020'!$T$64,1)="D"),"",IF(AND(ISNUMBER(J1599),J1599&lt;ASOF),"⚠ เลยกำหนด",IF(AND(ISNUMBER(I1599),I1599&lt;=ASOF+14,J1599&gt;=ASOF-7),"ช่วงนี้","")))</f>
        <v>ช่วงนี้</v>
      </c>
      <c r="L1599" s="59"/>
      <c r="M1599" s="60"/>
    </row>
    <row r="1600" customFormat="false" ht="15" hidden="false" customHeight="false" outlineLevel="0" collapsed="false">
      <c r="A1600" s="54" t="s">
        <v>118</v>
      </c>
      <c r="B1600" s="55" t="s">
        <v>502</v>
      </c>
      <c r="C1600" s="56" t="s">
        <v>503</v>
      </c>
      <c r="D1600" s="57" t="s">
        <v>120</v>
      </c>
      <c r="E1600" s="57" t="s">
        <v>311</v>
      </c>
      <c r="F1600" s="55" t="s">
        <v>312</v>
      </c>
      <c r="G1600" s="55" t="s">
        <v>313</v>
      </c>
      <c r="H1600" s="56" t="str">
        <f aca="false">IF(COUNTIFS(SITE_ST,"P9-020",SITE_TYPE,"?*")&gt;0,"ตามจุดติดตั้ง →","50/50")</f>
        <v>ตามจุดติดตั้ง →</v>
      </c>
      <c r="I1600" s="58" t="n">
        <f aca="false">'P9-020'!$N$65</f>
        <v>46329</v>
      </c>
      <c r="J1600" s="58" t="n">
        <f aca="false">'P9-020'!$O$65</f>
        <v>46332</v>
      </c>
      <c r="K1600" s="56" t="str">
        <f aca="false">IF(OR(L1600="Y",LEFT('P9-020'!$T$65,1)="D"),"",IF(AND(ISNUMBER(J1600),J1600&lt;ASOF),"⚠ เลยกำหนด",IF(AND(ISNUMBER(I1600),I1600&lt;=ASOF+14,J1600&gt;=ASOF-7),"ช่วงนี้","")))</f>
        <v>ช่วงนี้</v>
      </c>
      <c r="L1600" s="59"/>
      <c r="M1600" s="60"/>
    </row>
    <row r="1601" customFormat="false" ht="15" hidden="false" customHeight="false" outlineLevel="0" collapsed="false">
      <c r="A1601" s="54" t="s">
        <v>118</v>
      </c>
      <c r="B1601" s="55" t="s">
        <v>502</v>
      </c>
      <c r="C1601" s="56" t="s">
        <v>503</v>
      </c>
      <c r="D1601" s="57" t="s">
        <v>120</v>
      </c>
      <c r="E1601" s="57" t="s">
        <v>314</v>
      </c>
      <c r="F1601" s="55" t="s">
        <v>315</v>
      </c>
      <c r="G1601" s="61" t="s">
        <v>316</v>
      </c>
      <c r="H1601" s="56" t="str">
        <f aca="false">IF(COUNTIFS(SITE_ST,"P9-020",SITE_TYPE,"?*")&gt;0,"ตามจุดติดตั้ง →","50/50")</f>
        <v>ตามจุดติดตั้ง →</v>
      </c>
      <c r="I1601" s="58" t="n">
        <f aca="false">'P9-020'!$N$66</f>
        <v>46331</v>
      </c>
      <c r="J1601" s="58" t="n">
        <f aca="false">'P9-020'!$O$66</f>
        <v>46335</v>
      </c>
      <c r="K1601" s="56" t="str">
        <f aca="false">IF(OR(L1601="Y",LEFT('P9-020'!$T$66,1)="D"),"",IF(AND(ISNUMBER(J1601),J1601&lt;ASOF),"⚠ เลยกำหนด",IF(AND(ISNUMBER(I1601),I1601&lt;=ASOF+14,J1601&gt;=ASOF-7),"ช่วงนี้","")))</f>
        <v>ช่วงนี้</v>
      </c>
      <c r="L1601" s="59"/>
      <c r="M1601" s="60"/>
    </row>
    <row r="1602" customFormat="false" ht="15" hidden="false" customHeight="false" outlineLevel="0" collapsed="false">
      <c r="A1602" s="54" t="s">
        <v>118</v>
      </c>
      <c r="B1602" s="55" t="s">
        <v>502</v>
      </c>
      <c r="C1602" s="56" t="s">
        <v>503</v>
      </c>
      <c r="D1602" s="57" t="s">
        <v>120</v>
      </c>
      <c r="E1602" s="57" t="s">
        <v>317</v>
      </c>
      <c r="F1602" s="61" t="s">
        <v>318</v>
      </c>
      <c r="G1602" s="61" t="s">
        <v>319</v>
      </c>
      <c r="H1602" s="56" t="str">
        <f aca="false">IF(COUNTIFS(SITE_ST,"P9-020",SITE_TYPE,"?*")&gt;0,"ตามจุดติดตั้ง →","50/50")</f>
        <v>ตามจุดติดตั้ง →</v>
      </c>
      <c r="I1602" s="58" t="n">
        <f aca="false">'P9-020'!$N$67</f>
        <v>46333</v>
      </c>
      <c r="J1602" s="58" t="n">
        <f aca="false">'P9-020'!$O$67</f>
        <v>46336</v>
      </c>
      <c r="K1602" s="56" t="str">
        <f aca="false">IF(OR(L1602="Y",LEFT('P9-020'!$T$67,1)="D"),"",IF(AND(ISNUMBER(J1602),J1602&lt;ASOF),"⚠ เลยกำหนด",IF(AND(ISNUMBER(I1602),I1602&lt;=ASOF+14,J1602&gt;=ASOF-7),"ช่วงนี้","")))</f>
        <v>ช่วงนี้</v>
      </c>
      <c r="L1602" s="59"/>
      <c r="M1602" s="60"/>
    </row>
    <row r="1603" customFormat="false" ht="15" hidden="false" customHeight="false" outlineLevel="0" collapsed="false">
      <c r="A1603" s="54" t="s">
        <v>118</v>
      </c>
      <c r="B1603" s="55" t="s">
        <v>502</v>
      </c>
      <c r="C1603" s="56" t="s">
        <v>503</v>
      </c>
      <c r="D1603" s="57" t="s">
        <v>120</v>
      </c>
      <c r="E1603" s="57" t="s">
        <v>320</v>
      </c>
      <c r="F1603" s="55" t="s">
        <v>321</v>
      </c>
      <c r="G1603" s="55" t="s">
        <v>322</v>
      </c>
      <c r="H1603" s="56" t="str">
        <f aca="false">IF(COUNTIFS(SITE_ST,"P9-020",SITE_TYPE,"?*")&gt;0,"ตามจุดติดตั้ง →","0/100")</f>
        <v>ตามจุดติดตั้ง →</v>
      </c>
      <c r="I1603" s="58" t="n">
        <f aca="false">'P9-020'!$N$68</f>
        <v>46334</v>
      </c>
      <c r="J1603" s="58" t="n">
        <f aca="false">'P9-020'!$O$68</f>
        <v>46336</v>
      </c>
      <c r="K1603" s="56" t="str">
        <f aca="false">IF(OR(L1603="Y",LEFT('P9-020'!$T$68,1)="D"),"",IF(AND(ISNUMBER(J1603),J1603&lt;ASOF),"⚠ เลยกำหนด",IF(AND(ISNUMBER(I1603),I1603&lt;=ASOF+14,J1603&gt;=ASOF-7),"ช่วงนี้","")))</f>
        <v>ช่วงนี้</v>
      </c>
      <c r="L1603" s="59"/>
      <c r="M1603" s="60"/>
    </row>
    <row r="1604" customFormat="false" ht="15" hidden="false" customHeight="false" outlineLevel="0" collapsed="false">
      <c r="A1604" s="54" t="s">
        <v>118</v>
      </c>
      <c r="B1604" s="55" t="s">
        <v>502</v>
      </c>
      <c r="C1604" s="56" t="s">
        <v>503</v>
      </c>
      <c r="D1604" s="57" t="s">
        <v>120</v>
      </c>
      <c r="E1604" s="57" t="s">
        <v>323</v>
      </c>
      <c r="F1604" s="61" t="s">
        <v>324</v>
      </c>
      <c r="G1604" s="55" t="s">
        <v>325</v>
      </c>
      <c r="H1604" s="56" t="str">
        <f aca="false">IF(COUNTIFS(SITE_ST,"P9-020",SITE_TYPE,"?*")&gt;0,"ตามจุดติดตั้ง →","0/100")</f>
        <v>ตามจุดติดตั้ง →</v>
      </c>
      <c r="I1604" s="58" t="n">
        <f aca="false">'P9-020'!$N$69</f>
        <v>46336</v>
      </c>
      <c r="J1604" s="58" t="n">
        <f aca="false">'P9-020'!$O$69</f>
        <v>46336</v>
      </c>
      <c r="K1604" s="56" t="str">
        <f aca="false">IF(OR(L1604="Y",LEFT('P9-020'!$T$69,1)="D"),"",IF(AND(ISNUMBER(J1604),J1604&lt;ASOF),"⚠ เลยกำหนด",IF(AND(ISNUMBER(I1604),I1604&lt;=ASOF+14,J1604&gt;=ASOF-7),"ช่วงนี้","")))</f>
        <v>ช่วงนี้</v>
      </c>
      <c r="L1604" s="59"/>
      <c r="M1604" s="60"/>
    </row>
    <row r="1605" customFormat="false" ht="15" hidden="false" customHeight="false" outlineLevel="0" collapsed="false">
      <c r="A1605" s="54" t="s">
        <v>118</v>
      </c>
      <c r="B1605" s="55" t="s">
        <v>502</v>
      </c>
      <c r="C1605" s="56" t="s">
        <v>503</v>
      </c>
      <c r="D1605" s="57" t="s">
        <v>120</v>
      </c>
      <c r="E1605" s="57" t="s">
        <v>326</v>
      </c>
      <c r="F1605" s="55" t="s">
        <v>327</v>
      </c>
      <c r="G1605" s="61" t="s">
        <v>328</v>
      </c>
      <c r="H1605" s="56" t="str">
        <f aca="false">IF(COUNTIFS(SITE_ST,"P9-020",SITE_TYPE,"?*")&gt;0,"ตามจุดติดตั้ง →","50/50")</f>
        <v>ตามจุดติดตั้ง →</v>
      </c>
      <c r="I1605" s="58" t="n">
        <f aca="false">'P9-020'!$N$71</f>
        <v>46343</v>
      </c>
      <c r="J1605" s="58" t="n">
        <f aca="false">'P9-020'!$O$71</f>
        <v>46344</v>
      </c>
      <c r="K1605" s="56" t="str">
        <f aca="false">IF(OR(L1605="Y",LEFT('P9-020'!$T$71,1)="D"),"",IF(AND(ISNUMBER(J1605),J1605&lt;ASOF),"⚠ เลยกำหนด",IF(AND(ISNUMBER(I1605),I1605&lt;=ASOF+14,J1605&gt;=ASOF-7),"ช่วงนี้","")))</f>
        <v/>
      </c>
      <c r="L1605" s="59"/>
      <c r="M1605" s="60"/>
    </row>
    <row r="1606" customFormat="false" ht="15" hidden="false" customHeight="false" outlineLevel="0" collapsed="false">
      <c r="A1606" s="54" t="s">
        <v>118</v>
      </c>
      <c r="B1606" s="55" t="s">
        <v>502</v>
      </c>
      <c r="C1606" s="56" t="s">
        <v>503</v>
      </c>
      <c r="D1606" s="57" t="s">
        <v>120</v>
      </c>
      <c r="E1606" s="57" t="s">
        <v>329</v>
      </c>
      <c r="F1606" s="55" t="s">
        <v>330</v>
      </c>
      <c r="G1606" s="55" t="s">
        <v>331</v>
      </c>
      <c r="H1606" s="56" t="str">
        <f aca="false">IF(COUNTIFS(SITE_ST,"P9-020",SITE_TYPE,"?*")&gt;0,"ตามจุดติดตั้ง →","50/50")</f>
        <v>ตามจุดติดตั้ง →</v>
      </c>
      <c r="I1606" s="58" t="n">
        <f aca="false">'P9-020'!$N$72</f>
        <v>46344</v>
      </c>
      <c r="J1606" s="58" t="n">
        <f aca="false">'P9-020'!$O$72</f>
        <v>46345</v>
      </c>
      <c r="K1606" s="56" t="str">
        <f aca="false">IF(OR(L1606="Y",LEFT('P9-020'!$T$72,1)="D"),"",IF(AND(ISNUMBER(J1606),J1606&lt;ASOF),"⚠ เลยกำหนด",IF(AND(ISNUMBER(I1606),I1606&lt;=ASOF+14,J1606&gt;=ASOF-7),"ช่วงนี้","")))</f>
        <v/>
      </c>
      <c r="L1606" s="59"/>
      <c r="M1606" s="60"/>
    </row>
    <row r="1607" customFormat="false" ht="15" hidden="false" customHeight="false" outlineLevel="0" collapsed="false">
      <c r="A1607" s="54" t="s">
        <v>118</v>
      </c>
      <c r="B1607" s="55" t="s">
        <v>502</v>
      </c>
      <c r="C1607" s="56" t="s">
        <v>503</v>
      </c>
      <c r="D1607" s="57" t="s">
        <v>120</v>
      </c>
      <c r="E1607" s="57" t="s">
        <v>332</v>
      </c>
      <c r="F1607" s="55" t="s">
        <v>333</v>
      </c>
      <c r="G1607" s="55" t="s">
        <v>334</v>
      </c>
      <c r="H1607" s="56" t="str">
        <f aca="false">IF(COUNTIFS(SITE_ST,"P9-020",SITE_TYPE,"?*")&gt;0,"ตามจุดติดตั้ง →","0/100")</f>
        <v>ตามจุดติดตั้ง →</v>
      </c>
      <c r="I1607" s="58" t="n">
        <f aca="false">'P9-020'!$N$73</f>
        <v>46344</v>
      </c>
      <c r="J1607" s="58" t="n">
        <f aca="false">'P9-020'!$O$73</f>
        <v>46345</v>
      </c>
      <c r="K1607" s="56" t="str">
        <f aca="false">IF(OR(L1607="Y",LEFT('P9-020'!$T$73,1)="D"),"",IF(AND(ISNUMBER(J1607),J1607&lt;ASOF),"⚠ เลยกำหนด",IF(AND(ISNUMBER(I1607),I1607&lt;=ASOF+14,J1607&gt;=ASOF-7),"ช่วงนี้","")))</f>
        <v/>
      </c>
      <c r="L1607" s="59"/>
      <c r="M1607" s="60"/>
    </row>
    <row r="1608" customFormat="false" ht="15" hidden="false" customHeight="false" outlineLevel="0" collapsed="false">
      <c r="A1608" s="54" t="s">
        <v>118</v>
      </c>
      <c r="B1608" s="55" t="s">
        <v>502</v>
      </c>
      <c r="C1608" s="56" t="s">
        <v>503</v>
      </c>
      <c r="D1608" s="57" t="s">
        <v>120</v>
      </c>
      <c r="E1608" s="57" t="s">
        <v>335</v>
      </c>
      <c r="F1608" s="55" t="s">
        <v>336</v>
      </c>
      <c r="G1608" s="61" t="s">
        <v>337</v>
      </c>
      <c r="H1608" s="56" t="str">
        <f aca="false">IF(COUNTIFS(SITE_ST,"P9-020",SITE_TYPE,"?*")&gt;0,"ตามจุดติดตั้ง →","0/100")</f>
        <v>ตามจุดติดตั้ง →</v>
      </c>
      <c r="I1608" s="58" t="n">
        <f aca="false">'P9-020'!$N$74</f>
        <v>46345</v>
      </c>
      <c r="J1608" s="58" t="n">
        <f aca="false">'P9-020'!$O$74</f>
        <v>46346</v>
      </c>
      <c r="K1608" s="56" t="str">
        <f aca="false">IF(OR(L1608="Y",LEFT('P9-020'!$T$74,1)="D"),"",IF(AND(ISNUMBER(J1608),J1608&lt;ASOF),"⚠ เลยกำหนด",IF(AND(ISNUMBER(I1608),I1608&lt;=ASOF+14,J1608&gt;=ASOF-7),"ช่วงนี้","")))</f>
        <v/>
      </c>
      <c r="L1608" s="59"/>
      <c r="M1608" s="60"/>
    </row>
    <row r="1609" customFormat="false" ht="15" hidden="false" customHeight="false" outlineLevel="0" collapsed="false">
      <c r="A1609" s="54" t="s">
        <v>118</v>
      </c>
      <c r="B1609" s="55" t="s">
        <v>502</v>
      </c>
      <c r="C1609" s="56" t="s">
        <v>503</v>
      </c>
      <c r="D1609" s="57" t="s">
        <v>120</v>
      </c>
      <c r="E1609" s="57" t="s">
        <v>338</v>
      </c>
      <c r="F1609" s="61" t="s">
        <v>339</v>
      </c>
      <c r="G1609" s="55" t="s">
        <v>340</v>
      </c>
      <c r="H1609" s="56" t="str">
        <f aca="false">IF(COUNTIFS(SITE_ST,"P9-020",SITE_TYPE,"?*")&gt;0,"ตามจุดติดตั้ง →","0/100")</f>
        <v>ตามจุดติดตั้ง →</v>
      </c>
      <c r="I1609" s="58" t="n">
        <f aca="false">'P9-020'!$N$75</f>
        <v>46345</v>
      </c>
      <c r="J1609" s="58" t="n">
        <f aca="false">'P9-020'!$O$75</f>
        <v>46346</v>
      </c>
      <c r="K1609" s="56" t="str">
        <f aca="false">IF(OR(L1609="Y",LEFT('P9-020'!$T$75,1)="D"),"",IF(AND(ISNUMBER(J1609),J1609&lt;ASOF),"⚠ เลยกำหนด",IF(AND(ISNUMBER(I1609),I1609&lt;=ASOF+14,J1609&gt;=ASOF-7),"ช่วงนี้","")))</f>
        <v/>
      </c>
      <c r="L1609" s="59"/>
      <c r="M1609" s="60"/>
    </row>
    <row r="1610" customFormat="false" ht="15" hidden="false" customHeight="false" outlineLevel="0" collapsed="false">
      <c r="A1610" s="54" t="s">
        <v>118</v>
      </c>
      <c r="B1610" s="55" t="s">
        <v>502</v>
      </c>
      <c r="C1610" s="56" t="s">
        <v>503</v>
      </c>
      <c r="D1610" s="57" t="s">
        <v>120</v>
      </c>
      <c r="E1610" s="57" t="s">
        <v>341</v>
      </c>
      <c r="F1610" s="55" t="s">
        <v>342</v>
      </c>
      <c r="G1610" s="55" t="s">
        <v>343</v>
      </c>
      <c r="H1610" s="56" t="str">
        <f aca="false">IF(COUNTIFS(SITE_ST,"P9-020",SITE_TYPE,"?*")&gt;0,"ตามจุดติดตั้ง →","0/100")</f>
        <v>ตามจุดติดตั้ง →</v>
      </c>
      <c r="I1610" s="58" t="n">
        <f aca="false">'P9-020'!$N$77</f>
        <v>46337</v>
      </c>
      <c r="J1610" s="58" t="n">
        <f aca="false">'P9-020'!$O$77</f>
        <v>46340</v>
      </c>
      <c r="K1610" s="56" t="str">
        <f aca="false">IF(OR(L1610="Y",LEFT('P9-020'!$T$77,1)="D"),"",IF(AND(ISNUMBER(J1610),J1610&lt;ASOF),"⚠ เลยกำหนด",IF(AND(ISNUMBER(I1610),I1610&lt;=ASOF+14,J1610&gt;=ASOF-7),"ช่วงนี้","")))</f>
        <v>ช่วงนี้</v>
      </c>
      <c r="L1610" s="59"/>
      <c r="M1610" s="60"/>
    </row>
    <row r="1611" customFormat="false" ht="15" hidden="false" customHeight="false" outlineLevel="0" collapsed="false">
      <c r="A1611" s="54" t="s">
        <v>118</v>
      </c>
      <c r="B1611" s="55" t="s">
        <v>502</v>
      </c>
      <c r="C1611" s="56" t="s">
        <v>503</v>
      </c>
      <c r="D1611" s="57" t="s">
        <v>120</v>
      </c>
      <c r="E1611" s="57" t="s">
        <v>344</v>
      </c>
      <c r="F1611" s="55" t="s">
        <v>345</v>
      </c>
      <c r="G1611" s="55" t="s">
        <v>346</v>
      </c>
      <c r="H1611" s="56" t="str">
        <f aca="false">IF(COUNTIFS(SITE_ST,"P9-020",SITE_TYPE,"?*")&gt;0,"ตามจุดติดตั้ง →","50/50")</f>
        <v>ตามจุดติดตั้ง →</v>
      </c>
      <c r="I1611" s="58" t="n">
        <f aca="false">'P9-020'!$N$78</f>
        <v>46338</v>
      </c>
      <c r="J1611" s="58" t="n">
        <f aca="false">'P9-020'!$O$78</f>
        <v>46346</v>
      </c>
      <c r="K1611" s="56" t="str">
        <f aca="false">IF(OR(L1611="Y",LEFT('P9-020'!$T$78,1)="D"),"",IF(AND(ISNUMBER(J1611),J1611&lt;ASOF),"⚠ เลยกำหนด",IF(AND(ISNUMBER(I1611),I1611&lt;=ASOF+14,J1611&gt;=ASOF-7),"ช่วงนี้","")))</f>
        <v>ช่วงนี้</v>
      </c>
      <c r="L1611" s="59"/>
      <c r="M1611" s="60"/>
    </row>
    <row r="1612" customFormat="false" ht="15" hidden="false" customHeight="false" outlineLevel="0" collapsed="false">
      <c r="A1612" s="54" t="s">
        <v>118</v>
      </c>
      <c r="B1612" s="55" t="s">
        <v>502</v>
      </c>
      <c r="C1612" s="56" t="s">
        <v>503</v>
      </c>
      <c r="D1612" s="57" t="s">
        <v>120</v>
      </c>
      <c r="E1612" s="57" t="s">
        <v>347</v>
      </c>
      <c r="F1612" s="61" t="s">
        <v>348</v>
      </c>
      <c r="G1612" s="55" t="s">
        <v>349</v>
      </c>
      <c r="H1612" s="56" t="str">
        <f aca="false">IF(COUNTIFS(SITE_ST,"P9-020",SITE_TYPE,"?*")&gt;0,"ตามจุดติดตั้ง →","50/50")</f>
        <v>ตามจุดติดตั้ง →</v>
      </c>
      <c r="I1612" s="58" t="n">
        <f aca="false">'P9-020'!$N$79</f>
        <v>46341</v>
      </c>
      <c r="J1612" s="58" t="n">
        <f aca="false">'P9-020'!$O$79</f>
        <v>46347</v>
      </c>
      <c r="K1612" s="56" t="str">
        <f aca="false">IF(OR(L1612="Y",LEFT('P9-020'!$T$79,1)="D"),"",IF(AND(ISNUMBER(J1612),J1612&lt;ASOF),"⚠ เลยกำหนด",IF(AND(ISNUMBER(I1612),I1612&lt;=ASOF+14,J1612&gt;=ASOF-7),"ช่วงนี้","")))</f>
        <v>ช่วงนี้</v>
      </c>
      <c r="L1612" s="59"/>
      <c r="M1612" s="60"/>
    </row>
    <row r="1613" customFormat="false" ht="15" hidden="false" customHeight="false" outlineLevel="0" collapsed="false">
      <c r="A1613" s="54" t="s">
        <v>118</v>
      </c>
      <c r="B1613" s="55" t="s">
        <v>502</v>
      </c>
      <c r="C1613" s="56" t="s">
        <v>503</v>
      </c>
      <c r="D1613" s="57" t="s">
        <v>120</v>
      </c>
      <c r="E1613" s="57" t="s">
        <v>350</v>
      </c>
      <c r="F1613" s="61" t="s">
        <v>351</v>
      </c>
      <c r="G1613" s="55" t="s">
        <v>352</v>
      </c>
      <c r="H1613" s="56" t="str">
        <f aca="false">IF(COUNTIFS(SITE_ST,"P9-020",SITE_TYPE,"?*")&gt;0,"ตามจุดติดตั้ง →","0/100")</f>
        <v>ตามจุดติดตั้ง →</v>
      </c>
      <c r="I1613" s="58" t="n">
        <f aca="false">'P9-020'!$N$80</f>
        <v>46345</v>
      </c>
      <c r="J1613" s="58" t="n">
        <f aca="false">'P9-020'!$O$80</f>
        <v>46347</v>
      </c>
      <c r="K1613" s="56" t="str">
        <f aca="false">IF(OR(L1613="Y",LEFT('P9-020'!$T$80,1)="D"),"",IF(AND(ISNUMBER(J1613),J1613&lt;ASOF),"⚠ เลยกำหนด",IF(AND(ISNUMBER(I1613),I1613&lt;=ASOF+14,J1613&gt;=ASOF-7),"ช่วงนี้","")))</f>
        <v/>
      </c>
      <c r="L1613" s="59"/>
      <c r="M1613" s="60"/>
    </row>
    <row r="1614" customFormat="false" ht="15" hidden="false" customHeight="false" outlineLevel="0" collapsed="false">
      <c r="A1614" s="54" t="s">
        <v>118</v>
      </c>
      <c r="B1614" s="55" t="s">
        <v>502</v>
      </c>
      <c r="C1614" s="56" t="s">
        <v>503</v>
      </c>
      <c r="D1614" s="57" t="s">
        <v>120</v>
      </c>
      <c r="E1614" s="57" t="s">
        <v>353</v>
      </c>
      <c r="F1614" s="61" t="s">
        <v>354</v>
      </c>
      <c r="G1614" s="55" t="s">
        <v>355</v>
      </c>
      <c r="H1614" s="56" t="str">
        <f aca="false">IF(COUNTIFS(SITE_ST,"P9-020",SITE_TYPE,"?*")&gt;0,"ตามจุดติดตั้ง →","0/100")</f>
        <v>ตามจุดติดตั้ง →</v>
      </c>
      <c r="I1614" s="58" t="n">
        <f aca="false">'P9-020'!$N$81</f>
        <v>46347</v>
      </c>
      <c r="J1614" s="58" t="n">
        <f aca="false">'P9-020'!$O$81</f>
        <v>46347</v>
      </c>
      <c r="K1614" s="56" t="str">
        <f aca="false">IF(OR(L1614="Y",LEFT('P9-020'!$T$81,1)="D"),"",IF(AND(ISNUMBER(J1614),J1614&lt;ASOF),"⚠ เลยกำหนด",IF(AND(ISNUMBER(I1614),I1614&lt;=ASOF+14,J1614&gt;=ASOF-7),"ช่วงนี้","")))</f>
        <v/>
      </c>
      <c r="L1614" s="59"/>
      <c r="M1614" s="60"/>
    </row>
    <row r="1615" customFormat="false" ht="15" hidden="false" customHeight="false" outlineLevel="0" collapsed="false">
      <c r="A1615" s="54" t="s">
        <v>118</v>
      </c>
      <c r="B1615" s="55" t="s">
        <v>502</v>
      </c>
      <c r="C1615" s="56" t="s">
        <v>503</v>
      </c>
      <c r="D1615" s="57" t="s">
        <v>120</v>
      </c>
      <c r="E1615" s="57" t="s">
        <v>356</v>
      </c>
      <c r="F1615" s="55" t="s">
        <v>357</v>
      </c>
      <c r="G1615" s="55" t="s">
        <v>358</v>
      </c>
      <c r="H1615" s="57" t="s">
        <v>211</v>
      </c>
      <c r="I1615" s="58" t="n">
        <f aca="false">'P9-020'!$N$83</f>
        <v>46345</v>
      </c>
      <c r="J1615" s="58" t="n">
        <f aca="false">'P9-020'!$O$83</f>
        <v>46346</v>
      </c>
      <c r="K1615" s="56" t="str">
        <f aca="false">IF(OR(L1615="Y",LEFT('P9-020'!$T$83,1)="D"),"",IF(AND(ISNUMBER(J1615),J1615&lt;ASOF),"⚠ เลยกำหนด",IF(AND(ISNUMBER(I1615),I1615&lt;=ASOF+14,J1615&gt;=ASOF-7),"ช่วงนี้","")))</f>
        <v/>
      </c>
      <c r="L1615" s="59"/>
      <c r="M1615" s="60"/>
    </row>
    <row r="1616" customFormat="false" ht="15" hidden="false" customHeight="false" outlineLevel="0" collapsed="false">
      <c r="A1616" s="54" t="s">
        <v>118</v>
      </c>
      <c r="B1616" s="55" t="s">
        <v>502</v>
      </c>
      <c r="C1616" s="56" t="s">
        <v>503</v>
      </c>
      <c r="D1616" s="57" t="s">
        <v>120</v>
      </c>
      <c r="E1616" s="57" t="s">
        <v>359</v>
      </c>
      <c r="F1616" s="55" t="s">
        <v>360</v>
      </c>
      <c r="G1616" s="55" t="s">
        <v>361</v>
      </c>
      <c r="H1616" s="57" t="s">
        <v>211</v>
      </c>
      <c r="I1616" s="58" t="n">
        <f aca="false">'P9-020'!$N$84</f>
        <v>46346</v>
      </c>
      <c r="J1616" s="58" t="n">
        <f aca="false">'P9-020'!$O$84</f>
        <v>46347</v>
      </c>
      <c r="K1616" s="56" t="str">
        <f aca="false">IF(OR(L1616="Y",LEFT('P9-020'!$T$84,1)="D"),"",IF(AND(ISNUMBER(J1616),J1616&lt;ASOF),"⚠ เลยกำหนด",IF(AND(ISNUMBER(I1616),I1616&lt;=ASOF+14,J1616&gt;=ASOF-7),"ช่วงนี้","")))</f>
        <v/>
      </c>
      <c r="L1616" s="59"/>
      <c r="M1616" s="60"/>
    </row>
    <row r="1617" customFormat="false" ht="15" hidden="false" customHeight="false" outlineLevel="0" collapsed="false">
      <c r="A1617" s="54" t="s">
        <v>118</v>
      </c>
      <c r="B1617" s="55" t="s">
        <v>502</v>
      </c>
      <c r="C1617" s="56" t="s">
        <v>503</v>
      </c>
      <c r="D1617" s="57" t="s">
        <v>120</v>
      </c>
      <c r="E1617" s="57" t="s">
        <v>362</v>
      </c>
      <c r="F1617" s="61" t="s">
        <v>363</v>
      </c>
      <c r="G1617" s="61" t="s">
        <v>364</v>
      </c>
      <c r="H1617" s="56" t="s">
        <v>365</v>
      </c>
      <c r="I1617" s="58" t="n">
        <f aca="false">'P9-020'!$N$86</f>
        <v>46343</v>
      </c>
      <c r="J1617" s="58" t="n">
        <f aca="false">'P9-020'!$O$86</f>
        <v>46345</v>
      </c>
      <c r="K1617" s="56" t="str">
        <f aca="false">IF(OR(L1617="Y",LEFT('P9-020'!$T$86,1)="D"),"",IF(AND(ISNUMBER(J1617),J1617&lt;ASOF),"⚠ เลยกำหนด",IF(AND(ISNUMBER(I1617),I1617&lt;=ASOF+14,J1617&gt;=ASOF-7),"ช่วงนี้","")))</f>
        <v/>
      </c>
      <c r="L1617" s="59"/>
      <c r="M1617" s="60"/>
    </row>
    <row r="1618" customFormat="false" ht="15" hidden="false" customHeight="false" outlineLevel="0" collapsed="false">
      <c r="A1618" s="54" t="s">
        <v>118</v>
      </c>
      <c r="B1618" s="55" t="s">
        <v>502</v>
      </c>
      <c r="C1618" s="56" t="s">
        <v>503</v>
      </c>
      <c r="D1618" s="57" t="s">
        <v>120</v>
      </c>
      <c r="E1618" s="57" t="s">
        <v>366</v>
      </c>
      <c r="F1618" s="61" t="s">
        <v>367</v>
      </c>
      <c r="G1618" s="61" t="s">
        <v>368</v>
      </c>
      <c r="H1618" s="57" t="s">
        <v>369</v>
      </c>
      <c r="I1618" s="58" t="n">
        <f aca="false">'P9-020'!$N$87</f>
        <v>46344</v>
      </c>
      <c r="J1618" s="58" t="n">
        <f aca="false">'P9-020'!$O$87</f>
        <v>46346</v>
      </c>
      <c r="K1618" s="56" t="str">
        <f aca="false">IF(OR(L1618="Y",LEFT('P9-020'!$T$87,1)="D"),"",IF(AND(ISNUMBER(J1618),J1618&lt;ASOF),"⚠ เลยกำหนด",IF(AND(ISNUMBER(I1618),I1618&lt;=ASOF+14,J1618&gt;=ASOF-7),"ช่วงนี้","")))</f>
        <v/>
      </c>
      <c r="L1618" s="59"/>
      <c r="M1618" s="60"/>
    </row>
    <row r="1619" customFormat="false" ht="15" hidden="false" customHeight="false" outlineLevel="0" collapsed="false">
      <c r="A1619" s="54" t="s">
        <v>118</v>
      </c>
      <c r="B1619" s="55" t="s">
        <v>502</v>
      </c>
      <c r="C1619" s="56" t="s">
        <v>503</v>
      </c>
      <c r="D1619" s="57" t="s">
        <v>120</v>
      </c>
      <c r="E1619" s="57" t="s">
        <v>370</v>
      </c>
      <c r="F1619" s="55" t="s">
        <v>371</v>
      </c>
      <c r="G1619" s="55" t="s">
        <v>372</v>
      </c>
      <c r="H1619" s="57" t="s">
        <v>211</v>
      </c>
      <c r="I1619" s="58" t="n">
        <f aca="false">'P9-020'!$N$88</f>
        <v>46345</v>
      </c>
      <c r="J1619" s="58" t="n">
        <f aca="false">'P9-020'!$O$88</f>
        <v>46346</v>
      </c>
      <c r="K1619" s="56" t="str">
        <f aca="false">IF(OR(L1619="Y",LEFT('P9-020'!$T$88,1)="D"),"",IF(AND(ISNUMBER(J1619),J1619&lt;ASOF),"⚠ เลยกำหนด",IF(AND(ISNUMBER(I1619),I1619&lt;=ASOF+14,J1619&gt;=ASOF-7),"ช่วงนี้","")))</f>
        <v/>
      </c>
      <c r="L1619" s="59"/>
      <c r="M1619" s="60"/>
    </row>
    <row r="1620" customFormat="false" ht="15" hidden="false" customHeight="false" outlineLevel="0" collapsed="false">
      <c r="A1620" s="54" t="s">
        <v>118</v>
      </c>
      <c r="B1620" s="55" t="s">
        <v>502</v>
      </c>
      <c r="C1620" s="56" t="s">
        <v>503</v>
      </c>
      <c r="D1620" s="57" t="s">
        <v>120</v>
      </c>
      <c r="E1620" s="57" t="s">
        <v>373</v>
      </c>
      <c r="F1620" s="61" t="s">
        <v>374</v>
      </c>
      <c r="G1620" s="55" t="s">
        <v>375</v>
      </c>
      <c r="H1620" s="57" t="s">
        <v>211</v>
      </c>
      <c r="I1620" s="58" t="n">
        <f aca="false">'P9-020'!$N$89</f>
        <v>46346</v>
      </c>
      <c r="J1620" s="58" t="n">
        <f aca="false">'P9-020'!$O$89</f>
        <v>46346</v>
      </c>
      <c r="K1620" s="56" t="str">
        <f aca="false">IF(OR(L1620="Y",LEFT('P9-020'!$T$89,1)="D"),"",IF(AND(ISNUMBER(J1620),J1620&lt;ASOF),"⚠ เลยกำหนด",IF(AND(ISNUMBER(I1620),I1620&lt;=ASOF+14,J1620&gt;=ASOF-7),"ช่วงนี้","")))</f>
        <v/>
      </c>
      <c r="L1620" s="59"/>
      <c r="M1620" s="60"/>
    </row>
    <row r="1621" customFormat="false" ht="15" hidden="false" customHeight="false" outlineLevel="0" collapsed="false">
      <c r="A1621" s="54" t="s">
        <v>118</v>
      </c>
      <c r="B1621" s="55" t="s">
        <v>502</v>
      </c>
      <c r="C1621" s="56" t="s">
        <v>503</v>
      </c>
      <c r="D1621" s="57" t="s">
        <v>120</v>
      </c>
      <c r="E1621" s="57" t="s">
        <v>376</v>
      </c>
      <c r="F1621" s="55" t="s">
        <v>377</v>
      </c>
      <c r="G1621" s="55" t="s">
        <v>378</v>
      </c>
      <c r="H1621" s="57" t="s">
        <v>369</v>
      </c>
      <c r="I1621" s="58" t="n">
        <f aca="false">'P9-020'!$N$91</f>
        <v>46344</v>
      </c>
      <c r="J1621" s="58" t="n">
        <f aca="false">'P9-020'!$O$91</f>
        <v>46346</v>
      </c>
      <c r="K1621" s="56" t="str">
        <f aca="false">IF(OR(L1621="Y",LEFT('P9-020'!$T$91,1)="D"),"",IF(AND(ISNUMBER(J1621),J1621&lt;ASOF),"⚠ เลยกำหนด",IF(AND(ISNUMBER(I1621),I1621&lt;=ASOF+14,J1621&gt;=ASOF-7),"ช่วงนี้","")))</f>
        <v/>
      </c>
      <c r="L1621" s="59"/>
      <c r="M1621" s="60"/>
    </row>
    <row r="1622" customFormat="false" ht="15" hidden="false" customHeight="false" outlineLevel="0" collapsed="false">
      <c r="A1622" s="54" t="s">
        <v>118</v>
      </c>
      <c r="B1622" s="55" t="s">
        <v>502</v>
      </c>
      <c r="C1622" s="56" t="s">
        <v>503</v>
      </c>
      <c r="D1622" s="57" t="s">
        <v>120</v>
      </c>
      <c r="E1622" s="57" t="s">
        <v>379</v>
      </c>
      <c r="F1622" s="61" t="s">
        <v>380</v>
      </c>
      <c r="G1622" s="61" t="s">
        <v>381</v>
      </c>
      <c r="H1622" s="57" t="s">
        <v>211</v>
      </c>
      <c r="I1622" s="58" t="n">
        <f aca="false">'P9-020'!$N$92</f>
        <v>46346</v>
      </c>
      <c r="J1622" s="58" t="n">
        <f aca="false">'P9-020'!$O$92</f>
        <v>46347</v>
      </c>
      <c r="K1622" s="56" t="str">
        <f aca="false">IF(OR(L1622="Y",LEFT('P9-020'!$T$92,1)="D"),"",IF(AND(ISNUMBER(J1622),J1622&lt;ASOF),"⚠ เลยกำหนด",IF(AND(ISNUMBER(I1622),I1622&lt;=ASOF+14,J1622&gt;=ASOF-7),"ช่วงนี้","")))</f>
        <v/>
      </c>
      <c r="L1622" s="59"/>
      <c r="M1622" s="60"/>
    </row>
    <row r="1623" customFormat="false" ht="15" hidden="false" customHeight="false" outlineLevel="0" collapsed="false">
      <c r="A1623" s="54" t="s">
        <v>118</v>
      </c>
      <c r="B1623" s="55" t="s">
        <v>502</v>
      </c>
      <c r="C1623" s="56" t="s">
        <v>503</v>
      </c>
      <c r="D1623" s="57" t="s">
        <v>120</v>
      </c>
      <c r="E1623" s="57" t="s">
        <v>382</v>
      </c>
      <c r="F1623" s="55" t="s">
        <v>383</v>
      </c>
      <c r="G1623" s="55" t="s">
        <v>384</v>
      </c>
      <c r="H1623" s="57" t="s">
        <v>369</v>
      </c>
      <c r="I1623" s="58" t="n">
        <f aca="false">'P9-020'!$N$93</f>
        <v>46344</v>
      </c>
      <c r="J1623" s="58" t="n">
        <f aca="false">'P9-020'!$O$93</f>
        <v>46346</v>
      </c>
      <c r="K1623" s="56" t="str">
        <f aca="false">IF(OR(L1623="Y",LEFT('P9-020'!$T$93,1)="D"),"",IF(AND(ISNUMBER(J1623),J1623&lt;ASOF),"⚠ เลยกำหนด",IF(AND(ISNUMBER(I1623),I1623&lt;=ASOF+14,J1623&gt;=ASOF-7),"ช่วงนี้","")))</f>
        <v/>
      </c>
      <c r="L1623" s="59"/>
      <c r="M1623" s="60"/>
    </row>
    <row r="1624" customFormat="false" ht="15" hidden="false" customHeight="false" outlineLevel="0" collapsed="false">
      <c r="A1624" s="54" t="s">
        <v>118</v>
      </c>
      <c r="B1624" s="55" t="s">
        <v>502</v>
      </c>
      <c r="C1624" s="56" t="s">
        <v>503</v>
      </c>
      <c r="D1624" s="57" t="s">
        <v>120</v>
      </c>
      <c r="E1624" s="57" t="s">
        <v>385</v>
      </c>
      <c r="F1624" s="55" t="s">
        <v>386</v>
      </c>
      <c r="G1624" s="55" t="s">
        <v>387</v>
      </c>
      <c r="H1624" s="57" t="s">
        <v>211</v>
      </c>
      <c r="I1624" s="58" t="n">
        <f aca="false">'P9-020'!$N$94</f>
        <v>46346</v>
      </c>
      <c r="J1624" s="58" t="n">
        <f aca="false">'P9-020'!$O$94</f>
        <v>46347</v>
      </c>
      <c r="K1624" s="56" t="str">
        <f aca="false">IF(OR(L1624="Y",LEFT('P9-020'!$T$94,1)="D"),"",IF(AND(ISNUMBER(J1624),J1624&lt;ASOF),"⚠ เลยกำหนด",IF(AND(ISNUMBER(I1624),I1624&lt;=ASOF+14,J1624&gt;=ASOF-7),"ช่วงนี้","")))</f>
        <v/>
      </c>
      <c r="L1624" s="59"/>
      <c r="M1624" s="60"/>
    </row>
    <row r="1625" customFormat="false" ht="15" hidden="false" customHeight="false" outlineLevel="0" collapsed="false">
      <c r="A1625" s="54" t="s">
        <v>118</v>
      </c>
      <c r="B1625" s="55" t="s">
        <v>502</v>
      </c>
      <c r="C1625" s="56" t="s">
        <v>503</v>
      </c>
      <c r="D1625" s="57" t="s">
        <v>120</v>
      </c>
      <c r="E1625" s="57" t="s">
        <v>388</v>
      </c>
      <c r="F1625" s="61" t="s">
        <v>389</v>
      </c>
      <c r="G1625" s="55" t="s">
        <v>390</v>
      </c>
      <c r="H1625" s="57" t="s">
        <v>211</v>
      </c>
      <c r="I1625" s="58" t="n">
        <f aca="false">'P9-020'!$N$95</f>
        <v>46347</v>
      </c>
      <c r="J1625" s="58" t="n">
        <f aca="false">'P9-020'!$O$95</f>
        <v>46347</v>
      </c>
      <c r="K1625" s="56" t="str">
        <f aca="false">IF(OR(L1625="Y",LEFT('P9-020'!$T$95,1)="D"),"",IF(AND(ISNUMBER(J1625),J1625&lt;ASOF),"⚠ เลยกำหนด",IF(AND(ISNUMBER(I1625),I1625&lt;=ASOF+14,J1625&gt;=ASOF-7),"ช่วงนี้","")))</f>
        <v/>
      </c>
      <c r="L1625" s="59"/>
      <c r="M1625" s="60"/>
    </row>
    <row r="1626" customFormat="false" ht="15" hidden="false" customHeight="false" outlineLevel="0" collapsed="false">
      <c r="A1626" s="54" t="s">
        <v>118</v>
      </c>
      <c r="B1626" s="55" t="s">
        <v>502</v>
      </c>
      <c r="C1626" s="56" t="s">
        <v>503</v>
      </c>
      <c r="D1626" s="57" t="s">
        <v>120</v>
      </c>
      <c r="E1626" s="57" t="s">
        <v>391</v>
      </c>
      <c r="F1626" s="55" t="s">
        <v>392</v>
      </c>
      <c r="G1626" s="55" t="s">
        <v>393</v>
      </c>
      <c r="H1626" s="57" t="s">
        <v>369</v>
      </c>
      <c r="I1626" s="58" t="n">
        <f aca="false">'P9-020'!$N$97</f>
        <v>46345</v>
      </c>
      <c r="J1626" s="58" t="n">
        <f aca="false">'P9-020'!$O$97</f>
        <v>46347</v>
      </c>
      <c r="K1626" s="56" t="str">
        <f aca="false">IF(OR(L1626="Y",LEFT('P9-020'!$T$97,1)="D"),"",IF(AND(ISNUMBER(J1626),J1626&lt;ASOF),"⚠ เลยกำหนด",IF(AND(ISNUMBER(I1626),I1626&lt;=ASOF+14,J1626&gt;=ASOF-7),"ช่วงนี้","")))</f>
        <v/>
      </c>
      <c r="L1626" s="59"/>
      <c r="M1626" s="60"/>
    </row>
    <row r="1627" customFormat="false" ht="15" hidden="false" customHeight="false" outlineLevel="0" collapsed="false">
      <c r="A1627" s="54" t="s">
        <v>118</v>
      </c>
      <c r="B1627" s="55" t="s">
        <v>502</v>
      </c>
      <c r="C1627" s="56" t="s">
        <v>503</v>
      </c>
      <c r="D1627" s="57" t="s">
        <v>120</v>
      </c>
      <c r="E1627" s="57" t="s">
        <v>394</v>
      </c>
      <c r="F1627" s="55" t="s">
        <v>395</v>
      </c>
      <c r="G1627" s="55" t="s">
        <v>396</v>
      </c>
      <c r="H1627" s="57" t="s">
        <v>211</v>
      </c>
      <c r="I1627" s="58" t="n">
        <f aca="false">'P9-020'!$N$98</f>
        <v>46346</v>
      </c>
      <c r="J1627" s="58" t="n">
        <f aca="false">'P9-020'!$O$98</f>
        <v>46347</v>
      </c>
      <c r="K1627" s="56" t="str">
        <f aca="false">IF(OR(L1627="Y",LEFT('P9-020'!$T$98,1)="D"),"",IF(AND(ISNUMBER(J1627),J1627&lt;ASOF),"⚠ เลยกำหนด",IF(AND(ISNUMBER(I1627),I1627&lt;=ASOF+14,J1627&gt;=ASOF-7),"ช่วงนี้","")))</f>
        <v/>
      </c>
      <c r="L1627" s="59"/>
      <c r="M1627" s="60"/>
    </row>
    <row r="1628" customFormat="false" ht="15" hidden="false" customHeight="false" outlineLevel="0" collapsed="false">
      <c r="A1628" s="54" t="s">
        <v>118</v>
      </c>
      <c r="B1628" s="55" t="s">
        <v>502</v>
      </c>
      <c r="C1628" s="56" t="s">
        <v>503</v>
      </c>
      <c r="D1628" s="57" t="s">
        <v>120</v>
      </c>
      <c r="E1628" s="57" t="s">
        <v>397</v>
      </c>
      <c r="F1628" s="61" t="s">
        <v>398</v>
      </c>
      <c r="G1628" s="55" t="s">
        <v>399</v>
      </c>
      <c r="H1628" s="57" t="s">
        <v>211</v>
      </c>
      <c r="I1628" s="58" t="n">
        <f aca="false">'P9-020'!$N$99</f>
        <v>46347</v>
      </c>
      <c r="J1628" s="58" t="n">
        <f aca="false">'P9-020'!$O$99</f>
        <v>46347</v>
      </c>
      <c r="K1628" s="56" t="str">
        <f aca="false">IF(OR(L1628="Y",LEFT('P9-020'!$T$99,1)="D"),"",IF(AND(ISNUMBER(J1628),J1628&lt;ASOF),"⚠ เลยกำหนด",IF(AND(ISNUMBER(I1628),I1628&lt;=ASOF+14,J1628&gt;=ASOF-7),"ช่วงนี้","")))</f>
        <v/>
      </c>
      <c r="L1628" s="59"/>
      <c r="M1628" s="60"/>
    </row>
    <row r="1629" customFormat="false" ht="15" hidden="false" customHeight="false" outlineLevel="0" collapsed="false">
      <c r="A1629" s="54" t="s">
        <v>118</v>
      </c>
      <c r="B1629" s="55" t="s">
        <v>502</v>
      </c>
      <c r="C1629" s="56" t="s">
        <v>503</v>
      </c>
      <c r="D1629" s="57" t="s">
        <v>120</v>
      </c>
      <c r="E1629" s="57" t="s">
        <v>467</v>
      </c>
      <c r="F1629" s="61" t="s">
        <v>468</v>
      </c>
      <c r="G1629" s="61" t="s">
        <v>469</v>
      </c>
      <c r="H1629" s="57" t="s">
        <v>211</v>
      </c>
      <c r="I1629" s="58" t="n">
        <f aca="false">'P9-020'!$N$103</f>
        <v>46346</v>
      </c>
      <c r="J1629" s="58" t="n">
        <f aca="false">'P9-020'!$O$103</f>
        <v>46347</v>
      </c>
      <c r="K1629" s="56" t="str">
        <f aca="false">IF(OR(L1629="Y",LEFT('P9-020'!$T$103,1)="D"),"",IF(AND(ISNUMBER(J1629),J1629&lt;ASOF),"⚠ เลยกำหนด",IF(AND(ISNUMBER(I1629),I1629&lt;=ASOF+14,J1629&gt;=ASOF-7),"ช่วงนี้","")))</f>
        <v/>
      </c>
      <c r="L1629" s="59"/>
      <c r="M1629" s="60"/>
    </row>
    <row r="1630" customFormat="false" ht="15" hidden="false" customHeight="false" outlineLevel="0" collapsed="false">
      <c r="A1630" s="54" t="s">
        <v>118</v>
      </c>
      <c r="B1630" s="55" t="s">
        <v>502</v>
      </c>
      <c r="C1630" s="56" t="s">
        <v>503</v>
      </c>
      <c r="D1630" s="57" t="s">
        <v>120</v>
      </c>
      <c r="E1630" s="57" t="s">
        <v>403</v>
      </c>
      <c r="F1630" s="55" t="s">
        <v>404</v>
      </c>
      <c r="G1630" s="55" t="s">
        <v>405</v>
      </c>
      <c r="H1630" s="57" t="s">
        <v>211</v>
      </c>
      <c r="I1630" s="58" t="n">
        <f aca="false">'P9-020'!$N$104</f>
        <v>46347</v>
      </c>
      <c r="J1630" s="58" t="n">
        <f aca="false">'P9-020'!$O$104</f>
        <v>46348</v>
      </c>
      <c r="K1630" s="56" t="str">
        <f aca="false">IF(OR(L1630="Y",LEFT('P9-020'!$T$104,1)="D"),"",IF(AND(ISNUMBER(J1630),J1630&lt;ASOF),"⚠ เลยกำหนด",IF(AND(ISNUMBER(I1630),I1630&lt;=ASOF+14,J1630&gt;=ASOF-7),"ช่วงนี้","")))</f>
        <v/>
      </c>
      <c r="L1630" s="59"/>
      <c r="M1630" s="60"/>
    </row>
    <row r="1631" customFormat="false" ht="15" hidden="false" customHeight="false" outlineLevel="0" collapsed="false">
      <c r="A1631" s="54" t="s">
        <v>118</v>
      </c>
      <c r="B1631" s="55" t="s">
        <v>502</v>
      </c>
      <c r="C1631" s="56" t="s">
        <v>503</v>
      </c>
      <c r="D1631" s="57" t="s">
        <v>120</v>
      </c>
      <c r="E1631" s="57" t="s">
        <v>406</v>
      </c>
      <c r="F1631" s="55" t="s">
        <v>407</v>
      </c>
      <c r="G1631" s="55" t="s">
        <v>408</v>
      </c>
      <c r="H1631" s="57" t="s">
        <v>211</v>
      </c>
      <c r="I1631" s="58" t="n">
        <f aca="false">'P9-020'!$N$105</f>
        <v>46347</v>
      </c>
      <c r="J1631" s="58" t="n">
        <f aca="false">'P9-020'!$O$105</f>
        <v>46348</v>
      </c>
      <c r="K1631" s="56" t="str">
        <f aca="false">IF(OR(L1631="Y",LEFT('P9-020'!$T$105,1)="D"),"",IF(AND(ISNUMBER(J1631),J1631&lt;ASOF),"⚠ เลยกำหนด",IF(AND(ISNUMBER(I1631),I1631&lt;=ASOF+14,J1631&gt;=ASOF-7),"ช่วงนี้","")))</f>
        <v/>
      </c>
      <c r="L1631" s="59"/>
      <c r="M1631" s="60"/>
    </row>
    <row r="1632" customFormat="false" ht="15" hidden="false" customHeight="false" outlineLevel="0" collapsed="false">
      <c r="A1632" s="54" t="s">
        <v>118</v>
      </c>
      <c r="B1632" s="55" t="s">
        <v>502</v>
      </c>
      <c r="C1632" s="56" t="s">
        <v>503</v>
      </c>
      <c r="D1632" s="57" t="s">
        <v>120</v>
      </c>
      <c r="E1632" s="57" t="s">
        <v>409</v>
      </c>
      <c r="F1632" s="61" t="s">
        <v>410</v>
      </c>
      <c r="G1632" s="55" t="s">
        <v>411</v>
      </c>
      <c r="H1632" s="57" t="s">
        <v>211</v>
      </c>
      <c r="I1632" s="58" t="n">
        <f aca="false">'P9-020'!$N$106</f>
        <v>46348</v>
      </c>
      <c r="J1632" s="58" t="n">
        <f aca="false">'P9-020'!$O$106</f>
        <v>46348</v>
      </c>
      <c r="K1632" s="56" t="str">
        <f aca="false">IF(OR(L1632="Y",LEFT('P9-020'!$T$106,1)="D"),"",IF(AND(ISNUMBER(J1632),J1632&lt;ASOF),"⚠ เลยกำหนด",IF(AND(ISNUMBER(I1632),I1632&lt;=ASOF+14,J1632&gt;=ASOF-7),"ช่วงนี้","")))</f>
        <v/>
      </c>
      <c r="L1632" s="59"/>
      <c r="M1632" s="60"/>
    </row>
    <row r="1633" customFormat="false" ht="15" hidden="false" customHeight="false" outlineLevel="0" collapsed="false">
      <c r="A1633" s="54" t="s">
        <v>118</v>
      </c>
      <c r="B1633" s="55" t="s">
        <v>502</v>
      </c>
      <c r="C1633" s="56" t="s">
        <v>503</v>
      </c>
      <c r="D1633" s="57" t="s">
        <v>120</v>
      </c>
      <c r="E1633" s="57" t="s">
        <v>412</v>
      </c>
      <c r="F1633" s="61" t="s">
        <v>413</v>
      </c>
      <c r="G1633" s="61" t="s">
        <v>414</v>
      </c>
      <c r="H1633" s="57" t="s">
        <v>211</v>
      </c>
      <c r="I1633" s="58" t="n">
        <f aca="false">'P9-020'!$N$108</f>
        <v>46347</v>
      </c>
      <c r="J1633" s="58" t="n">
        <f aca="false">'P9-020'!$O$108</f>
        <v>46348</v>
      </c>
      <c r="K1633" s="56" t="str">
        <f aca="false">IF(OR(L1633="Y",LEFT('P9-020'!$T$108,1)="D"),"",IF(AND(ISNUMBER(J1633),J1633&lt;ASOF),"⚠ เลยกำหนด",IF(AND(ISNUMBER(I1633),I1633&lt;=ASOF+14,J1633&gt;=ASOF-7),"ช่วงนี้","")))</f>
        <v/>
      </c>
      <c r="L1633" s="59"/>
      <c r="M1633" s="60"/>
    </row>
    <row r="1634" customFormat="false" ht="15" hidden="false" customHeight="false" outlineLevel="0" collapsed="false">
      <c r="A1634" s="54" t="s">
        <v>118</v>
      </c>
      <c r="B1634" s="55" t="s">
        <v>502</v>
      </c>
      <c r="C1634" s="56" t="s">
        <v>503</v>
      </c>
      <c r="D1634" s="57" t="s">
        <v>120</v>
      </c>
      <c r="E1634" s="57" t="s">
        <v>415</v>
      </c>
      <c r="F1634" s="55" t="s">
        <v>416</v>
      </c>
      <c r="G1634" s="55" t="s">
        <v>417</v>
      </c>
      <c r="H1634" s="57" t="s">
        <v>211</v>
      </c>
      <c r="I1634" s="58" t="n">
        <f aca="false">'P9-020'!$N$109</f>
        <v>46348</v>
      </c>
      <c r="J1634" s="58" t="n">
        <f aca="false">'P9-020'!$O$109</f>
        <v>46348</v>
      </c>
      <c r="K1634" s="56" t="str">
        <f aca="false">IF(OR(L1634="Y",LEFT('P9-020'!$T$109,1)="D"),"",IF(AND(ISNUMBER(J1634),J1634&lt;ASOF),"⚠ เลยกำหนด",IF(AND(ISNUMBER(I1634),I1634&lt;=ASOF+14,J1634&gt;=ASOF-7),"ช่วงนี้","")))</f>
        <v/>
      </c>
      <c r="L1634" s="59"/>
      <c r="M1634" s="60"/>
    </row>
    <row r="1635" customFormat="false" ht="15" hidden="false" customHeight="false" outlineLevel="0" collapsed="false">
      <c r="A1635" s="54" t="s">
        <v>118</v>
      </c>
      <c r="B1635" s="55" t="s">
        <v>502</v>
      </c>
      <c r="C1635" s="56" t="s">
        <v>503</v>
      </c>
      <c r="D1635" s="57" t="s">
        <v>120</v>
      </c>
      <c r="E1635" s="57" t="s">
        <v>418</v>
      </c>
      <c r="F1635" s="61" t="s">
        <v>419</v>
      </c>
      <c r="G1635" s="55" t="s">
        <v>420</v>
      </c>
      <c r="H1635" s="57" t="s">
        <v>211</v>
      </c>
      <c r="I1635" s="58" t="n">
        <f aca="false">'P9-020'!$N$110</f>
        <v>46347</v>
      </c>
      <c r="J1635" s="58" t="n">
        <f aca="false">'P9-020'!$O$110</f>
        <v>46348</v>
      </c>
      <c r="K1635" s="56" t="str">
        <f aca="false">IF(OR(L1635="Y",LEFT('P9-020'!$T$110,1)="D"),"",IF(AND(ISNUMBER(J1635),J1635&lt;ASOF),"⚠ เลยกำหนด",IF(AND(ISNUMBER(I1635),I1635&lt;=ASOF+14,J1635&gt;=ASOF-7),"ช่วงนี้","")))</f>
        <v/>
      </c>
      <c r="L1635" s="59"/>
      <c r="M1635" s="60"/>
    </row>
    <row r="1636" customFormat="false" ht="15" hidden="false" customHeight="false" outlineLevel="0" collapsed="false">
      <c r="A1636" s="54" t="s">
        <v>118</v>
      </c>
      <c r="B1636" s="55" t="s">
        <v>502</v>
      </c>
      <c r="C1636" s="56" t="s">
        <v>503</v>
      </c>
      <c r="D1636" s="57" t="s">
        <v>120</v>
      </c>
      <c r="E1636" s="57" t="s">
        <v>421</v>
      </c>
      <c r="F1636" s="55" t="s">
        <v>422</v>
      </c>
      <c r="G1636" s="55" t="s">
        <v>423</v>
      </c>
      <c r="H1636" s="56" t="str">
        <f aca="false">IF(COUNTIFS(SITE_ST,"P9-020",SITE_TYPE,"?*")&gt;0,"ตามจุดติดตั้ง →","0/100")</f>
        <v>ตามจุดติดตั้ง →</v>
      </c>
      <c r="I1636" s="58" t="n">
        <f aca="false">'P9-020'!$N$112</f>
        <v>46349</v>
      </c>
      <c r="J1636" s="58" t="n">
        <f aca="false">'P9-020'!$O$112</f>
        <v>46349</v>
      </c>
      <c r="K1636" s="56" t="str">
        <f aca="false">IF(OR(L1636="Y",LEFT('P9-020'!$T$112,1)="D"),"",IF(AND(ISNUMBER(J1636),J1636&lt;ASOF),"⚠ เลยกำหนด",IF(AND(ISNUMBER(I1636),I1636&lt;=ASOF+14,J1636&gt;=ASOF-7),"ช่วงนี้","")))</f>
        <v/>
      </c>
      <c r="L1636" s="59"/>
      <c r="M1636" s="60"/>
    </row>
    <row r="1637" customFormat="false" ht="15" hidden="false" customHeight="false" outlineLevel="0" collapsed="false">
      <c r="A1637" s="54" t="s">
        <v>118</v>
      </c>
      <c r="B1637" s="55" t="s">
        <v>502</v>
      </c>
      <c r="C1637" s="56" t="s">
        <v>503</v>
      </c>
      <c r="D1637" s="57" t="s">
        <v>120</v>
      </c>
      <c r="E1637" s="57" t="s">
        <v>424</v>
      </c>
      <c r="F1637" s="55" t="s">
        <v>425</v>
      </c>
      <c r="G1637" s="55" t="s">
        <v>426</v>
      </c>
      <c r="H1637" s="56" t="str">
        <f aca="false">IF(COUNTIFS(SITE_ST,"P9-020",SITE_TYPE,"?*")&gt;0,"ตามจุดติดตั้ง →","0/100")</f>
        <v>ตามจุดติดตั้ง →</v>
      </c>
      <c r="I1637" s="58" t="n">
        <f aca="false">'P9-020'!$N$113</f>
        <v>46349</v>
      </c>
      <c r="J1637" s="58" t="n">
        <f aca="false">'P9-020'!$O$113</f>
        <v>46349</v>
      </c>
      <c r="K1637" s="56" t="str">
        <f aca="false">IF(OR(L1637="Y",LEFT('P9-020'!$T$113,1)="D"),"",IF(AND(ISNUMBER(J1637),J1637&lt;ASOF),"⚠ เลยกำหนด",IF(AND(ISNUMBER(I1637),I1637&lt;=ASOF+14,J1637&gt;=ASOF-7),"ช่วงนี้","")))</f>
        <v/>
      </c>
      <c r="L1637" s="59"/>
      <c r="M1637" s="60"/>
    </row>
    <row r="1638" customFormat="false" ht="15" hidden="false" customHeight="false" outlineLevel="0" collapsed="false">
      <c r="A1638" s="54" t="s">
        <v>118</v>
      </c>
      <c r="B1638" s="55" t="s">
        <v>502</v>
      </c>
      <c r="C1638" s="56" t="s">
        <v>503</v>
      </c>
      <c r="D1638" s="57" t="s">
        <v>120</v>
      </c>
      <c r="E1638" s="57" t="s">
        <v>427</v>
      </c>
      <c r="F1638" s="61" t="s">
        <v>428</v>
      </c>
      <c r="G1638" s="61" t="s">
        <v>429</v>
      </c>
      <c r="H1638" s="57" t="s">
        <v>211</v>
      </c>
      <c r="I1638" s="58" t="n">
        <f aca="false">'P9-020'!$N$116</f>
        <v>46359</v>
      </c>
      <c r="J1638" s="58" t="n">
        <f aca="false">'P9-020'!$O$116</f>
        <v>46359</v>
      </c>
      <c r="K1638" s="56" t="str">
        <f aca="false">IF(OR(L1638="Y",LEFT('P9-020'!$T$116,1)="D"),"",IF(AND(ISNUMBER(J1638),J1638&lt;ASOF),"⚠ เลยกำหนด",IF(AND(ISNUMBER(I1638),I1638&lt;=ASOF+14,J1638&gt;=ASOF-7),"ช่วงนี้","")))</f>
        <v/>
      </c>
      <c r="L1638" s="59"/>
      <c r="M1638" s="60"/>
    </row>
    <row r="1639" customFormat="false" ht="15" hidden="false" customHeight="false" outlineLevel="0" collapsed="false">
      <c r="A1639" s="54" t="s">
        <v>118</v>
      </c>
      <c r="B1639" s="55" t="s">
        <v>502</v>
      </c>
      <c r="C1639" s="56" t="s">
        <v>503</v>
      </c>
      <c r="D1639" s="57" t="s">
        <v>120</v>
      </c>
      <c r="E1639" s="57" t="s">
        <v>430</v>
      </c>
      <c r="F1639" s="55" t="s">
        <v>431</v>
      </c>
      <c r="G1639" s="55" t="s">
        <v>432</v>
      </c>
      <c r="H1639" s="57" t="s">
        <v>211</v>
      </c>
      <c r="I1639" s="58" t="n">
        <f aca="false">'P9-020'!$N$117</f>
        <v>46359</v>
      </c>
      <c r="J1639" s="58" t="n">
        <f aca="false">'P9-020'!$O$117</f>
        <v>46359</v>
      </c>
      <c r="K1639" s="56" t="str">
        <f aca="false">IF(OR(L1639="Y",LEFT('P9-020'!$T$117,1)="D"),"",IF(AND(ISNUMBER(J1639),J1639&lt;ASOF),"⚠ เลยกำหนด",IF(AND(ISNUMBER(I1639),I1639&lt;=ASOF+14,J1639&gt;=ASOF-7),"ช่วงนี้","")))</f>
        <v/>
      </c>
      <c r="L1639" s="59"/>
      <c r="M1639" s="60"/>
    </row>
    <row r="1640" customFormat="false" ht="15" hidden="false" customHeight="false" outlineLevel="0" collapsed="false">
      <c r="A1640" s="54" t="s">
        <v>118</v>
      </c>
      <c r="B1640" s="55" t="s">
        <v>502</v>
      </c>
      <c r="C1640" s="56" t="s">
        <v>503</v>
      </c>
      <c r="D1640" s="57" t="s">
        <v>120</v>
      </c>
      <c r="E1640" s="57" t="s">
        <v>433</v>
      </c>
      <c r="F1640" s="55" t="s">
        <v>434</v>
      </c>
      <c r="G1640" s="55" t="s">
        <v>435</v>
      </c>
      <c r="H1640" s="57" t="s">
        <v>211</v>
      </c>
      <c r="I1640" s="58" t="n">
        <f aca="false">'P9-020'!$N$118</f>
        <v>46359</v>
      </c>
      <c r="J1640" s="58" t="n">
        <f aca="false">'P9-020'!$O$118</f>
        <v>46359</v>
      </c>
      <c r="K1640" s="56" t="str">
        <f aca="false">IF(OR(L1640="Y",LEFT('P9-020'!$T$118,1)="D"),"",IF(AND(ISNUMBER(J1640),J1640&lt;ASOF),"⚠ เลยกำหนด",IF(AND(ISNUMBER(I1640),I1640&lt;=ASOF+14,J1640&gt;=ASOF-7),"ช่วงนี้","")))</f>
        <v/>
      </c>
      <c r="L1640" s="59"/>
      <c r="M1640" s="60"/>
    </row>
    <row r="1641" customFormat="false" ht="15" hidden="false" customHeight="false" outlineLevel="0" collapsed="false">
      <c r="A1641" s="54" t="s">
        <v>118</v>
      </c>
      <c r="B1641" s="55" t="s">
        <v>502</v>
      </c>
      <c r="C1641" s="56" t="s">
        <v>503</v>
      </c>
      <c r="D1641" s="57" t="s">
        <v>120</v>
      </c>
      <c r="E1641" s="57" t="s">
        <v>436</v>
      </c>
      <c r="F1641" s="55" t="s">
        <v>437</v>
      </c>
      <c r="G1641" s="55" t="s">
        <v>438</v>
      </c>
      <c r="H1641" s="57" t="s">
        <v>211</v>
      </c>
      <c r="I1641" s="58" t="n">
        <f aca="false">'P9-020'!$N$119</f>
        <v>46359</v>
      </c>
      <c r="J1641" s="58" t="n">
        <f aca="false">'P9-020'!$O$119</f>
        <v>46359</v>
      </c>
      <c r="K1641" s="56" t="str">
        <f aca="false">IF(OR(L1641="Y",LEFT('P9-020'!$T$119,1)="D"),"",IF(AND(ISNUMBER(J1641),J1641&lt;ASOF),"⚠ เลยกำหนด",IF(AND(ISNUMBER(I1641),I1641&lt;=ASOF+14,J1641&gt;=ASOF-7),"ช่วงนี้","")))</f>
        <v/>
      </c>
      <c r="L1641" s="59"/>
      <c r="M1641" s="60"/>
    </row>
    <row r="1642" customFormat="false" ht="15" hidden="false" customHeight="false" outlineLevel="0" collapsed="false">
      <c r="A1642" s="54" t="s">
        <v>118</v>
      </c>
      <c r="B1642" s="55" t="s">
        <v>502</v>
      </c>
      <c r="C1642" s="56" t="s">
        <v>503</v>
      </c>
      <c r="D1642" s="57" t="s">
        <v>120</v>
      </c>
      <c r="E1642" s="57" t="s">
        <v>439</v>
      </c>
      <c r="F1642" s="55" t="s">
        <v>440</v>
      </c>
      <c r="G1642" s="55" t="s">
        <v>441</v>
      </c>
      <c r="H1642" s="57" t="s">
        <v>211</v>
      </c>
      <c r="I1642" s="58" t="n">
        <f aca="false">'P9-020'!$N$120</f>
        <v>46359</v>
      </c>
      <c r="J1642" s="58" t="n">
        <f aca="false">'P9-020'!$O$120</f>
        <v>46359</v>
      </c>
      <c r="K1642" s="56" t="str">
        <f aca="false">IF(OR(L1642="Y",LEFT('P9-020'!$T$120,1)="D"),"",IF(AND(ISNUMBER(J1642),J1642&lt;ASOF),"⚠ เลยกำหนด",IF(AND(ISNUMBER(I1642),I1642&lt;=ASOF+14,J1642&gt;=ASOF-7),"ช่วงนี้","")))</f>
        <v/>
      </c>
      <c r="L1642" s="59"/>
      <c r="M1642" s="60"/>
    </row>
    <row r="1643" customFormat="false" ht="15" hidden="false" customHeight="false" outlineLevel="0" collapsed="false">
      <c r="A1643" s="54" t="s">
        <v>118</v>
      </c>
      <c r="B1643" s="55" t="s">
        <v>502</v>
      </c>
      <c r="C1643" s="56" t="s">
        <v>503</v>
      </c>
      <c r="D1643" s="57" t="s">
        <v>120</v>
      </c>
      <c r="E1643" s="57" t="s">
        <v>442</v>
      </c>
      <c r="F1643" s="55" t="s">
        <v>443</v>
      </c>
      <c r="G1643" s="55" t="s">
        <v>444</v>
      </c>
      <c r="H1643" s="57" t="s">
        <v>211</v>
      </c>
      <c r="I1643" s="58" t="n">
        <f aca="false">'P9-020'!$N$121</f>
        <v>46359</v>
      </c>
      <c r="J1643" s="58" t="n">
        <f aca="false">'P9-020'!$O$121</f>
        <v>46359</v>
      </c>
      <c r="K1643" s="56" t="str">
        <f aca="false">IF(OR(L1643="Y",LEFT('P9-020'!$T$121,1)="D"),"",IF(AND(ISNUMBER(J1643),J1643&lt;ASOF),"⚠ เลยกำหนด",IF(AND(ISNUMBER(I1643),I1643&lt;=ASOF+14,J1643&gt;=ASOF-7),"ช่วงนี้","")))</f>
        <v/>
      </c>
      <c r="L1643" s="59"/>
      <c r="M1643" s="60"/>
    </row>
    <row r="1644" customFormat="false" ht="15" hidden="false" customHeight="false" outlineLevel="0" collapsed="false">
      <c r="A1644" s="54" t="s">
        <v>118</v>
      </c>
      <c r="B1644" s="55" t="s">
        <v>502</v>
      </c>
      <c r="C1644" s="56" t="s">
        <v>503</v>
      </c>
      <c r="D1644" s="57" t="s">
        <v>120</v>
      </c>
      <c r="E1644" s="57" t="s">
        <v>445</v>
      </c>
      <c r="F1644" s="55" t="s">
        <v>446</v>
      </c>
      <c r="G1644" s="55" t="s">
        <v>447</v>
      </c>
      <c r="H1644" s="57" t="s">
        <v>211</v>
      </c>
      <c r="I1644" s="58" t="n">
        <f aca="false">'P9-020'!$N$125</f>
        <v>46437</v>
      </c>
      <c r="J1644" s="58" t="n">
        <f aca="false">'P9-020'!$O$125</f>
        <v>46441</v>
      </c>
      <c r="K1644" s="56" t="str">
        <f aca="false">IF(OR(L1644="Y",LEFT('P9-020'!$T$125,1)="D"),"",IF(AND(ISNUMBER(J1644),J1644&lt;ASOF),"⚠ เลยกำหนด",IF(AND(ISNUMBER(I1644),I1644&lt;=ASOF+14,J1644&gt;=ASOF-7),"ช่วงนี้","")))</f>
        <v/>
      </c>
      <c r="L1644" s="59"/>
      <c r="M1644" s="60"/>
    </row>
    <row r="1645" customFormat="false" ht="15" hidden="false" customHeight="false" outlineLevel="0" collapsed="false">
      <c r="A1645" s="54" t="s">
        <v>118</v>
      </c>
      <c r="B1645" s="55" t="s">
        <v>502</v>
      </c>
      <c r="C1645" s="56" t="s">
        <v>503</v>
      </c>
      <c r="D1645" s="57" t="s">
        <v>120</v>
      </c>
      <c r="E1645" s="57" t="s">
        <v>448</v>
      </c>
      <c r="F1645" s="55" t="s">
        <v>449</v>
      </c>
      <c r="G1645" s="61" t="s">
        <v>450</v>
      </c>
      <c r="H1645" s="57" t="s">
        <v>211</v>
      </c>
      <c r="I1645" s="58" t="n">
        <f aca="false">'P9-020'!$N$126</f>
        <v>46440</v>
      </c>
      <c r="J1645" s="58" t="n">
        <f aca="false">'P9-020'!$O$126</f>
        <v>46447</v>
      </c>
      <c r="K1645" s="56" t="str">
        <f aca="false">IF(OR(L1645="Y",LEFT('P9-020'!$T$126,1)="D"),"",IF(AND(ISNUMBER(J1645),J1645&lt;ASOF),"⚠ เลยกำหนด",IF(AND(ISNUMBER(I1645),I1645&lt;=ASOF+14,J1645&gt;=ASOF-7),"ช่วงนี้","")))</f>
        <v/>
      </c>
      <c r="L1645" s="59"/>
      <c r="M1645" s="60"/>
    </row>
    <row r="1646" customFormat="false" ht="15" hidden="false" customHeight="false" outlineLevel="0" collapsed="false">
      <c r="A1646" s="54" t="s">
        <v>118</v>
      </c>
      <c r="B1646" s="55" t="s">
        <v>502</v>
      </c>
      <c r="C1646" s="56" t="s">
        <v>503</v>
      </c>
      <c r="D1646" s="57" t="s">
        <v>120</v>
      </c>
      <c r="E1646" s="57" t="s">
        <v>451</v>
      </c>
      <c r="F1646" s="61" t="s">
        <v>452</v>
      </c>
      <c r="G1646" s="61" t="s">
        <v>453</v>
      </c>
      <c r="H1646" s="57" t="s">
        <v>211</v>
      </c>
      <c r="I1646" s="58" t="n">
        <f aca="false">'P9-020'!$N$127</f>
        <v>46447</v>
      </c>
      <c r="J1646" s="58" t="n">
        <f aca="false">'P9-020'!$O$127</f>
        <v>46450</v>
      </c>
      <c r="K1646" s="56" t="str">
        <f aca="false">IF(OR(L1646="Y",LEFT('P9-020'!$T$127,1)="D"),"",IF(AND(ISNUMBER(J1646),J1646&lt;ASOF),"⚠ เลยกำหนด",IF(AND(ISNUMBER(I1646),I1646&lt;=ASOF+14,J1646&gt;=ASOF-7),"ช่วงนี้","")))</f>
        <v/>
      </c>
      <c r="L1646" s="59"/>
      <c r="M1646" s="60"/>
    </row>
  </sheetData>
  <sheetProtection sheet="true" formatColumns="false" formatRows="false" sort="false" autoFilter="false"/>
  <autoFilter ref="A6:M1646"/>
  <conditionalFormatting sqref="K7:K1646">
    <cfRule type="expression" priority="2" aboveAverage="0" equalAverage="0" bottom="0" percent="0" rank="0" text="" dxfId="14">
      <formula>LEFT(K7,1)="⚠"</formula>
    </cfRule>
    <cfRule type="expression" priority="3" aboveAverage="0" equalAverage="0" bottom="0" percent="0" rank="0" text="" dxfId="15">
      <formula>K7="ช่วงนี้"</formula>
    </cfRule>
  </conditionalFormatting>
  <conditionalFormatting sqref="L7:L1646">
    <cfRule type="expression" priority="4" aboveAverage="0" equalAverage="0" bottom="0" percent="0" rank="0" text="" dxfId="16">
      <formula>L7="Y"</formula>
    </cfRule>
    <cfRule type="expression" priority="5" aboveAverage="0" equalAverage="0" bottom="0" percent="0" rank="0" text="" dxfId="17">
      <formula>L7="S"</formula>
    </cfRule>
  </conditionalFormatting>
  <dataValidations count="2">
    <dataValidation allowBlank="true" errorStyle="stop" operator="between" showDropDown="false" showErrorMessage="false" showInputMessage="false" sqref="L7:L40 L44:L45 L48:L51 L54:L58 L60:L61 L63 L65:L66 L68:L124 L128:L129 L132:L135 L138:L142 L144:L145 L147 L149:L150 L152:L204 L208:L209 L212:L215 L218:L222 L224:L225 L227 L229:L230 L232:L287 L291:L292 L295:L298 L301:L305 L307:L308 L310 L312:L313 L315:L368 L372:L373 L376:L379 L382:L386 L388:L389 L391 L393:L394 L396:L452 L456:L457 L460:L463 L466:L470 L472:L473 L475 L477:L478 L480:L532 L536:L537 L540:L543 L546:L550 L552:L553 L555 L557:L558 L560:L615 L619:L620 L623:L626 L629:L633 L635:L636 L638 L640:L641 L643:L696 L700:L701 L704:L707 L710:L714 L716:L717 L719 L721:L722 L724:L780 L784:L785 L788:L791 L794:L798 L800:L801 L803 L805:L806 L808:L860 L864:L865 L868:L871 L874:L878 L880:L881 L883 L885:L886 L888:L943 L947:L948 L951:L954 L957:L961 L963:L964 L966 L968:L969 L971:L1024 L1028:L1029 L1032:L1035 L1038:L1042 L1044:L1045 L1047 L1049:L1050 L1052:L1108 L1112:L1113 L1116:L1119 L1122:L1126 L1128:L1129 L1131 L1133:L1134 L1136:L1188 L1192:L1193 L1196:L1199 L1202:L1206 L1208:L1209 L1211 L1213:L1214 L1216:L1271 L1275:L1276 L1279:L1282 L1285:L1289 L1291:L1292 L1294 L1296:L1297 L1299:L1352 L1356:L1357 L1360:L1363 L1366:L1370 L1372:L1373 L1375 L1377:L1378 L1380:L1436 L1440:L1441 L1444:L1447 L1450:L1454 L1456:L1457 L1459 L1461:L1462 L1464:L1516 L1520:L1521 L1524:L1527 L1530:L1534 L1536:L1537 L1539 L1541:L1542 L1544:L1599 L1603:L1604 L1607:L1610 L1613:L1617 L1619:L1620 L1622 L1624:L1625 L1627:L1646" type="list">
      <formula1>"Y"</formula1>
      <formula2>0</formula2>
    </dataValidation>
    <dataValidation allowBlank="true" errorStyle="stop" operator="between" showDropDown="false" showErrorMessage="false" showInputMessage="false" sqref="L41:L43 L46:L47 L52:L53 L59 L62 L64 L67 L125:L127 L130:L131 L136:L137 L143 L146 L148 L151 L205:L207 L210:L211 L216:L217 L223 L226 L228 L231 L288:L290 L293:L294 L299:L300 L306 L309 L311 L314 L369:L371 L374:L375 L380:L381 L387 L390 L392 L395 L453:L455 L458:L459 L464:L465 L471 L474 L476 L479 L533:L535 L538:L539 L544:L545 L551 L554 L556 L559 L616:L618 L621:L622 L627:L628 L634 L637 L639 L642 L697:L699 L702:L703 L708:L709 L715 L718 L720 L723 L781:L783 L786:L787 L792:L793 L799 L802 L804 L807 L861:L863 L866:L867 L872:L873 L879 L882 L884 L887 L944:L946 L949:L950 L955:L956 L962 L965 L967 L970 L1025:L1027 L1030:L1031 L1036:L1037 L1043 L1046 L1048 L1051 L1109:L1111 L1114:L1115 L1120:L1121 L1127 L1130 L1132 L1135 L1189:L1191 L1194:L1195 L1200:L1201 L1207 L1210 L1212 L1215 L1272:L1274 L1277:L1278 L1283:L1284 L1290 L1293 L1295 L1298 L1353:L1355 L1358:L1359 L1364:L1365 L1371 L1374 L1376 L1379 L1437:L1439 L1442:L1443 L1448:L1449 L1455 L1458 L1460 L1463 L1517:L1519 L1522:L1523 L1528:L1529 L1535 L1538 L1540 L1543 L1600:L1602 L1605:L1606 L1611:L1612 L1618 L1621 L1623 L1626" type="list">
      <formula1>"Y,S"</formula1>
      <formula2>0</formula2>
    </dataValidation>
  </dataValidations>
  <hyperlinks>
    <hyperlink ref="A7" location="'P9-001'!A10" display="P9-001"/>
    <hyperlink ref="A8" location="'P9-001'!A11" display="P9-001"/>
    <hyperlink ref="A9" location="'P9-001'!A12" display="P9-001"/>
    <hyperlink ref="A10" location="'P9-001'!A13" display="P9-001"/>
    <hyperlink ref="A11" location="'P9-001'!A14" display="P9-001"/>
    <hyperlink ref="A12" location="'P9-001'!A15" display="P9-001"/>
    <hyperlink ref="A13" location="'P9-001'!A17" display="P9-001"/>
    <hyperlink ref="A14" location="'P9-001'!A18" display="P9-001"/>
    <hyperlink ref="A15" location="'P9-001'!A19" display="P9-001"/>
    <hyperlink ref="A16" location="'P9-001'!A20" display="P9-001"/>
    <hyperlink ref="A17" location="'P9-001'!A21" display="P9-001"/>
    <hyperlink ref="A18" location="'P9-001'!A22" display="P9-001"/>
    <hyperlink ref="A19" location="'P9-001'!A23" display="P9-001"/>
    <hyperlink ref="A20" location="'P9-001'!A24" display="P9-001"/>
    <hyperlink ref="A21" location="'P9-001'!A26" display="P9-001"/>
    <hyperlink ref="A22" location="'P9-001'!A27" display="P9-001"/>
    <hyperlink ref="A23" location="'P9-001'!A28" display="P9-001"/>
    <hyperlink ref="A24" location="'P9-001'!A31" display="P9-001"/>
    <hyperlink ref="A25" location="'P9-001'!A32" display="P9-001"/>
    <hyperlink ref="A26" location="'P9-001'!A33" display="P9-001"/>
    <hyperlink ref="A27" location="'P9-001'!A35" display="P9-001"/>
    <hyperlink ref="A28" location="'P9-001'!A36" display="P9-001"/>
    <hyperlink ref="A29" location="'P9-001'!A37" display="P9-001"/>
    <hyperlink ref="A30" location="'P9-001'!A38" display="P9-001"/>
    <hyperlink ref="A31" location="'P9-001'!A40" display="P9-001"/>
    <hyperlink ref="A32" location="'P9-001'!A41" display="P9-001"/>
    <hyperlink ref="A33" location="'P9-001'!A42" display="P9-001"/>
    <hyperlink ref="A34" location="'P9-001'!A44" display="P9-001"/>
    <hyperlink ref="A35" location="'P9-001'!A45" display="P9-001"/>
    <hyperlink ref="A36" location="'P9-001'!A46" display="P9-001"/>
    <hyperlink ref="A37" location="'P9-001'!A53" display="P9-001"/>
    <hyperlink ref="A38" location="'P9-001'!A54" display="P9-001"/>
    <hyperlink ref="A39" location="'P9-001'!A63" display="P9-001"/>
    <hyperlink ref="A40" location="'P9-001'!A64" display="P9-001"/>
    <hyperlink ref="A41" location="'P9-001'!A65" display="P9-001"/>
    <hyperlink ref="A42" location="'P9-001'!A66" display="P9-001"/>
    <hyperlink ref="A43" location="'P9-001'!A67" display="P9-001"/>
    <hyperlink ref="A44" location="'P9-001'!A68" display="P9-001"/>
    <hyperlink ref="A45" location="'P9-001'!A69" display="P9-001"/>
    <hyperlink ref="A46" location="'P9-001'!A71" display="P9-001"/>
    <hyperlink ref="A47" location="'P9-001'!A72" display="P9-001"/>
    <hyperlink ref="A48" location="'P9-001'!A73" display="P9-001"/>
    <hyperlink ref="A49" location="'P9-001'!A74" display="P9-001"/>
    <hyperlink ref="A50" location="'P9-001'!A75" display="P9-001"/>
    <hyperlink ref="A51" location="'P9-001'!A77" display="P9-001"/>
    <hyperlink ref="A52" location="'P9-001'!A78" display="P9-001"/>
    <hyperlink ref="A53" location="'P9-001'!A79" display="P9-001"/>
    <hyperlink ref="A54" location="'P9-001'!A80" display="P9-001"/>
    <hyperlink ref="A55" location="'P9-001'!A81" display="P9-001"/>
    <hyperlink ref="A56" location="'P9-001'!A83" display="P9-001"/>
    <hyperlink ref="A57" location="'P9-001'!A84" display="P9-001"/>
    <hyperlink ref="A58" location="'P9-001'!A86" display="P9-001"/>
    <hyperlink ref="A59" location="'P9-001'!A87" display="P9-001"/>
    <hyperlink ref="A60" location="'P9-001'!A88" display="P9-001"/>
    <hyperlink ref="A61" location="'P9-001'!A89" display="P9-001"/>
    <hyperlink ref="A62" location="'P9-001'!A91" display="P9-001"/>
    <hyperlink ref="A63" location="'P9-001'!A92" display="P9-001"/>
    <hyperlink ref="A64" location="'P9-001'!A93" display="P9-001"/>
    <hyperlink ref="A65" location="'P9-001'!A94" display="P9-001"/>
    <hyperlink ref="A66" location="'P9-001'!A95" display="P9-001"/>
    <hyperlink ref="A67" location="'P9-001'!A97" display="P9-001"/>
    <hyperlink ref="A68" location="'P9-001'!A98" display="P9-001"/>
    <hyperlink ref="A69" location="'P9-001'!A99" display="P9-001"/>
    <hyperlink ref="A70" location="'P9-001'!A102" display="P9-001"/>
    <hyperlink ref="A71" location="'P9-001'!A104" display="P9-001"/>
    <hyperlink ref="A72" location="'P9-001'!A105" display="P9-001"/>
    <hyperlink ref="A73" location="'P9-001'!A106" display="P9-001"/>
    <hyperlink ref="A74" location="'P9-001'!A108" display="P9-001"/>
    <hyperlink ref="A75" location="'P9-001'!A109" display="P9-001"/>
    <hyperlink ref="A76" location="'P9-001'!A110" display="P9-001"/>
    <hyperlink ref="A77" location="'P9-001'!A112" display="P9-001"/>
    <hyperlink ref="A78" location="'P9-001'!A113" display="P9-001"/>
    <hyperlink ref="A79" location="'P9-001'!A116" display="P9-001"/>
    <hyperlink ref="A80" location="'P9-001'!A117" display="P9-001"/>
    <hyperlink ref="A81" location="'P9-001'!A118" display="P9-001"/>
    <hyperlink ref="A82" location="'P9-001'!A119" display="P9-001"/>
    <hyperlink ref="A83" location="'P9-001'!A120" display="P9-001"/>
    <hyperlink ref="A84" location="'P9-001'!A121" display="P9-001"/>
    <hyperlink ref="A85" location="'P9-001'!A125" display="P9-001"/>
    <hyperlink ref="A86" location="'P9-001'!A126" display="P9-001"/>
    <hyperlink ref="A87" location="'P9-001'!A127" display="P9-001"/>
    <hyperlink ref="A88" location="'P9-002'!A10" display="P9-002"/>
    <hyperlink ref="A89" location="'P9-002'!A11" display="P9-002"/>
    <hyperlink ref="A90" location="'P9-002'!A12" display="P9-002"/>
    <hyperlink ref="A91" location="'P9-002'!A13" display="P9-002"/>
    <hyperlink ref="A92" location="'P9-002'!A14" display="P9-002"/>
    <hyperlink ref="A93" location="'P9-002'!A15" display="P9-002"/>
    <hyperlink ref="A94" location="'P9-002'!A17" display="P9-002"/>
    <hyperlink ref="A95" location="'P9-002'!A18" display="P9-002"/>
    <hyperlink ref="A96" location="'P9-002'!A19" display="P9-002"/>
    <hyperlink ref="A97" location="'P9-002'!A20" display="P9-002"/>
    <hyperlink ref="A98" location="'P9-002'!A21" display="P9-002"/>
    <hyperlink ref="A99" location="'P9-002'!A22" display="P9-002"/>
    <hyperlink ref="A100" location="'P9-002'!A23" display="P9-002"/>
    <hyperlink ref="A101" location="'P9-002'!A24" display="P9-002"/>
    <hyperlink ref="A102" location="'P9-002'!A26" display="P9-002"/>
    <hyperlink ref="A103" location="'P9-002'!A27" display="P9-002"/>
    <hyperlink ref="A104" location="'P9-002'!A28" display="P9-002"/>
    <hyperlink ref="A105" location="'P9-002'!A31" display="P9-002"/>
    <hyperlink ref="A106" location="'P9-002'!A32" display="P9-002"/>
    <hyperlink ref="A107" location="'P9-002'!A33" display="P9-002"/>
    <hyperlink ref="A108" location="'P9-002'!A35" display="P9-002"/>
    <hyperlink ref="A109" location="'P9-002'!A36" display="P9-002"/>
    <hyperlink ref="A110" location="'P9-002'!A37" display="P9-002"/>
    <hyperlink ref="A111" location="'P9-002'!A38" display="P9-002"/>
    <hyperlink ref="A112" location="'P9-002'!A40" display="P9-002"/>
    <hyperlink ref="A113" location="'P9-002'!A41" display="P9-002"/>
    <hyperlink ref="A114" location="'P9-002'!A42" display="P9-002"/>
    <hyperlink ref="A115" location="'P9-002'!A44" display="P9-002"/>
    <hyperlink ref="A116" location="'P9-002'!A45" display="P9-002"/>
    <hyperlink ref="A117" location="'P9-002'!A46" display="P9-002"/>
    <hyperlink ref="A118" location="'P9-002'!A48" display="P9-002"/>
    <hyperlink ref="A119" location="'P9-002'!A49" display="P9-002"/>
    <hyperlink ref="A120" location="'P9-002'!A51" display="P9-002"/>
    <hyperlink ref="A121" location="'P9-002'!A53" display="P9-002"/>
    <hyperlink ref="A122" location="'P9-002'!A54" display="P9-002"/>
    <hyperlink ref="A123" location="'P9-002'!A63" display="P9-002"/>
    <hyperlink ref="A124" location="'P9-002'!A64" display="P9-002"/>
    <hyperlink ref="A125" location="'P9-002'!A65" display="P9-002"/>
    <hyperlink ref="A126" location="'P9-002'!A66" display="P9-002"/>
    <hyperlink ref="A127" location="'P9-002'!A67" display="P9-002"/>
    <hyperlink ref="A128" location="'P9-002'!A68" display="P9-002"/>
    <hyperlink ref="A129" location="'P9-002'!A69" display="P9-002"/>
    <hyperlink ref="A130" location="'P9-002'!A71" display="P9-002"/>
    <hyperlink ref="A131" location="'P9-002'!A72" display="P9-002"/>
    <hyperlink ref="A132" location="'P9-002'!A73" display="P9-002"/>
    <hyperlink ref="A133" location="'P9-002'!A74" display="P9-002"/>
    <hyperlink ref="A134" location="'P9-002'!A75" display="P9-002"/>
    <hyperlink ref="A135" location="'P9-002'!A77" display="P9-002"/>
    <hyperlink ref="A136" location="'P9-002'!A78" display="P9-002"/>
    <hyperlink ref="A137" location="'P9-002'!A79" display="P9-002"/>
    <hyperlink ref="A138" location="'P9-002'!A80" display="P9-002"/>
    <hyperlink ref="A139" location="'P9-002'!A81" display="P9-002"/>
    <hyperlink ref="A140" location="'P9-002'!A83" display="P9-002"/>
    <hyperlink ref="A141" location="'P9-002'!A84" display="P9-002"/>
    <hyperlink ref="A142" location="'P9-002'!A86" display="P9-002"/>
    <hyperlink ref="A143" location="'P9-002'!A87" display="P9-002"/>
    <hyperlink ref="A144" location="'P9-002'!A88" display="P9-002"/>
    <hyperlink ref="A145" location="'P9-002'!A89" display="P9-002"/>
    <hyperlink ref="A146" location="'P9-002'!A91" display="P9-002"/>
    <hyperlink ref="A147" location="'P9-002'!A92" display="P9-002"/>
    <hyperlink ref="A148" location="'P9-002'!A93" display="P9-002"/>
    <hyperlink ref="A149" location="'P9-002'!A94" display="P9-002"/>
    <hyperlink ref="A150" location="'P9-002'!A95" display="P9-002"/>
    <hyperlink ref="A151" location="'P9-002'!A97" display="P9-002"/>
    <hyperlink ref="A152" location="'P9-002'!A98" display="P9-002"/>
    <hyperlink ref="A153" location="'P9-002'!A99" display="P9-002"/>
    <hyperlink ref="A154" location="'P9-002'!A102" display="P9-002"/>
    <hyperlink ref="A155" location="'P9-002'!A104" display="P9-002"/>
    <hyperlink ref="A156" location="'P9-002'!A105" display="P9-002"/>
    <hyperlink ref="A157" location="'P9-002'!A106" display="P9-002"/>
    <hyperlink ref="A158" location="'P9-002'!A108" display="P9-002"/>
    <hyperlink ref="A159" location="'P9-002'!A109" display="P9-002"/>
    <hyperlink ref="A160" location="'P9-002'!A110" display="P9-002"/>
    <hyperlink ref="A161" location="'P9-002'!A112" display="P9-002"/>
    <hyperlink ref="A162" location="'P9-002'!A113" display="P9-002"/>
    <hyperlink ref="A163" location="'P9-002'!A116" display="P9-002"/>
    <hyperlink ref="A164" location="'P9-002'!A117" display="P9-002"/>
    <hyperlink ref="A165" location="'P9-002'!A118" display="P9-002"/>
    <hyperlink ref="A166" location="'P9-002'!A119" display="P9-002"/>
    <hyperlink ref="A167" location="'P9-002'!A120" display="P9-002"/>
    <hyperlink ref="A168" location="'P9-002'!A121" display="P9-002"/>
    <hyperlink ref="A169" location="'P9-002'!A125" display="P9-002"/>
    <hyperlink ref="A170" location="'P9-002'!A126" display="P9-002"/>
    <hyperlink ref="A171" location="'P9-002'!A127" display="P9-002"/>
    <hyperlink ref="A172" location="'P9-003'!A10" display="P9-003"/>
    <hyperlink ref="A173" location="'P9-003'!A11" display="P9-003"/>
    <hyperlink ref="A174" location="'P9-003'!A12" display="P9-003"/>
    <hyperlink ref="A175" location="'P9-003'!A13" display="P9-003"/>
    <hyperlink ref="A176" location="'P9-003'!A14" display="P9-003"/>
    <hyperlink ref="A177" location="'P9-003'!A15" display="P9-003"/>
    <hyperlink ref="A178" location="'P9-003'!A17" display="P9-003"/>
    <hyperlink ref="A179" location="'P9-003'!A18" display="P9-003"/>
    <hyperlink ref="A180" location="'P9-003'!A19" display="P9-003"/>
    <hyperlink ref="A181" location="'P9-003'!A20" display="P9-003"/>
    <hyperlink ref="A182" location="'P9-003'!A21" display="P9-003"/>
    <hyperlink ref="A183" location="'P9-003'!A22" display="P9-003"/>
    <hyperlink ref="A184" location="'P9-003'!A24" display="P9-003"/>
    <hyperlink ref="A185" location="'P9-003'!A26" display="P9-003"/>
    <hyperlink ref="A186" location="'P9-003'!A27" display="P9-003"/>
    <hyperlink ref="A187" location="'P9-003'!A28" display="P9-003"/>
    <hyperlink ref="A188" location="'P9-003'!A31" display="P9-003"/>
    <hyperlink ref="A189" location="'P9-003'!A32" display="P9-003"/>
    <hyperlink ref="A190" location="'P9-003'!A33" display="P9-003"/>
    <hyperlink ref="A191" location="'P9-003'!A35" display="P9-003"/>
    <hyperlink ref="A192" location="'P9-003'!A36" display="P9-003"/>
    <hyperlink ref="A193" location="'P9-003'!A37" display="P9-003"/>
    <hyperlink ref="A194" location="'P9-003'!A38" display="P9-003"/>
    <hyperlink ref="A195" location="'P9-003'!A40" display="P9-003"/>
    <hyperlink ref="A196" location="'P9-003'!A41" display="P9-003"/>
    <hyperlink ref="A197" location="'P9-003'!A42" display="P9-003"/>
    <hyperlink ref="A198" location="'P9-003'!A44" display="P9-003"/>
    <hyperlink ref="A199" location="'P9-003'!A45" display="P9-003"/>
    <hyperlink ref="A200" location="'P9-003'!A46" display="P9-003"/>
    <hyperlink ref="A201" location="'P9-003'!A53" display="P9-003"/>
    <hyperlink ref="A202" location="'P9-003'!A54" display="P9-003"/>
    <hyperlink ref="A203" location="'P9-003'!A63" display="P9-003"/>
    <hyperlink ref="A204" location="'P9-003'!A64" display="P9-003"/>
    <hyperlink ref="A205" location="'P9-003'!A65" display="P9-003"/>
    <hyperlink ref="A206" location="'P9-003'!A66" display="P9-003"/>
    <hyperlink ref="A207" location="'P9-003'!A67" display="P9-003"/>
    <hyperlink ref="A208" location="'P9-003'!A68" display="P9-003"/>
    <hyperlink ref="A209" location="'P9-003'!A69" display="P9-003"/>
    <hyperlink ref="A210" location="'P9-003'!A71" display="P9-003"/>
    <hyperlink ref="A211" location="'P9-003'!A72" display="P9-003"/>
    <hyperlink ref="A212" location="'P9-003'!A73" display="P9-003"/>
    <hyperlink ref="A213" location="'P9-003'!A74" display="P9-003"/>
    <hyperlink ref="A214" location="'P9-003'!A75" display="P9-003"/>
    <hyperlink ref="A215" location="'P9-003'!A77" display="P9-003"/>
    <hyperlink ref="A216" location="'P9-003'!A78" display="P9-003"/>
    <hyperlink ref="A217" location="'P9-003'!A79" display="P9-003"/>
    <hyperlink ref="A218" location="'P9-003'!A80" display="P9-003"/>
    <hyperlink ref="A219" location="'P9-003'!A81" display="P9-003"/>
    <hyperlink ref="A220" location="'P9-003'!A83" display="P9-003"/>
    <hyperlink ref="A221" location="'P9-003'!A84" display="P9-003"/>
    <hyperlink ref="A222" location="'P9-003'!A86" display="P9-003"/>
    <hyperlink ref="A223" location="'P9-003'!A87" display="P9-003"/>
    <hyperlink ref="A224" location="'P9-003'!A88" display="P9-003"/>
    <hyperlink ref="A225" location="'P9-003'!A89" display="P9-003"/>
    <hyperlink ref="A226" location="'P9-003'!A91" display="P9-003"/>
    <hyperlink ref="A227" location="'P9-003'!A92" display="P9-003"/>
    <hyperlink ref="A228" location="'P9-003'!A93" display="P9-003"/>
    <hyperlink ref="A229" location="'P9-003'!A94" display="P9-003"/>
    <hyperlink ref="A230" location="'P9-003'!A95" display="P9-003"/>
    <hyperlink ref="A231" location="'P9-003'!A97" display="P9-003"/>
    <hyperlink ref="A232" location="'P9-003'!A98" display="P9-003"/>
    <hyperlink ref="A233" location="'P9-003'!A99" display="P9-003"/>
    <hyperlink ref="A234" location="'P9-003'!A103" display="P9-003"/>
    <hyperlink ref="A235" location="'P9-003'!A104" display="P9-003"/>
    <hyperlink ref="A236" location="'P9-003'!A105" display="P9-003"/>
    <hyperlink ref="A237" location="'P9-003'!A106" display="P9-003"/>
    <hyperlink ref="A238" location="'P9-003'!A108" display="P9-003"/>
    <hyperlink ref="A239" location="'P9-003'!A109" display="P9-003"/>
    <hyperlink ref="A240" location="'P9-003'!A110" display="P9-003"/>
    <hyperlink ref="A241" location="'P9-003'!A112" display="P9-003"/>
    <hyperlink ref="A242" location="'P9-003'!A113" display="P9-003"/>
    <hyperlink ref="A243" location="'P9-003'!A116" display="P9-003"/>
    <hyperlink ref="A244" location="'P9-003'!A117" display="P9-003"/>
    <hyperlink ref="A245" location="'P9-003'!A118" display="P9-003"/>
    <hyperlink ref="A246" location="'P9-003'!A119" display="P9-003"/>
    <hyperlink ref="A247" location="'P9-003'!A120" display="P9-003"/>
    <hyperlink ref="A248" location="'P9-003'!A121" display="P9-003"/>
    <hyperlink ref="A249" location="'P9-003'!A125" display="P9-003"/>
    <hyperlink ref="A250" location="'P9-003'!A126" display="P9-003"/>
    <hyperlink ref="A251" location="'P9-003'!A127" display="P9-003"/>
    <hyperlink ref="A252" location="'P9-004'!A10" display="P9-004"/>
    <hyperlink ref="A253" location="'P9-004'!A11" display="P9-004"/>
    <hyperlink ref="A254" location="'P9-004'!A12" display="P9-004"/>
    <hyperlink ref="A255" location="'P9-004'!A13" display="P9-004"/>
    <hyperlink ref="A256" location="'P9-004'!A14" display="P9-004"/>
    <hyperlink ref="A257" location="'P9-004'!A15" display="P9-004"/>
    <hyperlink ref="A258" location="'P9-004'!A17" display="P9-004"/>
    <hyperlink ref="A259" location="'P9-004'!A18" display="P9-004"/>
    <hyperlink ref="A260" location="'P9-004'!A19" display="P9-004"/>
    <hyperlink ref="A261" location="'P9-004'!A20" display="P9-004"/>
    <hyperlink ref="A262" location="'P9-004'!A21" display="P9-004"/>
    <hyperlink ref="A263" location="'P9-004'!A22" display="P9-004"/>
    <hyperlink ref="A264" location="'P9-004'!A24" display="P9-004"/>
    <hyperlink ref="A265" location="'P9-004'!A26" display="P9-004"/>
    <hyperlink ref="A266" location="'P9-004'!A27" display="P9-004"/>
    <hyperlink ref="A267" location="'P9-004'!A28" display="P9-004"/>
    <hyperlink ref="A268" location="'P9-004'!A31" display="P9-004"/>
    <hyperlink ref="A269" location="'P9-004'!A32" display="P9-004"/>
    <hyperlink ref="A270" location="'P9-004'!A33" display="P9-004"/>
    <hyperlink ref="A271" location="'P9-004'!A35" display="P9-004"/>
    <hyperlink ref="A272" location="'P9-004'!A36" display="P9-004"/>
    <hyperlink ref="A273" location="'P9-004'!A37" display="P9-004"/>
    <hyperlink ref="A274" location="'P9-004'!A38" display="P9-004"/>
    <hyperlink ref="A275" location="'P9-004'!A40" display="P9-004"/>
    <hyperlink ref="A276" location="'P9-004'!A41" display="P9-004"/>
    <hyperlink ref="A277" location="'P9-004'!A42" display="P9-004"/>
    <hyperlink ref="A278" location="'P9-004'!A44" display="P9-004"/>
    <hyperlink ref="A279" location="'P9-004'!A45" display="P9-004"/>
    <hyperlink ref="A280" location="'P9-004'!A46" display="P9-004"/>
    <hyperlink ref="A281" location="'P9-004'!A48" display="P9-004"/>
    <hyperlink ref="A282" location="'P9-004'!A49" display="P9-004"/>
    <hyperlink ref="A283" location="'P9-004'!A51" display="P9-004"/>
    <hyperlink ref="A284" location="'P9-004'!A53" display="P9-004"/>
    <hyperlink ref="A285" location="'P9-004'!A54" display="P9-004"/>
    <hyperlink ref="A286" location="'P9-004'!A63" display="P9-004"/>
    <hyperlink ref="A287" location="'P9-004'!A64" display="P9-004"/>
    <hyperlink ref="A288" location="'P9-004'!A65" display="P9-004"/>
    <hyperlink ref="A289" location="'P9-004'!A66" display="P9-004"/>
    <hyperlink ref="A290" location="'P9-004'!A67" display="P9-004"/>
    <hyperlink ref="A291" location="'P9-004'!A68" display="P9-004"/>
    <hyperlink ref="A292" location="'P9-004'!A69" display="P9-004"/>
    <hyperlink ref="A293" location="'P9-004'!A71" display="P9-004"/>
    <hyperlink ref="A294" location="'P9-004'!A72" display="P9-004"/>
    <hyperlink ref="A295" location="'P9-004'!A73" display="P9-004"/>
    <hyperlink ref="A296" location="'P9-004'!A74" display="P9-004"/>
    <hyperlink ref="A297" location="'P9-004'!A75" display="P9-004"/>
    <hyperlink ref="A298" location="'P9-004'!A77" display="P9-004"/>
    <hyperlink ref="A299" location="'P9-004'!A78" display="P9-004"/>
    <hyperlink ref="A300" location="'P9-004'!A79" display="P9-004"/>
    <hyperlink ref="A301" location="'P9-004'!A80" display="P9-004"/>
    <hyperlink ref="A302" location="'P9-004'!A81" display="P9-004"/>
    <hyperlink ref="A303" location="'P9-004'!A83" display="P9-004"/>
    <hyperlink ref="A304" location="'P9-004'!A84" display="P9-004"/>
    <hyperlink ref="A305" location="'P9-004'!A86" display="P9-004"/>
    <hyperlink ref="A306" location="'P9-004'!A87" display="P9-004"/>
    <hyperlink ref="A307" location="'P9-004'!A88" display="P9-004"/>
    <hyperlink ref="A308" location="'P9-004'!A89" display="P9-004"/>
    <hyperlink ref="A309" location="'P9-004'!A91" display="P9-004"/>
    <hyperlink ref="A310" location="'P9-004'!A92" display="P9-004"/>
    <hyperlink ref="A311" location="'P9-004'!A93" display="P9-004"/>
    <hyperlink ref="A312" location="'P9-004'!A94" display="P9-004"/>
    <hyperlink ref="A313" location="'P9-004'!A95" display="P9-004"/>
    <hyperlink ref="A314" location="'P9-004'!A97" display="P9-004"/>
    <hyperlink ref="A315" location="'P9-004'!A98" display="P9-004"/>
    <hyperlink ref="A316" location="'P9-004'!A99" display="P9-004"/>
    <hyperlink ref="A317" location="'P9-004'!A103" display="P9-004"/>
    <hyperlink ref="A318" location="'P9-004'!A104" display="P9-004"/>
    <hyperlink ref="A319" location="'P9-004'!A105" display="P9-004"/>
    <hyperlink ref="A320" location="'P9-004'!A106" display="P9-004"/>
    <hyperlink ref="A321" location="'P9-004'!A108" display="P9-004"/>
    <hyperlink ref="A322" location="'P9-004'!A109" display="P9-004"/>
    <hyperlink ref="A323" location="'P9-004'!A110" display="P9-004"/>
    <hyperlink ref="A324" location="'P9-004'!A112" display="P9-004"/>
    <hyperlink ref="A325" location="'P9-004'!A113" display="P9-004"/>
    <hyperlink ref="A326" location="'P9-004'!A116" display="P9-004"/>
    <hyperlink ref="A327" location="'P9-004'!A117" display="P9-004"/>
    <hyperlink ref="A328" location="'P9-004'!A118" display="P9-004"/>
    <hyperlink ref="A329" location="'P9-004'!A119" display="P9-004"/>
    <hyperlink ref="A330" location="'P9-004'!A120" display="P9-004"/>
    <hyperlink ref="A331" location="'P9-004'!A121" display="P9-004"/>
    <hyperlink ref="A332" location="'P9-004'!A125" display="P9-004"/>
    <hyperlink ref="A333" location="'P9-004'!A126" display="P9-004"/>
    <hyperlink ref="A334" location="'P9-004'!A127" display="P9-004"/>
    <hyperlink ref="A335" location="'P9-005'!A10" display="P9-005"/>
    <hyperlink ref="A336" location="'P9-005'!A11" display="P9-005"/>
    <hyperlink ref="A337" location="'P9-005'!A12" display="P9-005"/>
    <hyperlink ref="A338" location="'P9-005'!A13" display="P9-005"/>
    <hyperlink ref="A339" location="'P9-005'!A14" display="P9-005"/>
    <hyperlink ref="A340" location="'P9-005'!A15" display="P9-005"/>
    <hyperlink ref="A341" location="'P9-005'!A17" display="P9-005"/>
    <hyperlink ref="A342" location="'P9-005'!A18" display="P9-005"/>
    <hyperlink ref="A343" location="'P9-005'!A19" display="P9-005"/>
    <hyperlink ref="A344" location="'P9-005'!A20" display="P9-005"/>
    <hyperlink ref="A345" location="'P9-005'!A21" display="P9-005"/>
    <hyperlink ref="A346" location="'P9-005'!A22" display="P9-005"/>
    <hyperlink ref="A347" location="'P9-005'!A23" display="P9-005"/>
    <hyperlink ref="A348" location="'P9-005'!A24" display="P9-005"/>
    <hyperlink ref="A349" location="'P9-005'!A26" display="P9-005"/>
    <hyperlink ref="A350" location="'P9-005'!A27" display="P9-005"/>
    <hyperlink ref="A351" location="'P9-005'!A28" display="P9-005"/>
    <hyperlink ref="A352" location="'P9-005'!A31" display="P9-005"/>
    <hyperlink ref="A353" location="'P9-005'!A32" display="P9-005"/>
    <hyperlink ref="A354" location="'P9-005'!A33" display="P9-005"/>
    <hyperlink ref="A355" location="'P9-005'!A35" display="P9-005"/>
    <hyperlink ref="A356" location="'P9-005'!A36" display="P9-005"/>
    <hyperlink ref="A357" location="'P9-005'!A37" display="P9-005"/>
    <hyperlink ref="A358" location="'P9-005'!A38" display="P9-005"/>
    <hyperlink ref="A359" location="'P9-005'!A40" display="P9-005"/>
    <hyperlink ref="A360" location="'P9-005'!A41" display="P9-005"/>
    <hyperlink ref="A361" location="'P9-005'!A42" display="P9-005"/>
    <hyperlink ref="A362" location="'P9-005'!A44" display="P9-005"/>
    <hyperlink ref="A363" location="'P9-005'!A45" display="P9-005"/>
    <hyperlink ref="A364" location="'P9-005'!A46" display="P9-005"/>
    <hyperlink ref="A365" location="'P9-005'!A53" display="P9-005"/>
    <hyperlink ref="A366" location="'P9-005'!A54" display="P9-005"/>
    <hyperlink ref="A367" location="'P9-005'!A63" display="P9-005"/>
    <hyperlink ref="A368" location="'P9-005'!A64" display="P9-005"/>
    <hyperlink ref="A369" location="'P9-005'!A65" display="P9-005"/>
    <hyperlink ref="A370" location="'P9-005'!A66" display="P9-005"/>
    <hyperlink ref="A371" location="'P9-005'!A67" display="P9-005"/>
    <hyperlink ref="A372" location="'P9-005'!A68" display="P9-005"/>
    <hyperlink ref="A373" location="'P9-005'!A69" display="P9-005"/>
    <hyperlink ref="A374" location="'P9-005'!A71" display="P9-005"/>
    <hyperlink ref="A375" location="'P9-005'!A72" display="P9-005"/>
    <hyperlink ref="A376" location="'P9-005'!A73" display="P9-005"/>
    <hyperlink ref="A377" location="'P9-005'!A74" display="P9-005"/>
    <hyperlink ref="A378" location="'P9-005'!A75" display="P9-005"/>
    <hyperlink ref="A379" location="'P9-005'!A77" display="P9-005"/>
    <hyperlink ref="A380" location="'P9-005'!A78" display="P9-005"/>
    <hyperlink ref="A381" location="'P9-005'!A79" display="P9-005"/>
    <hyperlink ref="A382" location="'P9-005'!A80" display="P9-005"/>
    <hyperlink ref="A383" location="'P9-005'!A81" display="P9-005"/>
    <hyperlink ref="A384" location="'P9-005'!A83" display="P9-005"/>
    <hyperlink ref="A385" location="'P9-005'!A84" display="P9-005"/>
    <hyperlink ref="A386" location="'P9-005'!A86" display="P9-005"/>
    <hyperlink ref="A387" location="'P9-005'!A87" display="P9-005"/>
    <hyperlink ref="A388" location="'P9-005'!A88" display="P9-005"/>
    <hyperlink ref="A389" location="'P9-005'!A89" display="P9-005"/>
    <hyperlink ref="A390" location="'P9-005'!A91" display="P9-005"/>
    <hyperlink ref="A391" location="'P9-005'!A92" display="P9-005"/>
    <hyperlink ref="A392" location="'P9-005'!A93" display="P9-005"/>
    <hyperlink ref="A393" location="'P9-005'!A94" display="P9-005"/>
    <hyperlink ref="A394" location="'P9-005'!A95" display="P9-005"/>
    <hyperlink ref="A395" location="'P9-005'!A97" display="P9-005"/>
    <hyperlink ref="A396" location="'P9-005'!A98" display="P9-005"/>
    <hyperlink ref="A397" location="'P9-005'!A99" display="P9-005"/>
    <hyperlink ref="A398" location="'P9-005'!A102" display="P9-005"/>
    <hyperlink ref="A399" location="'P9-005'!A104" display="P9-005"/>
    <hyperlink ref="A400" location="'P9-005'!A105" display="P9-005"/>
    <hyperlink ref="A401" location="'P9-005'!A106" display="P9-005"/>
    <hyperlink ref="A402" location="'P9-005'!A108" display="P9-005"/>
    <hyperlink ref="A403" location="'P9-005'!A109" display="P9-005"/>
    <hyperlink ref="A404" location="'P9-005'!A110" display="P9-005"/>
    <hyperlink ref="A405" location="'P9-005'!A112" display="P9-005"/>
    <hyperlink ref="A406" location="'P9-005'!A113" display="P9-005"/>
    <hyperlink ref="A407" location="'P9-005'!A116" display="P9-005"/>
    <hyperlink ref="A408" location="'P9-005'!A117" display="P9-005"/>
    <hyperlink ref="A409" location="'P9-005'!A118" display="P9-005"/>
    <hyperlink ref="A410" location="'P9-005'!A119" display="P9-005"/>
    <hyperlink ref="A411" location="'P9-005'!A120" display="P9-005"/>
    <hyperlink ref="A412" location="'P9-005'!A121" display="P9-005"/>
    <hyperlink ref="A413" location="'P9-005'!A125" display="P9-005"/>
    <hyperlink ref="A414" location="'P9-005'!A126" display="P9-005"/>
    <hyperlink ref="A415" location="'P9-005'!A127" display="P9-005"/>
    <hyperlink ref="A416" location="'P9-006'!A10" display="P9-006"/>
    <hyperlink ref="A417" location="'P9-006'!A11" display="P9-006"/>
    <hyperlink ref="A418" location="'P9-006'!A12" display="P9-006"/>
    <hyperlink ref="A419" location="'P9-006'!A13" display="P9-006"/>
    <hyperlink ref="A420" location="'P9-006'!A14" display="P9-006"/>
    <hyperlink ref="A421" location="'P9-006'!A15" display="P9-006"/>
    <hyperlink ref="A422" location="'P9-006'!A17" display="P9-006"/>
    <hyperlink ref="A423" location="'P9-006'!A18" display="P9-006"/>
    <hyperlink ref="A424" location="'P9-006'!A19" display="P9-006"/>
    <hyperlink ref="A425" location="'P9-006'!A20" display="P9-006"/>
    <hyperlink ref="A426" location="'P9-006'!A21" display="P9-006"/>
    <hyperlink ref="A427" location="'P9-006'!A22" display="P9-006"/>
    <hyperlink ref="A428" location="'P9-006'!A23" display="P9-006"/>
    <hyperlink ref="A429" location="'P9-006'!A24" display="P9-006"/>
    <hyperlink ref="A430" location="'P9-006'!A26" display="P9-006"/>
    <hyperlink ref="A431" location="'P9-006'!A27" display="P9-006"/>
    <hyperlink ref="A432" location="'P9-006'!A28" display="P9-006"/>
    <hyperlink ref="A433" location="'P9-006'!A31" display="P9-006"/>
    <hyperlink ref="A434" location="'P9-006'!A32" display="P9-006"/>
    <hyperlink ref="A435" location="'P9-006'!A33" display="P9-006"/>
    <hyperlink ref="A436" location="'P9-006'!A35" display="P9-006"/>
    <hyperlink ref="A437" location="'P9-006'!A36" display="P9-006"/>
    <hyperlink ref="A438" location="'P9-006'!A37" display="P9-006"/>
    <hyperlink ref="A439" location="'P9-006'!A38" display="P9-006"/>
    <hyperlink ref="A440" location="'P9-006'!A40" display="P9-006"/>
    <hyperlink ref="A441" location="'P9-006'!A41" display="P9-006"/>
    <hyperlink ref="A442" location="'P9-006'!A42" display="P9-006"/>
    <hyperlink ref="A443" location="'P9-006'!A44" display="P9-006"/>
    <hyperlink ref="A444" location="'P9-006'!A45" display="P9-006"/>
    <hyperlink ref="A445" location="'P9-006'!A46" display="P9-006"/>
    <hyperlink ref="A446" location="'P9-006'!A48" display="P9-006"/>
    <hyperlink ref="A447" location="'P9-006'!A49" display="P9-006"/>
    <hyperlink ref="A448" location="'P9-006'!A51" display="P9-006"/>
    <hyperlink ref="A449" location="'P9-006'!A53" display="P9-006"/>
    <hyperlink ref="A450" location="'P9-006'!A54" display="P9-006"/>
    <hyperlink ref="A451" location="'P9-006'!A63" display="P9-006"/>
    <hyperlink ref="A452" location="'P9-006'!A64" display="P9-006"/>
    <hyperlink ref="A453" location="'P9-006'!A65" display="P9-006"/>
    <hyperlink ref="A454" location="'P9-006'!A66" display="P9-006"/>
    <hyperlink ref="A455" location="'P9-006'!A67" display="P9-006"/>
    <hyperlink ref="A456" location="'P9-006'!A68" display="P9-006"/>
    <hyperlink ref="A457" location="'P9-006'!A69" display="P9-006"/>
    <hyperlink ref="A458" location="'P9-006'!A71" display="P9-006"/>
    <hyperlink ref="A459" location="'P9-006'!A72" display="P9-006"/>
    <hyperlink ref="A460" location="'P9-006'!A73" display="P9-006"/>
    <hyperlink ref="A461" location="'P9-006'!A74" display="P9-006"/>
    <hyperlink ref="A462" location="'P9-006'!A75" display="P9-006"/>
    <hyperlink ref="A463" location="'P9-006'!A77" display="P9-006"/>
    <hyperlink ref="A464" location="'P9-006'!A78" display="P9-006"/>
    <hyperlink ref="A465" location="'P9-006'!A79" display="P9-006"/>
    <hyperlink ref="A466" location="'P9-006'!A80" display="P9-006"/>
    <hyperlink ref="A467" location="'P9-006'!A81" display="P9-006"/>
    <hyperlink ref="A468" location="'P9-006'!A83" display="P9-006"/>
    <hyperlink ref="A469" location="'P9-006'!A84" display="P9-006"/>
    <hyperlink ref="A470" location="'P9-006'!A86" display="P9-006"/>
    <hyperlink ref="A471" location="'P9-006'!A87" display="P9-006"/>
    <hyperlink ref="A472" location="'P9-006'!A88" display="P9-006"/>
    <hyperlink ref="A473" location="'P9-006'!A89" display="P9-006"/>
    <hyperlink ref="A474" location="'P9-006'!A91" display="P9-006"/>
    <hyperlink ref="A475" location="'P9-006'!A92" display="P9-006"/>
    <hyperlink ref="A476" location="'P9-006'!A93" display="P9-006"/>
    <hyperlink ref="A477" location="'P9-006'!A94" display="P9-006"/>
    <hyperlink ref="A478" location="'P9-006'!A95" display="P9-006"/>
    <hyperlink ref="A479" location="'P9-006'!A97" display="P9-006"/>
    <hyperlink ref="A480" location="'P9-006'!A98" display="P9-006"/>
    <hyperlink ref="A481" location="'P9-006'!A99" display="P9-006"/>
    <hyperlink ref="A482" location="'P9-006'!A102" display="P9-006"/>
    <hyperlink ref="A483" location="'P9-006'!A104" display="P9-006"/>
    <hyperlink ref="A484" location="'P9-006'!A105" display="P9-006"/>
    <hyperlink ref="A485" location="'P9-006'!A106" display="P9-006"/>
    <hyperlink ref="A486" location="'P9-006'!A108" display="P9-006"/>
    <hyperlink ref="A487" location="'P9-006'!A109" display="P9-006"/>
    <hyperlink ref="A488" location="'P9-006'!A110" display="P9-006"/>
    <hyperlink ref="A489" location="'P9-006'!A112" display="P9-006"/>
    <hyperlink ref="A490" location="'P9-006'!A113" display="P9-006"/>
    <hyperlink ref="A491" location="'P9-006'!A116" display="P9-006"/>
    <hyperlink ref="A492" location="'P9-006'!A117" display="P9-006"/>
    <hyperlink ref="A493" location="'P9-006'!A118" display="P9-006"/>
    <hyperlink ref="A494" location="'P9-006'!A119" display="P9-006"/>
    <hyperlink ref="A495" location="'P9-006'!A120" display="P9-006"/>
    <hyperlink ref="A496" location="'P9-006'!A121" display="P9-006"/>
    <hyperlink ref="A497" location="'P9-006'!A125" display="P9-006"/>
    <hyperlink ref="A498" location="'P9-006'!A126" display="P9-006"/>
    <hyperlink ref="A499" location="'P9-006'!A127" display="P9-006"/>
    <hyperlink ref="A500" location="'P9-007'!A10" display="P9-007"/>
    <hyperlink ref="A501" location="'P9-007'!A11" display="P9-007"/>
    <hyperlink ref="A502" location="'P9-007'!A12" display="P9-007"/>
    <hyperlink ref="A503" location="'P9-007'!A13" display="P9-007"/>
    <hyperlink ref="A504" location="'P9-007'!A14" display="P9-007"/>
    <hyperlink ref="A505" location="'P9-007'!A15" display="P9-007"/>
    <hyperlink ref="A506" location="'P9-007'!A17" display="P9-007"/>
    <hyperlink ref="A507" location="'P9-007'!A18" display="P9-007"/>
    <hyperlink ref="A508" location="'P9-007'!A19" display="P9-007"/>
    <hyperlink ref="A509" location="'P9-007'!A20" display="P9-007"/>
    <hyperlink ref="A510" location="'P9-007'!A21" display="P9-007"/>
    <hyperlink ref="A511" location="'P9-007'!A22" display="P9-007"/>
    <hyperlink ref="A512" location="'P9-007'!A24" display="P9-007"/>
    <hyperlink ref="A513" location="'P9-007'!A26" display="P9-007"/>
    <hyperlink ref="A514" location="'P9-007'!A27" display="P9-007"/>
    <hyperlink ref="A515" location="'P9-007'!A28" display="P9-007"/>
    <hyperlink ref="A516" location="'P9-007'!A31" display="P9-007"/>
    <hyperlink ref="A517" location="'P9-007'!A32" display="P9-007"/>
    <hyperlink ref="A518" location="'P9-007'!A33" display="P9-007"/>
    <hyperlink ref="A519" location="'P9-007'!A35" display="P9-007"/>
    <hyperlink ref="A520" location="'P9-007'!A36" display="P9-007"/>
    <hyperlink ref="A521" location="'P9-007'!A37" display="P9-007"/>
    <hyperlink ref="A522" location="'P9-007'!A38" display="P9-007"/>
    <hyperlink ref="A523" location="'P9-007'!A40" display="P9-007"/>
    <hyperlink ref="A524" location="'P9-007'!A41" display="P9-007"/>
    <hyperlink ref="A525" location="'P9-007'!A42" display="P9-007"/>
    <hyperlink ref="A526" location="'P9-007'!A44" display="P9-007"/>
    <hyperlink ref="A527" location="'P9-007'!A45" display="P9-007"/>
    <hyperlink ref="A528" location="'P9-007'!A46" display="P9-007"/>
    <hyperlink ref="A529" location="'P9-007'!A53" display="P9-007"/>
    <hyperlink ref="A530" location="'P9-007'!A54" display="P9-007"/>
    <hyperlink ref="A531" location="'P9-007'!A63" display="P9-007"/>
    <hyperlink ref="A532" location="'P9-007'!A64" display="P9-007"/>
    <hyperlink ref="A533" location="'P9-007'!A65" display="P9-007"/>
    <hyperlink ref="A534" location="'P9-007'!A66" display="P9-007"/>
    <hyperlink ref="A535" location="'P9-007'!A67" display="P9-007"/>
    <hyperlink ref="A536" location="'P9-007'!A68" display="P9-007"/>
    <hyperlink ref="A537" location="'P9-007'!A69" display="P9-007"/>
    <hyperlink ref="A538" location="'P9-007'!A71" display="P9-007"/>
    <hyperlink ref="A539" location="'P9-007'!A72" display="P9-007"/>
    <hyperlink ref="A540" location="'P9-007'!A73" display="P9-007"/>
    <hyperlink ref="A541" location="'P9-007'!A74" display="P9-007"/>
    <hyperlink ref="A542" location="'P9-007'!A75" display="P9-007"/>
    <hyperlink ref="A543" location="'P9-007'!A77" display="P9-007"/>
    <hyperlink ref="A544" location="'P9-007'!A78" display="P9-007"/>
    <hyperlink ref="A545" location="'P9-007'!A79" display="P9-007"/>
    <hyperlink ref="A546" location="'P9-007'!A80" display="P9-007"/>
    <hyperlink ref="A547" location="'P9-007'!A81" display="P9-007"/>
    <hyperlink ref="A548" location="'P9-007'!A83" display="P9-007"/>
    <hyperlink ref="A549" location="'P9-007'!A84" display="P9-007"/>
    <hyperlink ref="A550" location="'P9-007'!A86" display="P9-007"/>
    <hyperlink ref="A551" location="'P9-007'!A87" display="P9-007"/>
    <hyperlink ref="A552" location="'P9-007'!A88" display="P9-007"/>
    <hyperlink ref="A553" location="'P9-007'!A89" display="P9-007"/>
    <hyperlink ref="A554" location="'P9-007'!A91" display="P9-007"/>
    <hyperlink ref="A555" location="'P9-007'!A92" display="P9-007"/>
    <hyperlink ref="A556" location="'P9-007'!A93" display="P9-007"/>
    <hyperlink ref="A557" location="'P9-007'!A94" display="P9-007"/>
    <hyperlink ref="A558" location="'P9-007'!A95" display="P9-007"/>
    <hyperlink ref="A559" location="'P9-007'!A97" display="P9-007"/>
    <hyperlink ref="A560" location="'P9-007'!A98" display="P9-007"/>
    <hyperlink ref="A561" location="'P9-007'!A99" display="P9-007"/>
    <hyperlink ref="A562" location="'P9-007'!A103" display="P9-007"/>
    <hyperlink ref="A563" location="'P9-007'!A104" display="P9-007"/>
    <hyperlink ref="A564" location="'P9-007'!A105" display="P9-007"/>
    <hyperlink ref="A565" location="'P9-007'!A106" display="P9-007"/>
    <hyperlink ref="A566" location="'P9-007'!A108" display="P9-007"/>
    <hyperlink ref="A567" location="'P9-007'!A109" display="P9-007"/>
    <hyperlink ref="A568" location="'P9-007'!A110" display="P9-007"/>
    <hyperlink ref="A569" location="'P9-007'!A112" display="P9-007"/>
    <hyperlink ref="A570" location="'P9-007'!A113" display="P9-007"/>
    <hyperlink ref="A571" location="'P9-007'!A116" display="P9-007"/>
    <hyperlink ref="A572" location="'P9-007'!A117" display="P9-007"/>
    <hyperlink ref="A573" location="'P9-007'!A118" display="P9-007"/>
    <hyperlink ref="A574" location="'P9-007'!A119" display="P9-007"/>
    <hyperlink ref="A575" location="'P9-007'!A120" display="P9-007"/>
    <hyperlink ref="A576" location="'P9-007'!A121" display="P9-007"/>
    <hyperlink ref="A577" location="'P9-007'!A125" display="P9-007"/>
    <hyperlink ref="A578" location="'P9-007'!A126" display="P9-007"/>
    <hyperlink ref="A579" location="'P9-007'!A127" display="P9-007"/>
    <hyperlink ref="A580" location="'P9-008'!A10" display="P9-008"/>
    <hyperlink ref="A581" location="'P9-008'!A11" display="P9-008"/>
    <hyperlink ref="A582" location="'P9-008'!A12" display="P9-008"/>
    <hyperlink ref="A583" location="'P9-008'!A13" display="P9-008"/>
    <hyperlink ref="A584" location="'P9-008'!A14" display="P9-008"/>
    <hyperlink ref="A585" location="'P9-008'!A15" display="P9-008"/>
    <hyperlink ref="A586" location="'P9-008'!A17" display="P9-008"/>
    <hyperlink ref="A587" location="'P9-008'!A18" display="P9-008"/>
    <hyperlink ref="A588" location="'P9-008'!A19" display="P9-008"/>
    <hyperlink ref="A589" location="'P9-008'!A20" display="P9-008"/>
    <hyperlink ref="A590" location="'P9-008'!A21" display="P9-008"/>
    <hyperlink ref="A591" location="'P9-008'!A22" display="P9-008"/>
    <hyperlink ref="A592" location="'P9-008'!A24" display="P9-008"/>
    <hyperlink ref="A593" location="'P9-008'!A26" display="P9-008"/>
    <hyperlink ref="A594" location="'P9-008'!A27" display="P9-008"/>
    <hyperlink ref="A595" location="'P9-008'!A28" display="P9-008"/>
    <hyperlink ref="A596" location="'P9-008'!A31" display="P9-008"/>
    <hyperlink ref="A597" location="'P9-008'!A32" display="P9-008"/>
    <hyperlink ref="A598" location="'P9-008'!A33" display="P9-008"/>
    <hyperlink ref="A599" location="'P9-008'!A35" display="P9-008"/>
    <hyperlink ref="A600" location="'P9-008'!A36" display="P9-008"/>
    <hyperlink ref="A601" location="'P9-008'!A37" display="P9-008"/>
    <hyperlink ref="A602" location="'P9-008'!A38" display="P9-008"/>
    <hyperlink ref="A603" location="'P9-008'!A40" display="P9-008"/>
    <hyperlink ref="A604" location="'P9-008'!A41" display="P9-008"/>
    <hyperlink ref="A605" location="'P9-008'!A42" display="P9-008"/>
    <hyperlink ref="A606" location="'P9-008'!A44" display="P9-008"/>
    <hyperlink ref="A607" location="'P9-008'!A45" display="P9-008"/>
    <hyperlink ref="A608" location="'P9-008'!A46" display="P9-008"/>
    <hyperlink ref="A609" location="'P9-008'!A48" display="P9-008"/>
    <hyperlink ref="A610" location="'P9-008'!A49" display="P9-008"/>
    <hyperlink ref="A611" location="'P9-008'!A51" display="P9-008"/>
    <hyperlink ref="A612" location="'P9-008'!A53" display="P9-008"/>
    <hyperlink ref="A613" location="'P9-008'!A54" display="P9-008"/>
    <hyperlink ref="A614" location="'P9-008'!A63" display="P9-008"/>
    <hyperlink ref="A615" location="'P9-008'!A64" display="P9-008"/>
    <hyperlink ref="A616" location="'P9-008'!A65" display="P9-008"/>
    <hyperlink ref="A617" location="'P9-008'!A66" display="P9-008"/>
    <hyperlink ref="A618" location="'P9-008'!A67" display="P9-008"/>
    <hyperlink ref="A619" location="'P9-008'!A68" display="P9-008"/>
    <hyperlink ref="A620" location="'P9-008'!A69" display="P9-008"/>
    <hyperlink ref="A621" location="'P9-008'!A71" display="P9-008"/>
    <hyperlink ref="A622" location="'P9-008'!A72" display="P9-008"/>
    <hyperlink ref="A623" location="'P9-008'!A73" display="P9-008"/>
    <hyperlink ref="A624" location="'P9-008'!A74" display="P9-008"/>
    <hyperlink ref="A625" location="'P9-008'!A75" display="P9-008"/>
    <hyperlink ref="A626" location="'P9-008'!A77" display="P9-008"/>
    <hyperlink ref="A627" location="'P9-008'!A78" display="P9-008"/>
    <hyperlink ref="A628" location="'P9-008'!A79" display="P9-008"/>
    <hyperlink ref="A629" location="'P9-008'!A80" display="P9-008"/>
    <hyperlink ref="A630" location="'P9-008'!A81" display="P9-008"/>
    <hyperlink ref="A631" location="'P9-008'!A83" display="P9-008"/>
    <hyperlink ref="A632" location="'P9-008'!A84" display="P9-008"/>
    <hyperlink ref="A633" location="'P9-008'!A86" display="P9-008"/>
    <hyperlink ref="A634" location="'P9-008'!A87" display="P9-008"/>
    <hyperlink ref="A635" location="'P9-008'!A88" display="P9-008"/>
    <hyperlink ref="A636" location="'P9-008'!A89" display="P9-008"/>
    <hyperlink ref="A637" location="'P9-008'!A91" display="P9-008"/>
    <hyperlink ref="A638" location="'P9-008'!A92" display="P9-008"/>
    <hyperlink ref="A639" location="'P9-008'!A93" display="P9-008"/>
    <hyperlink ref="A640" location="'P9-008'!A94" display="P9-008"/>
    <hyperlink ref="A641" location="'P9-008'!A95" display="P9-008"/>
    <hyperlink ref="A642" location="'P9-008'!A97" display="P9-008"/>
    <hyperlink ref="A643" location="'P9-008'!A98" display="P9-008"/>
    <hyperlink ref="A644" location="'P9-008'!A99" display="P9-008"/>
    <hyperlink ref="A645" location="'P9-008'!A103" display="P9-008"/>
    <hyperlink ref="A646" location="'P9-008'!A104" display="P9-008"/>
    <hyperlink ref="A647" location="'P9-008'!A105" display="P9-008"/>
    <hyperlink ref="A648" location="'P9-008'!A106" display="P9-008"/>
    <hyperlink ref="A649" location="'P9-008'!A108" display="P9-008"/>
    <hyperlink ref="A650" location="'P9-008'!A109" display="P9-008"/>
    <hyperlink ref="A651" location="'P9-008'!A110" display="P9-008"/>
    <hyperlink ref="A652" location="'P9-008'!A112" display="P9-008"/>
    <hyperlink ref="A653" location="'P9-008'!A113" display="P9-008"/>
    <hyperlink ref="A654" location="'P9-008'!A116" display="P9-008"/>
    <hyperlink ref="A655" location="'P9-008'!A117" display="P9-008"/>
    <hyperlink ref="A656" location="'P9-008'!A118" display="P9-008"/>
    <hyperlink ref="A657" location="'P9-008'!A119" display="P9-008"/>
    <hyperlink ref="A658" location="'P9-008'!A120" display="P9-008"/>
    <hyperlink ref="A659" location="'P9-008'!A121" display="P9-008"/>
    <hyperlink ref="A660" location="'P9-008'!A125" display="P9-008"/>
    <hyperlink ref="A661" location="'P9-008'!A126" display="P9-008"/>
    <hyperlink ref="A662" location="'P9-008'!A127" display="P9-008"/>
    <hyperlink ref="A663" location="'P9-009'!A10" display="P9-009"/>
    <hyperlink ref="A664" location="'P9-009'!A11" display="P9-009"/>
    <hyperlink ref="A665" location="'P9-009'!A12" display="P9-009"/>
    <hyperlink ref="A666" location="'P9-009'!A13" display="P9-009"/>
    <hyperlink ref="A667" location="'P9-009'!A14" display="P9-009"/>
    <hyperlink ref="A668" location="'P9-009'!A15" display="P9-009"/>
    <hyperlink ref="A669" location="'P9-009'!A17" display="P9-009"/>
    <hyperlink ref="A670" location="'P9-009'!A18" display="P9-009"/>
    <hyperlink ref="A671" location="'P9-009'!A19" display="P9-009"/>
    <hyperlink ref="A672" location="'P9-009'!A20" display="P9-009"/>
    <hyperlink ref="A673" location="'P9-009'!A21" display="P9-009"/>
    <hyperlink ref="A674" location="'P9-009'!A22" display="P9-009"/>
    <hyperlink ref="A675" location="'P9-009'!A23" display="P9-009"/>
    <hyperlink ref="A676" location="'P9-009'!A24" display="P9-009"/>
    <hyperlink ref="A677" location="'P9-009'!A26" display="P9-009"/>
    <hyperlink ref="A678" location="'P9-009'!A27" display="P9-009"/>
    <hyperlink ref="A679" location="'P9-009'!A28" display="P9-009"/>
    <hyperlink ref="A680" location="'P9-009'!A31" display="P9-009"/>
    <hyperlink ref="A681" location="'P9-009'!A32" display="P9-009"/>
    <hyperlink ref="A682" location="'P9-009'!A33" display="P9-009"/>
    <hyperlink ref="A683" location="'P9-009'!A35" display="P9-009"/>
    <hyperlink ref="A684" location="'P9-009'!A36" display="P9-009"/>
    <hyperlink ref="A685" location="'P9-009'!A37" display="P9-009"/>
    <hyperlink ref="A686" location="'P9-009'!A38" display="P9-009"/>
    <hyperlink ref="A687" location="'P9-009'!A40" display="P9-009"/>
    <hyperlink ref="A688" location="'P9-009'!A41" display="P9-009"/>
    <hyperlink ref="A689" location="'P9-009'!A42" display="P9-009"/>
    <hyperlink ref="A690" location="'P9-009'!A44" display="P9-009"/>
    <hyperlink ref="A691" location="'P9-009'!A45" display="P9-009"/>
    <hyperlink ref="A692" location="'P9-009'!A46" display="P9-009"/>
    <hyperlink ref="A693" location="'P9-009'!A53" display="P9-009"/>
    <hyperlink ref="A694" location="'P9-009'!A54" display="P9-009"/>
    <hyperlink ref="A695" location="'P9-009'!A63" display="P9-009"/>
    <hyperlink ref="A696" location="'P9-009'!A64" display="P9-009"/>
    <hyperlink ref="A697" location="'P9-009'!A65" display="P9-009"/>
    <hyperlink ref="A698" location="'P9-009'!A66" display="P9-009"/>
    <hyperlink ref="A699" location="'P9-009'!A67" display="P9-009"/>
    <hyperlink ref="A700" location="'P9-009'!A68" display="P9-009"/>
    <hyperlink ref="A701" location="'P9-009'!A69" display="P9-009"/>
    <hyperlink ref="A702" location="'P9-009'!A71" display="P9-009"/>
    <hyperlink ref="A703" location="'P9-009'!A72" display="P9-009"/>
    <hyperlink ref="A704" location="'P9-009'!A73" display="P9-009"/>
    <hyperlink ref="A705" location="'P9-009'!A74" display="P9-009"/>
    <hyperlink ref="A706" location="'P9-009'!A75" display="P9-009"/>
    <hyperlink ref="A707" location="'P9-009'!A77" display="P9-009"/>
    <hyperlink ref="A708" location="'P9-009'!A78" display="P9-009"/>
    <hyperlink ref="A709" location="'P9-009'!A79" display="P9-009"/>
    <hyperlink ref="A710" location="'P9-009'!A80" display="P9-009"/>
    <hyperlink ref="A711" location="'P9-009'!A81" display="P9-009"/>
    <hyperlink ref="A712" location="'P9-009'!A83" display="P9-009"/>
    <hyperlink ref="A713" location="'P9-009'!A84" display="P9-009"/>
    <hyperlink ref="A714" location="'P9-009'!A86" display="P9-009"/>
    <hyperlink ref="A715" location="'P9-009'!A87" display="P9-009"/>
    <hyperlink ref="A716" location="'P9-009'!A88" display="P9-009"/>
    <hyperlink ref="A717" location="'P9-009'!A89" display="P9-009"/>
    <hyperlink ref="A718" location="'P9-009'!A91" display="P9-009"/>
    <hyperlink ref="A719" location="'P9-009'!A92" display="P9-009"/>
    <hyperlink ref="A720" location="'P9-009'!A93" display="P9-009"/>
    <hyperlink ref="A721" location="'P9-009'!A94" display="P9-009"/>
    <hyperlink ref="A722" location="'P9-009'!A95" display="P9-009"/>
    <hyperlink ref="A723" location="'P9-009'!A97" display="P9-009"/>
    <hyperlink ref="A724" location="'P9-009'!A98" display="P9-009"/>
    <hyperlink ref="A725" location="'P9-009'!A99" display="P9-009"/>
    <hyperlink ref="A726" location="'P9-009'!A102" display="P9-009"/>
    <hyperlink ref="A727" location="'P9-009'!A104" display="P9-009"/>
    <hyperlink ref="A728" location="'P9-009'!A105" display="P9-009"/>
    <hyperlink ref="A729" location="'P9-009'!A106" display="P9-009"/>
    <hyperlink ref="A730" location="'P9-009'!A108" display="P9-009"/>
    <hyperlink ref="A731" location="'P9-009'!A109" display="P9-009"/>
    <hyperlink ref="A732" location="'P9-009'!A110" display="P9-009"/>
    <hyperlink ref="A733" location="'P9-009'!A112" display="P9-009"/>
    <hyperlink ref="A734" location="'P9-009'!A113" display="P9-009"/>
    <hyperlink ref="A735" location="'P9-009'!A116" display="P9-009"/>
    <hyperlink ref="A736" location="'P9-009'!A117" display="P9-009"/>
    <hyperlink ref="A737" location="'P9-009'!A118" display="P9-009"/>
    <hyperlink ref="A738" location="'P9-009'!A119" display="P9-009"/>
    <hyperlink ref="A739" location="'P9-009'!A120" display="P9-009"/>
    <hyperlink ref="A740" location="'P9-009'!A121" display="P9-009"/>
    <hyperlink ref="A741" location="'P9-009'!A125" display="P9-009"/>
    <hyperlink ref="A742" location="'P9-009'!A126" display="P9-009"/>
    <hyperlink ref="A743" location="'P9-009'!A127" display="P9-009"/>
    <hyperlink ref="A744" location="'P9-010'!A10" display="P9-010"/>
    <hyperlink ref="A745" location="'P9-010'!A11" display="P9-010"/>
    <hyperlink ref="A746" location="'P9-010'!A12" display="P9-010"/>
    <hyperlink ref="A747" location="'P9-010'!A13" display="P9-010"/>
    <hyperlink ref="A748" location="'P9-010'!A14" display="P9-010"/>
    <hyperlink ref="A749" location="'P9-010'!A15" display="P9-010"/>
    <hyperlink ref="A750" location="'P9-010'!A17" display="P9-010"/>
    <hyperlink ref="A751" location="'P9-010'!A18" display="P9-010"/>
    <hyperlink ref="A752" location="'P9-010'!A19" display="P9-010"/>
    <hyperlink ref="A753" location="'P9-010'!A20" display="P9-010"/>
    <hyperlink ref="A754" location="'P9-010'!A21" display="P9-010"/>
    <hyperlink ref="A755" location="'P9-010'!A22" display="P9-010"/>
    <hyperlink ref="A756" location="'P9-010'!A23" display="P9-010"/>
    <hyperlink ref="A757" location="'P9-010'!A24" display="P9-010"/>
    <hyperlink ref="A758" location="'P9-010'!A26" display="P9-010"/>
    <hyperlink ref="A759" location="'P9-010'!A27" display="P9-010"/>
    <hyperlink ref="A760" location="'P9-010'!A28" display="P9-010"/>
    <hyperlink ref="A761" location="'P9-010'!A31" display="P9-010"/>
    <hyperlink ref="A762" location="'P9-010'!A32" display="P9-010"/>
    <hyperlink ref="A763" location="'P9-010'!A33" display="P9-010"/>
    <hyperlink ref="A764" location="'P9-010'!A35" display="P9-010"/>
    <hyperlink ref="A765" location="'P9-010'!A36" display="P9-010"/>
    <hyperlink ref="A766" location="'P9-010'!A37" display="P9-010"/>
    <hyperlink ref="A767" location="'P9-010'!A38" display="P9-010"/>
    <hyperlink ref="A768" location="'P9-010'!A40" display="P9-010"/>
    <hyperlink ref="A769" location="'P9-010'!A41" display="P9-010"/>
    <hyperlink ref="A770" location="'P9-010'!A42" display="P9-010"/>
    <hyperlink ref="A771" location="'P9-010'!A44" display="P9-010"/>
    <hyperlink ref="A772" location="'P9-010'!A45" display="P9-010"/>
    <hyperlink ref="A773" location="'P9-010'!A46" display="P9-010"/>
    <hyperlink ref="A774" location="'P9-010'!A48" display="P9-010"/>
    <hyperlink ref="A775" location="'P9-010'!A49" display="P9-010"/>
    <hyperlink ref="A776" location="'P9-010'!A51" display="P9-010"/>
    <hyperlink ref="A777" location="'P9-010'!A53" display="P9-010"/>
    <hyperlink ref="A778" location="'P9-010'!A54" display="P9-010"/>
    <hyperlink ref="A779" location="'P9-010'!A63" display="P9-010"/>
    <hyperlink ref="A780" location="'P9-010'!A64" display="P9-010"/>
    <hyperlink ref="A781" location="'P9-010'!A65" display="P9-010"/>
    <hyperlink ref="A782" location="'P9-010'!A66" display="P9-010"/>
    <hyperlink ref="A783" location="'P9-010'!A67" display="P9-010"/>
    <hyperlink ref="A784" location="'P9-010'!A68" display="P9-010"/>
    <hyperlink ref="A785" location="'P9-010'!A69" display="P9-010"/>
    <hyperlink ref="A786" location="'P9-010'!A71" display="P9-010"/>
    <hyperlink ref="A787" location="'P9-010'!A72" display="P9-010"/>
    <hyperlink ref="A788" location="'P9-010'!A73" display="P9-010"/>
    <hyperlink ref="A789" location="'P9-010'!A74" display="P9-010"/>
    <hyperlink ref="A790" location="'P9-010'!A75" display="P9-010"/>
    <hyperlink ref="A791" location="'P9-010'!A77" display="P9-010"/>
    <hyperlink ref="A792" location="'P9-010'!A78" display="P9-010"/>
    <hyperlink ref="A793" location="'P9-010'!A79" display="P9-010"/>
    <hyperlink ref="A794" location="'P9-010'!A80" display="P9-010"/>
    <hyperlink ref="A795" location="'P9-010'!A81" display="P9-010"/>
    <hyperlink ref="A796" location="'P9-010'!A83" display="P9-010"/>
    <hyperlink ref="A797" location="'P9-010'!A84" display="P9-010"/>
    <hyperlink ref="A798" location="'P9-010'!A86" display="P9-010"/>
    <hyperlink ref="A799" location="'P9-010'!A87" display="P9-010"/>
    <hyperlink ref="A800" location="'P9-010'!A88" display="P9-010"/>
    <hyperlink ref="A801" location="'P9-010'!A89" display="P9-010"/>
    <hyperlink ref="A802" location="'P9-010'!A91" display="P9-010"/>
    <hyperlink ref="A803" location="'P9-010'!A92" display="P9-010"/>
    <hyperlink ref="A804" location="'P9-010'!A93" display="P9-010"/>
    <hyperlink ref="A805" location="'P9-010'!A94" display="P9-010"/>
    <hyperlink ref="A806" location="'P9-010'!A95" display="P9-010"/>
    <hyperlink ref="A807" location="'P9-010'!A97" display="P9-010"/>
    <hyperlink ref="A808" location="'P9-010'!A98" display="P9-010"/>
    <hyperlink ref="A809" location="'P9-010'!A99" display="P9-010"/>
    <hyperlink ref="A810" location="'P9-010'!A102" display="P9-010"/>
    <hyperlink ref="A811" location="'P9-010'!A104" display="P9-010"/>
    <hyperlink ref="A812" location="'P9-010'!A105" display="P9-010"/>
    <hyperlink ref="A813" location="'P9-010'!A106" display="P9-010"/>
    <hyperlink ref="A814" location="'P9-010'!A108" display="P9-010"/>
    <hyperlink ref="A815" location="'P9-010'!A109" display="P9-010"/>
    <hyperlink ref="A816" location="'P9-010'!A110" display="P9-010"/>
    <hyperlink ref="A817" location="'P9-010'!A112" display="P9-010"/>
    <hyperlink ref="A818" location="'P9-010'!A113" display="P9-010"/>
    <hyperlink ref="A819" location="'P9-010'!A116" display="P9-010"/>
    <hyperlink ref="A820" location="'P9-010'!A117" display="P9-010"/>
    <hyperlink ref="A821" location="'P9-010'!A118" display="P9-010"/>
    <hyperlink ref="A822" location="'P9-010'!A119" display="P9-010"/>
    <hyperlink ref="A823" location="'P9-010'!A120" display="P9-010"/>
    <hyperlink ref="A824" location="'P9-010'!A121" display="P9-010"/>
    <hyperlink ref="A825" location="'P9-010'!A125" display="P9-010"/>
    <hyperlink ref="A826" location="'P9-010'!A126" display="P9-010"/>
    <hyperlink ref="A827" location="'P9-010'!A127" display="P9-010"/>
    <hyperlink ref="A828" location="'P9-011'!A10" display="P9-011"/>
    <hyperlink ref="A829" location="'P9-011'!A11" display="P9-011"/>
    <hyperlink ref="A830" location="'P9-011'!A12" display="P9-011"/>
    <hyperlink ref="A831" location="'P9-011'!A13" display="P9-011"/>
    <hyperlink ref="A832" location="'P9-011'!A14" display="P9-011"/>
    <hyperlink ref="A833" location="'P9-011'!A15" display="P9-011"/>
    <hyperlink ref="A834" location="'P9-011'!A17" display="P9-011"/>
    <hyperlink ref="A835" location="'P9-011'!A18" display="P9-011"/>
    <hyperlink ref="A836" location="'P9-011'!A19" display="P9-011"/>
    <hyperlink ref="A837" location="'P9-011'!A20" display="P9-011"/>
    <hyperlink ref="A838" location="'P9-011'!A21" display="P9-011"/>
    <hyperlink ref="A839" location="'P9-011'!A22" display="P9-011"/>
    <hyperlink ref="A840" location="'P9-011'!A24" display="P9-011"/>
    <hyperlink ref="A841" location="'P9-011'!A26" display="P9-011"/>
    <hyperlink ref="A842" location="'P9-011'!A27" display="P9-011"/>
    <hyperlink ref="A843" location="'P9-011'!A28" display="P9-011"/>
    <hyperlink ref="A844" location="'P9-011'!A31" display="P9-011"/>
    <hyperlink ref="A845" location="'P9-011'!A32" display="P9-011"/>
    <hyperlink ref="A846" location="'P9-011'!A33" display="P9-011"/>
    <hyperlink ref="A847" location="'P9-011'!A35" display="P9-011"/>
    <hyperlink ref="A848" location="'P9-011'!A36" display="P9-011"/>
    <hyperlink ref="A849" location="'P9-011'!A37" display="P9-011"/>
    <hyperlink ref="A850" location="'P9-011'!A38" display="P9-011"/>
    <hyperlink ref="A851" location="'P9-011'!A40" display="P9-011"/>
    <hyperlink ref="A852" location="'P9-011'!A41" display="P9-011"/>
    <hyperlink ref="A853" location="'P9-011'!A42" display="P9-011"/>
    <hyperlink ref="A854" location="'P9-011'!A44" display="P9-011"/>
    <hyperlink ref="A855" location="'P9-011'!A45" display="P9-011"/>
    <hyperlink ref="A856" location="'P9-011'!A46" display="P9-011"/>
    <hyperlink ref="A857" location="'P9-011'!A53" display="P9-011"/>
    <hyperlink ref="A858" location="'P9-011'!A54" display="P9-011"/>
    <hyperlink ref="A859" location="'P9-011'!A63" display="P9-011"/>
    <hyperlink ref="A860" location="'P9-011'!A64" display="P9-011"/>
    <hyperlink ref="A861" location="'P9-011'!A65" display="P9-011"/>
    <hyperlink ref="A862" location="'P9-011'!A66" display="P9-011"/>
    <hyperlink ref="A863" location="'P9-011'!A67" display="P9-011"/>
    <hyperlink ref="A864" location="'P9-011'!A68" display="P9-011"/>
    <hyperlink ref="A865" location="'P9-011'!A69" display="P9-011"/>
    <hyperlink ref="A866" location="'P9-011'!A71" display="P9-011"/>
    <hyperlink ref="A867" location="'P9-011'!A72" display="P9-011"/>
    <hyperlink ref="A868" location="'P9-011'!A73" display="P9-011"/>
    <hyperlink ref="A869" location="'P9-011'!A74" display="P9-011"/>
    <hyperlink ref="A870" location="'P9-011'!A75" display="P9-011"/>
    <hyperlink ref="A871" location="'P9-011'!A77" display="P9-011"/>
    <hyperlink ref="A872" location="'P9-011'!A78" display="P9-011"/>
    <hyperlink ref="A873" location="'P9-011'!A79" display="P9-011"/>
    <hyperlink ref="A874" location="'P9-011'!A80" display="P9-011"/>
    <hyperlink ref="A875" location="'P9-011'!A81" display="P9-011"/>
    <hyperlink ref="A876" location="'P9-011'!A83" display="P9-011"/>
    <hyperlink ref="A877" location="'P9-011'!A84" display="P9-011"/>
    <hyperlink ref="A878" location="'P9-011'!A86" display="P9-011"/>
    <hyperlink ref="A879" location="'P9-011'!A87" display="P9-011"/>
    <hyperlink ref="A880" location="'P9-011'!A88" display="P9-011"/>
    <hyperlink ref="A881" location="'P9-011'!A89" display="P9-011"/>
    <hyperlink ref="A882" location="'P9-011'!A91" display="P9-011"/>
    <hyperlink ref="A883" location="'P9-011'!A92" display="P9-011"/>
    <hyperlink ref="A884" location="'P9-011'!A93" display="P9-011"/>
    <hyperlink ref="A885" location="'P9-011'!A94" display="P9-011"/>
    <hyperlink ref="A886" location="'P9-011'!A95" display="P9-011"/>
    <hyperlink ref="A887" location="'P9-011'!A97" display="P9-011"/>
    <hyperlink ref="A888" location="'P9-011'!A98" display="P9-011"/>
    <hyperlink ref="A889" location="'P9-011'!A99" display="P9-011"/>
    <hyperlink ref="A890" location="'P9-011'!A103" display="P9-011"/>
    <hyperlink ref="A891" location="'P9-011'!A104" display="P9-011"/>
    <hyperlink ref="A892" location="'P9-011'!A105" display="P9-011"/>
    <hyperlink ref="A893" location="'P9-011'!A106" display="P9-011"/>
    <hyperlink ref="A894" location="'P9-011'!A108" display="P9-011"/>
    <hyperlink ref="A895" location="'P9-011'!A109" display="P9-011"/>
    <hyperlink ref="A896" location="'P9-011'!A110" display="P9-011"/>
    <hyperlink ref="A897" location="'P9-011'!A112" display="P9-011"/>
    <hyperlink ref="A898" location="'P9-011'!A113" display="P9-011"/>
    <hyperlink ref="A899" location="'P9-011'!A116" display="P9-011"/>
    <hyperlink ref="A900" location="'P9-011'!A117" display="P9-011"/>
    <hyperlink ref="A901" location="'P9-011'!A118" display="P9-011"/>
    <hyperlink ref="A902" location="'P9-011'!A119" display="P9-011"/>
    <hyperlink ref="A903" location="'P9-011'!A120" display="P9-011"/>
    <hyperlink ref="A904" location="'P9-011'!A121" display="P9-011"/>
    <hyperlink ref="A905" location="'P9-011'!A125" display="P9-011"/>
    <hyperlink ref="A906" location="'P9-011'!A126" display="P9-011"/>
    <hyperlink ref="A907" location="'P9-011'!A127" display="P9-011"/>
    <hyperlink ref="A908" location="'P9-012'!A10" display="P9-012"/>
    <hyperlink ref="A909" location="'P9-012'!A11" display="P9-012"/>
    <hyperlink ref="A910" location="'P9-012'!A12" display="P9-012"/>
    <hyperlink ref="A911" location="'P9-012'!A13" display="P9-012"/>
    <hyperlink ref="A912" location="'P9-012'!A14" display="P9-012"/>
    <hyperlink ref="A913" location="'P9-012'!A15" display="P9-012"/>
    <hyperlink ref="A914" location="'P9-012'!A17" display="P9-012"/>
    <hyperlink ref="A915" location="'P9-012'!A18" display="P9-012"/>
    <hyperlink ref="A916" location="'P9-012'!A19" display="P9-012"/>
    <hyperlink ref="A917" location="'P9-012'!A20" display="P9-012"/>
    <hyperlink ref="A918" location="'P9-012'!A21" display="P9-012"/>
    <hyperlink ref="A919" location="'P9-012'!A22" display="P9-012"/>
    <hyperlink ref="A920" location="'P9-012'!A24" display="P9-012"/>
    <hyperlink ref="A921" location="'P9-012'!A26" display="P9-012"/>
    <hyperlink ref="A922" location="'P9-012'!A27" display="P9-012"/>
    <hyperlink ref="A923" location="'P9-012'!A28" display="P9-012"/>
    <hyperlink ref="A924" location="'P9-012'!A31" display="P9-012"/>
    <hyperlink ref="A925" location="'P9-012'!A32" display="P9-012"/>
    <hyperlink ref="A926" location="'P9-012'!A33" display="P9-012"/>
    <hyperlink ref="A927" location="'P9-012'!A35" display="P9-012"/>
    <hyperlink ref="A928" location="'P9-012'!A36" display="P9-012"/>
    <hyperlink ref="A929" location="'P9-012'!A37" display="P9-012"/>
    <hyperlink ref="A930" location="'P9-012'!A38" display="P9-012"/>
    <hyperlink ref="A931" location="'P9-012'!A40" display="P9-012"/>
    <hyperlink ref="A932" location="'P9-012'!A41" display="P9-012"/>
    <hyperlink ref="A933" location="'P9-012'!A42" display="P9-012"/>
    <hyperlink ref="A934" location="'P9-012'!A44" display="P9-012"/>
    <hyperlink ref="A935" location="'P9-012'!A45" display="P9-012"/>
    <hyperlink ref="A936" location="'P9-012'!A46" display="P9-012"/>
    <hyperlink ref="A937" location="'P9-012'!A48" display="P9-012"/>
    <hyperlink ref="A938" location="'P9-012'!A49" display="P9-012"/>
    <hyperlink ref="A939" location="'P9-012'!A51" display="P9-012"/>
    <hyperlink ref="A940" location="'P9-012'!A53" display="P9-012"/>
    <hyperlink ref="A941" location="'P9-012'!A54" display="P9-012"/>
    <hyperlink ref="A942" location="'P9-012'!A63" display="P9-012"/>
    <hyperlink ref="A943" location="'P9-012'!A64" display="P9-012"/>
    <hyperlink ref="A944" location="'P9-012'!A65" display="P9-012"/>
    <hyperlink ref="A945" location="'P9-012'!A66" display="P9-012"/>
    <hyperlink ref="A946" location="'P9-012'!A67" display="P9-012"/>
    <hyperlink ref="A947" location="'P9-012'!A68" display="P9-012"/>
    <hyperlink ref="A948" location="'P9-012'!A69" display="P9-012"/>
    <hyperlink ref="A949" location="'P9-012'!A71" display="P9-012"/>
    <hyperlink ref="A950" location="'P9-012'!A72" display="P9-012"/>
    <hyperlink ref="A951" location="'P9-012'!A73" display="P9-012"/>
    <hyperlink ref="A952" location="'P9-012'!A74" display="P9-012"/>
    <hyperlink ref="A953" location="'P9-012'!A75" display="P9-012"/>
    <hyperlink ref="A954" location="'P9-012'!A77" display="P9-012"/>
    <hyperlink ref="A955" location="'P9-012'!A78" display="P9-012"/>
    <hyperlink ref="A956" location="'P9-012'!A79" display="P9-012"/>
    <hyperlink ref="A957" location="'P9-012'!A80" display="P9-012"/>
    <hyperlink ref="A958" location="'P9-012'!A81" display="P9-012"/>
    <hyperlink ref="A959" location="'P9-012'!A83" display="P9-012"/>
    <hyperlink ref="A960" location="'P9-012'!A84" display="P9-012"/>
    <hyperlink ref="A961" location="'P9-012'!A86" display="P9-012"/>
    <hyperlink ref="A962" location="'P9-012'!A87" display="P9-012"/>
    <hyperlink ref="A963" location="'P9-012'!A88" display="P9-012"/>
    <hyperlink ref="A964" location="'P9-012'!A89" display="P9-012"/>
    <hyperlink ref="A965" location="'P9-012'!A91" display="P9-012"/>
    <hyperlink ref="A966" location="'P9-012'!A92" display="P9-012"/>
    <hyperlink ref="A967" location="'P9-012'!A93" display="P9-012"/>
    <hyperlink ref="A968" location="'P9-012'!A94" display="P9-012"/>
    <hyperlink ref="A969" location="'P9-012'!A95" display="P9-012"/>
    <hyperlink ref="A970" location="'P9-012'!A97" display="P9-012"/>
    <hyperlink ref="A971" location="'P9-012'!A98" display="P9-012"/>
    <hyperlink ref="A972" location="'P9-012'!A99" display="P9-012"/>
    <hyperlink ref="A973" location="'P9-012'!A103" display="P9-012"/>
    <hyperlink ref="A974" location="'P9-012'!A104" display="P9-012"/>
    <hyperlink ref="A975" location="'P9-012'!A105" display="P9-012"/>
    <hyperlink ref="A976" location="'P9-012'!A106" display="P9-012"/>
    <hyperlink ref="A977" location="'P9-012'!A108" display="P9-012"/>
    <hyperlink ref="A978" location="'P9-012'!A109" display="P9-012"/>
    <hyperlink ref="A979" location="'P9-012'!A110" display="P9-012"/>
    <hyperlink ref="A980" location="'P9-012'!A112" display="P9-012"/>
    <hyperlink ref="A981" location="'P9-012'!A113" display="P9-012"/>
    <hyperlink ref="A982" location="'P9-012'!A116" display="P9-012"/>
    <hyperlink ref="A983" location="'P9-012'!A117" display="P9-012"/>
    <hyperlink ref="A984" location="'P9-012'!A118" display="P9-012"/>
    <hyperlink ref="A985" location="'P9-012'!A119" display="P9-012"/>
    <hyperlink ref="A986" location="'P9-012'!A120" display="P9-012"/>
    <hyperlink ref="A987" location="'P9-012'!A121" display="P9-012"/>
    <hyperlink ref="A988" location="'P9-012'!A125" display="P9-012"/>
    <hyperlink ref="A989" location="'P9-012'!A126" display="P9-012"/>
    <hyperlink ref="A990" location="'P9-012'!A127" display="P9-012"/>
    <hyperlink ref="A991" location="'P9-013'!A10" display="P9-013"/>
    <hyperlink ref="A992" location="'P9-013'!A11" display="P9-013"/>
    <hyperlink ref="A993" location="'P9-013'!A12" display="P9-013"/>
    <hyperlink ref="A994" location="'P9-013'!A13" display="P9-013"/>
    <hyperlink ref="A995" location="'P9-013'!A14" display="P9-013"/>
    <hyperlink ref="A996" location="'P9-013'!A15" display="P9-013"/>
    <hyperlink ref="A997" location="'P9-013'!A17" display="P9-013"/>
    <hyperlink ref="A998" location="'P9-013'!A18" display="P9-013"/>
    <hyperlink ref="A999" location="'P9-013'!A19" display="P9-013"/>
    <hyperlink ref="A1000" location="'P9-013'!A20" display="P9-013"/>
    <hyperlink ref="A1001" location="'P9-013'!A21" display="P9-013"/>
    <hyperlink ref="A1002" location="'P9-013'!A22" display="P9-013"/>
    <hyperlink ref="A1003" location="'P9-013'!A23" display="P9-013"/>
    <hyperlink ref="A1004" location="'P9-013'!A24" display="P9-013"/>
    <hyperlink ref="A1005" location="'P9-013'!A26" display="P9-013"/>
    <hyperlink ref="A1006" location="'P9-013'!A27" display="P9-013"/>
    <hyperlink ref="A1007" location="'P9-013'!A28" display="P9-013"/>
    <hyperlink ref="A1008" location="'P9-013'!A31" display="P9-013"/>
    <hyperlink ref="A1009" location="'P9-013'!A32" display="P9-013"/>
    <hyperlink ref="A1010" location="'P9-013'!A33" display="P9-013"/>
    <hyperlink ref="A1011" location="'P9-013'!A35" display="P9-013"/>
    <hyperlink ref="A1012" location="'P9-013'!A36" display="P9-013"/>
    <hyperlink ref="A1013" location="'P9-013'!A37" display="P9-013"/>
    <hyperlink ref="A1014" location="'P9-013'!A38" display="P9-013"/>
    <hyperlink ref="A1015" location="'P9-013'!A40" display="P9-013"/>
    <hyperlink ref="A1016" location="'P9-013'!A41" display="P9-013"/>
    <hyperlink ref="A1017" location="'P9-013'!A42" display="P9-013"/>
    <hyperlink ref="A1018" location="'P9-013'!A44" display="P9-013"/>
    <hyperlink ref="A1019" location="'P9-013'!A45" display="P9-013"/>
    <hyperlink ref="A1020" location="'P9-013'!A46" display="P9-013"/>
    <hyperlink ref="A1021" location="'P9-013'!A53" display="P9-013"/>
    <hyperlink ref="A1022" location="'P9-013'!A54" display="P9-013"/>
    <hyperlink ref="A1023" location="'P9-013'!A63" display="P9-013"/>
    <hyperlink ref="A1024" location="'P9-013'!A64" display="P9-013"/>
    <hyperlink ref="A1025" location="'P9-013'!A65" display="P9-013"/>
    <hyperlink ref="A1026" location="'P9-013'!A66" display="P9-013"/>
    <hyperlink ref="A1027" location="'P9-013'!A67" display="P9-013"/>
    <hyperlink ref="A1028" location="'P9-013'!A68" display="P9-013"/>
    <hyperlink ref="A1029" location="'P9-013'!A69" display="P9-013"/>
    <hyperlink ref="A1030" location="'P9-013'!A71" display="P9-013"/>
    <hyperlink ref="A1031" location="'P9-013'!A72" display="P9-013"/>
    <hyperlink ref="A1032" location="'P9-013'!A73" display="P9-013"/>
    <hyperlink ref="A1033" location="'P9-013'!A74" display="P9-013"/>
    <hyperlink ref="A1034" location="'P9-013'!A75" display="P9-013"/>
    <hyperlink ref="A1035" location="'P9-013'!A77" display="P9-013"/>
    <hyperlink ref="A1036" location="'P9-013'!A78" display="P9-013"/>
    <hyperlink ref="A1037" location="'P9-013'!A79" display="P9-013"/>
    <hyperlink ref="A1038" location="'P9-013'!A80" display="P9-013"/>
    <hyperlink ref="A1039" location="'P9-013'!A81" display="P9-013"/>
    <hyperlink ref="A1040" location="'P9-013'!A83" display="P9-013"/>
    <hyperlink ref="A1041" location="'P9-013'!A84" display="P9-013"/>
    <hyperlink ref="A1042" location="'P9-013'!A86" display="P9-013"/>
    <hyperlink ref="A1043" location="'P9-013'!A87" display="P9-013"/>
    <hyperlink ref="A1044" location="'P9-013'!A88" display="P9-013"/>
    <hyperlink ref="A1045" location="'P9-013'!A89" display="P9-013"/>
    <hyperlink ref="A1046" location="'P9-013'!A91" display="P9-013"/>
    <hyperlink ref="A1047" location="'P9-013'!A92" display="P9-013"/>
    <hyperlink ref="A1048" location="'P9-013'!A93" display="P9-013"/>
    <hyperlink ref="A1049" location="'P9-013'!A94" display="P9-013"/>
    <hyperlink ref="A1050" location="'P9-013'!A95" display="P9-013"/>
    <hyperlink ref="A1051" location="'P9-013'!A97" display="P9-013"/>
    <hyperlink ref="A1052" location="'P9-013'!A98" display="P9-013"/>
    <hyperlink ref="A1053" location="'P9-013'!A99" display="P9-013"/>
    <hyperlink ref="A1054" location="'P9-013'!A102" display="P9-013"/>
    <hyperlink ref="A1055" location="'P9-013'!A104" display="P9-013"/>
    <hyperlink ref="A1056" location="'P9-013'!A105" display="P9-013"/>
    <hyperlink ref="A1057" location="'P9-013'!A106" display="P9-013"/>
    <hyperlink ref="A1058" location="'P9-013'!A108" display="P9-013"/>
    <hyperlink ref="A1059" location="'P9-013'!A109" display="P9-013"/>
    <hyperlink ref="A1060" location="'P9-013'!A110" display="P9-013"/>
    <hyperlink ref="A1061" location="'P9-013'!A112" display="P9-013"/>
    <hyperlink ref="A1062" location="'P9-013'!A113" display="P9-013"/>
    <hyperlink ref="A1063" location="'P9-013'!A116" display="P9-013"/>
    <hyperlink ref="A1064" location="'P9-013'!A117" display="P9-013"/>
    <hyperlink ref="A1065" location="'P9-013'!A118" display="P9-013"/>
    <hyperlink ref="A1066" location="'P9-013'!A119" display="P9-013"/>
    <hyperlink ref="A1067" location="'P9-013'!A120" display="P9-013"/>
    <hyperlink ref="A1068" location="'P9-013'!A121" display="P9-013"/>
    <hyperlink ref="A1069" location="'P9-013'!A125" display="P9-013"/>
    <hyperlink ref="A1070" location="'P9-013'!A126" display="P9-013"/>
    <hyperlink ref="A1071" location="'P9-013'!A127" display="P9-013"/>
    <hyperlink ref="A1072" location="'P9-014'!A10" display="P9-014"/>
    <hyperlink ref="A1073" location="'P9-014'!A11" display="P9-014"/>
    <hyperlink ref="A1074" location="'P9-014'!A12" display="P9-014"/>
    <hyperlink ref="A1075" location="'P9-014'!A13" display="P9-014"/>
    <hyperlink ref="A1076" location="'P9-014'!A14" display="P9-014"/>
    <hyperlink ref="A1077" location="'P9-014'!A15" display="P9-014"/>
    <hyperlink ref="A1078" location="'P9-014'!A17" display="P9-014"/>
    <hyperlink ref="A1079" location="'P9-014'!A18" display="P9-014"/>
    <hyperlink ref="A1080" location="'P9-014'!A19" display="P9-014"/>
    <hyperlink ref="A1081" location="'P9-014'!A20" display="P9-014"/>
    <hyperlink ref="A1082" location="'P9-014'!A21" display="P9-014"/>
    <hyperlink ref="A1083" location="'P9-014'!A22" display="P9-014"/>
    <hyperlink ref="A1084" location="'P9-014'!A23" display="P9-014"/>
    <hyperlink ref="A1085" location="'P9-014'!A24" display="P9-014"/>
    <hyperlink ref="A1086" location="'P9-014'!A26" display="P9-014"/>
    <hyperlink ref="A1087" location="'P9-014'!A27" display="P9-014"/>
    <hyperlink ref="A1088" location="'P9-014'!A28" display="P9-014"/>
    <hyperlink ref="A1089" location="'P9-014'!A31" display="P9-014"/>
    <hyperlink ref="A1090" location="'P9-014'!A32" display="P9-014"/>
    <hyperlink ref="A1091" location="'P9-014'!A33" display="P9-014"/>
    <hyperlink ref="A1092" location="'P9-014'!A35" display="P9-014"/>
    <hyperlink ref="A1093" location="'P9-014'!A36" display="P9-014"/>
    <hyperlink ref="A1094" location="'P9-014'!A37" display="P9-014"/>
    <hyperlink ref="A1095" location="'P9-014'!A38" display="P9-014"/>
    <hyperlink ref="A1096" location="'P9-014'!A40" display="P9-014"/>
    <hyperlink ref="A1097" location="'P9-014'!A41" display="P9-014"/>
    <hyperlink ref="A1098" location="'P9-014'!A42" display="P9-014"/>
    <hyperlink ref="A1099" location="'P9-014'!A44" display="P9-014"/>
    <hyperlink ref="A1100" location="'P9-014'!A45" display="P9-014"/>
    <hyperlink ref="A1101" location="'P9-014'!A46" display="P9-014"/>
    <hyperlink ref="A1102" location="'P9-014'!A48" display="P9-014"/>
    <hyperlink ref="A1103" location="'P9-014'!A49" display="P9-014"/>
    <hyperlink ref="A1104" location="'P9-014'!A51" display="P9-014"/>
    <hyperlink ref="A1105" location="'P9-014'!A53" display="P9-014"/>
    <hyperlink ref="A1106" location="'P9-014'!A54" display="P9-014"/>
    <hyperlink ref="A1107" location="'P9-014'!A63" display="P9-014"/>
    <hyperlink ref="A1108" location="'P9-014'!A64" display="P9-014"/>
    <hyperlink ref="A1109" location="'P9-014'!A65" display="P9-014"/>
    <hyperlink ref="A1110" location="'P9-014'!A66" display="P9-014"/>
    <hyperlink ref="A1111" location="'P9-014'!A67" display="P9-014"/>
    <hyperlink ref="A1112" location="'P9-014'!A68" display="P9-014"/>
    <hyperlink ref="A1113" location="'P9-014'!A69" display="P9-014"/>
    <hyperlink ref="A1114" location="'P9-014'!A71" display="P9-014"/>
    <hyperlink ref="A1115" location="'P9-014'!A72" display="P9-014"/>
    <hyperlink ref="A1116" location="'P9-014'!A73" display="P9-014"/>
    <hyperlink ref="A1117" location="'P9-014'!A74" display="P9-014"/>
    <hyperlink ref="A1118" location="'P9-014'!A75" display="P9-014"/>
    <hyperlink ref="A1119" location="'P9-014'!A77" display="P9-014"/>
    <hyperlink ref="A1120" location="'P9-014'!A78" display="P9-014"/>
    <hyperlink ref="A1121" location="'P9-014'!A79" display="P9-014"/>
    <hyperlink ref="A1122" location="'P9-014'!A80" display="P9-014"/>
    <hyperlink ref="A1123" location="'P9-014'!A81" display="P9-014"/>
    <hyperlink ref="A1124" location="'P9-014'!A83" display="P9-014"/>
    <hyperlink ref="A1125" location="'P9-014'!A84" display="P9-014"/>
    <hyperlink ref="A1126" location="'P9-014'!A86" display="P9-014"/>
    <hyperlink ref="A1127" location="'P9-014'!A87" display="P9-014"/>
    <hyperlink ref="A1128" location="'P9-014'!A88" display="P9-014"/>
    <hyperlink ref="A1129" location="'P9-014'!A89" display="P9-014"/>
    <hyperlink ref="A1130" location="'P9-014'!A91" display="P9-014"/>
    <hyperlink ref="A1131" location="'P9-014'!A92" display="P9-014"/>
    <hyperlink ref="A1132" location="'P9-014'!A93" display="P9-014"/>
    <hyperlink ref="A1133" location="'P9-014'!A94" display="P9-014"/>
    <hyperlink ref="A1134" location="'P9-014'!A95" display="P9-014"/>
    <hyperlink ref="A1135" location="'P9-014'!A97" display="P9-014"/>
    <hyperlink ref="A1136" location="'P9-014'!A98" display="P9-014"/>
    <hyperlink ref="A1137" location="'P9-014'!A99" display="P9-014"/>
    <hyperlink ref="A1138" location="'P9-014'!A102" display="P9-014"/>
    <hyperlink ref="A1139" location="'P9-014'!A104" display="P9-014"/>
    <hyperlink ref="A1140" location="'P9-014'!A105" display="P9-014"/>
    <hyperlink ref="A1141" location="'P9-014'!A106" display="P9-014"/>
    <hyperlink ref="A1142" location="'P9-014'!A108" display="P9-014"/>
    <hyperlink ref="A1143" location="'P9-014'!A109" display="P9-014"/>
    <hyperlink ref="A1144" location="'P9-014'!A110" display="P9-014"/>
    <hyperlink ref="A1145" location="'P9-014'!A112" display="P9-014"/>
    <hyperlink ref="A1146" location="'P9-014'!A113" display="P9-014"/>
    <hyperlink ref="A1147" location="'P9-014'!A116" display="P9-014"/>
    <hyperlink ref="A1148" location="'P9-014'!A117" display="P9-014"/>
    <hyperlink ref="A1149" location="'P9-014'!A118" display="P9-014"/>
    <hyperlink ref="A1150" location="'P9-014'!A119" display="P9-014"/>
    <hyperlink ref="A1151" location="'P9-014'!A120" display="P9-014"/>
    <hyperlink ref="A1152" location="'P9-014'!A121" display="P9-014"/>
    <hyperlink ref="A1153" location="'P9-014'!A125" display="P9-014"/>
    <hyperlink ref="A1154" location="'P9-014'!A126" display="P9-014"/>
    <hyperlink ref="A1155" location="'P9-014'!A127" display="P9-014"/>
    <hyperlink ref="A1156" location="'P9-015'!A10" display="P9-015"/>
    <hyperlink ref="A1157" location="'P9-015'!A11" display="P9-015"/>
    <hyperlink ref="A1158" location="'P9-015'!A12" display="P9-015"/>
    <hyperlink ref="A1159" location="'P9-015'!A13" display="P9-015"/>
    <hyperlink ref="A1160" location="'P9-015'!A14" display="P9-015"/>
    <hyperlink ref="A1161" location="'P9-015'!A15" display="P9-015"/>
    <hyperlink ref="A1162" location="'P9-015'!A17" display="P9-015"/>
    <hyperlink ref="A1163" location="'P9-015'!A18" display="P9-015"/>
    <hyperlink ref="A1164" location="'P9-015'!A19" display="P9-015"/>
    <hyperlink ref="A1165" location="'P9-015'!A20" display="P9-015"/>
    <hyperlink ref="A1166" location="'P9-015'!A21" display="P9-015"/>
    <hyperlink ref="A1167" location="'P9-015'!A22" display="P9-015"/>
    <hyperlink ref="A1168" location="'P9-015'!A24" display="P9-015"/>
    <hyperlink ref="A1169" location="'P9-015'!A26" display="P9-015"/>
    <hyperlink ref="A1170" location="'P9-015'!A27" display="P9-015"/>
    <hyperlink ref="A1171" location="'P9-015'!A28" display="P9-015"/>
    <hyperlink ref="A1172" location="'P9-015'!A31" display="P9-015"/>
    <hyperlink ref="A1173" location="'P9-015'!A32" display="P9-015"/>
    <hyperlink ref="A1174" location="'P9-015'!A33" display="P9-015"/>
    <hyperlink ref="A1175" location="'P9-015'!A35" display="P9-015"/>
    <hyperlink ref="A1176" location="'P9-015'!A36" display="P9-015"/>
    <hyperlink ref="A1177" location="'P9-015'!A37" display="P9-015"/>
    <hyperlink ref="A1178" location="'P9-015'!A38" display="P9-015"/>
    <hyperlink ref="A1179" location="'P9-015'!A40" display="P9-015"/>
    <hyperlink ref="A1180" location="'P9-015'!A41" display="P9-015"/>
    <hyperlink ref="A1181" location="'P9-015'!A42" display="P9-015"/>
    <hyperlink ref="A1182" location="'P9-015'!A44" display="P9-015"/>
    <hyperlink ref="A1183" location="'P9-015'!A45" display="P9-015"/>
    <hyperlink ref="A1184" location="'P9-015'!A46" display="P9-015"/>
    <hyperlink ref="A1185" location="'P9-015'!A53" display="P9-015"/>
    <hyperlink ref="A1186" location="'P9-015'!A54" display="P9-015"/>
    <hyperlink ref="A1187" location="'P9-015'!A63" display="P9-015"/>
    <hyperlink ref="A1188" location="'P9-015'!A64" display="P9-015"/>
    <hyperlink ref="A1189" location="'P9-015'!A65" display="P9-015"/>
    <hyperlink ref="A1190" location="'P9-015'!A66" display="P9-015"/>
    <hyperlink ref="A1191" location="'P9-015'!A67" display="P9-015"/>
    <hyperlink ref="A1192" location="'P9-015'!A68" display="P9-015"/>
    <hyperlink ref="A1193" location="'P9-015'!A69" display="P9-015"/>
    <hyperlink ref="A1194" location="'P9-015'!A71" display="P9-015"/>
    <hyperlink ref="A1195" location="'P9-015'!A72" display="P9-015"/>
    <hyperlink ref="A1196" location="'P9-015'!A73" display="P9-015"/>
    <hyperlink ref="A1197" location="'P9-015'!A74" display="P9-015"/>
    <hyperlink ref="A1198" location="'P9-015'!A75" display="P9-015"/>
    <hyperlink ref="A1199" location="'P9-015'!A77" display="P9-015"/>
    <hyperlink ref="A1200" location="'P9-015'!A78" display="P9-015"/>
    <hyperlink ref="A1201" location="'P9-015'!A79" display="P9-015"/>
    <hyperlink ref="A1202" location="'P9-015'!A80" display="P9-015"/>
    <hyperlink ref="A1203" location="'P9-015'!A81" display="P9-015"/>
    <hyperlink ref="A1204" location="'P9-015'!A83" display="P9-015"/>
    <hyperlink ref="A1205" location="'P9-015'!A84" display="P9-015"/>
    <hyperlink ref="A1206" location="'P9-015'!A86" display="P9-015"/>
    <hyperlink ref="A1207" location="'P9-015'!A87" display="P9-015"/>
    <hyperlink ref="A1208" location="'P9-015'!A88" display="P9-015"/>
    <hyperlink ref="A1209" location="'P9-015'!A89" display="P9-015"/>
    <hyperlink ref="A1210" location="'P9-015'!A91" display="P9-015"/>
    <hyperlink ref="A1211" location="'P9-015'!A92" display="P9-015"/>
    <hyperlink ref="A1212" location="'P9-015'!A93" display="P9-015"/>
    <hyperlink ref="A1213" location="'P9-015'!A94" display="P9-015"/>
    <hyperlink ref="A1214" location="'P9-015'!A95" display="P9-015"/>
    <hyperlink ref="A1215" location="'P9-015'!A97" display="P9-015"/>
    <hyperlink ref="A1216" location="'P9-015'!A98" display="P9-015"/>
    <hyperlink ref="A1217" location="'P9-015'!A99" display="P9-015"/>
    <hyperlink ref="A1218" location="'P9-015'!A103" display="P9-015"/>
    <hyperlink ref="A1219" location="'P9-015'!A104" display="P9-015"/>
    <hyperlink ref="A1220" location="'P9-015'!A105" display="P9-015"/>
    <hyperlink ref="A1221" location="'P9-015'!A106" display="P9-015"/>
    <hyperlink ref="A1222" location="'P9-015'!A108" display="P9-015"/>
    <hyperlink ref="A1223" location="'P9-015'!A109" display="P9-015"/>
    <hyperlink ref="A1224" location="'P9-015'!A110" display="P9-015"/>
    <hyperlink ref="A1225" location="'P9-015'!A112" display="P9-015"/>
    <hyperlink ref="A1226" location="'P9-015'!A113" display="P9-015"/>
    <hyperlink ref="A1227" location="'P9-015'!A116" display="P9-015"/>
    <hyperlink ref="A1228" location="'P9-015'!A117" display="P9-015"/>
    <hyperlink ref="A1229" location="'P9-015'!A118" display="P9-015"/>
    <hyperlink ref="A1230" location="'P9-015'!A119" display="P9-015"/>
    <hyperlink ref="A1231" location="'P9-015'!A120" display="P9-015"/>
    <hyperlink ref="A1232" location="'P9-015'!A121" display="P9-015"/>
    <hyperlink ref="A1233" location="'P9-015'!A125" display="P9-015"/>
    <hyperlink ref="A1234" location="'P9-015'!A126" display="P9-015"/>
    <hyperlink ref="A1235" location="'P9-015'!A127" display="P9-015"/>
    <hyperlink ref="A1236" location="'P9-016'!A10" display="P9-016"/>
    <hyperlink ref="A1237" location="'P9-016'!A11" display="P9-016"/>
    <hyperlink ref="A1238" location="'P9-016'!A12" display="P9-016"/>
    <hyperlink ref="A1239" location="'P9-016'!A13" display="P9-016"/>
    <hyperlink ref="A1240" location="'P9-016'!A14" display="P9-016"/>
    <hyperlink ref="A1241" location="'P9-016'!A15" display="P9-016"/>
    <hyperlink ref="A1242" location="'P9-016'!A17" display="P9-016"/>
    <hyperlink ref="A1243" location="'P9-016'!A18" display="P9-016"/>
    <hyperlink ref="A1244" location="'P9-016'!A19" display="P9-016"/>
    <hyperlink ref="A1245" location="'P9-016'!A20" display="P9-016"/>
    <hyperlink ref="A1246" location="'P9-016'!A21" display="P9-016"/>
    <hyperlink ref="A1247" location="'P9-016'!A22" display="P9-016"/>
    <hyperlink ref="A1248" location="'P9-016'!A24" display="P9-016"/>
    <hyperlink ref="A1249" location="'P9-016'!A26" display="P9-016"/>
    <hyperlink ref="A1250" location="'P9-016'!A27" display="P9-016"/>
    <hyperlink ref="A1251" location="'P9-016'!A28" display="P9-016"/>
    <hyperlink ref="A1252" location="'P9-016'!A31" display="P9-016"/>
    <hyperlink ref="A1253" location="'P9-016'!A32" display="P9-016"/>
    <hyperlink ref="A1254" location="'P9-016'!A33" display="P9-016"/>
    <hyperlink ref="A1255" location="'P9-016'!A35" display="P9-016"/>
    <hyperlink ref="A1256" location="'P9-016'!A36" display="P9-016"/>
    <hyperlink ref="A1257" location="'P9-016'!A37" display="P9-016"/>
    <hyperlink ref="A1258" location="'P9-016'!A38" display="P9-016"/>
    <hyperlink ref="A1259" location="'P9-016'!A40" display="P9-016"/>
    <hyperlink ref="A1260" location="'P9-016'!A41" display="P9-016"/>
    <hyperlink ref="A1261" location="'P9-016'!A42" display="P9-016"/>
    <hyperlink ref="A1262" location="'P9-016'!A44" display="P9-016"/>
    <hyperlink ref="A1263" location="'P9-016'!A45" display="P9-016"/>
    <hyperlink ref="A1264" location="'P9-016'!A46" display="P9-016"/>
    <hyperlink ref="A1265" location="'P9-016'!A48" display="P9-016"/>
    <hyperlink ref="A1266" location="'P9-016'!A49" display="P9-016"/>
    <hyperlink ref="A1267" location="'P9-016'!A51" display="P9-016"/>
    <hyperlink ref="A1268" location="'P9-016'!A53" display="P9-016"/>
    <hyperlink ref="A1269" location="'P9-016'!A54" display="P9-016"/>
    <hyperlink ref="A1270" location="'P9-016'!A63" display="P9-016"/>
    <hyperlink ref="A1271" location="'P9-016'!A64" display="P9-016"/>
    <hyperlink ref="A1272" location="'P9-016'!A65" display="P9-016"/>
    <hyperlink ref="A1273" location="'P9-016'!A66" display="P9-016"/>
    <hyperlink ref="A1274" location="'P9-016'!A67" display="P9-016"/>
    <hyperlink ref="A1275" location="'P9-016'!A68" display="P9-016"/>
    <hyperlink ref="A1276" location="'P9-016'!A69" display="P9-016"/>
    <hyperlink ref="A1277" location="'P9-016'!A71" display="P9-016"/>
    <hyperlink ref="A1278" location="'P9-016'!A72" display="P9-016"/>
    <hyperlink ref="A1279" location="'P9-016'!A73" display="P9-016"/>
    <hyperlink ref="A1280" location="'P9-016'!A74" display="P9-016"/>
    <hyperlink ref="A1281" location="'P9-016'!A75" display="P9-016"/>
    <hyperlink ref="A1282" location="'P9-016'!A77" display="P9-016"/>
    <hyperlink ref="A1283" location="'P9-016'!A78" display="P9-016"/>
    <hyperlink ref="A1284" location="'P9-016'!A79" display="P9-016"/>
    <hyperlink ref="A1285" location="'P9-016'!A80" display="P9-016"/>
    <hyperlink ref="A1286" location="'P9-016'!A81" display="P9-016"/>
    <hyperlink ref="A1287" location="'P9-016'!A83" display="P9-016"/>
    <hyperlink ref="A1288" location="'P9-016'!A84" display="P9-016"/>
    <hyperlink ref="A1289" location="'P9-016'!A86" display="P9-016"/>
    <hyperlink ref="A1290" location="'P9-016'!A87" display="P9-016"/>
    <hyperlink ref="A1291" location="'P9-016'!A88" display="P9-016"/>
    <hyperlink ref="A1292" location="'P9-016'!A89" display="P9-016"/>
    <hyperlink ref="A1293" location="'P9-016'!A91" display="P9-016"/>
    <hyperlink ref="A1294" location="'P9-016'!A92" display="P9-016"/>
    <hyperlink ref="A1295" location="'P9-016'!A93" display="P9-016"/>
    <hyperlink ref="A1296" location="'P9-016'!A94" display="P9-016"/>
    <hyperlink ref="A1297" location="'P9-016'!A95" display="P9-016"/>
    <hyperlink ref="A1298" location="'P9-016'!A97" display="P9-016"/>
    <hyperlink ref="A1299" location="'P9-016'!A98" display="P9-016"/>
    <hyperlink ref="A1300" location="'P9-016'!A99" display="P9-016"/>
    <hyperlink ref="A1301" location="'P9-016'!A103" display="P9-016"/>
    <hyperlink ref="A1302" location="'P9-016'!A104" display="P9-016"/>
    <hyperlink ref="A1303" location="'P9-016'!A105" display="P9-016"/>
    <hyperlink ref="A1304" location="'P9-016'!A106" display="P9-016"/>
    <hyperlink ref="A1305" location="'P9-016'!A108" display="P9-016"/>
    <hyperlink ref="A1306" location="'P9-016'!A109" display="P9-016"/>
    <hyperlink ref="A1307" location="'P9-016'!A110" display="P9-016"/>
    <hyperlink ref="A1308" location="'P9-016'!A112" display="P9-016"/>
    <hyperlink ref="A1309" location="'P9-016'!A113" display="P9-016"/>
    <hyperlink ref="A1310" location="'P9-016'!A116" display="P9-016"/>
    <hyperlink ref="A1311" location="'P9-016'!A117" display="P9-016"/>
    <hyperlink ref="A1312" location="'P9-016'!A118" display="P9-016"/>
    <hyperlink ref="A1313" location="'P9-016'!A119" display="P9-016"/>
    <hyperlink ref="A1314" location="'P9-016'!A120" display="P9-016"/>
    <hyperlink ref="A1315" location="'P9-016'!A121" display="P9-016"/>
    <hyperlink ref="A1316" location="'P9-016'!A125" display="P9-016"/>
    <hyperlink ref="A1317" location="'P9-016'!A126" display="P9-016"/>
    <hyperlink ref="A1318" location="'P9-016'!A127" display="P9-016"/>
    <hyperlink ref="A1319" location="'P9-017'!A10" display="P9-017"/>
    <hyperlink ref="A1320" location="'P9-017'!A11" display="P9-017"/>
    <hyperlink ref="A1321" location="'P9-017'!A12" display="P9-017"/>
    <hyperlink ref="A1322" location="'P9-017'!A13" display="P9-017"/>
    <hyperlink ref="A1323" location="'P9-017'!A14" display="P9-017"/>
    <hyperlink ref="A1324" location="'P9-017'!A15" display="P9-017"/>
    <hyperlink ref="A1325" location="'P9-017'!A17" display="P9-017"/>
    <hyperlink ref="A1326" location="'P9-017'!A18" display="P9-017"/>
    <hyperlink ref="A1327" location="'P9-017'!A19" display="P9-017"/>
    <hyperlink ref="A1328" location="'P9-017'!A20" display="P9-017"/>
    <hyperlink ref="A1329" location="'P9-017'!A21" display="P9-017"/>
    <hyperlink ref="A1330" location="'P9-017'!A22" display="P9-017"/>
    <hyperlink ref="A1331" location="'P9-017'!A23" display="P9-017"/>
    <hyperlink ref="A1332" location="'P9-017'!A24" display="P9-017"/>
    <hyperlink ref="A1333" location="'P9-017'!A26" display="P9-017"/>
    <hyperlink ref="A1334" location="'P9-017'!A27" display="P9-017"/>
    <hyperlink ref="A1335" location="'P9-017'!A28" display="P9-017"/>
    <hyperlink ref="A1336" location="'P9-017'!A31" display="P9-017"/>
    <hyperlink ref="A1337" location="'P9-017'!A32" display="P9-017"/>
    <hyperlink ref="A1338" location="'P9-017'!A33" display="P9-017"/>
    <hyperlink ref="A1339" location="'P9-017'!A35" display="P9-017"/>
    <hyperlink ref="A1340" location="'P9-017'!A36" display="P9-017"/>
    <hyperlink ref="A1341" location="'P9-017'!A37" display="P9-017"/>
    <hyperlink ref="A1342" location="'P9-017'!A38" display="P9-017"/>
    <hyperlink ref="A1343" location="'P9-017'!A40" display="P9-017"/>
    <hyperlink ref="A1344" location="'P9-017'!A41" display="P9-017"/>
    <hyperlink ref="A1345" location="'P9-017'!A42" display="P9-017"/>
    <hyperlink ref="A1346" location="'P9-017'!A44" display="P9-017"/>
    <hyperlink ref="A1347" location="'P9-017'!A45" display="P9-017"/>
    <hyperlink ref="A1348" location="'P9-017'!A46" display="P9-017"/>
    <hyperlink ref="A1349" location="'P9-017'!A53" display="P9-017"/>
    <hyperlink ref="A1350" location="'P9-017'!A54" display="P9-017"/>
    <hyperlink ref="A1351" location="'P9-017'!A63" display="P9-017"/>
    <hyperlink ref="A1352" location="'P9-017'!A64" display="P9-017"/>
    <hyperlink ref="A1353" location="'P9-017'!A65" display="P9-017"/>
    <hyperlink ref="A1354" location="'P9-017'!A66" display="P9-017"/>
    <hyperlink ref="A1355" location="'P9-017'!A67" display="P9-017"/>
    <hyperlink ref="A1356" location="'P9-017'!A68" display="P9-017"/>
    <hyperlink ref="A1357" location="'P9-017'!A69" display="P9-017"/>
    <hyperlink ref="A1358" location="'P9-017'!A71" display="P9-017"/>
    <hyperlink ref="A1359" location="'P9-017'!A72" display="P9-017"/>
    <hyperlink ref="A1360" location="'P9-017'!A73" display="P9-017"/>
    <hyperlink ref="A1361" location="'P9-017'!A74" display="P9-017"/>
    <hyperlink ref="A1362" location="'P9-017'!A75" display="P9-017"/>
    <hyperlink ref="A1363" location="'P9-017'!A77" display="P9-017"/>
    <hyperlink ref="A1364" location="'P9-017'!A78" display="P9-017"/>
    <hyperlink ref="A1365" location="'P9-017'!A79" display="P9-017"/>
    <hyperlink ref="A1366" location="'P9-017'!A80" display="P9-017"/>
    <hyperlink ref="A1367" location="'P9-017'!A81" display="P9-017"/>
    <hyperlink ref="A1368" location="'P9-017'!A83" display="P9-017"/>
    <hyperlink ref="A1369" location="'P9-017'!A84" display="P9-017"/>
    <hyperlink ref="A1370" location="'P9-017'!A86" display="P9-017"/>
    <hyperlink ref="A1371" location="'P9-017'!A87" display="P9-017"/>
    <hyperlink ref="A1372" location="'P9-017'!A88" display="P9-017"/>
    <hyperlink ref="A1373" location="'P9-017'!A89" display="P9-017"/>
    <hyperlink ref="A1374" location="'P9-017'!A91" display="P9-017"/>
    <hyperlink ref="A1375" location="'P9-017'!A92" display="P9-017"/>
    <hyperlink ref="A1376" location="'P9-017'!A93" display="P9-017"/>
    <hyperlink ref="A1377" location="'P9-017'!A94" display="P9-017"/>
    <hyperlink ref="A1378" location="'P9-017'!A95" display="P9-017"/>
    <hyperlink ref="A1379" location="'P9-017'!A97" display="P9-017"/>
    <hyperlink ref="A1380" location="'P9-017'!A98" display="P9-017"/>
    <hyperlink ref="A1381" location="'P9-017'!A99" display="P9-017"/>
    <hyperlink ref="A1382" location="'P9-017'!A102" display="P9-017"/>
    <hyperlink ref="A1383" location="'P9-017'!A104" display="P9-017"/>
    <hyperlink ref="A1384" location="'P9-017'!A105" display="P9-017"/>
    <hyperlink ref="A1385" location="'P9-017'!A106" display="P9-017"/>
    <hyperlink ref="A1386" location="'P9-017'!A108" display="P9-017"/>
    <hyperlink ref="A1387" location="'P9-017'!A109" display="P9-017"/>
    <hyperlink ref="A1388" location="'P9-017'!A110" display="P9-017"/>
    <hyperlink ref="A1389" location="'P9-017'!A112" display="P9-017"/>
    <hyperlink ref="A1390" location="'P9-017'!A113" display="P9-017"/>
    <hyperlink ref="A1391" location="'P9-017'!A116" display="P9-017"/>
    <hyperlink ref="A1392" location="'P9-017'!A117" display="P9-017"/>
    <hyperlink ref="A1393" location="'P9-017'!A118" display="P9-017"/>
    <hyperlink ref="A1394" location="'P9-017'!A119" display="P9-017"/>
    <hyperlink ref="A1395" location="'P9-017'!A120" display="P9-017"/>
    <hyperlink ref="A1396" location="'P9-017'!A121" display="P9-017"/>
    <hyperlink ref="A1397" location="'P9-017'!A125" display="P9-017"/>
    <hyperlink ref="A1398" location="'P9-017'!A126" display="P9-017"/>
    <hyperlink ref="A1399" location="'P9-017'!A127" display="P9-017"/>
    <hyperlink ref="A1400" location="'P9-018'!A10" display="P9-018"/>
    <hyperlink ref="A1401" location="'P9-018'!A11" display="P9-018"/>
    <hyperlink ref="A1402" location="'P9-018'!A12" display="P9-018"/>
    <hyperlink ref="A1403" location="'P9-018'!A13" display="P9-018"/>
    <hyperlink ref="A1404" location="'P9-018'!A14" display="P9-018"/>
    <hyperlink ref="A1405" location="'P9-018'!A15" display="P9-018"/>
    <hyperlink ref="A1406" location="'P9-018'!A17" display="P9-018"/>
    <hyperlink ref="A1407" location="'P9-018'!A18" display="P9-018"/>
    <hyperlink ref="A1408" location="'P9-018'!A19" display="P9-018"/>
    <hyperlink ref="A1409" location="'P9-018'!A20" display="P9-018"/>
    <hyperlink ref="A1410" location="'P9-018'!A21" display="P9-018"/>
    <hyperlink ref="A1411" location="'P9-018'!A22" display="P9-018"/>
    <hyperlink ref="A1412" location="'P9-018'!A23" display="P9-018"/>
    <hyperlink ref="A1413" location="'P9-018'!A24" display="P9-018"/>
    <hyperlink ref="A1414" location="'P9-018'!A26" display="P9-018"/>
    <hyperlink ref="A1415" location="'P9-018'!A27" display="P9-018"/>
    <hyperlink ref="A1416" location="'P9-018'!A28" display="P9-018"/>
    <hyperlink ref="A1417" location="'P9-018'!A31" display="P9-018"/>
    <hyperlink ref="A1418" location="'P9-018'!A32" display="P9-018"/>
    <hyperlink ref="A1419" location="'P9-018'!A33" display="P9-018"/>
    <hyperlink ref="A1420" location="'P9-018'!A35" display="P9-018"/>
    <hyperlink ref="A1421" location="'P9-018'!A36" display="P9-018"/>
    <hyperlink ref="A1422" location="'P9-018'!A37" display="P9-018"/>
    <hyperlink ref="A1423" location="'P9-018'!A38" display="P9-018"/>
    <hyperlink ref="A1424" location="'P9-018'!A40" display="P9-018"/>
    <hyperlink ref="A1425" location="'P9-018'!A41" display="P9-018"/>
    <hyperlink ref="A1426" location="'P9-018'!A42" display="P9-018"/>
    <hyperlink ref="A1427" location="'P9-018'!A44" display="P9-018"/>
    <hyperlink ref="A1428" location="'P9-018'!A45" display="P9-018"/>
    <hyperlink ref="A1429" location="'P9-018'!A46" display="P9-018"/>
    <hyperlink ref="A1430" location="'P9-018'!A48" display="P9-018"/>
    <hyperlink ref="A1431" location="'P9-018'!A49" display="P9-018"/>
    <hyperlink ref="A1432" location="'P9-018'!A51" display="P9-018"/>
    <hyperlink ref="A1433" location="'P9-018'!A53" display="P9-018"/>
    <hyperlink ref="A1434" location="'P9-018'!A54" display="P9-018"/>
    <hyperlink ref="A1435" location="'P9-018'!A63" display="P9-018"/>
    <hyperlink ref="A1436" location="'P9-018'!A64" display="P9-018"/>
    <hyperlink ref="A1437" location="'P9-018'!A65" display="P9-018"/>
    <hyperlink ref="A1438" location="'P9-018'!A66" display="P9-018"/>
    <hyperlink ref="A1439" location="'P9-018'!A67" display="P9-018"/>
    <hyperlink ref="A1440" location="'P9-018'!A68" display="P9-018"/>
    <hyperlink ref="A1441" location="'P9-018'!A69" display="P9-018"/>
    <hyperlink ref="A1442" location="'P9-018'!A71" display="P9-018"/>
    <hyperlink ref="A1443" location="'P9-018'!A72" display="P9-018"/>
    <hyperlink ref="A1444" location="'P9-018'!A73" display="P9-018"/>
    <hyperlink ref="A1445" location="'P9-018'!A74" display="P9-018"/>
    <hyperlink ref="A1446" location="'P9-018'!A75" display="P9-018"/>
    <hyperlink ref="A1447" location="'P9-018'!A77" display="P9-018"/>
    <hyperlink ref="A1448" location="'P9-018'!A78" display="P9-018"/>
    <hyperlink ref="A1449" location="'P9-018'!A79" display="P9-018"/>
    <hyperlink ref="A1450" location="'P9-018'!A80" display="P9-018"/>
    <hyperlink ref="A1451" location="'P9-018'!A81" display="P9-018"/>
    <hyperlink ref="A1452" location="'P9-018'!A83" display="P9-018"/>
    <hyperlink ref="A1453" location="'P9-018'!A84" display="P9-018"/>
    <hyperlink ref="A1454" location="'P9-018'!A86" display="P9-018"/>
    <hyperlink ref="A1455" location="'P9-018'!A87" display="P9-018"/>
    <hyperlink ref="A1456" location="'P9-018'!A88" display="P9-018"/>
    <hyperlink ref="A1457" location="'P9-018'!A89" display="P9-018"/>
    <hyperlink ref="A1458" location="'P9-018'!A91" display="P9-018"/>
    <hyperlink ref="A1459" location="'P9-018'!A92" display="P9-018"/>
    <hyperlink ref="A1460" location="'P9-018'!A93" display="P9-018"/>
    <hyperlink ref="A1461" location="'P9-018'!A94" display="P9-018"/>
    <hyperlink ref="A1462" location="'P9-018'!A95" display="P9-018"/>
    <hyperlink ref="A1463" location="'P9-018'!A97" display="P9-018"/>
    <hyperlink ref="A1464" location="'P9-018'!A98" display="P9-018"/>
    <hyperlink ref="A1465" location="'P9-018'!A99" display="P9-018"/>
    <hyperlink ref="A1466" location="'P9-018'!A102" display="P9-018"/>
    <hyperlink ref="A1467" location="'P9-018'!A104" display="P9-018"/>
    <hyperlink ref="A1468" location="'P9-018'!A105" display="P9-018"/>
    <hyperlink ref="A1469" location="'P9-018'!A106" display="P9-018"/>
    <hyperlink ref="A1470" location="'P9-018'!A108" display="P9-018"/>
    <hyperlink ref="A1471" location="'P9-018'!A109" display="P9-018"/>
    <hyperlink ref="A1472" location="'P9-018'!A110" display="P9-018"/>
    <hyperlink ref="A1473" location="'P9-018'!A112" display="P9-018"/>
    <hyperlink ref="A1474" location="'P9-018'!A113" display="P9-018"/>
    <hyperlink ref="A1475" location="'P9-018'!A116" display="P9-018"/>
    <hyperlink ref="A1476" location="'P9-018'!A117" display="P9-018"/>
    <hyperlink ref="A1477" location="'P9-018'!A118" display="P9-018"/>
    <hyperlink ref="A1478" location="'P9-018'!A119" display="P9-018"/>
    <hyperlink ref="A1479" location="'P9-018'!A120" display="P9-018"/>
    <hyperlink ref="A1480" location="'P9-018'!A121" display="P9-018"/>
    <hyperlink ref="A1481" location="'P9-018'!A125" display="P9-018"/>
    <hyperlink ref="A1482" location="'P9-018'!A126" display="P9-018"/>
    <hyperlink ref="A1483" location="'P9-018'!A127" display="P9-018"/>
    <hyperlink ref="A1484" location="'P9-019'!A10" display="P9-019"/>
    <hyperlink ref="A1485" location="'P9-019'!A11" display="P9-019"/>
    <hyperlink ref="A1486" location="'P9-019'!A12" display="P9-019"/>
    <hyperlink ref="A1487" location="'P9-019'!A13" display="P9-019"/>
    <hyperlink ref="A1488" location="'P9-019'!A14" display="P9-019"/>
    <hyperlink ref="A1489" location="'P9-019'!A15" display="P9-019"/>
    <hyperlink ref="A1490" location="'P9-019'!A17" display="P9-019"/>
    <hyperlink ref="A1491" location="'P9-019'!A18" display="P9-019"/>
    <hyperlink ref="A1492" location="'P9-019'!A19" display="P9-019"/>
    <hyperlink ref="A1493" location="'P9-019'!A20" display="P9-019"/>
    <hyperlink ref="A1494" location="'P9-019'!A21" display="P9-019"/>
    <hyperlink ref="A1495" location="'P9-019'!A22" display="P9-019"/>
    <hyperlink ref="A1496" location="'P9-019'!A24" display="P9-019"/>
    <hyperlink ref="A1497" location="'P9-019'!A26" display="P9-019"/>
    <hyperlink ref="A1498" location="'P9-019'!A27" display="P9-019"/>
    <hyperlink ref="A1499" location="'P9-019'!A28" display="P9-019"/>
    <hyperlink ref="A1500" location="'P9-019'!A31" display="P9-019"/>
    <hyperlink ref="A1501" location="'P9-019'!A32" display="P9-019"/>
    <hyperlink ref="A1502" location="'P9-019'!A33" display="P9-019"/>
    <hyperlink ref="A1503" location="'P9-019'!A35" display="P9-019"/>
    <hyperlink ref="A1504" location="'P9-019'!A36" display="P9-019"/>
    <hyperlink ref="A1505" location="'P9-019'!A37" display="P9-019"/>
    <hyperlink ref="A1506" location="'P9-019'!A38" display="P9-019"/>
    <hyperlink ref="A1507" location="'P9-019'!A40" display="P9-019"/>
    <hyperlink ref="A1508" location="'P9-019'!A41" display="P9-019"/>
    <hyperlink ref="A1509" location="'P9-019'!A42" display="P9-019"/>
    <hyperlink ref="A1510" location="'P9-019'!A44" display="P9-019"/>
    <hyperlink ref="A1511" location="'P9-019'!A45" display="P9-019"/>
    <hyperlink ref="A1512" location="'P9-019'!A46" display="P9-019"/>
    <hyperlink ref="A1513" location="'P9-019'!A53" display="P9-019"/>
    <hyperlink ref="A1514" location="'P9-019'!A54" display="P9-019"/>
    <hyperlink ref="A1515" location="'P9-019'!A63" display="P9-019"/>
    <hyperlink ref="A1516" location="'P9-019'!A64" display="P9-019"/>
    <hyperlink ref="A1517" location="'P9-019'!A65" display="P9-019"/>
    <hyperlink ref="A1518" location="'P9-019'!A66" display="P9-019"/>
    <hyperlink ref="A1519" location="'P9-019'!A67" display="P9-019"/>
    <hyperlink ref="A1520" location="'P9-019'!A68" display="P9-019"/>
    <hyperlink ref="A1521" location="'P9-019'!A69" display="P9-019"/>
    <hyperlink ref="A1522" location="'P9-019'!A71" display="P9-019"/>
    <hyperlink ref="A1523" location="'P9-019'!A72" display="P9-019"/>
    <hyperlink ref="A1524" location="'P9-019'!A73" display="P9-019"/>
    <hyperlink ref="A1525" location="'P9-019'!A74" display="P9-019"/>
    <hyperlink ref="A1526" location="'P9-019'!A75" display="P9-019"/>
    <hyperlink ref="A1527" location="'P9-019'!A77" display="P9-019"/>
    <hyperlink ref="A1528" location="'P9-019'!A78" display="P9-019"/>
    <hyperlink ref="A1529" location="'P9-019'!A79" display="P9-019"/>
    <hyperlink ref="A1530" location="'P9-019'!A80" display="P9-019"/>
    <hyperlink ref="A1531" location="'P9-019'!A81" display="P9-019"/>
    <hyperlink ref="A1532" location="'P9-019'!A83" display="P9-019"/>
    <hyperlink ref="A1533" location="'P9-019'!A84" display="P9-019"/>
    <hyperlink ref="A1534" location="'P9-019'!A86" display="P9-019"/>
    <hyperlink ref="A1535" location="'P9-019'!A87" display="P9-019"/>
    <hyperlink ref="A1536" location="'P9-019'!A88" display="P9-019"/>
    <hyperlink ref="A1537" location="'P9-019'!A89" display="P9-019"/>
    <hyperlink ref="A1538" location="'P9-019'!A91" display="P9-019"/>
    <hyperlink ref="A1539" location="'P9-019'!A92" display="P9-019"/>
    <hyperlink ref="A1540" location="'P9-019'!A93" display="P9-019"/>
    <hyperlink ref="A1541" location="'P9-019'!A94" display="P9-019"/>
    <hyperlink ref="A1542" location="'P9-019'!A95" display="P9-019"/>
    <hyperlink ref="A1543" location="'P9-019'!A97" display="P9-019"/>
    <hyperlink ref="A1544" location="'P9-019'!A98" display="P9-019"/>
    <hyperlink ref="A1545" location="'P9-019'!A99" display="P9-019"/>
    <hyperlink ref="A1546" location="'P9-019'!A103" display="P9-019"/>
    <hyperlink ref="A1547" location="'P9-019'!A104" display="P9-019"/>
    <hyperlink ref="A1548" location="'P9-019'!A105" display="P9-019"/>
    <hyperlink ref="A1549" location="'P9-019'!A106" display="P9-019"/>
    <hyperlink ref="A1550" location="'P9-019'!A108" display="P9-019"/>
    <hyperlink ref="A1551" location="'P9-019'!A109" display="P9-019"/>
    <hyperlink ref="A1552" location="'P9-019'!A110" display="P9-019"/>
    <hyperlink ref="A1553" location="'P9-019'!A112" display="P9-019"/>
    <hyperlink ref="A1554" location="'P9-019'!A113" display="P9-019"/>
    <hyperlink ref="A1555" location="'P9-019'!A116" display="P9-019"/>
    <hyperlink ref="A1556" location="'P9-019'!A117" display="P9-019"/>
    <hyperlink ref="A1557" location="'P9-019'!A118" display="P9-019"/>
    <hyperlink ref="A1558" location="'P9-019'!A119" display="P9-019"/>
    <hyperlink ref="A1559" location="'P9-019'!A120" display="P9-019"/>
    <hyperlink ref="A1560" location="'P9-019'!A121" display="P9-019"/>
    <hyperlink ref="A1561" location="'P9-019'!A125" display="P9-019"/>
    <hyperlink ref="A1562" location="'P9-019'!A126" display="P9-019"/>
    <hyperlink ref="A1563" location="'P9-019'!A127" display="P9-019"/>
    <hyperlink ref="A1564" location="'P9-020'!A10" display="P9-020"/>
    <hyperlink ref="A1565" location="'P9-020'!A11" display="P9-020"/>
    <hyperlink ref="A1566" location="'P9-020'!A12" display="P9-020"/>
    <hyperlink ref="A1567" location="'P9-020'!A13" display="P9-020"/>
    <hyperlink ref="A1568" location="'P9-020'!A14" display="P9-020"/>
    <hyperlink ref="A1569" location="'P9-020'!A15" display="P9-020"/>
    <hyperlink ref="A1570" location="'P9-020'!A17" display="P9-020"/>
    <hyperlink ref="A1571" location="'P9-020'!A18" display="P9-020"/>
    <hyperlink ref="A1572" location="'P9-020'!A19" display="P9-020"/>
    <hyperlink ref="A1573" location="'P9-020'!A20" display="P9-020"/>
    <hyperlink ref="A1574" location="'P9-020'!A21" display="P9-020"/>
    <hyperlink ref="A1575" location="'P9-020'!A22" display="P9-020"/>
    <hyperlink ref="A1576" location="'P9-020'!A24" display="P9-020"/>
    <hyperlink ref="A1577" location="'P9-020'!A26" display="P9-020"/>
    <hyperlink ref="A1578" location="'P9-020'!A27" display="P9-020"/>
    <hyperlink ref="A1579" location="'P9-020'!A28" display="P9-020"/>
    <hyperlink ref="A1580" location="'P9-020'!A31" display="P9-020"/>
    <hyperlink ref="A1581" location="'P9-020'!A32" display="P9-020"/>
    <hyperlink ref="A1582" location="'P9-020'!A33" display="P9-020"/>
    <hyperlink ref="A1583" location="'P9-020'!A35" display="P9-020"/>
    <hyperlink ref="A1584" location="'P9-020'!A36" display="P9-020"/>
    <hyperlink ref="A1585" location="'P9-020'!A37" display="P9-020"/>
    <hyperlink ref="A1586" location="'P9-020'!A38" display="P9-020"/>
    <hyperlink ref="A1587" location="'P9-020'!A40" display="P9-020"/>
    <hyperlink ref="A1588" location="'P9-020'!A41" display="P9-020"/>
    <hyperlink ref="A1589" location="'P9-020'!A42" display="P9-020"/>
    <hyperlink ref="A1590" location="'P9-020'!A44" display="P9-020"/>
    <hyperlink ref="A1591" location="'P9-020'!A45" display="P9-020"/>
    <hyperlink ref="A1592" location="'P9-020'!A46" display="P9-020"/>
    <hyperlink ref="A1593" location="'P9-020'!A48" display="P9-020"/>
    <hyperlink ref="A1594" location="'P9-020'!A49" display="P9-020"/>
    <hyperlink ref="A1595" location="'P9-020'!A51" display="P9-020"/>
    <hyperlink ref="A1596" location="'P9-020'!A53" display="P9-020"/>
    <hyperlink ref="A1597" location="'P9-020'!A54" display="P9-020"/>
    <hyperlink ref="A1598" location="'P9-020'!A63" display="P9-020"/>
    <hyperlink ref="A1599" location="'P9-020'!A64" display="P9-020"/>
    <hyperlink ref="A1600" location="'P9-020'!A65" display="P9-020"/>
    <hyperlink ref="A1601" location="'P9-020'!A66" display="P9-020"/>
    <hyperlink ref="A1602" location="'P9-020'!A67" display="P9-020"/>
    <hyperlink ref="A1603" location="'P9-020'!A68" display="P9-020"/>
    <hyperlink ref="A1604" location="'P9-020'!A69" display="P9-020"/>
    <hyperlink ref="A1605" location="'P9-020'!A71" display="P9-020"/>
    <hyperlink ref="A1606" location="'P9-020'!A72" display="P9-020"/>
    <hyperlink ref="A1607" location="'P9-020'!A73" display="P9-020"/>
    <hyperlink ref="A1608" location="'P9-020'!A74" display="P9-020"/>
    <hyperlink ref="A1609" location="'P9-020'!A75" display="P9-020"/>
    <hyperlink ref="A1610" location="'P9-020'!A77" display="P9-020"/>
    <hyperlink ref="A1611" location="'P9-020'!A78" display="P9-020"/>
    <hyperlink ref="A1612" location="'P9-020'!A79" display="P9-020"/>
    <hyperlink ref="A1613" location="'P9-020'!A80" display="P9-020"/>
    <hyperlink ref="A1614" location="'P9-020'!A81" display="P9-020"/>
    <hyperlink ref="A1615" location="'P9-020'!A83" display="P9-020"/>
    <hyperlink ref="A1616" location="'P9-020'!A84" display="P9-020"/>
    <hyperlink ref="A1617" location="'P9-020'!A86" display="P9-020"/>
    <hyperlink ref="A1618" location="'P9-020'!A87" display="P9-020"/>
    <hyperlink ref="A1619" location="'P9-020'!A88" display="P9-020"/>
    <hyperlink ref="A1620" location="'P9-020'!A89" display="P9-020"/>
    <hyperlink ref="A1621" location="'P9-020'!A91" display="P9-020"/>
    <hyperlink ref="A1622" location="'P9-020'!A92" display="P9-020"/>
    <hyperlink ref="A1623" location="'P9-020'!A93" display="P9-020"/>
    <hyperlink ref="A1624" location="'P9-020'!A94" display="P9-020"/>
    <hyperlink ref="A1625" location="'P9-020'!A95" display="P9-020"/>
    <hyperlink ref="A1626" location="'P9-020'!A97" display="P9-020"/>
    <hyperlink ref="A1627" location="'P9-020'!A98" display="P9-020"/>
    <hyperlink ref="A1628" location="'P9-020'!A99" display="P9-020"/>
    <hyperlink ref="A1629" location="'P9-020'!A103" display="P9-020"/>
    <hyperlink ref="A1630" location="'P9-020'!A104" display="P9-020"/>
    <hyperlink ref="A1631" location="'P9-020'!A105" display="P9-020"/>
    <hyperlink ref="A1632" location="'P9-020'!A106" display="P9-020"/>
    <hyperlink ref="A1633" location="'P9-020'!A108" display="P9-020"/>
    <hyperlink ref="A1634" location="'P9-020'!A109" display="P9-020"/>
    <hyperlink ref="A1635" location="'P9-020'!A110" display="P9-020"/>
    <hyperlink ref="A1636" location="'P9-020'!A112" display="P9-020"/>
    <hyperlink ref="A1637" location="'P9-020'!A113" display="P9-020"/>
    <hyperlink ref="A1638" location="'P9-020'!A116" display="P9-020"/>
    <hyperlink ref="A1639" location="'P9-020'!A117" display="P9-020"/>
    <hyperlink ref="A1640" location="'P9-020'!A118" display="P9-020"/>
    <hyperlink ref="A1641" location="'P9-020'!A119" display="P9-020"/>
    <hyperlink ref="A1642" location="'P9-020'!A120" display="P9-020"/>
    <hyperlink ref="A1643" location="'P9-020'!A121" display="P9-020"/>
    <hyperlink ref="A1644" location="'P9-020'!A125" display="P9-020"/>
    <hyperlink ref="A1645" location="'P9-020'!A126" display="P9-020"/>
    <hyperlink ref="A1646" location="'P9-020'!A127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4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true" outlineLevel="1" max="4" min="4" style="0" width="12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3" min="12" style="0" width="5"/>
    <col collapsed="false" customWidth="true" hidden="false" outlineLevel="0" max="18" min="14" style="0" width="10"/>
    <col collapsed="false" customWidth="true" hidden="true" outlineLevel="1" max="23" min="19" style="0" width="10"/>
    <col collapsed="false" customWidth="true" hidden="false" outlineLevel="0" max="28" min="24" style="0" width="10"/>
    <col collapsed="false" customWidth="true" hidden="true" outlineLevel="1" max="33" min="29" style="0" width="10"/>
    <col collapsed="false" customWidth="true" hidden="false" outlineLevel="0" max="34" min="34" style="0" width="11"/>
    <col collapsed="false" customWidth="true" hidden="false" outlineLevel="0" max="35" min="35" style="0" width="8"/>
    <col collapsed="false" customWidth="true" hidden="false" outlineLevel="0" max="36" min="36" style="0" width="9"/>
    <col collapsed="false" customWidth="true" hidden="false" outlineLevel="0" max="37" min="37" style="0" width="8"/>
    <col collapsed="false" customWidth="true" hidden="true" outlineLevel="1" max="38" min="38" style="0" width="5"/>
    <col collapsed="false" customWidth="true" hidden="false" outlineLevel="0" max="39" min="39" style="0" width="7"/>
    <col collapsed="false" customWidth="true" hidden="false" outlineLevel="0" max="40" min="40" style="0" width="30"/>
    <col collapsed="false" customWidth="true" hidden="true" outlineLevel="1" max="41" min="41" style="0" width="8"/>
    <col collapsed="false" customWidth="true" hidden="true" outlineLevel="1" max="42" min="42" style="0" width="9"/>
    <col collapsed="false" customWidth="true" hidden="true" outlineLevel="1" max="43" min="43" style="0" width="7"/>
    <col collapsed="false" customWidth="true" hidden="false" outlineLevel="0" max="44" min="44" style="0" width="8"/>
    <col collapsed="false" customWidth="true" hidden="true" outlineLevel="1" max="45" min="45" style="0" width="11"/>
    <col collapsed="false" customWidth="true" hidden="true" outlineLevel="1" max="46" min="46" style="0" width="8"/>
    <col collapsed="false" customWidth="true" hidden="true" outlineLevel="1" max="47" min="47" style="0" width="7"/>
    <col collapsed="false" customWidth="true" hidden="true" outlineLevel="1" max="48" min="48" style="0" width="10"/>
    <col collapsed="false" customWidth="true" hidden="true" outlineLevel="1" max="52" min="49" style="0" width="6"/>
    <col collapsed="false" customWidth="true" hidden="true" outlineLevel="1" max="53" min="53" style="0" width="10"/>
    <col collapsed="false" customWidth="true" hidden="true" outlineLevel="1" max="58" min="54" style="0" width="6"/>
    <col collapsed="false" customWidth="true" hidden="false" outlineLevel="0" max="107" min="60" style="0" width="3.2"/>
  </cols>
  <sheetData>
    <row r="1" customFormat="false" ht="18.65" hidden="false" customHeight="false" outlineLevel="0" collapsed="false">
      <c r="A1" s="62" t="s">
        <v>504</v>
      </c>
    </row>
    <row r="2" customFormat="false" ht="15" hidden="false" customHeight="false" outlineLevel="0" collapsed="false">
      <c r="A2" s="63" t="s">
        <v>505</v>
      </c>
      <c r="D2" s="64" t="s">
        <v>506</v>
      </c>
      <c r="J2" s="64" t="s">
        <v>507</v>
      </c>
      <c r="M2" s="64" t="s">
        <v>508</v>
      </c>
      <c r="P2" s="64" t="s">
        <v>509</v>
      </c>
      <c r="T2" s="64" t="s">
        <v>510</v>
      </c>
      <c r="W2" s="64" t="s">
        <v>511</v>
      </c>
      <c r="Z2" s="64" t="s">
        <v>512</v>
      </c>
    </row>
    <row r="3" customFormat="false" ht="24" hidden="false" customHeight="true" outlineLevel="0" collapsed="false">
      <c r="A3" s="3" t="s">
        <v>2</v>
      </c>
      <c r="B3" s="3"/>
      <c r="C3" s="4" t="s">
        <v>3</v>
      </c>
      <c r="D3" s="4" t="s">
        <v>5</v>
      </c>
      <c r="E3" s="4"/>
      <c r="F3" s="3" t="s">
        <v>4</v>
      </c>
      <c r="G3" s="3"/>
      <c r="H3" s="3"/>
      <c r="I3" s="3" t="s">
        <v>513</v>
      </c>
      <c r="J3" s="3"/>
      <c r="K3" s="3" t="s">
        <v>514</v>
      </c>
      <c r="L3" s="3"/>
      <c r="M3" s="3"/>
      <c r="N3" s="4" t="s">
        <v>515</v>
      </c>
      <c r="O3" s="4"/>
      <c r="P3" s="4" t="s">
        <v>516</v>
      </c>
      <c r="Q3" s="4"/>
      <c r="R3" s="3" t="s">
        <v>517</v>
      </c>
      <c r="S3" s="3"/>
      <c r="T3" s="3" t="s">
        <v>518</v>
      </c>
      <c r="U3" s="3"/>
    </row>
    <row r="4" customFormat="false" ht="24" hidden="false" customHeight="true" outlineLevel="0" collapsed="false">
      <c r="A4" s="65" t="n">
        <f aca="false">ASOF</f>
        <v>46328</v>
      </c>
      <c r="B4" s="65"/>
      <c r="C4" s="66" t="n">
        <f aca="false">MAX($AH$8:$AH$27)</f>
        <v>46433</v>
      </c>
      <c r="D4" s="67" t="str">
        <f aca="false">COUNTIFS($X$8:$X$27,"&lt;="&amp;ASOF,$X$8:$X$27,"&lt;&gt;")&amp;" / 20"</f>
        <v>0 / 20</v>
      </c>
      <c r="E4" s="67"/>
      <c r="F4" s="68" t="str">
        <f aca="false">COUNTIFS($N$8:$N$27,"&lt;="&amp;ASOF,$N$8:$N$27,"&lt;&gt;")&amp;" / 20"</f>
        <v>0 / 20</v>
      </c>
      <c r="G4" s="68"/>
      <c r="H4" s="68"/>
      <c r="I4" s="68" t="str">
        <f aca="false">COUNTIFS($O$8:$O$27,"&lt;="&amp;ASOF,$O$8:$O$27,"&lt;&gt;")&amp;" / 20"</f>
        <v>0 / 20</v>
      </c>
      <c r="J4" s="68"/>
      <c r="K4" s="68" t="str">
        <f aca="false">COUNTIFS($Q$8:$Q$27,"&lt;="&amp;ASOF,$Q$8:$Q$27,"&lt;&gt;")&amp;" / 20"</f>
        <v>0 / 20</v>
      </c>
      <c r="L4" s="68"/>
      <c r="M4" s="68"/>
      <c r="N4" s="68" t="str">
        <f aca="false">TEXT(SUM($AK$8:$AK$27)/SUM($AL$8:$AL$27),"0%")&amp;" ("&amp;SUM($AK$8:$AK$27)&amp;"/"&amp;SUM($AL$8:$AL$27)&amp;")"</f>
        <v>0% (0/150)</v>
      </c>
      <c r="O4" s="68"/>
      <c r="P4" s="69" t="n">
        <f aca="false">SUMPRODUCT($AM$8:$AM$27,$F$8:$F$27)/SUM($F$8:$F$27)</f>
        <v>0</v>
      </c>
      <c r="Q4" s="69"/>
      <c r="R4" s="70" t="n">
        <f aca="false">COUNTIF($AJ$8:$AJ$27,"&gt;0")</f>
        <v>0</v>
      </c>
      <c r="S4" s="70"/>
      <c r="T4" s="71" t="n">
        <f aca="false">COUNTIF($AP$8:$AP$27,"&gt;0")</f>
        <v>0</v>
      </c>
      <c r="U4" s="71"/>
    </row>
    <row r="5" customFormat="false" ht="15" hidden="false" customHeight="false" outlineLevel="0" collapsed="false">
      <c r="A5" s="72" t="s">
        <v>519</v>
      </c>
    </row>
    <row r="6" customFormat="false" ht="15" hidden="false" customHeight="false" outlineLevel="0" collapsed="false">
      <c r="A6" s="42" t="s">
        <v>35</v>
      </c>
      <c r="B6" s="42"/>
      <c r="C6" s="42"/>
      <c r="D6" s="42"/>
      <c r="E6" s="42"/>
      <c r="F6" s="42"/>
      <c r="G6" s="42"/>
      <c r="H6" s="42"/>
      <c r="I6" s="42"/>
      <c r="J6" s="42" t="s">
        <v>520</v>
      </c>
      <c r="K6" s="42"/>
      <c r="L6" s="42"/>
      <c r="M6" s="42"/>
      <c r="N6" s="42" t="s">
        <v>521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 t="s">
        <v>522</v>
      </c>
      <c r="Z6" s="42"/>
      <c r="AA6" s="42"/>
      <c r="AB6" s="42"/>
      <c r="AC6" s="42"/>
      <c r="AD6" s="42"/>
      <c r="AE6" s="42"/>
      <c r="AF6" s="42"/>
      <c r="AG6" s="42"/>
      <c r="AH6" s="42"/>
      <c r="AI6" s="42" t="s">
        <v>523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 t="s">
        <v>524</v>
      </c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H6" s="73" t="str">
        <f aca="false">CHOOSE(MONTH(BH7),"ม.ค.","ก.พ.","มี.ค.","เม.ย.","พ.ค.","มิ.ย.","ก.ค.","ส.ค.","ก.ย.","ต.ค.","พ.ย.","ธ.ค.")&amp;" "&amp;RIGHT(YEAR(BH7)+543,2)</f>
        <v>ต.ค. 69</v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>พ.ย. 69</v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/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>ธ.ค. 69</v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/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>ม.ค. 70</v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/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>ก.พ. 70</v>
      </c>
      <c r="BW6" s="73" t="str">
        <f aca="false">IF(MONTH(BW7)&lt;&gt;MONTH(BV7),CHOOSE(MONTH(BW7),"ม.ค.","ก.พ.","มี.ค.","เม.ย.","พ.ค.","มิ.ย.","ก.ค.","ส.ค.","ก.ย.","ต.ค.","พ.ย.","ธ.ค.")&amp;" "&amp;RIGHT(YEAR(BW7)+543,2),"")</f>
        <v/>
      </c>
      <c r="BX6" s="73" t="str">
        <f aca="false">IF(MONTH(BX7)&lt;&gt;MONTH(BW7),CHOOSE(MONTH(BX7),"ม.ค.","ก.พ.","มี.ค.","เม.ย.","พ.ค.","มิ.ย.","ก.ค.","ส.ค.","ก.ย.","ต.ค.","พ.ย.","ธ.ค.")&amp;" "&amp;RIGHT(YEAR(BX7)+543,2),"")</f>
        <v/>
      </c>
      <c r="BY6" s="73" t="str">
        <f aca="false">IF(MONTH(BY7)&lt;&gt;MONTH(BX7),CHOOSE(MONTH(BY7),"ม.ค.","ก.พ.","มี.ค.","เม.ย.","พ.ค.","มิ.ย.","ก.ค.","ส.ค.","ก.ย.","ต.ค.","พ.ย.","ธ.ค.")&amp;" "&amp;RIGHT(YEAR(BY7)+543,2),"")</f>
        <v/>
      </c>
      <c r="BZ6" s="73" t="str">
        <f aca="false">IF(MONTH(BZ7)&lt;&gt;MONTH(BY7),CHOOSE(MONTH(BZ7),"ม.ค.","ก.พ.","มี.ค.","เม.ย.","พ.ค.","มิ.ย.","ก.ค.","ส.ค.","ก.ย.","ต.ค.","พ.ย.","ธ.ค.")&amp;" "&amp;RIGHT(YEAR(BZ7)+543,2),"")</f>
        <v>มี.ค. 70</v>
      </c>
      <c r="CA6" s="73" t="str">
        <f aca="false">IF(MONTH(CA7)&lt;&gt;MONTH(BZ7),CHOOSE(MONTH(CA7),"ม.ค.","ก.พ.","มี.ค.","เม.ย.","พ.ค.","มิ.ย.","ก.ค.","ส.ค.","ก.ย.","ต.ค.","พ.ย.","ธ.ค.")&amp;" "&amp;RIGHT(YEAR(CA7)+543,2),"")</f>
        <v/>
      </c>
      <c r="CB6" s="73" t="str">
        <f aca="false">IF(MONTH(CB7)&lt;&gt;MONTH(CA7),CHOOSE(MONTH(CB7),"ม.ค.","ก.พ.","มี.ค.","เม.ย.","พ.ค.","มิ.ย.","ก.ค.","ส.ค.","ก.ย.","ต.ค.","พ.ย.","ธ.ค.")&amp;" "&amp;RIGHT(YEAR(CB7)+543,2),"")</f>
        <v/>
      </c>
      <c r="CC6" s="73" t="str">
        <f aca="false">IF(MONTH(CC7)&lt;&gt;MONTH(CB7),CHOOSE(MONTH(CC7),"ม.ค.","ก.พ.","มี.ค.","เม.ย.","พ.ค.","มิ.ย.","ก.ค.","ส.ค.","ก.ย.","ต.ค.","พ.ย.","ธ.ค.")&amp;" "&amp;RIGHT(YEAR(CC7)+543,2),"")</f>
        <v/>
      </c>
      <c r="CD6" s="73" t="str">
        <f aca="false">IF(MONTH(CD7)&lt;&gt;MONTH(CC7),CHOOSE(MONTH(CD7),"ม.ค.","ก.พ.","มี.ค.","เม.ย.","พ.ค.","มิ.ย.","ก.ค.","ส.ค.","ก.ย.","ต.ค.","พ.ย.","ธ.ค.")&amp;" "&amp;RIGHT(YEAR(CD7)+543,2),"")</f>
        <v/>
      </c>
      <c r="CE6" s="73" t="str">
        <f aca="false">IF(MONTH(CE7)&lt;&gt;MONTH(CD7),CHOOSE(MONTH(CE7),"ม.ค.","ก.พ.","มี.ค.","เม.ย.","พ.ค.","มิ.ย.","ก.ค.","ส.ค.","ก.ย.","ต.ค.","พ.ย.","ธ.ค.")&amp;" "&amp;RIGHT(YEAR(CE7)+543,2),"")</f>
        <v>เม.ย. 70</v>
      </c>
      <c r="CF6" s="73" t="str">
        <f aca="false">IF(MONTH(CF7)&lt;&gt;MONTH(CE7),CHOOSE(MONTH(CF7),"ม.ค.","ก.พ.","มี.ค.","เม.ย.","พ.ค.","มิ.ย.","ก.ค.","ส.ค.","ก.ย.","ต.ค.","พ.ย.","ธ.ค.")&amp;" "&amp;RIGHT(YEAR(CF7)+543,2),"")</f>
        <v/>
      </c>
      <c r="CG6" s="73" t="str">
        <f aca="false">IF(MONTH(CG7)&lt;&gt;MONTH(CF7),CHOOSE(MONTH(CG7),"ม.ค.","ก.พ.","มี.ค.","เม.ย.","พ.ค.","มิ.ย.","ก.ค.","ส.ค.","ก.ย.","ต.ค.","พ.ย.","ธ.ค.")&amp;" "&amp;RIGHT(YEAR(CG7)+543,2),"")</f>
        <v/>
      </c>
      <c r="CH6" s="73" t="str">
        <f aca="false">IF(MONTH(CH7)&lt;&gt;MONTH(CG7),CHOOSE(MONTH(CH7),"ม.ค.","ก.พ.","มี.ค.","เม.ย.","พ.ค.","มิ.ย.","ก.ค.","ส.ค.","ก.ย.","ต.ค.","พ.ย.","ธ.ค.")&amp;" "&amp;RIGHT(YEAR(CH7)+543,2),"")</f>
        <v/>
      </c>
      <c r="CI6" s="73" t="str">
        <f aca="false">IF(MONTH(CI7)&lt;&gt;MONTH(CH7),CHOOSE(MONTH(CI7),"ม.ค.","ก.พ.","มี.ค.","เม.ย.","พ.ค.","มิ.ย.","ก.ค.","ส.ค.","ก.ย.","ต.ค.","พ.ย.","ธ.ค.")&amp;" "&amp;RIGHT(YEAR(CI7)+543,2),"")</f>
        <v>พ.ค. 70</v>
      </c>
      <c r="CJ6" s="73" t="str">
        <f aca="false">IF(MONTH(CJ7)&lt;&gt;MONTH(CI7),CHOOSE(MONTH(CJ7),"ม.ค.","ก.พ.","มี.ค.","เม.ย.","พ.ค.","มิ.ย.","ก.ค.","ส.ค.","ก.ย.","ต.ค.","พ.ย.","ธ.ค.")&amp;" "&amp;RIGHT(YEAR(CJ7)+543,2),"")</f>
        <v/>
      </c>
      <c r="CK6" s="73" t="str">
        <f aca="false">IF(MONTH(CK7)&lt;&gt;MONTH(CJ7),CHOOSE(MONTH(CK7),"ม.ค.","ก.พ.","มี.ค.","เม.ย.","พ.ค.","มิ.ย.","ก.ค.","ส.ค.","ก.ย.","ต.ค.","พ.ย.","ธ.ค.")&amp;" "&amp;RIGHT(YEAR(CK7)+543,2),"")</f>
        <v/>
      </c>
      <c r="CL6" s="73" t="str">
        <f aca="false">IF(MONTH(CL7)&lt;&gt;MONTH(CK7),CHOOSE(MONTH(CL7),"ม.ค.","ก.พ.","มี.ค.","เม.ย.","พ.ค.","มิ.ย.","ก.ค.","ส.ค.","ก.ย.","ต.ค.","พ.ย.","ธ.ค.")&amp;" "&amp;RIGHT(YEAR(CL7)+543,2),"")</f>
        <v/>
      </c>
      <c r="CM6" s="73" t="str">
        <f aca="false">IF(MONTH(CM7)&lt;&gt;MONTH(CL7),CHOOSE(MONTH(CM7),"ม.ค.","ก.พ.","มี.ค.","เม.ย.","พ.ค.","มิ.ย.","ก.ค.","ส.ค.","ก.ย.","ต.ค.","พ.ย.","ธ.ค.")&amp;" "&amp;RIGHT(YEAR(CM7)+543,2),"")</f>
        <v/>
      </c>
      <c r="CN6" s="73" t="str">
        <f aca="false">IF(MONTH(CN7)&lt;&gt;MONTH(CM7),CHOOSE(MONTH(CN7),"ม.ค.","ก.พ.","มี.ค.","เม.ย.","พ.ค.","มิ.ย.","ก.ค.","ส.ค.","ก.ย.","ต.ค.","พ.ย.","ธ.ค.")&amp;" "&amp;RIGHT(YEAR(CN7)+543,2),"")</f>
        <v>มิ.ย. 70</v>
      </c>
      <c r="CO6" s="73" t="str">
        <f aca="false">IF(MONTH(CO7)&lt;&gt;MONTH(CN7),CHOOSE(MONTH(CO7),"ม.ค.","ก.พ.","มี.ค.","เม.ย.","พ.ค.","มิ.ย.","ก.ค.","ส.ค.","ก.ย.","ต.ค.","พ.ย.","ธ.ค.")&amp;" "&amp;RIGHT(YEAR(CO7)+543,2),"")</f>
        <v/>
      </c>
      <c r="CP6" s="73" t="str">
        <f aca="false">IF(MONTH(CP7)&lt;&gt;MONTH(CO7),CHOOSE(MONTH(CP7),"ม.ค.","ก.พ.","มี.ค.","เม.ย.","พ.ค.","มิ.ย.","ก.ค.","ส.ค.","ก.ย.","ต.ค.","พ.ย.","ธ.ค.")&amp;" "&amp;RIGHT(YEAR(CP7)+543,2),"")</f>
        <v/>
      </c>
      <c r="CQ6" s="73" t="str">
        <f aca="false">IF(MONTH(CQ7)&lt;&gt;MONTH(CP7),CHOOSE(MONTH(CQ7),"ม.ค.","ก.พ.","มี.ค.","เม.ย.","พ.ค.","มิ.ย.","ก.ค.","ส.ค.","ก.ย.","ต.ค.","พ.ย.","ธ.ค.")&amp;" "&amp;RIGHT(YEAR(CQ7)+543,2),"")</f>
        <v/>
      </c>
      <c r="CR6" s="73" t="str">
        <f aca="false">IF(MONTH(CR7)&lt;&gt;MONTH(CQ7),CHOOSE(MONTH(CR7),"ม.ค.","ก.พ.","มี.ค.","เม.ย.","พ.ค.","มิ.ย.","ก.ค.","ส.ค.","ก.ย.","ต.ค.","พ.ย.","ธ.ค.")&amp;" "&amp;RIGHT(YEAR(CR7)+543,2),"")</f>
        <v>ก.ค. 70</v>
      </c>
      <c r="CS6" s="73" t="str">
        <f aca="false">IF(MONTH(CS7)&lt;&gt;MONTH(CR7),CHOOSE(MONTH(CS7),"ม.ค.","ก.พ.","มี.ค.","เม.ย.","พ.ค.","มิ.ย.","ก.ค.","ส.ค.","ก.ย.","ต.ค.","พ.ย.","ธ.ค.")&amp;" "&amp;RIGHT(YEAR(CS7)+543,2),"")</f>
        <v/>
      </c>
      <c r="CT6" s="73" t="str">
        <f aca="false">IF(MONTH(CT7)&lt;&gt;MONTH(CS7),CHOOSE(MONTH(CT7),"ม.ค.","ก.พ.","มี.ค.","เม.ย.","พ.ค.","มิ.ย.","ก.ค.","ส.ค.","ก.ย.","ต.ค.","พ.ย.","ธ.ค.")&amp;" "&amp;RIGHT(YEAR(CT7)+543,2),"")</f>
        <v/>
      </c>
      <c r="CU6" s="73" t="str">
        <f aca="false">IF(MONTH(CU7)&lt;&gt;MONTH(CT7),CHOOSE(MONTH(CU7),"ม.ค.","ก.พ.","มี.ค.","เม.ย.","พ.ค.","มิ.ย.","ก.ค.","ส.ค.","ก.ย.","ต.ค.","พ.ย.","ธ.ค.")&amp;" "&amp;RIGHT(YEAR(CU7)+543,2),"")</f>
        <v/>
      </c>
      <c r="CV6" s="73" t="str">
        <f aca="false">IF(MONTH(CV7)&lt;&gt;MONTH(CU7),CHOOSE(MONTH(CV7),"ม.ค.","ก.พ.","มี.ค.","เม.ย.","พ.ค.","มิ.ย.","ก.ค.","ส.ค.","ก.ย.","ต.ค.","พ.ย.","ธ.ค.")&amp;" "&amp;RIGHT(YEAR(CV7)+543,2),"")</f>
        <v>ส.ค. 70</v>
      </c>
      <c r="CW6" s="73" t="str">
        <f aca="false">IF(MONTH(CW7)&lt;&gt;MONTH(CV7),CHOOSE(MONTH(CW7),"ม.ค.","ก.พ.","มี.ค.","เม.ย.","พ.ค.","มิ.ย.","ก.ค.","ส.ค.","ก.ย.","ต.ค.","พ.ย.","ธ.ค.")&amp;" "&amp;RIGHT(YEAR(CW7)+543,2),"")</f>
        <v/>
      </c>
      <c r="CX6" s="73" t="str">
        <f aca="false">IF(MONTH(CX7)&lt;&gt;MONTH(CW7),CHOOSE(MONTH(CX7),"ม.ค.","ก.พ.","มี.ค.","เม.ย.","พ.ค.","มิ.ย.","ก.ค.","ส.ค.","ก.ย.","ต.ค.","พ.ย.","ธ.ค.")&amp;" "&amp;RIGHT(YEAR(CX7)+543,2),"")</f>
        <v/>
      </c>
      <c r="CY6" s="73" t="str">
        <f aca="false">IF(MONTH(CY7)&lt;&gt;MONTH(CX7),CHOOSE(MONTH(CY7),"ม.ค.","ก.พ.","มี.ค.","เม.ย.","พ.ค.","มิ.ย.","ก.ค.","ส.ค.","ก.ย.","ต.ค.","พ.ย.","ธ.ค.")&amp;" "&amp;RIGHT(YEAR(CY7)+543,2),"")</f>
        <v/>
      </c>
      <c r="CZ6" s="73" t="str">
        <f aca="false">IF(MONTH(CZ7)&lt;&gt;MONTH(CY7),CHOOSE(MONTH(CZ7),"ม.ค.","ก.พ.","มี.ค.","เม.ย.","พ.ค.","มิ.ย.","ก.ค.","ส.ค.","ก.ย.","ต.ค.","พ.ย.","ธ.ค.")&amp;" "&amp;RIGHT(YEAR(CZ7)+543,2),"")</f>
        <v/>
      </c>
      <c r="DA6" s="73" t="str">
        <f aca="false">IF(MONTH(DA7)&lt;&gt;MONTH(CZ7),CHOOSE(MONTH(DA7),"ม.ค.","ก.พ.","มี.ค.","เม.ย.","พ.ค.","มิ.ย.","ก.ค.","ส.ค.","ก.ย.","ต.ค.","พ.ย.","ธ.ค.")&amp;" "&amp;RIGHT(YEAR(DA7)+543,2),"")</f>
        <v>ก.ย. 70</v>
      </c>
      <c r="DB6" s="73" t="str">
        <f aca="false">IF(MONTH(DB7)&lt;&gt;MONTH(DA7),CHOOSE(MONTH(DB7),"ม.ค.","ก.พ.","มี.ค.","เม.ย.","พ.ค.","มิ.ย.","ก.ค.","ส.ค.","ก.ย.","ต.ค.","พ.ย.","ธ.ค.")&amp;" "&amp;RIGHT(YEAR(DB7)+543,2),"")</f>
        <v/>
      </c>
      <c r="DC6" s="73" t="str">
        <f aca="false">IF(MONTH(DC7)&lt;&gt;MONTH(DB7),CHOOSE(MONTH(DC7),"ม.ค.","ก.พ.","มี.ค.","เม.ย.","พ.ค.","มิ.ย.","ก.ค.","ส.ค.","ก.ย.","ต.ค.","พ.ย.","ธ.ค.")&amp;" "&amp;RIGHT(YEAR(DC7)+543,2),"")</f>
        <v/>
      </c>
    </row>
    <row r="7" customFormat="false" ht="36" hidden="false" customHeight="true" outlineLevel="0" collapsed="false">
      <c r="A7" s="28" t="s">
        <v>34</v>
      </c>
      <c r="B7" s="28" t="s">
        <v>35</v>
      </c>
      <c r="C7" s="28" t="s">
        <v>525</v>
      </c>
      <c r="D7" s="28" t="s">
        <v>526</v>
      </c>
      <c r="E7" s="28" t="s">
        <v>130</v>
      </c>
      <c r="F7" s="29" t="s">
        <v>527</v>
      </c>
      <c r="G7" s="28" t="s">
        <v>132</v>
      </c>
      <c r="H7" s="28" t="s">
        <v>528</v>
      </c>
      <c r="I7" s="29" t="s">
        <v>529</v>
      </c>
      <c r="J7" s="28" t="s">
        <v>15</v>
      </c>
      <c r="K7" s="29" t="s">
        <v>131</v>
      </c>
      <c r="L7" s="28" t="s">
        <v>36</v>
      </c>
      <c r="M7" s="28" t="s">
        <v>530</v>
      </c>
      <c r="N7" s="28" t="s">
        <v>531</v>
      </c>
      <c r="O7" s="28" t="s">
        <v>532</v>
      </c>
      <c r="P7" s="29" t="s">
        <v>533</v>
      </c>
      <c r="Q7" s="28" t="s">
        <v>534</v>
      </c>
      <c r="R7" s="28" t="s">
        <v>535</v>
      </c>
      <c r="S7" s="28" t="s">
        <v>536</v>
      </c>
      <c r="T7" s="28" t="s">
        <v>537</v>
      </c>
      <c r="U7" s="28" t="s">
        <v>538</v>
      </c>
      <c r="V7" s="28" t="s">
        <v>539</v>
      </c>
      <c r="W7" s="28" t="s">
        <v>540</v>
      </c>
      <c r="X7" s="29" t="s">
        <v>541</v>
      </c>
      <c r="Y7" s="28" t="s">
        <v>531</v>
      </c>
      <c r="Z7" s="28" t="s">
        <v>532</v>
      </c>
      <c r="AA7" s="29" t="s">
        <v>533</v>
      </c>
      <c r="AB7" s="28" t="s">
        <v>534</v>
      </c>
      <c r="AC7" s="28" t="s">
        <v>535</v>
      </c>
      <c r="AD7" s="28" t="s">
        <v>537</v>
      </c>
      <c r="AE7" s="28" t="s">
        <v>538</v>
      </c>
      <c r="AF7" s="28" t="s">
        <v>539</v>
      </c>
      <c r="AG7" s="28" t="s">
        <v>540</v>
      </c>
      <c r="AH7" s="29" t="s">
        <v>542</v>
      </c>
      <c r="AI7" s="28" t="s">
        <v>543</v>
      </c>
      <c r="AJ7" s="29" t="s">
        <v>544</v>
      </c>
      <c r="AK7" s="29" t="s">
        <v>545</v>
      </c>
      <c r="AL7" s="28" t="s">
        <v>546</v>
      </c>
      <c r="AM7" s="29" t="s">
        <v>39</v>
      </c>
      <c r="AN7" s="28" t="s">
        <v>41</v>
      </c>
      <c r="AO7" s="28" t="s">
        <v>547</v>
      </c>
      <c r="AP7" s="29" t="s">
        <v>548</v>
      </c>
      <c r="AQ7" s="28" t="s">
        <v>549</v>
      </c>
      <c r="AR7" s="29" t="s">
        <v>550</v>
      </c>
      <c r="AS7" s="28" t="s">
        <v>551</v>
      </c>
      <c r="AT7" s="28" t="s">
        <v>552</v>
      </c>
      <c r="AU7" s="28" t="s">
        <v>553</v>
      </c>
      <c r="AV7" s="28" t="s">
        <v>554</v>
      </c>
      <c r="AW7" s="28" t="s">
        <v>555</v>
      </c>
      <c r="AX7" s="28" t="s">
        <v>556</v>
      </c>
      <c r="AY7" s="28" t="s">
        <v>557</v>
      </c>
      <c r="AZ7" s="28" t="s">
        <v>558</v>
      </c>
      <c r="BA7" s="28" t="s">
        <v>559</v>
      </c>
      <c r="BB7" s="28" t="s">
        <v>560</v>
      </c>
      <c r="BC7" s="28" t="s">
        <v>561</v>
      </c>
      <c r="BD7" s="28" t="s">
        <v>562</v>
      </c>
      <c r="BE7" s="28" t="s">
        <v>563</v>
      </c>
      <c r="BF7" s="28" t="s">
        <v>564</v>
      </c>
      <c r="BH7" s="74" t="n">
        <f aca="false">GANTT_START</f>
        <v>46321</v>
      </c>
      <c r="BI7" s="74" t="n">
        <f aca="false">BH7+7</f>
        <v>46328</v>
      </c>
      <c r="BJ7" s="74" t="n">
        <f aca="false">BI7+7</f>
        <v>46335</v>
      </c>
      <c r="BK7" s="74" t="n">
        <f aca="false">BJ7+7</f>
        <v>46342</v>
      </c>
      <c r="BL7" s="74" t="n">
        <f aca="false">BK7+7</f>
        <v>46349</v>
      </c>
      <c r="BM7" s="74" t="n">
        <f aca="false">BL7+7</f>
        <v>46356</v>
      </c>
      <c r="BN7" s="74" t="n">
        <f aca="false">BM7+7</f>
        <v>46363</v>
      </c>
      <c r="BO7" s="74" t="n">
        <f aca="false">BN7+7</f>
        <v>46370</v>
      </c>
      <c r="BP7" s="74" t="n">
        <f aca="false">BO7+7</f>
        <v>46377</v>
      </c>
      <c r="BQ7" s="74" t="n">
        <f aca="false">BP7+7</f>
        <v>46384</v>
      </c>
      <c r="BR7" s="74" t="n">
        <f aca="false">BQ7+7</f>
        <v>46391</v>
      </c>
      <c r="BS7" s="74" t="n">
        <f aca="false">BR7+7</f>
        <v>46398</v>
      </c>
      <c r="BT7" s="74" t="n">
        <f aca="false">BS7+7</f>
        <v>46405</v>
      </c>
      <c r="BU7" s="74" t="n">
        <f aca="false">BT7+7</f>
        <v>46412</v>
      </c>
      <c r="BV7" s="74" t="n">
        <f aca="false">BU7+7</f>
        <v>46419</v>
      </c>
      <c r="BW7" s="74" t="n">
        <f aca="false">BV7+7</f>
        <v>46426</v>
      </c>
      <c r="BX7" s="74" t="n">
        <f aca="false">BW7+7</f>
        <v>46433</v>
      </c>
      <c r="BY7" s="74" t="n">
        <f aca="false">BX7+7</f>
        <v>46440</v>
      </c>
      <c r="BZ7" s="74" t="n">
        <f aca="false">BY7+7</f>
        <v>46447</v>
      </c>
      <c r="CA7" s="74" t="n">
        <f aca="false">BZ7+7</f>
        <v>46454</v>
      </c>
      <c r="CB7" s="74" t="n">
        <f aca="false">CA7+7</f>
        <v>46461</v>
      </c>
      <c r="CC7" s="74" t="n">
        <f aca="false">CB7+7</f>
        <v>46468</v>
      </c>
      <c r="CD7" s="74" t="n">
        <f aca="false">CC7+7</f>
        <v>46475</v>
      </c>
      <c r="CE7" s="74" t="n">
        <f aca="false">CD7+7</f>
        <v>46482</v>
      </c>
      <c r="CF7" s="74" t="n">
        <f aca="false">CE7+7</f>
        <v>46489</v>
      </c>
      <c r="CG7" s="74" t="n">
        <f aca="false">CF7+7</f>
        <v>46496</v>
      </c>
      <c r="CH7" s="74" t="n">
        <f aca="false">CG7+7</f>
        <v>46503</v>
      </c>
      <c r="CI7" s="74" t="n">
        <f aca="false">CH7+7</f>
        <v>46510</v>
      </c>
      <c r="CJ7" s="74" t="n">
        <f aca="false">CI7+7</f>
        <v>46517</v>
      </c>
      <c r="CK7" s="74" t="n">
        <f aca="false">CJ7+7</f>
        <v>46524</v>
      </c>
      <c r="CL7" s="74" t="n">
        <f aca="false">CK7+7</f>
        <v>46531</v>
      </c>
      <c r="CM7" s="74" t="n">
        <f aca="false">CL7+7</f>
        <v>46538</v>
      </c>
      <c r="CN7" s="74" t="n">
        <f aca="false">CM7+7</f>
        <v>46545</v>
      </c>
      <c r="CO7" s="74" t="n">
        <f aca="false">CN7+7</f>
        <v>46552</v>
      </c>
      <c r="CP7" s="74" t="n">
        <f aca="false">CO7+7</f>
        <v>46559</v>
      </c>
      <c r="CQ7" s="74" t="n">
        <f aca="false">CP7+7</f>
        <v>46566</v>
      </c>
      <c r="CR7" s="74" t="n">
        <f aca="false">CQ7+7</f>
        <v>46573</v>
      </c>
      <c r="CS7" s="74" t="n">
        <f aca="false">CR7+7</f>
        <v>46580</v>
      </c>
      <c r="CT7" s="74" t="n">
        <f aca="false">CS7+7</f>
        <v>46587</v>
      </c>
      <c r="CU7" s="74" t="n">
        <f aca="false">CT7+7</f>
        <v>46594</v>
      </c>
      <c r="CV7" s="74" t="n">
        <f aca="false">CU7+7</f>
        <v>46601</v>
      </c>
      <c r="CW7" s="74" t="n">
        <f aca="false">CV7+7</f>
        <v>46608</v>
      </c>
      <c r="CX7" s="74" t="n">
        <f aca="false">CW7+7</f>
        <v>46615</v>
      </c>
      <c r="CY7" s="74" t="n">
        <f aca="false">CX7+7</f>
        <v>46622</v>
      </c>
      <c r="CZ7" s="74" t="n">
        <f aca="false">CY7+7</f>
        <v>46629</v>
      </c>
      <c r="DA7" s="74" t="n">
        <f aca="false">CZ7+7</f>
        <v>46636</v>
      </c>
      <c r="DB7" s="74" t="n">
        <f aca="false">DA7+7</f>
        <v>46643</v>
      </c>
      <c r="DC7" s="74" t="n">
        <f aca="false">DB7+7</f>
        <v>46650</v>
      </c>
    </row>
    <row r="8" customFormat="false" ht="15" hidden="false" customHeight="false" outlineLevel="0" collapsed="false">
      <c r="A8" s="47" t="s">
        <v>42</v>
      </c>
      <c r="B8" s="31" t="s">
        <v>43</v>
      </c>
      <c r="C8" s="36" t="s">
        <v>565</v>
      </c>
      <c r="D8" s="31" t="s">
        <v>566</v>
      </c>
      <c r="E8" s="31" t="s">
        <v>169</v>
      </c>
      <c r="F8" s="75" t="n">
        <v>150.48</v>
      </c>
      <c r="G8" s="31" t="s">
        <v>170</v>
      </c>
      <c r="H8" s="76" t="n">
        <f aca="false">PROJ_START+RD_SPAN</f>
        <v>46403</v>
      </c>
      <c r="I8" s="77" t="n">
        <f aca="false">H8+33</f>
        <v>46436</v>
      </c>
      <c r="J8" s="31" t="s">
        <v>45</v>
      </c>
      <c r="K8" s="36" t="s">
        <v>131</v>
      </c>
      <c r="L8" s="36" t="s">
        <v>44</v>
      </c>
      <c r="M8" s="36" t="s">
        <v>567</v>
      </c>
      <c r="N8" s="78" t="str">
        <f aca="false">IF(ISNUMBER(อัปเดตรายสัปดาห์!$AF8),อัปเดตรายสัปดาห์!$AF8,"")</f>
        <v/>
      </c>
      <c r="O8" s="78" t="str">
        <f aca="false">IF(ISNUMBER(อัปเดตรายสัปดาห์!$AH8),อัปเดตรายสัปดาห์!$AH8,"")</f>
        <v/>
      </c>
      <c r="P8" s="78" t="str">
        <f aca="false">IF(ISNUMBER(อัปเดตรายสัปดาห์!$AG8),อัปเดตรายสัปดาห์!$AG8,IF(AND(ISNUMBER(TCRoof!$AC$8),N(TCRoof!$AC$8)&lt;=ASOF),TCRoof!$AC$8,""))</f>
        <v/>
      </c>
      <c r="Q8" s="78" t="str">
        <f aca="false">IF(ISNUMBER(อัปเดตรายสัปดาห์!$AL8),อัปเดตรายสัปดาห์!$AL8,"")</f>
        <v/>
      </c>
      <c r="R8" s="78" t="str">
        <f aca="false">IF(ISNUMBER(อัปเดตรายสัปดาห์!$Q8),อัปเดตรายสัปดาห์!$Q8,"")</f>
        <v/>
      </c>
      <c r="S8" s="78" t="str">
        <f aca="false">IF(ISNUMBER(อัปเดตรายสัปดาห์!$R8),อัปเดตรายสัปดาห์!$R8,"")</f>
        <v/>
      </c>
      <c r="T8" s="78" t="str">
        <f aca="false">IF(ISNUMBER(อัปเดตรายสัปดาห์!$S8),อัปเดตรายสัปดาห์!$S8,IF(อัปเดตรายสัปดาห์!$S8="Y",ASOF,""))</f>
        <v/>
      </c>
      <c r="U8" s="78" t="str">
        <f aca="false">IF(ISNUMBER(อัปเดตรายสัปดาห์!$T8),อัปเดตรายสัปดาห์!$T8,IF(อัปเดตรายสัปดาห์!$T8="Y",ASOF,""))</f>
        <v/>
      </c>
      <c r="V8" s="78" t="str">
        <f aca="false">IF(ISNUMBER(อัปเดตรายสัปดาห์!$U8),อัปเดตรายสัปดาห์!$U8,IF(อัปเดตรายสัปดาห์!$U8="Y",ASOF,""))</f>
        <v/>
      </c>
      <c r="W8" s="78" t="str">
        <f aca="false">IF(ISNUMBER(อัปเดตรายสัปดาห์!$N8),อัปเดตรายสัปดาห์!$N8,"")</f>
        <v/>
      </c>
      <c r="X8" s="78" t="str">
        <f aca="false">IF(ISNUMBER(อัปเดตรายสัปดาห์!$V8),อัปเดตรายสัปดาห์!$V8,IF(AND(ISNUMBER(TCRoof!$AD$8),N(TCRoof!$AD$8)&lt;=ASOF),TCRoof!$AD$8,""))</f>
        <v/>
      </c>
      <c r="Y8" s="79" t="n">
        <f aca="false">IF(N8&lt;&gt;"",N8,WORKDAY((ASOF+LEAD_INST+7*INT((AT8-0.01)/MAX(1,AU8)))-1,1,HOLIDAYS))</f>
        <v>46349</v>
      </c>
      <c r="Z8" s="79" t="n">
        <f aca="false">IF(O8&lt;&gt;"",O8,WORKDAY((MAX(AV8+7*INT((AW8-1)/MAX(1,AX8)),AV8+7*INT((AY8-1)/MAX(1,AZ8))))-1,1,HOLIDAYS))</f>
        <v>46356</v>
      </c>
      <c r="AA8" s="79" t="n">
        <f aca="false">IF(P8&lt;&gt;"",P8,WORKDAY((BA8+7*INT((BB8-1)/MAX(1,BC8)))-1,1,HOLIDAYS))</f>
        <v>46359</v>
      </c>
      <c r="AB8" s="79" t="n">
        <f aca="false">IF(Q8&lt;&gt;"",Q8,WORKDAY((MAX(AA8+BD8,ASOF+1))-1,1,HOLIDAYS))</f>
        <v>46367</v>
      </c>
      <c r="AC8" s="79" t="n">
        <f aca="false">IF(R8&lt;&gt;"",R8,WORKDAY((MAX(Y8,ASOF)+LAG_GRID)-1,1,HOLIDAYS))</f>
        <v>46356</v>
      </c>
      <c r="AD8" s="79" t="n">
        <f aca="false">IF(T8&lt;&gt;"",T8,WORKDAY((MAX(WORKDAY(MAX(AC8,N(S8)),REVIEW_WD,HOLIDAYS),ASOF+1))-1,1,HOLIDAYS))</f>
        <v>46379</v>
      </c>
      <c r="AE8" s="79" t="n">
        <f aca="false">IF(U8&lt;&gt;"",U8,WORKDAY((MAX(AD8,ASOF)+FEE_DAYS)-1,1,HOLIDAYS))</f>
        <v>46386</v>
      </c>
      <c r="AF8" s="79" t="n">
        <f aca="false">IF(V8&lt;&gt;"",V8,WORKDAY((MAX(AA8,Z8,AE8,IF(AG8="",0,AG8+REVIEW_PK2),ASOF)+LAG_INSREQ)-1,1,HOLIDAYS))</f>
        <v>46391</v>
      </c>
      <c r="AG8" s="79" t="str">
        <f aca="false">IF(M8&lt;&gt;"Y","",IF(W8&lt;&gt;"",W8,WORKDAY((MAX(Y8,ASOF)+LAG_GRID)-1,1,HOLIDAYS)))</f>
        <v/>
      </c>
      <c r="AH8" s="80" t="n">
        <f aca="false">IF(X8&lt;&gt;"",X8,WORKDAY(AF8,INSPECT_WD,HOLIDAYS))</f>
        <v>46433</v>
      </c>
      <c r="AI8" s="81" t="n">
        <f aca="false">IF(H8="","",AB8-H8)</f>
        <v>-36</v>
      </c>
      <c r="AJ8" s="81" t="n">
        <f aca="false">IF(I8="","",AH8-I8)</f>
        <v>-3</v>
      </c>
      <c r="AK8" s="82" t="n">
        <f aca="false">IF(AND(ISNUMBER(N8),N(N8)&lt;=ASOF),1,0)+IF(AND(ISNUMBER(O8),N(O8)&lt;=ASOF),1,0)+IF(AND(ISNUMBER(P8),N(P8)&lt;=ASOF),1,0)+IF(AND(ISNUMBER(Q8),N(Q8)&lt;=ASOF),1,0)+IF(AND(ISNUMBER(R8),N(R8)&lt;=ASOF),1,0)+IF(AND(ISNUMBER(U8),N(U8)&lt;=ASOF),1,0)+IF(AND(ISNUMBER(X8),N(X8)&lt;=ASOF),1,0)</f>
        <v>0</v>
      </c>
      <c r="AL8" s="83" t="n">
        <v>7</v>
      </c>
      <c r="AM8" s="84" t="n">
        <f aca="false">'P9-001'!$J$4</f>
        <v>0</v>
      </c>
      <c r="AN8" s="85" t="str">
        <f aca="false">TRIM(IF(AND(ISNUMBER(O8),NOT(ISNUMBER(N8))),"กฟภ.ตรวจก่อนติดตั้ง, ","")&amp;IF(AND(ISNUMBER(P8),NOT(ISNUMBER(N8))),"IEC ก่อนติดตั้ง, ","")&amp;IF(AND(ISNUMBER(Q8),NOT(ISNUMBER(N8))),"ส่งมอบก่อนติดตั้ง, ","")&amp;IF(AND(ISNUMBER(Q8),ISNUMBER(P8),N(Q8)&lt;N(P8)),"ส่งมอบก่อน IEC, ","")&amp;IF(AND(ISNUMBER(อัปเดตรายสัปดาห์!$AG8),ISNUMBER(TCRoof!$AC$8),ABS(N(อัปเดตรายสัปดาห์!$AG8)-N(TCRoof!$AC$8))&gt;3),"IEC Excel≠แอป, ","")&amp;IF(AND(ISNUMBER(อัปเดตรายสัปดาห์!$V8),ISNUMBER(TCRoof!$AD$8),ABS(N(อัปเดตรายสัปดาห์!$V8)-N(TCRoof!$AD$8))&gt;3),"COD Excel≠แอป, ","")&amp;IF(AND(ISNUMBER(อัปเดตรายสัปดาห์!$AF8),ISNUMBER(TCRoof!$AB$8),ABS(N(อัปเดตรายสัปดาห์!$AF8)-N(TCRoof!$AB$8))&gt;3),"ติดตั้ง Excel≠แอป, ","")&amp;IF(AND(ISNUMBER(N8),N(N8)&gt;ASOF,OR(WEEKDAY(N(N8),2)&gt;5,COUNTIF(HOLIDAYS,N(N8))&gt;0)),"นัดดับไฟตรงวันหยุด, ","")&amp;IF(AND(ISNUMBER(O8),N(O8)&gt;ASOF,OR(WEEKDAY(N(O8),2)&gt;5,COUNTIF(HOLIDAYS,N(O8))&gt;0)),"นัด กฟภ.ตรงวันหยุด, ","")&amp;IF(AND(ISNUMBER(P8),N(P8)&gt;ASOF,OR(WEEKDAY(N(P8),2)&gt;5,COUNTIF(HOLIDAYS,N(P8))&gt;0)),"นัด IECตรงวันหยุด, ","")&amp;IF(AND(ISNUMBER(X8),N(X8)&gt;ASOF,OR(WEEKDAY(N(X8),2)&gt;5,COUNTIF(HOLIDAYS,N(X8))&gt;0)),"นัด Syncตรงวันหยุด, ",""))</f>
        <v/>
      </c>
      <c r="AO8" s="86" t="n">
        <f aca="false">SUMIFS(CR_COD,CR_ST,A8,CR_STAT,"อนุมัติ")+SUMIFS(CR_COD,CR_ST,"ทั้งเฟส",CR_STAT,"อนุมัติ")+SUMIFS(CR_COD,CR_ST,"ผรม. "&amp;L8,CR_STAT,"อนุมัติ")+SUMIFS(CR_COD,CR_ST,"เขต "&amp;E8,CR_STAT,"อนุมัติ")</f>
        <v>0</v>
      </c>
      <c r="AP8" s="86" t="n">
        <f aca="false">IF(NOT(ISNUMBER(AJ8)),"",MAX(0,AJ8-AO8))</f>
        <v>0</v>
      </c>
      <c r="AQ8" s="86" t="n">
        <f aca="false">COUNTIF(RW_ST,A8)</f>
        <v>0</v>
      </c>
      <c r="AR8" s="87" t="str">
        <f aca="false">IF(ISNUMBER(TCRoof!$I$8),TCRoof!$I$8,"")</f>
        <v/>
      </c>
      <c r="AS8" s="88" t="str">
        <f aca="false">IF(ISNUMBER(TCRoof!$H$8),TCRoof!$H$8,"")</f>
        <v/>
      </c>
      <c r="AT8" s="89" t="n">
        <f aca="false">IF(N8&lt;&gt;"","",SUMIFS($F$8:$F$27,$L$8:$L$27,L8,$N$8:$N$27,"",$H$8:$H$27,"&lt;"&amp;H8)+SUMIFS($F$8:$F$27,$L$8:$L$27,L8,$N$8:$N$27,"",$H$8:$H$27,H8,$A$8:$A$27,"&lt;="&amp;A8)+SUMIFS($F$8:$F$27,$L$8:$L$27,L8,$N$8:$N$27,"&gt;"&amp;ASOF))</f>
        <v>150.48</v>
      </c>
      <c r="AU8" s="89" t="n">
        <f aca="false">IFERROR(VLOOKUP(L8,TEAM_TBL,2,0)*VLOOKUP(L8,TEAM_TBL,3,0),150)</f>
        <v>150</v>
      </c>
      <c r="AV8" s="90" t="n">
        <f aca="false">IF(O8&lt;&gt;"","",MAX(Y8+LAG_PEA,ASOF+LAG_PEA))</f>
        <v>46356</v>
      </c>
      <c r="AW8" s="89" t="n">
        <f aca="false">IF(O8&lt;&gt;"","",COUNTIFS($E$8:$E$27,E8,$AV$8:$AV$27,"&lt;"&amp;AV8)+COUNTIFS($E$8:$E$27,E8,$AV$8:$AV$27,AV8,$A$8:$A$27,"&lt;"&amp;A8)+COUNTIFS($E$8:$E$27,E8,$O$8:$O$27,"&gt;"&amp;ASOF)+1)</f>
        <v>1</v>
      </c>
      <c r="AX8" s="89" t="n">
        <f aca="false">IFERROR(VLOOKUP(E8,ZONE_TBL,2,0),CAP_PEA)</f>
        <v>3</v>
      </c>
      <c r="AY8" s="89" t="n">
        <f aca="false">IF(O8&lt;&gt;"","",COUNTIFS($J$8:$J$27,J8,$AV$8:$AV$27,"&lt;"&amp;AV8)+COUNTIFS($J$8:$J$27,J8,$AV$8:$AV$27,AV8,$A$8:$A$27,"&lt;"&amp;A8)+COUNTIFS($J$8:$J$27,J8,$O$8:$O$27,"&gt;"&amp;ASOF)+1)</f>
        <v>1</v>
      </c>
      <c r="AZ8" s="89" t="n">
        <f aca="false">IFERROR(VLOOKUP(J8,ENG_TBL,2,0),ENG_CAP)</f>
        <v>3</v>
      </c>
      <c r="BA8" s="90" t="n">
        <f aca="false">IF(P8&lt;&gt;"","",MAX(Z8+LAG_IEC,ASOF+1))</f>
        <v>46359</v>
      </c>
      <c r="BB8" s="89" t="n">
        <f aca="false">IF(P8&lt;&gt;"","",COUNTIFS($L$8:$L$27,L8,$BA$8:$BA$27,"&lt;"&amp;BA8)+COUNTIFS($L$8:$L$27,L8,$BA$8:$BA$27,BA8,$A$8:$A$27,"&lt;"&amp;A8)+COUNTIFS($L$8:$L$27,L8,$P$8:$P$27,"&gt;"&amp;ASOF)+1)</f>
        <v>1</v>
      </c>
      <c r="BC8" s="89" t="n">
        <f aca="false">IFERROR(VLOOKUP(L8,TEAM_TBL,4,0)*VLOOKUP(L8,TEAM_TBL,5,0),3)</f>
        <v>3</v>
      </c>
      <c r="BD8" s="91" t="n">
        <f aca="false">IFERROR(VLOOKUP(L8,TEAM_TBL,6,0),LAG_HO)</f>
        <v>7</v>
      </c>
      <c r="BE8" s="89" t="n">
        <f aca="false">IF(ISNUMBER(AW8),7*INT((AW8-1)/MAX(1,AX8)),"")</f>
        <v>0</v>
      </c>
      <c r="BF8" s="89" t="n">
        <f aca="false">IF(ISNUMBER(AY8),7*INT((AY8-1)/MAX(1,AZ8)),"")</f>
        <v>0</v>
      </c>
      <c r="BH8" s="92" t="str">
        <f aca="false">IF(AND($Y8&lt;&gt;"",$Y8&gt;=BH$7,$Y8&lt;BH$7+7),"I","")&amp;IF(AND($Z8&lt;&gt;"",$Z8&gt;=BH$7,$Z8&lt;BH$7+7),"P","")&amp;IF(AND($AA8&lt;&gt;"",$AA8&gt;=BH$7,$AA8&lt;BH$7+7),"T","")&amp;IF(AND($AB8&lt;&gt;"",$AB8&gt;=BH$7,$AB8&lt;BH$7+7),"H","")&amp;IF(AND($AC8&lt;&gt;"",$AC8&gt;=BH$7,$AC8&lt;BH$7+7),"G","")&amp;IF(AND($AH8&lt;&gt;"",$AH8&gt;=BH$7,$AH8&lt;BH$7+7),"S","")</f>
        <v/>
      </c>
      <c r="BI8" s="92" t="str">
        <f aca="false">IF(AND($Y8&lt;&gt;"",$Y8&gt;=BI$7,$Y8&lt;BI$7+7),"I","")&amp;IF(AND($Z8&lt;&gt;"",$Z8&gt;=BI$7,$Z8&lt;BI$7+7),"P","")&amp;IF(AND($AA8&lt;&gt;"",$AA8&gt;=BI$7,$AA8&lt;BI$7+7),"T","")&amp;IF(AND($AB8&lt;&gt;"",$AB8&gt;=BI$7,$AB8&lt;BI$7+7),"H","")&amp;IF(AND($AC8&lt;&gt;"",$AC8&gt;=BI$7,$AC8&lt;BI$7+7),"G","")&amp;IF(AND($AH8&lt;&gt;"",$AH8&gt;=BI$7,$AH8&lt;BI$7+7),"S","")</f>
        <v/>
      </c>
      <c r="BJ8" s="92" t="str">
        <f aca="false">IF(AND($Y8&lt;&gt;"",$Y8&gt;=BJ$7,$Y8&lt;BJ$7+7),"I","")&amp;IF(AND($Z8&lt;&gt;"",$Z8&gt;=BJ$7,$Z8&lt;BJ$7+7),"P","")&amp;IF(AND($AA8&lt;&gt;"",$AA8&gt;=BJ$7,$AA8&lt;BJ$7+7),"T","")&amp;IF(AND($AB8&lt;&gt;"",$AB8&gt;=BJ$7,$AB8&lt;BJ$7+7),"H","")&amp;IF(AND($AC8&lt;&gt;"",$AC8&gt;=BJ$7,$AC8&lt;BJ$7+7),"G","")&amp;IF(AND($AH8&lt;&gt;"",$AH8&gt;=BJ$7,$AH8&lt;BJ$7+7),"S","")</f>
        <v/>
      </c>
      <c r="BK8" s="92" t="str">
        <f aca="false">IF(AND($Y8&lt;&gt;"",$Y8&gt;=BK$7,$Y8&lt;BK$7+7),"I","")&amp;IF(AND($Z8&lt;&gt;"",$Z8&gt;=BK$7,$Z8&lt;BK$7+7),"P","")&amp;IF(AND($AA8&lt;&gt;"",$AA8&gt;=BK$7,$AA8&lt;BK$7+7),"T","")&amp;IF(AND($AB8&lt;&gt;"",$AB8&gt;=BK$7,$AB8&lt;BK$7+7),"H","")&amp;IF(AND($AC8&lt;&gt;"",$AC8&gt;=BK$7,$AC8&lt;BK$7+7),"G","")&amp;IF(AND($AH8&lt;&gt;"",$AH8&gt;=BK$7,$AH8&lt;BK$7+7),"S","")</f>
        <v/>
      </c>
      <c r="BL8" s="92" t="str">
        <f aca="false">IF(AND($Y8&lt;&gt;"",$Y8&gt;=BL$7,$Y8&lt;BL$7+7),"I","")&amp;IF(AND($Z8&lt;&gt;"",$Z8&gt;=BL$7,$Z8&lt;BL$7+7),"P","")&amp;IF(AND($AA8&lt;&gt;"",$AA8&gt;=BL$7,$AA8&lt;BL$7+7),"T","")&amp;IF(AND($AB8&lt;&gt;"",$AB8&gt;=BL$7,$AB8&lt;BL$7+7),"H","")&amp;IF(AND($AC8&lt;&gt;"",$AC8&gt;=BL$7,$AC8&lt;BL$7+7),"G","")&amp;IF(AND($AH8&lt;&gt;"",$AH8&gt;=BL$7,$AH8&lt;BL$7+7),"S","")</f>
        <v>I</v>
      </c>
      <c r="BM8" s="92" t="str">
        <f aca="false">IF(AND($Y8&lt;&gt;"",$Y8&gt;=BM$7,$Y8&lt;BM$7+7),"I","")&amp;IF(AND($Z8&lt;&gt;"",$Z8&gt;=BM$7,$Z8&lt;BM$7+7),"P","")&amp;IF(AND($AA8&lt;&gt;"",$AA8&gt;=BM$7,$AA8&lt;BM$7+7),"T","")&amp;IF(AND($AB8&lt;&gt;"",$AB8&gt;=BM$7,$AB8&lt;BM$7+7),"H","")&amp;IF(AND($AC8&lt;&gt;"",$AC8&gt;=BM$7,$AC8&lt;BM$7+7),"G","")&amp;IF(AND($AH8&lt;&gt;"",$AH8&gt;=BM$7,$AH8&lt;BM$7+7),"S","")</f>
        <v>PTG</v>
      </c>
      <c r="BN8" s="92" t="str">
        <f aca="false">IF(AND($Y8&lt;&gt;"",$Y8&gt;=BN$7,$Y8&lt;BN$7+7),"I","")&amp;IF(AND($Z8&lt;&gt;"",$Z8&gt;=BN$7,$Z8&lt;BN$7+7),"P","")&amp;IF(AND($AA8&lt;&gt;"",$AA8&gt;=BN$7,$AA8&lt;BN$7+7),"T","")&amp;IF(AND($AB8&lt;&gt;"",$AB8&gt;=BN$7,$AB8&lt;BN$7+7),"H","")&amp;IF(AND($AC8&lt;&gt;"",$AC8&gt;=BN$7,$AC8&lt;BN$7+7),"G","")&amp;IF(AND($AH8&lt;&gt;"",$AH8&gt;=BN$7,$AH8&lt;BN$7+7),"S","")</f>
        <v>H</v>
      </c>
      <c r="BO8" s="92" t="str">
        <f aca="false">IF(AND($Y8&lt;&gt;"",$Y8&gt;=BO$7,$Y8&lt;BO$7+7),"I","")&amp;IF(AND($Z8&lt;&gt;"",$Z8&gt;=BO$7,$Z8&lt;BO$7+7),"P","")&amp;IF(AND($AA8&lt;&gt;"",$AA8&gt;=BO$7,$AA8&lt;BO$7+7),"T","")&amp;IF(AND($AB8&lt;&gt;"",$AB8&gt;=BO$7,$AB8&lt;BO$7+7),"H","")&amp;IF(AND($AC8&lt;&gt;"",$AC8&gt;=BO$7,$AC8&lt;BO$7+7),"G","")&amp;IF(AND($AH8&lt;&gt;"",$AH8&gt;=BO$7,$AH8&lt;BO$7+7),"S","")</f>
        <v/>
      </c>
      <c r="BP8" s="92" t="str">
        <f aca="false">IF(AND($Y8&lt;&gt;"",$Y8&gt;=BP$7,$Y8&lt;BP$7+7),"I","")&amp;IF(AND($Z8&lt;&gt;"",$Z8&gt;=BP$7,$Z8&lt;BP$7+7),"P","")&amp;IF(AND($AA8&lt;&gt;"",$AA8&gt;=BP$7,$AA8&lt;BP$7+7),"T","")&amp;IF(AND($AB8&lt;&gt;"",$AB8&gt;=BP$7,$AB8&lt;BP$7+7),"H","")&amp;IF(AND($AC8&lt;&gt;"",$AC8&gt;=BP$7,$AC8&lt;BP$7+7),"G","")&amp;IF(AND($AH8&lt;&gt;"",$AH8&gt;=BP$7,$AH8&lt;BP$7+7),"S","")</f>
        <v/>
      </c>
      <c r="BQ8" s="92" t="str">
        <f aca="false">IF(AND($Y8&lt;&gt;"",$Y8&gt;=BQ$7,$Y8&lt;BQ$7+7),"I","")&amp;IF(AND($Z8&lt;&gt;"",$Z8&gt;=BQ$7,$Z8&lt;BQ$7+7),"P","")&amp;IF(AND($AA8&lt;&gt;"",$AA8&gt;=BQ$7,$AA8&lt;BQ$7+7),"T","")&amp;IF(AND($AB8&lt;&gt;"",$AB8&gt;=BQ$7,$AB8&lt;BQ$7+7),"H","")&amp;IF(AND($AC8&lt;&gt;"",$AC8&gt;=BQ$7,$AC8&lt;BQ$7+7),"G","")&amp;IF(AND($AH8&lt;&gt;"",$AH8&gt;=BQ$7,$AH8&lt;BQ$7+7),"S","")</f>
        <v/>
      </c>
      <c r="BR8" s="92" t="str">
        <f aca="false">IF(AND($Y8&lt;&gt;"",$Y8&gt;=BR$7,$Y8&lt;BR$7+7),"I","")&amp;IF(AND($Z8&lt;&gt;"",$Z8&gt;=BR$7,$Z8&lt;BR$7+7),"P","")&amp;IF(AND($AA8&lt;&gt;"",$AA8&gt;=BR$7,$AA8&lt;BR$7+7),"T","")&amp;IF(AND($AB8&lt;&gt;"",$AB8&gt;=BR$7,$AB8&lt;BR$7+7),"H","")&amp;IF(AND($AC8&lt;&gt;"",$AC8&gt;=BR$7,$AC8&lt;BR$7+7),"G","")&amp;IF(AND($AH8&lt;&gt;"",$AH8&gt;=BR$7,$AH8&lt;BR$7+7),"S","")</f>
        <v/>
      </c>
      <c r="BS8" s="92" t="str">
        <f aca="false">IF(AND($Y8&lt;&gt;"",$Y8&gt;=BS$7,$Y8&lt;BS$7+7),"I","")&amp;IF(AND($Z8&lt;&gt;"",$Z8&gt;=BS$7,$Z8&lt;BS$7+7),"P","")&amp;IF(AND($AA8&lt;&gt;"",$AA8&gt;=BS$7,$AA8&lt;BS$7+7),"T","")&amp;IF(AND($AB8&lt;&gt;"",$AB8&gt;=BS$7,$AB8&lt;BS$7+7),"H","")&amp;IF(AND($AC8&lt;&gt;"",$AC8&gt;=BS$7,$AC8&lt;BS$7+7),"G","")&amp;IF(AND($AH8&lt;&gt;"",$AH8&gt;=BS$7,$AH8&lt;BS$7+7),"S","")</f>
        <v/>
      </c>
      <c r="BT8" s="92" t="str">
        <f aca="false">IF(AND($Y8&lt;&gt;"",$Y8&gt;=BT$7,$Y8&lt;BT$7+7),"I","")&amp;IF(AND($Z8&lt;&gt;"",$Z8&gt;=BT$7,$Z8&lt;BT$7+7),"P","")&amp;IF(AND($AA8&lt;&gt;"",$AA8&gt;=BT$7,$AA8&lt;BT$7+7),"T","")&amp;IF(AND($AB8&lt;&gt;"",$AB8&gt;=BT$7,$AB8&lt;BT$7+7),"H","")&amp;IF(AND($AC8&lt;&gt;"",$AC8&gt;=BT$7,$AC8&lt;BT$7+7),"G","")&amp;IF(AND($AH8&lt;&gt;"",$AH8&gt;=BT$7,$AH8&lt;BT$7+7),"S","")</f>
        <v/>
      </c>
      <c r="BU8" s="92" t="str">
        <f aca="false">IF(AND($Y8&lt;&gt;"",$Y8&gt;=BU$7,$Y8&lt;BU$7+7),"I","")&amp;IF(AND($Z8&lt;&gt;"",$Z8&gt;=BU$7,$Z8&lt;BU$7+7),"P","")&amp;IF(AND($AA8&lt;&gt;"",$AA8&gt;=BU$7,$AA8&lt;BU$7+7),"T","")&amp;IF(AND($AB8&lt;&gt;"",$AB8&gt;=BU$7,$AB8&lt;BU$7+7),"H","")&amp;IF(AND($AC8&lt;&gt;"",$AC8&gt;=BU$7,$AC8&lt;BU$7+7),"G","")&amp;IF(AND($AH8&lt;&gt;"",$AH8&gt;=BU$7,$AH8&lt;BU$7+7),"S","")</f>
        <v/>
      </c>
      <c r="BV8" s="92" t="str">
        <f aca="false">IF(AND($Y8&lt;&gt;"",$Y8&gt;=BV$7,$Y8&lt;BV$7+7),"I","")&amp;IF(AND($Z8&lt;&gt;"",$Z8&gt;=BV$7,$Z8&lt;BV$7+7),"P","")&amp;IF(AND($AA8&lt;&gt;"",$AA8&gt;=BV$7,$AA8&lt;BV$7+7),"T","")&amp;IF(AND($AB8&lt;&gt;"",$AB8&gt;=BV$7,$AB8&lt;BV$7+7),"H","")&amp;IF(AND($AC8&lt;&gt;"",$AC8&gt;=BV$7,$AC8&lt;BV$7+7),"G","")&amp;IF(AND($AH8&lt;&gt;"",$AH8&gt;=BV$7,$AH8&lt;BV$7+7),"S","")</f>
        <v/>
      </c>
      <c r="BW8" s="92" t="str">
        <f aca="false">IF(AND($Y8&lt;&gt;"",$Y8&gt;=BW$7,$Y8&lt;BW$7+7),"I","")&amp;IF(AND($Z8&lt;&gt;"",$Z8&gt;=BW$7,$Z8&lt;BW$7+7),"P","")&amp;IF(AND($AA8&lt;&gt;"",$AA8&gt;=BW$7,$AA8&lt;BW$7+7),"T","")&amp;IF(AND($AB8&lt;&gt;"",$AB8&gt;=BW$7,$AB8&lt;BW$7+7),"H","")&amp;IF(AND($AC8&lt;&gt;"",$AC8&gt;=BW$7,$AC8&lt;BW$7+7),"G","")&amp;IF(AND($AH8&lt;&gt;"",$AH8&gt;=BW$7,$AH8&lt;BW$7+7),"S","")</f>
        <v/>
      </c>
      <c r="BX8" s="92" t="str">
        <f aca="false">IF(AND($Y8&lt;&gt;"",$Y8&gt;=BX$7,$Y8&lt;BX$7+7),"I","")&amp;IF(AND($Z8&lt;&gt;"",$Z8&gt;=BX$7,$Z8&lt;BX$7+7),"P","")&amp;IF(AND($AA8&lt;&gt;"",$AA8&gt;=BX$7,$AA8&lt;BX$7+7),"T","")&amp;IF(AND($AB8&lt;&gt;"",$AB8&gt;=BX$7,$AB8&lt;BX$7+7),"H","")&amp;IF(AND($AC8&lt;&gt;"",$AC8&gt;=BX$7,$AC8&lt;BX$7+7),"G","")&amp;IF(AND($AH8&lt;&gt;"",$AH8&gt;=BX$7,$AH8&lt;BX$7+7),"S","")</f>
        <v>S</v>
      </c>
      <c r="BY8" s="92" t="str">
        <f aca="false">IF(AND($Y8&lt;&gt;"",$Y8&gt;=BY$7,$Y8&lt;BY$7+7),"I","")&amp;IF(AND($Z8&lt;&gt;"",$Z8&gt;=BY$7,$Z8&lt;BY$7+7),"P","")&amp;IF(AND($AA8&lt;&gt;"",$AA8&gt;=BY$7,$AA8&lt;BY$7+7),"T","")&amp;IF(AND($AB8&lt;&gt;"",$AB8&gt;=BY$7,$AB8&lt;BY$7+7),"H","")&amp;IF(AND($AC8&lt;&gt;"",$AC8&gt;=BY$7,$AC8&lt;BY$7+7),"G","")&amp;IF(AND($AH8&lt;&gt;"",$AH8&gt;=BY$7,$AH8&lt;BY$7+7),"S","")</f>
        <v/>
      </c>
      <c r="BZ8" s="92" t="str">
        <f aca="false">IF(AND($Y8&lt;&gt;"",$Y8&gt;=BZ$7,$Y8&lt;BZ$7+7),"I","")&amp;IF(AND($Z8&lt;&gt;"",$Z8&gt;=BZ$7,$Z8&lt;BZ$7+7),"P","")&amp;IF(AND($AA8&lt;&gt;"",$AA8&gt;=BZ$7,$AA8&lt;BZ$7+7),"T","")&amp;IF(AND($AB8&lt;&gt;"",$AB8&gt;=BZ$7,$AB8&lt;BZ$7+7),"H","")&amp;IF(AND($AC8&lt;&gt;"",$AC8&gt;=BZ$7,$AC8&lt;BZ$7+7),"G","")&amp;IF(AND($AH8&lt;&gt;"",$AH8&gt;=BZ$7,$AH8&lt;BZ$7+7),"S","")</f>
        <v/>
      </c>
      <c r="CA8" s="92" t="str">
        <f aca="false">IF(AND($Y8&lt;&gt;"",$Y8&gt;=CA$7,$Y8&lt;CA$7+7),"I","")&amp;IF(AND($Z8&lt;&gt;"",$Z8&gt;=CA$7,$Z8&lt;CA$7+7),"P","")&amp;IF(AND($AA8&lt;&gt;"",$AA8&gt;=CA$7,$AA8&lt;CA$7+7),"T","")&amp;IF(AND($AB8&lt;&gt;"",$AB8&gt;=CA$7,$AB8&lt;CA$7+7),"H","")&amp;IF(AND($AC8&lt;&gt;"",$AC8&gt;=CA$7,$AC8&lt;CA$7+7),"G","")&amp;IF(AND($AH8&lt;&gt;"",$AH8&gt;=CA$7,$AH8&lt;CA$7+7),"S","")</f>
        <v/>
      </c>
      <c r="CB8" s="92" t="str">
        <f aca="false">IF(AND($Y8&lt;&gt;"",$Y8&gt;=CB$7,$Y8&lt;CB$7+7),"I","")&amp;IF(AND($Z8&lt;&gt;"",$Z8&gt;=CB$7,$Z8&lt;CB$7+7),"P","")&amp;IF(AND($AA8&lt;&gt;"",$AA8&gt;=CB$7,$AA8&lt;CB$7+7),"T","")&amp;IF(AND($AB8&lt;&gt;"",$AB8&gt;=CB$7,$AB8&lt;CB$7+7),"H","")&amp;IF(AND($AC8&lt;&gt;"",$AC8&gt;=CB$7,$AC8&lt;CB$7+7),"G","")&amp;IF(AND($AH8&lt;&gt;"",$AH8&gt;=CB$7,$AH8&lt;CB$7+7),"S","")</f>
        <v/>
      </c>
      <c r="CC8" s="92" t="str">
        <f aca="false">IF(AND($Y8&lt;&gt;"",$Y8&gt;=CC$7,$Y8&lt;CC$7+7),"I","")&amp;IF(AND($Z8&lt;&gt;"",$Z8&gt;=CC$7,$Z8&lt;CC$7+7),"P","")&amp;IF(AND($AA8&lt;&gt;"",$AA8&gt;=CC$7,$AA8&lt;CC$7+7),"T","")&amp;IF(AND($AB8&lt;&gt;"",$AB8&gt;=CC$7,$AB8&lt;CC$7+7),"H","")&amp;IF(AND($AC8&lt;&gt;"",$AC8&gt;=CC$7,$AC8&lt;CC$7+7),"G","")&amp;IF(AND($AH8&lt;&gt;"",$AH8&gt;=CC$7,$AH8&lt;CC$7+7),"S","")</f>
        <v/>
      </c>
      <c r="CD8" s="92" t="str">
        <f aca="false">IF(AND($Y8&lt;&gt;"",$Y8&gt;=CD$7,$Y8&lt;CD$7+7),"I","")&amp;IF(AND($Z8&lt;&gt;"",$Z8&gt;=CD$7,$Z8&lt;CD$7+7),"P","")&amp;IF(AND($AA8&lt;&gt;"",$AA8&gt;=CD$7,$AA8&lt;CD$7+7),"T","")&amp;IF(AND($AB8&lt;&gt;"",$AB8&gt;=CD$7,$AB8&lt;CD$7+7),"H","")&amp;IF(AND($AC8&lt;&gt;"",$AC8&gt;=CD$7,$AC8&lt;CD$7+7),"G","")&amp;IF(AND($AH8&lt;&gt;"",$AH8&gt;=CD$7,$AH8&lt;CD$7+7),"S","")</f>
        <v/>
      </c>
      <c r="CE8" s="92" t="str">
        <f aca="false">IF(AND($Y8&lt;&gt;"",$Y8&gt;=CE$7,$Y8&lt;CE$7+7),"I","")&amp;IF(AND($Z8&lt;&gt;"",$Z8&gt;=CE$7,$Z8&lt;CE$7+7),"P","")&amp;IF(AND($AA8&lt;&gt;"",$AA8&gt;=CE$7,$AA8&lt;CE$7+7),"T","")&amp;IF(AND($AB8&lt;&gt;"",$AB8&gt;=CE$7,$AB8&lt;CE$7+7),"H","")&amp;IF(AND($AC8&lt;&gt;"",$AC8&gt;=CE$7,$AC8&lt;CE$7+7),"G","")&amp;IF(AND($AH8&lt;&gt;"",$AH8&gt;=CE$7,$AH8&lt;CE$7+7),"S","")</f>
        <v/>
      </c>
      <c r="CF8" s="92" t="str">
        <f aca="false">IF(AND($Y8&lt;&gt;"",$Y8&gt;=CF$7,$Y8&lt;CF$7+7),"I","")&amp;IF(AND($Z8&lt;&gt;"",$Z8&gt;=CF$7,$Z8&lt;CF$7+7),"P","")&amp;IF(AND($AA8&lt;&gt;"",$AA8&gt;=CF$7,$AA8&lt;CF$7+7),"T","")&amp;IF(AND($AB8&lt;&gt;"",$AB8&gt;=CF$7,$AB8&lt;CF$7+7),"H","")&amp;IF(AND($AC8&lt;&gt;"",$AC8&gt;=CF$7,$AC8&lt;CF$7+7),"G","")&amp;IF(AND($AH8&lt;&gt;"",$AH8&gt;=CF$7,$AH8&lt;CF$7+7),"S","")</f>
        <v/>
      </c>
      <c r="CG8" s="92" t="str">
        <f aca="false">IF(AND($Y8&lt;&gt;"",$Y8&gt;=CG$7,$Y8&lt;CG$7+7),"I","")&amp;IF(AND($Z8&lt;&gt;"",$Z8&gt;=CG$7,$Z8&lt;CG$7+7),"P","")&amp;IF(AND($AA8&lt;&gt;"",$AA8&gt;=CG$7,$AA8&lt;CG$7+7),"T","")&amp;IF(AND($AB8&lt;&gt;"",$AB8&gt;=CG$7,$AB8&lt;CG$7+7),"H","")&amp;IF(AND($AC8&lt;&gt;"",$AC8&gt;=CG$7,$AC8&lt;CG$7+7),"G","")&amp;IF(AND($AH8&lt;&gt;"",$AH8&gt;=CG$7,$AH8&lt;CG$7+7),"S","")</f>
        <v/>
      </c>
      <c r="CH8" s="92" t="str">
        <f aca="false">IF(AND($Y8&lt;&gt;"",$Y8&gt;=CH$7,$Y8&lt;CH$7+7),"I","")&amp;IF(AND($Z8&lt;&gt;"",$Z8&gt;=CH$7,$Z8&lt;CH$7+7),"P","")&amp;IF(AND($AA8&lt;&gt;"",$AA8&gt;=CH$7,$AA8&lt;CH$7+7),"T","")&amp;IF(AND($AB8&lt;&gt;"",$AB8&gt;=CH$7,$AB8&lt;CH$7+7),"H","")&amp;IF(AND($AC8&lt;&gt;"",$AC8&gt;=CH$7,$AC8&lt;CH$7+7),"G","")&amp;IF(AND($AH8&lt;&gt;"",$AH8&gt;=CH$7,$AH8&lt;CH$7+7),"S","")</f>
        <v/>
      </c>
      <c r="CI8" s="92" t="str">
        <f aca="false">IF(AND($Y8&lt;&gt;"",$Y8&gt;=CI$7,$Y8&lt;CI$7+7),"I","")&amp;IF(AND($Z8&lt;&gt;"",$Z8&gt;=CI$7,$Z8&lt;CI$7+7),"P","")&amp;IF(AND($AA8&lt;&gt;"",$AA8&gt;=CI$7,$AA8&lt;CI$7+7),"T","")&amp;IF(AND($AB8&lt;&gt;"",$AB8&gt;=CI$7,$AB8&lt;CI$7+7),"H","")&amp;IF(AND($AC8&lt;&gt;"",$AC8&gt;=CI$7,$AC8&lt;CI$7+7),"G","")&amp;IF(AND($AH8&lt;&gt;"",$AH8&gt;=CI$7,$AH8&lt;CI$7+7),"S","")</f>
        <v/>
      </c>
      <c r="CJ8" s="92" t="str">
        <f aca="false">IF(AND($Y8&lt;&gt;"",$Y8&gt;=CJ$7,$Y8&lt;CJ$7+7),"I","")&amp;IF(AND($Z8&lt;&gt;"",$Z8&gt;=CJ$7,$Z8&lt;CJ$7+7),"P","")&amp;IF(AND($AA8&lt;&gt;"",$AA8&gt;=CJ$7,$AA8&lt;CJ$7+7),"T","")&amp;IF(AND($AB8&lt;&gt;"",$AB8&gt;=CJ$7,$AB8&lt;CJ$7+7),"H","")&amp;IF(AND($AC8&lt;&gt;"",$AC8&gt;=CJ$7,$AC8&lt;CJ$7+7),"G","")&amp;IF(AND($AH8&lt;&gt;"",$AH8&gt;=CJ$7,$AH8&lt;CJ$7+7),"S","")</f>
        <v/>
      </c>
      <c r="CK8" s="92" t="str">
        <f aca="false">IF(AND($Y8&lt;&gt;"",$Y8&gt;=CK$7,$Y8&lt;CK$7+7),"I","")&amp;IF(AND($Z8&lt;&gt;"",$Z8&gt;=CK$7,$Z8&lt;CK$7+7),"P","")&amp;IF(AND($AA8&lt;&gt;"",$AA8&gt;=CK$7,$AA8&lt;CK$7+7),"T","")&amp;IF(AND($AB8&lt;&gt;"",$AB8&gt;=CK$7,$AB8&lt;CK$7+7),"H","")&amp;IF(AND($AC8&lt;&gt;"",$AC8&gt;=CK$7,$AC8&lt;CK$7+7),"G","")&amp;IF(AND($AH8&lt;&gt;"",$AH8&gt;=CK$7,$AH8&lt;CK$7+7),"S","")</f>
        <v/>
      </c>
      <c r="CL8" s="92" t="str">
        <f aca="false">IF(AND($Y8&lt;&gt;"",$Y8&gt;=CL$7,$Y8&lt;CL$7+7),"I","")&amp;IF(AND($Z8&lt;&gt;"",$Z8&gt;=CL$7,$Z8&lt;CL$7+7),"P","")&amp;IF(AND($AA8&lt;&gt;"",$AA8&gt;=CL$7,$AA8&lt;CL$7+7),"T","")&amp;IF(AND($AB8&lt;&gt;"",$AB8&gt;=CL$7,$AB8&lt;CL$7+7),"H","")&amp;IF(AND($AC8&lt;&gt;"",$AC8&gt;=CL$7,$AC8&lt;CL$7+7),"G","")&amp;IF(AND($AH8&lt;&gt;"",$AH8&gt;=CL$7,$AH8&lt;CL$7+7),"S","")</f>
        <v/>
      </c>
      <c r="CM8" s="92" t="str">
        <f aca="false">IF(AND($Y8&lt;&gt;"",$Y8&gt;=CM$7,$Y8&lt;CM$7+7),"I","")&amp;IF(AND($Z8&lt;&gt;"",$Z8&gt;=CM$7,$Z8&lt;CM$7+7),"P","")&amp;IF(AND($AA8&lt;&gt;"",$AA8&gt;=CM$7,$AA8&lt;CM$7+7),"T","")&amp;IF(AND($AB8&lt;&gt;"",$AB8&gt;=CM$7,$AB8&lt;CM$7+7),"H","")&amp;IF(AND($AC8&lt;&gt;"",$AC8&gt;=CM$7,$AC8&lt;CM$7+7),"G","")&amp;IF(AND($AH8&lt;&gt;"",$AH8&gt;=CM$7,$AH8&lt;CM$7+7),"S","")</f>
        <v/>
      </c>
      <c r="CN8" s="92" t="str">
        <f aca="false">IF(AND($Y8&lt;&gt;"",$Y8&gt;=CN$7,$Y8&lt;CN$7+7),"I","")&amp;IF(AND($Z8&lt;&gt;"",$Z8&gt;=CN$7,$Z8&lt;CN$7+7),"P","")&amp;IF(AND($AA8&lt;&gt;"",$AA8&gt;=CN$7,$AA8&lt;CN$7+7),"T","")&amp;IF(AND($AB8&lt;&gt;"",$AB8&gt;=CN$7,$AB8&lt;CN$7+7),"H","")&amp;IF(AND($AC8&lt;&gt;"",$AC8&gt;=CN$7,$AC8&lt;CN$7+7),"G","")&amp;IF(AND($AH8&lt;&gt;"",$AH8&gt;=CN$7,$AH8&lt;CN$7+7),"S","")</f>
        <v/>
      </c>
      <c r="CO8" s="92" t="str">
        <f aca="false">IF(AND($Y8&lt;&gt;"",$Y8&gt;=CO$7,$Y8&lt;CO$7+7),"I","")&amp;IF(AND($Z8&lt;&gt;"",$Z8&gt;=CO$7,$Z8&lt;CO$7+7),"P","")&amp;IF(AND($AA8&lt;&gt;"",$AA8&gt;=CO$7,$AA8&lt;CO$7+7),"T","")&amp;IF(AND($AB8&lt;&gt;"",$AB8&gt;=CO$7,$AB8&lt;CO$7+7),"H","")&amp;IF(AND($AC8&lt;&gt;"",$AC8&gt;=CO$7,$AC8&lt;CO$7+7),"G","")&amp;IF(AND($AH8&lt;&gt;"",$AH8&gt;=CO$7,$AH8&lt;CO$7+7),"S","")</f>
        <v/>
      </c>
      <c r="CP8" s="92" t="str">
        <f aca="false">IF(AND($Y8&lt;&gt;"",$Y8&gt;=CP$7,$Y8&lt;CP$7+7),"I","")&amp;IF(AND($Z8&lt;&gt;"",$Z8&gt;=CP$7,$Z8&lt;CP$7+7),"P","")&amp;IF(AND($AA8&lt;&gt;"",$AA8&gt;=CP$7,$AA8&lt;CP$7+7),"T","")&amp;IF(AND($AB8&lt;&gt;"",$AB8&gt;=CP$7,$AB8&lt;CP$7+7),"H","")&amp;IF(AND($AC8&lt;&gt;"",$AC8&gt;=CP$7,$AC8&lt;CP$7+7),"G","")&amp;IF(AND($AH8&lt;&gt;"",$AH8&gt;=CP$7,$AH8&lt;CP$7+7),"S","")</f>
        <v/>
      </c>
      <c r="CQ8" s="92" t="str">
        <f aca="false">IF(AND($Y8&lt;&gt;"",$Y8&gt;=CQ$7,$Y8&lt;CQ$7+7),"I","")&amp;IF(AND($Z8&lt;&gt;"",$Z8&gt;=CQ$7,$Z8&lt;CQ$7+7),"P","")&amp;IF(AND($AA8&lt;&gt;"",$AA8&gt;=CQ$7,$AA8&lt;CQ$7+7),"T","")&amp;IF(AND($AB8&lt;&gt;"",$AB8&gt;=CQ$7,$AB8&lt;CQ$7+7),"H","")&amp;IF(AND($AC8&lt;&gt;"",$AC8&gt;=CQ$7,$AC8&lt;CQ$7+7),"G","")&amp;IF(AND($AH8&lt;&gt;"",$AH8&gt;=CQ$7,$AH8&lt;CQ$7+7),"S","")</f>
        <v/>
      </c>
      <c r="CR8" s="92" t="str">
        <f aca="false">IF(AND($Y8&lt;&gt;"",$Y8&gt;=CR$7,$Y8&lt;CR$7+7),"I","")&amp;IF(AND($Z8&lt;&gt;"",$Z8&gt;=CR$7,$Z8&lt;CR$7+7),"P","")&amp;IF(AND($AA8&lt;&gt;"",$AA8&gt;=CR$7,$AA8&lt;CR$7+7),"T","")&amp;IF(AND($AB8&lt;&gt;"",$AB8&gt;=CR$7,$AB8&lt;CR$7+7),"H","")&amp;IF(AND($AC8&lt;&gt;"",$AC8&gt;=CR$7,$AC8&lt;CR$7+7),"G","")&amp;IF(AND($AH8&lt;&gt;"",$AH8&gt;=CR$7,$AH8&lt;CR$7+7),"S","")</f>
        <v/>
      </c>
      <c r="CS8" s="92" t="str">
        <f aca="false">IF(AND($Y8&lt;&gt;"",$Y8&gt;=CS$7,$Y8&lt;CS$7+7),"I","")&amp;IF(AND($Z8&lt;&gt;"",$Z8&gt;=CS$7,$Z8&lt;CS$7+7),"P","")&amp;IF(AND($AA8&lt;&gt;"",$AA8&gt;=CS$7,$AA8&lt;CS$7+7),"T","")&amp;IF(AND($AB8&lt;&gt;"",$AB8&gt;=CS$7,$AB8&lt;CS$7+7),"H","")&amp;IF(AND($AC8&lt;&gt;"",$AC8&gt;=CS$7,$AC8&lt;CS$7+7),"G","")&amp;IF(AND($AH8&lt;&gt;"",$AH8&gt;=CS$7,$AH8&lt;CS$7+7),"S","")</f>
        <v/>
      </c>
      <c r="CT8" s="92" t="str">
        <f aca="false">IF(AND($Y8&lt;&gt;"",$Y8&gt;=CT$7,$Y8&lt;CT$7+7),"I","")&amp;IF(AND($Z8&lt;&gt;"",$Z8&gt;=CT$7,$Z8&lt;CT$7+7),"P","")&amp;IF(AND($AA8&lt;&gt;"",$AA8&gt;=CT$7,$AA8&lt;CT$7+7),"T","")&amp;IF(AND($AB8&lt;&gt;"",$AB8&gt;=CT$7,$AB8&lt;CT$7+7),"H","")&amp;IF(AND($AC8&lt;&gt;"",$AC8&gt;=CT$7,$AC8&lt;CT$7+7),"G","")&amp;IF(AND($AH8&lt;&gt;"",$AH8&gt;=CT$7,$AH8&lt;CT$7+7),"S","")</f>
        <v/>
      </c>
      <c r="CU8" s="92" t="str">
        <f aca="false">IF(AND($Y8&lt;&gt;"",$Y8&gt;=CU$7,$Y8&lt;CU$7+7),"I","")&amp;IF(AND($Z8&lt;&gt;"",$Z8&gt;=CU$7,$Z8&lt;CU$7+7),"P","")&amp;IF(AND($AA8&lt;&gt;"",$AA8&gt;=CU$7,$AA8&lt;CU$7+7),"T","")&amp;IF(AND($AB8&lt;&gt;"",$AB8&gt;=CU$7,$AB8&lt;CU$7+7),"H","")&amp;IF(AND($AC8&lt;&gt;"",$AC8&gt;=CU$7,$AC8&lt;CU$7+7),"G","")&amp;IF(AND($AH8&lt;&gt;"",$AH8&gt;=CU$7,$AH8&lt;CU$7+7),"S","")</f>
        <v/>
      </c>
      <c r="CV8" s="92" t="str">
        <f aca="false">IF(AND($Y8&lt;&gt;"",$Y8&gt;=CV$7,$Y8&lt;CV$7+7),"I","")&amp;IF(AND($Z8&lt;&gt;"",$Z8&gt;=CV$7,$Z8&lt;CV$7+7),"P","")&amp;IF(AND($AA8&lt;&gt;"",$AA8&gt;=CV$7,$AA8&lt;CV$7+7),"T","")&amp;IF(AND($AB8&lt;&gt;"",$AB8&gt;=CV$7,$AB8&lt;CV$7+7),"H","")&amp;IF(AND($AC8&lt;&gt;"",$AC8&gt;=CV$7,$AC8&lt;CV$7+7),"G","")&amp;IF(AND($AH8&lt;&gt;"",$AH8&gt;=CV$7,$AH8&lt;CV$7+7),"S","")</f>
        <v/>
      </c>
      <c r="CW8" s="92" t="str">
        <f aca="false">IF(AND($Y8&lt;&gt;"",$Y8&gt;=CW$7,$Y8&lt;CW$7+7),"I","")&amp;IF(AND($Z8&lt;&gt;"",$Z8&gt;=CW$7,$Z8&lt;CW$7+7),"P","")&amp;IF(AND($AA8&lt;&gt;"",$AA8&gt;=CW$7,$AA8&lt;CW$7+7),"T","")&amp;IF(AND($AB8&lt;&gt;"",$AB8&gt;=CW$7,$AB8&lt;CW$7+7),"H","")&amp;IF(AND($AC8&lt;&gt;"",$AC8&gt;=CW$7,$AC8&lt;CW$7+7),"G","")&amp;IF(AND($AH8&lt;&gt;"",$AH8&gt;=CW$7,$AH8&lt;CW$7+7),"S","")</f>
        <v/>
      </c>
      <c r="CX8" s="92" t="str">
        <f aca="false">IF(AND($Y8&lt;&gt;"",$Y8&gt;=CX$7,$Y8&lt;CX$7+7),"I","")&amp;IF(AND($Z8&lt;&gt;"",$Z8&gt;=CX$7,$Z8&lt;CX$7+7),"P","")&amp;IF(AND($AA8&lt;&gt;"",$AA8&gt;=CX$7,$AA8&lt;CX$7+7),"T","")&amp;IF(AND($AB8&lt;&gt;"",$AB8&gt;=CX$7,$AB8&lt;CX$7+7),"H","")&amp;IF(AND($AC8&lt;&gt;"",$AC8&gt;=CX$7,$AC8&lt;CX$7+7),"G","")&amp;IF(AND($AH8&lt;&gt;"",$AH8&gt;=CX$7,$AH8&lt;CX$7+7),"S","")</f>
        <v/>
      </c>
      <c r="CY8" s="92" t="str">
        <f aca="false">IF(AND($Y8&lt;&gt;"",$Y8&gt;=CY$7,$Y8&lt;CY$7+7),"I","")&amp;IF(AND($Z8&lt;&gt;"",$Z8&gt;=CY$7,$Z8&lt;CY$7+7),"P","")&amp;IF(AND($AA8&lt;&gt;"",$AA8&gt;=CY$7,$AA8&lt;CY$7+7),"T","")&amp;IF(AND($AB8&lt;&gt;"",$AB8&gt;=CY$7,$AB8&lt;CY$7+7),"H","")&amp;IF(AND($AC8&lt;&gt;"",$AC8&gt;=CY$7,$AC8&lt;CY$7+7),"G","")&amp;IF(AND($AH8&lt;&gt;"",$AH8&gt;=CY$7,$AH8&lt;CY$7+7),"S","")</f>
        <v/>
      </c>
      <c r="CZ8" s="92" t="str">
        <f aca="false">IF(AND($Y8&lt;&gt;"",$Y8&gt;=CZ$7,$Y8&lt;CZ$7+7),"I","")&amp;IF(AND($Z8&lt;&gt;"",$Z8&gt;=CZ$7,$Z8&lt;CZ$7+7),"P","")&amp;IF(AND($AA8&lt;&gt;"",$AA8&gt;=CZ$7,$AA8&lt;CZ$7+7),"T","")&amp;IF(AND($AB8&lt;&gt;"",$AB8&gt;=CZ$7,$AB8&lt;CZ$7+7),"H","")&amp;IF(AND($AC8&lt;&gt;"",$AC8&gt;=CZ$7,$AC8&lt;CZ$7+7),"G","")&amp;IF(AND($AH8&lt;&gt;"",$AH8&gt;=CZ$7,$AH8&lt;CZ$7+7),"S","")</f>
        <v/>
      </c>
      <c r="DA8" s="92" t="str">
        <f aca="false">IF(AND($Y8&lt;&gt;"",$Y8&gt;=DA$7,$Y8&lt;DA$7+7),"I","")&amp;IF(AND($Z8&lt;&gt;"",$Z8&gt;=DA$7,$Z8&lt;DA$7+7),"P","")&amp;IF(AND($AA8&lt;&gt;"",$AA8&gt;=DA$7,$AA8&lt;DA$7+7),"T","")&amp;IF(AND($AB8&lt;&gt;"",$AB8&gt;=DA$7,$AB8&lt;DA$7+7),"H","")&amp;IF(AND($AC8&lt;&gt;"",$AC8&gt;=DA$7,$AC8&lt;DA$7+7),"G","")&amp;IF(AND($AH8&lt;&gt;"",$AH8&gt;=DA$7,$AH8&lt;DA$7+7),"S","")</f>
        <v/>
      </c>
      <c r="DB8" s="92" t="str">
        <f aca="false">IF(AND($Y8&lt;&gt;"",$Y8&gt;=DB$7,$Y8&lt;DB$7+7),"I","")&amp;IF(AND($Z8&lt;&gt;"",$Z8&gt;=DB$7,$Z8&lt;DB$7+7),"P","")&amp;IF(AND($AA8&lt;&gt;"",$AA8&gt;=DB$7,$AA8&lt;DB$7+7),"T","")&amp;IF(AND($AB8&lt;&gt;"",$AB8&gt;=DB$7,$AB8&lt;DB$7+7),"H","")&amp;IF(AND($AC8&lt;&gt;"",$AC8&gt;=DB$7,$AC8&lt;DB$7+7),"G","")&amp;IF(AND($AH8&lt;&gt;"",$AH8&gt;=DB$7,$AH8&lt;DB$7+7),"S","")</f>
        <v/>
      </c>
      <c r="DC8" s="92" t="str">
        <f aca="false">IF(AND($Y8&lt;&gt;"",$Y8&gt;=DC$7,$Y8&lt;DC$7+7),"I","")&amp;IF(AND($Z8&lt;&gt;"",$Z8&gt;=DC$7,$Z8&lt;DC$7+7),"P","")&amp;IF(AND($AA8&lt;&gt;"",$AA8&gt;=DC$7,$AA8&lt;DC$7+7),"T","")&amp;IF(AND($AB8&lt;&gt;"",$AB8&gt;=DC$7,$AB8&lt;DC$7+7),"H","")&amp;IF(AND($AC8&lt;&gt;"",$AC8&gt;=DC$7,$AC8&lt;DC$7+7),"G","")&amp;IF(AND($AH8&lt;&gt;"",$AH8&gt;=DC$7,$AH8&lt;DC$7+7),"S","")</f>
        <v/>
      </c>
    </row>
    <row r="9" customFormat="false" ht="15" hidden="false" customHeight="false" outlineLevel="0" collapsed="false">
      <c r="A9" s="47" t="s">
        <v>46</v>
      </c>
      <c r="B9" s="31" t="s">
        <v>47</v>
      </c>
      <c r="C9" s="36" t="s">
        <v>565</v>
      </c>
      <c r="D9" s="31" t="s">
        <v>566</v>
      </c>
      <c r="E9" s="31" t="s">
        <v>171</v>
      </c>
      <c r="F9" s="75" t="n">
        <v>280.44</v>
      </c>
      <c r="G9" s="31" t="s">
        <v>170</v>
      </c>
      <c r="H9" s="76" t="n">
        <f aca="false">PROJ_START+RD_SPAN</f>
        <v>46403</v>
      </c>
      <c r="I9" s="77" t="n">
        <f aca="false">H9+33</f>
        <v>46436</v>
      </c>
      <c r="J9" s="31" t="s">
        <v>49</v>
      </c>
      <c r="K9" s="36" t="s">
        <v>131</v>
      </c>
      <c r="L9" s="36" t="s">
        <v>48</v>
      </c>
      <c r="M9" s="36" t="s">
        <v>568</v>
      </c>
      <c r="N9" s="78" t="str">
        <f aca="false">IF(ISNUMBER(อัปเดตรายสัปดาห์!$AF9),อัปเดตรายสัปดาห์!$AF9,"")</f>
        <v/>
      </c>
      <c r="O9" s="78" t="str">
        <f aca="false">IF(ISNUMBER(อัปเดตรายสัปดาห์!$AH9),อัปเดตรายสัปดาห์!$AH9,"")</f>
        <v/>
      </c>
      <c r="P9" s="78" t="str">
        <f aca="false">IF(ISNUMBER(อัปเดตรายสัปดาห์!$AG9),อัปเดตรายสัปดาห์!$AG9,IF(AND(ISNUMBER(TCRoof!$AC$9),N(TCRoof!$AC$9)&lt;=ASOF),TCRoof!$AC$9,""))</f>
        <v/>
      </c>
      <c r="Q9" s="78" t="str">
        <f aca="false">IF(ISNUMBER(อัปเดตรายสัปดาห์!$AL9),อัปเดตรายสัปดาห์!$AL9,"")</f>
        <v/>
      </c>
      <c r="R9" s="78" t="str">
        <f aca="false">IF(ISNUMBER(อัปเดตรายสัปดาห์!$Q9),อัปเดตรายสัปดาห์!$Q9,"")</f>
        <v/>
      </c>
      <c r="S9" s="78" t="str">
        <f aca="false">IF(ISNUMBER(อัปเดตรายสัปดาห์!$R9),อัปเดตรายสัปดาห์!$R9,"")</f>
        <v/>
      </c>
      <c r="T9" s="78" t="str">
        <f aca="false">IF(ISNUMBER(อัปเดตรายสัปดาห์!$S9),อัปเดตรายสัปดาห์!$S9,IF(อัปเดตรายสัปดาห์!$S9="Y",ASOF,""))</f>
        <v/>
      </c>
      <c r="U9" s="78" t="str">
        <f aca="false">IF(ISNUMBER(อัปเดตรายสัปดาห์!$T9),อัปเดตรายสัปดาห์!$T9,IF(อัปเดตรายสัปดาห์!$T9="Y",ASOF,""))</f>
        <v/>
      </c>
      <c r="V9" s="78" t="str">
        <f aca="false">IF(ISNUMBER(อัปเดตรายสัปดาห์!$U9),อัปเดตรายสัปดาห์!$U9,IF(อัปเดตรายสัปดาห์!$U9="Y",ASOF,""))</f>
        <v/>
      </c>
      <c r="W9" s="78" t="str">
        <f aca="false">IF(ISNUMBER(อัปเดตรายสัปดาห์!$N9),อัปเดตรายสัปดาห์!$N9,"")</f>
        <v/>
      </c>
      <c r="X9" s="78" t="str">
        <f aca="false">IF(ISNUMBER(อัปเดตรายสัปดาห์!$V9),อัปเดตรายสัปดาห์!$V9,IF(AND(ISNUMBER(TCRoof!$AD$9),N(TCRoof!$AD$9)&lt;=ASOF),TCRoof!$AD$9,""))</f>
        <v/>
      </c>
      <c r="Y9" s="79" t="n">
        <f aca="false">IF(N9&lt;&gt;"",N9,WORKDAY((ASOF+LEAD_INST+7*INT((AT9-0.01)/MAX(1,AU9)))-1,1,HOLIDAYS))</f>
        <v>46349</v>
      </c>
      <c r="Z9" s="79" t="n">
        <f aca="false">IF(O9&lt;&gt;"",O9,WORKDAY((MAX(AV9+7*INT((AW9-1)/MAX(1,AX9)),AV9+7*INT((AY9-1)/MAX(1,AZ9))))-1,1,HOLIDAYS))</f>
        <v>46356</v>
      </c>
      <c r="AA9" s="79" t="n">
        <f aca="false">IF(P9&lt;&gt;"",P9,WORKDAY((BA9+7*INT((BB9-1)/MAX(1,BC9)))-1,1,HOLIDAYS))</f>
        <v>46359</v>
      </c>
      <c r="AB9" s="79" t="n">
        <f aca="false">IF(Q9&lt;&gt;"",Q9,WORKDAY((MAX(AA9+BD9,ASOF+1))-1,1,HOLIDAYS))</f>
        <v>46367</v>
      </c>
      <c r="AC9" s="79" t="n">
        <f aca="false">IF(R9&lt;&gt;"",R9,WORKDAY((MAX(Y9,ASOF)+LAG_GRID)-1,1,HOLIDAYS))</f>
        <v>46356</v>
      </c>
      <c r="AD9" s="79" t="n">
        <f aca="false">IF(T9&lt;&gt;"",T9,WORKDAY((MAX(WORKDAY(MAX(AC9,N(S9)),REVIEW_WD,HOLIDAYS),ASOF+1))-1,1,HOLIDAYS))</f>
        <v>46379</v>
      </c>
      <c r="AE9" s="79" t="n">
        <f aca="false">IF(U9&lt;&gt;"",U9,WORKDAY((MAX(AD9,ASOF)+FEE_DAYS)-1,1,HOLIDAYS))</f>
        <v>46386</v>
      </c>
      <c r="AF9" s="79" t="n">
        <f aca="false">IF(V9&lt;&gt;"",V9,WORKDAY((MAX(AA9,Z9,AE9,IF(AG9="",0,AG9+REVIEW_PK2),ASOF)+LAG_INSREQ)-1,1,HOLIDAYS))</f>
        <v>46391</v>
      </c>
      <c r="AG9" s="79" t="n">
        <f aca="false">IF(M9&lt;&gt;"Y","",IF(W9&lt;&gt;"",W9,WORKDAY((MAX(Y9,ASOF)+LAG_GRID)-1,1,HOLIDAYS)))</f>
        <v>46356</v>
      </c>
      <c r="AH9" s="80" t="n">
        <f aca="false">IF(X9&lt;&gt;"",X9,WORKDAY(AF9,INSPECT_WD,HOLIDAYS))</f>
        <v>46433</v>
      </c>
      <c r="AI9" s="81" t="n">
        <f aca="false">IF(H9="","",AB9-H9)</f>
        <v>-36</v>
      </c>
      <c r="AJ9" s="81" t="n">
        <f aca="false">IF(I9="","",AH9-I9)</f>
        <v>-3</v>
      </c>
      <c r="AK9" s="82" t="n">
        <f aca="false">IF(AND(ISNUMBER(N9),N(N9)&lt;=ASOF),1,0)+IF(AND(ISNUMBER(O9),N(O9)&lt;=ASOF),1,0)+IF(AND(ISNUMBER(P9),N(P9)&lt;=ASOF),1,0)+IF(AND(ISNUMBER(Q9),N(Q9)&lt;=ASOF),1,0)+IF(AND(ISNUMBER(R9),N(R9)&lt;=ASOF),1,0)+IF(AND(ISNUMBER(U9),N(U9)&lt;=ASOF),1,0)+IF(AND(ISNUMBER(X9),N(X9)&lt;=ASOF),1,0)+IF(AND(ISNUMBER(W9),N(W9)&lt;=ASOF),1,0)</f>
        <v>0</v>
      </c>
      <c r="AL9" s="83" t="n">
        <v>8</v>
      </c>
      <c r="AM9" s="84" t="n">
        <f aca="false">'P9-002'!$J$4</f>
        <v>0</v>
      </c>
      <c r="AN9" s="85" t="str">
        <f aca="false">TRIM(IF(AND(ISNUMBER(O9),NOT(ISNUMBER(N9))),"กฟภ.ตรวจก่อนติดตั้ง, ","")&amp;IF(AND(ISNUMBER(P9),NOT(ISNUMBER(N9))),"IEC ก่อนติดตั้ง, ","")&amp;IF(AND(ISNUMBER(Q9),NOT(ISNUMBER(N9))),"ส่งมอบก่อนติดตั้ง, ","")&amp;IF(AND(ISNUMBER(Q9),ISNUMBER(P9),N(Q9)&lt;N(P9)),"ส่งมอบก่อน IEC, ","")&amp;IF(AND(ISNUMBER(อัปเดตรายสัปดาห์!$AG9),ISNUMBER(TCRoof!$AC$9),ABS(N(อัปเดตรายสัปดาห์!$AG9)-N(TCRoof!$AC$9))&gt;3),"IEC Excel≠แอป, ","")&amp;IF(AND(ISNUMBER(อัปเดตรายสัปดาห์!$V9),ISNUMBER(TCRoof!$AD$9),ABS(N(อัปเดตรายสัปดาห์!$V9)-N(TCRoof!$AD$9))&gt;3),"COD Excel≠แอป, ","")&amp;IF(AND(ISNUMBER(อัปเดตรายสัปดาห์!$AF9),ISNUMBER(TCRoof!$AB$9),ABS(N(อัปเดตรายสัปดาห์!$AF9)-N(TCRoof!$AB$9))&gt;3),"ติดตั้ง Excel≠แอป, ","")&amp;IF(AND(ISNUMBER(N9),N(N9)&gt;ASOF,OR(WEEKDAY(N(N9),2)&gt;5,COUNTIF(HOLIDAYS,N(N9))&gt;0)),"นัดดับไฟตรงวันหยุด, ","")&amp;IF(AND(ISNUMBER(O9),N(O9)&gt;ASOF,OR(WEEKDAY(N(O9),2)&gt;5,COUNTIF(HOLIDAYS,N(O9))&gt;0)),"นัด กฟภ.ตรงวันหยุด, ","")&amp;IF(AND(ISNUMBER(P9),N(P9)&gt;ASOF,OR(WEEKDAY(N(P9),2)&gt;5,COUNTIF(HOLIDAYS,N(P9))&gt;0)),"นัด IECตรงวันหยุด, ","")&amp;IF(AND(ISNUMBER(X9),N(X9)&gt;ASOF,OR(WEEKDAY(N(X9),2)&gt;5,COUNTIF(HOLIDAYS,N(X9))&gt;0)),"นัด Syncตรงวันหยุด, ",""))</f>
        <v/>
      </c>
      <c r="AO9" s="86" t="n">
        <f aca="false">SUMIFS(CR_COD,CR_ST,A9,CR_STAT,"อนุมัติ")+SUMIFS(CR_COD,CR_ST,"ทั้งเฟส",CR_STAT,"อนุมัติ")+SUMIFS(CR_COD,CR_ST,"ผรม. "&amp;L9,CR_STAT,"อนุมัติ")+SUMIFS(CR_COD,CR_ST,"เขต "&amp;E9,CR_STAT,"อนุมัติ")</f>
        <v>0</v>
      </c>
      <c r="AP9" s="86" t="n">
        <f aca="false">IF(NOT(ISNUMBER(AJ9)),"",MAX(0,AJ9-AO9))</f>
        <v>0</v>
      </c>
      <c r="AQ9" s="86" t="n">
        <f aca="false">COUNTIF(RW_ST,A9)</f>
        <v>0</v>
      </c>
      <c r="AR9" s="87" t="str">
        <f aca="false">IF(ISNUMBER(TCRoof!$I$9),TCRoof!$I$9,"")</f>
        <v/>
      </c>
      <c r="AS9" s="88" t="str">
        <f aca="false">IF(ISNUMBER(TCRoof!$H$9),TCRoof!$H$9,"")</f>
        <v/>
      </c>
      <c r="AT9" s="89" t="n">
        <f aca="false">IF(N9&lt;&gt;"","",SUMIFS($F$8:$F$27,$L$8:$L$27,L9,$N$8:$N$27,"",$H$8:$H$27,"&lt;"&amp;H9)+SUMIFS($F$8:$F$27,$L$8:$L$27,L9,$N$8:$N$27,"",$H$8:$H$27,H9,$A$8:$A$27,"&lt;="&amp;A9)+SUMIFS($F$8:$F$27,$L$8:$L$27,L9,$N$8:$N$27,"&gt;"&amp;ASOF))</f>
        <v>280.44</v>
      </c>
      <c r="AU9" s="89" t="n">
        <f aca="false">IFERROR(VLOOKUP(L9,TEAM_TBL,2,0)*VLOOKUP(L9,TEAM_TBL,3,0),150)</f>
        <v>150</v>
      </c>
      <c r="AV9" s="90" t="n">
        <f aca="false">IF(O9&lt;&gt;"","",MAX(Y9+LAG_PEA,ASOF+LAG_PEA))</f>
        <v>46356</v>
      </c>
      <c r="AW9" s="89" t="n">
        <f aca="false">IF(O9&lt;&gt;"","",COUNTIFS($E$8:$E$27,E9,$AV$8:$AV$27,"&lt;"&amp;AV9)+COUNTIFS($E$8:$E$27,E9,$AV$8:$AV$27,AV9,$A$8:$A$27,"&lt;"&amp;A9)+COUNTIFS($E$8:$E$27,E9,$O$8:$O$27,"&gt;"&amp;ASOF)+1)</f>
        <v>1</v>
      </c>
      <c r="AX9" s="89" t="n">
        <f aca="false">IFERROR(VLOOKUP(E9,ZONE_TBL,2,0),CAP_PEA)</f>
        <v>3</v>
      </c>
      <c r="AY9" s="89" t="n">
        <f aca="false">IF(O9&lt;&gt;"","",COUNTIFS($J$8:$J$27,J9,$AV$8:$AV$27,"&lt;"&amp;AV9)+COUNTIFS($J$8:$J$27,J9,$AV$8:$AV$27,AV9,$A$8:$A$27,"&lt;"&amp;A9)+COUNTIFS($J$8:$J$27,J9,$O$8:$O$27,"&gt;"&amp;ASOF)+1)</f>
        <v>1</v>
      </c>
      <c r="AZ9" s="89" t="n">
        <f aca="false">IFERROR(VLOOKUP(J9,ENG_TBL,2,0),ENG_CAP)</f>
        <v>3</v>
      </c>
      <c r="BA9" s="90" t="n">
        <f aca="false">IF(P9&lt;&gt;"","",MAX(Z9+LAG_IEC,ASOF+1))</f>
        <v>46359</v>
      </c>
      <c r="BB9" s="89" t="n">
        <f aca="false">IF(P9&lt;&gt;"","",COUNTIFS($L$8:$L$27,L9,$BA$8:$BA$27,"&lt;"&amp;BA9)+COUNTIFS($L$8:$L$27,L9,$BA$8:$BA$27,BA9,$A$8:$A$27,"&lt;"&amp;A9)+COUNTIFS($L$8:$L$27,L9,$P$8:$P$27,"&gt;"&amp;ASOF)+1)</f>
        <v>1</v>
      </c>
      <c r="BC9" s="89" t="n">
        <f aca="false">IFERROR(VLOOKUP(L9,TEAM_TBL,4,0)*VLOOKUP(L9,TEAM_TBL,5,0),3)</f>
        <v>3</v>
      </c>
      <c r="BD9" s="91" t="n">
        <f aca="false">IFERROR(VLOOKUP(L9,TEAM_TBL,6,0),LAG_HO)</f>
        <v>7</v>
      </c>
      <c r="BE9" s="89" t="n">
        <f aca="false">IF(ISNUMBER(AW9),7*INT((AW9-1)/MAX(1,AX9)),"")</f>
        <v>0</v>
      </c>
      <c r="BF9" s="89" t="n">
        <f aca="false">IF(ISNUMBER(AY9),7*INT((AY9-1)/MAX(1,AZ9)),"")</f>
        <v>0</v>
      </c>
      <c r="BH9" s="92" t="str">
        <f aca="false">IF(AND($Y9&lt;&gt;"",$Y9&gt;=BH$7,$Y9&lt;BH$7+7),"I","")&amp;IF(AND($Z9&lt;&gt;"",$Z9&gt;=BH$7,$Z9&lt;BH$7+7),"P","")&amp;IF(AND($AA9&lt;&gt;"",$AA9&gt;=BH$7,$AA9&lt;BH$7+7),"T","")&amp;IF(AND($AB9&lt;&gt;"",$AB9&gt;=BH$7,$AB9&lt;BH$7+7),"H","")&amp;IF(AND($AC9&lt;&gt;"",$AC9&gt;=BH$7,$AC9&lt;BH$7+7),"G","")&amp;IF(AND($AH9&lt;&gt;"",$AH9&gt;=BH$7,$AH9&lt;BH$7+7),"S","")</f>
        <v/>
      </c>
      <c r="BI9" s="92" t="str">
        <f aca="false">IF(AND($Y9&lt;&gt;"",$Y9&gt;=BI$7,$Y9&lt;BI$7+7),"I","")&amp;IF(AND($Z9&lt;&gt;"",$Z9&gt;=BI$7,$Z9&lt;BI$7+7),"P","")&amp;IF(AND($AA9&lt;&gt;"",$AA9&gt;=BI$7,$AA9&lt;BI$7+7),"T","")&amp;IF(AND($AB9&lt;&gt;"",$AB9&gt;=BI$7,$AB9&lt;BI$7+7),"H","")&amp;IF(AND($AC9&lt;&gt;"",$AC9&gt;=BI$7,$AC9&lt;BI$7+7),"G","")&amp;IF(AND($AH9&lt;&gt;"",$AH9&gt;=BI$7,$AH9&lt;BI$7+7),"S","")</f>
        <v/>
      </c>
      <c r="BJ9" s="92" t="str">
        <f aca="false">IF(AND($Y9&lt;&gt;"",$Y9&gt;=BJ$7,$Y9&lt;BJ$7+7),"I","")&amp;IF(AND($Z9&lt;&gt;"",$Z9&gt;=BJ$7,$Z9&lt;BJ$7+7),"P","")&amp;IF(AND($AA9&lt;&gt;"",$AA9&gt;=BJ$7,$AA9&lt;BJ$7+7),"T","")&amp;IF(AND($AB9&lt;&gt;"",$AB9&gt;=BJ$7,$AB9&lt;BJ$7+7),"H","")&amp;IF(AND($AC9&lt;&gt;"",$AC9&gt;=BJ$7,$AC9&lt;BJ$7+7),"G","")&amp;IF(AND($AH9&lt;&gt;"",$AH9&gt;=BJ$7,$AH9&lt;BJ$7+7),"S","")</f>
        <v/>
      </c>
      <c r="BK9" s="92" t="str">
        <f aca="false">IF(AND($Y9&lt;&gt;"",$Y9&gt;=BK$7,$Y9&lt;BK$7+7),"I","")&amp;IF(AND($Z9&lt;&gt;"",$Z9&gt;=BK$7,$Z9&lt;BK$7+7),"P","")&amp;IF(AND($AA9&lt;&gt;"",$AA9&gt;=BK$7,$AA9&lt;BK$7+7),"T","")&amp;IF(AND($AB9&lt;&gt;"",$AB9&gt;=BK$7,$AB9&lt;BK$7+7),"H","")&amp;IF(AND($AC9&lt;&gt;"",$AC9&gt;=BK$7,$AC9&lt;BK$7+7),"G","")&amp;IF(AND($AH9&lt;&gt;"",$AH9&gt;=BK$7,$AH9&lt;BK$7+7),"S","")</f>
        <v/>
      </c>
      <c r="BL9" s="92" t="str">
        <f aca="false">IF(AND($Y9&lt;&gt;"",$Y9&gt;=BL$7,$Y9&lt;BL$7+7),"I","")&amp;IF(AND($Z9&lt;&gt;"",$Z9&gt;=BL$7,$Z9&lt;BL$7+7),"P","")&amp;IF(AND($AA9&lt;&gt;"",$AA9&gt;=BL$7,$AA9&lt;BL$7+7),"T","")&amp;IF(AND($AB9&lt;&gt;"",$AB9&gt;=BL$7,$AB9&lt;BL$7+7),"H","")&amp;IF(AND($AC9&lt;&gt;"",$AC9&gt;=BL$7,$AC9&lt;BL$7+7),"G","")&amp;IF(AND($AH9&lt;&gt;"",$AH9&gt;=BL$7,$AH9&lt;BL$7+7),"S","")</f>
        <v>I</v>
      </c>
      <c r="BM9" s="92" t="str">
        <f aca="false">IF(AND($Y9&lt;&gt;"",$Y9&gt;=BM$7,$Y9&lt;BM$7+7),"I","")&amp;IF(AND($Z9&lt;&gt;"",$Z9&gt;=BM$7,$Z9&lt;BM$7+7),"P","")&amp;IF(AND($AA9&lt;&gt;"",$AA9&gt;=BM$7,$AA9&lt;BM$7+7),"T","")&amp;IF(AND($AB9&lt;&gt;"",$AB9&gt;=BM$7,$AB9&lt;BM$7+7),"H","")&amp;IF(AND($AC9&lt;&gt;"",$AC9&gt;=BM$7,$AC9&lt;BM$7+7),"G","")&amp;IF(AND($AH9&lt;&gt;"",$AH9&gt;=BM$7,$AH9&lt;BM$7+7),"S","")</f>
        <v>PTG</v>
      </c>
      <c r="BN9" s="92" t="str">
        <f aca="false">IF(AND($Y9&lt;&gt;"",$Y9&gt;=BN$7,$Y9&lt;BN$7+7),"I","")&amp;IF(AND($Z9&lt;&gt;"",$Z9&gt;=BN$7,$Z9&lt;BN$7+7),"P","")&amp;IF(AND($AA9&lt;&gt;"",$AA9&gt;=BN$7,$AA9&lt;BN$7+7),"T","")&amp;IF(AND($AB9&lt;&gt;"",$AB9&gt;=BN$7,$AB9&lt;BN$7+7),"H","")&amp;IF(AND($AC9&lt;&gt;"",$AC9&gt;=BN$7,$AC9&lt;BN$7+7),"G","")&amp;IF(AND($AH9&lt;&gt;"",$AH9&gt;=BN$7,$AH9&lt;BN$7+7),"S","")</f>
        <v>H</v>
      </c>
      <c r="BO9" s="92" t="str">
        <f aca="false">IF(AND($Y9&lt;&gt;"",$Y9&gt;=BO$7,$Y9&lt;BO$7+7),"I","")&amp;IF(AND($Z9&lt;&gt;"",$Z9&gt;=BO$7,$Z9&lt;BO$7+7),"P","")&amp;IF(AND($AA9&lt;&gt;"",$AA9&gt;=BO$7,$AA9&lt;BO$7+7),"T","")&amp;IF(AND($AB9&lt;&gt;"",$AB9&gt;=BO$7,$AB9&lt;BO$7+7),"H","")&amp;IF(AND($AC9&lt;&gt;"",$AC9&gt;=BO$7,$AC9&lt;BO$7+7),"G","")&amp;IF(AND($AH9&lt;&gt;"",$AH9&gt;=BO$7,$AH9&lt;BO$7+7),"S","")</f>
        <v/>
      </c>
      <c r="BP9" s="92" t="str">
        <f aca="false">IF(AND($Y9&lt;&gt;"",$Y9&gt;=BP$7,$Y9&lt;BP$7+7),"I","")&amp;IF(AND($Z9&lt;&gt;"",$Z9&gt;=BP$7,$Z9&lt;BP$7+7),"P","")&amp;IF(AND($AA9&lt;&gt;"",$AA9&gt;=BP$7,$AA9&lt;BP$7+7),"T","")&amp;IF(AND($AB9&lt;&gt;"",$AB9&gt;=BP$7,$AB9&lt;BP$7+7),"H","")&amp;IF(AND($AC9&lt;&gt;"",$AC9&gt;=BP$7,$AC9&lt;BP$7+7),"G","")&amp;IF(AND($AH9&lt;&gt;"",$AH9&gt;=BP$7,$AH9&lt;BP$7+7),"S","")</f>
        <v/>
      </c>
      <c r="BQ9" s="92" t="str">
        <f aca="false">IF(AND($Y9&lt;&gt;"",$Y9&gt;=BQ$7,$Y9&lt;BQ$7+7),"I","")&amp;IF(AND($Z9&lt;&gt;"",$Z9&gt;=BQ$7,$Z9&lt;BQ$7+7),"P","")&amp;IF(AND($AA9&lt;&gt;"",$AA9&gt;=BQ$7,$AA9&lt;BQ$7+7),"T","")&amp;IF(AND($AB9&lt;&gt;"",$AB9&gt;=BQ$7,$AB9&lt;BQ$7+7),"H","")&amp;IF(AND($AC9&lt;&gt;"",$AC9&gt;=BQ$7,$AC9&lt;BQ$7+7),"G","")&amp;IF(AND($AH9&lt;&gt;"",$AH9&gt;=BQ$7,$AH9&lt;BQ$7+7),"S","")</f>
        <v/>
      </c>
      <c r="BR9" s="92" t="str">
        <f aca="false">IF(AND($Y9&lt;&gt;"",$Y9&gt;=BR$7,$Y9&lt;BR$7+7),"I","")&amp;IF(AND($Z9&lt;&gt;"",$Z9&gt;=BR$7,$Z9&lt;BR$7+7),"P","")&amp;IF(AND($AA9&lt;&gt;"",$AA9&gt;=BR$7,$AA9&lt;BR$7+7),"T","")&amp;IF(AND($AB9&lt;&gt;"",$AB9&gt;=BR$7,$AB9&lt;BR$7+7),"H","")&amp;IF(AND($AC9&lt;&gt;"",$AC9&gt;=BR$7,$AC9&lt;BR$7+7),"G","")&amp;IF(AND($AH9&lt;&gt;"",$AH9&gt;=BR$7,$AH9&lt;BR$7+7),"S","")</f>
        <v/>
      </c>
      <c r="BS9" s="92" t="str">
        <f aca="false">IF(AND($Y9&lt;&gt;"",$Y9&gt;=BS$7,$Y9&lt;BS$7+7),"I","")&amp;IF(AND($Z9&lt;&gt;"",$Z9&gt;=BS$7,$Z9&lt;BS$7+7),"P","")&amp;IF(AND($AA9&lt;&gt;"",$AA9&gt;=BS$7,$AA9&lt;BS$7+7),"T","")&amp;IF(AND($AB9&lt;&gt;"",$AB9&gt;=BS$7,$AB9&lt;BS$7+7),"H","")&amp;IF(AND($AC9&lt;&gt;"",$AC9&gt;=BS$7,$AC9&lt;BS$7+7),"G","")&amp;IF(AND($AH9&lt;&gt;"",$AH9&gt;=BS$7,$AH9&lt;BS$7+7),"S","")</f>
        <v/>
      </c>
      <c r="BT9" s="92" t="str">
        <f aca="false">IF(AND($Y9&lt;&gt;"",$Y9&gt;=BT$7,$Y9&lt;BT$7+7),"I","")&amp;IF(AND($Z9&lt;&gt;"",$Z9&gt;=BT$7,$Z9&lt;BT$7+7),"P","")&amp;IF(AND($AA9&lt;&gt;"",$AA9&gt;=BT$7,$AA9&lt;BT$7+7),"T","")&amp;IF(AND($AB9&lt;&gt;"",$AB9&gt;=BT$7,$AB9&lt;BT$7+7),"H","")&amp;IF(AND($AC9&lt;&gt;"",$AC9&gt;=BT$7,$AC9&lt;BT$7+7),"G","")&amp;IF(AND($AH9&lt;&gt;"",$AH9&gt;=BT$7,$AH9&lt;BT$7+7),"S","")</f>
        <v/>
      </c>
      <c r="BU9" s="92" t="str">
        <f aca="false">IF(AND($Y9&lt;&gt;"",$Y9&gt;=BU$7,$Y9&lt;BU$7+7),"I","")&amp;IF(AND($Z9&lt;&gt;"",$Z9&gt;=BU$7,$Z9&lt;BU$7+7),"P","")&amp;IF(AND($AA9&lt;&gt;"",$AA9&gt;=BU$7,$AA9&lt;BU$7+7),"T","")&amp;IF(AND($AB9&lt;&gt;"",$AB9&gt;=BU$7,$AB9&lt;BU$7+7),"H","")&amp;IF(AND($AC9&lt;&gt;"",$AC9&gt;=BU$7,$AC9&lt;BU$7+7),"G","")&amp;IF(AND($AH9&lt;&gt;"",$AH9&gt;=BU$7,$AH9&lt;BU$7+7),"S","")</f>
        <v/>
      </c>
      <c r="BV9" s="92" t="str">
        <f aca="false">IF(AND($Y9&lt;&gt;"",$Y9&gt;=BV$7,$Y9&lt;BV$7+7),"I","")&amp;IF(AND($Z9&lt;&gt;"",$Z9&gt;=BV$7,$Z9&lt;BV$7+7),"P","")&amp;IF(AND($AA9&lt;&gt;"",$AA9&gt;=BV$7,$AA9&lt;BV$7+7),"T","")&amp;IF(AND($AB9&lt;&gt;"",$AB9&gt;=BV$7,$AB9&lt;BV$7+7),"H","")&amp;IF(AND($AC9&lt;&gt;"",$AC9&gt;=BV$7,$AC9&lt;BV$7+7),"G","")&amp;IF(AND($AH9&lt;&gt;"",$AH9&gt;=BV$7,$AH9&lt;BV$7+7),"S","")</f>
        <v/>
      </c>
      <c r="BW9" s="92" t="str">
        <f aca="false">IF(AND($Y9&lt;&gt;"",$Y9&gt;=BW$7,$Y9&lt;BW$7+7),"I","")&amp;IF(AND($Z9&lt;&gt;"",$Z9&gt;=BW$7,$Z9&lt;BW$7+7),"P","")&amp;IF(AND($AA9&lt;&gt;"",$AA9&gt;=BW$7,$AA9&lt;BW$7+7),"T","")&amp;IF(AND($AB9&lt;&gt;"",$AB9&gt;=BW$7,$AB9&lt;BW$7+7),"H","")&amp;IF(AND($AC9&lt;&gt;"",$AC9&gt;=BW$7,$AC9&lt;BW$7+7),"G","")&amp;IF(AND($AH9&lt;&gt;"",$AH9&gt;=BW$7,$AH9&lt;BW$7+7),"S","")</f>
        <v/>
      </c>
      <c r="BX9" s="92" t="str">
        <f aca="false">IF(AND($Y9&lt;&gt;"",$Y9&gt;=BX$7,$Y9&lt;BX$7+7),"I","")&amp;IF(AND($Z9&lt;&gt;"",$Z9&gt;=BX$7,$Z9&lt;BX$7+7),"P","")&amp;IF(AND($AA9&lt;&gt;"",$AA9&gt;=BX$7,$AA9&lt;BX$7+7),"T","")&amp;IF(AND($AB9&lt;&gt;"",$AB9&gt;=BX$7,$AB9&lt;BX$7+7),"H","")&amp;IF(AND($AC9&lt;&gt;"",$AC9&gt;=BX$7,$AC9&lt;BX$7+7),"G","")&amp;IF(AND($AH9&lt;&gt;"",$AH9&gt;=BX$7,$AH9&lt;BX$7+7),"S","")</f>
        <v>S</v>
      </c>
      <c r="BY9" s="92" t="str">
        <f aca="false">IF(AND($Y9&lt;&gt;"",$Y9&gt;=BY$7,$Y9&lt;BY$7+7),"I","")&amp;IF(AND($Z9&lt;&gt;"",$Z9&gt;=BY$7,$Z9&lt;BY$7+7),"P","")&amp;IF(AND($AA9&lt;&gt;"",$AA9&gt;=BY$7,$AA9&lt;BY$7+7),"T","")&amp;IF(AND($AB9&lt;&gt;"",$AB9&gt;=BY$7,$AB9&lt;BY$7+7),"H","")&amp;IF(AND($AC9&lt;&gt;"",$AC9&gt;=BY$7,$AC9&lt;BY$7+7),"G","")&amp;IF(AND($AH9&lt;&gt;"",$AH9&gt;=BY$7,$AH9&lt;BY$7+7),"S","")</f>
        <v/>
      </c>
      <c r="BZ9" s="92" t="str">
        <f aca="false">IF(AND($Y9&lt;&gt;"",$Y9&gt;=BZ$7,$Y9&lt;BZ$7+7),"I","")&amp;IF(AND($Z9&lt;&gt;"",$Z9&gt;=BZ$7,$Z9&lt;BZ$7+7),"P","")&amp;IF(AND($AA9&lt;&gt;"",$AA9&gt;=BZ$7,$AA9&lt;BZ$7+7),"T","")&amp;IF(AND($AB9&lt;&gt;"",$AB9&gt;=BZ$7,$AB9&lt;BZ$7+7),"H","")&amp;IF(AND($AC9&lt;&gt;"",$AC9&gt;=BZ$7,$AC9&lt;BZ$7+7),"G","")&amp;IF(AND($AH9&lt;&gt;"",$AH9&gt;=BZ$7,$AH9&lt;BZ$7+7),"S","")</f>
        <v/>
      </c>
      <c r="CA9" s="92" t="str">
        <f aca="false">IF(AND($Y9&lt;&gt;"",$Y9&gt;=CA$7,$Y9&lt;CA$7+7),"I","")&amp;IF(AND($Z9&lt;&gt;"",$Z9&gt;=CA$7,$Z9&lt;CA$7+7),"P","")&amp;IF(AND($AA9&lt;&gt;"",$AA9&gt;=CA$7,$AA9&lt;CA$7+7),"T","")&amp;IF(AND($AB9&lt;&gt;"",$AB9&gt;=CA$7,$AB9&lt;CA$7+7),"H","")&amp;IF(AND($AC9&lt;&gt;"",$AC9&gt;=CA$7,$AC9&lt;CA$7+7),"G","")&amp;IF(AND($AH9&lt;&gt;"",$AH9&gt;=CA$7,$AH9&lt;CA$7+7),"S","")</f>
        <v/>
      </c>
      <c r="CB9" s="92" t="str">
        <f aca="false">IF(AND($Y9&lt;&gt;"",$Y9&gt;=CB$7,$Y9&lt;CB$7+7),"I","")&amp;IF(AND($Z9&lt;&gt;"",$Z9&gt;=CB$7,$Z9&lt;CB$7+7),"P","")&amp;IF(AND($AA9&lt;&gt;"",$AA9&gt;=CB$7,$AA9&lt;CB$7+7),"T","")&amp;IF(AND($AB9&lt;&gt;"",$AB9&gt;=CB$7,$AB9&lt;CB$7+7),"H","")&amp;IF(AND($AC9&lt;&gt;"",$AC9&gt;=CB$7,$AC9&lt;CB$7+7),"G","")&amp;IF(AND($AH9&lt;&gt;"",$AH9&gt;=CB$7,$AH9&lt;CB$7+7),"S","")</f>
        <v/>
      </c>
      <c r="CC9" s="92" t="str">
        <f aca="false">IF(AND($Y9&lt;&gt;"",$Y9&gt;=CC$7,$Y9&lt;CC$7+7),"I","")&amp;IF(AND($Z9&lt;&gt;"",$Z9&gt;=CC$7,$Z9&lt;CC$7+7),"P","")&amp;IF(AND($AA9&lt;&gt;"",$AA9&gt;=CC$7,$AA9&lt;CC$7+7),"T","")&amp;IF(AND($AB9&lt;&gt;"",$AB9&gt;=CC$7,$AB9&lt;CC$7+7),"H","")&amp;IF(AND($AC9&lt;&gt;"",$AC9&gt;=CC$7,$AC9&lt;CC$7+7),"G","")&amp;IF(AND($AH9&lt;&gt;"",$AH9&gt;=CC$7,$AH9&lt;CC$7+7),"S","")</f>
        <v/>
      </c>
      <c r="CD9" s="92" t="str">
        <f aca="false">IF(AND($Y9&lt;&gt;"",$Y9&gt;=CD$7,$Y9&lt;CD$7+7),"I","")&amp;IF(AND($Z9&lt;&gt;"",$Z9&gt;=CD$7,$Z9&lt;CD$7+7),"P","")&amp;IF(AND($AA9&lt;&gt;"",$AA9&gt;=CD$7,$AA9&lt;CD$7+7),"T","")&amp;IF(AND($AB9&lt;&gt;"",$AB9&gt;=CD$7,$AB9&lt;CD$7+7),"H","")&amp;IF(AND($AC9&lt;&gt;"",$AC9&gt;=CD$7,$AC9&lt;CD$7+7),"G","")&amp;IF(AND($AH9&lt;&gt;"",$AH9&gt;=CD$7,$AH9&lt;CD$7+7),"S","")</f>
        <v/>
      </c>
      <c r="CE9" s="92" t="str">
        <f aca="false">IF(AND($Y9&lt;&gt;"",$Y9&gt;=CE$7,$Y9&lt;CE$7+7),"I","")&amp;IF(AND($Z9&lt;&gt;"",$Z9&gt;=CE$7,$Z9&lt;CE$7+7),"P","")&amp;IF(AND($AA9&lt;&gt;"",$AA9&gt;=CE$7,$AA9&lt;CE$7+7),"T","")&amp;IF(AND($AB9&lt;&gt;"",$AB9&gt;=CE$7,$AB9&lt;CE$7+7),"H","")&amp;IF(AND($AC9&lt;&gt;"",$AC9&gt;=CE$7,$AC9&lt;CE$7+7),"G","")&amp;IF(AND($AH9&lt;&gt;"",$AH9&gt;=CE$7,$AH9&lt;CE$7+7),"S","")</f>
        <v/>
      </c>
      <c r="CF9" s="92" t="str">
        <f aca="false">IF(AND($Y9&lt;&gt;"",$Y9&gt;=CF$7,$Y9&lt;CF$7+7),"I","")&amp;IF(AND($Z9&lt;&gt;"",$Z9&gt;=CF$7,$Z9&lt;CF$7+7),"P","")&amp;IF(AND($AA9&lt;&gt;"",$AA9&gt;=CF$7,$AA9&lt;CF$7+7),"T","")&amp;IF(AND($AB9&lt;&gt;"",$AB9&gt;=CF$7,$AB9&lt;CF$7+7),"H","")&amp;IF(AND($AC9&lt;&gt;"",$AC9&gt;=CF$7,$AC9&lt;CF$7+7),"G","")&amp;IF(AND($AH9&lt;&gt;"",$AH9&gt;=CF$7,$AH9&lt;CF$7+7),"S","")</f>
        <v/>
      </c>
      <c r="CG9" s="92" t="str">
        <f aca="false">IF(AND($Y9&lt;&gt;"",$Y9&gt;=CG$7,$Y9&lt;CG$7+7),"I","")&amp;IF(AND($Z9&lt;&gt;"",$Z9&gt;=CG$7,$Z9&lt;CG$7+7),"P","")&amp;IF(AND($AA9&lt;&gt;"",$AA9&gt;=CG$7,$AA9&lt;CG$7+7),"T","")&amp;IF(AND($AB9&lt;&gt;"",$AB9&gt;=CG$7,$AB9&lt;CG$7+7),"H","")&amp;IF(AND($AC9&lt;&gt;"",$AC9&gt;=CG$7,$AC9&lt;CG$7+7),"G","")&amp;IF(AND($AH9&lt;&gt;"",$AH9&gt;=CG$7,$AH9&lt;CG$7+7),"S","")</f>
        <v/>
      </c>
      <c r="CH9" s="92" t="str">
        <f aca="false">IF(AND($Y9&lt;&gt;"",$Y9&gt;=CH$7,$Y9&lt;CH$7+7),"I","")&amp;IF(AND($Z9&lt;&gt;"",$Z9&gt;=CH$7,$Z9&lt;CH$7+7),"P","")&amp;IF(AND($AA9&lt;&gt;"",$AA9&gt;=CH$7,$AA9&lt;CH$7+7),"T","")&amp;IF(AND($AB9&lt;&gt;"",$AB9&gt;=CH$7,$AB9&lt;CH$7+7),"H","")&amp;IF(AND($AC9&lt;&gt;"",$AC9&gt;=CH$7,$AC9&lt;CH$7+7),"G","")&amp;IF(AND($AH9&lt;&gt;"",$AH9&gt;=CH$7,$AH9&lt;CH$7+7),"S","")</f>
        <v/>
      </c>
      <c r="CI9" s="92" t="str">
        <f aca="false">IF(AND($Y9&lt;&gt;"",$Y9&gt;=CI$7,$Y9&lt;CI$7+7),"I","")&amp;IF(AND($Z9&lt;&gt;"",$Z9&gt;=CI$7,$Z9&lt;CI$7+7),"P","")&amp;IF(AND($AA9&lt;&gt;"",$AA9&gt;=CI$7,$AA9&lt;CI$7+7),"T","")&amp;IF(AND($AB9&lt;&gt;"",$AB9&gt;=CI$7,$AB9&lt;CI$7+7),"H","")&amp;IF(AND($AC9&lt;&gt;"",$AC9&gt;=CI$7,$AC9&lt;CI$7+7),"G","")&amp;IF(AND($AH9&lt;&gt;"",$AH9&gt;=CI$7,$AH9&lt;CI$7+7),"S","")</f>
        <v/>
      </c>
      <c r="CJ9" s="92" t="str">
        <f aca="false">IF(AND($Y9&lt;&gt;"",$Y9&gt;=CJ$7,$Y9&lt;CJ$7+7),"I","")&amp;IF(AND($Z9&lt;&gt;"",$Z9&gt;=CJ$7,$Z9&lt;CJ$7+7),"P","")&amp;IF(AND($AA9&lt;&gt;"",$AA9&gt;=CJ$7,$AA9&lt;CJ$7+7),"T","")&amp;IF(AND($AB9&lt;&gt;"",$AB9&gt;=CJ$7,$AB9&lt;CJ$7+7),"H","")&amp;IF(AND($AC9&lt;&gt;"",$AC9&gt;=CJ$7,$AC9&lt;CJ$7+7),"G","")&amp;IF(AND($AH9&lt;&gt;"",$AH9&gt;=CJ$7,$AH9&lt;CJ$7+7),"S","")</f>
        <v/>
      </c>
      <c r="CK9" s="92" t="str">
        <f aca="false">IF(AND($Y9&lt;&gt;"",$Y9&gt;=CK$7,$Y9&lt;CK$7+7),"I","")&amp;IF(AND($Z9&lt;&gt;"",$Z9&gt;=CK$7,$Z9&lt;CK$7+7),"P","")&amp;IF(AND($AA9&lt;&gt;"",$AA9&gt;=CK$7,$AA9&lt;CK$7+7),"T","")&amp;IF(AND($AB9&lt;&gt;"",$AB9&gt;=CK$7,$AB9&lt;CK$7+7),"H","")&amp;IF(AND($AC9&lt;&gt;"",$AC9&gt;=CK$7,$AC9&lt;CK$7+7),"G","")&amp;IF(AND($AH9&lt;&gt;"",$AH9&gt;=CK$7,$AH9&lt;CK$7+7),"S","")</f>
        <v/>
      </c>
      <c r="CL9" s="92" t="str">
        <f aca="false">IF(AND($Y9&lt;&gt;"",$Y9&gt;=CL$7,$Y9&lt;CL$7+7),"I","")&amp;IF(AND($Z9&lt;&gt;"",$Z9&gt;=CL$7,$Z9&lt;CL$7+7),"P","")&amp;IF(AND($AA9&lt;&gt;"",$AA9&gt;=CL$7,$AA9&lt;CL$7+7),"T","")&amp;IF(AND($AB9&lt;&gt;"",$AB9&gt;=CL$7,$AB9&lt;CL$7+7),"H","")&amp;IF(AND($AC9&lt;&gt;"",$AC9&gt;=CL$7,$AC9&lt;CL$7+7),"G","")&amp;IF(AND($AH9&lt;&gt;"",$AH9&gt;=CL$7,$AH9&lt;CL$7+7),"S","")</f>
        <v/>
      </c>
      <c r="CM9" s="92" t="str">
        <f aca="false">IF(AND($Y9&lt;&gt;"",$Y9&gt;=CM$7,$Y9&lt;CM$7+7),"I","")&amp;IF(AND($Z9&lt;&gt;"",$Z9&gt;=CM$7,$Z9&lt;CM$7+7),"P","")&amp;IF(AND($AA9&lt;&gt;"",$AA9&gt;=CM$7,$AA9&lt;CM$7+7),"T","")&amp;IF(AND($AB9&lt;&gt;"",$AB9&gt;=CM$7,$AB9&lt;CM$7+7),"H","")&amp;IF(AND($AC9&lt;&gt;"",$AC9&gt;=CM$7,$AC9&lt;CM$7+7),"G","")&amp;IF(AND($AH9&lt;&gt;"",$AH9&gt;=CM$7,$AH9&lt;CM$7+7),"S","")</f>
        <v/>
      </c>
      <c r="CN9" s="92" t="str">
        <f aca="false">IF(AND($Y9&lt;&gt;"",$Y9&gt;=CN$7,$Y9&lt;CN$7+7),"I","")&amp;IF(AND($Z9&lt;&gt;"",$Z9&gt;=CN$7,$Z9&lt;CN$7+7),"P","")&amp;IF(AND($AA9&lt;&gt;"",$AA9&gt;=CN$7,$AA9&lt;CN$7+7),"T","")&amp;IF(AND($AB9&lt;&gt;"",$AB9&gt;=CN$7,$AB9&lt;CN$7+7),"H","")&amp;IF(AND($AC9&lt;&gt;"",$AC9&gt;=CN$7,$AC9&lt;CN$7+7),"G","")&amp;IF(AND($AH9&lt;&gt;"",$AH9&gt;=CN$7,$AH9&lt;CN$7+7),"S","")</f>
        <v/>
      </c>
      <c r="CO9" s="92" t="str">
        <f aca="false">IF(AND($Y9&lt;&gt;"",$Y9&gt;=CO$7,$Y9&lt;CO$7+7),"I","")&amp;IF(AND($Z9&lt;&gt;"",$Z9&gt;=CO$7,$Z9&lt;CO$7+7),"P","")&amp;IF(AND($AA9&lt;&gt;"",$AA9&gt;=CO$7,$AA9&lt;CO$7+7),"T","")&amp;IF(AND($AB9&lt;&gt;"",$AB9&gt;=CO$7,$AB9&lt;CO$7+7),"H","")&amp;IF(AND($AC9&lt;&gt;"",$AC9&gt;=CO$7,$AC9&lt;CO$7+7),"G","")&amp;IF(AND($AH9&lt;&gt;"",$AH9&gt;=CO$7,$AH9&lt;CO$7+7),"S","")</f>
        <v/>
      </c>
      <c r="CP9" s="92" t="str">
        <f aca="false">IF(AND($Y9&lt;&gt;"",$Y9&gt;=CP$7,$Y9&lt;CP$7+7),"I","")&amp;IF(AND($Z9&lt;&gt;"",$Z9&gt;=CP$7,$Z9&lt;CP$7+7),"P","")&amp;IF(AND($AA9&lt;&gt;"",$AA9&gt;=CP$7,$AA9&lt;CP$7+7),"T","")&amp;IF(AND($AB9&lt;&gt;"",$AB9&gt;=CP$7,$AB9&lt;CP$7+7),"H","")&amp;IF(AND($AC9&lt;&gt;"",$AC9&gt;=CP$7,$AC9&lt;CP$7+7),"G","")&amp;IF(AND($AH9&lt;&gt;"",$AH9&gt;=CP$7,$AH9&lt;CP$7+7),"S","")</f>
        <v/>
      </c>
      <c r="CQ9" s="92" t="str">
        <f aca="false">IF(AND($Y9&lt;&gt;"",$Y9&gt;=CQ$7,$Y9&lt;CQ$7+7),"I","")&amp;IF(AND($Z9&lt;&gt;"",$Z9&gt;=CQ$7,$Z9&lt;CQ$7+7),"P","")&amp;IF(AND($AA9&lt;&gt;"",$AA9&gt;=CQ$7,$AA9&lt;CQ$7+7),"T","")&amp;IF(AND($AB9&lt;&gt;"",$AB9&gt;=CQ$7,$AB9&lt;CQ$7+7),"H","")&amp;IF(AND($AC9&lt;&gt;"",$AC9&gt;=CQ$7,$AC9&lt;CQ$7+7),"G","")&amp;IF(AND($AH9&lt;&gt;"",$AH9&gt;=CQ$7,$AH9&lt;CQ$7+7),"S","")</f>
        <v/>
      </c>
      <c r="CR9" s="92" t="str">
        <f aca="false">IF(AND($Y9&lt;&gt;"",$Y9&gt;=CR$7,$Y9&lt;CR$7+7),"I","")&amp;IF(AND($Z9&lt;&gt;"",$Z9&gt;=CR$7,$Z9&lt;CR$7+7),"P","")&amp;IF(AND($AA9&lt;&gt;"",$AA9&gt;=CR$7,$AA9&lt;CR$7+7),"T","")&amp;IF(AND($AB9&lt;&gt;"",$AB9&gt;=CR$7,$AB9&lt;CR$7+7),"H","")&amp;IF(AND($AC9&lt;&gt;"",$AC9&gt;=CR$7,$AC9&lt;CR$7+7),"G","")&amp;IF(AND($AH9&lt;&gt;"",$AH9&gt;=CR$7,$AH9&lt;CR$7+7),"S","")</f>
        <v/>
      </c>
      <c r="CS9" s="92" t="str">
        <f aca="false">IF(AND($Y9&lt;&gt;"",$Y9&gt;=CS$7,$Y9&lt;CS$7+7),"I","")&amp;IF(AND($Z9&lt;&gt;"",$Z9&gt;=CS$7,$Z9&lt;CS$7+7),"P","")&amp;IF(AND($AA9&lt;&gt;"",$AA9&gt;=CS$7,$AA9&lt;CS$7+7),"T","")&amp;IF(AND($AB9&lt;&gt;"",$AB9&gt;=CS$7,$AB9&lt;CS$7+7),"H","")&amp;IF(AND($AC9&lt;&gt;"",$AC9&gt;=CS$7,$AC9&lt;CS$7+7),"G","")&amp;IF(AND($AH9&lt;&gt;"",$AH9&gt;=CS$7,$AH9&lt;CS$7+7),"S","")</f>
        <v/>
      </c>
      <c r="CT9" s="92" t="str">
        <f aca="false">IF(AND($Y9&lt;&gt;"",$Y9&gt;=CT$7,$Y9&lt;CT$7+7),"I","")&amp;IF(AND($Z9&lt;&gt;"",$Z9&gt;=CT$7,$Z9&lt;CT$7+7),"P","")&amp;IF(AND($AA9&lt;&gt;"",$AA9&gt;=CT$7,$AA9&lt;CT$7+7),"T","")&amp;IF(AND($AB9&lt;&gt;"",$AB9&gt;=CT$7,$AB9&lt;CT$7+7),"H","")&amp;IF(AND($AC9&lt;&gt;"",$AC9&gt;=CT$7,$AC9&lt;CT$7+7),"G","")&amp;IF(AND($AH9&lt;&gt;"",$AH9&gt;=CT$7,$AH9&lt;CT$7+7),"S","")</f>
        <v/>
      </c>
      <c r="CU9" s="92" t="str">
        <f aca="false">IF(AND($Y9&lt;&gt;"",$Y9&gt;=CU$7,$Y9&lt;CU$7+7),"I","")&amp;IF(AND($Z9&lt;&gt;"",$Z9&gt;=CU$7,$Z9&lt;CU$7+7),"P","")&amp;IF(AND($AA9&lt;&gt;"",$AA9&gt;=CU$7,$AA9&lt;CU$7+7),"T","")&amp;IF(AND($AB9&lt;&gt;"",$AB9&gt;=CU$7,$AB9&lt;CU$7+7),"H","")&amp;IF(AND($AC9&lt;&gt;"",$AC9&gt;=CU$7,$AC9&lt;CU$7+7),"G","")&amp;IF(AND($AH9&lt;&gt;"",$AH9&gt;=CU$7,$AH9&lt;CU$7+7),"S","")</f>
        <v/>
      </c>
      <c r="CV9" s="92" t="str">
        <f aca="false">IF(AND($Y9&lt;&gt;"",$Y9&gt;=CV$7,$Y9&lt;CV$7+7),"I","")&amp;IF(AND($Z9&lt;&gt;"",$Z9&gt;=CV$7,$Z9&lt;CV$7+7),"P","")&amp;IF(AND($AA9&lt;&gt;"",$AA9&gt;=CV$7,$AA9&lt;CV$7+7),"T","")&amp;IF(AND($AB9&lt;&gt;"",$AB9&gt;=CV$7,$AB9&lt;CV$7+7),"H","")&amp;IF(AND($AC9&lt;&gt;"",$AC9&gt;=CV$7,$AC9&lt;CV$7+7),"G","")&amp;IF(AND($AH9&lt;&gt;"",$AH9&gt;=CV$7,$AH9&lt;CV$7+7),"S","")</f>
        <v/>
      </c>
      <c r="CW9" s="92" t="str">
        <f aca="false">IF(AND($Y9&lt;&gt;"",$Y9&gt;=CW$7,$Y9&lt;CW$7+7),"I","")&amp;IF(AND($Z9&lt;&gt;"",$Z9&gt;=CW$7,$Z9&lt;CW$7+7),"P","")&amp;IF(AND($AA9&lt;&gt;"",$AA9&gt;=CW$7,$AA9&lt;CW$7+7),"T","")&amp;IF(AND($AB9&lt;&gt;"",$AB9&gt;=CW$7,$AB9&lt;CW$7+7),"H","")&amp;IF(AND($AC9&lt;&gt;"",$AC9&gt;=CW$7,$AC9&lt;CW$7+7),"G","")&amp;IF(AND($AH9&lt;&gt;"",$AH9&gt;=CW$7,$AH9&lt;CW$7+7),"S","")</f>
        <v/>
      </c>
      <c r="CX9" s="92" t="str">
        <f aca="false">IF(AND($Y9&lt;&gt;"",$Y9&gt;=CX$7,$Y9&lt;CX$7+7),"I","")&amp;IF(AND($Z9&lt;&gt;"",$Z9&gt;=CX$7,$Z9&lt;CX$7+7),"P","")&amp;IF(AND($AA9&lt;&gt;"",$AA9&gt;=CX$7,$AA9&lt;CX$7+7),"T","")&amp;IF(AND($AB9&lt;&gt;"",$AB9&gt;=CX$7,$AB9&lt;CX$7+7),"H","")&amp;IF(AND($AC9&lt;&gt;"",$AC9&gt;=CX$7,$AC9&lt;CX$7+7),"G","")&amp;IF(AND($AH9&lt;&gt;"",$AH9&gt;=CX$7,$AH9&lt;CX$7+7),"S","")</f>
        <v/>
      </c>
      <c r="CY9" s="92" t="str">
        <f aca="false">IF(AND($Y9&lt;&gt;"",$Y9&gt;=CY$7,$Y9&lt;CY$7+7),"I","")&amp;IF(AND($Z9&lt;&gt;"",$Z9&gt;=CY$7,$Z9&lt;CY$7+7),"P","")&amp;IF(AND($AA9&lt;&gt;"",$AA9&gt;=CY$7,$AA9&lt;CY$7+7),"T","")&amp;IF(AND($AB9&lt;&gt;"",$AB9&gt;=CY$7,$AB9&lt;CY$7+7),"H","")&amp;IF(AND($AC9&lt;&gt;"",$AC9&gt;=CY$7,$AC9&lt;CY$7+7),"G","")&amp;IF(AND($AH9&lt;&gt;"",$AH9&gt;=CY$7,$AH9&lt;CY$7+7),"S","")</f>
        <v/>
      </c>
      <c r="CZ9" s="92" t="str">
        <f aca="false">IF(AND($Y9&lt;&gt;"",$Y9&gt;=CZ$7,$Y9&lt;CZ$7+7),"I","")&amp;IF(AND($Z9&lt;&gt;"",$Z9&gt;=CZ$7,$Z9&lt;CZ$7+7),"P","")&amp;IF(AND($AA9&lt;&gt;"",$AA9&gt;=CZ$7,$AA9&lt;CZ$7+7),"T","")&amp;IF(AND($AB9&lt;&gt;"",$AB9&gt;=CZ$7,$AB9&lt;CZ$7+7),"H","")&amp;IF(AND($AC9&lt;&gt;"",$AC9&gt;=CZ$7,$AC9&lt;CZ$7+7),"G","")&amp;IF(AND($AH9&lt;&gt;"",$AH9&gt;=CZ$7,$AH9&lt;CZ$7+7),"S","")</f>
        <v/>
      </c>
      <c r="DA9" s="92" t="str">
        <f aca="false">IF(AND($Y9&lt;&gt;"",$Y9&gt;=DA$7,$Y9&lt;DA$7+7),"I","")&amp;IF(AND($Z9&lt;&gt;"",$Z9&gt;=DA$7,$Z9&lt;DA$7+7),"P","")&amp;IF(AND($AA9&lt;&gt;"",$AA9&gt;=DA$7,$AA9&lt;DA$7+7),"T","")&amp;IF(AND($AB9&lt;&gt;"",$AB9&gt;=DA$7,$AB9&lt;DA$7+7),"H","")&amp;IF(AND($AC9&lt;&gt;"",$AC9&gt;=DA$7,$AC9&lt;DA$7+7),"G","")&amp;IF(AND($AH9&lt;&gt;"",$AH9&gt;=DA$7,$AH9&lt;DA$7+7),"S","")</f>
        <v/>
      </c>
      <c r="DB9" s="92" t="str">
        <f aca="false">IF(AND($Y9&lt;&gt;"",$Y9&gt;=DB$7,$Y9&lt;DB$7+7),"I","")&amp;IF(AND($Z9&lt;&gt;"",$Z9&gt;=DB$7,$Z9&lt;DB$7+7),"P","")&amp;IF(AND($AA9&lt;&gt;"",$AA9&gt;=DB$7,$AA9&lt;DB$7+7),"T","")&amp;IF(AND($AB9&lt;&gt;"",$AB9&gt;=DB$7,$AB9&lt;DB$7+7),"H","")&amp;IF(AND($AC9&lt;&gt;"",$AC9&gt;=DB$7,$AC9&lt;DB$7+7),"G","")&amp;IF(AND($AH9&lt;&gt;"",$AH9&gt;=DB$7,$AH9&lt;DB$7+7),"S","")</f>
        <v/>
      </c>
      <c r="DC9" s="92" t="str">
        <f aca="false">IF(AND($Y9&lt;&gt;"",$Y9&gt;=DC$7,$Y9&lt;DC$7+7),"I","")&amp;IF(AND($Z9&lt;&gt;"",$Z9&gt;=DC$7,$Z9&lt;DC$7+7),"P","")&amp;IF(AND($AA9&lt;&gt;"",$AA9&gt;=DC$7,$AA9&lt;DC$7+7),"T","")&amp;IF(AND($AB9&lt;&gt;"",$AB9&gt;=DC$7,$AB9&lt;DC$7+7),"H","")&amp;IF(AND($AC9&lt;&gt;"",$AC9&gt;=DC$7,$AC9&lt;DC$7+7),"G","")&amp;IF(AND($AH9&lt;&gt;"",$AH9&gt;=DC$7,$AH9&lt;DC$7+7),"S","")</f>
        <v/>
      </c>
    </row>
    <row r="10" customFormat="false" ht="15" hidden="false" customHeight="false" outlineLevel="0" collapsed="false">
      <c r="A10" s="47" t="s">
        <v>50</v>
      </c>
      <c r="B10" s="31" t="s">
        <v>51</v>
      </c>
      <c r="C10" s="36" t="s">
        <v>565</v>
      </c>
      <c r="D10" s="31" t="s">
        <v>566</v>
      </c>
      <c r="E10" s="31" t="s">
        <v>172</v>
      </c>
      <c r="F10" s="75" t="n">
        <v>150.48</v>
      </c>
      <c r="G10" s="31" t="s">
        <v>170</v>
      </c>
      <c r="H10" s="76" t="n">
        <f aca="false">PROJ_START+RD_SPAN</f>
        <v>46403</v>
      </c>
      <c r="I10" s="77" t="n">
        <f aca="false">H10+33</f>
        <v>46436</v>
      </c>
      <c r="J10" s="31" t="s">
        <v>53</v>
      </c>
      <c r="K10" s="36" t="s">
        <v>131</v>
      </c>
      <c r="L10" s="36" t="s">
        <v>52</v>
      </c>
      <c r="M10" s="36" t="s">
        <v>567</v>
      </c>
      <c r="N10" s="78" t="str">
        <f aca="false">IF(ISNUMBER(อัปเดตรายสัปดาห์!$AF10),อัปเดตรายสัปดาห์!$AF10,"")</f>
        <v/>
      </c>
      <c r="O10" s="78" t="str">
        <f aca="false">IF(ISNUMBER(อัปเดตรายสัปดาห์!$AH10),อัปเดตรายสัปดาห์!$AH10,"")</f>
        <v/>
      </c>
      <c r="P10" s="78" t="str">
        <f aca="false">IF(ISNUMBER(อัปเดตรายสัปดาห์!$AG10),อัปเดตรายสัปดาห์!$AG10,IF(AND(ISNUMBER(TCRoof!$AC$10),N(TCRoof!$AC$10)&lt;=ASOF),TCRoof!$AC$10,""))</f>
        <v/>
      </c>
      <c r="Q10" s="78" t="str">
        <f aca="false">IF(ISNUMBER(อัปเดตรายสัปดาห์!$AL10),อัปเดตรายสัปดาห์!$AL10,"")</f>
        <v/>
      </c>
      <c r="R10" s="78" t="str">
        <f aca="false">IF(ISNUMBER(อัปเดตรายสัปดาห์!$Q10),อัปเดตรายสัปดาห์!$Q10,"")</f>
        <v/>
      </c>
      <c r="S10" s="78" t="str">
        <f aca="false">IF(ISNUMBER(อัปเดตรายสัปดาห์!$R10),อัปเดตรายสัปดาห์!$R10,"")</f>
        <v/>
      </c>
      <c r="T10" s="78" t="str">
        <f aca="false">IF(ISNUMBER(อัปเดตรายสัปดาห์!$S10),อัปเดตรายสัปดาห์!$S10,IF(อัปเดตรายสัปดาห์!$S10="Y",ASOF,""))</f>
        <v/>
      </c>
      <c r="U10" s="78" t="str">
        <f aca="false">IF(ISNUMBER(อัปเดตรายสัปดาห์!$T10),อัปเดตรายสัปดาห์!$T10,IF(อัปเดตรายสัปดาห์!$T10="Y",ASOF,""))</f>
        <v/>
      </c>
      <c r="V10" s="78" t="str">
        <f aca="false">IF(ISNUMBER(อัปเดตรายสัปดาห์!$U10),อัปเดตรายสัปดาห์!$U10,IF(อัปเดตรายสัปดาห์!$U10="Y",ASOF,""))</f>
        <v/>
      </c>
      <c r="W10" s="78" t="str">
        <f aca="false">IF(ISNUMBER(อัปเดตรายสัปดาห์!$N10),อัปเดตรายสัปดาห์!$N10,"")</f>
        <v/>
      </c>
      <c r="X10" s="78" t="str">
        <f aca="false">IF(ISNUMBER(อัปเดตรายสัปดาห์!$V10),อัปเดตรายสัปดาห์!$V10,IF(AND(ISNUMBER(TCRoof!$AD$10),N(TCRoof!$AD$10)&lt;=ASOF),TCRoof!$AD$10,""))</f>
        <v/>
      </c>
      <c r="Y10" s="79" t="n">
        <f aca="false">IF(N10&lt;&gt;"",N10,WORKDAY((ASOF+LEAD_INST+7*INT((AT10-0.01)/MAX(1,AU10)))-1,1,HOLIDAYS))</f>
        <v>46349</v>
      </c>
      <c r="Z10" s="79" t="n">
        <f aca="false">IF(O10&lt;&gt;"",O10,WORKDAY((MAX(AV10+7*INT((AW10-1)/MAX(1,AX10)),AV10+7*INT((AY10-1)/MAX(1,AZ10))))-1,1,HOLIDAYS))</f>
        <v>46356</v>
      </c>
      <c r="AA10" s="79" t="n">
        <f aca="false">IF(P10&lt;&gt;"",P10,WORKDAY((BA10+7*INT((BB10-1)/MAX(1,BC10)))-1,1,HOLIDAYS))</f>
        <v>46359</v>
      </c>
      <c r="AB10" s="79" t="n">
        <f aca="false">IF(Q10&lt;&gt;"",Q10,WORKDAY((MAX(AA10+BD10,ASOF+1))-1,1,HOLIDAYS))</f>
        <v>46367</v>
      </c>
      <c r="AC10" s="79" t="n">
        <f aca="false">IF(R10&lt;&gt;"",R10,WORKDAY((MAX(Y10,ASOF)+LAG_GRID)-1,1,HOLIDAYS))</f>
        <v>46356</v>
      </c>
      <c r="AD10" s="79" t="n">
        <f aca="false">IF(T10&lt;&gt;"",T10,WORKDAY((MAX(WORKDAY(MAX(AC10,N(S10)),REVIEW_WD,HOLIDAYS),ASOF+1))-1,1,HOLIDAYS))</f>
        <v>46379</v>
      </c>
      <c r="AE10" s="79" t="n">
        <f aca="false">IF(U10&lt;&gt;"",U10,WORKDAY((MAX(AD10,ASOF)+FEE_DAYS)-1,1,HOLIDAYS))</f>
        <v>46386</v>
      </c>
      <c r="AF10" s="79" t="n">
        <f aca="false">IF(V10&lt;&gt;"",V10,WORKDAY((MAX(AA10,Z10,AE10,IF(AG10="",0,AG10+REVIEW_PK2),ASOF)+LAG_INSREQ)-1,1,HOLIDAYS))</f>
        <v>46391</v>
      </c>
      <c r="AG10" s="79" t="str">
        <f aca="false">IF(M10&lt;&gt;"Y","",IF(W10&lt;&gt;"",W10,WORKDAY((MAX(Y10,ASOF)+LAG_GRID)-1,1,HOLIDAYS)))</f>
        <v/>
      </c>
      <c r="AH10" s="80" t="n">
        <f aca="false">IF(X10&lt;&gt;"",X10,WORKDAY(AF10,INSPECT_WD,HOLIDAYS))</f>
        <v>46433</v>
      </c>
      <c r="AI10" s="81" t="n">
        <f aca="false">IF(H10="","",AB10-H10)</f>
        <v>-36</v>
      </c>
      <c r="AJ10" s="81" t="n">
        <f aca="false">IF(I10="","",AH10-I10)</f>
        <v>-3</v>
      </c>
      <c r="AK10" s="82" t="n">
        <f aca="false">IF(AND(ISNUMBER(N10),N(N10)&lt;=ASOF),1,0)+IF(AND(ISNUMBER(O10),N(O10)&lt;=ASOF),1,0)+IF(AND(ISNUMBER(P10),N(P10)&lt;=ASOF),1,0)+IF(AND(ISNUMBER(Q10),N(Q10)&lt;=ASOF),1,0)+IF(AND(ISNUMBER(R10),N(R10)&lt;=ASOF),1,0)+IF(AND(ISNUMBER(U10),N(U10)&lt;=ASOF),1,0)+IF(AND(ISNUMBER(X10),N(X10)&lt;=ASOF),1,0)</f>
        <v>0</v>
      </c>
      <c r="AL10" s="83" t="n">
        <v>7</v>
      </c>
      <c r="AM10" s="84" t="n">
        <f aca="false">'P9-003'!$J$4</f>
        <v>0</v>
      </c>
      <c r="AN10" s="85" t="str">
        <f aca="false">TRIM(IF(AND(ISNUMBER(O10),NOT(ISNUMBER(N10))),"กฟภ.ตรวจก่อนติดตั้ง, ","")&amp;IF(AND(ISNUMBER(P10),NOT(ISNUMBER(N10))),"IEC ก่อนติดตั้ง, ","")&amp;IF(AND(ISNUMBER(Q10),NOT(ISNUMBER(N10))),"ส่งมอบก่อนติดตั้ง, ","")&amp;IF(AND(ISNUMBER(Q10),ISNUMBER(P10),N(Q10)&lt;N(P10)),"ส่งมอบก่อน IEC, ","")&amp;IF(AND(ISNUMBER(อัปเดตรายสัปดาห์!$AG10),ISNUMBER(TCRoof!$AC$10),ABS(N(อัปเดตรายสัปดาห์!$AG10)-N(TCRoof!$AC$10))&gt;3),"IEC Excel≠แอป, ","")&amp;IF(AND(ISNUMBER(อัปเดตรายสัปดาห์!$V10),ISNUMBER(TCRoof!$AD$10),ABS(N(อัปเดตรายสัปดาห์!$V10)-N(TCRoof!$AD$10))&gt;3),"COD Excel≠แอป, ","")&amp;IF(AND(ISNUMBER(อัปเดตรายสัปดาห์!$AF10),ISNUMBER(TCRoof!$AB$10),ABS(N(อัปเดตรายสัปดาห์!$AF10)-N(TCRoof!$AB$10))&gt;3),"ติดตั้ง Excel≠แอป, ","")&amp;IF(AND(ISNUMBER(N10),N(N10)&gt;ASOF,OR(WEEKDAY(N(N10),2)&gt;5,COUNTIF(HOLIDAYS,N(N10))&gt;0)),"นัดดับไฟตรงวันหยุด, ","")&amp;IF(AND(ISNUMBER(O10),N(O10)&gt;ASOF,OR(WEEKDAY(N(O10),2)&gt;5,COUNTIF(HOLIDAYS,N(O10))&gt;0)),"นัด กฟภ.ตรงวันหยุด, ","")&amp;IF(AND(ISNUMBER(P10),N(P10)&gt;ASOF,OR(WEEKDAY(N(P10),2)&gt;5,COUNTIF(HOLIDAYS,N(P10))&gt;0)),"นัด IECตรงวันหยุด, ","")&amp;IF(AND(ISNUMBER(X10),N(X10)&gt;ASOF,OR(WEEKDAY(N(X10),2)&gt;5,COUNTIF(HOLIDAYS,N(X10))&gt;0)),"นัด Syncตรงวันหยุด, ",""))</f>
        <v/>
      </c>
      <c r="AO10" s="86" t="n">
        <f aca="false">SUMIFS(CR_COD,CR_ST,A10,CR_STAT,"อนุมัติ")+SUMIFS(CR_COD,CR_ST,"ทั้งเฟส",CR_STAT,"อนุมัติ")+SUMIFS(CR_COD,CR_ST,"ผรม. "&amp;L10,CR_STAT,"อนุมัติ")+SUMIFS(CR_COD,CR_ST,"เขต "&amp;E10,CR_STAT,"อนุมัติ")</f>
        <v>0</v>
      </c>
      <c r="AP10" s="86" t="n">
        <f aca="false">IF(NOT(ISNUMBER(AJ10)),"",MAX(0,AJ10-AO10))</f>
        <v>0</v>
      </c>
      <c r="AQ10" s="86" t="n">
        <f aca="false">COUNTIF(RW_ST,A10)</f>
        <v>0</v>
      </c>
      <c r="AR10" s="87" t="str">
        <f aca="false">IF(ISNUMBER(TCRoof!$I$10),TCRoof!$I$10,"")</f>
        <v/>
      </c>
      <c r="AS10" s="88" t="str">
        <f aca="false">IF(ISNUMBER(TCRoof!$H$10),TCRoof!$H$10,"")</f>
        <v/>
      </c>
      <c r="AT10" s="89" t="n">
        <f aca="false">IF(N10&lt;&gt;"","",SUMIFS($F$8:$F$27,$L$8:$L$27,L10,$N$8:$N$27,"",$H$8:$H$27,"&lt;"&amp;H10)+SUMIFS($F$8:$F$27,$L$8:$L$27,L10,$N$8:$N$27,"",$H$8:$H$27,H10,$A$8:$A$27,"&lt;="&amp;A10)+SUMIFS($F$8:$F$27,$L$8:$L$27,L10,$N$8:$N$27,"&gt;"&amp;ASOF))</f>
        <v>150.48</v>
      </c>
      <c r="AU10" s="89" t="n">
        <f aca="false">IFERROR(VLOOKUP(L10,TEAM_TBL,2,0)*VLOOKUP(L10,TEAM_TBL,3,0),150)</f>
        <v>150</v>
      </c>
      <c r="AV10" s="90" t="n">
        <f aca="false">IF(O10&lt;&gt;"","",MAX(Y10+LAG_PEA,ASOF+LAG_PEA))</f>
        <v>46356</v>
      </c>
      <c r="AW10" s="89" t="n">
        <f aca="false">IF(O10&lt;&gt;"","",COUNTIFS($E$8:$E$27,E10,$AV$8:$AV$27,"&lt;"&amp;AV10)+COUNTIFS($E$8:$E$27,E10,$AV$8:$AV$27,AV10,$A$8:$A$27,"&lt;"&amp;A10)+COUNTIFS($E$8:$E$27,E10,$O$8:$O$27,"&gt;"&amp;ASOF)+1)</f>
        <v>1</v>
      </c>
      <c r="AX10" s="89" t="n">
        <f aca="false">IFERROR(VLOOKUP(E10,ZONE_TBL,2,0),CAP_PEA)</f>
        <v>3</v>
      </c>
      <c r="AY10" s="89" t="n">
        <f aca="false">IF(O10&lt;&gt;"","",COUNTIFS($J$8:$J$27,J10,$AV$8:$AV$27,"&lt;"&amp;AV10)+COUNTIFS($J$8:$J$27,J10,$AV$8:$AV$27,AV10,$A$8:$A$27,"&lt;"&amp;A10)+COUNTIFS($J$8:$J$27,J10,$O$8:$O$27,"&gt;"&amp;ASOF)+1)</f>
        <v>1</v>
      </c>
      <c r="AZ10" s="89" t="n">
        <f aca="false">IFERROR(VLOOKUP(J10,ENG_TBL,2,0),ENG_CAP)</f>
        <v>3</v>
      </c>
      <c r="BA10" s="90" t="n">
        <f aca="false">IF(P10&lt;&gt;"","",MAX(Z10+LAG_IEC,ASOF+1))</f>
        <v>46359</v>
      </c>
      <c r="BB10" s="89" t="n">
        <f aca="false">IF(P10&lt;&gt;"","",COUNTIFS($L$8:$L$27,L10,$BA$8:$BA$27,"&lt;"&amp;BA10)+COUNTIFS($L$8:$L$27,L10,$BA$8:$BA$27,BA10,$A$8:$A$27,"&lt;"&amp;A10)+COUNTIFS($L$8:$L$27,L10,$P$8:$P$27,"&gt;"&amp;ASOF)+1)</f>
        <v>1</v>
      </c>
      <c r="BC10" s="89" t="n">
        <f aca="false">IFERROR(VLOOKUP(L10,TEAM_TBL,4,0)*VLOOKUP(L10,TEAM_TBL,5,0),3)</f>
        <v>3</v>
      </c>
      <c r="BD10" s="91" t="n">
        <f aca="false">IFERROR(VLOOKUP(L10,TEAM_TBL,6,0),LAG_HO)</f>
        <v>7</v>
      </c>
      <c r="BE10" s="89" t="n">
        <f aca="false">IF(ISNUMBER(AW10),7*INT((AW10-1)/MAX(1,AX10)),"")</f>
        <v>0</v>
      </c>
      <c r="BF10" s="89" t="n">
        <f aca="false">IF(ISNUMBER(AY10),7*INT((AY10-1)/MAX(1,AZ10)),"")</f>
        <v>0</v>
      </c>
      <c r="BH10" s="92" t="str">
        <f aca="false">IF(AND($Y10&lt;&gt;"",$Y10&gt;=BH$7,$Y10&lt;BH$7+7),"I","")&amp;IF(AND($Z10&lt;&gt;"",$Z10&gt;=BH$7,$Z10&lt;BH$7+7),"P","")&amp;IF(AND($AA10&lt;&gt;"",$AA10&gt;=BH$7,$AA10&lt;BH$7+7),"T","")&amp;IF(AND($AB10&lt;&gt;"",$AB10&gt;=BH$7,$AB10&lt;BH$7+7),"H","")&amp;IF(AND($AC10&lt;&gt;"",$AC10&gt;=BH$7,$AC10&lt;BH$7+7),"G","")&amp;IF(AND($AH10&lt;&gt;"",$AH10&gt;=BH$7,$AH10&lt;BH$7+7),"S","")</f>
        <v/>
      </c>
      <c r="BI10" s="92" t="str">
        <f aca="false">IF(AND($Y10&lt;&gt;"",$Y10&gt;=BI$7,$Y10&lt;BI$7+7),"I","")&amp;IF(AND($Z10&lt;&gt;"",$Z10&gt;=BI$7,$Z10&lt;BI$7+7),"P","")&amp;IF(AND($AA10&lt;&gt;"",$AA10&gt;=BI$7,$AA10&lt;BI$7+7),"T","")&amp;IF(AND($AB10&lt;&gt;"",$AB10&gt;=BI$7,$AB10&lt;BI$7+7),"H","")&amp;IF(AND($AC10&lt;&gt;"",$AC10&gt;=BI$7,$AC10&lt;BI$7+7),"G","")&amp;IF(AND($AH10&lt;&gt;"",$AH10&gt;=BI$7,$AH10&lt;BI$7+7),"S","")</f>
        <v/>
      </c>
      <c r="BJ10" s="92" t="str">
        <f aca="false">IF(AND($Y10&lt;&gt;"",$Y10&gt;=BJ$7,$Y10&lt;BJ$7+7),"I","")&amp;IF(AND($Z10&lt;&gt;"",$Z10&gt;=BJ$7,$Z10&lt;BJ$7+7),"P","")&amp;IF(AND($AA10&lt;&gt;"",$AA10&gt;=BJ$7,$AA10&lt;BJ$7+7),"T","")&amp;IF(AND($AB10&lt;&gt;"",$AB10&gt;=BJ$7,$AB10&lt;BJ$7+7),"H","")&amp;IF(AND($AC10&lt;&gt;"",$AC10&gt;=BJ$7,$AC10&lt;BJ$7+7),"G","")&amp;IF(AND($AH10&lt;&gt;"",$AH10&gt;=BJ$7,$AH10&lt;BJ$7+7),"S","")</f>
        <v/>
      </c>
      <c r="BK10" s="92" t="str">
        <f aca="false">IF(AND($Y10&lt;&gt;"",$Y10&gt;=BK$7,$Y10&lt;BK$7+7),"I","")&amp;IF(AND($Z10&lt;&gt;"",$Z10&gt;=BK$7,$Z10&lt;BK$7+7),"P","")&amp;IF(AND($AA10&lt;&gt;"",$AA10&gt;=BK$7,$AA10&lt;BK$7+7),"T","")&amp;IF(AND($AB10&lt;&gt;"",$AB10&gt;=BK$7,$AB10&lt;BK$7+7),"H","")&amp;IF(AND($AC10&lt;&gt;"",$AC10&gt;=BK$7,$AC10&lt;BK$7+7),"G","")&amp;IF(AND($AH10&lt;&gt;"",$AH10&gt;=BK$7,$AH10&lt;BK$7+7),"S","")</f>
        <v/>
      </c>
      <c r="BL10" s="92" t="str">
        <f aca="false">IF(AND($Y10&lt;&gt;"",$Y10&gt;=BL$7,$Y10&lt;BL$7+7),"I","")&amp;IF(AND($Z10&lt;&gt;"",$Z10&gt;=BL$7,$Z10&lt;BL$7+7),"P","")&amp;IF(AND($AA10&lt;&gt;"",$AA10&gt;=BL$7,$AA10&lt;BL$7+7),"T","")&amp;IF(AND($AB10&lt;&gt;"",$AB10&gt;=BL$7,$AB10&lt;BL$7+7),"H","")&amp;IF(AND($AC10&lt;&gt;"",$AC10&gt;=BL$7,$AC10&lt;BL$7+7),"G","")&amp;IF(AND($AH10&lt;&gt;"",$AH10&gt;=BL$7,$AH10&lt;BL$7+7),"S","")</f>
        <v>I</v>
      </c>
      <c r="BM10" s="92" t="str">
        <f aca="false">IF(AND($Y10&lt;&gt;"",$Y10&gt;=BM$7,$Y10&lt;BM$7+7),"I","")&amp;IF(AND($Z10&lt;&gt;"",$Z10&gt;=BM$7,$Z10&lt;BM$7+7),"P","")&amp;IF(AND($AA10&lt;&gt;"",$AA10&gt;=BM$7,$AA10&lt;BM$7+7),"T","")&amp;IF(AND($AB10&lt;&gt;"",$AB10&gt;=BM$7,$AB10&lt;BM$7+7),"H","")&amp;IF(AND($AC10&lt;&gt;"",$AC10&gt;=BM$7,$AC10&lt;BM$7+7),"G","")&amp;IF(AND($AH10&lt;&gt;"",$AH10&gt;=BM$7,$AH10&lt;BM$7+7),"S","")</f>
        <v>PTG</v>
      </c>
      <c r="BN10" s="92" t="str">
        <f aca="false">IF(AND($Y10&lt;&gt;"",$Y10&gt;=BN$7,$Y10&lt;BN$7+7),"I","")&amp;IF(AND($Z10&lt;&gt;"",$Z10&gt;=BN$7,$Z10&lt;BN$7+7),"P","")&amp;IF(AND($AA10&lt;&gt;"",$AA10&gt;=BN$7,$AA10&lt;BN$7+7),"T","")&amp;IF(AND($AB10&lt;&gt;"",$AB10&gt;=BN$7,$AB10&lt;BN$7+7),"H","")&amp;IF(AND($AC10&lt;&gt;"",$AC10&gt;=BN$7,$AC10&lt;BN$7+7),"G","")&amp;IF(AND($AH10&lt;&gt;"",$AH10&gt;=BN$7,$AH10&lt;BN$7+7),"S","")</f>
        <v>H</v>
      </c>
      <c r="BO10" s="92" t="str">
        <f aca="false">IF(AND($Y10&lt;&gt;"",$Y10&gt;=BO$7,$Y10&lt;BO$7+7),"I","")&amp;IF(AND($Z10&lt;&gt;"",$Z10&gt;=BO$7,$Z10&lt;BO$7+7),"P","")&amp;IF(AND($AA10&lt;&gt;"",$AA10&gt;=BO$7,$AA10&lt;BO$7+7),"T","")&amp;IF(AND($AB10&lt;&gt;"",$AB10&gt;=BO$7,$AB10&lt;BO$7+7),"H","")&amp;IF(AND($AC10&lt;&gt;"",$AC10&gt;=BO$7,$AC10&lt;BO$7+7),"G","")&amp;IF(AND($AH10&lt;&gt;"",$AH10&gt;=BO$7,$AH10&lt;BO$7+7),"S","")</f>
        <v/>
      </c>
      <c r="BP10" s="92" t="str">
        <f aca="false">IF(AND($Y10&lt;&gt;"",$Y10&gt;=BP$7,$Y10&lt;BP$7+7),"I","")&amp;IF(AND($Z10&lt;&gt;"",$Z10&gt;=BP$7,$Z10&lt;BP$7+7),"P","")&amp;IF(AND($AA10&lt;&gt;"",$AA10&gt;=BP$7,$AA10&lt;BP$7+7),"T","")&amp;IF(AND($AB10&lt;&gt;"",$AB10&gt;=BP$7,$AB10&lt;BP$7+7),"H","")&amp;IF(AND($AC10&lt;&gt;"",$AC10&gt;=BP$7,$AC10&lt;BP$7+7),"G","")&amp;IF(AND($AH10&lt;&gt;"",$AH10&gt;=BP$7,$AH10&lt;BP$7+7),"S","")</f>
        <v/>
      </c>
      <c r="BQ10" s="92" t="str">
        <f aca="false">IF(AND($Y10&lt;&gt;"",$Y10&gt;=BQ$7,$Y10&lt;BQ$7+7),"I","")&amp;IF(AND($Z10&lt;&gt;"",$Z10&gt;=BQ$7,$Z10&lt;BQ$7+7),"P","")&amp;IF(AND($AA10&lt;&gt;"",$AA10&gt;=BQ$7,$AA10&lt;BQ$7+7),"T","")&amp;IF(AND($AB10&lt;&gt;"",$AB10&gt;=BQ$7,$AB10&lt;BQ$7+7),"H","")&amp;IF(AND($AC10&lt;&gt;"",$AC10&gt;=BQ$7,$AC10&lt;BQ$7+7),"G","")&amp;IF(AND($AH10&lt;&gt;"",$AH10&gt;=BQ$7,$AH10&lt;BQ$7+7),"S","")</f>
        <v/>
      </c>
      <c r="BR10" s="92" t="str">
        <f aca="false">IF(AND($Y10&lt;&gt;"",$Y10&gt;=BR$7,$Y10&lt;BR$7+7),"I","")&amp;IF(AND($Z10&lt;&gt;"",$Z10&gt;=BR$7,$Z10&lt;BR$7+7),"P","")&amp;IF(AND($AA10&lt;&gt;"",$AA10&gt;=BR$7,$AA10&lt;BR$7+7),"T","")&amp;IF(AND($AB10&lt;&gt;"",$AB10&gt;=BR$7,$AB10&lt;BR$7+7),"H","")&amp;IF(AND($AC10&lt;&gt;"",$AC10&gt;=BR$7,$AC10&lt;BR$7+7),"G","")&amp;IF(AND($AH10&lt;&gt;"",$AH10&gt;=BR$7,$AH10&lt;BR$7+7),"S","")</f>
        <v/>
      </c>
      <c r="BS10" s="92" t="str">
        <f aca="false">IF(AND($Y10&lt;&gt;"",$Y10&gt;=BS$7,$Y10&lt;BS$7+7),"I","")&amp;IF(AND($Z10&lt;&gt;"",$Z10&gt;=BS$7,$Z10&lt;BS$7+7),"P","")&amp;IF(AND($AA10&lt;&gt;"",$AA10&gt;=BS$7,$AA10&lt;BS$7+7),"T","")&amp;IF(AND($AB10&lt;&gt;"",$AB10&gt;=BS$7,$AB10&lt;BS$7+7),"H","")&amp;IF(AND($AC10&lt;&gt;"",$AC10&gt;=BS$7,$AC10&lt;BS$7+7),"G","")&amp;IF(AND($AH10&lt;&gt;"",$AH10&gt;=BS$7,$AH10&lt;BS$7+7),"S","")</f>
        <v/>
      </c>
      <c r="BT10" s="92" t="str">
        <f aca="false">IF(AND($Y10&lt;&gt;"",$Y10&gt;=BT$7,$Y10&lt;BT$7+7),"I","")&amp;IF(AND($Z10&lt;&gt;"",$Z10&gt;=BT$7,$Z10&lt;BT$7+7),"P","")&amp;IF(AND($AA10&lt;&gt;"",$AA10&gt;=BT$7,$AA10&lt;BT$7+7),"T","")&amp;IF(AND($AB10&lt;&gt;"",$AB10&gt;=BT$7,$AB10&lt;BT$7+7),"H","")&amp;IF(AND($AC10&lt;&gt;"",$AC10&gt;=BT$7,$AC10&lt;BT$7+7),"G","")&amp;IF(AND($AH10&lt;&gt;"",$AH10&gt;=BT$7,$AH10&lt;BT$7+7),"S","")</f>
        <v/>
      </c>
      <c r="BU10" s="92" t="str">
        <f aca="false">IF(AND($Y10&lt;&gt;"",$Y10&gt;=BU$7,$Y10&lt;BU$7+7),"I","")&amp;IF(AND($Z10&lt;&gt;"",$Z10&gt;=BU$7,$Z10&lt;BU$7+7),"P","")&amp;IF(AND($AA10&lt;&gt;"",$AA10&gt;=BU$7,$AA10&lt;BU$7+7),"T","")&amp;IF(AND($AB10&lt;&gt;"",$AB10&gt;=BU$7,$AB10&lt;BU$7+7),"H","")&amp;IF(AND($AC10&lt;&gt;"",$AC10&gt;=BU$7,$AC10&lt;BU$7+7),"G","")&amp;IF(AND($AH10&lt;&gt;"",$AH10&gt;=BU$7,$AH10&lt;BU$7+7),"S","")</f>
        <v/>
      </c>
      <c r="BV10" s="92" t="str">
        <f aca="false">IF(AND($Y10&lt;&gt;"",$Y10&gt;=BV$7,$Y10&lt;BV$7+7),"I","")&amp;IF(AND($Z10&lt;&gt;"",$Z10&gt;=BV$7,$Z10&lt;BV$7+7),"P","")&amp;IF(AND($AA10&lt;&gt;"",$AA10&gt;=BV$7,$AA10&lt;BV$7+7),"T","")&amp;IF(AND($AB10&lt;&gt;"",$AB10&gt;=BV$7,$AB10&lt;BV$7+7),"H","")&amp;IF(AND($AC10&lt;&gt;"",$AC10&gt;=BV$7,$AC10&lt;BV$7+7),"G","")&amp;IF(AND($AH10&lt;&gt;"",$AH10&gt;=BV$7,$AH10&lt;BV$7+7),"S","")</f>
        <v/>
      </c>
      <c r="BW10" s="92" t="str">
        <f aca="false">IF(AND($Y10&lt;&gt;"",$Y10&gt;=BW$7,$Y10&lt;BW$7+7),"I","")&amp;IF(AND($Z10&lt;&gt;"",$Z10&gt;=BW$7,$Z10&lt;BW$7+7),"P","")&amp;IF(AND($AA10&lt;&gt;"",$AA10&gt;=BW$7,$AA10&lt;BW$7+7),"T","")&amp;IF(AND($AB10&lt;&gt;"",$AB10&gt;=BW$7,$AB10&lt;BW$7+7),"H","")&amp;IF(AND($AC10&lt;&gt;"",$AC10&gt;=BW$7,$AC10&lt;BW$7+7),"G","")&amp;IF(AND($AH10&lt;&gt;"",$AH10&gt;=BW$7,$AH10&lt;BW$7+7),"S","")</f>
        <v/>
      </c>
      <c r="BX10" s="92" t="str">
        <f aca="false">IF(AND($Y10&lt;&gt;"",$Y10&gt;=BX$7,$Y10&lt;BX$7+7),"I","")&amp;IF(AND($Z10&lt;&gt;"",$Z10&gt;=BX$7,$Z10&lt;BX$7+7),"P","")&amp;IF(AND($AA10&lt;&gt;"",$AA10&gt;=BX$7,$AA10&lt;BX$7+7),"T","")&amp;IF(AND($AB10&lt;&gt;"",$AB10&gt;=BX$7,$AB10&lt;BX$7+7),"H","")&amp;IF(AND($AC10&lt;&gt;"",$AC10&gt;=BX$7,$AC10&lt;BX$7+7),"G","")&amp;IF(AND($AH10&lt;&gt;"",$AH10&gt;=BX$7,$AH10&lt;BX$7+7),"S","")</f>
        <v>S</v>
      </c>
      <c r="BY10" s="92" t="str">
        <f aca="false">IF(AND($Y10&lt;&gt;"",$Y10&gt;=BY$7,$Y10&lt;BY$7+7),"I","")&amp;IF(AND($Z10&lt;&gt;"",$Z10&gt;=BY$7,$Z10&lt;BY$7+7),"P","")&amp;IF(AND($AA10&lt;&gt;"",$AA10&gt;=BY$7,$AA10&lt;BY$7+7),"T","")&amp;IF(AND($AB10&lt;&gt;"",$AB10&gt;=BY$7,$AB10&lt;BY$7+7),"H","")&amp;IF(AND($AC10&lt;&gt;"",$AC10&gt;=BY$7,$AC10&lt;BY$7+7),"G","")&amp;IF(AND($AH10&lt;&gt;"",$AH10&gt;=BY$7,$AH10&lt;BY$7+7),"S","")</f>
        <v/>
      </c>
      <c r="BZ10" s="92" t="str">
        <f aca="false">IF(AND($Y10&lt;&gt;"",$Y10&gt;=BZ$7,$Y10&lt;BZ$7+7),"I","")&amp;IF(AND($Z10&lt;&gt;"",$Z10&gt;=BZ$7,$Z10&lt;BZ$7+7),"P","")&amp;IF(AND($AA10&lt;&gt;"",$AA10&gt;=BZ$7,$AA10&lt;BZ$7+7),"T","")&amp;IF(AND($AB10&lt;&gt;"",$AB10&gt;=BZ$7,$AB10&lt;BZ$7+7),"H","")&amp;IF(AND($AC10&lt;&gt;"",$AC10&gt;=BZ$7,$AC10&lt;BZ$7+7),"G","")&amp;IF(AND($AH10&lt;&gt;"",$AH10&gt;=BZ$7,$AH10&lt;BZ$7+7),"S","")</f>
        <v/>
      </c>
      <c r="CA10" s="92" t="str">
        <f aca="false">IF(AND($Y10&lt;&gt;"",$Y10&gt;=CA$7,$Y10&lt;CA$7+7),"I","")&amp;IF(AND($Z10&lt;&gt;"",$Z10&gt;=CA$7,$Z10&lt;CA$7+7),"P","")&amp;IF(AND($AA10&lt;&gt;"",$AA10&gt;=CA$7,$AA10&lt;CA$7+7),"T","")&amp;IF(AND($AB10&lt;&gt;"",$AB10&gt;=CA$7,$AB10&lt;CA$7+7),"H","")&amp;IF(AND($AC10&lt;&gt;"",$AC10&gt;=CA$7,$AC10&lt;CA$7+7),"G","")&amp;IF(AND($AH10&lt;&gt;"",$AH10&gt;=CA$7,$AH10&lt;CA$7+7),"S","")</f>
        <v/>
      </c>
      <c r="CB10" s="92" t="str">
        <f aca="false">IF(AND($Y10&lt;&gt;"",$Y10&gt;=CB$7,$Y10&lt;CB$7+7),"I","")&amp;IF(AND($Z10&lt;&gt;"",$Z10&gt;=CB$7,$Z10&lt;CB$7+7),"P","")&amp;IF(AND($AA10&lt;&gt;"",$AA10&gt;=CB$7,$AA10&lt;CB$7+7),"T","")&amp;IF(AND($AB10&lt;&gt;"",$AB10&gt;=CB$7,$AB10&lt;CB$7+7),"H","")&amp;IF(AND($AC10&lt;&gt;"",$AC10&gt;=CB$7,$AC10&lt;CB$7+7),"G","")&amp;IF(AND($AH10&lt;&gt;"",$AH10&gt;=CB$7,$AH10&lt;CB$7+7),"S","")</f>
        <v/>
      </c>
      <c r="CC10" s="92" t="str">
        <f aca="false">IF(AND($Y10&lt;&gt;"",$Y10&gt;=CC$7,$Y10&lt;CC$7+7),"I","")&amp;IF(AND($Z10&lt;&gt;"",$Z10&gt;=CC$7,$Z10&lt;CC$7+7),"P","")&amp;IF(AND($AA10&lt;&gt;"",$AA10&gt;=CC$7,$AA10&lt;CC$7+7),"T","")&amp;IF(AND($AB10&lt;&gt;"",$AB10&gt;=CC$7,$AB10&lt;CC$7+7),"H","")&amp;IF(AND($AC10&lt;&gt;"",$AC10&gt;=CC$7,$AC10&lt;CC$7+7),"G","")&amp;IF(AND($AH10&lt;&gt;"",$AH10&gt;=CC$7,$AH10&lt;CC$7+7),"S","")</f>
        <v/>
      </c>
      <c r="CD10" s="92" t="str">
        <f aca="false">IF(AND($Y10&lt;&gt;"",$Y10&gt;=CD$7,$Y10&lt;CD$7+7),"I","")&amp;IF(AND($Z10&lt;&gt;"",$Z10&gt;=CD$7,$Z10&lt;CD$7+7),"P","")&amp;IF(AND($AA10&lt;&gt;"",$AA10&gt;=CD$7,$AA10&lt;CD$7+7),"T","")&amp;IF(AND($AB10&lt;&gt;"",$AB10&gt;=CD$7,$AB10&lt;CD$7+7),"H","")&amp;IF(AND($AC10&lt;&gt;"",$AC10&gt;=CD$7,$AC10&lt;CD$7+7),"G","")&amp;IF(AND($AH10&lt;&gt;"",$AH10&gt;=CD$7,$AH10&lt;CD$7+7),"S","")</f>
        <v/>
      </c>
      <c r="CE10" s="92" t="str">
        <f aca="false">IF(AND($Y10&lt;&gt;"",$Y10&gt;=CE$7,$Y10&lt;CE$7+7),"I","")&amp;IF(AND($Z10&lt;&gt;"",$Z10&gt;=CE$7,$Z10&lt;CE$7+7),"P","")&amp;IF(AND($AA10&lt;&gt;"",$AA10&gt;=CE$7,$AA10&lt;CE$7+7),"T","")&amp;IF(AND($AB10&lt;&gt;"",$AB10&gt;=CE$7,$AB10&lt;CE$7+7),"H","")&amp;IF(AND($AC10&lt;&gt;"",$AC10&gt;=CE$7,$AC10&lt;CE$7+7),"G","")&amp;IF(AND($AH10&lt;&gt;"",$AH10&gt;=CE$7,$AH10&lt;CE$7+7),"S","")</f>
        <v/>
      </c>
      <c r="CF10" s="92" t="str">
        <f aca="false">IF(AND($Y10&lt;&gt;"",$Y10&gt;=CF$7,$Y10&lt;CF$7+7),"I","")&amp;IF(AND($Z10&lt;&gt;"",$Z10&gt;=CF$7,$Z10&lt;CF$7+7),"P","")&amp;IF(AND($AA10&lt;&gt;"",$AA10&gt;=CF$7,$AA10&lt;CF$7+7),"T","")&amp;IF(AND($AB10&lt;&gt;"",$AB10&gt;=CF$7,$AB10&lt;CF$7+7),"H","")&amp;IF(AND($AC10&lt;&gt;"",$AC10&gt;=CF$7,$AC10&lt;CF$7+7),"G","")&amp;IF(AND($AH10&lt;&gt;"",$AH10&gt;=CF$7,$AH10&lt;CF$7+7),"S","")</f>
        <v/>
      </c>
      <c r="CG10" s="92" t="str">
        <f aca="false">IF(AND($Y10&lt;&gt;"",$Y10&gt;=CG$7,$Y10&lt;CG$7+7),"I","")&amp;IF(AND($Z10&lt;&gt;"",$Z10&gt;=CG$7,$Z10&lt;CG$7+7),"P","")&amp;IF(AND($AA10&lt;&gt;"",$AA10&gt;=CG$7,$AA10&lt;CG$7+7),"T","")&amp;IF(AND($AB10&lt;&gt;"",$AB10&gt;=CG$7,$AB10&lt;CG$7+7),"H","")&amp;IF(AND($AC10&lt;&gt;"",$AC10&gt;=CG$7,$AC10&lt;CG$7+7),"G","")&amp;IF(AND($AH10&lt;&gt;"",$AH10&gt;=CG$7,$AH10&lt;CG$7+7),"S","")</f>
        <v/>
      </c>
      <c r="CH10" s="92" t="str">
        <f aca="false">IF(AND($Y10&lt;&gt;"",$Y10&gt;=CH$7,$Y10&lt;CH$7+7),"I","")&amp;IF(AND($Z10&lt;&gt;"",$Z10&gt;=CH$7,$Z10&lt;CH$7+7),"P","")&amp;IF(AND($AA10&lt;&gt;"",$AA10&gt;=CH$7,$AA10&lt;CH$7+7),"T","")&amp;IF(AND($AB10&lt;&gt;"",$AB10&gt;=CH$7,$AB10&lt;CH$7+7),"H","")&amp;IF(AND($AC10&lt;&gt;"",$AC10&gt;=CH$7,$AC10&lt;CH$7+7),"G","")&amp;IF(AND($AH10&lt;&gt;"",$AH10&gt;=CH$7,$AH10&lt;CH$7+7),"S","")</f>
        <v/>
      </c>
      <c r="CI10" s="92" t="str">
        <f aca="false">IF(AND($Y10&lt;&gt;"",$Y10&gt;=CI$7,$Y10&lt;CI$7+7),"I","")&amp;IF(AND($Z10&lt;&gt;"",$Z10&gt;=CI$7,$Z10&lt;CI$7+7),"P","")&amp;IF(AND($AA10&lt;&gt;"",$AA10&gt;=CI$7,$AA10&lt;CI$7+7),"T","")&amp;IF(AND($AB10&lt;&gt;"",$AB10&gt;=CI$7,$AB10&lt;CI$7+7),"H","")&amp;IF(AND($AC10&lt;&gt;"",$AC10&gt;=CI$7,$AC10&lt;CI$7+7),"G","")&amp;IF(AND($AH10&lt;&gt;"",$AH10&gt;=CI$7,$AH10&lt;CI$7+7),"S","")</f>
        <v/>
      </c>
      <c r="CJ10" s="92" t="str">
        <f aca="false">IF(AND($Y10&lt;&gt;"",$Y10&gt;=CJ$7,$Y10&lt;CJ$7+7),"I","")&amp;IF(AND($Z10&lt;&gt;"",$Z10&gt;=CJ$7,$Z10&lt;CJ$7+7),"P","")&amp;IF(AND($AA10&lt;&gt;"",$AA10&gt;=CJ$7,$AA10&lt;CJ$7+7),"T","")&amp;IF(AND($AB10&lt;&gt;"",$AB10&gt;=CJ$7,$AB10&lt;CJ$7+7),"H","")&amp;IF(AND($AC10&lt;&gt;"",$AC10&gt;=CJ$7,$AC10&lt;CJ$7+7),"G","")&amp;IF(AND($AH10&lt;&gt;"",$AH10&gt;=CJ$7,$AH10&lt;CJ$7+7),"S","")</f>
        <v/>
      </c>
      <c r="CK10" s="92" t="str">
        <f aca="false">IF(AND($Y10&lt;&gt;"",$Y10&gt;=CK$7,$Y10&lt;CK$7+7),"I","")&amp;IF(AND($Z10&lt;&gt;"",$Z10&gt;=CK$7,$Z10&lt;CK$7+7),"P","")&amp;IF(AND($AA10&lt;&gt;"",$AA10&gt;=CK$7,$AA10&lt;CK$7+7),"T","")&amp;IF(AND($AB10&lt;&gt;"",$AB10&gt;=CK$7,$AB10&lt;CK$7+7),"H","")&amp;IF(AND($AC10&lt;&gt;"",$AC10&gt;=CK$7,$AC10&lt;CK$7+7),"G","")&amp;IF(AND($AH10&lt;&gt;"",$AH10&gt;=CK$7,$AH10&lt;CK$7+7),"S","")</f>
        <v/>
      </c>
      <c r="CL10" s="92" t="str">
        <f aca="false">IF(AND($Y10&lt;&gt;"",$Y10&gt;=CL$7,$Y10&lt;CL$7+7),"I","")&amp;IF(AND($Z10&lt;&gt;"",$Z10&gt;=CL$7,$Z10&lt;CL$7+7),"P","")&amp;IF(AND($AA10&lt;&gt;"",$AA10&gt;=CL$7,$AA10&lt;CL$7+7),"T","")&amp;IF(AND($AB10&lt;&gt;"",$AB10&gt;=CL$7,$AB10&lt;CL$7+7),"H","")&amp;IF(AND($AC10&lt;&gt;"",$AC10&gt;=CL$7,$AC10&lt;CL$7+7),"G","")&amp;IF(AND($AH10&lt;&gt;"",$AH10&gt;=CL$7,$AH10&lt;CL$7+7),"S","")</f>
        <v/>
      </c>
      <c r="CM10" s="92" t="str">
        <f aca="false">IF(AND($Y10&lt;&gt;"",$Y10&gt;=CM$7,$Y10&lt;CM$7+7),"I","")&amp;IF(AND($Z10&lt;&gt;"",$Z10&gt;=CM$7,$Z10&lt;CM$7+7),"P","")&amp;IF(AND($AA10&lt;&gt;"",$AA10&gt;=CM$7,$AA10&lt;CM$7+7),"T","")&amp;IF(AND($AB10&lt;&gt;"",$AB10&gt;=CM$7,$AB10&lt;CM$7+7),"H","")&amp;IF(AND($AC10&lt;&gt;"",$AC10&gt;=CM$7,$AC10&lt;CM$7+7),"G","")&amp;IF(AND($AH10&lt;&gt;"",$AH10&gt;=CM$7,$AH10&lt;CM$7+7),"S","")</f>
        <v/>
      </c>
      <c r="CN10" s="92" t="str">
        <f aca="false">IF(AND($Y10&lt;&gt;"",$Y10&gt;=CN$7,$Y10&lt;CN$7+7),"I","")&amp;IF(AND($Z10&lt;&gt;"",$Z10&gt;=CN$7,$Z10&lt;CN$7+7),"P","")&amp;IF(AND($AA10&lt;&gt;"",$AA10&gt;=CN$7,$AA10&lt;CN$7+7),"T","")&amp;IF(AND($AB10&lt;&gt;"",$AB10&gt;=CN$7,$AB10&lt;CN$7+7),"H","")&amp;IF(AND($AC10&lt;&gt;"",$AC10&gt;=CN$7,$AC10&lt;CN$7+7),"G","")&amp;IF(AND($AH10&lt;&gt;"",$AH10&gt;=CN$7,$AH10&lt;CN$7+7),"S","")</f>
        <v/>
      </c>
      <c r="CO10" s="92" t="str">
        <f aca="false">IF(AND($Y10&lt;&gt;"",$Y10&gt;=CO$7,$Y10&lt;CO$7+7),"I","")&amp;IF(AND($Z10&lt;&gt;"",$Z10&gt;=CO$7,$Z10&lt;CO$7+7),"P","")&amp;IF(AND($AA10&lt;&gt;"",$AA10&gt;=CO$7,$AA10&lt;CO$7+7),"T","")&amp;IF(AND($AB10&lt;&gt;"",$AB10&gt;=CO$7,$AB10&lt;CO$7+7),"H","")&amp;IF(AND($AC10&lt;&gt;"",$AC10&gt;=CO$7,$AC10&lt;CO$7+7),"G","")&amp;IF(AND($AH10&lt;&gt;"",$AH10&gt;=CO$7,$AH10&lt;CO$7+7),"S","")</f>
        <v/>
      </c>
      <c r="CP10" s="92" t="str">
        <f aca="false">IF(AND($Y10&lt;&gt;"",$Y10&gt;=CP$7,$Y10&lt;CP$7+7),"I","")&amp;IF(AND($Z10&lt;&gt;"",$Z10&gt;=CP$7,$Z10&lt;CP$7+7),"P","")&amp;IF(AND($AA10&lt;&gt;"",$AA10&gt;=CP$7,$AA10&lt;CP$7+7),"T","")&amp;IF(AND($AB10&lt;&gt;"",$AB10&gt;=CP$7,$AB10&lt;CP$7+7),"H","")&amp;IF(AND($AC10&lt;&gt;"",$AC10&gt;=CP$7,$AC10&lt;CP$7+7),"G","")&amp;IF(AND($AH10&lt;&gt;"",$AH10&gt;=CP$7,$AH10&lt;CP$7+7),"S","")</f>
        <v/>
      </c>
      <c r="CQ10" s="92" t="str">
        <f aca="false">IF(AND($Y10&lt;&gt;"",$Y10&gt;=CQ$7,$Y10&lt;CQ$7+7),"I","")&amp;IF(AND($Z10&lt;&gt;"",$Z10&gt;=CQ$7,$Z10&lt;CQ$7+7),"P","")&amp;IF(AND($AA10&lt;&gt;"",$AA10&gt;=CQ$7,$AA10&lt;CQ$7+7),"T","")&amp;IF(AND($AB10&lt;&gt;"",$AB10&gt;=CQ$7,$AB10&lt;CQ$7+7),"H","")&amp;IF(AND($AC10&lt;&gt;"",$AC10&gt;=CQ$7,$AC10&lt;CQ$7+7),"G","")&amp;IF(AND($AH10&lt;&gt;"",$AH10&gt;=CQ$7,$AH10&lt;CQ$7+7),"S","")</f>
        <v/>
      </c>
      <c r="CR10" s="92" t="str">
        <f aca="false">IF(AND($Y10&lt;&gt;"",$Y10&gt;=CR$7,$Y10&lt;CR$7+7),"I","")&amp;IF(AND($Z10&lt;&gt;"",$Z10&gt;=CR$7,$Z10&lt;CR$7+7),"P","")&amp;IF(AND($AA10&lt;&gt;"",$AA10&gt;=CR$7,$AA10&lt;CR$7+7),"T","")&amp;IF(AND($AB10&lt;&gt;"",$AB10&gt;=CR$7,$AB10&lt;CR$7+7),"H","")&amp;IF(AND($AC10&lt;&gt;"",$AC10&gt;=CR$7,$AC10&lt;CR$7+7),"G","")&amp;IF(AND($AH10&lt;&gt;"",$AH10&gt;=CR$7,$AH10&lt;CR$7+7),"S","")</f>
        <v/>
      </c>
      <c r="CS10" s="92" t="str">
        <f aca="false">IF(AND($Y10&lt;&gt;"",$Y10&gt;=CS$7,$Y10&lt;CS$7+7),"I","")&amp;IF(AND($Z10&lt;&gt;"",$Z10&gt;=CS$7,$Z10&lt;CS$7+7),"P","")&amp;IF(AND($AA10&lt;&gt;"",$AA10&gt;=CS$7,$AA10&lt;CS$7+7),"T","")&amp;IF(AND($AB10&lt;&gt;"",$AB10&gt;=CS$7,$AB10&lt;CS$7+7),"H","")&amp;IF(AND($AC10&lt;&gt;"",$AC10&gt;=CS$7,$AC10&lt;CS$7+7),"G","")&amp;IF(AND($AH10&lt;&gt;"",$AH10&gt;=CS$7,$AH10&lt;CS$7+7),"S","")</f>
        <v/>
      </c>
      <c r="CT10" s="92" t="str">
        <f aca="false">IF(AND($Y10&lt;&gt;"",$Y10&gt;=CT$7,$Y10&lt;CT$7+7),"I","")&amp;IF(AND($Z10&lt;&gt;"",$Z10&gt;=CT$7,$Z10&lt;CT$7+7),"P","")&amp;IF(AND($AA10&lt;&gt;"",$AA10&gt;=CT$7,$AA10&lt;CT$7+7),"T","")&amp;IF(AND($AB10&lt;&gt;"",$AB10&gt;=CT$7,$AB10&lt;CT$7+7),"H","")&amp;IF(AND($AC10&lt;&gt;"",$AC10&gt;=CT$7,$AC10&lt;CT$7+7),"G","")&amp;IF(AND($AH10&lt;&gt;"",$AH10&gt;=CT$7,$AH10&lt;CT$7+7),"S","")</f>
        <v/>
      </c>
      <c r="CU10" s="92" t="str">
        <f aca="false">IF(AND($Y10&lt;&gt;"",$Y10&gt;=CU$7,$Y10&lt;CU$7+7),"I","")&amp;IF(AND($Z10&lt;&gt;"",$Z10&gt;=CU$7,$Z10&lt;CU$7+7),"P","")&amp;IF(AND($AA10&lt;&gt;"",$AA10&gt;=CU$7,$AA10&lt;CU$7+7),"T","")&amp;IF(AND($AB10&lt;&gt;"",$AB10&gt;=CU$7,$AB10&lt;CU$7+7),"H","")&amp;IF(AND($AC10&lt;&gt;"",$AC10&gt;=CU$7,$AC10&lt;CU$7+7),"G","")&amp;IF(AND($AH10&lt;&gt;"",$AH10&gt;=CU$7,$AH10&lt;CU$7+7),"S","")</f>
        <v/>
      </c>
      <c r="CV10" s="92" t="str">
        <f aca="false">IF(AND($Y10&lt;&gt;"",$Y10&gt;=CV$7,$Y10&lt;CV$7+7),"I","")&amp;IF(AND($Z10&lt;&gt;"",$Z10&gt;=CV$7,$Z10&lt;CV$7+7),"P","")&amp;IF(AND($AA10&lt;&gt;"",$AA10&gt;=CV$7,$AA10&lt;CV$7+7),"T","")&amp;IF(AND($AB10&lt;&gt;"",$AB10&gt;=CV$7,$AB10&lt;CV$7+7),"H","")&amp;IF(AND($AC10&lt;&gt;"",$AC10&gt;=CV$7,$AC10&lt;CV$7+7),"G","")&amp;IF(AND($AH10&lt;&gt;"",$AH10&gt;=CV$7,$AH10&lt;CV$7+7),"S","")</f>
        <v/>
      </c>
      <c r="CW10" s="92" t="str">
        <f aca="false">IF(AND($Y10&lt;&gt;"",$Y10&gt;=CW$7,$Y10&lt;CW$7+7),"I","")&amp;IF(AND($Z10&lt;&gt;"",$Z10&gt;=CW$7,$Z10&lt;CW$7+7),"P","")&amp;IF(AND($AA10&lt;&gt;"",$AA10&gt;=CW$7,$AA10&lt;CW$7+7),"T","")&amp;IF(AND($AB10&lt;&gt;"",$AB10&gt;=CW$7,$AB10&lt;CW$7+7),"H","")&amp;IF(AND($AC10&lt;&gt;"",$AC10&gt;=CW$7,$AC10&lt;CW$7+7),"G","")&amp;IF(AND($AH10&lt;&gt;"",$AH10&gt;=CW$7,$AH10&lt;CW$7+7),"S","")</f>
        <v/>
      </c>
      <c r="CX10" s="92" t="str">
        <f aca="false">IF(AND($Y10&lt;&gt;"",$Y10&gt;=CX$7,$Y10&lt;CX$7+7),"I","")&amp;IF(AND($Z10&lt;&gt;"",$Z10&gt;=CX$7,$Z10&lt;CX$7+7),"P","")&amp;IF(AND($AA10&lt;&gt;"",$AA10&gt;=CX$7,$AA10&lt;CX$7+7),"T","")&amp;IF(AND($AB10&lt;&gt;"",$AB10&gt;=CX$7,$AB10&lt;CX$7+7),"H","")&amp;IF(AND($AC10&lt;&gt;"",$AC10&gt;=CX$7,$AC10&lt;CX$7+7),"G","")&amp;IF(AND($AH10&lt;&gt;"",$AH10&gt;=CX$7,$AH10&lt;CX$7+7),"S","")</f>
        <v/>
      </c>
      <c r="CY10" s="92" t="str">
        <f aca="false">IF(AND($Y10&lt;&gt;"",$Y10&gt;=CY$7,$Y10&lt;CY$7+7),"I","")&amp;IF(AND($Z10&lt;&gt;"",$Z10&gt;=CY$7,$Z10&lt;CY$7+7),"P","")&amp;IF(AND($AA10&lt;&gt;"",$AA10&gt;=CY$7,$AA10&lt;CY$7+7),"T","")&amp;IF(AND($AB10&lt;&gt;"",$AB10&gt;=CY$7,$AB10&lt;CY$7+7),"H","")&amp;IF(AND($AC10&lt;&gt;"",$AC10&gt;=CY$7,$AC10&lt;CY$7+7),"G","")&amp;IF(AND($AH10&lt;&gt;"",$AH10&gt;=CY$7,$AH10&lt;CY$7+7),"S","")</f>
        <v/>
      </c>
      <c r="CZ10" s="92" t="str">
        <f aca="false">IF(AND($Y10&lt;&gt;"",$Y10&gt;=CZ$7,$Y10&lt;CZ$7+7),"I","")&amp;IF(AND($Z10&lt;&gt;"",$Z10&gt;=CZ$7,$Z10&lt;CZ$7+7),"P","")&amp;IF(AND($AA10&lt;&gt;"",$AA10&gt;=CZ$7,$AA10&lt;CZ$7+7),"T","")&amp;IF(AND($AB10&lt;&gt;"",$AB10&gt;=CZ$7,$AB10&lt;CZ$7+7),"H","")&amp;IF(AND($AC10&lt;&gt;"",$AC10&gt;=CZ$7,$AC10&lt;CZ$7+7),"G","")&amp;IF(AND($AH10&lt;&gt;"",$AH10&gt;=CZ$7,$AH10&lt;CZ$7+7),"S","")</f>
        <v/>
      </c>
      <c r="DA10" s="92" t="str">
        <f aca="false">IF(AND($Y10&lt;&gt;"",$Y10&gt;=DA$7,$Y10&lt;DA$7+7),"I","")&amp;IF(AND($Z10&lt;&gt;"",$Z10&gt;=DA$7,$Z10&lt;DA$7+7),"P","")&amp;IF(AND($AA10&lt;&gt;"",$AA10&gt;=DA$7,$AA10&lt;DA$7+7),"T","")&amp;IF(AND($AB10&lt;&gt;"",$AB10&gt;=DA$7,$AB10&lt;DA$7+7),"H","")&amp;IF(AND($AC10&lt;&gt;"",$AC10&gt;=DA$7,$AC10&lt;DA$7+7),"G","")&amp;IF(AND($AH10&lt;&gt;"",$AH10&gt;=DA$7,$AH10&lt;DA$7+7),"S","")</f>
        <v/>
      </c>
      <c r="DB10" s="92" t="str">
        <f aca="false">IF(AND($Y10&lt;&gt;"",$Y10&gt;=DB$7,$Y10&lt;DB$7+7),"I","")&amp;IF(AND($Z10&lt;&gt;"",$Z10&gt;=DB$7,$Z10&lt;DB$7+7),"P","")&amp;IF(AND($AA10&lt;&gt;"",$AA10&gt;=DB$7,$AA10&lt;DB$7+7),"T","")&amp;IF(AND($AB10&lt;&gt;"",$AB10&gt;=DB$7,$AB10&lt;DB$7+7),"H","")&amp;IF(AND($AC10&lt;&gt;"",$AC10&gt;=DB$7,$AC10&lt;DB$7+7),"G","")&amp;IF(AND($AH10&lt;&gt;"",$AH10&gt;=DB$7,$AH10&lt;DB$7+7),"S","")</f>
        <v/>
      </c>
      <c r="DC10" s="92" t="str">
        <f aca="false">IF(AND($Y10&lt;&gt;"",$Y10&gt;=DC$7,$Y10&lt;DC$7+7),"I","")&amp;IF(AND($Z10&lt;&gt;"",$Z10&gt;=DC$7,$Z10&lt;DC$7+7),"P","")&amp;IF(AND($AA10&lt;&gt;"",$AA10&gt;=DC$7,$AA10&lt;DC$7+7),"T","")&amp;IF(AND($AB10&lt;&gt;"",$AB10&gt;=DC$7,$AB10&lt;DC$7+7),"H","")&amp;IF(AND($AC10&lt;&gt;"",$AC10&gt;=DC$7,$AC10&lt;DC$7+7),"G","")&amp;IF(AND($AH10&lt;&gt;"",$AH10&gt;=DC$7,$AH10&lt;DC$7+7),"S","")</f>
        <v/>
      </c>
    </row>
    <row r="11" customFormat="false" ht="15" hidden="false" customHeight="false" outlineLevel="0" collapsed="false">
      <c r="A11" s="47" t="s">
        <v>54</v>
      </c>
      <c r="B11" s="31" t="s">
        <v>55</v>
      </c>
      <c r="C11" s="36" t="s">
        <v>565</v>
      </c>
      <c r="D11" s="31" t="s">
        <v>566</v>
      </c>
      <c r="E11" s="31" t="s">
        <v>173</v>
      </c>
      <c r="F11" s="75" t="n">
        <v>280.44</v>
      </c>
      <c r="G11" s="31" t="s">
        <v>170</v>
      </c>
      <c r="H11" s="76" t="n">
        <f aca="false">PROJ_START+RD_SPAN</f>
        <v>46403</v>
      </c>
      <c r="I11" s="77" t="n">
        <f aca="false">H11+33</f>
        <v>46436</v>
      </c>
      <c r="J11" s="31" t="s">
        <v>57</v>
      </c>
      <c r="K11" s="36" t="s">
        <v>131</v>
      </c>
      <c r="L11" s="36" t="s">
        <v>56</v>
      </c>
      <c r="M11" s="36" t="s">
        <v>568</v>
      </c>
      <c r="N11" s="78" t="str">
        <f aca="false">IF(ISNUMBER(อัปเดตรายสัปดาห์!$AF11),อัปเดตรายสัปดาห์!$AF11,"")</f>
        <v/>
      </c>
      <c r="O11" s="78" t="str">
        <f aca="false">IF(ISNUMBER(อัปเดตรายสัปดาห์!$AH11),อัปเดตรายสัปดาห์!$AH11,"")</f>
        <v/>
      </c>
      <c r="P11" s="78" t="str">
        <f aca="false">IF(ISNUMBER(อัปเดตรายสัปดาห์!$AG11),อัปเดตรายสัปดาห์!$AG11,IF(AND(ISNUMBER(TCRoof!$AC$11),N(TCRoof!$AC$11)&lt;=ASOF),TCRoof!$AC$11,""))</f>
        <v/>
      </c>
      <c r="Q11" s="78" t="str">
        <f aca="false">IF(ISNUMBER(อัปเดตรายสัปดาห์!$AL11),อัปเดตรายสัปดาห์!$AL11,"")</f>
        <v/>
      </c>
      <c r="R11" s="78" t="str">
        <f aca="false">IF(ISNUMBER(อัปเดตรายสัปดาห์!$Q11),อัปเดตรายสัปดาห์!$Q11,"")</f>
        <v/>
      </c>
      <c r="S11" s="78" t="str">
        <f aca="false">IF(ISNUMBER(อัปเดตรายสัปดาห์!$R11),อัปเดตรายสัปดาห์!$R11,"")</f>
        <v/>
      </c>
      <c r="T11" s="78" t="str">
        <f aca="false">IF(ISNUMBER(อัปเดตรายสัปดาห์!$S11),อัปเดตรายสัปดาห์!$S11,IF(อัปเดตรายสัปดาห์!$S11="Y",ASOF,""))</f>
        <v/>
      </c>
      <c r="U11" s="78" t="str">
        <f aca="false">IF(ISNUMBER(อัปเดตรายสัปดาห์!$T11),อัปเดตรายสัปดาห์!$T11,IF(อัปเดตรายสัปดาห์!$T11="Y",ASOF,""))</f>
        <v/>
      </c>
      <c r="V11" s="78" t="str">
        <f aca="false">IF(ISNUMBER(อัปเดตรายสัปดาห์!$U11),อัปเดตรายสัปดาห์!$U11,IF(อัปเดตรายสัปดาห์!$U11="Y",ASOF,""))</f>
        <v/>
      </c>
      <c r="W11" s="78" t="str">
        <f aca="false">IF(ISNUMBER(อัปเดตรายสัปดาห์!$N11),อัปเดตรายสัปดาห์!$N11,"")</f>
        <v/>
      </c>
      <c r="X11" s="78" t="str">
        <f aca="false">IF(ISNUMBER(อัปเดตรายสัปดาห์!$V11),อัปเดตรายสัปดาห์!$V11,IF(AND(ISNUMBER(TCRoof!$AD$11),N(TCRoof!$AD$11)&lt;=ASOF),TCRoof!$AD$11,""))</f>
        <v/>
      </c>
      <c r="Y11" s="79" t="n">
        <f aca="false">IF(N11&lt;&gt;"",N11,WORKDAY((ASOF+LEAD_INST+7*INT((AT11-0.01)/MAX(1,AU11)))-1,1,HOLIDAYS))</f>
        <v>46349</v>
      </c>
      <c r="Z11" s="79" t="n">
        <f aca="false">IF(O11&lt;&gt;"",O11,WORKDAY((MAX(AV11+7*INT((AW11-1)/MAX(1,AX11)),AV11+7*INT((AY11-1)/MAX(1,AZ11))))-1,1,HOLIDAYS))</f>
        <v>46356</v>
      </c>
      <c r="AA11" s="79" t="n">
        <f aca="false">IF(P11&lt;&gt;"",P11,WORKDAY((BA11+7*INT((BB11-1)/MAX(1,BC11)))-1,1,HOLIDAYS))</f>
        <v>46359</v>
      </c>
      <c r="AB11" s="79" t="n">
        <f aca="false">IF(Q11&lt;&gt;"",Q11,WORKDAY((MAX(AA11+BD11,ASOF+1))-1,1,HOLIDAYS))</f>
        <v>46367</v>
      </c>
      <c r="AC11" s="79" t="n">
        <f aca="false">IF(R11&lt;&gt;"",R11,WORKDAY((MAX(Y11,ASOF)+LAG_GRID)-1,1,HOLIDAYS))</f>
        <v>46356</v>
      </c>
      <c r="AD11" s="79" t="n">
        <f aca="false">IF(T11&lt;&gt;"",T11,WORKDAY((MAX(WORKDAY(MAX(AC11,N(S11)),REVIEW_WD,HOLIDAYS),ASOF+1))-1,1,HOLIDAYS))</f>
        <v>46379</v>
      </c>
      <c r="AE11" s="79" t="n">
        <f aca="false">IF(U11&lt;&gt;"",U11,WORKDAY((MAX(AD11,ASOF)+FEE_DAYS)-1,1,HOLIDAYS))</f>
        <v>46386</v>
      </c>
      <c r="AF11" s="79" t="n">
        <f aca="false">IF(V11&lt;&gt;"",V11,WORKDAY((MAX(AA11,Z11,AE11,IF(AG11="",0,AG11+REVIEW_PK2),ASOF)+LAG_INSREQ)-1,1,HOLIDAYS))</f>
        <v>46391</v>
      </c>
      <c r="AG11" s="79" t="n">
        <f aca="false">IF(M11&lt;&gt;"Y","",IF(W11&lt;&gt;"",W11,WORKDAY((MAX(Y11,ASOF)+LAG_GRID)-1,1,HOLIDAYS)))</f>
        <v>46356</v>
      </c>
      <c r="AH11" s="80" t="n">
        <f aca="false">IF(X11&lt;&gt;"",X11,WORKDAY(AF11,INSPECT_WD,HOLIDAYS))</f>
        <v>46433</v>
      </c>
      <c r="AI11" s="81" t="n">
        <f aca="false">IF(H11="","",AB11-H11)</f>
        <v>-36</v>
      </c>
      <c r="AJ11" s="81" t="n">
        <f aca="false">IF(I11="","",AH11-I11)</f>
        <v>-3</v>
      </c>
      <c r="AK11" s="82" t="n">
        <f aca="false">IF(AND(ISNUMBER(N11),N(N11)&lt;=ASOF),1,0)+IF(AND(ISNUMBER(O11),N(O11)&lt;=ASOF),1,0)+IF(AND(ISNUMBER(P11),N(P11)&lt;=ASOF),1,0)+IF(AND(ISNUMBER(Q11),N(Q11)&lt;=ASOF),1,0)+IF(AND(ISNUMBER(R11),N(R11)&lt;=ASOF),1,0)+IF(AND(ISNUMBER(U11),N(U11)&lt;=ASOF),1,0)+IF(AND(ISNUMBER(X11),N(X11)&lt;=ASOF),1,0)+IF(AND(ISNUMBER(W11),N(W11)&lt;=ASOF),1,0)</f>
        <v>0</v>
      </c>
      <c r="AL11" s="83" t="n">
        <v>8</v>
      </c>
      <c r="AM11" s="84" t="n">
        <f aca="false">'P9-004'!$J$4</f>
        <v>0</v>
      </c>
      <c r="AN11" s="85" t="str">
        <f aca="false">TRIM(IF(AND(ISNUMBER(O11),NOT(ISNUMBER(N11))),"กฟภ.ตรวจก่อนติดตั้ง, ","")&amp;IF(AND(ISNUMBER(P11),NOT(ISNUMBER(N11))),"IEC ก่อนติดตั้ง, ","")&amp;IF(AND(ISNUMBER(Q11),NOT(ISNUMBER(N11))),"ส่งมอบก่อนติดตั้ง, ","")&amp;IF(AND(ISNUMBER(Q11),ISNUMBER(P11),N(Q11)&lt;N(P11)),"ส่งมอบก่อน IEC, ","")&amp;IF(AND(ISNUMBER(อัปเดตรายสัปดาห์!$AG11),ISNUMBER(TCRoof!$AC$11),ABS(N(อัปเดตรายสัปดาห์!$AG11)-N(TCRoof!$AC$11))&gt;3),"IEC Excel≠แอป, ","")&amp;IF(AND(ISNUMBER(อัปเดตรายสัปดาห์!$V11),ISNUMBER(TCRoof!$AD$11),ABS(N(อัปเดตรายสัปดาห์!$V11)-N(TCRoof!$AD$11))&gt;3),"COD Excel≠แอป, ","")&amp;IF(AND(ISNUMBER(อัปเดตรายสัปดาห์!$AF11),ISNUMBER(TCRoof!$AB$11),ABS(N(อัปเดตรายสัปดาห์!$AF11)-N(TCRoof!$AB$11))&gt;3),"ติดตั้ง Excel≠แอป, ","")&amp;IF(AND(ISNUMBER(N11),N(N11)&gt;ASOF,OR(WEEKDAY(N(N11),2)&gt;5,COUNTIF(HOLIDAYS,N(N11))&gt;0)),"นัดดับไฟตรงวันหยุด, ","")&amp;IF(AND(ISNUMBER(O11),N(O11)&gt;ASOF,OR(WEEKDAY(N(O11),2)&gt;5,COUNTIF(HOLIDAYS,N(O11))&gt;0)),"นัด กฟภ.ตรงวันหยุด, ","")&amp;IF(AND(ISNUMBER(P11),N(P11)&gt;ASOF,OR(WEEKDAY(N(P11),2)&gt;5,COUNTIF(HOLIDAYS,N(P11))&gt;0)),"นัด IECตรงวันหยุด, ","")&amp;IF(AND(ISNUMBER(X11),N(X11)&gt;ASOF,OR(WEEKDAY(N(X11),2)&gt;5,COUNTIF(HOLIDAYS,N(X11))&gt;0)),"นัด Syncตรงวันหยุด, ",""))</f>
        <v/>
      </c>
      <c r="AO11" s="86" t="n">
        <f aca="false">SUMIFS(CR_COD,CR_ST,A11,CR_STAT,"อนุมัติ")+SUMIFS(CR_COD,CR_ST,"ทั้งเฟส",CR_STAT,"อนุมัติ")+SUMIFS(CR_COD,CR_ST,"ผรม. "&amp;L11,CR_STAT,"อนุมัติ")+SUMIFS(CR_COD,CR_ST,"เขต "&amp;E11,CR_STAT,"อนุมัติ")</f>
        <v>0</v>
      </c>
      <c r="AP11" s="86" t="n">
        <f aca="false">IF(NOT(ISNUMBER(AJ11)),"",MAX(0,AJ11-AO11))</f>
        <v>0</v>
      </c>
      <c r="AQ11" s="86" t="n">
        <f aca="false">COUNTIF(RW_ST,A11)</f>
        <v>0</v>
      </c>
      <c r="AR11" s="87" t="str">
        <f aca="false">IF(ISNUMBER(TCRoof!$I$11),TCRoof!$I$11,"")</f>
        <v/>
      </c>
      <c r="AS11" s="88" t="str">
        <f aca="false">IF(ISNUMBER(TCRoof!$H$11),TCRoof!$H$11,"")</f>
        <v/>
      </c>
      <c r="AT11" s="89" t="n">
        <f aca="false">IF(N11&lt;&gt;"","",SUMIFS($F$8:$F$27,$L$8:$L$27,L11,$N$8:$N$27,"",$H$8:$H$27,"&lt;"&amp;H11)+SUMIFS($F$8:$F$27,$L$8:$L$27,L11,$N$8:$N$27,"",$H$8:$H$27,H11,$A$8:$A$27,"&lt;="&amp;A11)+SUMIFS($F$8:$F$27,$L$8:$L$27,L11,$N$8:$N$27,"&gt;"&amp;ASOF))</f>
        <v>280.44</v>
      </c>
      <c r="AU11" s="89" t="n">
        <f aca="false">IFERROR(VLOOKUP(L11,TEAM_TBL,2,0)*VLOOKUP(L11,TEAM_TBL,3,0),150)</f>
        <v>150</v>
      </c>
      <c r="AV11" s="90" t="n">
        <f aca="false">IF(O11&lt;&gt;"","",MAX(Y11+LAG_PEA,ASOF+LAG_PEA))</f>
        <v>46356</v>
      </c>
      <c r="AW11" s="89" t="n">
        <f aca="false">IF(O11&lt;&gt;"","",COUNTIFS($E$8:$E$27,E11,$AV$8:$AV$27,"&lt;"&amp;AV11)+COUNTIFS($E$8:$E$27,E11,$AV$8:$AV$27,AV11,$A$8:$A$27,"&lt;"&amp;A11)+COUNTIFS($E$8:$E$27,E11,$O$8:$O$27,"&gt;"&amp;ASOF)+1)</f>
        <v>1</v>
      </c>
      <c r="AX11" s="89" t="n">
        <f aca="false">IFERROR(VLOOKUP(E11,ZONE_TBL,2,0),CAP_PEA)</f>
        <v>3</v>
      </c>
      <c r="AY11" s="89" t="n">
        <f aca="false">IF(O11&lt;&gt;"","",COUNTIFS($J$8:$J$27,J11,$AV$8:$AV$27,"&lt;"&amp;AV11)+COUNTIFS($J$8:$J$27,J11,$AV$8:$AV$27,AV11,$A$8:$A$27,"&lt;"&amp;A11)+COUNTIFS($J$8:$J$27,J11,$O$8:$O$27,"&gt;"&amp;ASOF)+1)</f>
        <v>1</v>
      </c>
      <c r="AZ11" s="89" t="n">
        <f aca="false">IFERROR(VLOOKUP(J11,ENG_TBL,2,0),ENG_CAP)</f>
        <v>3</v>
      </c>
      <c r="BA11" s="90" t="n">
        <f aca="false">IF(P11&lt;&gt;"","",MAX(Z11+LAG_IEC,ASOF+1))</f>
        <v>46359</v>
      </c>
      <c r="BB11" s="89" t="n">
        <f aca="false">IF(P11&lt;&gt;"","",COUNTIFS($L$8:$L$27,L11,$BA$8:$BA$27,"&lt;"&amp;BA11)+COUNTIFS($L$8:$L$27,L11,$BA$8:$BA$27,BA11,$A$8:$A$27,"&lt;"&amp;A11)+COUNTIFS($L$8:$L$27,L11,$P$8:$P$27,"&gt;"&amp;ASOF)+1)</f>
        <v>1</v>
      </c>
      <c r="BC11" s="89" t="n">
        <f aca="false">IFERROR(VLOOKUP(L11,TEAM_TBL,4,0)*VLOOKUP(L11,TEAM_TBL,5,0),3)</f>
        <v>3</v>
      </c>
      <c r="BD11" s="91" t="n">
        <f aca="false">IFERROR(VLOOKUP(L11,TEAM_TBL,6,0),LAG_HO)</f>
        <v>7</v>
      </c>
      <c r="BE11" s="89" t="n">
        <f aca="false">IF(ISNUMBER(AW11),7*INT((AW11-1)/MAX(1,AX11)),"")</f>
        <v>0</v>
      </c>
      <c r="BF11" s="89" t="n">
        <f aca="false">IF(ISNUMBER(AY11),7*INT((AY11-1)/MAX(1,AZ11)),"")</f>
        <v>0</v>
      </c>
      <c r="BH11" s="92" t="str">
        <f aca="false">IF(AND($Y11&lt;&gt;"",$Y11&gt;=BH$7,$Y11&lt;BH$7+7),"I","")&amp;IF(AND($Z11&lt;&gt;"",$Z11&gt;=BH$7,$Z11&lt;BH$7+7),"P","")&amp;IF(AND($AA11&lt;&gt;"",$AA11&gt;=BH$7,$AA11&lt;BH$7+7),"T","")&amp;IF(AND($AB11&lt;&gt;"",$AB11&gt;=BH$7,$AB11&lt;BH$7+7),"H","")&amp;IF(AND($AC11&lt;&gt;"",$AC11&gt;=BH$7,$AC11&lt;BH$7+7),"G","")&amp;IF(AND($AH11&lt;&gt;"",$AH11&gt;=BH$7,$AH11&lt;BH$7+7),"S","")</f>
        <v/>
      </c>
      <c r="BI11" s="92" t="str">
        <f aca="false">IF(AND($Y11&lt;&gt;"",$Y11&gt;=BI$7,$Y11&lt;BI$7+7),"I","")&amp;IF(AND($Z11&lt;&gt;"",$Z11&gt;=BI$7,$Z11&lt;BI$7+7),"P","")&amp;IF(AND($AA11&lt;&gt;"",$AA11&gt;=BI$7,$AA11&lt;BI$7+7),"T","")&amp;IF(AND($AB11&lt;&gt;"",$AB11&gt;=BI$7,$AB11&lt;BI$7+7),"H","")&amp;IF(AND($AC11&lt;&gt;"",$AC11&gt;=BI$7,$AC11&lt;BI$7+7),"G","")&amp;IF(AND($AH11&lt;&gt;"",$AH11&gt;=BI$7,$AH11&lt;BI$7+7),"S","")</f>
        <v/>
      </c>
      <c r="BJ11" s="92" t="str">
        <f aca="false">IF(AND($Y11&lt;&gt;"",$Y11&gt;=BJ$7,$Y11&lt;BJ$7+7),"I","")&amp;IF(AND($Z11&lt;&gt;"",$Z11&gt;=BJ$7,$Z11&lt;BJ$7+7),"P","")&amp;IF(AND($AA11&lt;&gt;"",$AA11&gt;=BJ$7,$AA11&lt;BJ$7+7),"T","")&amp;IF(AND($AB11&lt;&gt;"",$AB11&gt;=BJ$7,$AB11&lt;BJ$7+7),"H","")&amp;IF(AND($AC11&lt;&gt;"",$AC11&gt;=BJ$7,$AC11&lt;BJ$7+7),"G","")&amp;IF(AND($AH11&lt;&gt;"",$AH11&gt;=BJ$7,$AH11&lt;BJ$7+7),"S","")</f>
        <v/>
      </c>
      <c r="BK11" s="92" t="str">
        <f aca="false">IF(AND($Y11&lt;&gt;"",$Y11&gt;=BK$7,$Y11&lt;BK$7+7),"I","")&amp;IF(AND($Z11&lt;&gt;"",$Z11&gt;=BK$7,$Z11&lt;BK$7+7),"P","")&amp;IF(AND($AA11&lt;&gt;"",$AA11&gt;=BK$7,$AA11&lt;BK$7+7),"T","")&amp;IF(AND($AB11&lt;&gt;"",$AB11&gt;=BK$7,$AB11&lt;BK$7+7),"H","")&amp;IF(AND($AC11&lt;&gt;"",$AC11&gt;=BK$7,$AC11&lt;BK$7+7),"G","")&amp;IF(AND($AH11&lt;&gt;"",$AH11&gt;=BK$7,$AH11&lt;BK$7+7),"S","")</f>
        <v/>
      </c>
      <c r="BL11" s="92" t="str">
        <f aca="false">IF(AND($Y11&lt;&gt;"",$Y11&gt;=BL$7,$Y11&lt;BL$7+7),"I","")&amp;IF(AND($Z11&lt;&gt;"",$Z11&gt;=BL$7,$Z11&lt;BL$7+7),"P","")&amp;IF(AND($AA11&lt;&gt;"",$AA11&gt;=BL$7,$AA11&lt;BL$7+7),"T","")&amp;IF(AND($AB11&lt;&gt;"",$AB11&gt;=BL$7,$AB11&lt;BL$7+7),"H","")&amp;IF(AND($AC11&lt;&gt;"",$AC11&gt;=BL$7,$AC11&lt;BL$7+7),"G","")&amp;IF(AND($AH11&lt;&gt;"",$AH11&gt;=BL$7,$AH11&lt;BL$7+7),"S","")</f>
        <v>I</v>
      </c>
      <c r="BM11" s="92" t="str">
        <f aca="false">IF(AND($Y11&lt;&gt;"",$Y11&gt;=BM$7,$Y11&lt;BM$7+7),"I","")&amp;IF(AND($Z11&lt;&gt;"",$Z11&gt;=BM$7,$Z11&lt;BM$7+7),"P","")&amp;IF(AND($AA11&lt;&gt;"",$AA11&gt;=BM$7,$AA11&lt;BM$7+7),"T","")&amp;IF(AND($AB11&lt;&gt;"",$AB11&gt;=BM$7,$AB11&lt;BM$7+7),"H","")&amp;IF(AND($AC11&lt;&gt;"",$AC11&gt;=BM$7,$AC11&lt;BM$7+7),"G","")&amp;IF(AND($AH11&lt;&gt;"",$AH11&gt;=BM$7,$AH11&lt;BM$7+7),"S","")</f>
        <v>PTG</v>
      </c>
      <c r="BN11" s="92" t="str">
        <f aca="false">IF(AND($Y11&lt;&gt;"",$Y11&gt;=BN$7,$Y11&lt;BN$7+7),"I","")&amp;IF(AND($Z11&lt;&gt;"",$Z11&gt;=BN$7,$Z11&lt;BN$7+7),"P","")&amp;IF(AND($AA11&lt;&gt;"",$AA11&gt;=BN$7,$AA11&lt;BN$7+7),"T","")&amp;IF(AND($AB11&lt;&gt;"",$AB11&gt;=BN$7,$AB11&lt;BN$7+7),"H","")&amp;IF(AND($AC11&lt;&gt;"",$AC11&gt;=BN$7,$AC11&lt;BN$7+7),"G","")&amp;IF(AND($AH11&lt;&gt;"",$AH11&gt;=BN$7,$AH11&lt;BN$7+7),"S","")</f>
        <v>H</v>
      </c>
      <c r="BO11" s="92" t="str">
        <f aca="false">IF(AND($Y11&lt;&gt;"",$Y11&gt;=BO$7,$Y11&lt;BO$7+7),"I","")&amp;IF(AND($Z11&lt;&gt;"",$Z11&gt;=BO$7,$Z11&lt;BO$7+7),"P","")&amp;IF(AND($AA11&lt;&gt;"",$AA11&gt;=BO$7,$AA11&lt;BO$7+7),"T","")&amp;IF(AND($AB11&lt;&gt;"",$AB11&gt;=BO$7,$AB11&lt;BO$7+7),"H","")&amp;IF(AND($AC11&lt;&gt;"",$AC11&gt;=BO$7,$AC11&lt;BO$7+7),"G","")&amp;IF(AND($AH11&lt;&gt;"",$AH11&gt;=BO$7,$AH11&lt;BO$7+7),"S","")</f>
        <v/>
      </c>
      <c r="BP11" s="92" t="str">
        <f aca="false">IF(AND($Y11&lt;&gt;"",$Y11&gt;=BP$7,$Y11&lt;BP$7+7),"I","")&amp;IF(AND($Z11&lt;&gt;"",$Z11&gt;=BP$7,$Z11&lt;BP$7+7),"P","")&amp;IF(AND($AA11&lt;&gt;"",$AA11&gt;=BP$7,$AA11&lt;BP$7+7),"T","")&amp;IF(AND($AB11&lt;&gt;"",$AB11&gt;=BP$7,$AB11&lt;BP$7+7),"H","")&amp;IF(AND($AC11&lt;&gt;"",$AC11&gt;=BP$7,$AC11&lt;BP$7+7),"G","")&amp;IF(AND($AH11&lt;&gt;"",$AH11&gt;=BP$7,$AH11&lt;BP$7+7),"S","")</f>
        <v/>
      </c>
      <c r="BQ11" s="92" t="str">
        <f aca="false">IF(AND($Y11&lt;&gt;"",$Y11&gt;=BQ$7,$Y11&lt;BQ$7+7),"I","")&amp;IF(AND($Z11&lt;&gt;"",$Z11&gt;=BQ$7,$Z11&lt;BQ$7+7),"P","")&amp;IF(AND($AA11&lt;&gt;"",$AA11&gt;=BQ$7,$AA11&lt;BQ$7+7),"T","")&amp;IF(AND($AB11&lt;&gt;"",$AB11&gt;=BQ$7,$AB11&lt;BQ$7+7),"H","")&amp;IF(AND($AC11&lt;&gt;"",$AC11&gt;=BQ$7,$AC11&lt;BQ$7+7),"G","")&amp;IF(AND($AH11&lt;&gt;"",$AH11&gt;=BQ$7,$AH11&lt;BQ$7+7),"S","")</f>
        <v/>
      </c>
      <c r="BR11" s="92" t="str">
        <f aca="false">IF(AND($Y11&lt;&gt;"",$Y11&gt;=BR$7,$Y11&lt;BR$7+7),"I","")&amp;IF(AND($Z11&lt;&gt;"",$Z11&gt;=BR$7,$Z11&lt;BR$7+7),"P","")&amp;IF(AND($AA11&lt;&gt;"",$AA11&gt;=BR$7,$AA11&lt;BR$7+7),"T","")&amp;IF(AND($AB11&lt;&gt;"",$AB11&gt;=BR$7,$AB11&lt;BR$7+7),"H","")&amp;IF(AND($AC11&lt;&gt;"",$AC11&gt;=BR$7,$AC11&lt;BR$7+7),"G","")&amp;IF(AND($AH11&lt;&gt;"",$AH11&gt;=BR$7,$AH11&lt;BR$7+7),"S","")</f>
        <v/>
      </c>
      <c r="BS11" s="92" t="str">
        <f aca="false">IF(AND($Y11&lt;&gt;"",$Y11&gt;=BS$7,$Y11&lt;BS$7+7),"I","")&amp;IF(AND($Z11&lt;&gt;"",$Z11&gt;=BS$7,$Z11&lt;BS$7+7),"P","")&amp;IF(AND($AA11&lt;&gt;"",$AA11&gt;=BS$7,$AA11&lt;BS$7+7),"T","")&amp;IF(AND($AB11&lt;&gt;"",$AB11&gt;=BS$7,$AB11&lt;BS$7+7),"H","")&amp;IF(AND($AC11&lt;&gt;"",$AC11&gt;=BS$7,$AC11&lt;BS$7+7),"G","")&amp;IF(AND($AH11&lt;&gt;"",$AH11&gt;=BS$7,$AH11&lt;BS$7+7),"S","")</f>
        <v/>
      </c>
      <c r="BT11" s="92" t="str">
        <f aca="false">IF(AND($Y11&lt;&gt;"",$Y11&gt;=BT$7,$Y11&lt;BT$7+7),"I","")&amp;IF(AND($Z11&lt;&gt;"",$Z11&gt;=BT$7,$Z11&lt;BT$7+7),"P","")&amp;IF(AND($AA11&lt;&gt;"",$AA11&gt;=BT$7,$AA11&lt;BT$7+7),"T","")&amp;IF(AND($AB11&lt;&gt;"",$AB11&gt;=BT$7,$AB11&lt;BT$7+7),"H","")&amp;IF(AND($AC11&lt;&gt;"",$AC11&gt;=BT$7,$AC11&lt;BT$7+7),"G","")&amp;IF(AND($AH11&lt;&gt;"",$AH11&gt;=BT$7,$AH11&lt;BT$7+7),"S","")</f>
        <v/>
      </c>
      <c r="BU11" s="92" t="str">
        <f aca="false">IF(AND($Y11&lt;&gt;"",$Y11&gt;=BU$7,$Y11&lt;BU$7+7),"I","")&amp;IF(AND($Z11&lt;&gt;"",$Z11&gt;=BU$7,$Z11&lt;BU$7+7),"P","")&amp;IF(AND($AA11&lt;&gt;"",$AA11&gt;=BU$7,$AA11&lt;BU$7+7),"T","")&amp;IF(AND($AB11&lt;&gt;"",$AB11&gt;=BU$7,$AB11&lt;BU$7+7),"H","")&amp;IF(AND($AC11&lt;&gt;"",$AC11&gt;=BU$7,$AC11&lt;BU$7+7),"G","")&amp;IF(AND($AH11&lt;&gt;"",$AH11&gt;=BU$7,$AH11&lt;BU$7+7),"S","")</f>
        <v/>
      </c>
      <c r="BV11" s="92" t="str">
        <f aca="false">IF(AND($Y11&lt;&gt;"",$Y11&gt;=BV$7,$Y11&lt;BV$7+7),"I","")&amp;IF(AND($Z11&lt;&gt;"",$Z11&gt;=BV$7,$Z11&lt;BV$7+7),"P","")&amp;IF(AND($AA11&lt;&gt;"",$AA11&gt;=BV$7,$AA11&lt;BV$7+7),"T","")&amp;IF(AND($AB11&lt;&gt;"",$AB11&gt;=BV$7,$AB11&lt;BV$7+7),"H","")&amp;IF(AND($AC11&lt;&gt;"",$AC11&gt;=BV$7,$AC11&lt;BV$7+7),"G","")&amp;IF(AND($AH11&lt;&gt;"",$AH11&gt;=BV$7,$AH11&lt;BV$7+7),"S","")</f>
        <v/>
      </c>
      <c r="BW11" s="92" t="str">
        <f aca="false">IF(AND($Y11&lt;&gt;"",$Y11&gt;=BW$7,$Y11&lt;BW$7+7),"I","")&amp;IF(AND($Z11&lt;&gt;"",$Z11&gt;=BW$7,$Z11&lt;BW$7+7),"P","")&amp;IF(AND($AA11&lt;&gt;"",$AA11&gt;=BW$7,$AA11&lt;BW$7+7),"T","")&amp;IF(AND($AB11&lt;&gt;"",$AB11&gt;=BW$7,$AB11&lt;BW$7+7),"H","")&amp;IF(AND($AC11&lt;&gt;"",$AC11&gt;=BW$7,$AC11&lt;BW$7+7),"G","")&amp;IF(AND($AH11&lt;&gt;"",$AH11&gt;=BW$7,$AH11&lt;BW$7+7),"S","")</f>
        <v/>
      </c>
      <c r="BX11" s="92" t="str">
        <f aca="false">IF(AND($Y11&lt;&gt;"",$Y11&gt;=BX$7,$Y11&lt;BX$7+7),"I","")&amp;IF(AND($Z11&lt;&gt;"",$Z11&gt;=BX$7,$Z11&lt;BX$7+7),"P","")&amp;IF(AND($AA11&lt;&gt;"",$AA11&gt;=BX$7,$AA11&lt;BX$7+7),"T","")&amp;IF(AND($AB11&lt;&gt;"",$AB11&gt;=BX$7,$AB11&lt;BX$7+7),"H","")&amp;IF(AND($AC11&lt;&gt;"",$AC11&gt;=BX$7,$AC11&lt;BX$7+7),"G","")&amp;IF(AND($AH11&lt;&gt;"",$AH11&gt;=BX$7,$AH11&lt;BX$7+7),"S","")</f>
        <v>S</v>
      </c>
      <c r="BY11" s="92" t="str">
        <f aca="false">IF(AND($Y11&lt;&gt;"",$Y11&gt;=BY$7,$Y11&lt;BY$7+7),"I","")&amp;IF(AND($Z11&lt;&gt;"",$Z11&gt;=BY$7,$Z11&lt;BY$7+7),"P","")&amp;IF(AND($AA11&lt;&gt;"",$AA11&gt;=BY$7,$AA11&lt;BY$7+7),"T","")&amp;IF(AND($AB11&lt;&gt;"",$AB11&gt;=BY$7,$AB11&lt;BY$7+7),"H","")&amp;IF(AND($AC11&lt;&gt;"",$AC11&gt;=BY$7,$AC11&lt;BY$7+7),"G","")&amp;IF(AND($AH11&lt;&gt;"",$AH11&gt;=BY$7,$AH11&lt;BY$7+7),"S","")</f>
        <v/>
      </c>
      <c r="BZ11" s="92" t="str">
        <f aca="false">IF(AND($Y11&lt;&gt;"",$Y11&gt;=BZ$7,$Y11&lt;BZ$7+7),"I","")&amp;IF(AND($Z11&lt;&gt;"",$Z11&gt;=BZ$7,$Z11&lt;BZ$7+7),"P","")&amp;IF(AND($AA11&lt;&gt;"",$AA11&gt;=BZ$7,$AA11&lt;BZ$7+7),"T","")&amp;IF(AND($AB11&lt;&gt;"",$AB11&gt;=BZ$7,$AB11&lt;BZ$7+7),"H","")&amp;IF(AND($AC11&lt;&gt;"",$AC11&gt;=BZ$7,$AC11&lt;BZ$7+7),"G","")&amp;IF(AND($AH11&lt;&gt;"",$AH11&gt;=BZ$7,$AH11&lt;BZ$7+7),"S","")</f>
        <v/>
      </c>
      <c r="CA11" s="92" t="str">
        <f aca="false">IF(AND($Y11&lt;&gt;"",$Y11&gt;=CA$7,$Y11&lt;CA$7+7),"I","")&amp;IF(AND($Z11&lt;&gt;"",$Z11&gt;=CA$7,$Z11&lt;CA$7+7),"P","")&amp;IF(AND($AA11&lt;&gt;"",$AA11&gt;=CA$7,$AA11&lt;CA$7+7),"T","")&amp;IF(AND($AB11&lt;&gt;"",$AB11&gt;=CA$7,$AB11&lt;CA$7+7),"H","")&amp;IF(AND($AC11&lt;&gt;"",$AC11&gt;=CA$7,$AC11&lt;CA$7+7),"G","")&amp;IF(AND($AH11&lt;&gt;"",$AH11&gt;=CA$7,$AH11&lt;CA$7+7),"S","")</f>
        <v/>
      </c>
      <c r="CB11" s="92" t="str">
        <f aca="false">IF(AND($Y11&lt;&gt;"",$Y11&gt;=CB$7,$Y11&lt;CB$7+7),"I","")&amp;IF(AND($Z11&lt;&gt;"",$Z11&gt;=CB$7,$Z11&lt;CB$7+7),"P","")&amp;IF(AND($AA11&lt;&gt;"",$AA11&gt;=CB$7,$AA11&lt;CB$7+7),"T","")&amp;IF(AND($AB11&lt;&gt;"",$AB11&gt;=CB$7,$AB11&lt;CB$7+7),"H","")&amp;IF(AND($AC11&lt;&gt;"",$AC11&gt;=CB$7,$AC11&lt;CB$7+7),"G","")&amp;IF(AND($AH11&lt;&gt;"",$AH11&gt;=CB$7,$AH11&lt;CB$7+7),"S","")</f>
        <v/>
      </c>
      <c r="CC11" s="92" t="str">
        <f aca="false">IF(AND($Y11&lt;&gt;"",$Y11&gt;=CC$7,$Y11&lt;CC$7+7),"I","")&amp;IF(AND($Z11&lt;&gt;"",$Z11&gt;=CC$7,$Z11&lt;CC$7+7),"P","")&amp;IF(AND($AA11&lt;&gt;"",$AA11&gt;=CC$7,$AA11&lt;CC$7+7),"T","")&amp;IF(AND($AB11&lt;&gt;"",$AB11&gt;=CC$7,$AB11&lt;CC$7+7),"H","")&amp;IF(AND($AC11&lt;&gt;"",$AC11&gt;=CC$7,$AC11&lt;CC$7+7),"G","")&amp;IF(AND($AH11&lt;&gt;"",$AH11&gt;=CC$7,$AH11&lt;CC$7+7),"S","")</f>
        <v/>
      </c>
      <c r="CD11" s="92" t="str">
        <f aca="false">IF(AND($Y11&lt;&gt;"",$Y11&gt;=CD$7,$Y11&lt;CD$7+7),"I","")&amp;IF(AND($Z11&lt;&gt;"",$Z11&gt;=CD$7,$Z11&lt;CD$7+7),"P","")&amp;IF(AND($AA11&lt;&gt;"",$AA11&gt;=CD$7,$AA11&lt;CD$7+7),"T","")&amp;IF(AND($AB11&lt;&gt;"",$AB11&gt;=CD$7,$AB11&lt;CD$7+7),"H","")&amp;IF(AND($AC11&lt;&gt;"",$AC11&gt;=CD$7,$AC11&lt;CD$7+7),"G","")&amp;IF(AND($AH11&lt;&gt;"",$AH11&gt;=CD$7,$AH11&lt;CD$7+7),"S","")</f>
        <v/>
      </c>
      <c r="CE11" s="92" t="str">
        <f aca="false">IF(AND($Y11&lt;&gt;"",$Y11&gt;=CE$7,$Y11&lt;CE$7+7),"I","")&amp;IF(AND($Z11&lt;&gt;"",$Z11&gt;=CE$7,$Z11&lt;CE$7+7),"P","")&amp;IF(AND($AA11&lt;&gt;"",$AA11&gt;=CE$7,$AA11&lt;CE$7+7),"T","")&amp;IF(AND($AB11&lt;&gt;"",$AB11&gt;=CE$7,$AB11&lt;CE$7+7),"H","")&amp;IF(AND($AC11&lt;&gt;"",$AC11&gt;=CE$7,$AC11&lt;CE$7+7),"G","")&amp;IF(AND($AH11&lt;&gt;"",$AH11&gt;=CE$7,$AH11&lt;CE$7+7),"S","")</f>
        <v/>
      </c>
      <c r="CF11" s="92" t="str">
        <f aca="false">IF(AND($Y11&lt;&gt;"",$Y11&gt;=CF$7,$Y11&lt;CF$7+7),"I","")&amp;IF(AND($Z11&lt;&gt;"",$Z11&gt;=CF$7,$Z11&lt;CF$7+7),"P","")&amp;IF(AND($AA11&lt;&gt;"",$AA11&gt;=CF$7,$AA11&lt;CF$7+7),"T","")&amp;IF(AND($AB11&lt;&gt;"",$AB11&gt;=CF$7,$AB11&lt;CF$7+7),"H","")&amp;IF(AND($AC11&lt;&gt;"",$AC11&gt;=CF$7,$AC11&lt;CF$7+7),"G","")&amp;IF(AND($AH11&lt;&gt;"",$AH11&gt;=CF$7,$AH11&lt;CF$7+7),"S","")</f>
        <v/>
      </c>
      <c r="CG11" s="92" t="str">
        <f aca="false">IF(AND($Y11&lt;&gt;"",$Y11&gt;=CG$7,$Y11&lt;CG$7+7),"I","")&amp;IF(AND($Z11&lt;&gt;"",$Z11&gt;=CG$7,$Z11&lt;CG$7+7),"P","")&amp;IF(AND($AA11&lt;&gt;"",$AA11&gt;=CG$7,$AA11&lt;CG$7+7),"T","")&amp;IF(AND($AB11&lt;&gt;"",$AB11&gt;=CG$7,$AB11&lt;CG$7+7),"H","")&amp;IF(AND($AC11&lt;&gt;"",$AC11&gt;=CG$7,$AC11&lt;CG$7+7),"G","")&amp;IF(AND($AH11&lt;&gt;"",$AH11&gt;=CG$7,$AH11&lt;CG$7+7),"S","")</f>
        <v/>
      </c>
      <c r="CH11" s="92" t="str">
        <f aca="false">IF(AND($Y11&lt;&gt;"",$Y11&gt;=CH$7,$Y11&lt;CH$7+7),"I","")&amp;IF(AND($Z11&lt;&gt;"",$Z11&gt;=CH$7,$Z11&lt;CH$7+7),"P","")&amp;IF(AND($AA11&lt;&gt;"",$AA11&gt;=CH$7,$AA11&lt;CH$7+7),"T","")&amp;IF(AND($AB11&lt;&gt;"",$AB11&gt;=CH$7,$AB11&lt;CH$7+7),"H","")&amp;IF(AND($AC11&lt;&gt;"",$AC11&gt;=CH$7,$AC11&lt;CH$7+7),"G","")&amp;IF(AND($AH11&lt;&gt;"",$AH11&gt;=CH$7,$AH11&lt;CH$7+7),"S","")</f>
        <v/>
      </c>
      <c r="CI11" s="92" t="str">
        <f aca="false">IF(AND($Y11&lt;&gt;"",$Y11&gt;=CI$7,$Y11&lt;CI$7+7),"I","")&amp;IF(AND($Z11&lt;&gt;"",$Z11&gt;=CI$7,$Z11&lt;CI$7+7),"P","")&amp;IF(AND($AA11&lt;&gt;"",$AA11&gt;=CI$7,$AA11&lt;CI$7+7),"T","")&amp;IF(AND($AB11&lt;&gt;"",$AB11&gt;=CI$7,$AB11&lt;CI$7+7),"H","")&amp;IF(AND($AC11&lt;&gt;"",$AC11&gt;=CI$7,$AC11&lt;CI$7+7),"G","")&amp;IF(AND($AH11&lt;&gt;"",$AH11&gt;=CI$7,$AH11&lt;CI$7+7),"S","")</f>
        <v/>
      </c>
      <c r="CJ11" s="92" t="str">
        <f aca="false">IF(AND($Y11&lt;&gt;"",$Y11&gt;=CJ$7,$Y11&lt;CJ$7+7),"I","")&amp;IF(AND($Z11&lt;&gt;"",$Z11&gt;=CJ$7,$Z11&lt;CJ$7+7),"P","")&amp;IF(AND($AA11&lt;&gt;"",$AA11&gt;=CJ$7,$AA11&lt;CJ$7+7),"T","")&amp;IF(AND($AB11&lt;&gt;"",$AB11&gt;=CJ$7,$AB11&lt;CJ$7+7),"H","")&amp;IF(AND($AC11&lt;&gt;"",$AC11&gt;=CJ$7,$AC11&lt;CJ$7+7),"G","")&amp;IF(AND($AH11&lt;&gt;"",$AH11&gt;=CJ$7,$AH11&lt;CJ$7+7),"S","")</f>
        <v/>
      </c>
      <c r="CK11" s="92" t="str">
        <f aca="false">IF(AND($Y11&lt;&gt;"",$Y11&gt;=CK$7,$Y11&lt;CK$7+7),"I","")&amp;IF(AND($Z11&lt;&gt;"",$Z11&gt;=CK$7,$Z11&lt;CK$7+7),"P","")&amp;IF(AND($AA11&lt;&gt;"",$AA11&gt;=CK$7,$AA11&lt;CK$7+7),"T","")&amp;IF(AND($AB11&lt;&gt;"",$AB11&gt;=CK$7,$AB11&lt;CK$7+7),"H","")&amp;IF(AND($AC11&lt;&gt;"",$AC11&gt;=CK$7,$AC11&lt;CK$7+7),"G","")&amp;IF(AND($AH11&lt;&gt;"",$AH11&gt;=CK$7,$AH11&lt;CK$7+7),"S","")</f>
        <v/>
      </c>
      <c r="CL11" s="92" t="str">
        <f aca="false">IF(AND($Y11&lt;&gt;"",$Y11&gt;=CL$7,$Y11&lt;CL$7+7),"I","")&amp;IF(AND($Z11&lt;&gt;"",$Z11&gt;=CL$7,$Z11&lt;CL$7+7),"P","")&amp;IF(AND($AA11&lt;&gt;"",$AA11&gt;=CL$7,$AA11&lt;CL$7+7),"T","")&amp;IF(AND($AB11&lt;&gt;"",$AB11&gt;=CL$7,$AB11&lt;CL$7+7),"H","")&amp;IF(AND($AC11&lt;&gt;"",$AC11&gt;=CL$7,$AC11&lt;CL$7+7),"G","")&amp;IF(AND($AH11&lt;&gt;"",$AH11&gt;=CL$7,$AH11&lt;CL$7+7),"S","")</f>
        <v/>
      </c>
      <c r="CM11" s="92" t="str">
        <f aca="false">IF(AND($Y11&lt;&gt;"",$Y11&gt;=CM$7,$Y11&lt;CM$7+7),"I","")&amp;IF(AND($Z11&lt;&gt;"",$Z11&gt;=CM$7,$Z11&lt;CM$7+7),"P","")&amp;IF(AND($AA11&lt;&gt;"",$AA11&gt;=CM$7,$AA11&lt;CM$7+7),"T","")&amp;IF(AND($AB11&lt;&gt;"",$AB11&gt;=CM$7,$AB11&lt;CM$7+7),"H","")&amp;IF(AND($AC11&lt;&gt;"",$AC11&gt;=CM$7,$AC11&lt;CM$7+7),"G","")&amp;IF(AND($AH11&lt;&gt;"",$AH11&gt;=CM$7,$AH11&lt;CM$7+7),"S","")</f>
        <v/>
      </c>
      <c r="CN11" s="92" t="str">
        <f aca="false">IF(AND($Y11&lt;&gt;"",$Y11&gt;=CN$7,$Y11&lt;CN$7+7),"I","")&amp;IF(AND($Z11&lt;&gt;"",$Z11&gt;=CN$7,$Z11&lt;CN$7+7),"P","")&amp;IF(AND($AA11&lt;&gt;"",$AA11&gt;=CN$7,$AA11&lt;CN$7+7),"T","")&amp;IF(AND($AB11&lt;&gt;"",$AB11&gt;=CN$7,$AB11&lt;CN$7+7),"H","")&amp;IF(AND($AC11&lt;&gt;"",$AC11&gt;=CN$7,$AC11&lt;CN$7+7),"G","")&amp;IF(AND($AH11&lt;&gt;"",$AH11&gt;=CN$7,$AH11&lt;CN$7+7),"S","")</f>
        <v/>
      </c>
      <c r="CO11" s="92" t="str">
        <f aca="false">IF(AND($Y11&lt;&gt;"",$Y11&gt;=CO$7,$Y11&lt;CO$7+7),"I","")&amp;IF(AND($Z11&lt;&gt;"",$Z11&gt;=CO$7,$Z11&lt;CO$7+7),"P","")&amp;IF(AND($AA11&lt;&gt;"",$AA11&gt;=CO$7,$AA11&lt;CO$7+7),"T","")&amp;IF(AND($AB11&lt;&gt;"",$AB11&gt;=CO$7,$AB11&lt;CO$7+7),"H","")&amp;IF(AND($AC11&lt;&gt;"",$AC11&gt;=CO$7,$AC11&lt;CO$7+7),"G","")&amp;IF(AND($AH11&lt;&gt;"",$AH11&gt;=CO$7,$AH11&lt;CO$7+7),"S","")</f>
        <v/>
      </c>
      <c r="CP11" s="92" t="str">
        <f aca="false">IF(AND($Y11&lt;&gt;"",$Y11&gt;=CP$7,$Y11&lt;CP$7+7),"I","")&amp;IF(AND($Z11&lt;&gt;"",$Z11&gt;=CP$7,$Z11&lt;CP$7+7),"P","")&amp;IF(AND($AA11&lt;&gt;"",$AA11&gt;=CP$7,$AA11&lt;CP$7+7),"T","")&amp;IF(AND($AB11&lt;&gt;"",$AB11&gt;=CP$7,$AB11&lt;CP$7+7),"H","")&amp;IF(AND($AC11&lt;&gt;"",$AC11&gt;=CP$7,$AC11&lt;CP$7+7),"G","")&amp;IF(AND($AH11&lt;&gt;"",$AH11&gt;=CP$7,$AH11&lt;CP$7+7),"S","")</f>
        <v/>
      </c>
      <c r="CQ11" s="92" t="str">
        <f aca="false">IF(AND($Y11&lt;&gt;"",$Y11&gt;=CQ$7,$Y11&lt;CQ$7+7),"I","")&amp;IF(AND($Z11&lt;&gt;"",$Z11&gt;=CQ$7,$Z11&lt;CQ$7+7),"P","")&amp;IF(AND($AA11&lt;&gt;"",$AA11&gt;=CQ$7,$AA11&lt;CQ$7+7),"T","")&amp;IF(AND($AB11&lt;&gt;"",$AB11&gt;=CQ$7,$AB11&lt;CQ$7+7),"H","")&amp;IF(AND($AC11&lt;&gt;"",$AC11&gt;=CQ$7,$AC11&lt;CQ$7+7),"G","")&amp;IF(AND($AH11&lt;&gt;"",$AH11&gt;=CQ$7,$AH11&lt;CQ$7+7),"S","")</f>
        <v/>
      </c>
      <c r="CR11" s="92" t="str">
        <f aca="false">IF(AND($Y11&lt;&gt;"",$Y11&gt;=CR$7,$Y11&lt;CR$7+7),"I","")&amp;IF(AND($Z11&lt;&gt;"",$Z11&gt;=CR$7,$Z11&lt;CR$7+7),"P","")&amp;IF(AND($AA11&lt;&gt;"",$AA11&gt;=CR$7,$AA11&lt;CR$7+7),"T","")&amp;IF(AND($AB11&lt;&gt;"",$AB11&gt;=CR$7,$AB11&lt;CR$7+7),"H","")&amp;IF(AND($AC11&lt;&gt;"",$AC11&gt;=CR$7,$AC11&lt;CR$7+7),"G","")&amp;IF(AND($AH11&lt;&gt;"",$AH11&gt;=CR$7,$AH11&lt;CR$7+7),"S","")</f>
        <v/>
      </c>
      <c r="CS11" s="92" t="str">
        <f aca="false">IF(AND($Y11&lt;&gt;"",$Y11&gt;=CS$7,$Y11&lt;CS$7+7),"I","")&amp;IF(AND($Z11&lt;&gt;"",$Z11&gt;=CS$7,$Z11&lt;CS$7+7),"P","")&amp;IF(AND($AA11&lt;&gt;"",$AA11&gt;=CS$7,$AA11&lt;CS$7+7),"T","")&amp;IF(AND($AB11&lt;&gt;"",$AB11&gt;=CS$7,$AB11&lt;CS$7+7),"H","")&amp;IF(AND($AC11&lt;&gt;"",$AC11&gt;=CS$7,$AC11&lt;CS$7+7),"G","")&amp;IF(AND($AH11&lt;&gt;"",$AH11&gt;=CS$7,$AH11&lt;CS$7+7),"S","")</f>
        <v/>
      </c>
      <c r="CT11" s="92" t="str">
        <f aca="false">IF(AND($Y11&lt;&gt;"",$Y11&gt;=CT$7,$Y11&lt;CT$7+7),"I","")&amp;IF(AND($Z11&lt;&gt;"",$Z11&gt;=CT$7,$Z11&lt;CT$7+7),"P","")&amp;IF(AND($AA11&lt;&gt;"",$AA11&gt;=CT$7,$AA11&lt;CT$7+7),"T","")&amp;IF(AND($AB11&lt;&gt;"",$AB11&gt;=CT$7,$AB11&lt;CT$7+7),"H","")&amp;IF(AND($AC11&lt;&gt;"",$AC11&gt;=CT$7,$AC11&lt;CT$7+7),"G","")&amp;IF(AND($AH11&lt;&gt;"",$AH11&gt;=CT$7,$AH11&lt;CT$7+7),"S","")</f>
        <v/>
      </c>
      <c r="CU11" s="92" t="str">
        <f aca="false">IF(AND($Y11&lt;&gt;"",$Y11&gt;=CU$7,$Y11&lt;CU$7+7),"I","")&amp;IF(AND($Z11&lt;&gt;"",$Z11&gt;=CU$7,$Z11&lt;CU$7+7),"P","")&amp;IF(AND($AA11&lt;&gt;"",$AA11&gt;=CU$7,$AA11&lt;CU$7+7),"T","")&amp;IF(AND($AB11&lt;&gt;"",$AB11&gt;=CU$7,$AB11&lt;CU$7+7),"H","")&amp;IF(AND($AC11&lt;&gt;"",$AC11&gt;=CU$7,$AC11&lt;CU$7+7),"G","")&amp;IF(AND($AH11&lt;&gt;"",$AH11&gt;=CU$7,$AH11&lt;CU$7+7),"S","")</f>
        <v/>
      </c>
      <c r="CV11" s="92" t="str">
        <f aca="false">IF(AND($Y11&lt;&gt;"",$Y11&gt;=CV$7,$Y11&lt;CV$7+7),"I","")&amp;IF(AND($Z11&lt;&gt;"",$Z11&gt;=CV$7,$Z11&lt;CV$7+7),"P","")&amp;IF(AND($AA11&lt;&gt;"",$AA11&gt;=CV$7,$AA11&lt;CV$7+7),"T","")&amp;IF(AND($AB11&lt;&gt;"",$AB11&gt;=CV$7,$AB11&lt;CV$7+7),"H","")&amp;IF(AND($AC11&lt;&gt;"",$AC11&gt;=CV$7,$AC11&lt;CV$7+7),"G","")&amp;IF(AND($AH11&lt;&gt;"",$AH11&gt;=CV$7,$AH11&lt;CV$7+7),"S","")</f>
        <v/>
      </c>
      <c r="CW11" s="92" t="str">
        <f aca="false">IF(AND($Y11&lt;&gt;"",$Y11&gt;=CW$7,$Y11&lt;CW$7+7),"I","")&amp;IF(AND($Z11&lt;&gt;"",$Z11&gt;=CW$7,$Z11&lt;CW$7+7),"P","")&amp;IF(AND($AA11&lt;&gt;"",$AA11&gt;=CW$7,$AA11&lt;CW$7+7),"T","")&amp;IF(AND($AB11&lt;&gt;"",$AB11&gt;=CW$7,$AB11&lt;CW$7+7),"H","")&amp;IF(AND($AC11&lt;&gt;"",$AC11&gt;=CW$7,$AC11&lt;CW$7+7),"G","")&amp;IF(AND($AH11&lt;&gt;"",$AH11&gt;=CW$7,$AH11&lt;CW$7+7),"S","")</f>
        <v/>
      </c>
      <c r="CX11" s="92" t="str">
        <f aca="false">IF(AND($Y11&lt;&gt;"",$Y11&gt;=CX$7,$Y11&lt;CX$7+7),"I","")&amp;IF(AND($Z11&lt;&gt;"",$Z11&gt;=CX$7,$Z11&lt;CX$7+7),"P","")&amp;IF(AND($AA11&lt;&gt;"",$AA11&gt;=CX$7,$AA11&lt;CX$7+7),"T","")&amp;IF(AND($AB11&lt;&gt;"",$AB11&gt;=CX$7,$AB11&lt;CX$7+7),"H","")&amp;IF(AND($AC11&lt;&gt;"",$AC11&gt;=CX$7,$AC11&lt;CX$7+7),"G","")&amp;IF(AND($AH11&lt;&gt;"",$AH11&gt;=CX$7,$AH11&lt;CX$7+7),"S","")</f>
        <v/>
      </c>
      <c r="CY11" s="92" t="str">
        <f aca="false">IF(AND($Y11&lt;&gt;"",$Y11&gt;=CY$7,$Y11&lt;CY$7+7),"I","")&amp;IF(AND($Z11&lt;&gt;"",$Z11&gt;=CY$7,$Z11&lt;CY$7+7),"P","")&amp;IF(AND($AA11&lt;&gt;"",$AA11&gt;=CY$7,$AA11&lt;CY$7+7),"T","")&amp;IF(AND($AB11&lt;&gt;"",$AB11&gt;=CY$7,$AB11&lt;CY$7+7),"H","")&amp;IF(AND($AC11&lt;&gt;"",$AC11&gt;=CY$7,$AC11&lt;CY$7+7),"G","")&amp;IF(AND($AH11&lt;&gt;"",$AH11&gt;=CY$7,$AH11&lt;CY$7+7),"S","")</f>
        <v/>
      </c>
      <c r="CZ11" s="92" t="str">
        <f aca="false">IF(AND($Y11&lt;&gt;"",$Y11&gt;=CZ$7,$Y11&lt;CZ$7+7),"I","")&amp;IF(AND($Z11&lt;&gt;"",$Z11&gt;=CZ$7,$Z11&lt;CZ$7+7),"P","")&amp;IF(AND($AA11&lt;&gt;"",$AA11&gt;=CZ$7,$AA11&lt;CZ$7+7),"T","")&amp;IF(AND($AB11&lt;&gt;"",$AB11&gt;=CZ$7,$AB11&lt;CZ$7+7),"H","")&amp;IF(AND($AC11&lt;&gt;"",$AC11&gt;=CZ$7,$AC11&lt;CZ$7+7),"G","")&amp;IF(AND($AH11&lt;&gt;"",$AH11&gt;=CZ$7,$AH11&lt;CZ$7+7),"S","")</f>
        <v/>
      </c>
      <c r="DA11" s="92" t="str">
        <f aca="false">IF(AND($Y11&lt;&gt;"",$Y11&gt;=DA$7,$Y11&lt;DA$7+7),"I","")&amp;IF(AND($Z11&lt;&gt;"",$Z11&gt;=DA$7,$Z11&lt;DA$7+7),"P","")&amp;IF(AND($AA11&lt;&gt;"",$AA11&gt;=DA$7,$AA11&lt;DA$7+7),"T","")&amp;IF(AND($AB11&lt;&gt;"",$AB11&gt;=DA$7,$AB11&lt;DA$7+7),"H","")&amp;IF(AND($AC11&lt;&gt;"",$AC11&gt;=DA$7,$AC11&lt;DA$7+7),"G","")&amp;IF(AND($AH11&lt;&gt;"",$AH11&gt;=DA$7,$AH11&lt;DA$7+7),"S","")</f>
        <v/>
      </c>
      <c r="DB11" s="92" t="str">
        <f aca="false">IF(AND($Y11&lt;&gt;"",$Y11&gt;=DB$7,$Y11&lt;DB$7+7),"I","")&amp;IF(AND($Z11&lt;&gt;"",$Z11&gt;=DB$7,$Z11&lt;DB$7+7),"P","")&amp;IF(AND($AA11&lt;&gt;"",$AA11&gt;=DB$7,$AA11&lt;DB$7+7),"T","")&amp;IF(AND($AB11&lt;&gt;"",$AB11&gt;=DB$7,$AB11&lt;DB$7+7),"H","")&amp;IF(AND($AC11&lt;&gt;"",$AC11&gt;=DB$7,$AC11&lt;DB$7+7),"G","")&amp;IF(AND($AH11&lt;&gt;"",$AH11&gt;=DB$7,$AH11&lt;DB$7+7),"S","")</f>
        <v/>
      </c>
      <c r="DC11" s="92" t="str">
        <f aca="false">IF(AND($Y11&lt;&gt;"",$Y11&gt;=DC$7,$Y11&lt;DC$7+7),"I","")&amp;IF(AND($Z11&lt;&gt;"",$Z11&gt;=DC$7,$Z11&lt;DC$7+7),"P","")&amp;IF(AND($AA11&lt;&gt;"",$AA11&gt;=DC$7,$AA11&lt;DC$7+7),"T","")&amp;IF(AND($AB11&lt;&gt;"",$AB11&gt;=DC$7,$AB11&lt;DC$7+7),"H","")&amp;IF(AND($AC11&lt;&gt;"",$AC11&gt;=DC$7,$AC11&lt;DC$7+7),"G","")&amp;IF(AND($AH11&lt;&gt;"",$AH11&gt;=DC$7,$AH11&lt;DC$7+7),"S","")</f>
        <v/>
      </c>
    </row>
    <row r="12" customFormat="false" ht="15" hidden="false" customHeight="false" outlineLevel="0" collapsed="false">
      <c r="A12" s="47" t="s">
        <v>58</v>
      </c>
      <c r="B12" s="31" t="s">
        <v>59</v>
      </c>
      <c r="C12" s="36" t="s">
        <v>565</v>
      </c>
      <c r="D12" s="31" t="s">
        <v>566</v>
      </c>
      <c r="E12" s="31" t="s">
        <v>174</v>
      </c>
      <c r="F12" s="75" t="n">
        <v>150.48</v>
      </c>
      <c r="G12" s="31" t="s">
        <v>170</v>
      </c>
      <c r="H12" s="76" t="n">
        <f aca="false">PROJ_START+RD_SPAN</f>
        <v>46403</v>
      </c>
      <c r="I12" s="77" t="n">
        <f aca="false">H12+33</f>
        <v>46436</v>
      </c>
      <c r="J12" s="31" t="s">
        <v>61</v>
      </c>
      <c r="K12" s="36" t="s">
        <v>131</v>
      </c>
      <c r="L12" s="36" t="s">
        <v>60</v>
      </c>
      <c r="M12" s="36" t="s">
        <v>567</v>
      </c>
      <c r="N12" s="78" t="str">
        <f aca="false">IF(ISNUMBER(อัปเดตรายสัปดาห์!$AF12),อัปเดตรายสัปดาห์!$AF12,"")</f>
        <v/>
      </c>
      <c r="O12" s="78" t="str">
        <f aca="false">IF(ISNUMBER(อัปเดตรายสัปดาห์!$AH12),อัปเดตรายสัปดาห์!$AH12,"")</f>
        <v/>
      </c>
      <c r="P12" s="78" t="str">
        <f aca="false">IF(ISNUMBER(อัปเดตรายสัปดาห์!$AG12),อัปเดตรายสัปดาห์!$AG12,IF(AND(ISNUMBER(TCRoof!$AC$12),N(TCRoof!$AC$12)&lt;=ASOF),TCRoof!$AC$12,""))</f>
        <v/>
      </c>
      <c r="Q12" s="78" t="str">
        <f aca="false">IF(ISNUMBER(อัปเดตรายสัปดาห์!$AL12),อัปเดตรายสัปดาห์!$AL12,"")</f>
        <v/>
      </c>
      <c r="R12" s="78" t="str">
        <f aca="false">IF(ISNUMBER(อัปเดตรายสัปดาห์!$Q12),อัปเดตรายสัปดาห์!$Q12,"")</f>
        <v/>
      </c>
      <c r="S12" s="78" t="str">
        <f aca="false">IF(ISNUMBER(อัปเดตรายสัปดาห์!$R12),อัปเดตรายสัปดาห์!$R12,"")</f>
        <v/>
      </c>
      <c r="T12" s="78" t="str">
        <f aca="false">IF(ISNUMBER(อัปเดตรายสัปดาห์!$S12),อัปเดตรายสัปดาห์!$S12,IF(อัปเดตรายสัปดาห์!$S12="Y",ASOF,""))</f>
        <v/>
      </c>
      <c r="U12" s="78" t="str">
        <f aca="false">IF(ISNUMBER(อัปเดตรายสัปดาห์!$T12),อัปเดตรายสัปดาห์!$T12,IF(อัปเดตรายสัปดาห์!$T12="Y",ASOF,""))</f>
        <v/>
      </c>
      <c r="V12" s="78" t="str">
        <f aca="false">IF(ISNUMBER(อัปเดตรายสัปดาห์!$U12),อัปเดตรายสัปดาห์!$U12,IF(อัปเดตรายสัปดาห์!$U12="Y",ASOF,""))</f>
        <v/>
      </c>
      <c r="W12" s="78" t="str">
        <f aca="false">IF(ISNUMBER(อัปเดตรายสัปดาห์!$N12),อัปเดตรายสัปดาห์!$N12,"")</f>
        <v/>
      </c>
      <c r="X12" s="78" t="str">
        <f aca="false">IF(ISNUMBER(อัปเดตรายสัปดาห์!$V12),อัปเดตรายสัปดาห์!$V12,IF(AND(ISNUMBER(TCRoof!$AD$12),N(TCRoof!$AD$12)&lt;=ASOF),TCRoof!$AD$12,""))</f>
        <v/>
      </c>
      <c r="Y12" s="79" t="n">
        <f aca="false">IF(N12&lt;&gt;"",N12,WORKDAY((ASOF+LEAD_INST+7*INT((AT12-0.01)/MAX(1,AU12)))-1,1,HOLIDAYS))</f>
        <v>46349</v>
      </c>
      <c r="Z12" s="79" t="n">
        <f aca="false">IF(O12&lt;&gt;"",O12,WORKDAY((MAX(AV12+7*INT((AW12-1)/MAX(1,AX12)),AV12+7*INT((AY12-1)/MAX(1,AZ12))))-1,1,HOLIDAYS))</f>
        <v>46356</v>
      </c>
      <c r="AA12" s="79" t="n">
        <f aca="false">IF(P12&lt;&gt;"",P12,WORKDAY((BA12+7*INT((BB12-1)/MAX(1,BC12)))-1,1,HOLIDAYS))</f>
        <v>46359</v>
      </c>
      <c r="AB12" s="79" t="n">
        <f aca="false">IF(Q12&lt;&gt;"",Q12,WORKDAY((MAX(AA12+BD12,ASOF+1))-1,1,HOLIDAYS))</f>
        <v>46367</v>
      </c>
      <c r="AC12" s="79" t="n">
        <f aca="false">IF(R12&lt;&gt;"",R12,WORKDAY((MAX(Y12,ASOF)+LAG_GRID)-1,1,HOLIDAYS))</f>
        <v>46356</v>
      </c>
      <c r="AD12" s="79" t="n">
        <f aca="false">IF(T12&lt;&gt;"",T12,WORKDAY((MAX(WORKDAY(MAX(AC12,N(S12)),REVIEW_WD,HOLIDAYS),ASOF+1))-1,1,HOLIDAYS))</f>
        <v>46379</v>
      </c>
      <c r="AE12" s="79" t="n">
        <f aca="false">IF(U12&lt;&gt;"",U12,WORKDAY((MAX(AD12,ASOF)+FEE_DAYS)-1,1,HOLIDAYS))</f>
        <v>46386</v>
      </c>
      <c r="AF12" s="79" t="n">
        <f aca="false">IF(V12&lt;&gt;"",V12,WORKDAY((MAX(AA12,Z12,AE12,IF(AG12="",0,AG12+REVIEW_PK2),ASOF)+LAG_INSREQ)-1,1,HOLIDAYS))</f>
        <v>46391</v>
      </c>
      <c r="AG12" s="79" t="str">
        <f aca="false">IF(M12&lt;&gt;"Y","",IF(W12&lt;&gt;"",W12,WORKDAY((MAX(Y12,ASOF)+LAG_GRID)-1,1,HOLIDAYS)))</f>
        <v/>
      </c>
      <c r="AH12" s="80" t="n">
        <f aca="false">IF(X12&lt;&gt;"",X12,WORKDAY(AF12,INSPECT_WD,HOLIDAYS))</f>
        <v>46433</v>
      </c>
      <c r="AI12" s="81" t="n">
        <f aca="false">IF(H12="","",AB12-H12)</f>
        <v>-36</v>
      </c>
      <c r="AJ12" s="81" t="n">
        <f aca="false">IF(I12="","",AH12-I12)</f>
        <v>-3</v>
      </c>
      <c r="AK12" s="82" t="n">
        <f aca="false">IF(AND(ISNUMBER(N12),N(N12)&lt;=ASOF),1,0)+IF(AND(ISNUMBER(O12),N(O12)&lt;=ASOF),1,0)+IF(AND(ISNUMBER(P12),N(P12)&lt;=ASOF),1,0)+IF(AND(ISNUMBER(Q12),N(Q12)&lt;=ASOF),1,0)+IF(AND(ISNUMBER(R12),N(R12)&lt;=ASOF),1,0)+IF(AND(ISNUMBER(U12),N(U12)&lt;=ASOF),1,0)+IF(AND(ISNUMBER(X12),N(X12)&lt;=ASOF),1,0)</f>
        <v>0</v>
      </c>
      <c r="AL12" s="83" t="n">
        <v>7</v>
      </c>
      <c r="AM12" s="84" t="n">
        <f aca="false">'P9-005'!$J$4</f>
        <v>0</v>
      </c>
      <c r="AN12" s="85" t="str">
        <f aca="false">TRIM(IF(AND(ISNUMBER(O12),NOT(ISNUMBER(N12))),"กฟภ.ตรวจก่อนติดตั้ง, ","")&amp;IF(AND(ISNUMBER(P12),NOT(ISNUMBER(N12))),"IEC ก่อนติดตั้ง, ","")&amp;IF(AND(ISNUMBER(Q12),NOT(ISNUMBER(N12))),"ส่งมอบก่อนติดตั้ง, ","")&amp;IF(AND(ISNUMBER(Q12),ISNUMBER(P12),N(Q12)&lt;N(P12)),"ส่งมอบก่อน IEC, ","")&amp;IF(AND(ISNUMBER(อัปเดตรายสัปดาห์!$AG12),ISNUMBER(TCRoof!$AC$12),ABS(N(อัปเดตรายสัปดาห์!$AG12)-N(TCRoof!$AC$12))&gt;3),"IEC Excel≠แอป, ","")&amp;IF(AND(ISNUMBER(อัปเดตรายสัปดาห์!$V12),ISNUMBER(TCRoof!$AD$12),ABS(N(อัปเดตรายสัปดาห์!$V12)-N(TCRoof!$AD$12))&gt;3),"COD Excel≠แอป, ","")&amp;IF(AND(ISNUMBER(อัปเดตรายสัปดาห์!$AF12),ISNUMBER(TCRoof!$AB$12),ABS(N(อัปเดตรายสัปดาห์!$AF12)-N(TCRoof!$AB$12))&gt;3),"ติดตั้ง Excel≠แอป, ","")&amp;IF(AND(ISNUMBER(N12),N(N12)&gt;ASOF,OR(WEEKDAY(N(N12),2)&gt;5,COUNTIF(HOLIDAYS,N(N12))&gt;0)),"นัดดับไฟตรงวันหยุด, ","")&amp;IF(AND(ISNUMBER(O12),N(O12)&gt;ASOF,OR(WEEKDAY(N(O12),2)&gt;5,COUNTIF(HOLIDAYS,N(O12))&gt;0)),"นัด กฟภ.ตรงวันหยุด, ","")&amp;IF(AND(ISNUMBER(P12),N(P12)&gt;ASOF,OR(WEEKDAY(N(P12),2)&gt;5,COUNTIF(HOLIDAYS,N(P12))&gt;0)),"นัด IECตรงวันหยุด, ","")&amp;IF(AND(ISNUMBER(X12),N(X12)&gt;ASOF,OR(WEEKDAY(N(X12),2)&gt;5,COUNTIF(HOLIDAYS,N(X12))&gt;0)),"นัด Syncตรงวันหยุด, ",""))</f>
        <v/>
      </c>
      <c r="AO12" s="86" t="n">
        <f aca="false">SUMIFS(CR_COD,CR_ST,A12,CR_STAT,"อนุมัติ")+SUMIFS(CR_COD,CR_ST,"ทั้งเฟส",CR_STAT,"อนุมัติ")+SUMIFS(CR_COD,CR_ST,"ผรม. "&amp;L12,CR_STAT,"อนุมัติ")+SUMIFS(CR_COD,CR_ST,"เขต "&amp;E12,CR_STAT,"อนุมัติ")</f>
        <v>0</v>
      </c>
      <c r="AP12" s="86" t="n">
        <f aca="false">IF(NOT(ISNUMBER(AJ12)),"",MAX(0,AJ12-AO12))</f>
        <v>0</v>
      </c>
      <c r="AQ12" s="86" t="n">
        <f aca="false">COUNTIF(RW_ST,A12)</f>
        <v>0</v>
      </c>
      <c r="AR12" s="87" t="str">
        <f aca="false">IF(ISNUMBER(TCRoof!$I$12),TCRoof!$I$12,"")</f>
        <v/>
      </c>
      <c r="AS12" s="88" t="str">
        <f aca="false">IF(ISNUMBER(TCRoof!$H$12),TCRoof!$H$12,"")</f>
        <v/>
      </c>
      <c r="AT12" s="89" t="n">
        <f aca="false">IF(N12&lt;&gt;"","",SUMIFS($F$8:$F$27,$L$8:$L$27,L12,$N$8:$N$27,"",$H$8:$H$27,"&lt;"&amp;H12)+SUMIFS($F$8:$F$27,$L$8:$L$27,L12,$N$8:$N$27,"",$H$8:$H$27,H12,$A$8:$A$27,"&lt;="&amp;A12)+SUMIFS($F$8:$F$27,$L$8:$L$27,L12,$N$8:$N$27,"&gt;"&amp;ASOF))</f>
        <v>150.48</v>
      </c>
      <c r="AU12" s="89" t="n">
        <f aca="false">IFERROR(VLOOKUP(L12,TEAM_TBL,2,0)*VLOOKUP(L12,TEAM_TBL,3,0),150)</f>
        <v>150</v>
      </c>
      <c r="AV12" s="90" t="n">
        <f aca="false">IF(O12&lt;&gt;"","",MAX(Y12+LAG_PEA,ASOF+LAG_PEA))</f>
        <v>46356</v>
      </c>
      <c r="AW12" s="89" t="n">
        <f aca="false">IF(O12&lt;&gt;"","",COUNTIFS($E$8:$E$27,E12,$AV$8:$AV$27,"&lt;"&amp;AV12)+COUNTIFS($E$8:$E$27,E12,$AV$8:$AV$27,AV12,$A$8:$A$27,"&lt;"&amp;A12)+COUNTIFS($E$8:$E$27,E12,$O$8:$O$27,"&gt;"&amp;ASOF)+1)</f>
        <v>1</v>
      </c>
      <c r="AX12" s="89" t="n">
        <f aca="false">IFERROR(VLOOKUP(E12,ZONE_TBL,2,0),CAP_PEA)</f>
        <v>3</v>
      </c>
      <c r="AY12" s="89" t="n">
        <f aca="false">IF(O12&lt;&gt;"","",COUNTIFS($J$8:$J$27,J12,$AV$8:$AV$27,"&lt;"&amp;AV12)+COUNTIFS($J$8:$J$27,J12,$AV$8:$AV$27,AV12,$A$8:$A$27,"&lt;"&amp;A12)+COUNTIFS($J$8:$J$27,J12,$O$8:$O$27,"&gt;"&amp;ASOF)+1)</f>
        <v>1</v>
      </c>
      <c r="AZ12" s="89" t="n">
        <f aca="false">IFERROR(VLOOKUP(J12,ENG_TBL,2,0),ENG_CAP)</f>
        <v>3</v>
      </c>
      <c r="BA12" s="90" t="n">
        <f aca="false">IF(P12&lt;&gt;"","",MAX(Z12+LAG_IEC,ASOF+1))</f>
        <v>46359</v>
      </c>
      <c r="BB12" s="89" t="n">
        <f aca="false">IF(P12&lt;&gt;"","",COUNTIFS($L$8:$L$27,L12,$BA$8:$BA$27,"&lt;"&amp;BA12)+COUNTIFS($L$8:$L$27,L12,$BA$8:$BA$27,BA12,$A$8:$A$27,"&lt;"&amp;A12)+COUNTIFS($L$8:$L$27,L12,$P$8:$P$27,"&gt;"&amp;ASOF)+1)</f>
        <v>1</v>
      </c>
      <c r="BC12" s="89" t="n">
        <f aca="false">IFERROR(VLOOKUP(L12,TEAM_TBL,4,0)*VLOOKUP(L12,TEAM_TBL,5,0),3)</f>
        <v>3</v>
      </c>
      <c r="BD12" s="91" t="n">
        <f aca="false">IFERROR(VLOOKUP(L12,TEAM_TBL,6,0),LAG_HO)</f>
        <v>7</v>
      </c>
      <c r="BE12" s="89" t="n">
        <f aca="false">IF(ISNUMBER(AW12),7*INT((AW12-1)/MAX(1,AX12)),"")</f>
        <v>0</v>
      </c>
      <c r="BF12" s="89" t="n">
        <f aca="false">IF(ISNUMBER(AY12),7*INT((AY12-1)/MAX(1,AZ12)),"")</f>
        <v>0</v>
      </c>
      <c r="BH12" s="92" t="str">
        <f aca="false">IF(AND($Y12&lt;&gt;"",$Y12&gt;=BH$7,$Y12&lt;BH$7+7),"I","")&amp;IF(AND($Z12&lt;&gt;"",$Z12&gt;=BH$7,$Z12&lt;BH$7+7),"P","")&amp;IF(AND($AA12&lt;&gt;"",$AA12&gt;=BH$7,$AA12&lt;BH$7+7),"T","")&amp;IF(AND($AB12&lt;&gt;"",$AB12&gt;=BH$7,$AB12&lt;BH$7+7),"H","")&amp;IF(AND($AC12&lt;&gt;"",$AC12&gt;=BH$7,$AC12&lt;BH$7+7),"G","")&amp;IF(AND($AH12&lt;&gt;"",$AH12&gt;=BH$7,$AH12&lt;BH$7+7),"S","")</f>
        <v/>
      </c>
      <c r="BI12" s="92" t="str">
        <f aca="false">IF(AND($Y12&lt;&gt;"",$Y12&gt;=BI$7,$Y12&lt;BI$7+7),"I","")&amp;IF(AND($Z12&lt;&gt;"",$Z12&gt;=BI$7,$Z12&lt;BI$7+7),"P","")&amp;IF(AND($AA12&lt;&gt;"",$AA12&gt;=BI$7,$AA12&lt;BI$7+7),"T","")&amp;IF(AND($AB12&lt;&gt;"",$AB12&gt;=BI$7,$AB12&lt;BI$7+7),"H","")&amp;IF(AND($AC12&lt;&gt;"",$AC12&gt;=BI$7,$AC12&lt;BI$7+7),"G","")&amp;IF(AND($AH12&lt;&gt;"",$AH12&gt;=BI$7,$AH12&lt;BI$7+7),"S","")</f>
        <v/>
      </c>
      <c r="BJ12" s="92" t="str">
        <f aca="false">IF(AND($Y12&lt;&gt;"",$Y12&gt;=BJ$7,$Y12&lt;BJ$7+7),"I","")&amp;IF(AND($Z12&lt;&gt;"",$Z12&gt;=BJ$7,$Z12&lt;BJ$7+7),"P","")&amp;IF(AND($AA12&lt;&gt;"",$AA12&gt;=BJ$7,$AA12&lt;BJ$7+7),"T","")&amp;IF(AND($AB12&lt;&gt;"",$AB12&gt;=BJ$7,$AB12&lt;BJ$7+7),"H","")&amp;IF(AND($AC12&lt;&gt;"",$AC12&gt;=BJ$7,$AC12&lt;BJ$7+7),"G","")&amp;IF(AND($AH12&lt;&gt;"",$AH12&gt;=BJ$7,$AH12&lt;BJ$7+7),"S","")</f>
        <v/>
      </c>
      <c r="BK12" s="92" t="str">
        <f aca="false">IF(AND($Y12&lt;&gt;"",$Y12&gt;=BK$7,$Y12&lt;BK$7+7),"I","")&amp;IF(AND($Z12&lt;&gt;"",$Z12&gt;=BK$7,$Z12&lt;BK$7+7),"P","")&amp;IF(AND($AA12&lt;&gt;"",$AA12&gt;=BK$7,$AA12&lt;BK$7+7),"T","")&amp;IF(AND($AB12&lt;&gt;"",$AB12&gt;=BK$7,$AB12&lt;BK$7+7),"H","")&amp;IF(AND($AC12&lt;&gt;"",$AC12&gt;=BK$7,$AC12&lt;BK$7+7),"G","")&amp;IF(AND($AH12&lt;&gt;"",$AH12&gt;=BK$7,$AH12&lt;BK$7+7),"S","")</f>
        <v/>
      </c>
      <c r="BL12" s="92" t="str">
        <f aca="false">IF(AND($Y12&lt;&gt;"",$Y12&gt;=BL$7,$Y12&lt;BL$7+7),"I","")&amp;IF(AND($Z12&lt;&gt;"",$Z12&gt;=BL$7,$Z12&lt;BL$7+7),"P","")&amp;IF(AND($AA12&lt;&gt;"",$AA12&gt;=BL$7,$AA12&lt;BL$7+7),"T","")&amp;IF(AND($AB12&lt;&gt;"",$AB12&gt;=BL$7,$AB12&lt;BL$7+7),"H","")&amp;IF(AND($AC12&lt;&gt;"",$AC12&gt;=BL$7,$AC12&lt;BL$7+7),"G","")&amp;IF(AND($AH12&lt;&gt;"",$AH12&gt;=BL$7,$AH12&lt;BL$7+7),"S","")</f>
        <v>I</v>
      </c>
      <c r="BM12" s="92" t="str">
        <f aca="false">IF(AND($Y12&lt;&gt;"",$Y12&gt;=BM$7,$Y12&lt;BM$7+7),"I","")&amp;IF(AND($Z12&lt;&gt;"",$Z12&gt;=BM$7,$Z12&lt;BM$7+7),"P","")&amp;IF(AND($AA12&lt;&gt;"",$AA12&gt;=BM$7,$AA12&lt;BM$7+7),"T","")&amp;IF(AND($AB12&lt;&gt;"",$AB12&gt;=BM$7,$AB12&lt;BM$7+7),"H","")&amp;IF(AND($AC12&lt;&gt;"",$AC12&gt;=BM$7,$AC12&lt;BM$7+7),"G","")&amp;IF(AND($AH12&lt;&gt;"",$AH12&gt;=BM$7,$AH12&lt;BM$7+7),"S","")</f>
        <v>PTG</v>
      </c>
      <c r="BN12" s="92" t="str">
        <f aca="false">IF(AND($Y12&lt;&gt;"",$Y12&gt;=BN$7,$Y12&lt;BN$7+7),"I","")&amp;IF(AND($Z12&lt;&gt;"",$Z12&gt;=BN$7,$Z12&lt;BN$7+7),"P","")&amp;IF(AND($AA12&lt;&gt;"",$AA12&gt;=BN$7,$AA12&lt;BN$7+7),"T","")&amp;IF(AND($AB12&lt;&gt;"",$AB12&gt;=BN$7,$AB12&lt;BN$7+7),"H","")&amp;IF(AND($AC12&lt;&gt;"",$AC12&gt;=BN$7,$AC12&lt;BN$7+7),"G","")&amp;IF(AND($AH12&lt;&gt;"",$AH12&gt;=BN$7,$AH12&lt;BN$7+7),"S","")</f>
        <v>H</v>
      </c>
      <c r="BO12" s="92" t="str">
        <f aca="false">IF(AND($Y12&lt;&gt;"",$Y12&gt;=BO$7,$Y12&lt;BO$7+7),"I","")&amp;IF(AND($Z12&lt;&gt;"",$Z12&gt;=BO$7,$Z12&lt;BO$7+7),"P","")&amp;IF(AND($AA12&lt;&gt;"",$AA12&gt;=BO$7,$AA12&lt;BO$7+7),"T","")&amp;IF(AND($AB12&lt;&gt;"",$AB12&gt;=BO$7,$AB12&lt;BO$7+7),"H","")&amp;IF(AND($AC12&lt;&gt;"",$AC12&gt;=BO$7,$AC12&lt;BO$7+7),"G","")&amp;IF(AND($AH12&lt;&gt;"",$AH12&gt;=BO$7,$AH12&lt;BO$7+7),"S","")</f>
        <v/>
      </c>
      <c r="BP12" s="92" t="str">
        <f aca="false">IF(AND($Y12&lt;&gt;"",$Y12&gt;=BP$7,$Y12&lt;BP$7+7),"I","")&amp;IF(AND($Z12&lt;&gt;"",$Z12&gt;=BP$7,$Z12&lt;BP$7+7),"P","")&amp;IF(AND($AA12&lt;&gt;"",$AA12&gt;=BP$7,$AA12&lt;BP$7+7),"T","")&amp;IF(AND($AB12&lt;&gt;"",$AB12&gt;=BP$7,$AB12&lt;BP$7+7),"H","")&amp;IF(AND($AC12&lt;&gt;"",$AC12&gt;=BP$7,$AC12&lt;BP$7+7),"G","")&amp;IF(AND($AH12&lt;&gt;"",$AH12&gt;=BP$7,$AH12&lt;BP$7+7),"S","")</f>
        <v/>
      </c>
      <c r="BQ12" s="92" t="str">
        <f aca="false">IF(AND($Y12&lt;&gt;"",$Y12&gt;=BQ$7,$Y12&lt;BQ$7+7),"I","")&amp;IF(AND($Z12&lt;&gt;"",$Z12&gt;=BQ$7,$Z12&lt;BQ$7+7),"P","")&amp;IF(AND($AA12&lt;&gt;"",$AA12&gt;=BQ$7,$AA12&lt;BQ$7+7),"T","")&amp;IF(AND($AB12&lt;&gt;"",$AB12&gt;=BQ$7,$AB12&lt;BQ$7+7),"H","")&amp;IF(AND($AC12&lt;&gt;"",$AC12&gt;=BQ$7,$AC12&lt;BQ$7+7),"G","")&amp;IF(AND($AH12&lt;&gt;"",$AH12&gt;=BQ$7,$AH12&lt;BQ$7+7),"S","")</f>
        <v/>
      </c>
      <c r="BR12" s="92" t="str">
        <f aca="false">IF(AND($Y12&lt;&gt;"",$Y12&gt;=BR$7,$Y12&lt;BR$7+7),"I","")&amp;IF(AND($Z12&lt;&gt;"",$Z12&gt;=BR$7,$Z12&lt;BR$7+7),"P","")&amp;IF(AND($AA12&lt;&gt;"",$AA12&gt;=BR$7,$AA12&lt;BR$7+7),"T","")&amp;IF(AND($AB12&lt;&gt;"",$AB12&gt;=BR$7,$AB12&lt;BR$7+7),"H","")&amp;IF(AND($AC12&lt;&gt;"",$AC12&gt;=BR$7,$AC12&lt;BR$7+7),"G","")&amp;IF(AND($AH12&lt;&gt;"",$AH12&gt;=BR$7,$AH12&lt;BR$7+7),"S","")</f>
        <v/>
      </c>
      <c r="BS12" s="92" t="str">
        <f aca="false">IF(AND($Y12&lt;&gt;"",$Y12&gt;=BS$7,$Y12&lt;BS$7+7),"I","")&amp;IF(AND($Z12&lt;&gt;"",$Z12&gt;=BS$7,$Z12&lt;BS$7+7),"P","")&amp;IF(AND($AA12&lt;&gt;"",$AA12&gt;=BS$7,$AA12&lt;BS$7+7),"T","")&amp;IF(AND($AB12&lt;&gt;"",$AB12&gt;=BS$7,$AB12&lt;BS$7+7),"H","")&amp;IF(AND($AC12&lt;&gt;"",$AC12&gt;=BS$7,$AC12&lt;BS$7+7),"G","")&amp;IF(AND($AH12&lt;&gt;"",$AH12&gt;=BS$7,$AH12&lt;BS$7+7),"S","")</f>
        <v/>
      </c>
      <c r="BT12" s="92" t="str">
        <f aca="false">IF(AND($Y12&lt;&gt;"",$Y12&gt;=BT$7,$Y12&lt;BT$7+7),"I","")&amp;IF(AND($Z12&lt;&gt;"",$Z12&gt;=BT$7,$Z12&lt;BT$7+7),"P","")&amp;IF(AND($AA12&lt;&gt;"",$AA12&gt;=BT$7,$AA12&lt;BT$7+7),"T","")&amp;IF(AND($AB12&lt;&gt;"",$AB12&gt;=BT$7,$AB12&lt;BT$7+7),"H","")&amp;IF(AND($AC12&lt;&gt;"",$AC12&gt;=BT$7,$AC12&lt;BT$7+7),"G","")&amp;IF(AND($AH12&lt;&gt;"",$AH12&gt;=BT$7,$AH12&lt;BT$7+7),"S","")</f>
        <v/>
      </c>
      <c r="BU12" s="92" t="str">
        <f aca="false">IF(AND($Y12&lt;&gt;"",$Y12&gt;=BU$7,$Y12&lt;BU$7+7),"I","")&amp;IF(AND($Z12&lt;&gt;"",$Z12&gt;=BU$7,$Z12&lt;BU$7+7),"P","")&amp;IF(AND($AA12&lt;&gt;"",$AA12&gt;=BU$7,$AA12&lt;BU$7+7),"T","")&amp;IF(AND($AB12&lt;&gt;"",$AB12&gt;=BU$7,$AB12&lt;BU$7+7),"H","")&amp;IF(AND($AC12&lt;&gt;"",$AC12&gt;=BU$7,$AC12&lt;BU$7+7),"G","")&amp;IF(AND($AH12&lt;&gt;"",$AH12&gt;=BU$7,$AH12&lt;BU$7+7),"S","")</f>
        <v/>
      </c>
      <c r="BV12" s="92" t="str">
        <f aca="false">IF(AND($Y12&lt;&gt;"",$Y12&gt;=BV$7,$Y12&lt;BV$7+7),"I","")&amp;IF(AND($Z12&lt;&gt;"",$Z12&gt;=BV$7,$Z12&lt;BV$7+7),"P","")&amp;IF(AND($AA12&lt;&gt;"",$AA12&gt;=BV$7,$AA12&lt;BV$7+7),"T","")&amp;IF(AND($AB12&lt;&gt;"",$AB12&gt;=BV$7,$AB12&lt;BV$7+7),"H","")&amp;IF(AND($AC12&lt;&gt;"",$AC12&gt;=BV$7,$AC12&lt;BV$7+7),"G","")&amp;IF(AND($AH12&lt;&gt;"",$AH12&gt;=BV$7,$AH12&lt;BV$7+7),"S","")</f>
        <v/>
      </c>
      <c r="BW12" s="92" t="str">
        <f aca="false">IF(AND($Y12&lt;&gt;"",$Y12&gt;=BW$7,$Y12&lt;BW$7+7),"I","")&amp;IF(AND($Z12&lt;&gt;"",$Z12&gt;=BW$7,$Z12&lt;BW$7+7),"P","")&amp;IF(AND($AA12&lt;&gt;"",$AA12&gt;=BW$7,$AA12&lt;BW$7+7),"T","")&amp;IF(AND($AB12&lt;&gt;"",$AB12&gt;=BW$7,$AB12&lt;BW$7+7),"H","")&amp;IF(AND($AC12&lt;&gt;"",$AC12&gt;=BW$7,$AC12&lt;BW$7+7),"G","")&amp;IF(AND($AH12&lt;&gt;"",$AH12&gt;=BW$7,$AH12&lt;BW$7+7),"S","")</f>
        <v/>
      </c>
      <c r="BX12" s="92" t="str">
        <f aca="false">IF(AND($Y12&lt;&gt;"",$Y12&gt;=BX$7,$Y12&lt;BX$7+7),"I","")&amp;IF(AND($Z12&lt;&gt;"",$Z12&gt;=BX$7,$Z12&lt;BX$7+7),"P","")&amp;IF(AND($AA12&lt;&gt;"",$AA12&gt;=BX$7,$AA12&lt;BX$7+7),"T","")&amp;IF(AND($AB12&lt;&gt;"",$AB12&gt;=BX$7,$AB12&lt;BX$7+7),"H","")&amp;IF(AND($AC12&lt;&gt;"",$AC12&gt;=BX$7,$AC12&lt;BX$7+7),"G","")&amp;IF(AND($AH12&lt;&gt;"",$AH12&gt;=BX$7,$AH12&lt;BX$7+7),"S","")</f>
        <v>S</v>
      </c>
      <c r="BY12" s="92" t="str">
        <f aca="false">IF(AND($Y12&lt;&gt;"",$Y12&gt;=BY$7,$Y12&lt;BY$7+7),"I","")&amp;IF(AND($Z12&lt;&gt;"",$Z12&gt;=BY$7,$Z12&lt;BY$7+7),"P","")&amp;IF(AND($AA12&lt;&gt;"",$AA12&gt;=BY$7,$AA12&lt;BY$7+7),"T","")&amp;IF(AND($AB12&lt;&gt;"",$AB12&gt;=BY$7,$AB12&lt;BY$7+7),"H","")&amp;IF(AND($AC12&lt;&gt;"",$AC12&gt;=BY$7,$AC12&lt;BY$7+7),"G","")&amp;IF(AND($AH12&lt;&gt;"",$AH12&gt;=BY$7,$AH12&lt;BY$7+7),"S","")</f>
        <v/>
      </c>
      <c r="BZ12" s="92" t="str">
        <f aca="false">IF(AND($Y12&lt;&gt;"",$Y12&gt;=BZ$7,$Y12&lt;BZ$7+7),"I","")&amp;IF(AND($Z12&lt;&gt;"",$Z12&gt;=BZ$7,$Z12&lt;BZ$7+7),"P","")&amp;IF(AND($AA12&lt;&gt;"",$AA12&gt;=BZ$7,$AA12&lt;BZ$7+7),"T","")&amp;IF(AND($AB12&lt;&gt;"",$AB12&gt;=BZ$7,$AB12&lt;BZ$7+7),"H","")&amp;IF(AND($AC12&lt;&gt;"",$AC12&gt;=BZ$7,$AC12&lt;BZ$7+7),"G","")&amp;IF(AND($AH12&lt;&gt;"",$AH12&gt;=BZ$7,$AH12&lt;BZ$7+7),"S","")</f>
        <v/>
      </c>
      <c r="CA12" s="92" t="str">
        <f aca="false">IF(AND($Y12&lt;&gt;"",$Y12&gt;=CA$7,$Y12&lt;CA$7+7),"I","")&amp;IF(AND($Z12&lt;&gt;"",$Z12&gt;=CA$7,$Z12&lt;CA$7+7),"P","")&amp;IF(AND($AA12&lt;&gt;"",$AA12&gt;=CA$7,$AA12&lt;CA$7+7),"T","")&amp;IF(AND($AB12&lt;&gt;"",$AB12&gt;=CA$7,$AB12&lt;CA$7+7),"H","")&amp;IF(AND($AC12&lt;&gt;"",$AC12&gt;=CA$7,$AC12&lt;CA$7+7),"G","")&amp;IF(AND($AH12&lt;&gt;"",$AH12&gt;=CA$7,$AH12&lt;CA$7+7),"S","")</f>
        <v/>
      </c>
      <c r="CB12" s="92" t="str">
        <f aca="false">IF(AND($Y12&lt;&gt;"",$Y12&gt;=CB$7,$Y12&lt;CB$7+7),"I","")&amp;IF(AND($Z12&lt;&gt;"",$Z12&gt;=CB$7,$Z12&lt;CB$7+7),"P","")&amp;IF(AND($AA12&lt;&gt;"",$AA12&gt;=CB$7,$AA12&lt;CB$7+7),"T","")&amp;IF(AND($AB12&lt;&gt;"",$AB12&gt;=CB$7,$AB12&lt;CB$7+7),"H","")&amp;IF(AND($AC12&lt;&gt;"",$AC12&gt;=CB$7,$AC12&lt;CB$7+7),"G","")&amp;IF(AND($AH12&lt;&gt;"",$AH12&gt;=CB$7,$AH12&lt;CB$7+7),"S","")</f>
        <v/>
      </c>
      <c r="CC12" s="92" t="str">
        <f aca="false">IF(AND($Y12&lt;&gt;"",$Y12&gt;=CC$7,$Y12&lt;CC$7+7),"I","")&amp;IF(AND($Z12&lt;&gt;"",$Z12&gt;=CC$7,$Z12&lt;CC$7+7),"P","")&amp;IF(AND($AA12&lt;&gt;"",$AA12&gt;=CC$7,$AA12&lt;CC$7+7),"T","")&amp;IF(AND($AB12&lt;&gt;"",$AB12&gt;=CC$7,$AB12&lt;CC$7+7),"H","")&amp;IF(AND($AC12&lt;&gt;"",$AC12&gt;=CC$7,$AC12&lt;CC$7+7),"G","")&amp;IF(AND($AH12&lt;&gt;"",$AH12&gt;=CC$7,$AH12&lt;CC$7+7),"S","")</f>
        <v/>
      </c>
      <c r="CD12" s="92" t="str">
        <f aca="false">IF(AND($Y12&lt;&gt;"",$Y12&gt;=CD$7,$Y12&lt;CD$7+7),"I","")&amp;IF(AND($Z12&lt;&gt;"",$Z12&gt;=CD$7,$Z12&lt;CD$7+7),"P","")&amp;IF(AND($AA12&lt;&gt;"",$AA12&gt;=CD$7,$AA12&lt;CD$7+7),"T","")&amp;IF(AND($AB12&lt;&gt;"",$AB12&gt;=CD$7,$AB12&lt;CD$7+7),"H","")&amp;IF(AND($AC12&lt;&gt;"",$AC12&gt;=CD$7,$AC12&lt;CD$7+7),"G","")&amp;IF(AND($AH12&lt;&gt;"",$AH12&gt;=CD$7,$AH12&lt;CD$7+7),"S","")</f>
        <v/>
      </c>
      <c r="CE12" s="92" t="str">
        <f aca="false">IF(AND($Y12&lt;&gt;"",$Y12&gt;=CE$7,$Y12&lt;CE$7+7),"I","")&amp;IF(AND($Z12&lt;&gt;"",$Z12&gt;=CE$7,$Z12&lt;CE$7+7),"P","")&amp;IF(AND($AA12&lt;&gt;"",$AA12&gt;=CE$7,$AA12&lt;CE$7+7),"T","")&amp;IF(AND($AB12&lt;&gt;"",$AB12&gt;=CE$7,$AB12&lt;CE$7+7),"H","")&amp;IF(AND($AC12&lt;&gt;"",$AC12&gt;=CE$7,$AC12&lt;CE$7+7),"G","")&amp;IF(AND($AH12&lt;&gt;"",$AH12&gt;=CE$7,$AH12&lt;CE$7+7),"S","")</f>
        <v/>
      </c>
      <c r="CF12" s="92" t="str">
        <f aca="false">IF(AND($Y12&lt;&gt;"",$Y12&gt;=CF$7,$Y12&lt;CF$7+7),"I","")&amp;IF(AND($Z12&lt;&gt;"",$Z12&gt;=CF$7,$Z12&lt;CF$7+7),"P","")&amp;IF(AND($AA12&lt;&gt;"",$AA12&gt;=CF$7,$AA12&lt;CF$7+7),"T","")&amp;IF(AND($AB12&lt;&gt;"",$AB12&gt;=CF$7,$AB12&lt;CF$7+7),"H","")&amp;IF(AND($AC12&lt;&gt;"",$AC12&gt;=CF$7,$AC12&lt;CF$7+7),"G","")&amp;IF(AND($AH12&lt;&gt;"",$AH12&gt;=CF$7,$AH12&lt;CF$7+7),"S","")</f>
        <v/>
      </c>
      <c r="CG12" s="92" t="str">
        <f aca="false">IF(AND($Y12&lt;&gt;"",$Y12&gt;=CG$7,$Y12&lt;CG$7+7),"I","")&amp;IF(AND($Z12&lt;&gt;"",$Z12&gt;=CG$7,$Z12&lt;CG$7+7),"P","")&amp;IF(AND($AA12&lt;&gt;"",$AA12&gt;=CG$7,$AA12&lt;CG$7+7),"T","")&amp;IF(AND($AB12&lt;&gt;"",$AB12&gt;=CG$7,$AB12&lt;CG$7+7),"H","")&amp;IF(AND($AC12&lt;&gt;"",$AC12&gt;=CG$7,$AC12&lt;CG$7+7),"G","")&amp;IF(AND($AH12&lt;&gt;"",$AH12&gt;=CG$7,$AH12&lt;CG$7+7),"S","")</f>
        <v/>
      </c>
      <c r="CH12" s="92" t="str">
        <f aca="false">IF(AND($Y12&lt;&gt;"",$Y12&gt;=CH$7,$Y12&lt;CH$7+7),"I","")&amp;IF(AND($Z12&lt;&gt;"",$Z12&gt;=CH$7,$Z12&lt;CH$7+7),"P","")&amp;IF(AND($AA12&lt;&gt;"",$AA12&gt;=CH$7,$AA12&lt;CH$7+7),"T","")&amp;IF(AND($AB12&lt;&gt;"",$AB12&gt;=CH$7,$AB12&lt;CH$7+7),"H","")&amp;IF(AND($AC12&lt;&gt;"",$AC12&gt;=CH$7,$AC12&lt;CH$7+7),"G","")&amp;IF(AND($AH12&lt;&gt;"",$AH12&gt;=CH$7,$AH12&lt;CH$7+7),"S","")</f>
        <v/>
      </c>
      <c r="CI12" s="92" t="str">
        <f aca="false">IF(AND($Y12&lt;&gt;"",$Y12&gt;=CI$7,$Y12&lt;CI$7+7),"I","")&amp;IF(AND($Z12&lt;&gt;"",$Z12&gt;=CI$7,$Z12&lt;CI$7+7),"P","")&amp;IF(AND($AA12&lt;&gt;"",$AA12&gt;=CI$7,$AA12&lt;CI$7+7),"T","")&amp;IF(AND($AB12&lt;&gt;"",$AB12&gt;=CI$7,$AB12&lt;CI$7+7),"H","")&amp;IF(AND($AC12&lt;&gt;"",$AC12&gt;=CI$7,$AC12&lt;CI$7+7),"G","")&amp;IF(AND($AH12&lt;&gt;"",$AH12&gt;=CI$7,$AH12&lt;CI$7+7),"S","")</f>
        <v/>
      </c>
      <c r="CJ12" s="92" t="str">
        <f aca="false">IF(AND($Y12&lt;&gt;"",$Y12&gt;=CJ$7,$Y12&lt;CJ$7+7),"I","")&amp;IF(AND($Z12&lt;&gt;"",$Z12&gt;=CJ$7,$Z12&lt;CJ$7+7),"P","")&amp;IF(AND($AA12&lt;&gt;"",$AA12&gt;=CJ$7,$AA12&lt;CJ$7+7),"T","")&amp;IF(AND($AB12&lt;&gt;"",$AB12&gt;=CJ$7,$AB12&lt;CJ$7+7),"H","")&amp;IF(AND($AC12&lt;&gt;"",$AC12&gt;=CJ$7,$AC12&lt;CJ$7+7),"G","")&amp;IF(AND($AH12&lt;&gt;"",$AH12&gt;=CJ$7,$AH12&lt;CJ$7+7),"S","")</f>
        <v/>
      </c>
      <c r="CK12" s="92" t="str">
        <f aca="false">IF(AND($Y12&lt;&gt;"",$Y12&gt;=CK$7,$Y12&lt;CK$7+7),"I","")&amp;IF(AND($Z12&lt;&gt;"",$Z12&gt;=CK$7,$Z12&lt;CK$7+7),"P","")&amp;IF(AND($AA12&lt;&gt;"",$AA12&gt;=CK$7,$AA12&lt;CK$7+7),"T","")&amp;IF(AND($AB12&lt;&gt;"",$AB12&gt;=CK$7,$AB12&lt;CK$7+7),"H","")&amp;IF(AND($AC12&lt;&gt;"",$AC12&gt;=CK$7,$AC12&lt;CK$7+7),"G","")&amp;IF(AND($AH12&lt;&gt;"",$AH12&gt;=CK$7,$AH12&lt;CK$7+7),"S","")</f>
        <v/>
      </c>
      <c r="CL12" s="92" t="str">
        <f aca="false">IF(AND($Y12&lt;&gt;"",$Y12&gt;=CL$7,$Y12&lt;CL$7+7),"I","")&amp;IF(AND($Z12&lt;&gt;"",$Z12&gt;=CL$7,$Z12&lt;CL$7+7),"P","")&amp;IF(AND($AA12&lt;&gt;"",$AA12&gt;=CL$7,$AA12&lt;CL$7+7),"T","")&amp;IF(AND($AB12&lt;&gt;"",$AB12&gt;=CL$7,$AB12&lt;CL$7+7),"H","")&amp;IF(AND($AC12&lt;&gt;"",$AC12&gt;=CL$7,$AC12&lt;CL$7+7),"G","")&amp;IF(AND($AH12&lt;&gt;"",$AH12&gt;=CL$7,$AH12&lt;CL$7+7),"S","")</f>
        <v/>
      </c>
      <c r="CM12" s="92" t="str">
        <f aca="false">IF(AND($Y12&lt;&gt;"",$Y12&gt;=CM$7,$Y12&lt;CM$7+7),"I","")&amp;IF(AND($Z12&lt;&gt;"",$Z12&gt;=CM$7,$Z12&lt;CM$7+7),"P","")&amp;IF(AND($AA12&lt;&gt;"",$AA12&gt;=CM$7,$AA12&lt;CM$7+7),"T","")&amp;IF(AND($AB12&lt;&gt;"",$AB12&gt;=CM$7,$AB12&lt;CM$7+7),"H","")&amp;IF(AND($AC12&lt;&gt;"",$AC12&gt;=CM$7,$AC12&lt;CM$7+7),"G","")&amp;IF(AND($AH12&lt;&gt;"",$AH12&gt;=CM$7,$AH12&lt;CM$7+7),"S","")</f>
        <v/>
      </c>
      <c r="CN12" s="92" t="str">
        <f aca="false">IF(AND($Y12&lt;&gt;"",$Y12&gt;=CN$7,$Y12&lt;CN$7+7),"I","")&amp;IF(AND($Z12&lt;&gt;"",$Z12&gt;=CN$7,$Z12&lt;CN$7+7),"P","")&amp;IF(AND($AA12&lt;&gt;"",$AA12&gt;=CN$7,$AA12&lt;CN$7+7),"T","")&amp;IF(AND($AB12&lt;&gt;"",$AB12&gt;=CN$7,$AB12&lt;CN$7+7),"H","")&amp;IF(AND($AC12&lt;&gt;"",$AC12&gt;=CN$7,$AC12&lt;CN$7+7),"G","")&amp;IF(AND($AH12&lt;&gt;"",$AH12&gt;=CN$7,$AH12&lt;CN$7+7),"S","")</f>
        <v/>
      </c>
      <c r="CO12" s="92" t="str">
        <f aca="false">IF(AND($Y12&lt;&gt;"",$Y12&gt;=CO$7,$Y12&lt;CO$7+7),"I","")&amp;IF(AND($Z12&lt;&gt;"",$Z12&gt;=CO$7,$Z12&lt;CO$7+7),"P","")&amp;IF(AND($AA12&lt;&gt;"",$AA12&gt;=CO$7,$AA12&lt;CO$7+7),"T","")&amp;IF(AND($AB12&lt;&gt;"",$AB12&gt;=CO$7,$AB12&lt;CO$7+7),"H","")&amp;IF(AND($AC12&lt;&gt;"",$AC12&gt;=CO$7,$AC12&lt;CO$7+7),"G","")&amp;IF(AND($AH12&lt;&gt;"",$AH12&gt;=CO$7,$AH12&lt;CO$7+7),"S","")</f>
        <v/>
      </c>
      <c r="CP12" s="92" t="str">
        <f aca="false">IF(AND($Y12&lt;&gt;"",$Y12&gt;=CP$7,$Y12&lt;CP$7+7),"I","")&amp;IF(AND($Z12&lt;&gt;"",$Z12&gt;=CP$7,$Z12&lt;CP$7+7),"P","")&amp;IF(AND($AA12&lt;&gt;"",$AA12&gt;=CP$7,$AA12&lt;CP$7+7),"T","")&amp;IF(AND($AB12&lt;&gt;"",$AB12&gt;=CP$7,$AB12&lt;CP$7+7),"H","")&amp;IF(AND($AC12&lt;&gt;"",$AC12&gt;=CP$7,$AC12&lt;CP$7+7),"G","")&amp;IF(AND($AH12&lt;&gt;"",$AH12&gt;=CP$7,$AH12&lt;CP$7+7),"S","")</f>
        <v/>
      </c>
      <c r="CQ12" s="92" t="str">
        <f aca="false">IF(AND($Y12&lt;&gt;"",$Y12&gt;=CQ$7,$Y12&lt;CQ$7+7),"I","")&amp;IF(AND($Z12&lt;&gt;"",$Z12&gt;=CQ$7,$Z12&lt;CQ$7+7),"P","")&amp;IF(AND($AA12&lt;&gt;"",$AA12&gt;=CQ$7,$AA12&lt;CQ$7+7),"T","")&amp;IF(AND($AB12&lt;&gt;"",$AB12&gt;=CQ$7,$AB12&lt;CQ$7+7),"H","")&amp;IF(AND($AC12&lt;&gt;"",$AC12&gt;=CQ$7,$AC12&lt;CQ$7+7),"G","")&amp;IF(AND($AH12&lt;&gt;"",$AH12&gt;=CQ$7,$AH12&lt;CQ$7+7),"S","")</f>
        <v/>
      </c>
      <c r="CR12" s="92" t="str">
        <f aca="false">IF(AND($Y12&lt;&gt;"",$Y12&gt;=CR$7,$Y12&lt;CR$7+7),"I","")&amp;IF(AND($Z12&lt;&gt;"",$Z12&gt;=CR$7,$Z12&lt;CR$7+7),"P","")&amp;IF(AND($AA12&lt;&gt;"",$AA12&gt;=CR$7,$AA12&lt;CR$7+7),"T","")&amp;IF(AND($AB12&lt;&gt;"",$AB12&gt;=CR$7,$AB12&lt;CR$7+7),"H","")&amp;IF(AND($AC12&lt;&gt;"",$AC12&gt;=CR$7,$AC12&lt;CR$7+7),"G","")&amp;IF(AND($AH12&lt;&gt;"",$AH12&gt;=CR$7,$AH12&lt;CR$7+7),"S","")</f>
        <v/>
      </c>
      <c r="CS12" s="92" t="str">
        <f aca="false">IF(AND($Y12&lt;&gt;"",$Y12&gt;=CS$7,$Y12&lt;CS$7+7),"I","")&amp;IF(AND($Z12&lt;&gt;"",$Z12&gt;=CS$7,$Z12&lt;CS$7+7),"P","")&amp;IF(AND($AA12&lt;&gt;"",$AA12&gt;=CS$7,$AA12&lt;CS$7+7),"T","")&amp;IF(AND($AB12&lt;&gt;"",$AB12&gt;=CS$7,$AB12&lt;CS$7+7),"H","")&amp;IF(AND($AC12&lt;&gt;"",$AC12&gt;=CS$7,$AC12&lt;CS$7+7),"G","")&amp;IF(AND($AH12&lt;&gt;"",$AH12&gt;=CS$7,$AH12&lt;CS$7+7),"S","")</f>
        <v/>
      </c>
      <c r="CT12" s="92" t="str">
        <f aca="false">IF(AND($Y12&lt;&gt;"",$Y12&gt;=CT$7,$Y12&lt;CT$7+7),"I","")&amp;IF(AND($Z12&lt;&gt;"",$Z12&gt;=CT$7,$Z12&lt;CT$7+7),"P","")&amp;IF(AND($AA12&lt;&gt;"",$AA12&gt;=CT$7,$AA12&lt;CT$7+7),"T","")&amp;IF(AND($AB12&lt;&gt;"",$AB12&gt;=CT$7,$AB12&lt;CT$7+7),"H","")&amp;IF(AND($AC12&lt;&gt;"",$AC12&gt;=CT$7,$AC12&lt;CT$7+7),"G","")&amp;IF(AND($AH12&lt;&gt;"",$AH12&gt;=CT$7,$AH12&lt;CT$7+7),"S","")</f>
        <v/>
      </c>
      <c r="CU12" s="92" t="str">
        <f aca="false">IF(AND($Y12&lt;&gt;"",$Y12&gt;=CU$7,$Y12&lt;CU$7+7),"I","")&amp;IF(AND($Z12&lt;&gt;"",$Z12&gt;=CU$7,$Z12&lt;CU$7+7),"P","")&amp;IF(AND($AA12&lt;&gt;"",$AA12&gt;=CU$7,$AA12&lt;CU$7+7),"T","")&amp;IF(AND($AB12&lt;&gt;"",$AB12&gt;=CU$7,$AB12&lt;CU$7+7),"H","")&amp;IF(AND($AC12&lt;&gt;"",$AC12&gt;=CU$7,$AC12&lt;CU$7+7),"G","")&amp;IF(AND($AH12&lt;&gt;"",$AH12&gt;=CU$7,$AH12&lt;CU$7+7),"S","")</f>
        <v/>
      </c>
      <c r="CV12" s="92" t="str">
        <f aca="false">IF(AND($Y12&lt;&gt;"",$Y12&gt;=CV$7,$Y12&lt;CV$7+7),"I","")&amp;IF(AND($Z12&lt;&gt;"",$Z12&gt;=CV$7,$Z12&lt;CV$7+7),"P","")&amp;IF(AND($AA12&lt;&gt;"",$AA12&gt;=CV$7,$AA12&lt;CV$7+7),"T","")&amp;IF(AND($AB12&lt;&gt;"",$AB12&gt;=CV$7,$AB12&lt;CV$7+7),"H","")&amp;IF(AND($AC12&lt;&gt;"",$AC12&gt;=CV$7,$AC12&lt;CV$7+7),"G","")&amp;IF(AND($AH12&lt;&gt;"",$AH12&gt;=CV$7,$AH12&lt;CV$7+7),"S","")</f>
        <v/>
      </c>
      <c r="CW12" s="92" t="str">
        <f aca="false">IF(AND($Y12&lt;&gt;"",$Y12&gt;=CW$7,$Y12&lt;CW$7+7),"I","")&amp;IF(AND($Z12&lt;&gt;"",$Z12&gt;=CW$7,$Z12&lt;CW$7+7),"P","")&amp;IF(AND($AA12&lt;&gt;"",$AA12&gt;=CW$7,$AA12&lt;CW$7+7),"T","")&amp;IF(AND($AB12&lt;&gt;"",$AB12&gt;=CW$7,$AB12&lt;CW$7+7),"H","")&amp;IF(AND($AC12&lt;&gt;"",$AC12&gt;=CW$7,$AC12&lt;CW$7+7),"G","")&amp;IF(AND($AH12&lt;&gt;"",$AH12&gt;=CW$7,$AH12&lt;CW$7+7),"S","")</f>
        <v/>
      </c>
      <c r="CX12" s="92" t="str">
        <f aca="false">IF(AND($Y12&lt;&gt;"",$Y12&gt;=CX$7,$Y12&lt;CX$7+7),"I","")&amp;IF(AND($Z12&lt;&gt;"",$Z12&gt;=CX$7,$Z12&lt;CX$7+7),"P","")&amp;IF(AND($AA12&lt;&gt;"",$AA12&gt;=CX$7,$AA12&lt;CX$7+7),"T","")&amp;IF(AND($AB12&lt;&gt;"",$AB12&gt;=CX$7,$AB12&lt;CX$7+7),"H","")&amp;IF(AND($AC12&lt;&gt;"",$AC12&gt;=CX$7,$AC12&lt;CX$7+7),"G","")&amp;IF(AND($AH12&lt;&gt;"",$AH12&gt;=CX$7,$AH12&lt;CX$7+7),"S","")</f>
        <v/>
      </c>
      <c r="CY12" s="92" t="str">
        <f aca="false">IF(AND($Y12&lt;&gt;"",$Y12&gt;=CY$7,$Y12&lt;CY$7+7),"I","")&amp;IF(AND($Z12&lt;&gt;"",$Z12&gt;=CY$7,$Z12&lt;CY$7+7),"P","")&amp;IF(AND($AA12&lt;&gt;"",$AA12&gt;=CY$7,$AA12&lt;CY$7+7),"T","")&amp;IF(AND($AB12&lt;&gt;"",$AB12&gt;=CY$7,$AB12&lt;CY$7+7),"H","")&amp;IF(AND($AC12&lt;&gt;"",$AC12&gt;=CY$7,$AC12&lt;CY$7+7),"G","")&amp;IF(AND($AH12&lt;&gt;"",$AH12&gt;=CY$7,$AH12&lt;CY$7+7),"S","")</f>
        <v/>
      </c>
      <c r="CZ12" s="92" t="str">
        <f aca="false">IF(AND($Y12&lt;&gt;"",$Y12&gt;=CZ$7,$Y12&lt;CZ$7+7),"I","")&amp;IF(AND($Z12&lt;&gt;"",$Z12&gt;=CZ$7,$Z12&lt;CZ$7+7),"P","")&amp;IF(AND($AA12&lt;&gt;"",$AA12&gt;=CZ$7,$AA12&lt;CZ$7+7),"T","")&amp;IF(AND($AB12&lt;&gt;"",$AB12&gt;=CZ$7,$AB12&lt;CZ$7+7),"H","")&amp;IF(AND($AC12&lt;&gt;"",$AC12&gt;=CZ$7,$AC12&lt;CZ$7+7),"G","")&amp;IF(AND($AH12&lt;&gt;"",$AH12&gt;=CZ$7,$AH12&lt;CZ$7+7),"S","")</f>
        <v/>
      </c>
      <c r="DA12" s="92" t="str">
        <f aca="false">IF(AND($Y12&lt;&gt;"",$Y12&gt;=DA$7,$Y12&lt;DA$7+7),"I","")&amp;IF(AND($Z12&lt;&gt;"",$Z12&gt;=DA$7,$Z12&lt;DA$7+7),"P","")&amp;IF(AND($AA12&lt;&gt;"",$AA12&gt;=DA$7,$AA12&lt;DA$7+7),"T","")&amp;IF(AND($AB12&lt;&gt;"",$AB12&gt;=DA$7,$AB12&lt;DA$7+7),"H","")&amp;IF(AND($AC12&lt;&gt;"",$AC12&gt;=DA$7,$AC12&lt;DA$7+7),"G","")&amp;IF(AND($AH12&lt;&gt;"",$AH12&gt;=DA$7,$AH12&lt;DA$7+7),"S","")</f>
        <v/>
      </c>
      <c r="DB12" s="92" t="str">
        <f aca="false">IF(AND($Y12&lt;&gt;"",$Y12&gt;=DB$7,$Y12&lt;DB$7+7),"I","")&amp;IF(AND($Z12&lt;&gt;"",$Z12&gt;=DB$7,$Z12&lt;DB$7+7),"P","")&amp;IF(AND($AA12&lt;&gt;"",$AA12&gt;=DB$7,$AA12&lt;DB$7+7),"T","")&amp;IF(AND($AB12&lt;&gt;"",$AB12&gt;=DB$7,$AB12&lt;DB$7+7),"H","")&amp;IF(AND($AC12&lt;&gt;"",$AC12&gt;=DB$7,$AC12&lt;DB$7+7),"G","")&amp;IF(AND($AH12&lt;&gt;"",$AH12&gt;=DB$7,$AH12&lt;DB$7+7),"S","")</f>
        <v/>
      </c>
      <c r="DC12" s="92" t="str">
        <f aca="false">IF(AND($Y12&lt;&gt;"",$Y12&gt;=DC$7,$Y12&lt;DC$7+7),"I","")&amp;IF(AND($Z12&lt;&gt;"",$Z12&gt;=DC$7,$Z12&lt;DC$7+7),"P","")&amp;IF(AND($AA12&lt;&gt;"",$AA12&gt;=DC$7,$AA12&lt;DC$7+7),"T","")&amp;IF(AND($AB12&lt;&gt;"",$AB12&gt;=DC$7,$AB12&lt;DC$7+7),"H","")&amp;IF(AND($AC12&lt;&gt;"",$AC12&gt;=DC$7,$AC12&lt;DC$7+7),"G","")&amp;IF(AND($AH12&lt;&gt;"",$AH12&gt;=DC$7,$AH12&lt;DC$7+7),"S","")</f>
        <v/>
      </c>
    </row>
    <row r="13" customFormat="false" ht="15" hidden="false" customHeight="false" outlineLevel="0" collapsed="false">
      <c r="A13" s="47" t="s">
        <v>62</v>
      </c>
      <c r="B13" s="31" t="s">
        <v>63</v>
      </c>
      <c r="C13" s="36" t="s">
        <v>565</v>
      </c>
      <c r="D13" s="31" t="s">
        <v>566</v>
      </c>
      <c r="E13" s="31" t="s">
        <v>175</v>
      </c>
      <c r="F13" s="75" t="n">
        <v>280.44</v>
      </c>
      <c r="G13" s="31" t="s">
        <v>170</v>
      </c>
      <c r="H13" s="76" t="n">
        <f aca="false">PROJ_START+RD_SPAN</f>
        <v>46403</v>
      </c>
      <c r="I13" s="77" t="n">
        <f aca="false">H13+33</f>
        <v>46436</v>
      </c>
      <c r="J13" s="31" t="s">
        <v>65</v>
      </c>
      <c r="K13" s="36" t="s">
        <v>131</v>
      </c>
      <c r="L13" s="36" t="s">
        <v>64</v>
      </c>
      <c r="M13" s="36" t="s">
        <v>568</v>
      </c>
      <c r="N13" s="78" t="str">
        <f aca="false">IF(ISNUMBER(อัปเดตรายสัปดาห์!$AF13),อัปเดตรายสัปดาห์!$AF13,"")</f>
        <v/>
      </c>
      <c r="O13" s="78" t="str">
        <f aca="false">IF(ISNUMBER(อัปเดตรายสัปดาห์!$AH13),อัปเดตรายสัปดาห์!$AH13,"")</f>
        <v/>
      </c>
      <c r="P13" s="78" t="str">
        <f aca="false">IF(ISNUMBER(อัปเดตรายสัปดาห์!$AG13),อัปเดตรายสัปดาห์!$AG13,IF(AND(ISNUMBER(TCRoof!$AC$13),N(TCRoof!$AC$13)&lt;=ASOF),TCRoof!$AC$13,""))</f>
        <v/>
      </c>
      <c r="Q13" s="78" t="str">
        <f aca="false">IF(ISNUMBER(อัปเดตรายสัปดาห์!$AL13),อัปเดตรายสัปดาห์!$AL13,"")</f>
        <v/>
      </c>
      <c r="R13" s="78" t="str">
        <f aca="false">IF(ISNUMBER(อัปเดตรายสัปดาห์!$Q13),อัปเดตรายสัปดาห์!$Q13,"")</f>
        <v/>
      </c>
      <c r="S13" s="78" t="str">
        <f aca="false">IF(ISNUMBER(อัปเดตรายสัปดาห์!$R13),อัปเดตรายสัปดาห์!$R13,"")</f>
        <v/>
      </c>
      <c r="T13" s="78" t="str">
        <f aca="false">IF(ISNUMBER(อัปเดตรายสัปดาห์!$S13),อัปเดตรายสัปดาห์!$S13,IF(อัปเดตรายสัปดาห์!$S13="Y",ASOF,""))</f>
        <v/>
      </c>
      <c r="U13" s="78" t="str">
        <f aca="false">IF(ISNUMBER(อัปเดตรายสัปดาห์!$T13),อัปเดตรายสัปดาห์!$T13,IF(อัปเดตรายสัปดาห์!$T13="Y",ASOF,""))</f>
        <v/>
      </c>
      <c r="V13" s="78" t="str">
        <f aca="false">IF(ISNUMBER(อัปเดตรายสัปดาห์!$U13),อัปเดตรายสัปดาห์!$U13,IF(อัปเดตรายสัปดาห์!$U13="Y",ASOF,""))</f>
        <v/>
      </c>
      <c r="W13" s="78" t="str">
        <f aca="false">IF(ISNUMBER(อัปเดตรายสัปดาห์!$N13),อัปเดตรายสัปดาห์!$N13,"")</f>
        <v/>
      </c>
      <c r="X13" s="78" t="str">
        <f aca="false">IF(ISNUMBER(อัปเดตรายสัปดาห์!$V13),อัปเดตรายสัปดาห์!$V13,IF(AND(ISNUMBER(TCRoof!$AD$13),N(TCRoof!$AD$13)&lt;=ASOF),TCRoof!$AD$13,""))</f>
        <v/>
      </c>
      <c r="Y13" s="79" t="n">
        <f aca="false">IF(N13&lt;&gt;"",N13,WORKDAY((ASOF+LEAD_INST+7*INT((AT13-0.01)/MAX(1,AU13)))-1,1,HOLIDAYS))</f>
        <v>46349</v>
      </c>
      <c r="Z13" s="79" t="n">
        <f aca="false">IF(O13&lt;&gt;"",O13,WORKDAY((MAX(AV13+7*INT((AW13-1)/MAX(1,AX13)),AV13+7*INT((AY13-1)/MAX(1,AZ13))))-1,1,HOLIDAYS))</f>
        <v>46356</v>
      </c>
      <c r="AA13" s="79" t="n">
        <f aca="false">IF(P13&lt;&gt;"",P13,WORKDAY((BA13+7*INT((BB13-1)/MAX(1,BC13)))-1,1,HOLIDAYS))</f>
        <v>46359</v>
      </c>
      <c r="AB13" s="79" t="n">
        <f aca="false">IF(Q13&lt;&gt;"",Q13,WORKDAY((MAX(AA13+BD13,ASOF+1))-1,1,HOLIDAYS))</f>
        <v>46367</v>
      </c>
      <c r="AC13" s="79" t="n">
        <f aca="false">IF(R13&lt;&gt;"",R13,WORKDAY((MAX(Y13,ASOF)+LAG_GRID)-1,1,HOLIDAYS))</f>
        <v>46356</v>
      </c>
      <c r="AD13" s="79" t="n">
        <f aca="false">IF(T13&lt;&gt;"",T13,WORKDAY((MAX(WORKDAY(MAX(AC13,N(S13)),REVIEW_WD,HOLIDAYS),ASOF+1))-1,1,HOLIDAYS))</f>
        <v>46379</v>
      </c>
      <c r="AE13" s="79" t="n">
        <f aca="false">IF(U13&lt;&gt;"",U13,WORKDAY((MAX(AD13,ASOF)+FEE_DAYS)-1,1,HOLIDAYS))</f>
        <v>46386</v>
      </c>
      <c r="AF13" s="79" t="n">
        <f aca="false">IF(V13&lt;&gt;"",V13,WORKDAY((MAX(AA13,Z13,AE13,IF(AG13="",0,AG13+REVIEW_PK2),ASOF)+LAG_INSREQ)-1,1,HOLIDAYS))</f>
        <v>46391</v>
      </c>
      <c r="AG13" s="79" t="n">
        <f aca="false">IF(M13&lt;&gt;"Y","",IF(W13&lt;&gt;"",W13,WORKDAY((MAX(Y13,ASOF)+LAG_GRID)-1,1,HOLIDAYS)))</f>
        <v>46356</v>
      </c>
      <c r="AH13" s="80" t="n">
        <f aca="false">IF(X13&lt;&gt;"",X13,WORKDAY(AF13,INSPECT_WD,HOLIDAYS))</f>
        <v>46433</v>
      </c>
      <c r="AI13" s="81" t="n">
        <f aca="false">IF(H13="","",AB13-H13)</f>
        <v>-36</v>
      </c>
      <c r="AJ13" s="81" t="n">
        <f aca="false">IF(I13="","",AH13-I13)</f>
        <v>-3</v>
      </c>
      <c r="AK13" s="82" t="n">
        <f aca="false">IF(AND(ISNUMBER(N13),N(N13)&lt;=ASOF),1,0)+IF(AND(ISNUMBER(O13),N(O13)&lt;=ASOF),1,0)+IF(AND(ISNUMBER(P13),N(P13)&lt;=ASOF),1,0)+IF(AND(ISNUMBER(Q13),N(Q13)&lt;=ASOF),1,0)+IF(AND(ISNUMBER(R13),N(R13)&lt;=ASOF),1,0)+IF(AND(ISNUMBER(U13),N(U13)&lt;=ASOF),1,0)+IF(AND(ISNUMBER(X13),N(X13)&lt;=ASOF),1,0)+IF(AND(ISNUMBER(W13),N(W13)&lt;=ASOF),1,0)</f>
        <v>0</v>
      </c>
      <c r="AL13" s="83" t="n">
        <v>8</v>
      </c>
      <c r="AM13" s="84" t="n">
        <f aca="false">'P9-006'!$J$4</f>
        <v>0</v>
      </c>
      <c r="AN13" s="85" t="str">
        <f aca="false">TRIM(IF(AND(ISNUMBER(O13),NOT(ISNUMBER(N13))),"กฟภ.ตรวจก่อนติดตั้ง, ","")&amp;IF(AND(ISNUMBER(P13),NOT(ISNUMBER(N13))),"IEC ก่อนติดตั้ง, ","")&amp;IF(AND(ISNUMBER(Q13),NOT(ISNUMBER(N13))),"ส่งมอบก่อนติดตั้ง, ","")&amp;IF(AND(ISNUMBER(Q13),ISNUMBER(P13),N(Q13)&lt;N(P13)),"ส่งมอบก่อน IEC, ","")&amp;IF(AND(ISNUMBER(อัปเดตรายสัปดาห์!$AG13),ISNUMBER(TCRoof!$AC$13),ABS(N(อัปเดตรายสัปดาห์!$AG13)-N(TCRoof!$AC$13))&gt;3),"IEC Excel≠แอป, ","")&amp;IF(AND(ISNUMBER(อัปเดตรายสัปดาห์!$V13),ISNUMBER(TCRoof!$AD$13),ABS(N(อัปเดตรายสัปดาห์!$V13)-N(TCRoof!$AD$13))&gt;3),"COD Excel≠แอป, ","")&amp;IF(AND(ISNUMBER(อัปเดตรายสัปดาห์!$AF13),ISNUMBER(TCRoof!$AB$13),ABS(N(อัปเดตรายสัปดาห์!$AF13)-N(TCRoof!$AB$13))&gt;3),"ติดตั้ง Excel≠แอป, ","")&amp;IF(AND(ISNUMBER(N13),N(N13)&gt;ASOF,OR(WEEKDAY(N(N13),2)&gt;5,COUNTIF(HOLIDAYS,N(N13))&gt;0)),"นัดดับไฟตรงวันหยุด, ","")&amp;IF(AND(ISNUMBER(O13),N(O13)&gt;ASOF,OR(WEEKDAY(N(O13),2)&gt;5,COUNTIF(HOLIDAYS,N(O13))&gt;0)),"นัด กฟภ.ตรงวันหยุด, ","")&amp;IF(AND(ISNUMBER(P13),N(P13)&gt;ASOF,OR(WEEKDAY(N(P13),2)&gt;5,COUNTIF(HOLIDAYS,N(P13))&gt;0)),"นัด IECตรงวันหยุด, ","")&amp;IF(AND(ISNUMBER(X13),N(X13)&gt;ASOF,OR(WEEKDAY(N(X13),2)&gt;5,COUNTIF(HOLIDAYS,N(X13))&gt;0)),"นัด Syncตรงวันหยุด, ",""))</f>
        <v/>
      </c>
      <c r="AO13" s="86" t="n">
        <f aca="false">SUMIFS(CR_COD,CR_ST,A13,CR_STAT,"อนุมัติ")+SUMIFS(CR_COD,CR_ST,"ทั้งเฟส",CR_STAT,"อนุมัติ")+SUMIFS(CR_COD,CR_ST,"ผรม. "&amp;L13,CR_STAT,"อนุมัติ")+SUMIFS(CR_COD,CR_ST,"เขต "&amp;E13,CR_STAT,"อนุมัติ")</f>
        <v>0</v>
      </c>
      <c r="AP13" s="86" t="n">
        <f aca="false">IF(NOT(ISNUMBER(AJ13)),"",MAX(0,AJ13-AO13))</f>
        <v>0</v>
      </c>
      <c r="AQ13" s="86" t="n">
        <f aca="false">COUNTIF(RW_ST,A13)</f>
        <v>0</v>
      </c>
      <c r="AR13" s="87" t="str">
        <f aca="false">IF(ISNUMBER(TCRoof!$I$13),TCRoof!$I$13,"")</f>
        <v/>
      </c>
      <c r="AS13" s="88" t="str">
        <f aca="false">IF(ISNUMBER(TCRoof!$H$13),TCRoof!$H$13,"")</f>
        <v/>
      </c>
      <c r="AT13" s="89" t="n">
        <f aca="false">IF(N13&lt;&gt;"","",SUMIFS($F$8:$F$27,$L$8:$L$27,L13,$N$8:$N$27,"",$H$8:$H$27,"&lt;"&amp;H13)+SUMIFS($F$8:$F$27,$L$8:$L$27,L13,$N$8:$N$27,"",$H$8:$H$27,H13,$A$8:$A$27,"&lt;="&amp;A13)+SUMIFS($F$8:$F$27,$L$8:$L$27,L13,$N$8:$N$27,"&gt;"&amp;ASOF))</f>
        <v>280.44</v>
      </c>
      <c r="AU13" s="89" t="n">
        <f aca="false">IFERROR(VLOOKUP(L13,TEAM_TBL,2,0)*VLOOKUP(L13,TEAM_TBL,3,0),150)</f>
        <v>150</v>
      </c>
      <c r="AV13" s="90" t="n">
        <f aca="false">IF(O13&lt;&gt;"","",MAX(Y13+LAG_PEA,ASOF+LAG_PEA))</f>
        <v>46356</v>
      </c>
      <c r="AW13" s="89" t="n">
        <f aca="false">IF(O13&lt;&gt;"","",COUNTIFS($E$8:$E$27,E13,$AV$8:$AV$27,"&lt;"&amp;AV13)+COUNTIFS($E$8:$E$27,E13,$AV$8:$AV$27,AV13,$A$8:$A$27,"&lt;"&amp;A13)+COUNTIFS($E$8:$E$27,E13,$O$8:$O$27,"&gt;"&amp;ASOF)+1)</f>
        <v>1</v>
      </c>
      <c r="AX13" s="89" t="n">
        <f aca="false">IFERROR(VLOOKUP(E13,ZONE_TBL,2,0),CAP_PEA)</f>
        <v>3</v>
      </c>
      <c r="AY13" s="89" t="n">
        <f aca="false">IF(O13&lt;&gt;"","",COUNTIFS($J$8:$J$27,J13,$AV$8:$AV$27,"&lt;"&amp;AV13)+COUNTIFS($J$8:$J$27,J13,$AV$8:$AV$27,AV13,$A$8:$A$27,"&lt;"&amp;A13)+COUNTIFS($J$8:$J$27,J13,$O$8:$O$27,"&gt;"&amp;ASOF)+1)</f>
        <v>1</v>
      </c>
      <c r="AZ13" s="89" t="n">
        <f aca="false">IFERROR(VLOOKUP(J13,ENG_TBL,2,0),ENG_CAP)</f>
        <v>3</v>
      </c>
      <c r="BA13" s="90" t="n">
        <f aca="false">IF(P13&lt;&gt;"","",MAX(Z13+LAG_IEC,ASOF+1))</f>
        <v>46359</v>
      </c>
      <c r="BB13" s="89" t="n">
        <f aca="false">IF(P13&lt;&gt;"","",COUNTIFS($L$8:$L$27,L13,$BA$8:$BA$27,"&lt;"&amp;BA13)+COUNTIFS($L$8:$L$27,L13,$BA$8:$BA$27,BA13,$A$8:$A$27,"&lt;"&amp;A13)+COUNTIFS($L$8:$L$27,L13,$P$8:$P$27,"&gt;"&amp;ASOF)+1)</f>
        <v>1</v>
      </c>
      <c r="BC13" s="89" t="n">
        <f aca="false">IFERROR(VLOOKUP(L13,TEAM_TBL,4,0)*VLOOKUP(L13,TEAM_TBL,5,0),3)</f>
        <v>3</v>
      </c>
      <c r="BD13" s="91" t="n">
        <f aca="false">IFERROR(VLOOKUP(L13,TEAM_TBL,6,0),LAG_HO)</f>
        <v>7</v>
      </c>
      <c r="BE13" s="89" t="n">
        <f aca="false">IF(ISNUMBER(AW13),7*INT((AW13-1)/MAX(1,AX13)),"")</f>
        <v>0</v>
      </c>
      <c r="BF13" s="89" t="n">
        <f aca="false">IF(ISNUMBER(AY13),7*INT((AY13-1)/MAX(1,AZ13)),"")</f>
        <v>0</v>
      </c>
      <c r="BH13" s="92" t="str">
        <f aca="false">IF(AND($Y13&lt;&gt;"",$Y13&gt;=BH$7,$Y13&lt;BH$7+7),"I","")&amp;IF(AND($Z13&lt;&gt;"",$Z13&gt;=BH$7,$Z13&lt;BH$7+7),"P","")&amp;IF(AND($AA13&lt;&gt;"",$AA13&gt;=BH$7,$AA13&lt;BH$7+7),"T","")&amp;IF(AND($AB13&lt;&gt;"",$AB13&gt;=BH$7,$AB13&lt;BH$7+7),"H","")&amp;IF(AND($AC13&lt;&gt;"",$AC13&gt;=BH$7,$AC13&lt;BH$7+7),"G","")&amp;IF(AND($AH13&lt;&gt;"",$AH13&gt;=BH$7,$AH13&lt;BH$7+7),"S","")</f>
        <v/>
      </c>
      <c r="BI13" s="92" t="str">
        <f aca="false">IF(AND($Y13&lt;&gt;"",$Y13&gt;=BI$7,$Y13&lt;BI$7+7),"I","")&amp;IF(AND($Z13&lt;&gt;"",$Z13&gt;=BI$7,$Z13&lt;BI$7+7),"P","")&amp;IF(AND($AA13&lt;&gt;"",$AA13&gt;=BI$7,$AA13&lt;BI$7+7),"T","")&amp;IF(AND($AB13&lt;&gt;"",$AB13&gt;=BI$7,$AB13&lt;BI$7+7),"H","")&amp;IF(AND($AC13&lt;&gt;"",$AC13&gt;=BI$7,$AC13&lt;BI$7+7),"G","")&amp;IF(AND($AH13&lt;&gt;"",$AH13&gt;=BI$7,$AH13&lt;BI$7+7),"S","")</f>
        <v/>
      </c>
      <c r="BJ13" s="92" t="str">
        <f aca="false">IF(AND($Y13&lt;&gt;"",$Y13&gt;=BJ$7,$Y13&lt;BJ$7+7),"I","")&amp;IF(AND($Z13&lt;&gt;"",$Z13&gt;=BJ$7,$Z13&lt;BJ$7+7),"P","")&amp;IF(AND($AA13&lt;&gt;"",$AA13&gt;=BJ$7,$AA13&lt;BJ$7+7),"T","")&amp;IF(AND($AB13&lt;&gt;"",$AB13&gt;=BJ$7,$AB13&lt;BJ$7+7),"H","")&amp;IF(AND($AC13&lt;&gt;"",$AC13&gt;=BJ$7,$AC13&lt;BJ$7+7),"G","")&amp;IF(AND($AH13&lt;&gt;"",$AH13&gt;=BJ$7,$AH13&lt;BJ$7+7),"S","")</f>
        <v/>
      </c>
      <c r="BK13" s="92" t="str">
        <f aca="false">IF(AND($Y13&lt;&gt;"",$Y13&gt;=BK$7,$Y13&lt;BK$7+7),"I","")&amp;IF(AND($Z13&lt;&gt;"",$Z13&gt;=BK$7,$Z13&lt;BK$7+7),"P","")&amp;IF(AND($AA13&lt;&gt;"",$AA13&gt;=BK$7,$AA13&lt;BK$7+7),"T","")&amp;IF(AND($AB13&lt;&gt;"",$AB13&gt;=BK$7,$AB13&lt;BK$7+7),"H","")&amp;IF(AND($AC13&lt;&gt;"",$AC13&gt;=BK$7,$AC13&lt;BK$7+7),"G","")&amp;IF(AND($AH13&lt;&gt;"",$AH13&gt;=BK$7,$AH13&lt;BK$7+7),"S","")</f>
        <v/>
      </c>
      <c r="BL13" s="92" t="str">
        <f aca="false">IF(AND($Y13&lt;&gt;"",$Y13&gt;=BL$7,$Y13&lt;BL$7+7),"I","")&amp;IF(AND($Z13&lt;&gt;"",$Z13&gt;=BL$7,$Z13&lt;BL$7+7),"P","")&amp;IF(AND($AA13&lt;&gt;"",$AA13&gt;=BL$7,$AA13&lt;BL$7+7),"T","")&amp;IF(AND($AB13&lt;&gt;"",$AB13&gt;=BL$7,$AB13&lt;BL$7+7),"H","")&amp;IF(AND($AC13&lt;&gt;"",$AC13&gt;=BL$7,$AC13&lt;BL$7+7),"G","")&amp;IF(AND($AH13&lt;&gt;"",$AH13&gt;=BL$7,$AH13&lt;BL$7+7),"S","")</f>
        <v>I</v>
      </c>
      <c r="BM13" s="92" t="str">
        <f aca="false">IF(AND($Y13&lt;&gt;"",$Y13&gt;=BM$7,$Y13&lt;BM$7+7),"I","")&amp;IF(AND($Z13&lt;&gt;"",$Z13&gt;=BM$7,$Z13&lt;BM$7+7),"P","")&amp;IF(AND($AA13&lt;&gt;"",$AA13&gt;=BM$7,$AA13&lt;BM$7+7),"T","")&amp;IF(AND($AB13&lt;&gt;"",$AB13&gt;=BM$7,$AB13&lt;BM$7+7),"H","")&amp;IF(AND($AC13&lt;&gt;"",$AC13&gt;=BM$7,$AC13&lt;BM$7+7),"G","")&amp;IF(AND($AH13&lt;&gt;"",$AH13&gt;=BM$7,$AH13&lt;BM$7+7),"S","")</f>
        <v>PTG</v>
      </c>
      <c r="BN13" s="92" t="str">
        <f aca="false">IF(AND($Y13&lt;&gt;"",$Y13&gt;=BN$7,$Y13&lt;BN$7+7),"I","")&amp;IF(AND($Z13&lt;&gt;"",$Z13&gt;=BN$7,$Z13&lt;BN$7+7),"P","")&amp;IF(AND($AA13&lt;&gt;"",$AA13&gt;=BN$7,$AA13&lt;BN$7+7),"T","")&amp;IF(AND($AB13&lt;&gt;"",$AB13&gt;=BN$7,$AB13&lt;BN$7+7),"H","")&amp;IF(AND($AC13&lt;&gt;"",$AC13&gt;=BN$7,$AC13&lt;BN$7+7),"G","")&amp;IF(AND($AH13&lt;&gt;"",$AH13&gt;=BN$7,$AH13&lt;BN$7+7),"S","")</f>
        <v>H</v>
      </c>
      <c r="BO13" s="92" t="str">
        <f aca="false">IF(AND($Y13&lt;&gt;"",$Y13&gt;=BO$7,$Y13&lt;BO$7+7),"I","")&amp;IF(AND($Z13&lt;&gt;"",$Z13&gt;=BO$7,$Z13&lt;BO$7+7),"P","")&amp;IF(AND($AA13&lt;&gt;"",$AA13&gt;=BO$7,$AA13&lt;BO$7+7),"T","")&amp;IF(AND($AB13&lt;&gt;"",$AB13&gt;=BO$7,$AB13&lt;BO$7+7),"H","")&amp;IF(AND($AC13&lt;&gt;"",$AC13&gt;=BO$7,$AC13&lt;BO$7+7),"G","")&amp;IF(AND($AH13&lt;&gt;"",$AH13&gt;=BO$7,$AH13&lt;BO$7+7),"S","")</f>
        <v/>
      </c>
      <c r="BP13" s="92" t="str">
        <f aca="false">IF(AND($Y13&lt;&gt;"",$Y13&gt;=BP$7,$Y13&lt;BP$7+7),"I","")&amp;IF(AND($Z13&lt;&gt;"",$Z13&gt;=BP$7,$Z13&lt;BP$7+7),"P","")&amp;IF(AND($AA13&lt;&gt;"",$AA13&gt;=BP$7,$AA13&lt;BP$7+7),"T","")&amp;IF(AND($AB13&lt;&gt;"",$AB13&gt;=BP$7,$AB13&lt;BP$7+7),"H","")&amp;IF(AND($AC13&lt;&gt;"",$AC13&gt;=BP$7,$AC13&lt;BP$7+7),"G","")&amp;IF(AND($AH13&lt;&gt;"",$AH13&gt;=BP$7,$AH13&lt;BP$7+7),"S","")</f>
        <v/>
      </c>
      <c r="BQ13" s="92" t="str">
        <f aca="false">IF(AND($Y13&lt;&gt;"",$Y13&gt;=BQ$7,$Y13&lt;BQ$7+7),"I","")&amp;IF(AND($Z13&lt;&gt;"",$Z13&gt;=BQ$7,$Z13&lt;BQ$7+7),"P","")&amp;IF(AND($AA13&lt;&gt;"",$AA13&gt;=BQ$7,$AA13&lt;BQ$7+7),"T","")&amp;IF(AND($AB13&lt;&gt;"",$AB13&gt;=BQ$7,$AB13&lt;BQ$7+7),"H","")&amp;IF(AND($AC13&lt;&gt;"",$AC13&gt;=BQ$7,$AC13&lt;BQ$7+7),"G","")&amp;IF(AND($AH13&lt;&gt;"",$AH13&gt;=BQ$7,$AH13&lt;BQ$7+7),"S","")</f>
        <v/>
      </c>
      <c r="BR13" s="92" t="str">
        <f aca="false">IF(AND($Y13&lt;&gt;"",$Y13&gt;=BR$7,$Y13&lt;BR$7+7),"I","")&amp;IF(AND($Z13&lt;&gt;"",$Z13&gt;=BR$7,$Z13&lt;BR$7+7),"P","")&amp;IF(AND($AA13&lt;&gt;"",$AA13&gt;=BR$7,$AA13&lt;BR$7+7),"T","")&amp;IF(AND($AB13&lt;&gt;"",$AB13&gt;=BR$7,$AB13&lt;BR$7+7),"H","")&amp;IF(AND($AC13&lt;&gt;"",$AC13&gt;=BR$7,$AC13&lt;BR$7+7),"G","")&amp;IF(AND($AH13&lt;&gt;"",$AH13&gt;=BR$7,$AH13&lt;BR$7+7),"S","")</f>
        <v/>
      </c>
      <c r="BS13" s="92" t="str">
        <f aca="false">IF(AND($Y13&lt;&gt;"",$Y13&gt;=BS$7,$Y13&lt;BS$7+7),"I","")&amp;IF(AND($Z13&lt;&gt;"",$Z13&gt;=BS$7,$Z13&lt;BS$7+7),"P","")&amp;IF(AND($AA13&lt;&gt;"",$AA13&gt;=BS$7,$AA13&lt;BS$7+7),"T","")&amp;IF(AND($AB13&lt;&gt;"",$AB13&gt;=BS$7,$AB13&lt;BS$7+7),"H","")&amp;IF(AND($AC13&lt;&gt;"",$AC13&gt;=BS$7,$AC13&lt;BS$7+7),"G","")&amp;IF(AND($AH13&lt;&gt;"",$AH13&gt;=BS$7,$AH13&lt;BS$7+7),"S","")</f>
        <v/>
      </c>
      <c r="BT13" s="92" t="str">
        <f aca="false">IF(AND($Y13&lt;&gt;"",$Y13&gt;=BT$7,$Y13&lt;BT$7+7),"I","")&amp;IF(AND($Z13&lt;&gt;"",$Z13&gt;=BT$7,$Z13&lt;BT$7+7),"P","")&amp;IF(AND($AA13&lt;&gt;"",$AA13&gt;=BT$7,$AA13&lt;BT$7+7),"T","")&amp;IF(AND($AB13&lt;&gt;"",$AB13&gt;=BT$7,$AB13&lt;BT$7+7),"H","")&amp;IF(AND($AC13&lt;&gt;"",$AC13&gt;=BT$7,$AC13&lt;BT$7+7),"G","")&amp;IF(AND($AH13&lt;&gt;"",$AH13&gt;=BT$7,$AH13&lt;BT$7+7),"S","")</f>
        <v/>
      </c>
      <c r="BU13" s="92" t="str">
        <f aca="false">IF(AND($Y13&lt;&gt;"",$Y13&gt;=BU$7,$Y13&lt;BU$7+7),"I","")&amp;IF(AND($Z13&lt;&gt;"",$Z13&gt;=BU$7,$Z13&lt;BU$7+7),"P","")&amp;IF(AND($AA13&lt;&gt;"",$AA13&gt;=BU$7,$AA13&lt;BU$7+7),"T","")&amp;IF(AND($AB13&lt;&gt;"",$AB13&gt;=BU$7,$AB13&lt;BU$7+7),"H","")&amp;IF(AND($AC13&lt;&gt;"",$AC13&gt;=BU$7,$AC13&lt;BU$7+7),"G","")&amp;IF(AND($AH13&lt;&gt;"",$AH13&gt;=BU$7,$AH13&lt;BU$7+7),"S","")</f>
        <v/>
      </c>
      <c r="BV13" s="92" t="str">
        <f aca="false">IF(AND($Y13&lt;&gt;"",$Y13&gt;=BV$7,$Y13&lt;BV$7+7),"I","")&amp;IF(AND($Z13&lt;&gt;"",$Z13&gt;=BV$7,$Z13&lt;BV$7+7),"P","")&amp;IF(AND($AA13&lt;&gt;"",$AA13&gt;=BV$7,$AA13&lt;BV$7+7),"T","")&amp;IF(AND($AB13&lt;&gt;"",$AB13&gt;=BV$7,$AB13&lt;BV$7+7),"H","")&amp;IF(AND($AC13&lt;&gt;"",$AC13&gt;=BV$7,$AC13&lt;BV$7+7),"G","")&amp;IF(AND($AH13&lt;&gt;"",$AH13&gt;=BV$7,$AH13&lt;BV$7+7),"S","")</f>
        <v/>
      </c>
      <c r="BW13" s="92" t="str">
        <f aca="false">IF(AND($Y13&lt;&gt;"",$Y13&gt;=BW$7,$Y13&lt;BW$7+7),"I","")&amp;IF(AND($Z13&lt;&gt;"",$Z13&gt;=BW$7,$Z13&lt;BW$7+7),"P","")&amp;IF(AND($AA13&lt;&gt;"",$AA13&gt;=BW$7,$AA13&lt;BW$7+7),"T","")&amp;IF(AND($AB13&lt;&gt;"",$AB13&gt;=BW$7,$AB13&lt;BW$7+7),"H","")&amp;IF(AND($AC13&lt;&gt;"",$AC13&gt;=BW$7,$AC13&lt;BW$7+7),"G","")&amp;IF(AND($AH13&lt;&gt;"",$AH13&gt;=BW$7,$AH13&lt;BW$7+7),"S","")</f>
        <v/>
      </c>
      <c r="BX13" s="92" t="str">
        <f aca="false">IF(AND($Y13&lt;&gt;"",$Y13&gt;=BX$7,$Y13&lt;BX$7+7),"I","")&amp;IF(AND($Z13&lt;&gt;"",$Z13&gt;=BX$7,$Z13&lt;BX$7+7),"P","")&amp;IF(AND($AA13&lt;&gt;"",$AA13&gt;=BX$7,$AA13&lt;BX$7+7),"T","")&amp;IF(AND($AB13&lt;&gt;"",$AB13&gt;=BX$7,$AB13&lt;BX$7+7),"H","")&amp;IF(AND($AC13&lt;&gt;"",$AC13&gt;=BX$7,$AC13&lt;BX$7+7),"G","")&amp;IF(AND($AH13&lt;&gt;"",$AH13&gt;=BX$7,$AH13&lt;BX$7+7),"S","")</f>
        <v>S</v>
      </c>
      <c r="BY13" s="92" t="str">
        <f aca="false">IF(AND($Y13&lt;&gt;"",$Y13&gt;=BY$7,$Y13&lt;BY$7+7),"I","")&amp;IF(AND($Z13&lt;&gt;"",$Z13&gt;=BY$7,$Z13&lt;BY$7+7),"P","")&amp;IF(AND($AA13&lt;&gt;"",$AA13&gt;=BY$7,$AA13&lt;BY$7+7),"T","")&amp;IF(AND($AB13&lt;&gt;"",$AB13&gt;=BY$7,$AB13&lt;BY$7+7),"H","")&amp;IF(AND($AC13&lt;&gt;"",$AC13&gt;=BY$7,$AC13&lt;BY$7+7),"G","")&amp;IF(AND($AH13&lt;&gt;"",$AH13&gt;=BY$7,$AH13&lt;BY$7+7),"S","")</f>
        <v/>
      </c>
      <c r="BZ13" s="92" t="str">
        <f aca="false">IF(AND($Y13&lt;&gt;"",$Y13&gt;=BZ$7,$Y13&lt;BZ$7+7),"I","")&amp;IF(AND($Z13&lt;&gt;"",$Z13&gt;=BZ$7,$Z13&lt;BZ$7+7),"P","")&amp;IF(AND($AA13&lt;&gt;"",$AA13&gt;=BZ$7,$AA13&lt;BZ$7+7),"T","")&amp;IF(AND($AB13&lt;&gt;"",$AB13&gt;=BZ$7,$AB13&lt;BZ$7+7),"H","")&amp;IF(AND($AC13&lt;&gt;"",$AC13&gt;=BZ$7,$AC13&lt;BZ$7+7),"G","")&amp;IF(AND($AH13&lt;&gt;"",$AH13&gt;=BZ$7,$AH13&lt;BZ$7+7),"S","")</f>
        <v/>
      </c>
      <c r="CA13" s="92" t="str">
        <f aca="false">IF(AND($Y13&lt;&gt;"",$Y13&gt;=CA$7,$Y13&lt;CA$7+7),"I","")&amp;IF(AND($Z13&lt;&gt;"",$Z13&gt;=CA$7,$Z13&lt;CA$7+7),"P","")&amp;IF(AND($AA13&lt;&gt;"",$AA13&gt;=CA$7,$AA13&lt;CA$7+7),"T","")&amp;IF(AND($AB13&lt;&gt;"",$AB13&gt;=CA$7,$AB13&lt;CA$7+7),"H","")&amp;IF(AND($AC13&lt;&gt;"",$AC13&gt;=CA$7,$AC13&lt;CA$7+7),"G","")&amp;IF(AND($AH13&lt;&gt;"",$AH13&gt;=CA$7,$AH13&lt;CA$7+7),"S","")</f>
        <v/>
      </c>
      <c r="CB13" s="92" t="str">
        <f aca="false">IF(AND($Y13&lt;&gt;"",$Y13&gt;=CB$7,$Y13&lt;CB$7+7),"I","")&amp;IF(AND($Z13&lt;&gt;"",$Z13&gt;=CB$7,$Z13&lt;CB$7+7),"P","")&amp;IF(AND($AA13&lt;&gt;"",$AA13&gt;=CB$7,$AA13&lt;CB$7+7),"T","")&amp;IF(AND($AB13&lt;&gt;"",$AB13&gt;=CB$7,$AB13&lt;CB$7+7),"H","")&amp;IF(AND($AC13&lt;&gt;"",$AC13&gt;=CB$7,$AC13&lt;CB$7+7),"G","")&amp;IF(AND($AH13&lt;&gt;"",$AH13&gt;=CB$7,$AH13&lt;CB$7+7),"S","")</f>
        <v/>
      </c>
      <c r="CC13" s="92" t="str">
        <f aca="false">IF(AND($Y13&lt;&gt;"",$Y13&gt;=CC$7,$Y13&lt;CC$7+7),"I","")&amp;IF(AND($Z13&lt;&gt;"",$Z13&gt;=CC$7,$Z13&lt;CC$7+7),"P","")&amp;IF(AND($AA13&lt;&gt;"",$AA13&gt;=CC$7,$AA13&lt;CC$7+7),"T","")&amp;IF(AND($AB13&lt;&gt;"",$AB13&gt;=CC$7,$AB13&lt;CC$7+7),"H","")&amp;IF(AND($AC13&lt;&gt;"",$AC13&gt;=CC$7,$AC13&lt;CC$7+7),"G","")&amp;IF(AND($AH13&lt;&gt;"",$AH13&gt;=CC$7,$AH13&lt;CC$7+7),"S","")</f>
        <v/>
      </c>
      <c r="CD13" s="92" t="str">
        <f aca="false">IF(AND($Y13&lt;&gt;"",$Y13&gt;=CD$7,$Y13&lt;CD$7+7),"I","")&amp;IF(AND($Z13&lt;&gt;"",$Z13&gt;=CD$7,$Z13&lt;CD$7+7),"P","")&amp;IF(AND($AA13&lt;&gt;"",$AA13&gt;=CD$7,$AA13&lt;CD$7+7),"T","")&amp;IF(AND($AB13&lt;&gt;"",$AB13&gt;=CD$7,$AB13&lt;CD$7+7),"H","")&amp;IF(AND($AC13&lt;&gt;"",$AC13&gt;=CD$7,$AC13&lt;CD$7+7),"G","")&amp;IF(AND($AH13&lt;&gt;"",$AH13&gt;=CD$7,$AH13&lt;CD$7+7),"S","")</f>
        <v/>
      </c>
      <c r="CE13" s="92" t="str">
        <f aca="false">IF(AND($Y13&lt;&gt;"",$Y13&gt;=CE$7,$Y13&lt;CE$7+7),"I","")&amp;IF(AND($Z13&lt;&gt;"",$Z13&gt;=CE$7,$Z13&lt;CE$7+7),"P","")&amp;IF(AND($AA13&lt;&gt;"",$AA13&gt;=CE$7,$AA13&lt;CE$7+7),"T","")&amp;IF(AND($AB13&lt;&gt;"",$AB13&gt;=CE$7,$AB13&lt;CE$7+7),"H","")&amp;IF(AND($AC13&lt;&gt;"",$AC13&gt;=CE$7,$AC13&lt;CE$7+7),"G","")&amp;IF(AND($AH13&lt;&gt;"",$AH13&gt;=CE$7,$AH13&lt;CE$7+7),"S","")</f>
        <v/>
      </c>
      <c r="CF13" s="92" t="str">
        <f aca="false">IF(AND($Y13&lt;&gt;"",$Y13&gt;=CF$7,$Y13&lt;CF$7+7),"I","")&amp;IF(AND($Z13&lt;&gt;"",$Z13&gt;=CF$7,$Z13&lt;CF$7+7),"P","")&amp;IF(AND($AA13&lt;&gt;"",$AA13&gt;=CF$7,$AA13&lt;CF$7+7),"T","")&amp;IF(AND($AB13&lt;&gt;"",$AB13&gt;=CF$7,$AB13&lt;CF$7+7),"H","")&amp;IF(AND($AC13&lt;&gt;"",$AC13&gt;=CF$7,$AC13&lt;CF$7+7),"G","")&amp;IF(AND($AH13&lt;&gt;"",$AH13&gt;=CF$7,$AH13&lt;CF$7+7),"S","")</f>
        <v/>
      </c>
      <c r="CG13" s="92" t="str">
        <f aca="false">IF(AND($Y13&lt;&gt;"",$Y13&gt;=CG$7,$Y13&lt;CG$7+7),"I","")&amp;IF(AND($Z13&lt;&gt;"",$Z13&gt;=CG$7,$Z13&lt;CG$7+7),"P","")&amp;IF(AND($AA13&lt;&gt;"",$AA13&gt;=CG$7,$AA13&lt;CG$7+7),"T","")&amp;IF(AND($AB13&lt;&gt;"",$AB13&gt;=CG$7,$AB13&lt;CG$7+7),"H","")&amp;IF(AND($AC13&lt;&gt;"",$AC13&gt;=CG$7,$AC13&lt;CG$7+7),"G","")&amp;IF(AND($AH13&lt;&gt;"",$AH13&gt;=CG$7,$AH13&lt;CG$7+7),"S","")</f>
        <v/>
      </c>
      <c r="CH13" s="92" t="str">
        <f aca="false">IF(AND($Y13&lt;&gt;"",$Y13&gt;=CH$7,$Y13&lt;CH$7+7),"I","")&amp;IF(AND($Z13&lt;&gt;"",$Z13&gt;=CH$7,$Z13&lt;CH$7+7),"P","")&amp;IF(AND($AA13&lt;&gt;"",$AA13&gt;=CH$7,$AA13&lt;CH$7+7),"T","")&amp;IF(AND($AB13&lt;&gt;"",$AB13&gt;=CH$7,$AB13&lt;CH$7+7),"H","")&amp;IF(AND($AC13&lt;&gt;"",$AC13&gt;=CH$7,$AC13&lt;CH$7+7),"G","")&amp;IF(AND($AH13&lt;&gt;"",$AH13&gt;=CH$7,$AH13&lt;CH$7+7),"S","")</f>
        <v/>
      </c>
      <c r="CI13" s="92" t="str">
        <f aca="false">IF(AND($Y13&lt;&gt;"",$Y13&gt;=CI$7,$Y13&lt;CI$7+7),"I","")&amp;IF(AND($Z13&lt;&gt;"",$Z13&gt;=CI$7,$Z13&lt;CI$7+7),"P","")&amp;IF(AND($AA13&lt;&gt;"",$AA13&gt;=CI$7,$AA13&lt;CI$7+7),"T","")&amp;IF(AND($AB13&lt;&gt;"",$AB13&gt;=CI$7,$AB13&lt;CI$7+7),"H","")&amp;IF(AND($AC13&lt;&gt;"",$AC13&gt;=CI$7,$AC13&lt;CI$7+7),"G","")&amp;IF(AND($AH13&lt;&gt;"",$AH13&gt;=CI$7,$AH13&lt;CI$7+7),"S","")</f>
        <v/>
      </c>
      <c r="CJ13" s="92" t="str">
        <f aca="false">IF(AND($Y13&lt;&gt;"",$Y13&gt;=CJ$7,$Y13&lt;CJ$7+7),"I","")&amp;IF(AND($Z13&lt;&gt;"",$Z13&gt;=CJ$7,$Z13&lt;CJ$7+7),"P","")&amp;IF(AND($AA13&lt;&gt;"",$AA13&gt;=CJ$7,$AA13&lt;CJ$7+7),"T","")&amp;IF(AND($AB13&lt;&gt;"",$AB13&gt;=CJ$7,$AB13&lt;CJ$7+7),"H","")&amp;IF(AND($AC13&lt;&gt;"",$AC13&gt;=CJ$7,$AC13&lt;CJ$7+7),"G","")&amp;IF(AND($AH13&lt;&gt;"",$AH13&gt;=CJ$7,$AH13&lt;CJ$7+7),"S","")</f>
        <v/>
      </c>
      <c r="CK13" s="92" t="str">
        <f aca="false">IF(AND($Y13&lt;&gt;"",$Y13&gt;=CK$7,$Y13&lt;CK$7+7),"I","")&amp;IF(AND($Z13&lt;&gt;"",$Z13&gt;=CK$7,$Z13&lt;CK$7+7),"P","")&amp;IF(AND($AA13&lt;&gt;"",$AA13&gt;=CK$7,$AA13&lt;CK$7+7),"T","")&amp;IF(AND($AB13&lt;&gt;"",$AB13&gt;=CK$7,$AB13&lt;CK$7+7),"H","")&amp;IF(AND($AC13&lt;&gt;"",$AC13&gt;=CK$7,$AC13&lt;CK$7+7),"G","")&amp;IF(AND($AH13&lt;&gt;"",$AH13&gt;=CK$7,$AH13&lt;CK$7+7),"S","")</f>
        <v/>
      </c>
      <c r="CL13" s="92" t="str">
        <f aca="false">IF(AND($Y13&lt;&gt;"",$Y13&gt;=CL$7,$Y13&lt;CL$7+7),"I","")&amp;IF(AND($Z13&lt;&gt;"",$Z13&gt;=CL$7,$Z13&lt;CL$7+7),"P","")&amp;IF(AND($AA13&lt;&gt;"",$AA13&gt;=CL$7,$AA13&lt;CL$7+7),"T","")&amp;IF(AND($AB13&lt;&gt;"",$AB13&gt;=CL$7,$AB13&lt;CL$7+7),"H","")&amp;IF(AND($AC13&lt;&gt;"",$AC13&gt;=CL$7,$AC13&lt;CL$7+7),"G","")&amp;IF(AND($AH13&lt;&gt;"",$AH13&gt;=CL$7,$AH13&lt;CL$7+7),"S","")</f>
        <v/>
      </c>
      <c r="CM13" s="92" t="str">
        <f aca="false">IF(AND($Y13&lt;&gt;"",$Y13&gt;=CM$7,$Y13&lt;CM$7+7),"I","")&amp;IF(AND($Z13&lt;&gt;"",$Z13&gt;=CM$7,$Z13&lt;CM$7+7),"P","")&amp;IF(AND($AA13&lt;&gt;"",$AA13&gt;=CM$7,$AA13&lt;CM$7+7),"T","")&amp;IF(AND($AB13&lt;&gt;"",$AB13&gt;=CM$7,$AB13&lt;CM$7+7),"H","")&amp;IF(AND($AC13&lt;&gt;"",$AC13&gt;=CM$7,$AC13&lt;CM$7+7),"G","")&amp;IF(AND($AH13&lt;&gt;"",$AH13&gt;=CM$7,$AH13&lt;CM$7+7),"S","")</f>
        <v/>
      </c>
      <c r="CN13" s="92" t="str">
        <f aca="false">IF(AND($Y13&lt;&gt;"",$Y13&gt;=CN$7,$Y13&lt;CN$7+7),"I","")&amp;IF(AND($Z13&lt;&gt;"",$Z13&gt;=CN$7,$Z13&lt;CN$7+7),"P","")&amp;IF(AND($AA13&lt;&gt;"",$AA13&gt;=CN$7,$AA13&lt;CN$7+7),"T","")&amp;IF(AND($AB13&lt;&gt;"",$AB13&gt;=CN$7,$AB13&lt;CN$7+7),"H","")&amp;IF(AND($AC13&lt;&gt;"",$AC13&gt;=CN$7,$AC13&lt;CN$7+7),"G","")&amp;IF(AND($AH13&lt;&gt;"",$AH13&gt;=CN$7,$AH13&lt;CN$7+7),"S","")</f>
        <v/>
      </c>
      <c r="CO13" s="92" t="str">
        <f aca="false">IF(AND($Y13&lt;&gt;"",$Y13&gt;=CO$7,$Y13&lt;CO$7+7),"I","")&amp;IF(AND($Z13&lt;&gt;"",$Z13&gt;=CO$7,$Z13&lt;CO$7+7),"P","")&amp;IF(AND($AA13&lt;&gt;"",$AA13&gt;=CO$7,$AA13&lt;CO$7+7),"T","")&amp;IF(AND($AB13&lt;&gt;"",$AB13&gt;=CO$7,$AB13&lt;CO$7+7),"H","")&amp;IF(AND($AC13&lt;&gt;"",$AC13&gt;=CO$7,$AC13&lt;CO$7+7),"G","")&amp;IF(AND($AH13&lt;&gt;"",$AH13&gt;=CO$7,$AH13&lt;CO$7+7),"S","")</f>
        <v/>
      </c>
      <c r="CP13" s="92" t="str">
        <f aca="false">IF(AND($Y13&lt;&gt;"",$Y13&gt;=CP$7,$Y13&lt;CP$7+7),"I","")&amp;IF(AND($Z13&lt;&gt;"",$Z13&gt;=CP$7,$Z13&lt;CP$7+7),"P","")&amp;IF(AND($AA13&lt;&gt;"",$AA13&gt;=CP$7,$AA13&lt;CP$7+7),"T","")&amp;IF(AND($AB13&lt;&gt;"",$AB13&gt;=CP$7,$AB13&lt;CP$7+7),"H","")&amp;IF(AND($AC13&lt;&gt;"",$AC13&gt;=CP$7,$AC13&lt;CP$7+7),"G","")&amp;IF(AND($AH13&lt;&gt;"",$AH13&gt;=CP$7,$AH13&lt;CP$7+7),"S","")</f>
        <v/>
      </c>
      <c r="CQ13" s="92" t="str">
        <f aca="false">IF(AND($Y13&lt;&gt;"",$Y13&gt;=CQ$7,$Y13&lt;CQ$7+7),"I","")&amp;IF(AND($Z13&lt;&gt;"",$Z13&gt;=CQ$7,$Z13&lt;CQ$7+7),"P","")&amp;IF(AND($AA13&lt;&gt;"",$AA13&gt;=CQ$7,$AA13&lt;CQ$7+7),"T","")&amp;IF(AND($AB13&lt;&gt;"",$AB13&gt;=CQ$7,$AB13&lt;CQ$7+7),"H","")&amp;IF(AND($AC13&lt;&gt;"",$AC13&gt;=CQ$7,$AC13&lt;CQ$7+7),"G","")&amp;IF(AND($AH13&lt;&gt;"",$AH13&gt;=CQ$7,$AH13&lt;CQ$7+7),"S","")</f>
        <v/>
      </c>
      <c r="CR13" s="92" t="str">
        <f aca="false">IF(AND($Y13&lt;&gt;"",$Y13&gt;=CR$7,$Y13&lt;CR$7+7),"I","")&amp;IF(AND($Z13&lt;&gt;"",$Z13&gt;=CR$7,$Z13&lt;CR$7+7),"P","")&amp;IF(AND($AA13&lt;&gt;"",$AA13&gt;=CR$7,$AA13&lt;CR$7+7),"T","")&amp;IF(AND($AB13&lt;&gt;"",$AB13&gt;=CR$7,$AB13&lt;CR$7+7),"H","")&amp;IF(AND($AC13&lt;&gt;"",$AC13&gt;=CR$7,$AC13&lt;CR$7+7),"G","")&amp;IF(AND($AH13&lt;&gt;"",$AH13&gt;=CR$7,$AH13&lt;CR$7+7),"S","")</f>
        <v/>
      </c>
      <c r="CS13" s="92" t="str">
        <f aca="false">IF(AND($Y13&lt;&gt;"",$Y13&gt;=CS$7,$Y13&lt;CS$7+7),"I","")&amp;IF(AND($Z13&lt;&gt;"",$Z13&gt;=CS$7,$Z13&lt;CS$7+7),"P","")&amp;IF(AND($AA13&lt;&gt;"",$AA13&gt;=CS$7,$AA13&lt;CS$7+7),"T","")&amp;IF(AND($AB13&lt;&gt;"",$AB13&gt;=CS$7,$AB13&lt;CS$7+7),"H","")&amp;IF(AND($AC13&lt;&gt;"",$AC13&gt;=CS$7,$AC13&lt;CS$7+7),"G","")&amp;IF(AND($AH13&lt;&gt;"",$AH13&gt;=CS$7,$AH13&lt;CS$7+7),"S","")</f>
        <v/>
      </c>
      <c r="CT13" s="92" t="str">
        <f aca="false">IF(AND($Y13&lt;&gt;"",$Y13&gt;=CT$7,$Y13&lt;CT$7+7),"I","")&amp;IF(AND($Z13&lt;&gt;"",$Z13&gt;=CT$7,$Z13&lt;CT$7+7),"P","")&amp;IF(AND($AA13&lt;&gt;"",$AA13&gt;=CT$7,$AA13&lt;CT$7+7),"T","")&amp;IF(AND($AB13&lt;&gt;"",$AB13&gt;=CT$7,$AB13&lt;CT$7+7),"H","")&amp;IF(AND($AC13&lt;&gt;"",$AC13&gt;=CT$7,$AC13&lt;CT$7+7),"G","")&amp;IF(AND($AH13&lt;&gt;"",$AH13&gt;=CT$7,$AH13&lt;CT$7+7),"S","")</f>
        <v/>
      </c>
      <c r="CU13" s="92" t="str">
        <f aca="false">IF(AND($Y13&lt;&gt;"",$Y13&gt;=CU$7,$Y13&lt;CU$7+7),"I","")&amp;IF(AND($Z13&lt;&gt;"",$Z13&gt;=CU$7,$Z13&lt;CU$7+7),"P","")&amp;IF(AND($AA13&lt;&gt;"",$AA13&gt;=CU$7,$AA13&lt;CU$7+7),"T","")&amp;IF(AND($AB13&lt;&gt;"",$AB13&gt;=CU$7,$AB13&lt;CU$7+7),"H","")&amp;IF(AND($AC13&lt;&gt;"",$AC13&gt;=CU$7,$AC13&lt;CU$7+7),"G","")&amp;IF(AND($AH13&lt;&gt;"",$AH13&gt;=CU$7,$AH13&lt;CU$7+7),"S","")</f>
        <v/>
      </c>
      <c r="CV13" s="92" t="str">
        <f aca="false">IF(AND($Y13&lt;&gt;"",$Y13&gt;=CV$7,$Y13&lt;CV$7+7),"I","")&amp;IF(AND($Z13&lt;&gt;"",$Z13&gt;=CV$7,$Z13&lt;CV$7+7),"P","")&amp;IF(AND($AA13&lt;&gt;"",$AA13&gt;=CV$7,$AA13&lt;CV$7+7),"T","")&amp;IF(AND($AB13&lt;&gt;"",$AB13&gt;=CV$7,$AB13&lt;CV$7+7),"H","")&amp;IF(AND($AC13&lt;&gt;"",$AC13&gt;=CV$7,$AC13&lt;CV$7+7),"G","")&amp;IF(AND($AH13&lt;&gt;"",$AH13&gt;=CV$7,$AH13&lt;CV$7+7),"S","")</f>
        <v/>
      </c>
      <c r="CW13" s="92" t="str">
        <f aca="false">IF(AND($Y13&lt;&gt;"",$Y13&gt;=CW$7,$Y13&lt;CW$7+7),"I","")&amp;IF(AND($Z13&lt;&gt;"",$Z13&gt;=CW$7,$Z13&lt;CW$7+7),"P","")&amp;IF(AND($AA13&lt;&gt;"",$AA13&gt;=CW$7,$AA13&lt;CW$7+7),"T","")&amp;IF(AND($AB13&lt;&gt;"",$AB13&gt;=CW$7,$AB13&lt;CW$7+7),"H","")&amp;IF(AND($AC13&lt;&gt;"",$AC13&gt;=CW$7,$AC13&lt;CW$7+7),"G","")&amp;IF(AND($AH13&lt;&gt;"",$AH13&gt;=CW$7,$AH13&lt;CW$7+7),"S","")</f>
        <v/>
      </c>
      <c r="CX13" s="92" t="str">
        <f aca="false">IF(AND($Y13&lt;&gt;"",$Y13&gt;=CX$7,$Y13&lt;CX$7+7),"I","")&amp;IF(AND($Z13&lt;&gt;"",$Z13&gt;=CX$7,$Z13&lt;CX$7+7),"P","")&amp;IF(AND($AA13&lt;&gt;"",$AA13&gt;=CX$7,$AA13&lt;CX$7+7),"T","")&amp;IF(AND($AB13&lt;&gt;"",$AB13&gt;=CX$7,$AB13&lt;CX$7+7),"H","")&amp;IF(AND($AC13&lt;&gt;"",$AC13&gt;=CX$7,$AC13&lt;CX$7+7),"G","")&amp;IF(AND($AH13&lt;&gt;"",$AH13&gt;=CX$7,$AH13&lt;CX$7+7),"S","")</f>
        <v/>
      </c>
      <c r="CY13" s="92" t="str">
        <f aca="false">IF(AND($Y13&lt;&gt;"",$Y13&gt;=CY$7,$Y13&lt;CY$7+7),"I","")&amp;IF(AND($Z13&lt;&gt;"",$Z13&gt;=CY$7,$Z13&lt;CY$7+7),"P","")&amp;IF(AND($AA13&lt;&gt;"",$AA13&gt;=CY$7,$AA13&lt;CY$7+7),"T","")&amp;IF(AND($AB13&lt;&gt;"",$AB13&gt;=CY$7,$AB13&lt;CY$7+7),"H","")&amp;IF(AND($AC13&lt;&gt;"",$AC13&gt;=CY$7,$AC13&lt;CY$7+7),"G","")&amp;IF(AND($AH13&lt;&gt;"",$AH13&gt;=CY$7,$AH13&lt;CY$7+7),"S","")</f>
        <v/>
      </c>
      <c r="CZ13" s="92" t="str">
        <f aca="false">IF(AND($Y13&lt;&gt;"",$Y13&gt;=CZ$7,$Y13&lt;CZ$7+7),"I","")&amp;IF(AND($Z13&lt;&gt;"",$Z13&gt;=CZ$7,$Z13&lt;CZ$7+7),"P","")&amp;IF(AND($AA13&lt;&gt;"",$AA13&gt;=CZ$7,$AA13&lt;CZ$7+7),"T","")&amp;IF(AND($AB13&lt;&gt;"",$AB13&gt;=CZ$7,$AB13&lt;CZ$7+7),"H","")&amp;IF(AND($AC13&lt;&gt;"",$AC13&gt;=CZ$7,$AC13&lt;CZ$7+7),"G","")&amp;IF(AND($AH13&lt;&gt;"",$AH13&gt;=CZ$7,$AH13&lt;CZ$7+7),"S","")</f>
        <v/>
      </c>
      <c r="DA13" s="92" t="str">
        <f aca="false">IF(AND($Y13&lt;&gt;"",$Y13&gt;=DA$7,$Y13&lt;DA$7+7),"I","")&amp;IF(AND($Z13&lt;&gt;"",$Z13&gt;=DA$7,$Z13&lt;DA$7+7),"P","")&amp;IF(AND($AA13&lt;&gt;"",$AA13&gt;=DA$7,$AA13&lt;DA$7+7),"T","")&amp;IF(AND($AB13&lt;&gt;"",$AB13&gt;=DA$7,$AB13&lt;DA$7+7),"H","")&amp;IF(AND($AC13&lt;&gt;"",$AC13&gt;=DA$7,$AC13&lt;DA$7+7),"G","")&amp;IF(AND($AH13&lt;&gt;"",$AH13&gt;=DA$7,$AH13&lt;DA$7+7),"S","")</f>
        <v/>
      </c>
      <c r="DB13" s="92" t="str">
        <f aca="false">IF(AND($Y13&lt;&gt;"",$Y13&gt;=DB$7,$Y13&lt;DB$7+7),"I","")&amp;IF(AND($Z13&lt;&gt;"",$Z13&gt;=DB$7,$Z13&lt;DB$7+7),"P","")&amp;IF(AND($AA13&lt;&gt;"",$AA13&gt;=DB$7,$AA13&lt;DB$7+7),"T","")&amp;IF(AND($AB13&lt;&gt;"",$AB13&gt;=DB$7,$AB13&lt;DB$7+7),"H","")&amp;IF(AND($AC13&lt;&gt;"",$AC13&gt;=DB$7,$AC13&lt;DB$7+7),"G","")&amp;IF(AND($AH13&lt;&gt;"",$AH13&gt;=DB$7,$AH13&lt;DB$7+7),"S","")</f>
        <v/>
      </c>
      <c r="DC13" s="92" t="str">
        <f aca="false">IF(AND($Y13&lt;&gt;"",$Y13&gt;=DC$7,$Y13&lt;DC$7+7),"I","")&amp;IF(AND($Z13&lt;&gt;"",$Z13&gt;=DC$7,$Z13&lt;DC$7+7),"P","")&amp;IF(AND($AA13&lt;&gt;"",$AA13&gt;=DC$7,$AA13&lt;DC$7+7),"T","")&amp;IF(AND($AB13&lt;&gt;"",$AB13&gt;=DC$7,$AB13&lt;DC$7+7),"H","")&amp;IF(AND($AC13&lt;&gt;"",$AC13&gt;=DC$7,$AC13&lt;DC$7+7),"G","")&amp;IF(AND($AH13&lt;&gt;"",$AH13&gt;=DC$7,$AH13&lt;DC$7+7),"S","")</f>
        <v/>
      </c>
    </row>
    <row r="14" customFormat="false" ht="15" hidden="false" customHeight="false" outlineLevel="0" collapsed="false">
      <c r="A14" s="47" t="s">
        <v>66</v>
      </c>
      <c r="B14" s="31" t="s">
        <v>67</v>
      </c>
      <c r="C14" s="36" t="s">
        <v>565</v>
      </c>
      <c r="D14" s="31" t="s">
        <v>566</v>
      </c>
      <c r="E14" s="31" t="s">
        <v>176</v>
      </c>
      <c r="F14" s="75" t="n">
        <v>150.48</v>
      </c>
      <c r="G14" s="31" t="s">
        <v>170</v>
      </c>
      <c r="H14" s="76" t="n">
        <f aca="false">PROJ_START+RD_SPAN</f>
        <v>46403</v>
      </c>
      <c r="I14" s="77" t="n">
        <f aca="false">H14+33</f>
        <v>46436</v>
      </c>
      <c r="J14" s="31" t="s">
        <v>69</v>
      </c>
      <c r="K14" s="36" t="s">
        <v>131</v>
      </c>
      <c r="L14" s="36" t="s">
        <v>68</v>
      </c>
      <c r="M14" s="36" t="s">
        <v>567</v>
      </c>
      <c r="N14" s="78" t="str">
        <f aca="false">IF(ISNUMBER(อัปเดตรายสัปดาห์!$AF14),อัปเดตรายสัปดาห์!$AF14,"")</f>
        <v/>
      </c>
      <c r="O14" s="78" t="str">
        <f aca="false">IF(ISNUMBER(อัปเดตรายสัปดาห์!$AH14),อัปเดตรายสัปดาห์!$AH14,"")</f>
        <v/>
      </c>
      <c r="P14" s="78" t="str">
        <f aca="false">IF(ISNUMBER(อัปเดตรายสัปดาห์!$AG14),อัปเดตรายสัปดาห์!$AG14,IF(AND(ISNUMBER(TCRoof!$AC$14),N(TCRoof!$AC$14)&lt;=ASOF),TCRoof!$AC$14,""))</f>
        <v/>
      </c>
      <c r="Q14" s="78" t="str">
        <f aca="false">IF(ISNUMBER(อัปเดตรายสัปดาห์!$AL14),อัปเดตรายสัปดาห์!$AL14,"")</f>
        <v/>
      </c>
      <c r="R14" s="78" t="str">
        <f aca="false">IF(ISNUMBER(อัปเดตรายสัปดาห์!$Q14),อัปเดตรายสัปดาห์!$Q14,"")</f>
        <v/>
      </c>
      <c r="S14" s="78" t="str">
        <f aca="false">IF(ISNUMBER(อัปเดตรายสัปดาห์!$R14),อัปเดตรายสัปดาห์!$R14,"")</f>
        <v/>
      </c>
      <c r="T14" s="78" t="str">
        <f aca="false">IF(ISNUMBER(อัปเดตรายสัปดาห์!$S14),อัปเดตรายสัปดาห์!$S14,IF(อัปเดตรายสัปดาห์!$S14="Y",ASOF,""))</f>
        <v/>
      </c>
      <c r="U14" s="78" t="str">
        <f aca="false">IF(ISNUMBER(อัปเดตรายสัปดาห์!$T14),อัปเดตรายสัปดาห์!$T14,IF(อัปเดตรายสัปดาห์!$T14="Y",ASOF,""))</f>
        <v/>
      </c>
      <c r="V14" s="78" t="str">
        <f aca="false">IF(ISNUMBER(อัปเดตรายสัปดาห์!$U14),อัปเดตรายสัปดาห์!$U14,IF(อัปเดตรายสัปดาห์!$U14="Y",ASOF,""))</f>
        <v/>
      </c>
      <c r="W14" s="78" t="str">
        <f aca="false">IF(ISNUMBER(อัปเดตรายสัปดาห์!$N14),อัปเดตรายสัปดาห์!$N14,"")</f>
        <v/>
      </c>
      <c r="X14" s="78" t="str">
        <f aca="false">IF(ISNUMBER(อัปเดตรายสัปดาห์!$V14),อัปเดตรายสัปดาห์!$V14,IF(AND(ISNUMBER(TCRoof!$AD$14),N(TCRoof!$AD$14)&lt;=ASOF),TCRoof!$AD$14,""))</f>
        <v/>
      </c>
      <c r="Y14" s="79" t="n">
        <f aca="false">IF(N14&lt;&gt;"",N14,WORKDAY((ASOF+LEAD_INST+7*INT((AT14-0.01)/MAX(1,AU14)))-1,1,HOLIDAYS))</f>
        <v>46349</v>
      </c>
      <c r="Z14" s="79" t="n">
        <f aca="false">IF(O14&lt;&gt;"",O14,WORKDAY((MAX(AV14+7*INT((AW14-1)/MAX(1,AX14)),AV14+7*INT((AY14-1)/MAX(1,AZ14))))-1,1,HOLIDAYS))</f>
        <v>46356</v>
      </c>
      <c r="AA14" s="79" t="n">
        <f aca="false">IF(P14&lt;&gt;"",P14,WORKDAY((BA14+7*INT((BB14-1)/MAX(1,BC14)))-1,1,HOLIDAYS))</f>
        <v>46359</v>
      </c>
      <c r="AB14" s="79" t="n">
        <f aca="false">IF(Q14&lt;&gt;"",Q14,WORKDAY((MAX(AA14+BD14,ASOF+1))-1,1,HOLIDAYS))</f>
        <v>46367</v>
      </c>
      <c r="AC14" s="79" t="n">
        <f aca="false">IF(R14&lt;&gt;"",R14,WORKDAY((MAX(Y14,ASOF)+LAG_GRID)-1,1,HOLIDAYS))</f>
        <v>46356</v>
      </c>
      <c r="AD14" s="79" t="n">
        <f aca="false">IF(T14&lt;&gt;"",T14,WORKDAY((MAX(WORKDAY(MAX(AC14,N(S14)),REVIEW_WD,HOLIDAYS),ASOF+1))-1,1,HOLIDAYS))</f>
        <v>46379</v>
      </c>
      <c r="AE14" s="79" t="n">
        <f aca="false">IF(U14&lt;&gt;"",U14,WORKDAY((MAX(AD14,ASOF)+FEE_DAYS)-1,1,HOLIDAYS))</f>
        <v>46386</v>
      </c>
      <c r="AF14" s="79" t="n">
        <f aca="false">IF(V14&lt;&gt;"",V14,WORKDAY((MAX(AA14,Z14,AE14,IF(AG14="",0,AG14+REVIEW_PK2),ASOF)+LAG_INSREQ)-1,1,HOLIDAYS))</f>
        <v>46391</v>
      </c>
      <c r="AG14" s="79" t="str">
        <f aca="false">IF(M14&lt;&gt;"Y","",IF(W14&lt;&gt;"",W14,WORKDAY((MAX(Y14,ASOF)+LAG_GRID)-1,1,HOLIDAYS)))</f>
        <v/>
      </c>
      <c r="AH14" s="80" t="n">
        <f aca="false">IF(X14&lt;&gt;"",X14,WORKDAY(AF14,INSPECT_WD,HOLIDAYS))</f>
        <v>46433</v>
      </c>
      <c r="AI14" s="81" t="n">
        <f aca="false">IF(H14="","",AB14-H14)</f>
        <v>-36</v>
      </c>
      <c r="AJ14" s="81" t="n">
        <f aca="false">IF(I14="","",AH14-I14)</f>
        <v>-3</v>
      </c>
      <c r="AK14" s="82" t="n">
        <f aca="false">IF(AND(ISNUMBER(N14),N(N14)&lt;=ASOF),1,0)+IF(AND(ISNUMBER(O14),N(O14)&lt;=ASOF),1,0)+IF(AND(ISNUMBER(P14),N(P14)&lt;=ASOF),1,0)+IF(AND(ISNUMBER(Q14),N(Q14)&lt;=ASOF),1,0)+IF(AND(ISNUMBER(R14),N(R14)&lt;=ASOF),1,0)+IF(AND(ISNUMBER(U14),N(U14)&lt;=ASOF),1,0)+IF(AND(ISNUMBER(X14),N(X14)&lt;=ASOF),1,0)</f>
        <v>0</v>
      </c>
      <c r="AL14" s="83" t="n">
        <v>7</v>
      </c>
      <c r="AM14" s="84" t="n">
        <f aca="false">'P9-007'!$J$4</f>
        <v>0</v>
      </c>
      <c r="AN14" s="85" t="str">
        <f aca="false">TRIM(IF(AND(ISNUMBER(O14),NOT(ISNUMBER(N14))),"กฟภ.ตรวจก่อนติดตั้ง, ","")&amp;IF(AND(ISNUMBER(P14),NOT(ISNUMBER(N14))),"IEC ก่อนติดตั้ง, ","")&amp;IF(AND(ISNUMBER(Q14),NOT(ISNUMBER(N14))),"ส่งมอบก่อนติดตั้ง, ","")&amp;IF(AND(ISNUMBER(Q14),ISNUMBER(P14),N(Q14)&lt;N(P14)),"ส่งมอบก่อน IEC, ","")&amp;IF(AND(ISNUMBER(อัปเดตรายสัปดาห์!$AG14),ISNUMBER(TCRoof!$AC$14),ABS(N(อัปเดตรายสัปดาห์!$AG14)-N(TCRoof!$AC$14))&gt;3),"IEC Excel≠แอป, ","")&amp;IF(AND(ISNUMBER(อัปเดตรายสัปดาห์!$V14),ISNUMBER(TCRoof!$AD$14),ABS(N(อัปเดตรายสัปดาห์!$V14)-N(TCRoof!$AD$14))&gt;3),"COD Excel≠แอป, ","")&amp;IF(AND(ISNUMBER(อัปเดตรายสัปดาห์!$AF14),ISNUMBER(TCRoof!$AB$14),ABS(N(อัปเดตรายสัปดาห์!$AF14)-N(TCRoof!$AB$14))&gt;3),"ติดตั้ง Excel≠แอป, ","")&amp;IF(AND(ISNUMBER(N14),N(N14)&gt;ASOF,OR(WEEKDAY(N(N14),2)&gt;5,COUNTIF(HOLIDAYS,N(N14))&gt;0)),"นัดดับไฟตรงวันหยุด, ","")&amp;IF(AND(ISNUMBER(O14),N(O14)&gt;ASOF,OR(WEEKDAY(N(O14),2)&gt;5,COUNTIF(HOLIDAYS,N(O14))&gt;0)),"นัด กฟภ.ตรงวันหยุด, ","")&amp;IF(AND(ISNUMBER(P14),N(P14)&gt;ASOF,OR(WEEKDAY(N(P14),2)&gt;5,COUNTIF(HOLIDAYS,N(P14))&gt;0)),"นัด IECตรงวันหยุด, ","")&amp;IF(AND(ISNUMBER(X14),N(X14)&gt;ASOF,OR(WEEKDAY(N(X14),2)&gt;5,COUNTIF(HOLIDAYS,N(X14))&gt;0)),"นัด Syncตรงวันหยุด, ",""))</f>
        <v/>
      </c>
      <c r="AO14" s="86" t="n">
        <f aca="false">SUMIFS(CR_COD,CR_ST,A14,CR_STAT,"อนุมัติ")+SUMIFS(CR_COD,CR_ST,"ทั้งเฟส",CR_STAT,"อนุมัติ")+SUMIFS(CR_COD,CR_ST,"ผรม. "&amp;L14,CR_STAT,"อนุมัติ")+SUMIFS(CR_COD,CR_ST,"เขต "&amp;E14,CR_STAT,"อนุมัติ")</f>
        <v>0</v>
      </c>
      <c r="AP14" s="86" t="n">
        <f aca="false">IF(NOT(ISNUMBER(AJ14)),"",MAX(0,AJ14-AO14))</f>
        <v>0</v>
      </c>
      <c r="AQ14" s="86" t="n">
        <f aca="false">COUNTIF(RW_ST,A14)</f>
        <v>0</v>
      </c>
      <c r="AR14" s="87" t="str">
        <f aca="false">IF(ISNUMBER(TCRoof!$I$14),TCRoof!$I$14,"")</f>
        <v/>
      </c>
      <c r="AS14" s="88" t="str">
        <f aca="false">IF(ISNUMBER(TCRoof!$H$14),TCRoof!$H$14,"")</f>
        <v/>
      </c>
      <c r="AT14" s="89" t="n">
        <f aca="false">IF(N14&lt;&gt;"","",SUMIFS($F$8:$F$27,$L$8:$L$27,L14,$N$8:$N$27,"",$H$8:$H$27,"&lt;"&amp;H14)+SUMIFS($F$8:$F$27,$L$8:$L$27,L14,$N$8:$N$27,"",$H$8:$H$27,H14,$A$8:$A$27,"&lt;="&amp;A14)+SUMIFS($F$8:$F$27,$L$8:$L$27,L14,$N$8:$N$27,"&gt;"&amp;ASOF))</f>
        <v>150.48</v>
      </c>
      <c r="AU14" s="89" t="n">
        <f aca="false">IFERROR(VLOOKUP(L14,TEAM_TBL,2,0)*VLOOKUP(L14,TEAM_TBL,3,0),150)</f>
        <v>150</v>
      </c>
      <c r="AV14" s="90" t="n">
        <f aca="false">IF(O14&lt;&gt;"","",MAX(Y14+LAG_PEA,ASOF+LAG_PEA))</f>
        <v>46356</v>
      </c>
      <c r="AW14" s="89" t="n">
        <f aca="false">IF(O14&lt;&gt;"","",COUNTIFS($E$8:$E$27,E14,$AV$8:$AV$27,"&lt;"&amp;AV14)+COUNTIFS($E$8:$E$27,E14,$AV$8:$AV$27,AV14,$A$8:$A$27,"&lt;"&amp;A14)+COUNTIFS($E$8:$E$27,E14,$O$8:$O$27,"&gt;"&amp;ASOF)+1)</f>
        <v>1</v>
      </c>
      <c r="AX14" s="89" t="n">
        <f aca="false">IFERROR(VLOOKUP(E14,ZONE_TBL,2,0),CAP_PEA)</f>
        <v>3</v>
      </c>
      <c r="AY14" s="89" t="n">
        <f aca="false">IF(O14&lt;&gt;"","",COUNTIFS($J$8:$J$27,J14,$AV$8:$AV$27,"&lt;"&amp;AV14)+COUNTIFS($J$8:$J$27,J14,$AV$8:$AV$27,AV14,$A$8:$A$27,"&lt;"&amp;A14)+COUNTIFS($J$8:$J$27,J14,$O$8:$O$27,"&gt;"&amp;ASOF)+1)</f>
        <v>1</v>
      </c>
      <c r="AZ14" s="89" t="n">
        <f aca="false">IFERROR(VLOOKUP(J14,ENG_TBL,2,0),ENG_CAP)</f>
        <v>3</v>
      </c>
      <c r="BA14" s="90" t="n">
        <f aca="false">IF(P14&lt;&gt;"","",MAX(Z14+LAG_IEC,ASOF+1))</f>
        <v>46359</v>
      </c>
      <c r="BB14" s="89" t="n">
        <f aca="false">IF(P14&lt;&gt;"","",COUNTIFS($L$8:$L$27,L14,$BA$8:$BA$27,"&lt;"&amp;BA14)+COUNTIFS($L$8:$L$27,L14,$BA$8:$BA$27,BA14,$A$8:$A$27,"&lt;"&amp;A14)+COUNTIFS($L$8:$L$27,L14,$P$8:$P$27,"&gt;"&amp;ASOF)+1)</f>
        <v>1</v>
      </c>
      <c r="BC14" s="89" t="n">
        <f aca="false">IFERROR(VLOOKUP(L14,TEAM_TBL,4,0)*VLOOKUP(L14,TEAM_TBL,5,0),3)</f>
        <v>3</v>
      </c>
      <c r="BD14" s="91" t="n">
        <f aca="false">IFERROR(VLOOKUP(L14,TEAM_TBL,6,0),LAG_HO)</f>
        <v>7</v>
      </c>
      <c r="BE14" s="89" t="n">
        <f aca="false">IF(ISNUMBER(AW14),7*INT((AW14-1)/MAX(1,AX14)),"")</f>
        <v>0</v>
      </c>
      <c r="BF14" s="89" t="n">
        <f aca="false">IF(ISNUMBER(AY14),7*INT((AY14-1)/MAX(1,AZ14)),"")</f>
        <v>0</v>
      </c>
      <c r="BH14" s="92" t="str">
        <f aca="false">IF(AND($Y14&lt;&gt;"",$Y14&gt;=BH$7,$Y14&lt;BH$7+7),"I","")&amp;IF(AND($Z14&lt;&gt;"",$Z14&gt;=BH$7,$Z14&lt;BH$7+7),"P","")&amp;IF(AND($AA14&lt;&gt;"",$AA14&gt;=BH$7,$AA14&lt;BH$7+7),"T","")&amp;IF(AND($AB14&lt;&gt;"",$AB14&gt;=BH$7,$AB14&lt;BH$7+7),"H","")&amp;IF(AND($AC14&lt;&gt;"",$AC14&gt;=BH$7,$AC14&lt;BH$7+7),"G","")&amp;IF(AND($AH14&lt;&gt;"",$AH14&gt;=BH$7,$AH14&lt;BH$7+7),"S","")</f>
        <v/>
      </c>
      <c r="BI14" s="92" t="str">
        <f aca="false">IF(AND($Y14&lt;&gt;"",$Y14&gt;=BI$7,$Y14&lt;BI$7+7),"I","")&amp;IF(AND($Z14&lt;&gt;"",$Z14&gt;=BI$7,$Z14&lt;BI$7+7),"P","")&amp;IF(AND($AA14&lt;&gt;"",$AA14&gt;=BI$7,$AA14&lt;BI$7+7),"T","")&amp;IF(AND($AB14&lt;&gt;"",$AB14&gt;=BI$7,$AB14&lt;BI$7+7),"H","")&amp;IF(AND($AC14&lt;&gt;"",$AC14&gt;=BI$7,$AC14&lt;BI$7+7),"G","")&amp;IF(AND($AH14&lt;&gt;"",$AH14&gt;=BI$7,$AH14&lt;BI$7+7),"S","")</f>
        <v/>
      </c>
      <c r="BJ14" s="92" t="str">
        <f aca="false">IF(AND($Y14&lt;&gt;"",$Y14&gt;=BJ$7,$Y14&lt;BJ$7+7),"I","")&amp;IF(AND($Z14&lt;&gt;"",$Z14&gt;=BJ$7,$Z14&lt;BJ$7+7),"P","")&amp;IF(AND($AA14&lt;&gt;"",$AA14&gt;=BJ$7,$AA14&lt;BJ$7+7),"T","")&amp;IF(AND($AB14&lt;&gt;"",$AB14&gt;=BJ$7,$AB14&lt;BJ$7+7),"H","")&amp;IF(AND($AC14&lt;&gt;"",$AC14&gt;=BJ$7,$AC14&lt;BJ$7+7),"G","")&amp;IF(AND($AH14&lt;&gt;"",$AH14&gt;=BJ$7,$AH14&lt;BJ$7+7),"S","")</f>
        <v/>
      </c>
      <c r="BK14" s="92" t="str">
        <f aca="false">IF(AND($Y14&lt;&gt;"",$Y14&gt;=BK$7,$Y14&lt;BK$7+7),"I","")&amp;IF(AND($Z14&lt;&gt;"",$Z14&gt;=BK$7,$Z14&lt;BK$7+7),"P","")&amp;IF(AND($AA14&lt;&gt;"",$AA14&gt;=BK$7,$AA14&lt;BK$7+7),"T","")&amp;IF(AND($AB14&lt;&gt;"",$AB14&gt;=BK$7,$AB14&lt;BK$7+7),"H","")&amp;IF(AND($AC14&lt;&gt;"",$AC14&gt;=BK$7,$AC14&lt;BK$7+7),"G","")&amp;IF(AND($AH14&lt;&gt;"",$AH14&gt;=BK$7,$AH14&lt;BK$7+7),"S","")</f>
        <v/>
      </c>
      <c r="BL14" s="92" t="str">
        <f aca="false">IF(AND($Y14&lt;&gt;"",$Y14&gt;=BL$7,$Y14&lt;BL$7+7),"I","")&amp;IF(AND($Z14&lt;&gt;"",$Z14&gt;=BL$7,$Z14&lt;BL$7+7),"P","")&amp;IF(AND($AA14&lt;&gt;"",$AA14&gt;=BL$7,$AA14&lt;BL$7+7),"T","")&amp;IF(AND($AB14&lt;&gt;"",$AB14&gt;=BL$7,$AB14&lt;BL$7+7),"H","")&amp;IF(AND($AC14&lt;&gt;"",$AC14&gt;=BL$7,$AC14&lt;BL$7+7),"G","")&amp;IF(AND($AH14&lt;&gt;"",$AH14&gt;=BL$7,$AH14&lt;BL$7+7),"S","")</f>
        <v>I</v>
      </c>
      <c r="BM14" s="92" t="str">
        <f aca="false">IF(AND($Y14&lt;&gt;"",$Y14&gt;=BM$7,$Y14&lt;BM$7+7),"I","")&amp;IF(AND($Z14&lt;&gt;"",$Z14&gt;=BM$7,$Z14&lt;BM$7+7),"P","")&amp;IF(AND($AA14&lt;&gt;"",$AA14&gt;=BM$7,$AA14&lt;BM$7+7),"T","")&amp;IF(AND($AB14&lt;&gt;"",$AB14&gt;=BM$7,$AB14&lt;BM$7+7),"H","")&amp;IF(AND($AC14&lt;&gt;"",$AC14&gt;=BM$7,$AC14&lt;BM$7+7),"G","")&amp;IF(AND($AH14&lt;&gt;"",$AH14&gt;=BM$7,$AH14&lt;BM$7+7),"S","")</f>
        <v>PTG</v>
      </c>
      <c r="BN14" s="92" t="str">
        <f aca="false">IF(AND($Y14&lt;&gt;"",$Y14&gt;=BN$7,$Y14&lt;BN$7+7),"I","")&amp;IF(AND($Z14&lt;&gt;"",$Z14&gt;=BN$7,$Z14&lt;BN$7+7),"P","")&amp;IF(AND($AA14&lt;&gt;"",$AA14&gt;=BN$7,$AA14&lt;BN$7+7),"T","")&amp;IF(AND($AB14&lt;&gt;"",$AB14&gt;=BN$7,$AB14&lt;BN$7+7),"H","")&amp;IF(AND($AC14&lt;&gt;"",$AC14&gt;=BN$7,$AC14&lt;BN$7+7),"G","")&amp;IF(AND($AH14&lt;&gt;"",$AH14&gt;=BN$7,$AH14&lt;BN$7+7),"S","")</f>
        <v>H</v>
      </c>
      <c r="BO14" s="92" t="str">
        <f aca="false">IF(AND($Y14&lt;&gt;"",$Y14&gt;=BO$7,$Y14&lt;BO$7+7),"I","")&amp;IF(AND($Z14&lt;&gt;"",$Z14&gt;=BO$7,$Z14&lt;BO$7+7),"P","")&amp;IF(AND($AA14&lt;&gt;"",$AA14&gt;=BO$7,$AA14&lt;BO$7+7),"T","")&amp;IF(AND($AB14&lt;&gt;"",$AB14&gt;=BO$7,$AB14&lt;BO$7+7),"H","")&amp;IF(AND($AC14&lt;&gt;"",$AC14&gt;=BO$7,$AC14&lt;BO$7+7),"G","")&amp;IF(AND($AH14&lt;&gt;"",$AH14&gt;=BO$7,$AH14&lt;BO$7+7),"S","")</f>
        <v/>
      </c>
      <c r="BP14" s="92" t="str">
        <f aca="false">IF(AND($Y14&lt;&gt;"",$Y14&gt;=BP$7,$Y14&lt;BP$7+7),"I","")&amp;IF(AND($Z14&lt;&gt;"",$Z14&gt;=BP$7,$Z14&lt;BP$7+7),"P","")&amp;IF(AND($AA14&lt;&gt;"",$AA14&gt;=BP$7,$AA14&lt;BP$7+7),"T","")&amp;IF(AND($AB14&lt;&gt;"",$AB14&gt;=BP$7,$AB14&lt;BP$7+7),"H","")&amp;IF(AND($AC14&lt;&gt;"",$AC14&gt;=BP$7,$AC14&lt;BP$7+7),"G","")&amp;IF(AND($AH14&lt;&gt;"",$AH14&gt;=BP$7,$AH14&lt;BP$7+7),"S","")</f>
        <v/>
      </c>
      <c r="BQ14" s="92" t="str">
        <f aca="false">IF(AND($Y14&lt;&gt;"",$Y14&gt;=BQ$7,$Y14&lt;BQ$7+7),"I","")&amp;IF(AND($Z14&lt;&gt;"",$Z14&gt;=BQ$7,$Z14&lt;BQ$7+7),"P","")&amp;IF(AND($AA14&lt;&gt;"",$AA14&gt;=BQ$7,$AA14&lt;BQ$7+7),"T","")&amp;IF(AND($AB14&lt;&gt;"",$AB14&gt;=BQ$7,$AB14&lt;BQ$7+7),"H","")&amp;IF(AND($AC14&lt;&gt;"",$AC14&gt;=BQ$7,$AC14&lt;BQ$7+7),"G","")&amp;IF(AND($AH14&lt;&gt;"",$AH14&gt;=BQ$7,$AH14&lt;BQ$7+7),"S","")</f>
        <v/>
      </c>
      <c r="BR14" s="92" t="str">
        <f aca="false">IF(AND($Y14&lt;&gt;"",$Y14&gt;=BR$7,$Y14&lt;BR$7+7),"I","")&amp;IF(AND($Z14&lt;&gt;"",$Z14&gt;=BR$7,$Z14&lt;BR$7+7),"P","")&amp;IF(AND($AA14&lt;&gt;"",$AA14&gt;=BR$7,$AA14&lt;BR$7+7),"T","")&amp;IF(AND($AB14&lt;&gt;"",$AB14&gt;=BR$7,$AB14&lt;BR$7+7),"H","")&amp;IF(AND($AC14&lt;&gt;"",$AC14&gt;=BR$7,$AC14&lt;BR$7+7),"G","")&amp;IF(AND($AH14&lt;&gt;"",$AH14&gt;=BR$7,$AH14&lt;BR$7+7),"S","")</f>
        <v/>
      </c>
      <c r="BS14" s="92" t="str">
        <f aca="false">IF(AND($Y14&lt;&gt;"",$Y14&gt;=BS$7,$Y14&lt;BS$7+7),"I","")&amp;IF(AND($Z14&lt;&gt;"",$Z14&gt;=BS$7,$Z14&lt;BS$7+7),"P","")&amp;IF(AND($AA14&lt;&gt;"",$AA14&gt;=BS$7,$AA14&lt;BS$7+7),"T","")&amp;IF(AND($AB14&lt;&gt;"",$AB14&gt;=BS$7,$AB14&lt;BS$7+7),"H","")&amp;IF(AND($AC14&lt;&gt;"",$AC14&gt;=BS$7,$AC14&lt;BS$7+7),"G","")&amp;IF(AND($AH14&lt;&gt;"",$AH14&gt;=BS$7,$AH14&lt;BS$7+7),"S","")</f>
        <v/>
      </c>
      <c r="BT14" s="92" t="str">
        <f aca="false">IF(AND($Y14&lt;&gt;"",$Y14&gt;=BT$7,$Y14&lt;BT$7+7),"I","")&amp;IF(AND($Z14&lt;&gt;"",$Z14&gt;=BT$7,$Z14&lt;BT$7+7),"P","")&amp;IF(AND($AA14&lt;&gt;"",$AA14&gt;=BT$7,$AA14&lt;BT$7+7),"T","")&amp;IF(AND($AB14&lt;&gt;"",$AB14&gt;=BT$7,$AB14&lt;BT$7+7),"H","")&amp;IF(AND($AC14&lt;&gt;"",$AC14&gt;=BT$7,$AC14&lt;BT$7+7),"G","")&amp;IF(AND($AH14&lt;&gt;"",$AH14&gt;=BT$7,$AH14&lt;BT$7+7),"S","")</f>
        <v/>
      </c>
      <c r="BU14" s="92" t="str">
        <f aca="false">IF(AND($Y14&lt;&gt;"",$Y14&gt;=BU$7,$Y14&lt;BU$7+7),"I","")&amp;IF(AND($Z14&lt;&gt;"",$Z14&gt;=BU$7,$Z14&lt;BU$7+7),"P","")&amp;IF(AND($AA14&lt;&gt;"",$AA14&gt;=BU$7,$AA14&lt;BU$7+7),"T","")&amp;IF(AND($AB14&lt;&gt;"",$AB14&gt;=BU$7,$AB14&lt;BU$7+7),"H","")&amp;IF(AND($AC14&lt;&gt;"",$AC14&gt;=BU$7,$AC14&lt;BU$7+7),"G","")&amp;IF(AND($AH14&lt;&gt;"",$AH14&gt;=BU$7,$AH14&lt;BU$7+7),"S","")</f>
        <v/>
      </c>
      <c r="BV14" s="92" t="str">
        <f aca="false">IF(AND($Y14&lt;&gt;"",$Y14&gt;=BV$7,$Y14&lt;BV$7+7),"I","")&amp;IF(AND($Z14&lt;&gt;"",$Z14&gt;=BV$7,$Z14&lt;BV$7+7),"P","")&amp;IF(AND($AA14&lt;&gt;"",$AA14&gt;=BV$7,$AA14&lt;BV$7+7),"T","")&amp;IF(AND($AB14&lt;&gt;"",$AB14&gt;=BV$7,$AB14&lt;BV$7+7),"H","")&amp;IF(AND($AC14&lt;&gt;"",$AC14&gt;=BV$7,$AC14&lt;BV$7+7),"G","")&amp;IF(AND($AH14&lt;&gt;"",$AH14&gt;=BV$7,$AH14&lt;BV$7+7),"S","")</f>
        <v/>
      </c>
      <c r="BW14" s="92" t="str">
        <f aca="false">IF(AND($Y14&lt;&gt;"",$Y14&gt;=BW$7,$Y14&lt;BW$7+7),"I","")&amp;IF(AND($Z14&lt;&gt;"",$Z14&gt;=BW$7,$Z14&lt;BW$7+7),"P","")&amp;IF(AND($AA14&lt;&gt;"",$AA14&gt;=BW$7,$AA14&lt;BW$7+7),"T","")&amp;IF(AND($AB14&lt;&gt;"",$AB14&gt;=BW$7,$AB14&lt;BW$7+7),"H","")&amp;IF(AND($AC14&lt;&gt;"",$AC14&gt;=BW$7,$AC14&lt;BW$7+7),"G","")&amp;IF(AND($AH14&lt;&gt;"",$AH14&gt;=BW$7,$AH14&lt;BW$7+7),"S","")</f>
        <v/>
      </c>
      <c r="BX14" s="92" t="str">
        <f aca="false">IF(AND($Y14&lt;&gt;"",$Y14&gt;=BX$7,$Y14&lt;BX$7+7),"I","")&amp;IF(AND($Z14&lt;&gt;"",$Z14&gt;=BX$7,$Z14&lt;BX$7+7),"P","")&amp;IF(AND($AA14&lt;&gt;"",$AA14&gt;=BX$7,$AA14&lt;BX$7+7),"T","")&amp;IF(AND($AB14&lt;&gt;"",$AB14&gt;=BX$7,$AB14&lt;BX$7+7),"H","")&amp;IF(AND($AC14&lt;&gt;"",$AC14&gt;=BX$7,$AC14&lt;BX$7+7),"G","")&amp;IF(AND($AH14&lt;&gt;"",$AH14&gt;=BX$7,$AH14&lt;BX$7+7),"S","")</f>
        <v>S</v>
      </c>
      <c r="BY14" s="92" t="str">
        <f aca="false">IF(AND($Y14&lt;&gt;"",$Y14&gt;=BY$7,$Y14&lt;BY$7+7),"I","")&amp;IF(AND($Z14&lt;&gt;"",$Z14&gt;=BY$7,$Z14&lt;BY$7+7),"P","")&amp;IF(AND($AA14&lt;&gt;"",$AA14&gt;=BY$7,$AA14&lt;BY$7+7),"T","")&amp;IF(AND($AB14&lt;&gt;"",$AB14&gt;=BY$7,$AB14&lt;BY$7+7),"H","")&amp;IF(AND($AC14&lt;&gt;"",$AC14&gt;=BY$7,$AC14&lt;BY$7+7),"G","")&amp;IF(AND($AH14&lt;&gt;"",$AH14&gt;=BY$7,$AH14&lt;BY$7+7),"S","")</f>
        <v/>
      </c>
      <c r="BZ14" s="92" t="str">
        <f aca="false">IF(AND($Y14&lt;&gt;"",$Y14&gt;=BZ$7,$Y14&lt;BZ$7+7),"I","")&amp;IF(AND($Z14&lt;&gt;"",$Z14&gt;=BZ$7,$Z14&lt;BZ$7+7),"P","")&amp;IF(AND($AA14&lt;&gt;"",$AA14&gt;=BZ$7,$AA14&lt;BZ$7+7),"T","")&amp;IF(AND($AB14&lt;&gt;"",$AB14&gt;=BZ$7,$AB14&lt;BZ$7+7),"H","")&amp;IF(AND($AC14&lt;&gt;"",$AC14&gt;=BZ$7,$AC14&lt;BZ$7+7),"G","")&amp;IF(AND($AH14&lt;&gt;"",$AH14&gt;=BZ$7,$AH14&lt;BZ$7+7),"S","")</f>
        <v/>
      </c>
      <c r="CA14" s="92" t="str">
        <f aca="false">IF(AND($Y14&lt;&gt;"",$Y14&gt;=CA$7,$Y14&lt;CA$7+7),"I","")&amp;IF(AND($Z14&lt;&gt;"",$Z14&gt;=CA$7,$Z14&lt;CA$7+7),"P","")&amp;IF(AND($AA14&lt;&gt;"",$AA14&gt;=CA$7,$AA14&lt;CA$7+7),"T","")&amp;IF(AND($AB14&lt;&gt;"",$AB14&gt;=CA$7,$AB14&lt;CA$7+7),"H","")&amp;IF(AND($AC14&lt;&gt;"",$AC14&gt;=CA$7,$AC14&lt;CA$7+7),"G","")&amp;IF(AND($AH14&lt;&gt;"",$AH14&gt;=CA$7,$AH14&lt;CA$7+7),"S","")</f>
        <v/>
      </c>
      <c r="CB14" s="92" t="str">
        <f aca="false">IF(AND($Y14&lt;&gt;"",$Y14&gt;=CB$7,$Y14&lt;CB$7+7),"I","")&amp;IF(AND($Z14&lt;&gt;"",$Z14&gt;=CB$7,$Z14&lt;CB$7+7),"P","")&amp;IF(AND($AA14&lt;&gt;"",$AA14&gt;=CB$7,$AA14&lt;CB$7+7),"T","")&amp;IF(AND($AB14&lt;&gt;"",$AB14&gt;=CB$7,$AB14&lt;CB$7+7),"H","")&amp;IF(AND($AC14&lt;&gt;"",$AC14&gt;=CB$7,$AC14&lt;CB$7+7),"G","")&amp;IF(AND($AH14&lt;&gt;"",$AH14&gt;=CB$7,$AH14&lt;CB$7+7),"S","")</f>
        <v/>
      </c>
      <c r="CC14" s="92" t="str">
        <f aca="false">IF(AND($Y14&lt;&gt;"",$Y14&gt;=CC$7,$Y14&lt;CC$7+7),"I","")&amp;IF(AND($Z14&lt;&gt;"",$Z14&gt;=CC$7,$Z14&lt;CC$7+7),"P","")&amp;IF(AND($AA14&lt;&gt;"",$AA14&gt;=CC$7,$AA14&lt;CC$7+7),"T","")&amp;IF(AND($AB14&lt;&gt;"",$AB14&gt;=CC$7,$AB14&lt;CC$7+7),"H","")&amp;IF(AND($AC14&lt;&gt;"",$AC14&gt;=CC$7,$AC14&lt;CC$7+7),"G","")&amp;IF(AND($AH14&lt;&gt;"",$AH14&gt;=CC$7,$AH14&lt;CC$7+7),"S","")</f>
        <v/>
      </c>
      <c r="CD14" s="92" t="str">
        <f aca="false">IF(AND($Y14&lt;&gt;"",$Y14&gt;=CD$7,$Y14&lt;CD$7+7),"I","")&amp;IF(AND($Z14&lt;&gt;"",$Z14&gt;=CD$7,$Z14&lt;CD$7+7),"P","")&amp;IF(AND($AA14&lt;&gt;"",$AA14&gt;=CD$7,$AA14&lt;CD$7+7),"T","")&amp;IF(AND($AB14&lt;&gt;"",$AB14&gt;=CD$7,$AB14&lt;CD$7+7),"H","")&amp;IF(AND($AC14&lt;&gt;"",$AC14&gt;=CD$7,$AC14&lt;CD$7+7),"G","")&amp;IF(AND($AH14&lt;&gt;"",$AH14&gt;=CD$7,$AH14&lt;CD$7+7),"S","")</f>
        <v/>
      </c>
      <c r="CE14" s="92" t="str">
        <f aca="false">IF(AND($Y14&lt;&gt;"",$Y14&gt;=CE$7,$Y14&lt;CE$7+7),"I","")&amp;IF(AND($Z14&lt;&gt;"",$Z14&gt;=CE$7,$Z14&lt;CE$7+7),"P","")&amp;IF(AND($AA14&lt;&gt;"",$AA14&gt;=CE$7,$AA14&lt;CE$7+7),"T","")&amp;IF(AND($AB14&lt;&gt;"",$AB14&gt;=CE$7,$AB14&lt;CE$7+7),"H","")&amp;IF(AND($AC14&lt;&gt;"",$AC14&gt;=CE$7,$AC14&lt;CE$7+7),"G","")&amp;IF(AND($AH14&lt;&gt;"",$AH14&gt;=CE$7,$AH14&lt;CE$7+7),"S","")</f>
        <v/>
      </c>
      <c r="CF14" s="92" t="str">
        <f aca="false">IF(AND($Y14&lt;&gt;"",$Y14&gt;=CF$7,$Y14&lt;CF$7+7),"I","")&amp;IF(AND($Z14&lt;&gt;"",$Z14&gt;=CF$7,$Z14&lt;CF$7+7),"P","")&amp;IF(AND($AA14&lt;&gt;"",$AA14&gt;=CF$7,$AA14&lt;CF$7+7),"T","")&amp;IF(AND($AB14&lt;&gt;"",$AB14&gt;=CF$7,$AB14&lt;CF$7+7),"H","")&amp;IF(AND($AC14&lt;&gt;"",$AC14&gt;=CF$7,$AC14&lt;CF$7+7),"G","")&amp;IF(AND($AH14&lt;&gt;"",$AH14&gt;=CF$7,$AH14&lt;CF$7+7),"S","")</f>
        <v/>
      </c>
      <c r="CG14" s="92" t="str">
        <f aca="false">IF(AND($Y14&lt;&gt;"",$Y14&gt;=CG$7,$Y14&lt;CG$7+7),"I","")&amp;IF(AND($Z14&lt;&gt;"",$Z14&gt;=CG$7,$Z14&lt;CG$7+7),"P","")&amp;IF(AND($AA14&lt;&gt;"",$AA14&gt;=CG$7,$AA14&lt;CG$7+7),"T","")&amp;IF(AND($AB14&lt;&gt;"",$AB14&gt;=CG$7,$AB14&lt;CG$7+7),"H","")&amp;IF(AND($AC14&lt;&gt;"",$AC14&gt;=CG$7,$AC14&lt;CG$7+7),"G","")&amp;IF(AND($AH14&lt;&gt;"",$AH14&gt;=CG$7,$AH14&lt;CG$7+7),"S","")</f>
        <v/>
      </c>
      <c r="CH14" s="92" t="str">
        <f aca="false">IF(AND($Y14&lt;&gt;"",$Y14&gt;=CH$7,$Y14&lt;CH$7+7),"I","")&amp;IF(AND($Z14&lt;&gt;"",$Z14&gt;=CH$7,$Z14&lt;CH$7+7),"P","")&amp;IF(AND($AA14&lt;&gt;"",$AA14&gt;=CH$7,$AA14&lt;CH$7+7),"T","")&amp;IF(AND($AB14&lt;&gt;"",$AB14&gt;=CH$7,$AB14&lt;CH$7+7),"H","")&amp;IF(AND($AC14&lt;&gt;"",$AC14&gt;=CH$7,$AC14&lt;CH$7+7),"G","")&amp;IF(AND($AH14&lt;&gt;"",$AH14&gt;=CH$7,$AH14&lt;CH$7+7),"S","")</f>
        <v/>
      </c>
      <c r="CI14" s="92" t="str">
        <f aca="false">IF(AND($Y14&lt;&gt;"",$Y14&gt;=CI$7,$Y14&lt;CI$7+7),"I","")&amp;IF(AND($Z14&lt;&gt;"",$Z14&gt;=CI$7,$Z14&lt;CI$7+7),"P","")&amp;IF(AND($AA14&lt;&gt;"",$AA14&gt;=CI$7,$AA14&lt;CI$7+7),"T","")&amp;IF(AND($AB14&lt;&gt;"",$AB14&gt;=CI$7,$AB14&lt;CI$7+7),"H","")&amp;IF(AND($AC14&lt;&gt;"",$AC14&gt;=CI$7,$AC14&lt;CI$7+7),"G","")&amp;IF(AND($AH14&lt;&gt;"",$AH14&gt;=CI$7,$AH14&lt;CI$7+7),"S","")</f>
        <v/>
      </c>
      <c r="CJ14" s="92" t="str">
        <f aca="false">IF(AND($Y14&lt;&gt;"",$Y14&gt;=CJ$7,$Y14&lt;CJ$7+7),"I","")&amp;IF(AND($Z14&lt;&gt;"",$Z14&gt;=CJ$7,$Z14&lt;CJ$7+7),"P","")&amp;IF(AND($AA14&lt;&gt;"",$AA14&gt;=CJ$7,$AA14&lt;CJ$7+7),"T","")&amp;IF(AND($AB14&lt;&gt;"",$AB14&gt;=CJ$7,$AB14&lt;CJ$7+7),"H","")&amp;IF(AND($AC14&lt;&gt;"",$AC14&gt;=CJ$7,$AC14&lt;CJ$7+7),"G","")&amp;IF(AND($AH14&lt;&gt;"",$AH14&gt;=CJ$7,$AH14&lt;CJ$7+7),"S","")</f>
        <v/>
      </c>
      <c r="CK14" s="92" t="str">
        <f aca="false">IF(AND($Y14&lt;&gt;"",$Y14&gt;=CK$7,$Y14&lt;CK$7+7),"I","")&amp;IF(AND($Z14&lt;&gt;"",$Z14&gt;=CK$7,$Z14&lt;CK$7+7),"P","")&amp;IF(AND($AA14&lt;&gt;"",$AA14&gt;=CK$7,$AA14&lt;CK$7+7),"T","")&amp;IF(AND($AB14&lt;&gt;"",$AB14&gt;=CK$7,$AB14&lt;CK$7+7),"H","")&amp;IF(AND($AC14&lt;&gt;"",$AC14&gt;=CK$7,$AC14&lt;CK$7+7),"G","")&amp;IF(AND($AH14&lt;&gt;"",$AH14&gt;=CK$7,$AH14&lt;CK$7+7),"S","")</f>
        <v/>
      </c>
      <c r="CL14" s="92" t="str">
        <f aca="false">IF(AND($Y14&lt;&gt;"",$Y14&gt;=CL$7,$Y14&lt;CL$7+7),"I","")&amp;IF(AND($Z14&lt;&gt;"",$Z14&gt;=CL$7,$Z14&lt;CL$7+7),"P","")&amp;IF(AND($AA14&lt;&gt;"",$AA14&gt;=CL$7,$AA14&lt;CL$7+7),"T","")&amp;IF(AND($AB14&lt;&gt;"",$AB14&gt;=CL$7,$AB14&lt;CL$7+7),"H","")&amp;IF(AND($AC14&lt;&gt;"",$AC14&gt;=CL$7,$AC14&lt;CL$7+7),"G","")&amp;IF(AND($AH14&lt;&gt;"",$AH14&gt;=CL$7,$AH14&lt;CL$7+7),"S","")</f>
        <v/>
      </c>
      <c r="CM14" s="92" t="str">
        <f aca="false">IF(AND($Y14&lt;&gt;"",$Y14&gt;=CM$7,$Y14&lt;CM$7+7),"I","")&amp;IF(AND($Z14&lt;&gt;"",$Z14&gt;=CM$7,$Z14&lt;CM$7+7),"P","")&amp;IF(AND($AA14&lt;&gt;"",$AA14&gt;=CM$7,$AA14&lt;CM$7+7),"T","")&amp;IF(AND($AB14&lt;&gt;"",$AB14&gt;=CM$7,$AB14&lt;CM$7+7),"H","")&amp;IF(AND($AC14&lt;&gt;"",$AC14&gt;=CM$7,$AC14&lt;CM$7+7),"G","")&amp;IF(AND($AH14&lt;&gt;"",$AH14&gt;=CM$7,$AH14&lt;CM$7+7),"S","")</f>
        <v/>
      </c>
      <c r="CN14" s="92" t="str">
        <f aca="false">IF(AND($Y14&lt;&gt;"",$Y14&gt;=CN$7,$Y14&lt;CN$7+7),"I","")&amp;IF(AND($Z14&lt;&gt;"",$Z14&gt;=CN$7,$Z14&lt;CN$7+7),"P","")&amp;IF(AND($AA14&lt;&gt;"",$AA14&gt;=CN$7,$AA14&lt;CN$7+7),"T","")&amp;IF(AND($AB14&lt;&gt;"",$AB14&gt;=CN$7,$AB14&lt;CN$7+7),"H","")&amp;IF(AND($AC14&lt;&gt;"",$AC14&gt;=CN$7,$AC14&lt;CN$7+7),"G","")&amp;IF(AND($AH14&lt;&gt;"",$AH14&gt;=CN$7,$AH14&lt;CN$7+7),"S","")</f>
        <v/>
      </c>
      <c r="CO14" s="92" t="str">
        <f aca="false">IF(AND($Y14&lt;&gt;"",$Y14&gt;=CO$7,$Y14&lt;CO$7+7),"I","")&amp;IF(AND($Z14&lt;&gt;"",$Z14&gt;=CO$7,$Z14&lt;CO$7+7),"P","")&amp;IF(AND($AA14&lt;&gt;"",$AA14&gt;=CO$7,$AA14&lt;CO$7+7),"T","")&amp;IF(AND($AB14&lt;&gt;"",$AB14&gt;=CO$7,$AB14&lt;CO$7+7),"H","")&amp;IF(AND($AC14&lt;&gt;"",$AC14&gt;=CO$7,$AC14&lt;CO$7+7),"G","")&amp;IF(AND($AH14&lt;&gt;"",$AH14&gt;=CO$7,$AH14&lt;CO$7+7),"S","")</f>
        <v/>
      </c>
      <c r="CP14" s="92" t="str">
        <f aca="false">IF(AND($Y14&lt;&gt;"",$Y14&gt;=CP$7,$Y14&lt;CP$7+7),"I","")&amp;IF(AND($Z14&lt;&gt;"",$Z14&gt;=CP$7,$Z14&lt;CP$7+7),"P","")&amp;IF(AND($AA14&lt;&gt;"",$AA14&gt;=CP$7,$AA14&lt;CP$7+7),"T","")&amp;IF(AND($AB14&lt;&gt;"",$AB14&gt;=CP$7,$AB14&lt;CP$7+7),"H","")&amp;IF(AND($AC14&lt;&gt;"",$AC14&gt;=CP$7,$AC14&lt;CP$7+7),"G","")&amp;IF(AND($AH14&lt;&gt;"",$AH14&gt;=CP$7,$AH14&lt;CP$7+7),"S","")</f>
        <v/>
      </c>
      <c r="CQ14" s="92" t="str">
        <f aca="false">IF(AND($Y14&lt;&gt;"",$Y14&gt;=CQ$7,$Y14&lt;CQ$7+7),"I","")&amp;IF(AND($Z14&lt;&gt;"",$Z14&gt;=CQ$7,$Z14&lt;CQ$7+7),"P","")&amp;IF(AND($AA14&lt;&gt;"",$AA14&gt;=CQ$7,$AA14&lt;CQ$7+7),"T","")&amp;IF(AND($AB14&lt;&gt;"",$AB14&gt;=CQ$7,$AB14&lt;CQ$7+7),"H","")&amp;IF(AND($AC14&lt;&gt;"",$AC14&gt;=CQ$7,$AC14&lt;CQ$7+7),"G","")&amp;IF(AND($AH14&lt;&gt;"",$AH14&gt;=CQ$7,$AH14&lt;CQ$7+7),"S","")</f>
        <v/>
      </c>
      <c r="CR14" s="92" t="str">
        <f aca="false">IF(AND($Y14&lt;&gt;"",$Y14&gt;=CR$7,$Y14&lt;CR$7+7),"I","")&amp;IF(AND($Z14&lt;&gt;"",$Z14&gt;=CR$7,$Z14&lt;CR$7+7),"P","")&amp;IF(AND($AA14&lt;&gt;"",$AA14&gt;=CR$7,$AA14&lt;CR$7+7),"T","")&amp;IF(AND($AB14&lt;&gt;"",$AB14&gt;=CR$7,$AB14&lt;CR$7+7),"H","")&amp;IF(AND($AC14&lt;&gt;"",$AC14&gt;=CR$7,$AC14&lt;CR$7+7),"G","")&amp;IF(AND($AH14&lt;&gt;"",$AH14&gt;=CR$7,$AH14&lt;CR$7+7),"S","")</f>
        <v/>
      </c>
      <c r="CS14" s="92" t="str">
        <f aca="false">IF(AND($Y14&lt;&gt;"",$Y14&gt;=CS$7,$Y14&lt;CS$7+7),"I","")&amp;IF(AND($Z14&lt;&gt;"",$Z14&gt;=CS$7,$Z14&lt;CS$7+7),"P","")&amp;IF(AND($AA14&lt;&gt;"",$AA14&gt;=CS$7,$AA14&lt;CS$7+7),"T","")&amp;IF(AND($AB14&lt;&gt;"",$AB14&gt;=CS$7,$AB14&lt;CS$7+7),"H","")&amp;IF(AND($AC14&lt;&gt;"",$AC14&gt;=CS$7,$AC14&lt;CS$7+7),"G","")&amp;IF(AND($AH14&lt;&gt;"",$AH14&gt;=CS$7,$AH14&lt;CS$7+7),"S","")</f>
        <v/>
      </c>
      <c r="CT14" s="92" t="str">
        <f aca="false">IF(AND($Y14&lt;&gt;"",$Y14&gt;=CT$7,$Y14&lt;CT$7+7),"I","")&amp;IF(AND($Z14&lt;&gt;"",$Z14&gt;=CT$7,$Z14&lt;CT$7+7),"P","")&amp;IF(AND($AA14&lt;&gt;"",$AA14&gt;=CT$7,$AA14&lt;CT$7+7),"T","")&amp;IF(AND($AB14&lt;&gt;"",$AB14&gt;=CT$7,$AB14&lt;CT$7+7),"H","")&amp;IF(AND($AC14&lt;&gt;"",$AC14&gt;=CT$7,$AC14&lt;CT$7+7),"G","")&amp;IF(AND($AH14&lt;&gt;"",$AH14&gt;=CT$7,$AH14&lt;CT$7+7),"S","")</f>
        <v/>
      </c>
      <c r="CU14" s="92" t="str">
        <f aca="false">IF(AND($Y14&lt;&gt;"",$Y14&gt;=CU$7,$Y14&lt;CU$7+7),"I","")&amp;IF(AND($Z14&lt;&gt;"",$Z14&gt;=CU$7,$Z14&lt;CU$7+7),"P","")&amp;IF(AND($AA14&lt;&gt;"",$AA14&gt;=CU$7,$AA14&lt;CU$7+7),"T","")&amp;IF(AND($AB14&lt;&gt;"",$AB14&gt;=CU$7,$AB14&lt;CU$7+7),"H","")&amp;IF(AND($AC14&lt;&gt;"",$AC14&gt;=CU$7,$AC14&lt;CU$7+7),"G","")&amp;IF(AND($AH14&lt;&gt;"",$AH14&gt;=CU$7,$AH14&lt;CU$7+7),"S","")</f>
        <v/>
      </c>
      <c r="CV14" s="92" t="str">
        <f aca="false">IF(AND($Y14&lt;&gt;"",$Y14&gt;=CV$7,$Y14&lt;CV$7+7),"I","")&amp;IF(AND($Z14&lt;&gt;"",$Z14&gt;=CV$7,$Z14&lt;CV$7+7),"P","")&amp;IF(AND($AA14&lt;&gt;"",$AA14&gt;=CV$7,$AA14&lt;CV$7+7),"T","")&amp;IF(AND($AB14&lt;&gt;"",$AB14&gt;=CV$7,$AB14&lt;CV$7+7),"H","")&amp;IF(AND($AC14&lt;&gt;"",$AC14&gt;=CV$7,$AC14&lt;CV$7+7),"G","")&amp;IF(AND($AH14&lt;&gt;"",$AH14&gt;=CV$7,$AH14&lt;CV$7+7),"S","")</f>
        <v/>
      </c>
      <c r="CW14" s="92" t="str">
        <f aca="false">IF(AND($Y14&lt;&gt;"",$Y14&gt;=CW$7,$Y14&lt;CW$7+7),"I","")&amp;IF(AND($Z14&lt;&gt;"",$Z14&gt;=CW$7,$Z14&lt;CW$7+7),"P","")&amp;IF(AND($AA14&lt;&gt;"",$AA14&gt;=CW$7,$AA14&lt;CW$7+7),"T","")&amp;IF(AND($AB14&lt;&gt;"",$AB14&gt;=CW$7,$AB14&lt;CW$7+7),"H","")&amp;IF(AND($AC14&lt;&gt;"",$AC14&gt;=CW$7,$AC14&lt;CW$7+7),"G","")&amp;IF(AND($AH14&lt;&gt;"",$AH14&gt;=CW$7,$AH14&lt;CW$7+7),"S","")</f>
        <v/>
      </c>
      <c r="CX14" s="92" t="str">
        <f aca="false">IF(AND($Y14&lt;&gt;"",$Y14&gt;=CX$7,$Y14&lt;CX$7+7),"I","")&amp;IF(AND($Z14&lt;&gt;"",$Z14&gt;=CX$7,$Z14&lt;CX$7+7),"P","")&amp;IF(AND($AA14&lt;&gt;"",$AA14&gt;=CX$7,$AA14&lt;CX$7+7),"T","")&amp;IF(AND($AB14&lt;&gt;"",$AB14&gt;=CX$7,$AB14&lt;CX$7+7),"H","")&amp;IF(AND($AC14&lt;&gt;"",$AC14&gt;=CX$7,$AC14&lt;CX$7+7),"G","")&amp;IF(AND($AH14&lt;&gt;"",$AH14&gt;=CX$7,$AH14&lt;CX$7+7),"S","")</f>
        <v/>
      </c>
      <c r="CY14" s="92" t="str">
        <f aca="false">IF(AND($Y14&lt;&gt;"",$Y14&gt;=CY$7,$Y14&lt;CY$7+7),"I","")&amp;IF(AND($Z14&lt;&gt;"",$Z14&gt;=CY$7,$Z14&lt;CY$7+7),"P","")&amp;IF(AND($AA14&lt;&gt;"",$AA14&gt;=CY$7,$AA14&lt;CY$7+7),"T","")&amp;IF(AND($AB14&lt;&gt;"",$AB14&gt;=CY$7,$AB14&lt;CY$7+7),"H","")&amp;IF(AND($AC14&lt;&gt;"",$AC14&gt;=CY$7,$AC14&lt;CY$7+7),"G","")&amp;IF(AND($AH14&lt;&gt;"",$AH14&gt;=CY$7,$AH14&lt;CY$7+7),"S","")</f>
        <v/>
      </c>
      <c r="CZ14" s="92" t="str">
        <f aca="false">IF(AND($Y14&lt;&gt;"",$Y14&gt;=CZ$7,$Y14&lt;CZ$7+7),"I","")&amp;IF(AND($Z14&lt;&gt;"",$Z14&gt;=CZ$7,$Z14&lt;CZ$7+7),"P","")&amp;IF(AND($AA14&lt;&gt;"",$AA14&gt;=CZ$7,$AA14&lt;CZ$7+7),"T","")&amp;IF(AND($AB14&lt;&gt;"",$AB14&gt;=CZ$7,$AB14&lt;CZ$7+7),"H","")&amp;IF(AND($AC14&lt;&gt;"",$AC14&gt;=CZ$7,$AC14&lt;CZ$7+7),"G","")&amp;IF(AND($AH14&lt;&gt;"",$AH14&gt;=CZ$7,$AH14&lt;CZ$7+7),"S","")</f>
        <v/>
      </c>
      <c r="DA14" s="92" t="str">
        <f aca="false">IF(AND($Y14&lt;&gt;"",$Y14&gt;=DA$7,$Y14&lt;DA$7+7),"I","")&amp;IF(AND($Z14&lt;&gt;"",$Z14&gt;=DA$7,$Z14&lt;DA$7+7),"P","")&amp;IF(AND($AA14&lt;&gt;"",$AA14&gt;=DA$7,$AA14&lt;DA$7+7),"T","")&amp;IF(AND($AB14&lt;&gt;"",$AB14&gt;=DA$7,$AB14&lt;DA$7+7),"H","")&amp;IF(AND($AC14&lt;&gt;"",$AC14&gt;=DA$7,$AC14&lt;DA$7+7),"G","")&amp;IF(AND($AH14&lt;&gt;"",$AH14&gt;=DA$7,$AH14&lt;DA$7+7),"S","")</f>
        <v/>
      </c>
      <c r="DB14" s="92" t="str">
        <f aca="false">IF(AND($Y14&lt;&gt;"",$Y14&gt;=DB$7,$Y14&lt;DB$7+7),"I","")&amp;IF(AND($Z14&lt;&gt;"",$Z14&gt;=DB$7,$Z14&lt;DB$7+7),"P","")&amp;IF(AND($AA14&lt;&gt;"",$AA14&gt;=DB$7,$AA14&lt;DB$7+7),"T","")&amp;IF(AND($AB14&lt;&gt;"",$AB14&gt;=DB$7,$AB14&lt;DB$7+7),"H","")&amp;IF(AND($AC14&lt;&gt;"",$AC14&gt;=DB$7,$AC14&lt;DB$7+7),"G","")&amp;IF(AND($AH14&lt;&gt;"",$AH14&gt;=DB$7,$AH14&lt;DB$7+7),"S","")</f>
        <v/>
      </c>
      <c r="DC14" s="92" t="str">
        <f aca="false">IF(AND($Y14&lt;&gt;"",$Y14&gt;=DC$7,$Y14&lt;DC$7+7),"I","")&amp;IF(AND($Z14&lt;&gt;"",$Z14&gt;=DC$7,$Z14&lt;DC$7+7),"P","")&amp;IF(AND($AA14&lt;&gt;"",$AA14&gt;=DC$7,$AA14&lt;DC$7+7),"T","")&amp;IF(AND($AB14&lt;&gt;"",$AB14&gt;=DC$7,$AB14&lt;DC$7+7),"H","")&amp;IF(AND($AC14&lt;&gt;"",$AC14&gt;=DC$7,$AC14&lt;DC$7+7),"G","")&amp;IF(AND($AH14&lt;&gt;"",$AH14&gt;=DC$7,$AH14&lt;DC$7+7),"S","")</f>
        <v/>
      </c>
    </row>
    <row r="15" customFormat="false" ht="15" hidden="false" customHeight="false" outlineLevel="0" collapsed="false">
      <c r="A15" s="47" t="s">
        <v>70</v>
      </c>
      <c r="B15" s="31" t="s">
        <v>71</v>
      </c>
      <c r="C15" s="36" t="s">
        <v>565</v>
      </c>
      <c r="D15" s="31" t="s">
        <v>566</v>
      </c>
      <c r="E15" s="31" t="s">
        <v>177</v>
      </c>
      <c r="F15" s="75" t="n">
        <v>280.44</v>
      </c>
      <c r="G15" s="31" t="s">
        <v>170</v>
      </c>
      <c r="H15" s="76" t="n">
        <f aca="false">PROJ_START+RD_SPAN</f>
        <v>46403</v>
      </c>
      <c r="I15" s="77" t="n">
        <f aca="false">H15+33</f>
        <v>46436</v>
      </c>
      <c r="J15" s="31" t="s">
        <v>73</v>
      </c>
      <c r="K15" s="36" t="s">
        <v>131</v>
      </c>
      <c r="L15" s="36" t="s">
        <v>72</v>
      </c>
      <c r="M15" s="36" t="s">
        <v>568</v>
      </c>
      <c r="N15" s="78" t="str">
        <f aca="false">IF(ISNUMBER(อัปเดตรายสัปดาห์!$AF15),อัปเดตรายสัปดาห์!$AF15,"")</f>
        <v/>
      </c>
      <c r="O15" s="78" t="str">
        <f aca="false">IF(ISNUMBER(อัปเดตรายสัปดาห์!$AH15),อัปเดตรายสัปดาห์!$AH15,"")</f>
        <v/>
      </c>
      <c r="P15" s="78" t="str">
        <f aca="false">IF(ISNUMBER(อัปเดตรายสัปดาห์!$AG15),อัปเดตรายสัปดาห์!$AG15,IF(AND(ISNUMBER(TCRoof!$AC$15),N(TCRoof!$AC$15)&lt;=ASOF),TCRoof!$AC$15,""))</f>
        <v/>
      </c>
      <c r="Q15" s="78" t="str">
        <f aca="false">IF(ISNUMBER(อัปเดตรายสัปดาห์!$AL15),อัปเดตรายสัปดาห์!$AL15,"")</f>
        <v/>
      </c>
      <c r="R15" s="78" t="str">
        <f aca="false">IF(ISNUMBER(อัปเดตรายสัปดาห์!$Q15),อัปเดตรายสัปดาห์!$Q15,"")</f>
        <v/>
      </c>
      <c r="S15" s="78" t="str">
        <f aca="false">IF(ISNUMBER(อัปเดตรายสัปดาห์!$R15),อัปเดตรายสัปดาห์!$R15,"")</f>
        <v/>
      </c>
      <c r="T15" s="78" t="str">
        <f aca="false">IF(ISNUMBER(อัปเดตรายสัปดาห์!$S15),อัปเดตรายสัปดาห์!$S15,IF(อัปเดตรายสัปดาห์!$S15="Y",ASOF,""))</f>
        <v/>
      </c>
      <c r="U15" s="78" t="str">
        <f aca="false">IF(ISNUMBER(อัปเดตรายสัปดาห์!$T15),อัปเดตรายสัปดาห์!$T15,IF(อัปเดตรายสัปดาห์!$T15="Y",ASOF,""))</f>
        <v/>
      </c>
      <c r="V15" s="78" t="str">
        <f aca="false">IF(ISNUMBER(อัปเดตรายสัปดาห์!$U15),อัปเดตรายสัปดาห์!$U15,IF(อัปเดตรายสัปดาห์!$U15="Y",ASOF,""))</f>
        <v/>
      </c>
      <c r="W15" s="78" t="str">
        <f aca="false">IF(ISNUMBER(อัปเดตรายสัปดาห์!$N15),อัปเดตรายสัปดาห์!$N15,"")</f>
        <v/>
      </c>
      <c r="X15" s="78" t="str">
        <f aca="false">IF(ISNUMBER(อัปเดตรายสัปดาห์!$V15),อัปเดตรายสัปดาห์!$V15,IF(AND(ISNUMBER(TCRoof!$AD$15),N(TCRoof!$AD$15)&lt;=ASOF),TCRoof!$AD$15,""))</f>
        <v/>
      </c>
      <c r="Y15" s="79" t="n">
        <f aca="false">IF(N15&lt;&gt;"",N15,WORKDAY((ASOF+LEAD_INST+7*INT((AT15-0.01)/MAX(1,AU15)))-1,1,HOLIDAYS))</f>
        <v>46349</v>
      </c>
      <c r="Z15" s="79" t="n">
        <f aca="false">IF(O15&lt;&gt;"",O15,WORKDAY((MAX(AV15+7*INT((AW15-1)/MAX(1,AX15)),AV15+7*INT((AY15-1)/MAX(1,AZ15))))-1,1,HOLIDAYS))</f>
        <v>46356</v>
      </c>
      <c r="AA15" s="79" t="n">
        <f aca="false">IF(P15&lt;&gt;"",P15,WORKDAY((BA15+7*INT((BB15-1)/MAX(1,BC15)))-1,1,HOLIDAYS))</f>
        <v>46359</v>
      </c>
      <c r="AB15" s="79" t="n">
        <f aca="false">IF(Q15&lt;&gt;"",Q15,WORKDAY((MAX(AA15+BD15,ASOF+1))-1,1,HOLIDAYS))</f>
        <v>46367</v>
      </c>
      <c r="AC15" s="79" t="n">
        <f aca="false">IF(R15&lt;&gt;"",R15,WORKDAY((MAX(Y15,ASOF)+LAG_GRID)-1,1,HOLIDAYS))</f>
        <v>46356</v>
      </c>
      <c r="AD15" s="79" t="n">
        <f aca="false">IF(T15&lt;&gt;"",T15,WORKDAY((MAX(WORKDAY(MAX(AC15,N(S15)),REVIEW_WD,HOLIDAYS),ASOF+1))-1,1,HOLIDAYS))</f>
        <v>46379</v>
      </c>
      <c r="AE15" s="79" t="n">
        <f aca="false">IF(U15&lt;&gt;"",U15,WORKDAY((MAX(AD15,ASOF)+FEE_DAYS)-1,1,HOLIDAYS))</f>
        <v>46386</v>
      </c>
      <c r="AF15" s="79" t="n">
        <f aca="false">IF(V15&lt;&gt;"",V15,WORKDAY((MAX(AA15,Z15,AE15,IF(AG15="",0,AG15+REVIEW_PK2),ASOF)+LAG_INSREQ)-1,1,HOLIDAYS))</f>
        <v>46391</v>
      </c>
      <c r="AG15" s="79" t="n">
        <f aca="false">IF(M15&lt;&gt;"Y","",IF(W15&lt;&gt;"",W15,WORKDAY((MAX(Y15,ASOF)+LAG_GRID)-1,1,HOLIDAYS)))</f>
        <v>46356</v>
      </c>
      <c r="AH15" s="80" t="n">
        <f aca="false">IF(X15&lt;&gt;"",X15,WORKDAY(AF15,INSPECT_WD,HOLIDAYS))</f>
        <v>46433</v>
      </c>
      <c r="AI15" s="81" t="n">
        <f aca="false">IF(H15="","",AB15-H15)</f>
        <v>-36</v>
      </c>
      <c r="AJ15" s="81" t="n">
        <f aca="false">IF(I15="","",AH15-I15)</f>
        <v>-3</v>
      </c>
      <c r="AK15" s="82" t="n">
        <f aca="false">IF(AND(ISNUMBER(N15),N(N15)&lt;=ASOF),1,0)+IF(AND(ISNUMBER(O15),N(O15)&lt;=ASOF),1,0)+IF(AND(ISNUMBER(P15),N(P15)&lt;=ASOF),1,0)+IF(AND(ISNUMBER(Q15),N(Q15)&lt;=ASOF),1,0)+IF(AND(ISNUMBER(R15),N(R15)&lt;=ASOF),1,0)+IF(AND(ISNUMBER(U15),N(U15)&lt;=ASOF),1,0)+IF(AND(ISNUMBER(X15),N(X15)&lt;=ASOF),1,0)+IF(AND(ISNUMBER(W15),N(W15)&lt;=ASOF),1,0)</f>
        <v>0</v>
      </c>
      <c r="AL15" s="83" t="n">
        <v>8</v>
      </c>
      <c r="AM15" s="84" t="n">
        <f aca="false">'P9-008'!$J$4</f>
        <v>0</v>
      </c>
      <c r="AN15" s="85" t="str">
        <f aca="false">TRIM(IF(AND(ISNUMBER(O15),NOT(ISNUMBER(N15))),"กฟภ.ตรวจก่อนติดตั้ง, ","")&amp;IF(AND(ISNUMBER(P15),NOT(ISNUMBER(N15))),"IEC ก่อนติดตั้ง, ","")&amp;IF(AND(ISNUMBER(Q15),NOT(ISNUMBER(N15))),"ส่งมอบก่อนติดตั้ง, ","")&amp;IF(AND(ISNUMBER(Q15),ISNUMBER(P15),N(Q15)&lt;N(P15)),"ส่งมอบก่อน IEC, ","")&amp;IF(AND(ISNUMBER(อัปเดตรายสัปดาห์!$AG15),ISNUMBER(TCRoof!$AC$15),ABS(N(อัปเดตรายสัปดาห์!$AG15)-N(TCRoof!$AC$15))&gt;3),"IEC Excel≠แอป, ","")&amp;IF(AND(ISNUMBER(อัปเดตรายสัปดาห์!$V15),ISNUMBER(TCRoof!$AD$15),ABS(N(อัปเดตรายสัปดาห์!$V15)-N(TCRoof!$AD$15))&gt;3),"COD Excel≠แอป, ","")&amp;IF(AND(ISNUMBER(อัปเดตรายสัปดาห์!$AF15),ISNUMBER(TCRoof!$AB$15),ABS(N(อัปเดตรายสัปดาห์!$AF15)-N(TCRoof!$AB$15))&gt;3),"ติดตั้ง Excel≠แอป, ","")&amp;IF(AND(ISNUMBER(N15),N(N15)&gt;ASOF,OR(WEEKDAY(N(N15),2)&gt;5,COUNTIF(HOLIDAYS,N(N15))&gt;0)),"นัดดับไฟตรงวันหยุด, ","")&amp;IF(AND(ISNUMBER(O15),N(O15)&gt;ASOF,OR(WEEKDAY(N(O15),2)&gt;5,COUNTIF(HOLIDAYS,N(O15))&gt;0)),"นัด กฟภ.ตรงวันหยุด, ","")&amp;IF(AND(ISNUMBER(P15),N(P15)&gt;ASOF,OR(WEEKDAY(N(P15),2)&gt;5,COUNTIF(HOLIDAYS,N(P15))&gt;0)),"นัด IECตรงวันหยุด, ","")&amp;IF(AND(ISNUMBER(X15),N(X15)&gt;ASOF,OR(WEEKDAY(N(X15),2)&gt;5,COUNTIF(HOLIDAYS,N(X15))&gt;0)),"นัด Syncตรงวันหยุด, ",""))</f>
        <v/>
      </c>
      <c r="AO15" s="86" t="n">
        <f aca="false">SUMIFS(CR_COD,CR_ST,A15,CR_STAT,"อนุมัติ")+SUMIFS(CR_COD,CR_ST,"ทั้งเฟส",CR_STAT,"อนุมัติ")+SUMIFS(CR_COD,CR_ST,"ผรม. "&amp;L15,CR_STAT,"อนุมัติ")+SUMIFS(CR_COD,CR_ST,"เขต "&amp;E15,CR_STAT,"อนุมัติ")</f>
        <v>0</v>
      </c>
      <c r="AP15" s="86" t="n">
        <f aca="false">IF(NOT(ISNUMBER(AJ15)),"",MAX(0,AJ15-AO15))</f>
        <v>0</v>
      </c>
      <c r="AQ15" s="86" t="n">
        <f aca="false">COUNTIF(RW_ST,A15)</f>
        <v>0</v>
      </c>
      <c r="AR15" s="87" t="str">
        <f aca="false">IF(ISNUMBER(TCRoof!$I$15),TCRoof!$I$15,"")</f>
        <v/>
      </c>
      <c r="AS15" s="88" t="str">
        <f aca="false">IF(ISNUMBER(TCRoof!$H$15),TCRoof!$H$15,"")</f>
        <v/>
      </c>
      <c r="AT15" s="89" t="n">
        <f aca="false">IF(N15&lt;&gt;"","",SUMIFS($F$8:$F$27,$L$8:$L$27,L15,$N$8:$N$27,"",$H$8:$H$27,"&lt;"&amp;H15)+SUMIFS($F$8:$F$27,$L$8:$L$27,L15,$N$8:$N$27,"",$H$8:$H$27,H15,$A$8:$A$27,"&lt;="&amp;A15)+SUMIFS($F$8:$F$27,$L$8:$L$27,L15,$N$8:$N$27,"&gt;"&amp;ASOF))</f>
        <v>280.44</v>
      </c>
      <c r="AU15" s="89" t="n">
        <f aca="false">IFERROR(VLOOKUP(L15,TEAM_TBL,2,0)*VLOOKUP(L15,TEAM_TBL,3,0),150)</f>
        <v>150</v>
      </c>
      <c r="AV15" s="90" t="n">
        <f aca="false">IF(O15&lt;&gt;"","",MAX(Y15+LAG_PEA,ASOF+LAG_PEA))</f>
        <v>46356</v>
      </c>
      <c r="AW15" s="89" t="n">
        <f aca="false">IF(O15&lt;&gt;"","",COUNTIFS($E$8:$E$27,E15,$AV$8:$AV$27,"&lt;"&amp;AV15)+COUNTIFS($E$8:$E$27,E15,$AV$8:$AV$27,AV15,$A$8:$A$27,"&lt;"&amp;A15)+COUNTIFS($E$8:$E$27,E15,$O$8:$O$27,"&gt;"&amp;ASOF)+1)</f>
        <v>1</v>
      </c>
      <c r="AX15" s="89" t="n">
        <f aca="false">IFERROR(VLOOKUP(E15,ZONE_TBL,2,0),CAP_PEA)</f>
        <v>3</v>
      </c>
      <c r="AY15" s="89" t="n">
        <f aca="false">IF(O15&lt;&gt;"","",COUNTIFS($J$8:$J$27,J15,$AV$8:$AV$27,"&lt;"&amp;AV15)+COUNTIFS($J$8:$J$27,J15,$AV$8:$AV$27,AV15,$A$8:$A$27,"&lt;"&amp;A15)+COUNTIFS($J$8:$J$27,J15,$O$8:$O$27,"&gt;"&amp;ASOF)+1)</f>
        <v>1</v>
      </c>
      <c r="AZ15" s="89" t="n">
        <f aca="false">IFERROR(VLOOKUP(J15,ENG_TBL,2,0),ENG_CAP)</f>
        <v>3</v>
      </c>
      <c r="BA15" s="90" t="n">
        <f aca="false">IF(P15&lt;&gt;"","",MAX(Z15+LAG_IEC,ASOF+1))</f>
        <v>46359</v>
      </c>
      <c r="BB15" s="89" t="n">
        <f aca="false">IF(P15&lt;&gt;"","",COUNTIFS($L$8:$L$27,L15,$BA$8:$BA$27,"&lt;"&amp;BA15)+COUNTIFS($L$8:$L$27,L15,$BA$8:$BA$27,BA15,$A$8:$A$27,"&lt;"&amp;A15)+COUNTIFS($L$8:$L$27,L15,$P$8:$P$27,"&gt;"&amp;ASOF)+1)</f>
        <v>1</v>
      </c>
      <c r="BC15" s="89" t="n">
        <f aca="false">IFERROR(VLOOKUP(L15,TEAM_TBL,4,0)*VLOOKUP(L15,TEAM_TBL,5,0),3)</f>
        <v>3</v>
      </c>
      <c r="BD15" s="91" t="n">
        <f aca="false">IFERROR(VLOOKUP(L15,TEAM_TBL,6,0),LAG_HO)</f>
        <v>7</v>
      </c>
      <c r="BE15" s="89" t="n">
        <f aca="false">IF(ISNUMBER(AW15),7*INT((AW15-1)/MAX(1,AX15)),"")</f>
        <v>0</v>
      </c>
      <c r="BF15" s="89" t="n">
        <f aca="false">IF(ISNUMBER(AY15),7*INT((AY15-1)/MAX(1,AZ15)),"")</f>
        <v>0</v>
      </c>
      <c r="BH15" s="92" t="str">
        <f aca="false">IF(AND($Y15&lt;&gt;"",$Y15&gt;=BH$7,$Y15&lt;BH$7+7),"I","")&amp;IF(AND($Z15&lt;&gt;"",$Z15&gt;=BH$7,$Z15&lt;BH$7+7),"P","")&amp;IF(AND($AA15&lt;&gt;"",$AA15&gt;=BH$7,$AA15&lt;BH$7+7),"T","")&amp;IF(AND($AB15&lt;&gt;"",$AB15&gt;=BH$7,$AB15&lt;BH$7+7),"H","")&amp;IF(AND($AC15&lt;&gt;"",$AC15&gt;=BH$7,$AC15&lt;BH$7+7),"G","")&amp;IF(AND($AH15&lt;&gt;"",$AH15&gt;=BH$7,$AH15&lt;BH$7+7),"S","")</f>
        <v/>
      </c>
      <c r="BI15" s="92" t="str">
        <f aca="false">IF(AND($Y15&lt;&gt;"",$Y15&gt;=BI$7,$Y15&lt;BI$7+7),"I","")&amp;IF(AND($Z15&lt;&gt;"",$Z15&gt;=BI$7,$Z15&lt;BI$7+7),"P","")&amp;IF(AND($AA15&lt;&gt;"",$AA15&gt;=BI$7,$AA15&lt;BI$7+7),"T","")&amp;IF(AND($AB15&lt;&gt;"",$AB15&gt;=BI$7,$AB15&lt;BI$7+7),"H","")&amp;IF(AND($AC15&lt;&gt;"",$AC15&gt;=BI$7,$AC15&lt;BI$7+7),"G","")&amp;IF(AND($AH15&lt;&gt;"",$AH15&gt;=BI$7,$AH15&lt;BI$7+7),"S","")</f>
        <v/>
      </c>
      <c r="BJ15" s="92" t="str">
        <f aca="false">IF(AND($Y15&lt;&gt;"",$Y15&gt;=BJ$7,$Y15&lt;BJ$7+7),"I","")&amp;IF(AND($Z15&lt;&gt;"",$Z15&gt;=BJ$7,$Z15&lt;BJ$7+7),"P","")&amp;IF(AND($AA15&lt;&gt;"",$AA15&gt;=BJ$7,$AA15&lt;BJ$7+7),"T","")&amp;IF(AND($AB15&lt;&gt;"",$AB15&gt;=BJ$7,$AB15&lt;BJ$7+7),"H","")&amp;IF(AND($AC15&lt;&gt;"",$AC15&gt;=BJ$7,$AC15&lt;BJ$7+7),"G","")&amp;IF(AND($AH15&lt;&gt;"",$AH15&gt;=BJ$7,$AH15&lt;BJ$7+7),"S","")</f>
        <v/>
      </c>
      <c r="BK15" s="92" t="str">
        <f aca="false">IF(AND($Y15&lt;&gt;"",$Y15&gt;=BK$7,$Y15&lt;BK$7+7),"I","")&amp;IF(AND($Z15&lt;&gt;"",$Z15&gt;=BK$7,$Z15&lt;BK$7+7),"P","")&amp;IF(AND($AA15&lt;&gt;"",$AA15&gt;=BK$7,$AA15&lt;BK$7+7),"T","")&amp;IF(AND($AB15&lt;&gt;"",$AB15&gt;=BK$7,$AB15&lt;BK$7+7),"H","")&amp;IF(AND($AC15&lt;&gt;"",$AC15&gt;=BK$7,$AC15&lt;BK$7+7),"G","")&amp;IF(AND($AH15&lt;&gt;"",$AH15&gt;=BK$7,$AH15&lt;BK$7+7),"S","")</f>
        <v/>
      </c>
      <c r="BL15" s="92" t="str">
        <f aca="false">IF(AND($Y15&lt;&gt;"",$Y15&gt;=BL$7,$Y15&lt;BL$7+7),"I","")&amp;IF(AND($Z15&lt;&gt;"",$Z15&gt;=BL$7,$Z15&lt;BL$7+7),"P","")&amp;IF(AND($AA15&lt;&gt;"",$AA15&gt;=BL$7,$AA15&lt;BL$7+7),"T","")&amp;IF(AND($AB15&lt;&gt;"",$AB15&gt;=BL$7,$AB15&lt;BL$7+7),"H","")&amp;IF(AND($AC15&lt;&gt;"",$AC15&gt;=BL$7,$AC15&lt;BL$7+7),"G","")&amp;IF(AND($AH15&lt;&gt;"",$AH15&gt;=BL$7,$AH15&lt;BL$7+7),"S","")</f>
        <v>I</v>
      </c>
      <c r="BM15" s="92" t="str">
        <f aca="false">IF(AND($Y15&lt;&gt;"",$Y15&gt;=BM$7,$Y15&lt;BM$7+7),"I","")&amp;IF(AND($Z15&lt;&gt;"",$Z15&gt;=BM$7,$Z15&lt;BM$7+7),"P","")&amp;IF(AND($AA15&lt;&gt;"",$AA15&gt;=BM$7,$AA15&lt;BM$7+7),"T","")&amp;IF(AND($AB15&lt;&gt;"",$AB15&gt;=BM$7,$AB15&lt;BM$7+7),"H","")&amp;IF(AND($AC15&lt;&gt;"",$AC15&gt;=BM$7,$AC15&lt;BM$7+7),"G","")&amp;IF(AND($AH15&lt;&gt;"",$AH15&gt;=BM$7,$AH15&lt;BM$7+7),"S","")</f>
        <v>PTG</v>
      </c>
      <c r="BN15" s="92" t="str">
        <f aca="false">IF(AND($Y15&lt;&gt;"",$Y15&gt;=BN$7,$Y15&lt;BN$7+7),"I","")&amp;IF(AND($Z15&lt;&gt;"",$Z15&gt;=BN$7,$Z15&lt;BN$7+7),"P","")&amp;IF(AND($AA15&lt;&gt;"",$AA15&gt;=BN$7,$AA15&lt;BN$7+7),"T","")&amp;IF(AND($AB15&lt;&gt;"",$AB15&gt;=BN$7,$AB15&lt;BN$7+7),"H","")&amp;IF(AND($AC15&lt;&gt;"",$AC15&gt;=BN$7,$AC15&lt;BN$7+7),"G","")&amp;IF(AND($AH15&lt;&gt;"",$AH15&gt;=BN$7,$AH15&lt;BN$7+7),"S","")</f>
        <v>H</v>
      </c>
      <c r="BO15" s="92" t="str">
        <f aca="false">IF(AND($Y15&lt;&gt;"",$Y15&gt;=BO$7,$Y15&lt;BO$7+7),"I","")&amp;IF(AND($Z15&lt;&gt;"",$Z15&gt;=BO$7,$Z15&lt;BO$7+7),"P","")&amp;IF(AND($AA15&lt;&gt;"",$AA15&gt;=BO$7,$AA15&lt;BO$7+7),"T","")&amp;IF(AND($AB15&lt;&gt;"",$AB15&gt;=BO$7,$AB15&lt;BO$7+7),"H","")&amp;IF(AND($AC15&lt;&gt;"",$AC15&gt;=BO$7,$AC15&lt;BO$7+7),"G","")&amp;IF(AND($AH15&lt;&gt;"",$AH15&gt;=BO$7,$AH15&lt;BO$7+7),"S","")</f>
        <v/>
      </c>
      <c r="BP15" s="92" t="str">
        <f aca="false">IF(AND($Y15&lt;&gt;"",$Y15&gt;=BP$7,$Y15&lt;BP$7+7),"I","")&amp;IF(AND($Z15&lt;&gt;"",$Z15&gt;=BP$7,$Z15&lt;BP$7+7),"P","")&amp;IF(AND($AA15&lt;&gt;"",$AA15&gt;=BP$7,$AA15&lt;BP$7+7),"T","")&amp;IF(AND($AB15&lt;&gt;"",$AB15&gt;=BP$7,$AB15&lt;BP$7+7),"H","")&amp;IF(AND($AC15&lt;&gt;"",$AC15&gt;=BP$7,$AC15&lt;BP$7+7),"G","")&amp;IF(AND($AH15&lt;&gt;"",$AH15&gt;=BP$7,$AH15&lt;BP$7+7),"S","")</f>
        <v/>
      </c>
      <c r="BQ15" s="92" t="str">
        <f aca="false">IF(AND($Y15&lt;&gt;"",$Y15&gt;=BQ$7,$Y15&lt;BQ$7+7),"I","")&amp;IF(AND($Z15&lt;&gt;"",$Z15&gt;=BQ$7,$Z15&lt;BQ$7+7),"P","")&amp;IF(AND($AA15&lt;&gt;"",$AA15&gt;=BQ$7,$AA15&lt;BQ$7+7),"T","")&amp;IF(AND($AB15&lt;&gt;"",$AB15&gt;=BQ$7,$AB15&lt;BQ$7+7),"H","")&amp;IF(AND($AC15&lt;&gt;"",$AC15&gt;=BQ$7,$AC15&lt;BQ$7+7),"G","")&amp;IF(AND($AH15&lt;&gt;"",$AH15&gt;=BQ$7,$AH15&lt;BQ$7+7),"S","")</f>
        <v/>
      </c>
      <c r="BR15" s="92" t="str">
        <f aca="false">IF(AND($Y15&lt;&gt;"",$Y15&gt;=BR$7,$Y15&lt;BR$7+7),"I","")&amp;IF(AND($Z15&lt;&gt;"",$Z15&gt;=BR$7,$Z15&lt;BR$7+7),"P","")&amp;IF(AND($AA15&lt;&gt;"",$AA15&gt;=BR$7,$AA15&lt;BR$7+7),"T","")&amp;IF(AND($AB15&lt;&gt;"",$AB15&gt;=BR$7,$AB15&lt;BR$7+7),"H","")&amp;IF(AND($AC15&lt;&gt;"",$AC15&gt;=BR$7,$AC15&lt;BR$7+7),"G","")&amp;IF(AND($AH15&lt;&gt;"",$AH15&gt;=BR$7,$AH15&lt;BR$7+7),"S","")</f>
        <v/>
      </c>
      <c r="BS15" s="92" t="str">
        <f aca="false">IF(AND($Y15&lt;&gt;"",$Y15&gt;=BS$7,$Y15&lt;BS$7+7),"I","")&amp;IF(AND($Z15&lt;&gt;"",$Z15&gt;=BS$7,$Z15&lt;BS$7+7),"P","")&amp;IF(AND($AA15&lt;&gt;"",$AA15&gt;=BS$7,$AA15&lt;BS$7+7),"T","")&amp;IF(AND($AB15&lt;&gt;"",$AB15&gt;=BS$7,$AB15&lt;BS$7+7),"H","")&amp;IF(AND($AC15&lt;&gt;"",$AC15&gt;=BS$7,$AC15&lt;BS$7+7),"G","")&amp;IF(AND($AH15&lt;&gt;"",$AH15&gt;=BS$7,$AH15&lt;BS$7+7),"S","")</f>
        <v/>
      </c>
      <c r="BT15" s="92" t="str">
        <f aca="false">IF(AND($Y15&lt;&gt;"",$Y15&gt;=BT$7,$Y15&lt;BT$7+7),"I","")&amp;IF(AND($Z15&lt;&gt;"",$Z15&gt;=BT$7,$Z15&lt;BT$7+7),"P","")&amp;IF(AND($AA15&lt;&gt;"",$AA15&gt;=BT$7,$AA15&lt;BT$7+7),"T","")&amp;IF(AND($AB15&lt;&gt;"",$AB15&gt;=BT$7,$AB15&lt;BT$7+7),"H","")&amp;IF(AND($AC15&lt;&gt;"",$AC15&gt;=BT$7,$AC15&lt;BT$7+7),"G","")&amp;IF(AND($AH15&lt;&gt;"",$AH15&gt;=BT$7,$AH15&lt;BT$7+7),"S","")</f>
        <v/>
      </c>
      <c r="BU15" s="92" t="str">
        <f aca="false">IF(AND($Y15&lt;&gt;"",$Y15&gt;=BU$7,$Y15&lt;BU$7+7),"I","")&amp;IF(AND($Z15&lt;&gt;"",$Z15&gt;=BU$7,$Z15&lt;BU$7+7),"P","")&amp;IF(AND($AA15&lt;&gt;"",$AA15&gt;=BU$7,$AA15&lt;BU$7+7),"T","")&amp;IF(AND($AB15&lt;&gt;"",$AB15&gt;=BU$7,$AB15&lt;BU$7+7),"H","")&amp;IF(AND($AC15&lt;&gt;"",$AC15&gt;=BU$7,$AC15&lt;BU$7+7),"G","")&amp;IF(AND($AH15&lt;&gt;"",$AH15&gt;=BU$7,$AH15&lt;BU$7+7),"S","")</f>
        <v/>
      </c>
      <c r="BV15" s="92" t="str">
        <f aca="false">IF(AND($Y15&lt;&gt;"",$Y15&gt;=BV$7,$Y15&lt;BV$7+7),"I","")&amp;IF(AND($Z15&lt;&gt;"",$Z15&gt;=BV$7,$Z15&lt;BV$7+7),"P","")&amp;IF(AND($AA15&lt;&gt;"",$AA15&gt;=BV$7,$AA15&lt;BV$7+7),"T","")&amp;IF(AND($AB15&lt;&gt;"",$AB15&gt;=BV$7,$AB15&lt;BV$7+7),"H","")&amp;IF(AND($AC15&lt;&gt;"",$AC15&gt;=BV$7,$AC15&lt;BV$7+7),"G","")&amp;IF(AND($AH15&lt;&gt;"",$AH15&gt;=BV$7,$AH15&lt;BV$7+7),"S","")</f>
        <v/>
      </c>
      <c r="BW15" s="92" t="str">
        <f aca="false">IF(AND($Y15&lt;&gt;"",$Y15&gt;=BW$7,$Y15&lt;BW$7+7),"I","")&amp;IF(AND($Z15&lt;&gt;"",$Z15&gt;=BW$7,$Z15&lt;BW$7+7),"P","")&amp;IF(AND($AA15&lt;&gt;"",$AA15&gt;=BW$7,$AA15&lt;BW$7+7),"T","")&amp;IF(AND($AB15&lt;&gt;"",$AB15&gt;=BW$7,$AB15&lt;BW$7+7),"H","")&amp;IF(AND($AC15&lt;&gt;"",$AC15&gt;=BW$7,$AC15&lt;BW$7+7),"G","")&amp;IF(AND($AH15&lt;&gt;"",$AH15&gt;=BW$7,$AH15&lt;BW$7+7),"S","")</f>
        <v/>
      </c>
      <c r="BX15" s="92" t="str">
        <f aca="false">IF(AND($Y15&lt;&gt;"",$Y15&gt;=BX$7,$Y15&lt;BX$7+7),"I","")&amp;IF(AND($Z15&lt;&gt;"",$Z15&gt;=BX$7,$Z15&lt;BX$7+7),"P","")&amp;IF(AND($AA15&lt;&gt;"",$AA15&gt;=BX$7,$AA15&lt;BX$7+7),"T","")&amp;IF(AND($AB15&lt;&gt;"",$AB15&gt;=BX$7,$AB15&lt;BX$7+7),"H","")&amp;IF(AND($AC15&lt;&gt;"",$AC15&gt;=BX$7,$AC15&lt;BX$7+7),"G","")&amp;IF(AND($AH15&lt;&gt;"",$AH15&gt;=BX$7,$AH15&lt;BX$7+7),"S","")</f>
        <v>S</v>
      </c>
      <c r="BY15" s="92" t="str">
        <f aca="false">IF(AND($Y15&lt;&gt;"",$Y15&gt;=BY$7,$Y15&lt;BY$7+7),"I","")&amp;IF(AND($Z15&lt;&gt;"",$Z15&gt;=BY$7,$Z15&lt;BY$7+7),"P","")&amp;IF(AND($AA15&lt;&gt;"",$AA15&gt;=BY$7,$AA15&lt;BY$7+7),"T","")&amp;IF(AND($AB15&lt;&gt;"",$AB15&gt;=BY$7,$AB15&lt;BY$7+7),"H","")&amp;IF(AND($AC15&lt;&gt;"",$AC15&gt;=BY$7,$AC15&lt;BY$7+7),"G","")&amp;IF(AND($AH15&lt;&gt;"",$AH15&gt;=BY$7,$AH15&lt;BY$7+7),"S","")</f>
        <v/>
      </c>
      <c r="BZ15" s="92" t="str">
        <f aca="false">IF(AND($Y15&lt;&gt;"",$Y15&gt;=BZ$7,$Y15&lt;BZ$7+7),"I","")&amp;IF(AND($Z15&lt;&gt;"",$Z15&gt;=BZ$7,$Z15&lt;BZ$7+7),"P","")&amp;IF(AND($AA15&lt;&gt;"",$AA15&gt;=BZ$7,$AA15&lt;BZ$7+7),"T","")&amp;IF(AND($AB15&lt;&gt;"",$AB15&gt;=BZ$7,$AB15&lt;BZ$7+7),"H","")&amp;IF(AND($AC15&lt;&gt;"",$AC15&gt;=BZ$7,$AC15&lt;BZ$7+7),"G","")&amp;IF(AND($AH15&lt;&gt;"",$AH15&gt;=BZ$7,$AH15&lt;BZ$7+7),"S","")</f>
        <v/>
      </c>
      <c r="CA15" s="92" t="str">
        <f aca="false">IF(AND($Y15&lt;&gt;"",$Y15&gt;=CA$7,$Y15&lt;CA$7+7),"I","")&amp;IF(AND($Z15&lt;&gt;"",$Z15&gt;=CA$7,$Z15&lt;CA$7+7),"P","")&amp;IF(AND($AA15&lt;&gt;"",$AA15&gt;=CA$7,$AA15&lt;CA$7+7),"T","")&amp;IF(AND($AB15&lt;&gt;"",$AB15&gt;=CA$7,$AB15&lt;CA$7+7),"H","")&amp;IF(AND($AC15&lt;&gt;"",$AC15&gt;=CA$7,$AC15&lt;CA$7+7),"G","")&amp;IF(AND($AH15&lt;&gt;"",$AH15&gt;=CA$7,$AH15&lt;CA$7+7),"S","")</f>
        <v/>
      </c>
      <c r="CB15" s="92" t="str">
        <f aca="false">IF(AND($Y15&lt;&gt;"",$Y15&gt;=CB$7,$Y15&lt;CB$7+7),"I","")&amp;IF(AND($Z15&lt;&gt;"",$Z15&gt;=CB$7,$Z15&lt;CB$7+7),"P","")&amp;IF(AND($AA15&lt;&gt;"",$AA15&gt;=CB$7,$AA15&lt;CB$7+7),"T","")&amp;IF(AND($AB15&lt;&gt;"",$AB15&gt;=CB$7,$AB15&lt;CB$7+7),"H","")&amp;IF(AND($AC15&lt;&gt;"",$AC15&gt;=CB$7,$AC15&lt;CB$7+7),"G","")&amp;IF(AND($AH15&lt;&gt;"",$AH15&gt;=CB$7,$AH15&lt;CB$7+7),"S","")</f>
        <v/>
      </c>
      <c r="CC15" s="92" t="str">
        <f aca="false">IF(AND($Y15&lt;&gt;"",$Y15&gt;=CC$7,$Y15&lt;CC$7+7),"I","")&amp;IF(AND($Z15&lt;&gt;"",$Z15&gt;=CC$7,$Z15&lt;CC$7+7),"P","")&amp;IF(AND($AA15&lt;&gt;"",$AA15&gt;=CC$7,$AA15&lt;CC$7+7),"T","")&amp;IF(AND($AB15&lt;&gt;"",$AB15&gt;=CC$7,$AB15&lt;CC$7+7),"H","")&amp;IF(AND($AC15&lt;&gt;"",$AC15&gt;=CC$7,$AC15&lt;CC$7+7),"G","")&amp;IF(AND($AH15&lt;&gt;"",$AH15&gt;=CC$7,$AH15&lt;CC$7+7),"S","")</f>
        <v/>
      </c>
      <c r="CD15" s="92" t="str">
        <f aca="false">IF(AND($Y15&lt;&gt;"",$Y15&gt;=CD$7,$Y15&lt;CD$7+7),"I","")&amp;IF(AND($Z15&lt;&gt;"",$Z15&gt;=CD$7,$Z15&lt;CD$7+7),"P","")&amp;IF(AND($AA15&lt;&gt;"",$AA15&gt;=CD$7,$AA15&lt;CD$7+7),"T","")&amp;IF(AND($AB15&lt;&gt;"",$AB15&gt;=CD$7,$AB15&lt;CD$7+7),"H","")&amp;IF(AND($AC15&lt;&gt;"",$AC15&gt;=CD$7,$AC15&lt;CD$7+7),"G","")&amp;IF(AND($AH15&lt;&gt;"",$AH15&gt;=CD$7,$AH15&lt;CD$7+7),"S","")</f>
        <v/>
      </c>
      <c r="CE15" s="92" t="str">
        <f aca="false">IF(AND($Y15&lt;&gt;"",$Y15&gt;=CE$7,$Y15&lt;CE$7+7),"I","")&amp;IF(AND($Z15&lt;&gt;"",$Z15&gt;=CE$7,$Z15&lt;CE$7+7),"P","")&amp;IF(AND($AA15&lt;&gt;"",$AA15&gt;=CE$7,$AA15&lt;CE$7+7),"T","")&amp;IF(AND($AB15&lt;&gt;"",$AB15&gt;=CE$7,$AB15&lt;CE$7+7),"H","")&amp;IF(AND($AC15&lt;&gt;"",$AC15&gt;=CE$7,$AC15&lt;CE$7+7),"G","")&amp;IF(AND($AH15&lt;&gt;"",$AH15&gt;=CE$7,$AH15&lt;CE$7+7),"S","")</f>
        <v/>
      </c>
      <c r="CF15" s="92" t="str">
        <f aca="false">IF(AND($Y15&lt;&gt;"",$Y15&gt;=CF$7,$Y15&lt;CF$7+7),"I","")&amp;IF(AND($Z15&lt;&gt;"",$Z15&gt;=CF$7,$Z15&lt;CF$7+7),"P","")&amp;IF(AND($AA15&lt;&gt;"",$AA15&gt;=CF$7,$AA15&lt;CF$7+7),"T","")&amp;IF(AND($AB15&lt;&gt;"",$AB15&gt;=CF$7,$AB15&lt;CF$7+7),"H","")&amp;IF(AND($AC15&lt;&gt;"",$AC15&gt;=CF$7,$AC15&lt;CF$7+7),"G","")&amp;IF(AND($AH15&lt;&gt;"",$AH15&gt;=CF$7,$AH15&lt;CF$7+7),"S","")</f>
        <v/>
      </c>
      <c r="CG15" s="92" t="str">
        <f aca="false">IF(AND($Y15&lt;&gt;"",$Y15&gt;=CG$7,$Y15&lt;CG$7+7),"I","")&amp;IF(AND($Z15&lt;&gt;"",$Z15&gt;=CG$7,$Z15&lt;CG$7+7),"P","")&amp;IF(AND($AA15&lt;&gt;"",$AA15&gt;=CG$7,$AA15&lt;CG$7+7),"T","")&amp;IF(AND($AB15&lt;&gt;"",$AB15&gt;=CG$7,$AB15&lt;CG$7+7),"H","")&amp;IF(AND($AC15&lt;&gt;"",$AC15&gt;=CG$7,$AC15&lt;CG$7+7),"G","")&amp;IF(AND($AH15&lt;&gt;"",$AH15&gt;=CG$7,$AH15&lt;CG$7+7),"S","")</f>
        <v/>
      </c>
      <c r="CH15" s="92" t="str">
        <f aca="false">IF(AND($Y15&lt;&gt;"",$Y15&gt;=CH$7,$Y15&lt;CH$7+7),"I","")&amp;IF(AND($Z15&lt;&gt;"",$Z15&gt;=CH$7,$Z15&lt;CH$7+7),"P","")&amp;IF(AND($AA15&lt;&gt;"",$AA15&gt;=CH$7,$AA15&lt;CH$7+7),"T","")&amp;IF(AND($AB15&lt;&gt;"",$AB15&gt;=CH$7,$AB15&lt;CH$7+7),"H","")&amp;IF(AND($AC15&lt;&gt;"",$AC15&gt;=CH$7,$AC15&lt;CH$7+7),"G","")&amp;IF(AND($AH15&lt;&gt;"",$AH15&gt;=CH$7,$AH15&lt;CH$7+7),"S","")</f>
        <v/>
      </c>
      <c r="CI15" s="92" t="str">
        <f aca="false">IF(AND($Y15&lt;&gt;"",$Y15&gt;=CI$7,$Y15&lt;CI$7+7),"I","")&amp;IF(AND($Z15&lt;&gt;"",$Z15&gt;=CI$7,$Z15&lt;CI$7+7),"P","")&amp;IF(AND($AA15&lt;&gt;"",$AA15&gt;=CI$7,$AA15&lt;CI$7+7),"T","")&amp;IF(AND($AB15&lt;&gt;"",$AB15&gt;=CI$7,$AB15&lt;CI$7+7),"H","")&amp;IF(AND($AC15&lt;&gt;"",$AC15&gt;=CI$7,$AC15&lt;CI$7+7),"G","")&amp;IF(AND($AH15&lt;&gt;"",$AH15&gt;=CI$7,$AH15&lt;CI$7+7),"S","")</f>
        <v/>
      </c>
      <c r="CJ15" s="92" t="str">
        <f aca="false">IF(AND($Y15&lt;&gt;"",$Y15&gt;=CJ$7,$Y15&lt;CJ$7+7),"I","")&amp;IF(AND($Z15&lt;&gt;"",$Z15&gt;=CJ$7,$Z15&lt;CJ$7+7),"P","")&amp;IF(AND($AA15&lt;&gt;"",$AA15&gt;=CJ$7,$AA15&lt;CJ$7+7),"T","")&amp;IF(AND($AB15&lt;&gt;"",$AB15&gt;=CJ$7,$AB15&lt;CJ$7+7),"H","")&amp;IF(AND($AC15&lt;&gt;"",$AC15&gt;=CJ$7,$AC15&lt;CJ$7+7),"G","")&amp;IF(AND($AH15&lt;&gt;"",$AH15&gt;=CJ$7,$AH15&lt;CJ$7+7),"S","")</f>
        <v/>
      </c>
      <c r="CK15" s="92" t="str">
        <f aca="false">IF(AND($Y15&lt;&gt;"",$Y15&gt;=CK$7,$Y15&lt;CK$7+7),"I","")&amp;IF(AND($Z15&lt;&gt;"",$Z15&gt;=CK$7,$Z15&lt;CK$7+7),"P","")&amp;IF(AND($AA15&lt;&gt;"",$AA15&gt;=CK$7,$AA15&lt;CK$7+7),"T","")&amp;IF(AND($AB15&lt;&gt;"",$AB15&gt;=CK$7,$AB15&lt;CK$7+7),"H","")&amp;IF(AND($AC15&lt;&gt;"",$AC15&gt;=CK$7,$AC15&lt;CK$7+7),"G","")&amp;IF(AND($AH15&lt;&gt;"",$AH15&gt;=CK$7,$AH15&lt;CK$7+7),"S","")</f>
        <v/>
      </c>
      <c r="CL15" s="92" t="str">
        <f aca="false">IF(AND($Y15&lt;&gt;"",$Y15&gt;=CL$7,$Y15&lt;CL$7+7),"I","")&amp;IF(AND($Z15&lt;&gt;"",$Z15&gt;=CL$7,$Z15&lt;CL$7+7),"P","")&amp;IF(AND($AA15&lt;&gt;"",$AA15&gt;=CL$7,$AA15&lt;CL$7+7),"T","")&amp;IF(AND($AB15&lt;&gt;"",$AB15&gt;=CL$7,$AB15&lt;CL$7+7),"H","")&amp;IF(AND($AC15&lt;&gt;"",$AC15&gt;=CL$7,$AC15&lt;CL$7+7),"G","")&amp;IF(AND($AH15&lt;&gt;"",$AH15&gt;=CL$7,$AH15&lt;CL$7+7),"S","")</f>
        <v/>
      </c>
      <c r="CM15" s="92" t="str">
        <f aca="false">IF(AND($Y15&lt;&gt;"",$Y15&gt;=CM$7,$Y15&lt;CM$7+7),"I","")&amp;IF(AND($Z15&lt;&gt;"",$Z15&gt;=CM$7,$Z15&lt;CM$7+7),"P","")&amp;IF(AND($AA15&lt;&gt;"",$AA15&gt;=CM$7,$AA15&lt;CM$7+7),"T","")&amp;IF(AND($AB15&lt;&gt;"",$AB15&gt;=CM$7,$AB15&lt;CM$7+7),"H","")&amp;IF(AND($AC15&lt;&gt;"",$AC15&gt;=CM$7,$AC15&lt;CM$7+7),"G","")&amp;IF(AND($AH15&lt;&gt;"",$AH15&gt;=CM$7,$AH15&lt;CM$7+7),"S","")</f>
        <v/>
      </c>
      <c r="CN15" s="92" t="str">
        <f aca="false">IF(AND($Y15&lt;&gt;"",$Y15&gt;=CN$7,$Y15&lt;CN$7+7),"I","")&amp;IF(AND($Z15&lt;&gt;"",$Z15&gt;=CN$7,$Z15&lt;CN$7+7),"P","")&amp;IF(AND($AA15&lt;&gt;"",$AA15&gt;=CN$7,$AA15&lt;CN$7+7),"T","")&amp;IF(AND($AB15&lt;&gt;"",$AB15&gt;=CN$7,$AB15&lt;CN$7+7),"H","")&amp;IF(AND($AC15&lt;&gt;"",$AC15&gt;=CN$7,$AC15&lt;CN$7+7),"G","")&amp;IF(AND($AH15&lt;&gt;"",$AH15&gt;=CN$7,$AH15&lt;CN$7+7),"S","")</f>
        <v/>
      </c>
      <c r="CO15" s="92" t="str">
        <f aca="false">IF(AND($Y15&lt;&gt;"",$Y15&gt;=CO$7,$Y15&lt;CO$7+7),"I","")&amp;IF(AND($Z15&lt;&gt;"",$Z15&gt;=CO$7,$Z15&lt;CO$7+7),"P","")&amp;IF(AND($AA15&lt;&gt;"",$AA15&gt;=CO$7,$AA15&lt;CO$7+7),"T","")&amp;IF(AND($AB15&lt;&gt;"",$AB15&gt;=CO$7,$AB15&lt;CO$7+7),"H","")&amp;IF(AND($AC15&lt;&gt;"",$AC15&gt;=CO$7,$AC15&lt;CO$7+7),"G","")&amp;IF(AND($AH15&lt;&gt;"",$AH15&gt;=CO$7,$AH15&lt;CO$7+7),"S","")</f>
        <v/>
      </c>
      <c r="CP15" s="92" t="str">
        <f aca="false">IF(AND($Y15&lt;&gt;"",$Y15&gt;=CP$7,$Y15&lt;CP$7+7),"I","")&amp;IF(AND($Z15&lt;&gt;"",$Z15&gt;=CP$7,$Z15&lt;CP$7+7),"P","")&amp;IF(AND($AA15&lt;&gt;"",$AA15&gt;=CP$7,$AA15&lt;CP$7+7),"T","")&amp;IF(AND($AB15&lt;&gt;"",$AB15&gt;=CP$7,$AB15&lt;CP$7+7),"H","")&amp;IF(AND($AC15&lt;&gt;"",$AC15&gt;=CP$7,$AC15&lt;CP$7+7),"G","")&amp;IF(AND($AH15&lt;&gt;"",$AH15&gt;=CP$7,$AH15&lt;CP$7+7),"S","")</f>
        <v/>
      </c>
      <c r="CQ15" s="92" t="str">
        <f aca="false">IF(AND($Y15&lt;&gt;"",$Y15&gt;=CQ$7,$Y15&lt;CQ$7+7),"I","")&amp;IF(AND($Z15&lt;&gt;"",$Z15&gt;=CQ$7,$Z15&lt;CQ$7+7),"P","")&amp;IF(AND($AA15&lt;&gt;"",$AA15&gt;=CQ$7,$AA15&lt;CQ$7+7),"T","")&amp;IF(AND($AB15&lt;&gt;"",$AB15&gt;=CQ$7,$AB15&lt;CQ$7+7),"H","")&amp;IF(AND($AC15&lt;&gt;"",$AC15&gt;=CQ$7,$AC15&lt;CQ$7+7),"G","")&amp;IF(AND($AH15&lt;&gt;"",$AH15&gt;=CQ$7,$AH15&lt;CQ$7+7),"S","")</f>
        <v/>
      </c>
      <c r="CR15" s="92" t="str">
        <f aca="false">IF(AND($Y15&lt;&gt;"",$Y15&gt;=CR$7,$Y15&lt;CR$7+7),"I","")&amp;IF(AND($Z15&lt;&gt;"",$Z15&gt;=CR$7,$Z15&lt;CR$7+7),"P","")&amp;IF(AND($AA15&lt;&gt;"",$AA15&gt;=CR$7,$AA15&lt;CR$7+7),"T","")&amp;IF(AND($AB15&lt;&gt;"",$AB15&gt;=CR$7,$AB15&lt;CR$7+7),"H","")&amp;IF(AND($AC15&lt;&gt;"",$AC15&gt;=CR$7,$AC15&lt;CR$7+7),"G","")&amp;IF(AND($AH15&lt;&gt;"",$AH15&gt;=CR$7,$AH15&lt;CR$7+7),"S","")</f>
        <v/>
      </c>
      <c r="CS15" s="92" t="str">
        <f aca="false">IF(AND($Y15&lt;&gt;"",$Y15&gt;=CS$7,$Y15&lt;CS$7+7),"I","")&amp;IF(AND($Z15&lt;&gt;"",$Z15&gt;=CS$7,$Z15&lt;CS$7+7),"P","")&amp;IF(AND($AA15&lt;&gt;"",$AA15&gt;=CS$7,$AA15&lt;CS$7+7),"T","")&amp;IF(AND($AB15&lt;&gt;"",$AB15&gt;=CS$7,$AB15&lt;CS$7+7),"H","")&amp;IF(AND($AC15&lt;&gt;"",$AC15&gt;=CS$7,$AC15&lt;CS$7+7),"G","")&amp;IF(AND($AH15&lt;&gt;"",$AH15&gt;=CS$7,$AH15&lt;CS$7+7),"S","")</f>
        <v/>
      </c>
      <c r="CT15" s="92" t="str">
        <f aca="false">IF(AND($Y15&lt;&gt;"",$Y15&gt;=CT$7,$Y15&lt;CT$7+7),"I","")&amp;IF(AND($Z15&lt;&gt;"",$Z15&gt;=CT$7,$Z15&lt;CT$7+7),"P","")&amp;IF(AND($AA15&lt;&gt;"",$AA15&gt;=CT$7,$AA15&lt;CT$7+7),"T","")&amp;IF(AND($AB15&lt;&gt;"",$AB15&gt;=CT$7,$AB15&lt;CT$7+7),"H","")&amp;IF(AND($AC15&lt;&gt;"",$AC15&gt;=CT$7,$AC15&lt;CT$7+7),"G","")&amp;IF(AND($AH15&lt;&gt;"",$AH15&gt;=CT$7,$AH15&lt;CT$7+7),"S","")</f>
        <v/>
      </c>
      <c r="CU15" s="92" t="str">
        <f aca="false">IF(AND($Y15&lt;&gt;"",$Y15&gt;=CU$7,$Y15&lt;CU$7+7),"I","")&amp;IF(AND($Z15&lt;&gt;"",$Z15&gt;=CU$7,$Z15&lt;CU$7+7),"P","")&amp;IF(AND($AA15&lt;&gt;"",$AA15&gt;=CU$7,$AA15&lt;CU$7+7),"T","")&amp;IF(AND($AB15&lt;&gt;"",$AB15&gt;=CU$7,$AB15&lt;CU$7+7),"H","")&amp;IF(AND($AC15&lt;&gt;"",$AC15&gt;=CU$7,$AC15&lt;CU$7+7),"G","")&amp;IF(AND($AH15&lt;&gt;"",$AH15&gt;=CU$7,$AH15&lt;CU$7+7),"S","")</f>
        <v/>
      </c>
      <c r="CV15" s="92" t="str">
        <f aca="false">IF(AND($Y15&lt;&gt;"",$Y15&gt;=CV$7,$Y15&lt;CV$7+7),"I","")&amp;IF(AND($Z15&lt;&gt;"",$Z15&gt;=CV$7,$Z15&lt;CV$7+7),"P","")&amp;IF(AND($AA15&lt;&gt;"",$AA15&gt;=CV$7,$AA15&lt;CV$7+7),"T","")&amp;IF(AND($AB15&lt;&gt;"",$AB15&gt;=CV$7,$AB15&lt;CV$7+7),"H","")&amp;IF(AND($AC15&lt;&gt;"",$AC15&gt;=CV$7,$AC15&lt;CV$7+7),"G","")&amp;IF(AND($AH15&lt;&gt;"",$AH15&gt;=CV$7,$AH15&lt;CV$7+7),"S","")</f>
        <v/>
      </c>
      <c r="CW15" s="92" t="str">
        <f aca="false">IF(AND($Y15&lt;&gt;"",$Y15&gt;=CW$7,$Y15&lt;CW$7+7),"I","")&amp;IF(AND($Z15&lt;&gt;"",$Z15&gt;=CW$7,$Z15&lt;CW$7+7),"P","")&amp;IF(AND($AA15&lt;&gt;"",$AA15&gt;=CW$7,$AA15&lt;CW$7+7),"T","")&amp;IF(AND($AB15&lt;&gt;"",$AB15&gt;=CW$7,$AB15&lt;CW$7+7),"H","")&amp;IF(AND($AC15&lt;&gt;"",$AC15&gt;=CW$7,$AC15&lt;CW$7+7),"G","")&amp;IF(AND($AH15&lt;&gt;"",$AH15&gt;=CW$7,$AH15&lt;CW$7+7),"S","")</f>
        <v/>
      </c>
      <c r="CX15" s="92" t="str">
        <f aca="false">IF(AND($Y15&lt;&gt;"",$Y15&gt;=CX$7,$Y15&lt;CX$7+7),"I","")&amp;IF(AND($Z15&lt;&gt;"",$Z15&gt;=CX$7,$Z15&lt;CX$7+7),"P","")&amp;IF(AND($AA15&lt;&gt;"",$AA15&gt;=CX$7,$AA15&lt;CX$7+7),"T","")&amp;IF(AND($AB15&lt;&gt;"",$AB15&gt;=CX$7,$AB15&lt;CX$7+7),"H","")&amp;IF(AND($AC15&lt;&gt;"",$AC15&gt;=CX$7,$AC15&lt;CX$7+7),"G","")&amp;IF(AND($AH15&lt;&gt;"",$AH15&gt;=CX$7,$AH15&lt;CX$7+7),"S","")</f>
        <v/>
      </c>
      <c r="CY15" s="92" t="str">
        <f aca="false">IF(AND($Y15&lt;&gt;"",$Y15&gt;=CY$7,$Y15&lt;CY$7+7),"I","")&amp;IF(AND($Z15&lt;&gt;"",$Z15&gt;=CY$7,$Z15&lt;CY$7+7),"P","")&amp;IF(AND($AA15&lt;&gt;"",$AA15&gt;=CY$7,$AA15&lt;CY$7+7),"T","")&amp;IF(AND($AB15&lt;&gt;"",$AB15&gt;=CY$7,$AB15&lt;CY$7+7),"H","")&amp;IF(AND($AC15&lt;&gt;"",$AC15&gt;=CY$7,$AC15&lt;CY$7+7),"G","")&amp;IF(AND($AH15&lt;&gt;"",$AH15&gt;=CY$7,$AH15&lt;CY$7+7),"S","")</f>
        <v/>
      </c>
      <c r="CZ15" s="92" t="str">
        <f aca="false">IF(AND($Y15&lt;&gt;"",$Y15&gt;=CZ$7,$Y15&lt;CZ$7+7),"I","")&amp;IF(AND($Z15&lt;&gt;"",$Z15&gt;=CZ$7,$Z15&lt;CZ$7+7),"P","")&amp;IF(AND($AA15&lt;&gt;"",$AA15&gt;=CZ$7,$AA15&lt;CZ$7+7),"T","")&amp;IF(AND($AB15&lt;&gt;"",$AB15&gt;=CZ$7,$AB15&lt;CZ$7+7),"H","")&amp;IF(AND($AC15&lt;&gt;"",$AC15&gt;=CZ$7,$AC15&lt;CZ$7+7),"G","")&amp;IF(AND($AH15&lt;&gt;"",$AH15&gt;=CZ$7,$AH15&lt;CZ$7+7),"S","")</f>
        <v/>
      </c>
      <c r="DA15" s="92" t="str">
        <f aca="false">IF(AND($Y15&lt;&gt;"",$Y15&gt;=DA$7,$Y15&lt;DA$7+7),"I","")&amp;IF(AND($Z15&lt;&gt;"",$Z15&gt;=DA$7,$Z15&lt;DA$7+7),"P","")&amp;IF(AND($AA15&lt;&gt;"",$AA15&gt;=DA$7,$AA15&lt;DA$7+7),"T","")&amp;IF(AND($AB15&lt;&gt;"",$AB15&gt;=DA$7,$AB15&lt;DA$7+7),"H","")&amp;IF(AND($AC15&lt;&gt;"",$AC15&gt;=DA$7,$AC15&lt;DA$7+7),"G","")&amp;IF(AND($AH15&lt;&gt;"",$AH15&gt;=DA$7,$AH15&lt;DA$7+7),"S","")</f>
        <v/>
      </c>
      <c r="DB15" s="92" t="str">
        <f aca="false">IF(AND($Y15&lt;&gt;"",$Y15&gt;=DB$7,$Y15&lt;DB$7+7),"I","")&amp;IF(AND($Z15&lt;&gt;"",$Z15&gt;=DB$7,$Z15&lt;DB$7+7),"P","")&amp;IF(AND($AA15&lt;&gt;"",$AA15&gt;=DB$7,$AA15&lt;DB$7+7),"T","")&amp;IF(AND($AB15&lt;&gt;"",$AB15&gt;=DB$7,$AB15&lt;DB$7+7),"H","")&amp;IF(AND($AC15&lt;&gt;"",$AC15&gt;=DB$7,$AC15&lt;DB$7+7),"G","")&amp;IF(AND($AH15&lt;&gt;"",$AH15&gt;=DB$7,$AH15&lt;DB$7+7),"S","")</f>
        <v/>
      </c>
      <c r="DC15" s="92" t="str">
        <f aca="false">IF(AND($Y15&lt;&gt;"",$Y15&gt;=DC$7,$Y15&lt;DC$7+7),"I","")&amp;IF(AND($Z15&lt;&gt;"",$Z15&gt;=DC$7,$Z15&lt;DC$7+7),"P","")&amp;IF(AND($AA15&lt;&gt;"",$AA15&gt;=DC$7,$AA15&lt;DC$7+7),"T","")&amp;IF(AND($AB15&lt;&gt;"",$AB15&gt;=DC$7,$AB15&lt;DC$7+7),"H","")&amp;IF(AND($AC15&lt;&gt;"",$AC15&gt;=DC$7,$AC15&lt;DC$7+7),"G","")&amp;IF(AND($AH15&lt;&gt;"",$AH15&gt;=DC$7,$AH15&lt;DC$7+7),"S","")</f>
        <v/>
      </c>
    </row>
    <row r="16" customFormat="false" ht="15" hidden="false" customHeight="false" outlineLevel="0" collapsed="false">
      <c r="A16" s="47" t="s">
        <v>74</v>
      </c>
      <c r="B16" s="31" t="s">
        <v>75</v>
      </c>
      <c r="C16" s="36" t="s">
        <v>565</v>
      </c>
      <c r="D16" s="31" t="s">
        <v>566</v>
      </c>
      <c r="E16" s="31" t="s">
        <v>178</v>
      </c>
      <c r="F16" s="75" t="n">
        <v>150.48</v>
      </c>
      <c r="G16" s="31" t="s">
        <v>170</v>
      </c>
      <c r="H16" s="76" t="n">
        <f aca="false">PROJ_START+RD_SPAN</f>
        <v>46403</v>
      </c>
      <c r="I16" s="77" t="n">
        <f aca="false">H16+33</f>
        <v>46436</v>
      </c>
      <c r="J16" s="31" t="s">
        <v>77</v>
      </c>
      <c r="K16" s="36" t="s">
        <v>131</v>
      </c>
      <c r="L16" s="36" t="s">
        <v>76</v>
      </c>
      <c r="M16" s="36" t="s">
        <v>567</v>
      </c>
      <c r="N16" s="78" t="str">
        <f aca="false">IF(ISNUMBER(อัปเดตรายสัปดาห์!$AF16),อัปเดตรายสัปดาห์!$AF16,"")</f>
        <v/>
      </c>
      <c r="O16" s="78" t="str">
        <f aca="false">IF(ISNUMBER(อัปเดตรายสัปดาห์!$AH16),อัปเดตรายสัปดาห์!$AH16,"")</f>
        <v/>
      </c>
      <c r="P16" s="78" t="str">
        <f aca="false">IF(ISNUMBER(อัปเดตรายสัปดาห์!$AG16),อัปเดตรายสัปดาห์!$AG16,IF(AND(ISNUMBER(TCRoof!$AC$16),N(TCRoof!$AC$16)&lt;=ASOF),TCRoof!$AC$16,""))</f>
        <v/>
      </c>
      <c r="Q16" s="78" t="str">
        <f aca="false">IF(ISNUMBER(อัปเดตรายสัปดาห์!$AL16),อัปเดตรายสัปดาห์!$AL16,"")</f>
        <v/>
      </c>
      <c r="R16" s="78" t="str">
        <f aca="false">IF(ISNUMBER(อัปเดตรายสัปดาห์!$Q16),อัปเดตรายสัปดาห์!$Q16,"")</f>
        <v/>
      </c>
      <c r="S16" s="78" t="str">
        <f aca="false">IF(ISNUMBER(อัปเดตรายสัปดาห์!$R16),อัปเดตรายสัปดาห์!$R16,"")</f>
        <v/>
      </c>
      <c r="T16" s="78" t="str">
        <f aca="false">IF(ISNUMBER(อัปเดตรายสัปดาห์!$S16),อัปเดตรายสัปดาห์!$S16,IF(อัปเดตรายสัปดาห์!$S16="Y",ASOF,""))</f>
        <v/>
      </c>
      <c r="U16" s="78" t="str">
        <f aca="false">IF(ISNUMBER(อัปเดตรายสัปดาห์!$T16),อัปเดตรายสัปดาห์!$T16,IF(อัปเดตรายสัปดาห์!$T16="Y",ASOF,""))</f>
        <v/>
      </c>
      <c r="V16" s="78" t="str">
        <f aca="false">IF(ISNUMBER(อัปเดตรายสัปดาห์!$U16),อัปเดตรายสัปดาห์!$U16,IF(อัปเดตรายสัปดาห์!$U16="Y",ASOF,""))</f>
        <v/>
      </c>
      <c r="W16" s="78" t="str">
        <f aca="false">IF(ISNUMBER(อัปเดตรายสัปดาห์!$N16),อัปเดตรายสัปดาห์!$N16,"")</f>
        <v/>
      </c>
      <c r="X16" s="78" t="str">
        <f aca="false">IF(ISNUMBER(อัปเดตรายสัปดาห์!$V16),อัปเดตรายสัปดาห์!$V16,IF(AND(ISNUMBER(TCRoof!$AD$16),N(TCRoof!$AD$16)&lt;=ASOF),TCRoof!$AD$16,""))</f>
        <v/>
      </c>
      <c r="Y16" s="79" t="n">
        <f aca="false">IF(N16&lt;&gt;"",N16,WORKDAY((ASOF+LEAD_INST+7*INT((AT16-0.01)/MAX(1,AU16)))-1,1,HOLIDAYS))</f>
        <v>46349</v>
      </c>
      <c r="Z16" s="79" t="n">
        <f aca="false">IF(O16&lt;&gt;"",O16,WORKDAY((MAX(AV16+7*INT((AW16-1)/MAX(1,AX16)),AV16+7*INT((AY16-1)/MAX(1,AZ16))))-1,1,HOLIDAYS))</f>
        <v>46356</v>
      </c>
      <c r="AA16" s="79" t="n">
        <f aca="false">IF(P16&lt;&gt;"",P16,WORKDAY((BA16+7*INT((BB16-1)/MAX(1,BC16)))-1,1,HOLIDAYS))</f>
        <v>46359</v>
      </c>
      <c r="AB16" s="79" t="n">
        <f aca="false">IF(Q16&lt;&gt;"",Q16,WORKDAY((MAX(AA16+BD16,ASOF+1))-1,1,HOLIDAYS))</f>
        <v>46367</v>
      </c>
      <c r="AC16" s="79" t="n">
        <f aca="false">IF(R16&lt;&gt;"",R16,WORKDAY((MAX(Y16,ASOF)+LAG_GRID)-1,1,HOLIDAYS))</f>
        <v>46356</v>
      </c>
      <c r="AD16" s="79" t="n">
        <f aca="false">IF(T16&lt;&gt;"",T16,WORKDAY((MAX(WORKDAY(MAX(AC16,N(S16)),REVIEW_WD,HOLIDAYS),ASOF+1))-1,1,HOLIDAYS))</f>
        <v>46379</v>
      </c>
      <c r="AE16" s="79" t="n">
        <f aca="false">IF(U16&lt;&gt;"",U16,WORKDAY((MAX(AD16,ASOF)+FEE_DAYS)-1,1,HOLIDAYS))</f>
        <v>46386</v>
      </c>
      <c r="AF16" s="79" t="n">
        <f aca="false">IF(V16&lt;&gt;"",V16,WORKDAY((MAX(AA16,Z16,AE16,IF(AG16="",0,AG16+REVIEW_PK2),ASOF)+LAG_INSREQ)-1,1,HOLIDAYS))</f>
        <v>46391</v>
      </c>
      <c r="AG16" s="79" t="str">
        <f aca="false">IF(M16&lt;&gt;"Y","",IF(W16&lt;&gt;"",W16,WORKDAY((MAX(Y16,ASOF)+LAG_GRID)-1,1,HOLIDAYS)))</f>
        <v/>
      </c>
      <c r="AH16" s="80" t="n">
        <f aca="false">IF(X16&lt;&gt;"",X16,WORKDAY(AF16,INSPECT_WD,HOLIDAYS))</f>
        <v>46433</v>
      </c>
      <c r="AI16" s="81" t="n">
        <f aca="false">IF(H16="","",AB16-H16)</f>
        <v>-36</v>
      </c>
      <c r="AJ16" s="81" t="n">
        <f aca="false">IF(I16="","",AH16-I16)</f>
        <v>-3</v>
      </c>
      <c r="AK16" s="82" t="n">
        <f aca="false">IF(AND(ISNUMBER(N16),N(N16)&lt;=ASOF),1,0)+IF(AND(ISNUMBER(O16),N(O16)&lt;=ASOF),1,0)+IF(AND(ISNUMBER(P16),N(P16)&lt;=ASOF),1,0)+IF(AND(ISNUMBER(Q16),N(Q16)&lt;=ASOF),1,0)+IF(AND(ISNUMBER(R16),N(R16)&lt;=ASOF),1,0)+IF(AND(ISNUMBER(U16),N(U16)&lt;=ASOF),1,0)+IF(AND(ISNUMBER(X16),N(X16)&lt;=ASOF),1,0)</f>
        <v>0</v>
      </c>
      <c r="AL16" s="83" t="n">
        <v>7</v>
      </c>
      <c r="AM16" s="84" t="n">
        <f aca="false">'P9-009'!$J$4</f>
        <v>0</v>
      </c>
      <c r="AN16" s="85" t="str">
        <f aca="false">TRIM(IF(AND(ISNUMBER(O16),NOT(ISNUMBER(N16))),"กฟภ.ตรวจก่อนติดตั้ง, ","")&amp;IF(AND(ISNUMBER(P16),NOT(ISNUMBER(N16))),"IEC ก่อนติดตั้ง, ","")&amp;IF(AND(ISNUMBER(Q16),NOT(ISNUMBER(N16))),"ส่งมอบก่อนติดตั้ง, ","")&amp;IF(AND(ISNUMBER(Q16),ISNUMBER(P16),N(Q16)&lt;N(P16)),"ส่งมอบก่อน IEC, ","")&amp;IF(AND(ISNUMBER(อัปเดตรายสัปดาห์!$AG16),ISNUMBER(TCRoof!$AC$16),ABS(N(อัปเดตรายสัปดาห์!$AG16)-N(TCRoof!$AC$16))&gt;3),"IEC Excel≠แอป, ","")&amp;IF(AND(ISNUMBER(อัปเดตรายสัปดาห์!$V16),ISNUMBER(TCRoof!$AD$16),ABS(N(อัปเดตรายสัปดาห์!$V16)-N(TCRoof!$AD$16))&gt;3),"COD Excel≠แอป, ","")&amp;IF(AND(ISNUMBER(อัปเดตรายสัปดาห์!$AF16),ISNUMBER(TCRoof!$AB$16),ABS(N(อัปเดตรายสัปดาห์!$AF16)-N(TCRoof!$AB$16))&gt;3),"ติดตั้ง Excel≠แอป, ","")&amp;IF(AND(ISNUMBER(N16),N(N16)&gt;ASOF,OR(WEEKDAY(N(N16),2)&gt;5,COUNTIF(HOLIDAYS,N(N16))&gt;0)),"นัดดับไฟตรงวันหยุด, ","")&amp;IF(AND(ISNUMBER(O16),N(O16)&gt;ASOF,OR(WEEKDAY(N(O16),2)&gt;5,COUNTIF(HOLIDAYS,N(O16))&gt;0)),"นัด กฟภ.ตรงวันหยุด, ","")&amp;IF(AND(ISNUMBER(P16),N(P16)&gt;ASOF,OR(WEEKDAY(N(P16),2)&gt;5,COUNTIF(HOLIDAYS,N(P16))&gt;0)),"นัด IECตรงวันหยุด, ","")&amp;IF(AND(ISNUMBER(X16),N(X16)&gt;ASOF,OR(WEEKDAY(N(X16),2)&gt;5,COUNTIF(HOLIDAYS,N(X16))&gt;0)),"นัด Syncตรงวันหยุด, ",""))</f>
        <v/>
      </c>
      <c r="AO16" s="86" t="n">
        <f aca="false">SUMIFS(CR_COD,CR_ST,A16,CR_STAT,"อนุมัติ")+SUMIFS(CR_COD,CR_ST,"ทั้งเฟส",CR_STAT,"อนุมัติ")+SUMIFS(CR_COD,CR_ST,"ผรม. "&amp;L16,CR_STAT,"อนุมัติ")+SUMIFS(CR_COD,CR_ST,"เขต "&amp;E16,CR_STAT,"อนุมัติ")</f>
        <v>0</v>
      </c>
      <c r="AP16" s="86" t="n">
        <f aca="false">IF(NOT(ISNUMBER(AJ16)),"",MAX(0,AJ16-AO16))</f>
        <v>0</v>
      </c>
      <c r="AQ16" s="86" t="n">
        <f aca="false">COUNTIF(RW_ST,A16)</f>
        <v>0</v>
      </c>
      <c r="AR16" s="87" t="str">
        <f aca="false">IF(ISNUMBER(TCRoof!$I$16),TCRoof!$I$16,"")</f>
        <v/>
      </c>
      <c r="AS16" s="88" t="str">
        <f aca="false">IF(ISNUMBER(TCRoof!$H$16),TCRoof!$H$16,"")</f>
        <v/>
      </c>
      <c r="AT16" s="89" t="n">
        <f aca="false">IF(N16&lt;&gt;"","",SUMIFS($F$8:$F$27,$L$8:$L$27,L16,$N$8:$N$27,"",$H$8:$H$27,"&lt;"&amp;H16)+SUMIFS($F$8:$F$27,$L$8:$L$27,L16,$N$8:$N$27,"",$H$8:$H$27,H16,$A$8:$A$27,"&lt;="&amp;A16)+SUMIFS($F$8:$F$27,$L$8:$L$27,L16,$N$8:$N$27,"&gt;"&amp;ASOF))</f>
        <v>150.48</v>
      </c>
      <c r="AU16" s="89" t="n">
        <f aca="false">IFERROR(VLOOKUP(L16,TEAM_TBL,2,0)*VLOOKUP(L16,TEAM_TBL,3,0),150)</f>
        <v>150</v>
      </c>
      <c r="AV16" s="90" t="n">
        <f aca="false">IF(O16&lt;&gt;"","",MAX(Y16+LAG_PEA,ASOF+LAG_PEA))</f>
        <v>46356</v>
      </c>
      <c r="AW16" s="89" t="n">
        <f aca="false">IF(O16&lt;&gt;"","",COUNTIFS($E$8:$E$27,E16,$AV$8:$AV$27,"&lt;"&amp;AV16)+COUNTIFS($E$8:$E$27,E16,$AV$8:$AV$27,AV16,$A$8:$A$27,"&lt;"&amp;A16)+COUNTIFS($E$8:$E$27,E16,$O$8:$O$27,"&gt;"&amp;ASOF)+1)</f>
        <v>1</v>
      </c>
      <c r="AX16" s="89" t="n">
        <f aca="false">IFERROR(VLOOKUP(E16,ZONE_TBL,2,0),CAP_PEA)</f>
        <v>3</v>
      </c>
      <c r="AY16" s="89" t="n">
        <f aca="false">IF(O16&lt;&gt;"","",COUNTIFS($J$8:$J$27,J16,$AV$8:$AV$27,"&lt;"&amp;AV16)+COUNTIFS($J$8:$J$27,J16,$AV$8:$AV$27,AV16,$A$8:$A$27,"&lt;"&amp;A16)+COUNTIFS($J$8:$J$27,J16,$O$8:$O$27,"&gt;"&amp;ASOF)+1)</f>
        <v>1</v>
      </c>
      <c r="AZ16" s="89" t="n">
        <f aca="false">IFERROR(VLOOKUP(J16,ENG_TBL,2,0),ENG_CAP)</f>
        <v>3</v>
      </c>
      <c r="BA16" s="90" t="n">
        <f aca="false">IF(P16&lt;&gt;"","",MAX(Z16+LAG_IEC,ASOF+1))</f>
        <v>46359</v>
      </c>
      <c r="BB16" s="89" t="n">
        <f aca="false">IF(P16&lt;&gt;"","",COUNTIFS($L$8:$L$27,L16,$BA$8:$BA$27,"&lt;"&amp;BA16)+COUNTIFS($L$8:$L$27,L16,$BA$8:$BA$27,BA16,$A$8:$A$27,"&lt;"&amp;A16)+COUNTIFS($L$8:$L$27,L16,$P$8:$P$27,"&gt;"&amp;ASOF)+1)</f>
        <v>1</v>
      </c>
      <c r="BC16" s="89" t="n">
        <f aca="false">IFERROR(VLOOKUP(L16,TEAM_TBL,4,0)*VLOOKUP(L16,TEAM_TBL,5,0),3)</f>
        <v>3</v>
      </c>
      <c r="BD16" s="91" t="n">
        <f aca="false">IFERROR(VLOOKUP(L16,TEAM_TBL,6,0),LAG_HO)</f>
        <v>7</v>
      </c>
      <c r="BE16" s="89" t="n">
        <f aca="false">IF(ISNUMBER(AW16),7*INT((AW16-1)/MAX(1,AX16)),"")</f>
        <v>0</v>
      </c>
      <c r="BF16" s="89" t="n">
        <f aca="false">IF(ISNUMBER(AY16),7*INT((AY16-1)/MAX(1,AZ16)),"")</f>
        <v>0</v>
      </c>
      <c r="BH16" s="92" t="str">
        <f aca="false">IF(AND($Y16&lt;&gt;"",$Y16&gt;=BH$7,$Y16&lt;BH$7+7),"I","")&amp;IF(AND($Z16&lt;&gt;"",$Z16&gt;=BH$7,$Z16&lt;BH$7+7),"P","")&amp;IF(AND($AA16&lt;&gt;"",$AA16&gt;=BH$7,$AA16&lt;BH$7+7),"T","")&amp;IF(AND($AB16&lt;&gt;"",$AB16&gt;=BH$7,$AB16&lt;BH$7+7),"H","")&amp;IF(AND($AC16&lt;&gt;"",$AC16&gt;=BH$7,$AC16&lt;BH$7+7),"G","")&amp;IF(AND($AH16&lt;&gt;"",$AH16&gt;=BH$7,$AH16&lt;BH$7+7),"S","")</f>
        <v/>
      </c>
      <c r="BI16" s="92" t="str">
        <f aca="false">IF(AND($Y16&lt;&gt;"",$Y16&gt;=BI$7,$Y16&lt;BI$7+7),"I","")&amp;IF(AND($Z16&lt;&gt;"",$Z16&gt;=BI$7,$Z16&lt;BI$7+7),"P","")&amp;IF(AND($AA16&lt;&gt;"",$AA16&gt;=BI$7,$AA16&lt;BI$7+7),"T","")&amp;IF(AND($AB16&lt;&gt;"",$AB16&gt;=BI$7,$AB16&lt;BI$7+7),"H","")&amp;IF(AND($AC16&lt;&gt;"",$AC16&gt;=BI$7,$AC16&lt;BI$7+7),"G","")&amp;IF(AND($AH16&lt;&gt;"",$AH16&gt;=BI$7,$AH16&lt;BI$7+7),"S","")</f>
        <v/>
      </c>
      <c r="BJ16" s="92" t="str">
        <f aca="false">IF(AND($Y16&lt;&gt;"",$Y16&gt;=BJ$7,$Y16&lt;BJ$7+7),"I","")&amp;IF(AND($Z16&lt;&gt;"",$Z16&gt;=BJ$7,$Z16&lt;BJ$7+7),"P","")&amp;IF(AND($AA16&lt;&gt;"",$AA16&gt;=BJ$7,$AA16&lt;BJ$7+7),"T","")&amp;IF(AND($AB16&lt;&gt;"",$AB16&gt;=BJ$7,$AB16&lt;BJ$7+7),"H","")&amp;IF(AND($AC16&lt;&gt;"",$AC16&gt;=BJ$7,$AC16&lt;BJ$7+7),"G","")&amp;IF(AND($AH16&lt;&gt;"",$AH16&gt;=BJ$7,$AH16&lt;BJ$7+7),"S","")</f>
        <v/>
      </c>
      <c r="BK16" s="92" t="str">
        <f aca="false">IF(AND($Y16&lt;&gt;"",$Y16&gt;=BK$7,$Y16&lt;BK$7+7),"I","")&amp;IF(AND($Z16&lt;&gt;"",$Z16&gt;=BK$7,$Z16&lt;BK$7+7),"P","")&amp;IF(AND($AA16&lt;&gt;"",$AA16&gt;=BK$7,$AA16&lt;BK$7+7),"T","")&amp;IF(AND($AB16&lt;&gt;"",$AB16&gt;=BK$7,$AB16&lt;BK$7+7),"H","")&amp;IF(AND($AC16&lt;&gt;"",$AC16&gt;=BK$7,$AC16&lt;BK$7+7),"G","")&amp;IF(AND($AH16&lt;&gt;"",$AH16&gt;=BK$7,$AH16&lt;BK$7+7),"S","")</f>
        <v/>
      </c>
      <c r="BL16" s="92" t="str">
        <f aca="false">IF(AND($Y16&lt;&gt;"",$Y16&gt;=BL$7,$Y16&lt;BL$7+7),"I","")&amp;IF(AND($Z16&lt;&gt;"",$Z16&gt;=BL$7,$Z16&lt;BL$7+7),"P","")&amp;IF(AND($AA16&lt;&gt;"",$AA16&gt;=BL$7,$AA16&lt;BL$7+7),"T","")&amp;IF(AND($AB16&lt;&gt;"",$AB16&gt;=BL$7,$AB16&lt;BL$7+7),"H","")&amp;IF(AND($AC16&lt;&gt;"",$AC16&gt;=BL$7,$AC16&lt;BL$7+7),"G","")&amp;IF(AND($AH16&lt;&gt;"",$AH16&gt;=BL$7,$AH16&lt;BL$7+7),"S","")</f>
        <v>I</v>
      </c>
      <c r="BM16" s="92" t="str">
        <f aca="false">IF(AND($Y16&lt;&gt;"",$Y16&gt;=BM$7,$Y16&lt;BM$7+7),"I","")&amp;IF(AND($Z16&lt;&gt;"",$Z16&gt;=BM$7,$Z16&lt;BM$7+7),"P","")&amp;IF(AND($AA16&lt;&gt;"",$AA16&gt;=BM$7,$AA16&lt;BM$7+7),"T","")&amp;IF(AND($AB16&lt;&gt;"",$AB16&gt;=BM$7,$AB16&lt;BM$7+7),"H","")&amp;IF(AND($AC16&lt;&gt;"",$AC16&gt;=BM$7,$AC16&lt;BM$7+7),"G","")&amp;IF(AND($AH16&lt;&gt;"",$AH16&gt;=BM$7,$AH16&lt;BM$7+7),"S","")</f>
        <v>PTG</v>
      </c>
      <c r="BN16" s="92" t="str">
        <f aca="false">IF(AND($Y16&lt;&gt;"",$Y16&gt;=BN$7,$Y16&lt;BN$7+7),"I","")&amp;IF(AND($Z16&lt;&gt;"",$Z16&gt;=BN$7,$Z16&lt;BN$7+7),"P","")&amp;IF(AND($AA16&lt;&gt;"",$AA16&gt;=BN$7,$AA16&lt;BN$7+7),"T","")&amp;IF(AND($AB16&lt;&gt;"",$AB16&gt;=BN$7,$AB16&lt;BN$7+7),"H","")&amp;IF(AND($AC16&lt;&gt;"",$AC16&gt;=BN$7,$AC16&lt;BN$7+7),"G","")&amp;IF(AND($AH16&lt;&gt;"",$AH16&gt;=BN$7,$AH16&lt;BN$7+7),"S","")</f>
        <v>H</v>
      </c>
      <c r="BO16" s="92" t="str">
        <f aca="false">IF(AND($Y16&lt;&gt;"",$Y16&gt;=BO$7,$Y16&lt;BO$7+7),"I","")&amp;IF(AND($Z16&lt;&gt;"",$Z16&gt;=BO$7,$Z16&lt;BO$7+7),"P","")&amp;IF(AND($AA16&lt;&gt;"",$AA16&gt;=BO$7,$AA16&lt;BO$7+7),"T","")&amp;IF(AND($AB16&lt;&gt;"",$AB16&gt;=BO$7,$AB16&lt;BO$7+7),"H","")&amp;IF(AND($AC16&lt;&gt;"",$AC16&gt;=BO$7,$AC16&lt;BO$7+7),"G","")&amp;IF(AND($AH16&lt;&gt;"",$AH16&gt;=BO$7,$AH16&lt;BO$7+7),"S","")</f>
        <v/>
      </c>
      <c r="BP16" s="92" t="str">
        <f aca="false">IF(AND($Y16&lt;&gt;"",$Y16&gt;=BP$7,$Y16&lt;BP$7+7),"I","")&amp;IF(AND($Z16&lt;&gt;"",$Z16&gt;=BP$7,$Z16&lt;BP$7+7),"P","")&amp;IF(AND($AA16&lt;&gt;"",$AA16&gt;=BP$7,$AA16&lt;BP$7+7),"T","")&amp;IF(AND($AB16&lt;&gt;"",$AB16&gt;=BP$7,$AB16&lt;BP$7+7),"H","")&amp;IF(AND($AC16&lt;&gt;"",$AC16&gt;=BP$7,$AC16&lt;BP$7+7),"G","")&amp;IF(AND($AH16&lt;&gt;"",$AH16&gt;=BP$7,$AH16&lt;BP$7+7),"S","")</f>
        <v/>
      </c>
      <c r="BQ16" s="92" t="str">
        <f aca="false">IF(AND($Y16&lt;&gt;"",$Y16&gt;=BQ$7,$Y16&lt;BQ$7+7),"I","")&amp;IF(AND($Z16&lt;&gt;"",$Z16&gt;=BQ$7,$Z16&lt;BQ$7+7),"P","")&amp;IF(AND($AA16&lt;&gt;"",$AA16&gt;=BQ$7,$AA16&lt;BQ$7+7),"T","")&amp;IF(AND($AB16&lt;&gt;"",$AB16&gt;=BQ$7,$AB16&lt;BQ$7+7),"H","")&amp;IF(AND($AC16&lt;&gt;"",$AC16&gt;=BQ$7,$AC16&lt;BQ$7+7),"G","")&amp;IF(AND($AH16&lt;&gt;"",$AH16&gt;=BQ$7,$AH16&lt;BQ$7+7),"S","")</f>
        <v/>
      </c>
      <c r="BR16" s="92" t="str">
        <f aca="false">IF(AND($Y16&lt;&gt;"",$Y16&gt;=BR$7,$Y16&lt;BR$7+7),"I","")&amp;IF(AND($Z16&lt;&gt;"",$Z16&gt;=BR$7,$Z16&lt;BR$7+7),"P","")&amp;IF(AND($AA16&lt;&gt;"",$AA16&gt;=BR$7,$AA16&lt;BR$7+7),"T","")&amp;IF(AND($AB16&lt;&gt;"",$AB16&gt;=BR$7,$AB16&lt;BR$7+7),"H","")&amp;IF(AND($AC16&lt;&gt;"",$AC16&gt;=BR$7,$AC16&lt;BR$7+7),"G","")&amp;IF(AND($AH16&lt;&gt;"",$AH16&gt;=BR$7,$AH16&lt;BR$7+7),"S","")</f>
        <v/>
      </c>
      <c r="BS16" s="92" t="str">
        <f aca="false">IF(AND($Y16&lt;&gt;"",$Y16&gt;=BS$7,$Y16&lt;BS$7+7),"I","")&amp;IF(AND($Z16&lt;&gt;"",$Z16&gt;=BS$7,$Z16&lt;BS$7+7),"P","")&amp;IF(AND($AA16&lt;&gt;"",$AA16&gt;=BS$7,$AA16&lt;BS$7+7),"T","")&amp;IF(AND($AB16&lt;&gt;"",$AB16&gt;=BS$7,$AB16&lt;BS$7+7),"H","")&amp;IF(AND($AC16&lt;&gt;"",$AC16&gt;=BS$7,$AC16&lt;BS$7+7),"G","")&amp;IF(AND($AH16&lt;&gt;"",$AH16&gt;=BS$7,$AH16&lt;BS$7+7),"S","")</f>
        <v/>
      </c>
      <c r="BT16" s="92" t="str">
        <f aca="false">IF(AND($Y16&lt;&gt;"",$Y16&gt;=BT$7,$Y16&lt;BT$7+7),"I","")&amp;IF(AND($Z16&lt;&gt;"",$Z16&gt;=BT$7,$Z16&lt;BT$7+7),"P","")&amp;IF(AND($AA16&lt;&gt;"",$AA16&gt;=BT$7,$AA16&lt;BT$7+7),"T","")&amp;IF(AND($AB16&lt;&gt;"",$AB16&gt;=BT$7,$AB16&lt;BT$7+7),"H","")&amp;IF(AND($AC16&lt;&gt;"",$AC16&gt;=BT$7,$AC16&lt;BT$7+7),"G","")&amp;IF(AND($AH16&lt;&gt;"",$AH16&gt;=BT$7,$AH16&lt;BT$7+7),"S","")</f>
        <v/>
      </c>
      <c r="BU16" s="92" t="str">
        <f aca="false">IF(AND($Y16&lt;&gt;"",$Y16&gt;=BU$7,$Y16&lt;BU$7+7),"I","")&amp;IF(AND($Z16&lt;&gt;"",$Z16&gt;=BU$7,$Z16&lt;BU$7+7),"P","")&amp;IF(AND($AA16&lt;&gt;"",$AA16&gt;=BU$7,$AA16&lt;BU$7+7),"T","")&amp;IF(AND($AB16&lt;&gt;"",$AB16&gt;=BU$7,$AB16&lt;BU$7+7),"H","")&amp;IF(AND($AC16&lt;&gt;"",$AC16&gt;=BU$7,$AC16&lt;BU$7+7),"G","")&amp;IF(AND($AH16&lt;&gt;"",$AH16&gt;=BU$7,$AH16&lt;BU$7+7),"S","")</f>
        <v/>
      </c>
      <c r="BV16" s="92" t="str">
        <f aca="false">IF(AND($Y16&lt;&gt;"",$Y16&gt;=BV$7,$Y16&lt;BV$7+7),"I","")&amp;IF(AND($Z16&lt;&gt;"",$Z16&gt;=BV$7,$Z16&lt;BV$7+7),"P","")&amp;IF(AND($AA16&lt;&gt;"",$AA16&gt;=BV$7,$AA16&lt;BV$7+7),"T","")&amp;IF(AND($AB16&lt;&gt;"",$AB16&gt;=BV$7,$AB16&lt;BV$7+7),"H","")&amp;IF(AND($AC16&lt;&gt;"",$AC16&gt;=BV$7,$AC16&lt;BV$7+7),"G","")&amp;IF(AND($AH16&lt;&gt;"",$AH16&gt;=BV$7,$AH16&lt;BV$7+7),"S","")</f>
        <v/>
      </c>
      <c r="BW16" s="92" t="str">
        <f aca="false">IF(AND($Y16&lt;&gt;"",$Y16&gt;=BW$7,$Y16&lt;BW$7+7),"I","")&amp;IF(AND($Z16&lt;&gt;"",$Z16&gt;=BW$7,$Z16&lt;BW$7+7),"P","")&amp;IF(AND($AA16&lt;&gt;"",$AA16&gt;=BW$7,$AA16&lt;BW$7+7),"T","")&amp;IF(AND($AB16&lt;&gt;"",$AB16&gt;=BW$7,$AB16&lt;BW$7+7),"H","")&amp;IF(AND($AC16&lt;&gt;"",$AC16&gt;=BW$7,$AC16&lt;BW$7+7),"G","")&amp;IF(AND($AH16&lt;&gt;"",$AH16&gt;=BW$7,$AH16&lt;BW$7+7),"S","")</f>
        <v/>
      </c>
      <c r="BX16" s="92" t="str">
        <f aca="false">IF(AND($Y16&lt;&gt;"",$Y16&gt;=BX$7,$Y16&lt;BX$7+7),"I","")&amp;IF(AND($Z16&lt;&gt;"",$Z16&gt;=BX$7,$Z16&lt;BX$7+7),"P","")&amp;IF(AND($AA16&lt;&gt;"",$AA16&gt;=BX$7,$AA16&lt;BX$7+7),"T","")&amp;IF(AND($AB16&lt;&gt;"",$AB16&gt;=BX$7,$AB16&lt;BX$7+7),"H","")&amp;IF(AND($AC16&lt;&gt;"",$AC16&gt;=BX$7,$AC16&lt;BX$7+7),"G","")&amp;IF(AND($AH16&lt;&gt;"",$AH16&gt;=BX$7,$AH16&lt;BX$7+7),"S","")</f>
        <v>S</v>
      </c>
      <c r="BY16" s="92" t="str">
        <f aca="false">IF(AND($Y16&lt;&gt;"",$Y16&gt;=BY$7,$Y16&lt;BY$7+7),"I","")&amp;IF(AND($Z16&lt;&gt;"",$Z16&gt;=BY$7,$Z16&lt;BY$7+7),"P","")&amp;IF(AND($AA16&lt;&gt;"",$AA16&gt;=BY$7,$AA16&lt;BY$7+7),"T","")&amp;IF(AND($AB16&lt;&gt;"",$AB16&gt;=BY$7,$AB16&lt;BY$7+7),"H","")&amp;IF(AND($AC16&lt;&gt;"",$AC16&gt;=BY$7,$AC16&lt;BY$7+7),"G","")&amp;IF(AND($AH16&lt;&gt;"",$AH16&gt;=BY$7,$AH16&lt;BY$7+7),"S","")</f>
        <v/>
      </c>
      <c r="BZ16" s="92" t="str">
        <f aca="false">IF(AND($Y16&lt;&gt;"",$Y16&gt;=BZ$7,$Y16&lt;BZ$7+7),"I","")&amp;IF(AND($Z16&lt;&gt;"",$Z16&gt;=BZ$7,$Z16&lt;BZ$7+7),"P","")&amp;IF(AND($AA16&lt;&gt;"",$AA16&gt;=BZ$7,$AA16&lt;BZ$7+7),"T","")&amp;IF(AND($AB16&lt;&gt;"",$AB16&gt;=BZ$7,$AB16&lt;BZ$7+7),"H","")&amp;IF(AND($AC16&lt;&gt;"",$AC16&gt;=BZ$7,$AC16&lt;BZ$7+7),"G","")&amp;IF(AND($AH16&lt;&gt;"",$AH16&gt;=BZ$7,$AH16&lt;BZ$7+7),"S","")</f>
        <v/>
      </c>
      <c r="CA16" s="92" t="str">
        <f aca="false">IF(AND($Y16&lt;&gt;"",$Y16&gt;=CA$7,$Y16&lt;CA$7+7),"I","")&amp;IF(AND($Z16&lt;&gt;"",$Z16&gt;=CA$7,$Z16&lt;CA$7+7),"P","")&amp;IF(AND($AA16&lt;&gt;"",$AA16&gt;=CA$7,$AA16&lt;CA$7+7),"T","")&amp;IF(AND($AB16&lt;&gt;"",$AB16&gt;=CA$7,$AB16&lt;CA$7+7),"H","")&amp;IF(AND($AC16&lt;&gt;"",$AC16&gt;=CA$7,$AC16&lt;CA$7+7),"G","")&amp;IF(AND($AH16&lt;&gt;"",$AH16&gt;=CA$7,$AH16&lt;CA$7+7),"S","")</f>
        <v/>
      </c>
      <c r="CB16" s="92" t="str">
        <f aca="false">IF(AND($Y16&lt;&gt;"",$Y16&gt;=CB$7,$Y16&lt;CB$7+7),"I","")&amp;IF(AND($Z16&lt;&gt;"",$Z16&gt;=CB$7,$Z16&lt;CB$7+7),"P","")&amp;IF(AND($AA16&lt;&gt;"",$AA16&gt;=CB$7,$AA16&lt;CB$7+7),"T","")&amp;IF(AND($AB16&lt;&gt;"",$AB16&gt;=CB$7,$AB16&lt;CB$7+7),"H","")&amp;IF(AND($AC16&lt;&gt;"",$AC16&gt;=CB$7,$AC16&lt;CB$7+7),"G","")&amp;IF(AND($AH16&lt;&gt;"",$AH16&gt;=CB$7,$AH16&lt;CB$7+7),"S","")</f>
        <v/>
      </c>
      <c r="CC16" s="92" t="str">
        <f aca="false">IF(AND($Y16&lt;&gt;"",$Y16&gt;=CC$7,$Y16&lt;CC$7+7),"I","")&amp;IF(AND($Z16&lt;&gt;"",$Z16&gt;=CC$7,$Z16&lt;CC$7+7),"P","")&amp;IF(AND($AA16&lt;&gt;"",$AA16&gt;=CC$7,$AA16&lt;CC$7+7),"T","")&amp;IF(AND($AB16&lt;&gt;"",$AB16&gt;=CC$7,$AB16&lt;CC$7+7),"H","")&amp;IF(AND($AC16&lt;&gt;"",$AC16&gt;=CC$7,$AC16&lt;CC$7+7),"G","")&amp;IF(AND($AH16&lt;&gt;"",$AH16&gt;=CC$7,$AH16&lt;CC$7+7),"S","")</f>
        <v/>
      </c>
      <c r="CD16" s="92" t="str">
        <f aca="false">IF(AND($Y16&lt;&gt;"",$Y16&gt;=CD$7,$Y16&lt;CD$7+7),"I","")&amp;IF(AND($Z16&lt;&gt;"",$Z16&gt;=CD$7,$Z16&lt;CD$7+7),"P","")&amp;IF(AND($AA16&lt;&gt;"",$AA16&gt;=CD$7,$AA16&lt;CD$7+7),"T","")&amp;IF(AND($AB16&lt;&gt;"",$AB16&gt;=CD$7,$AB16&lt;CD$7+7),"H","")&amp;IF(AND($AC16&lt;&gt;"",$AC16&gt;=CD$7,$AC16&lt;CD$7+7),"G","")&amp;IF(AND($AH16&lt;&gt;"",$AH16&gt;=CD$7,$AH16&lt;CD$7+7),"S","")</f>
        <v/>
      </c>
      <c r="CE16" s="92" t="str">
        <f aca="false">IF(AND($Y16&lt;&gt;"",$Y16&gt;=CE$7,$Y16&lt;CE$7+7),"I","")&amp;IF(AND($Z16&lt;&gt;"",$Z16&gt;=CE$7,$Z16&lt;CE$7+7),"P","")&amp;IF(AND($AA16&lt;&gt;"",$AA16&gt;=CE$7,$AA16&lt;CE$7+7),"T","")&amp;IF(AND($AB16&lt;&gt;"",$AB16&gt;=CE$7,$AB16&lt;CE$7+7),"H","")&amp;IF(AND($AC16&lt;&gt;"",$AC16&gt;=CE$7,$AC16&lt;CE$7+7),"G","")&amp;IF(AND($AH16&lt;&gt;"",$AH16&gt;=CE$7,$AH16&lt;CE$7+7),"S","")</f>
        <v/>
      </c>
      <c r="CF16" s="92" t="str">
        <f aca="false">IF(AND($Y16&lt;&gt;"",$Y16&gt;=CF$7,$Y16&lt;CF$7+7),"I","")&amp;IF(AND($Z16&lt;&gt;"",$Z16&gt;=CF$7,$Z16&lt;CF$7+7),"P","")&amp;IF(AND($AA16&lt;&gt;"",$AA16&gt;=CF$7,$AA16&lt;CF$7+7),"T","")&amp;IF(AND($AB16&lt;&gt;"",$AB16&gt;=CF$7,$AB16&lt;CF$7+7),"H","")&amp;IF(AND($AC16&lt;&gt;"",$AC16&gt;=CF$7,$AC16&lt;CF$7+7),"G","")&amp;IF(AND($AH16&lt;&gt;"",$AH16&gt;=CF$7,$AH16&lt;CF$7+7),"S","")</f>
        <v/>
      </c>
      <c r="CG16" s="92" t="str">
        <f aca="false">IF(AND($Y16&lt;&gt;"",$Y16&gt;=CG$7,$Y16&lt;CG$7+7),"I","")&amp;IF(AND($Z16&lt;&gt;"",$Z16&gt;=CG$7,$Z16&lt;CG$7+7),"P","")&amp;IF(AND($AA16&lt;&gt;"",$AA16&gt;=CG$7,$AA16&lt;CG$7+7),"T","")&amp;IF(AND($AB16&lt;&gt;"",$AB16&gt;=CG$7,$AB16&lt;CG$7+7),"H","")&amp;IF(AND($AC16&lt;&gt;"",$AC16&gt;=CG$7,$AC16&lt;CG$7+7),"G","")&amp;IF(AND($AH16&lt;&gt;"",$AH16&gt;=CG$7,$AH16&lt;CG$7+7),"S","")</f>
        <v/>
      </c>
      <c r="CH16" s="92" t="str">
        <f aca="false">IF(AND($Y16&lt;&gt;"",$Y16&gt;=CH$7,$Y16&lt;CH$7+7),"I","")&amp;IF(AND($Z16&lt;&gt;"",$Z16&gt;=CH$7,$Z16&lt;CH$7+7),"P","")&amp;IF(AND($AA16&lt;&gt;"",$AA16&gt;=CH$7,$AA16&lt;CH$7+7),"T","")&amp;IF(AND($AB16&lt;&gt;"",$AB16&gt;=CH$7,$AB16&lt;CH$7+7),"H","")&amp;IF(AND($AC16&lt;&gt;"",$AC16&gt;=CH$7,$AC16&lt;CH$7+7),"G","")&amp;IF(AND($AH16&lt;&gt;"",$AH16&gt;=CH$7,$AH16&lt;CH$7+7),"S","")</f>
        <v/>
      </c>
      <c r="CI16" s="92" t="str">
        <f aca="false">IF(AND($Y16&lt;&gt;"",$Y16&gt;=CI$7,$Y16&lt;CI$7+7),"I","")&amp;IF(AND($Z16&lt;&gt;"",$Z16&gt;=CI$7,$Z16&lt;CI$7+7),"P","")&amp;IF(AND($AA16&lt;&gt;"",$AA16&gt;=CI$7,$AA16&lt;CI$7+7),"T","")&amp;IF(AND($AB16&lt;&gt;"",$AB16&gt;=CI$7,$AB16&lt;CI$7+7),"H","")&amp;IF(AND($AC16&lt;&gt;"",$AC16&gt;=CI$7,$AC16&lt;CI$7+7),"G","")&amp;IF(AND($AH16&lt;&gt;"",$AH16&gt;=CI$7,$AH16&lt;CI$7+7),"S","")</f>
        <v/>
      </c>
      <c r="CJ16" s="92" t="str">
        <f aca="false">IF(AND($Y16&lt;&gt;"",$Y16&gt;=CJ$7,$Y16&lt;CJ$7+7),"I","")&amp;IF(AND($Z16&lt;&gt;"",$Z16&gt;=CJ$7,$Z16&lt;CJ$7+7),"P","")&amp;IF(AND($AA16&lt;&gt;"",$AA16&gt;=CJ$7,$AA16&lt;CJ$7+7),"T","")&amp;IF(AND($AB16&lt;&gt;"",$AB16&gt;=CJ$7,$AB16&lt;CJ$7+7),"H","")&amp;IF(AND($AC16&lt;&gt;"",$AC16&gt;=CJ$7,$AC16&lt;CJ$7+7),"G","")&amp;IF(AND($AH16&lt;&gt;"",$AH16&gt;=CJ$7,$AH16&lt;CJ$7+7),"S","")</f>
        <v/>
      </c>
      <c r="CK16" s="92" t="str">
        <f aca="false">IF(AND($Y16&lt;&gt;"",$Y16&gt;=CK$7,$Y16&lt;CK$7+7),"I","")&amp;IF(AND($Z16&lt;&gt;"",$Z16&gt;=CK$7,$Z16&lt;CK$7+7),"P","")&amp;IF(AND($AA16&lt;&gt;"",$AA16&gt;=CK$7,$AA16&lt;CK$7+7),"T","")&amp;IF(AND($AB16&lt;&gt;"",$AB16&gt;=CK$7,$AB16&lt;CK$7+7),"H","")&amp;IF(AND($AC16&lt;&gt;"",$AC16&gt;=CK$7,$AC16&lt;CK$7+7),"G","")&amp;IF(AND($AH16&lt;&gt;"",$AH16&gt;=CK$7,$AH16&lt;CK$7+7),"S","")</f>
        <v/>
      </c>
      <c r="CL16" s="92" t="str">
        <f aca="false">IF(AND($Y16&lt;&gt;"",$Y16&gt;=CL$7,$Y16&lt;CL$7+7),"I","")&amp;IF(AND($Z16&lt;&gt;"",$Z16&gt;=CL$7,$Z16&lt;CL$7+7),"P","")&amp;IF(AND($AA16&lt;&gt;"",$AA16&gt;=CL$7,$AA16&lt;CL$7+7),"T","")&amp;IF(AND($AB16&lt;&gt;"",$AB16&gt;=CL$7,$AB16&lt;CL$7+7),"H","")&amp;IF(AND($AC16&lt;&gt;"",$AC16&gt;=CL$7,$AC16&lt;CL$7+7),"G","")&amp;IF(AND($AH16&lt;&gt;"",$AH16&gt;=CL$7,$AH16&lt;CL$7+7),"S","")</f>
        <v/>
      </c>
      <c r="CM16" s="92" t="str">
        <f aca="false">IF(AND($Y16&lt;&gt;"",$Y16&gt;=CM$7,$Y16&lt;CM$7+7),"I","")&amp;IF(AND($Z16&lt;&gt;"",$Z16&gt;=CM$7,$Z16&lt;CM$7+7),"P","")&amp;IF(AND($AA16&lt;&gt;"",$AA16&gt;=CM$7,$AA16&lt;CM$7+7),"T","")&amp;IF(AND($AB16&lt;&gt;"",$AB16&gt;=CM$7,$AB16&lt;CM$7+7),"H","")&amp;IF(AND($AC16&lt;&gt;"",$AC16&gt;=CM$7,$AC16&lt;CM$7+7),"G","")&amp;IF(AND($AH16&lt;&gt;"",$AH16&gt;=CM$7,$AH16&lt;CM$7+7),"S","")</f>
        <v/>
      </c>
      <c r="CN16" s="92" t="str">
        <f aca="false">IF(AND($Y16&lt;&gt;"",$Y16&gt;=CN$7,$Y16&lt;CN$7+7),"I","")&amp;IF(AND($Z16&lt;&gt;"",$Z16&gt;=CN$7,$Z16&lt;CN$7+7),"P","")&amp;IF(AND($AA16&lt;&gt;"",$AA16&gt;=CN$7,$AA16&lt;CN$7+7),"T","")&amp;IF(AND($AB16&lt;&gt;"",$AB16&gt;=CN$7,$AB16&lt;CN$7+7),"H","")&amp;IF(AND($AC16&lt;&gt;"",$AC16&gt;=CN$7,$AC16&lt;CN$7+7),"G","")&amp;IF(AND($AH16&lt;&gt;"",$AH16&gt;=CN$7,$AH16&lt;CN$7+7),"S","")</f>
        <v/>
      </c>
      <c r="CO16" s="92" t="str">
        <f aca="false">IF(AND($Y16&lt;&gt;"",$Y16&gt;=CO$7,$Y16&lt;CO$7+7),"I","")&amp;IF(AND($Z16&lt;&gt;"",$Z16&gt;=CO$7,$Z16&lt;CO$7+7),"P","")&amp;IF(AND($AA16&lt;&gt;"",$AA16&gt;=CO$7,$AA16&lt;CO$7+7),"T","")&amp;IF(AND($AB16&lt;&gt;"",$AB16&gt;=CO$7,$AB16&lt;CO$7+7),"H","")&amp;IF(AND($AC16&lt;&gt;"",$AC16&gt;=CO$7,$AC16&lt;CO$7+7),"G","")&amp;IF(AND($AH16&lt;&gt;"",$AH16&gt;=CO$7,$AH16&lt;CO$7+7),"S","")</f>
        <v/>
      </c>
      <c r="CP16" s="92" t="str">
        <f aca="false">IF(AND($Y16&lt;&gt;"",$Y16&gt;=CP$7,$Y16&lt;CP$7+7),"I","")&amp;IF(AND($Z16&lt;&gt;"",$Z16&gt;=CP$7,$Z16&lt;CP$7+7),"P","")&amp;IF(AND($AA16&lt;&gt;"",$AA16&gt;=CP$7,$AA16&lt;CP$7+7),"T","")&amp;IF(AND($AB16&lt;&gt;"",$AB16&gt;=CP$7,$AB16&lt;CP$7+7),"H","")&amp;IF(AND($AC16&lt;&gt;"",$AC16&gt;=CP$7,$AC16&lt;CP$7+7),"G","")&amp;IF(AND($AH16&lt;&gt;"",$AH16&gt;=CP$7,$AH16&lt;CP$7+7),"S","")</f>
        <v/>
      </c>
      <c r="CQ16" s="92" t="str">
        <f aca="false">IF(AND($Y16&lt;&gt;"",$Y16&gt;=CQ$7,$Y16&lt;CQ$7+7),"I","")&amp;IF(AND($Z16&lt;&gt;"",$Z16&gt;=CQ$7,$Z16&lt;CQ$7+7),"P","")&amp;IF(AND($AA16&lt;&gt;"",$AA16&gt;=CQ$7,$AA16&lt;CQ$7+7),"T","")&amp;IF(AND($AB16&lt;&gt;"",$AB16&gt;=CQ$7,$AB16&lt;CQ$7+7),"H","")&amp;IF(AND($AC16&lt;&gt;"",$AC16&gt;=CQ$7,$AC16&lt;CQ$7+7),"G","")&amp;IF(AND($AH16&lt;&gt;"",$AH16&gt;=CQ$7,$AH16&lt;CQ$7+7),"S","")</f>
        <v/>
      </c>
      <c r="CR16" s="92" t="str">
        <f aca="false">IF(AND($Y16&lt;&gt;"",$Y16&gt;=CR$7,$Y16&lt;CR$7+7),"I","")&amp;IF(AND($Z16&lt;&gt;"",$Z16&gt;=CR$7,$Z16&lt;CR$7+7),"P","")&amp;IF(AND($AA16&lt;&gt;"",$AA16&gt;=CR$7,$AA16&lt;CR$7+7),"T","")&amp;IF(AND($AB16&lt;&gt;"",$AB16&gt;=CR$7,$AB16&lt;CR$7+7),"H","")&amp;IF(AND($AC16&lt;&gt;"",$AC16&gt;=CR$7,$AC16&lt;CR$7+7),"G","")&amp;IF(AND($AH16&lt;&gt;"",$AH16&gt;=CR$7,$AH16&lt;CR$7+7),"S","")</f>
        <v/>
      </c>
      <c r="CS16" s="92" t="str">
        <f aca="false">IF(AND($Y16&lt;&gt;"",$Y16&gt;=CS$7,$Y16&lt;CS$7+7),"I","")&amp;IF(AND($Z16&lt;&gt;"",$Z16&gt;=CS$7,$Z16&lt;CS$7+7),"P","")&amp;IF(AND($AA16&lt;&gt;"",$AA16&gt;=CS$7,$AA16&lt;CS$7+7),"T","")&amp;IF(AND($AB16&lt;&gt;"",$AB16&gt;=CS$7,$AB16&lt;CS$7+7),"H","")&amp;IF(AND($AC16&lt;&gt;"",$AC16&gt;=CS$7,$AC16&lt;CS$7+7),"G","")&amp;IF(AND($AH16&lt;&gt;"",$AH16&gt;=CS$7,$AH16&lt;CS$7+7),"S","")</f>
        <v/>
      </c>
      <c r="CT16" s="92" t="str">
        <f aca="false">IF(AND($Y16&lt;&gt;"",$Y16&gt;=CT$7,$Y16&lt;CT$7+7),"I","")&amp;IF(AND($Z16&lt;&gt;"",$Z16&gt;=CT$7,$Z16&lt;CT$7+7),"P","")&amp;IF(AND($AA16&lt;&gt;"",$AA16&gt;=CT$7,$AA16&lt;CT$7+7),"T","")&amp;IF(AND($AB16&lt;&gt;"",$AB16&gt;=CT$7,$AB16&lt;CT$7+7),"H","")&amp;IF(AND($AC16&lt;&gt;"",$AC16&gt;=CT$7,$AC16&lt;CT$7+7),"G","")&amp;IF(AND($AH16&lt;&gt;"",$AH16&gt;=CT$7,$AH16&lt;CT$7+7),"S","")</f>
        <v/>
      </c>
      <c r="CU16" s="92" t="str">
        <f aca="false">IF(AND($Y16&lt;&gt;"",$Y16&gt;=CU$7,$Y16&lt;CU$7+7),"I","")&amp;IF(AND($Z16&lt;&gt;"",$Z16&gt;=CU$7,$Z16&lt;CU$7+7),"P","")&amp;IF(AND($AA16&lt;&gt;"",$AA16&gt;=CU$7,$AA16&lt;CU$7+7),"T","")&amp;IF(AND($AB16&lt;&gt;"",$AB16&gt;=CU$7,$AB16&lt;CU$7+7),"H","")&amp;IF(AND($AC16&lt;&gt;"",$AC16&gt;=CU$7,$AC16&lt;CU$7+7),"G","")&amp;IF(AND($AH16&lt;&gt;"",$AH16&gt;=CU$7,$AH16&lt;CU$7+7),"S","")</f>
        <v/>
      </c>
      <c r="CV16" s="92" t="str">
        <f aca="false">IF(AND($Y16&lt;&gt;"",$Y16&gt;=CV$7,$Y16&lt;CV$7+7),"I","")&amp;IF(AND($Z16&lt;&gt;"",$Z16&gt;=CV$7,$Z16&lt;CV$7+7),"P","")&amp;IF(AND($AA16&lt;&gt;"",$AA16&gt;=CV$7,$AA16&lt;CV$7+7),"T","")&amp;IF(AND($AB16&lt;&gt;"",$AB16&gt;=CV$7,$AB16&lt;CV$7+7),"H","")&amp;IF(AND($AC16&lt;&gt;"",$AC16&gt;=CV$7,$AC16&lt;CV$7+7),"G","")&amp;IF(AND($AH16&lt;&gt;"",$AH16&gt;=CV$7,$AH16&lt;CV$7+7),"S","")</f>
        <v/>
      </c>
      <c r="CW16" s="92" t="str">
        <f aca="false">IF(AND($Y16&lt;&gt;"",$Y16&gt;=CW$7,$Y16&lt;CW$7+7),"I","")&amp;IF(AND($Z16&lt;&gt;"",$Z16&gt;=CW$7,$Z16&lt;CW$7+7),"P","")&amp;IF(AND($AA16&lt;&gt;"",$AA16&gt;=CW$7,$AA16&lt;CW$7+7),"T","")&amp;IF(AND($AB16&lt;&gt;"",$AB16&gt;=CW$7,$AB16&lt;CW$7+7),"H","")&amp;IF(AND($AC16&lt;&gt;"",$AC16&gt;=CW$7,$AC16&lt;CW$7+7),"G","")&amp;IF(AND($AH16&lt;&gt;"",$AH16&gt;=CW$7,$AH16&lt;CW$7+7),"S","")</f>
        <v/>
      </c>
      <c r="CX16" s="92" t="str">
        <f aca="false">IF(AND($Y16&lt;&gt;"",$Y16&gt;=CX$7,$Y16&lt;CX$7+7),"I","")&amp;IF(AND($Z16&lt;&gt;"",$Z16&gt;=CX$7,$Z16&lt;CX$7+7),"P","")&amp;IF(AND($AA16&lt;&gt;"",$AA16&gt;=CX$7,$AA16&lt;CX$7+7),"T","")&amp;IF(AND($AB16&lt;&gt;"",$AB16&gt;=CX$7,$AB16&lt;CX$7+7),"H","")&amp;IF(AND($AC16&lt;&gt;"",$AC16&gt;=CX$7,$AC16&lt;CX$7+7),"G","")&amp;IF(AND($AH16&lt;&gt;"",$AH16&gt;=CX$7,$AH16&lt;CX$7+7),"S","")</f>
        <v/>
      </c>
      <c r="CY16" s="92" t="str">
        <f aca="false">IF(AND($Y16&lt;&gt;"",$Y16&gt;=CY$7,$Y16&lt;CY$7+7),"I","")&amp;IF(AND($Z16&lt;&gt;"",$Z16&gt;=CY$7,$Z16&lt;CY$7+7),"P","")&amp;IF(AND($AA16&lt;&gt;"",$AA16&gt;=CY$7,$AA16&lt;CY$7+7),"T","")&amp;IF(AND($AB16&lt;&gt;"",$AB16&gt;=CY$7,$AB16&lt;CY$7+7),"H","")&amp;IF(AND($AC16&lt;&gt;"",$AC16&gt;=CY$7,$AC16&lt;CY$7+7),"G","")&amp;IF(AND($AH16&lt;&gt;"",$AH16&gt;=CY$7,$AH16&lt;CY$7+7),"S","")</f>
        <v/>
      </c>
      <c r="CZ16" s="92" t="str">
        <f aca="false">IF(AND($Y16&lt;&gt;"",$Y16&gt;=CZ$7,$Y16&lt;CZ$7+7),"I","")&amp;IF(AND($Z16&lt;&gt;"",$Z16&gt;=CZ$7,$Z16&lt;CZ$7+7),"P","")&amp;IF(AND($AA16&lt;&gt;"",$AA16&gt;=CZ$7,$AA16&lt;CZ$7+7),"T","")&amp;IF(AND($AB16&lt;&gt;"",$AB16&gt;=CZ$7,$AB16&lt;CZ$7+7),"H","")&amp;IF(AND($AC16&lt;&gt;"",$AC16&gt;=CZ$7,$AC16&lt;CZ$7+7),"G","")&amp;IF(AND($AH16&lt;&gt;"",$AH16&gt;=CZ$7,$AH16&lt;CZ$7+7),"S","")</f>
        <v/>
      </c>
      <c r="DA16" s="92" t="str">
        <f aca="false">IF(AND($Y16&lt;&gt;"",$Y16&gt;=DA$7,$Y16&lt;DA$7+7),"I","")&amp;IF(AND($Z16&lt;&gt;"",$Z16&gt;=DA$7,$Z16&lt;DA$7+7),"P","")&amp;IF(AND($AA16&lt;&gt;"",$AA16&gt;=DA$7,$AA16&lt;DA$7+7),"T","")&amp;IF(AND($AB16&lt;&gt;"",$AB16&gt;=DA$7,$AB16&lt;DA$7+7),"H","")&amp;IF(AND($AC16&lt;&gt;"",$AC16&gt;=DA$7,$AC16&lt;DA$7+7),"G","")&amp;IF(AND($AH16&lt;&gt;"",$AH16&gt;=DA$7,$AH16&lt;DA$7+7),"S","")</f>
        <v/>
      </c>
      <c r="DB16" s="92" t="str">
        <f aca="false">IF(AND($Y16&lt;&gt;"",$Y16&gt;=DB$7,$Y16&lt;DB$7+7),"I","")&amp;IF(AND($Z16&lt;&gt;"",$Z16&gt;=DB$7,$Z16&lt;DB$7+7),"P","")&amp;IF(AND($AA16&lt;&gt;"",$AA16&gt;=DB$7,$AA16&lt;DB$7+7),"T","")&amp;IF(AND($AB16&lt;&gt;"",$AB16&gt;=DB$7,$AB16&lt;DB$7+7),"H","")&amp;IF(AND($AC16&lt;&gt;"",$AC16&gt;=DB$7,$AC16&lt;DB$7+7),"G","")&amp;IF(AND($AH16&lt;&gt;"",$AH16&gt;=DB$7,$AH16&lt;DB$7+7),"S","")</f>
        <v/>
      </c>
      <c r="DC16" s="92" t="str">
        <f aca="false">IF(AND($Y16&lt;&gt;"",$Y16&gt;=DC$7,$Y16&lt;DC$7+7),"I","")&amp;IF(AND($Z16&lt;&gt;"",$Z16&gt;=DC$7,$Z16&lt;DC$7+7),"P","")&amp;IF(AND($AA16&lt;&gt;"",$AA16&gt;=DC$7,$AA16&lt;DC$7+7),"T","")&amp;IF(AND($AB16&lt;&gt;"",$AB16&gt;=DC$7,$AB16&lt;DC$7+7),"H","")&amp;IF(AND($AC16&lt;&gt;"",$AC16&gt;=DC$7,$AC16&lt;DC$7+7),"G","")&amp;IF(AND($AH16&lt;&gt;"",$AH16&gt;=DC$7,$AH16&lt;DC$7+7),"S","")</f>
        <v/>
      </c>
    </row>
    <row r="17" customFormat="false" ht="15" hidden="false" customHeight="false" outlineLevel="0" collapsed="false">
      <c r="A17" s="47" t="s">
        <v>78</v>
      </c>
      <c r="B17" s="31" t="s">
        <v>79</v>
      </c>
      <c r="C17" s="36" t="s">
        <v>565</v>
      </c>
      <c r="D17" s="31" t="s">
        <v>566</v>
      </c>
      <c r="E17" s="31" t="s">
        <v>179</v>
      </c>
      <c r="F17" s="75" t="n">
        <v>280.44</v>
      </c>
      <c r="G17" s="31" t="s">
        <v>170</v>
      </c>
      <c r="H17" s="76" t="n">
        <f aca="false">PROJ_START+RD_SPAN</f>
        <v>46403</v>
      </c>
      <c r="I17" s="77" t="n">
        <f aca="false">H17+33</f>
        <v>46436</v>
      </c>
      <c r="J17" s="31" t="s">
        <v>81</v>
      </c>
      <c r="K17" s="36" t="s">
        <v>131</v>
      </c>
      <c r="L17" s="36" t="s">
        <v>80</v>
      </c>
      <c r="M17" s="36" t="s">
        <v>568</v>
      </c>
      <c r="N17" s="78" t="str">
        <f aca="false">IF(ISNUMBER(อัปเดตรายสัปดาห์!$AF17),อัปเดตรายสัปดาห์!$AF17,"")</f>
        <v/>
      </c>
      <c r="O17" s="78" t="str">
        <f aca="false">IF(ISNUMBER(อัปเดตรายสัปดาห์!$AH17),อัปเดตรายสัปดาห์!$AH17,"")</f>
        <v/>
      </c>
      <c r="P17" s="78" t="str">
        <f aca="false">IF(ISNUMBER(อัปเดตรายสัปดาห์!$AG17),อัปเดตรายสัปดาห์!$AG17,IF(AND(ISNUMBER(TCRoof!$AC$17),N(TCRoof!$AC$17)&lt;=ASOF),TCRoof!$AC$17,""))</f>
        <v/>
      </c>
      <c r="Q17" s="78" t="str">
        <f aca="false">IF(ISNUMBER(อัปเดตรายสัปดาห์!$AL17),อัปเดตรายสัปดาห์!$AL17,"")</f>
        <v/>
      </c>
      <c r="R17" s="78" t="str">
        <f aca="false">IF(ISNUMBER(อัปเดตรายสัปดาห์!$Q17),อัปเดตรายสัปดาห์!$Q17,"")</f>
        <v/>
      </c>
      <c r="S17" s="78" t="str">
        <f aca="false">IF(ISNUMBER(อัปเดตรายสัปดาห์!$R17),อัปเดตรายสัปดาห์!$R17,"")</f>
        <v/>
      </c>
      <c r="T17" s="78" t="str">
        <f aca="false">IF(ISNUMBER(อัปเดตรายสัปดาห์!$S17),อัปเดตรายสัปดาห์!$S17,IF(อัปเดตรายสัปดาห์!$S17="Y",ASOF,""))</f>
        <v/>
      </c>
      <c r="U17" s="78" t="str">
        <f aca="false">IF(ISNUMBER(อัปเดตรายสัปดาห์!$T17),อัปเดตรายสัปดาห์!$T17,IF(อัปเดตรายสัปดาห์!$T17="Y",ASOF,""))</f>
        <v/>
      </c>
      <c r="V17" s="78" t="str">
        <f aca="false">IF(ISNUMBER(อัปเดตรายสัปดาห์!$U17),อัปเดตรายสัปดาห์!$U17,IF(อัปเดตรายสัปดาห์!$U17="Y",ASOF,""))</f>
        <v/>
      </c>
      <c r="W17" s="78" t="str">
        <f aca="false">IF(ISNUMBER(อัปเดตรายสัปดาห์!$N17),อัปเดตรายสัปดาห์!$N17,"")</f>
        <v/>
      </c>
      <c r="X17" s="78" t="str">
        <f aca="false">IF(ISNUMBER(อัปเดตรายสัปดาห์!$V17),อัปเดตรายสัปดาห์!$V17,IF(AND(ISNUMBER(TCRoof!$AD$17),N(TCRoof!$AD$17)&lt;=ASOF),TCRoof!$AD$17,""))</f>
        <v/>
      </c>
      <c r="Y17" s="79" t="n">
        <f aca="false">IF(N17&lt;&gt;"",N17,WORKDAY((ASOF+LEAD_INST+7*INT((AT17-0.01)/MAX(1,AU17)))-1,1,HOLIDAYS))</f>
        <v>46349</v>
      </c>
      <c r="Z17" s="79" t="n">
        <f aca="false">IF(O17&lt;&gt;"",O17,WORKDAY((MAX(AV17+7*INT((AW17-1)/MAX(1,AX17)),AV17+7*INT((AY17-1)/MAX(1,AZ17))))-1,1,HOLIDAYS))</f>
        <v>46356</v>
      </c>
      <c r="AA17" s="79" t="n">
        <f aca="false">IF(P17&lt;&gt;"",P17,WORKDAY((BA17+7*INT((BB17-1)/MAX(1,BC17)))-1,1,HOLIDAYS))</f>
        <v>46359</v>
      </c>
      <c r="AB17" s="79" t="n">
        <f aca="false">IF(Q17&lt;&gt;"",Q17,WORKDAY((MAX(AA17+BD17,ASOF+1))-1,1,HOLIDAYS))</f>
        <v>46367</v>
      </c>
      <c r="AC17" s="79" t="n">
        <f aca="false">IF(R17&lt;&gt;"",R17,WORKDAY((MAX(Y17,ASOF)+LAG_GRID)-1,1,HOLIDAYS))</f>
        <v>46356</v>
      </c>
      <c r="AD17" s="79" t="n">
        <f aca="false">IF(T17&lt;&gt;"",T17,WORKDAY((MAX(WORKDAY(MAX(AC17,N(S17)),REVIEW_WD,HOLIDAYS),ASOF+1))-1,1,HOLIDAYS))</f>
        <v>46379</v>
      </c>
      <c r="AE17" s="79" t="n">
        <f aca="false">IF(U17&lt;&gt;"",U17,WORKDAY((MAX(AD17,ASOF)+FEE_DAYS)-1,1,HOLIDAYS))</f>
        <v>46386</v>
      </c>
      <c r="AF17" s="79" t="n">
        <f aca="false">IF(V17&lt;&gt;"",V17,WORKDAY((MAX(AA17,Z17,AE17,IF(AG17="",0,AG17+REVIEW_PK2),ASOF)+LAG_INSREQ)-1,1,HOLIDAYS))</f>
        <v>46391</v>
      </c>
      <c r="AG17" s="79" t="n">
        <f aca="false">IF(M17&lt;&gt;"Y","",IF(W17&lt;&gt;"",W17,WORKDAY((MAX(Y17,ASOF)+LAG_GRID)-1,1,HOLIDAYS)))</f>
        <v>46356</v>
      </c>
      <c r="AH17" s="80" t="n">
        <f aca="false">IF(X17&lt;&gt;"",X17,WORKDAY(AF17,INSPECT_WD,HOLIDAYS))</f>
        <v>46433</v>
      </c>
      <c r="AI17" s="81" t="n">
        <f aca="false">IF(H17="","",AB17-H17)</f>
        <v>-36</v>
      </c>
      <c r="AJ17" s="81" t="n">
        <f aca="false">IF(I17="","",AH17-I17)</f>
        <v>-3</v>
      </c>
      <c r="AK17" s="82" t="n">
        <f aca="false">IF(AND(ISNUMBER(N17),N(N17)&lt;=ASOF),1,0)+IF(AND(ISNUMBER(O17),N(O17)&lt;=ASOF),1,0)+IF(AND(ISNUMBER(P17),N(P17)&lt;=ASOF),1,0)+IF(AND(ISNUMBER(Q17),N(Q17)&lt;=ASOF),1,0)+IF(AND(ISNUMBER(R17),N(R17)&lt;=ASOF),1,0)+IF(AND(ISNUMBER(U17),N(U17)&lt;=ASOF),1,0)+IF(AND(ISNUMBER(X17),N(X17)&lt;=ASOF),1,0)+IF(AND(ISNUMBER(W17),N(W17)&lt;=ASOF),1,0)</f>
        <v>0</v>
      </c>
      <c r="AL17" s="83" t="n">
        <v>8</v>
      </c>
      <c r="AM17" s="84" t="n">
        <f aca="false">'P9-010'!$J$4</f>
        <v>0</v>
      </c>
      <c r="AN17" s="85" t="str">
        <f aca="false">TRIM(IF(AND(ISNUMBER(O17),NOT(ISNUMBER(N17))),"กฟภ.ตรวจก่อนติดตั้ง, ","")&amp;IF(AND(ISNUMBER(P17),NOT(ISNUMBER(N17))),"IEC ก่อนติดตั้ง, ","")&amp;IF(AND(ISNUMBER(Q17),NOT(ISNUMBER(N17))),"ส่งมอบก่อนติดตั้ง, ","")&amp;IF(AND(ISNUMBER(Q17),ISNUMBER(P17),N(Q17)&lt;N(P17)),"ส่งมอบก่อน IEC, ","")&amp;IF(AND(ISNUMBER(อัปเดตรายสัปดาห์!$AG17),ISNUMBER(TCRoof!$AC$17),ABS(N(อัปเดตรายสัปดาห์!$AG17)-N(TCRoof!$AC$17))&gt;3),"IEC Excel≠แอป, ","")&amp;IF(AND(ISNUMBER(อัปเดตรายสัปดาห์!$V17),ISNUMBER(TCRoof!$AD$17),ABS(N(อัปเดตรายสัปดาห์!$V17)-N(TCRoof!$AD$17))&gt;3),"COD Excel≠แอป, ","")&amp;IF(AND(ISNUMBER(อัปเดตรายสัปดาห์!$AF17),ISNUMBER(TCRoof!$AB$17),ABS(N(อัปเดตรายสัปดาห์!$AF17)-N(TCRoof!$AB$17))&gt;3),"ติดตั้ง Excel≠แอป, ","")&amp;IF(AND(ISNUMBER(N17),N(N17)&gt;ASOF,OR(WEEKDAY(N(N17),2)&gt;5,COUNTIF(HOLIDAYS,N(N17))&gt;0)),"นัดดับไฟตรงวันหยุด, ","")&amp;IF(AND(ISNUMBER(O17),N(O17)&gt;ASOF,OR(WEEKDAY(N(O17),2)&gt;5,COUNTIF(HOLIDAYS,N(O17))&gt;0)),"นัด กฟภ.ตรงวันหยุด, ","")&amp;IF(AND(ISNUMBER(P17),N(P17)&gt;ASOF,OR(WEEKDAY(N(P17),2)&gt;5,COUNTIF(HOLIDAYS,N(P17))&gt;0)),"นัด IECตรงวันหยุด, ","")&amp;IF(AND(ISNUMBER(X17),N(X17)&gt;ASOF,OR(WEEKDAY(N(X17),2)&gt;5,COUNTIF(HOLIDAYS,N(X17))&gt;0)),"นัด Syncตรงวันหยุด, ",""))</f>
        <v/>
      </c>
      <c r="AO17" s="86" t="n">
        <f aca="false">SUMIFS(CR_COD,CR_ST,A17,CR_STAT,"อนุมัติ")+SUMIFS(CR_COD,CR_ST,"ทั้งเฟส",CR_STAT,"อนุมัติ")+SUMIFS(CR_COD,CR_ST,"ผรม. "&amp;L17,CR_STAT,"อนุมัติ")+SUMIFS(CR_COD,CR_ST,"เขต "&amp;E17,CR_STAT,"อนุมัติ")</f>
        <v>0</v>
      </c>
      <c r="AP17" s="86" t="n">
        <f aca="false">IF(NOT(ISNUMBER(AJ17)),"",MAX(0,AJ17-AO17))</f>
        <v>0</v>
      </c>
      <c r="AQ17" s="86" t="n">
        <f aca="false">COUNTIF(RW_ST,A17)</f>
        <v>0</v>
      </c>
      <c r="AR17" s="87" t="str">
        <f aca="false">IF(ISNUMBER(TCRoof!$I$17),TCRoof!$I$17,"")</f>
        <v/>
      </c>
      <c r="AS17" s="88" t="str">
        <f aca="false">IF(ISNUMBER(TCRoof!$H$17),TCRoof!$H$17,"")</f>
        <v/>
      </c>
      <c r="AT17" s="89" t="n">
        <f aca="false">IF(N17&lt;&gt;"","",SUMIFS($F$8:$F$27,$L$8:$L$27,L17,$N$8:$N$27,"",$H$8:$H$27,"&lt;"&amp;H17)+SUMIFS($F$8:$F$27,$L$8:$L$27,L17,$N$8:$N$27,"",$H$8:$H$27,H17,$A$8:$A$27,"&lt;="&amp;A17)+SUMIFS($F$8:$F$27,$L$8:$L$27,L17,$N$8:$N$27,"&gt;"&amp;ASOF))</f>
        <v>280.44</v>
      </c>
      <c r="AU17" s="89" t="n">
        <f aca="false">IFERROR(VLOOKUP(L17,TEAM_TBL,2,0)*VLOOKUP(L17,TEAM_TBL,3,0),150)</f>
        <v>150</v>
      </c>
      <c r="AV17" s="90" t="n">
        <f aca="false">IF(O17&lt;&gt;"","",MAX(Y17+LAG_PEA,ASOF+LAG_PEA))</f>
        <v>46356</v>
      </c>
      <c r="AW17" s="89" t="n">
        <f aca="false">IF(O17&lt;&gt;"","",COUNTIFS($E$8:$E$27,E17,$AV$8:$AV$27,"&lt;"&amp;AV17)+COUNTIFS($E$8:$E$27,E17,$AV$8:$AV$27,AV17,$A$8:$A$27,"&lt;"&amp;A17)+COUNTIFS($E$8:$E$27,E17,$O$8:$O$27,"&gt;"&amp;ASOF)+1)</f>
        <v>1</v>
      </c>
      <c r="AX17" s="89" t="n">
        <f aca="false">IFERROR(VLOOKUP(E17,ZONE_TBL,2,0),CAP_PEA)</f>
        <v>3</v>
      </c>
      <c r="AY17" s="89" t="n">
        <f aca="false">IF(O17&lt;&gt;"","",COUNTIFS($J$8:$J$27,J17,$AV$8:$AV$27,"&lt;"&amp;AV17)+COUNTIFS($J$8:$J$27,J17,$AV$8:$AV$27,AV17,$A$8:$A$27,"&lt;"&amp;A17)+COUNTIFS($J$8:$J$27,J17,$O$8:$O$27,"&gt;"&amp;ASOF)+1)</f>
        <v>1</v>
      </c>
      <c r="AZ17" s="89" t="n">
        <f aca="false">IFERROR(VLOOKUP(J17,ENG_TBL,2,0),ENG_CAP)</f>
        <v>3</v>
      </c>
      <c r="BA17" s="90" t="n">
        <f aca="false">IF(P17&lt;&gt;"","",MAX(Z17+LAG_IEC,ASOF+1))</f>
        <v>46359</v>
      </c>
      <c r="BB17" s="89" t="n">
        <f aca="false">IF(P17&lt;&gt;"","",COUNTIFS($L$8:$L$27,L17,$BA$8:$BA$27,"&lt;"&amp;BA17)+COUNTIFS($L$8:$L$27,L17,$BA$8:$BA$27,BA17,$A$8:$A$27,"&lt;"&amp;A17)+COUNTIFS($L$8:$L$27,L17,$P$8:$P$27,"&gt;"&amp;ASOF)+1)</f>
        <v>1</v>
      </c>
      <c r="BC17" s="89" t="n">
        <f aca="false">IFERROR(VLOOKUP(L17,TEAM_TBL,4,0)*VLOOKUP(L17,TEAM_TBL,5,0),3)</f>
        <v>3</v>
      </c>
      <c r="BD17" s="91" t="n">
        <f aca="false">IFERROR(VLOOKUP(L17,TEAM_TBL,6,0),LAG_HO)</f>
        <v>7</v>
      </c>
      <c r="BE17" s="89" t="n">
        <f aca="false">IF(ISNUMBER(AW17),7*INT((AW17-1)/MAX(1,AX17)),"")</f>
        <v>0</v>
      </c>
      <c r="BF17" s="89" t="n">
        <f aca="false">IF(ISNUMBER(AY17),7*INT((AY17-1)/MAX(1,AZ17)),"")</f>
        <v>0</v>
      </c>
      <c r="BH17" s="92" t="str">
        <f aca="false">IF(AND($Y17&lt;&gt;"",$Y17&gt;=BH$7,$Y17&lt;BH$7+7),"I","")&amp;IF(AND($Z17&lt;&gt;"",$Z17&gt;=BH$7,$Z17&lt;BH$7+7),"P","")&amp;IF(AND($AA17&lt;&gt;"",$AA17&gt;=BH$7,$AA17&lt;BH$7+7),"T","")&amp;IF(AND($AB17&lt;&gt;"",$AB17&gt;=BH$7,$AB17&lt;BH$7+7),"H","")&amp;IF(AND($AC17&lt;&gt;"",$AC17&gt;=BH$7,$AC17&lt;BH$7+7),"G","")&amp;IF(AND($AH17&lt;&gt;"",$AH17&gt;=BH$7,$AH17&lt;BH$7+7),"S","")</f>
        <v/>
      </c>
      <c r="BI17" s="92" t="str">
        <f aca="false">IF(AND($Y17&lt;&gt;"",$Y17&gt;=BI$7,$Y17&lt;BI$7+7),"I","")&amp;IF(AND($Z17&lt;&gt;"",$Z17&gt;=BI$7,$Z17&lt;BI$7+7),"P","")&amp;IF(AND($AA17&lt;&gt;"",$AA17&gt;=BI$7,$AA17&lt;BI$7+7),"T","")&amp;IF(AND($AB17&lt;&gt;"",$AB17&gt;=BI$7,$AB17&lt;BI$7+7),"H","")&amp;IF(AND($AC17&lt;&gt;"",$AC17&gt;=BI$7,$AC17&lt;BI$7+7),"G","")&amp;IF(AND($AH17&lt;&gt;"",$AH17&gt;=BI$7,$AH17&lt;BI$7+7),"S","")</f>
        <v/>
      </c>
      <c r="BJ17" s="92" t="str">
        <f aca="false">IF(AND($Y17&lt;&gt;"",$Y17&gt;=BJ$7,$Y17&lt;BJ$7+7),"I","")&amp;IF(AND($Z17&lt;&gt;"",$Z17&gt;=BJ$7,$Z17&lt;BJ$7+7),"P","")&amp;IF(AND($AA17&lt;&gt;"",$AA17&gt;=BJ$7,$AA17&lt;BJ$7+7),"T","")&amp;IF(AND($AB17&lt;&gt;"",$AB17&gt;=BJ$7,$AB17&lt;BJ$7+7),"H","")&amp;IF(AND($AC17&lt;&gt;"",$AC17&gt;=BJ$7,$AC17&lt;BJ$7+7),"G","")&amp;IF(AND($AH17&lt;&gt;"",$AH17&gt;=BJ$7,$AH17&lt;BJ$7+7),"S","")</f>
        <v/>
      </c>
      <c r="BK17" s="92" t="str">
        <f aca="false">IF(AND($Y17&lt;&gt;"",$Y17&gt;=BK$7,$Y17&lt;BK$7+7),"I","")&amp;IF(AND($Z17&lt;&gt;"",$Z17&gt;=BK$7,$Z17&lt;BK$7+7),"P","")&amp;IF(AND($AA17&lt;&gt;"",$AA17&gt;=BK$7,$AA17&lt;BK$7+7),"T","")&amp;IF(AND($AB17&lt;&gt;"",$AB17&gt;=BK$7,$AB17&lt;BK$7+7),"H","")&amp;IF(AND($AC17&lt;&gt;"",$AC17&gt;=BK$7,$AC17&lt;BK$7+7),"G","")&amp;IF(AND($AH17&lt;&gt;"",$AH17&gt;=BK$7,$AH17&lt;BK$7+7),"S","")</f>
        <v/>
      </c>
      <c r="BL17" s="92" t="str">
        <f aca="false">IF(AND($Y17&lt;&gt;"",$Y17&gt;=BL$7,$Y17&lt;BL$7+7),"I","")&amp;IF(AND($Z17&lt;&gt;"",$Z17&gt;=BL$7,$Z17&lt;BL$7+7),"P","")&amp;IF(AND($AA17&lt;&gt;"",$AA17&gt;=BL$7,$AA17&lt;BL$7+7),"T","")&amp;IF(AND($AB17&lt;&gt;"",$AB17&gt;=BL$7,$AB17&lt;BL$7+7),"H","")&amp;IF(AND($AC17&lt;&gt;"",$AC17&gt;=BL$7,$AC17&lt;BL$7+7),"G","")&amp;IF(AND($AH17&lt;&gt;"",$AH17&gt;=BL$7,$AH17&lt;BL$7+7),"S","")</f>
        <v>I</v>
      </c>
      <c r="BM17" s="92" t="str">
        <f aca="false">IF(AND($Y17&lt;&gt;"",$Y17&gt;=BM$7,$Y17&lt;BM$7+7),"I","")&amp;IF(AND($Z17&lt;&gt;"",$Z17&gt;=BM$7,$Z17&lt;BM$7+7),"P","")&amp;IF(AND($AA17&lt;&gt;"",$AA17&gt;=BM$7,$AA17&lt;BM$7+7),"T","")&amp;IF(AND($AB17&lt;&gt;"",$AB17&gt;=BM$7,$AB17&lt;BM$7+7),"H","")&amp;IF(AND($AC17&lt;&gt;"",$AC17&gt;=BM$7,$AC17&lt;BM$7+7),"G","")&amp;IF(AND($AH17&lt;&gt;"",$AH17&gt;=BM$7,$AH17&lt;BM$7+7),"S","")</f>
        <v>PTG</v>
      </c>
      <c r="BN17" s="92" t="str">
        <f aca="false">IF(AND($Y17&lt;&gt;"",$Y17&gt;=BN$7,$Y17&lt;BN$7+7),"I","")&amp;IF(AND($Z17&lt;&gt;"",$Z17&gt;=BN$7,$Z17&lt;BN$7+7),"P","")&amp;IF(AND($AA17&lt;&gt;"",$AA17&gt;=BN$7,$AA17&lt;BN$7+7),"T","")&amp;IF(AND($AB17&lt;&gt;"",$AB17&gt;=BN$7,$AB17&lt;BN$7+7),"H","")&amp;IF(AND($AC17&lt;&gt;"",$AC17&gt;=BN$7,$AC17&lt;BN$7+7),"G","")&amp;IF(AND($AH17&lt;&gt;"",$AH17&gt;=BN$7,$AH17&lt;BN$7+7),"S","")</f>
        <v>H</v>
      </c>
      <c r="BO17" s="92" t="str">
        <f aca="false">IF(AND($Y17&lt;&gt;"",$Y17&gt;=BO$7,$Y17&lt;BO$7+7),"I","")&amp;IF(AND($Z17&lt;&gt;"",$Z17&gt;=BO$7,$Z17&lt;BO$7+7),"P","")&amp;IF(AND($AA17&lt;&gt;"",$AA17&gt;=BO$7,$AA17&lt;BO$7+7),"T","")&amp;IF(AND($AB17&lt;&gt;"",$AB17&gt;=BO$7,$AB17&lt;BO$7+7),"H","")&amp;IF(AND($AC17&lt;&gt;"",$AC17&gt;=BO$7,$AC17&lt;BO$7+7),"G","")&amp;IF(AND($AH17&lt;&gt;"",$AH17&gt;=BO$7,$AH17&lt;BO$7+7),"S","")</f>
        <v/>
      </c>
      <c r="BP17" s="92" t="str">
        <f aca="false">IF(AND($Y17&lt;&gt;"",$Y17&gt;=BP$7,$Y17&lt;BP$7+7),"I","")&amp;IF(AND($Z17&lt;&gt;"",$Z17&gt;=BP$7,$Z17&lt;BP$7+7),"P","")&amp;IF(AND($AA17&lt;&gt;"",$AA17&gt;=BP$7,$AA17&lt;BP$7+7),"T","")&amp;IF(AND($AB17&lt;&gt;"",$AB17&gt;=BP$7,$AB17&lt;BP$7+7),"H","")&amp;IF(AND($AC17&lt;&gt;"",$AC17&gt;=BP$7,$AC17&lt;BP$7+7),"G","")&amp;IF(AND($AH17&lt;&gt;"",$AH17&gt;=BP$7,$AH17&lt;BP$7+7),"S","")</f>
        <v/>
      </c>
      <c r="BQ17" s="92" t="str">
        <f aca="false">IF(AND($Y17&lt;&gt;"",$Y17&gt;=BQ$7,$Y17&lt;BQ$7+7),"I","")&amp;IF(AND($Z17&lt;&gt;"",$Z17&gt;=BQ$7,$Z17&lt;BQ$7+7),"P","")&amp;IF(AND($AA17&lt;&gt;"",$AA17&gt;=BQ$7,$AA17&lt;BQ$7+7),"T","")&amp;IF(AND($AB17&lt;&gt;"",$AB17&gt;=BQ$7,$AB17&lt;BQ$7+7),"H","")&amp;IF(AND($AC17&lt;&gt;"",$AC17&gt;=BQ$7,$AC17&lt;BQ$7+7),"G","")&amp;IF(AND($AH17&lt;&gt;"",$AH17&gt;=BQ$7,$AH17&lt;BQ$7+7),"S","")</f>
        <v/>
      </c>
      <c r="BR17" s="92" t="str">
        <f aca="false">IF(AND($Y17&lt;&gt;"",$Y17&gt;=BR$7,$Y17&lt;BR$7+7),"I","")&amp;IF(AND($Z17&lt;&gt;"",$Z17&gt;=BR$7,$Z17&lt;BR$7+7),"P","")&amp;IF(AND($AA17&lt;&gt;"",$AA17&gt;=BR$7,$AA17&lt;BR$7+7),"T","")&amp;IF(AND($AB17&lt;&gt;"",$AB17&gt;=BR$7,$AB17&lt;BR$7+7),"H","")&amp;IF(AND($AC17&lt;&gt;"",$AC17&gt;=BR$7,$AC17&lt;BR$7+7),"G","")&amp;IF(AND($AH17&lt;&gt;"",$AH17&gt;=BR$7,$AH17&lt;BR$7+7),"S","")</f>
        <v/>
      </c>
      <c r="BS17" s="92" t="str">
        <f aca="false">IF(AND($Y17&lt;&gt;"",$Y17&gt;=BS$7,$Y17&lt;BS$7+7),"I","")&amp;IF(AND($Z17&lt;&gt;"",$Z17&gt;=BS$7,$Z17&lt;BS$7+7),"P","")&amp;IF(AND($AA17&lt;&gt;"",$AA17&gt;=BS$7,$AA17&lt;BS$7+7),"T","")&amp;IF(AND($AB17&lt;&gt;"",$AB17&gt;=BS$7,$AB17&lt;BS$7+7),"H","")&amp;IF(AND($AC17&lt;&gt;"",$AC17&gt;=BS$7,$AC17&lt;BS$7+7),"G","")&amp;IF(AND($AH17&lt;&gt;"",$AH17&gt;=BS$7,$AH17&lt;BS$7+7),"S","")</f>
        <v/>
      </c>
      <c r="BT17" s="92" t="str">
        <f aca="false">IF(AND($Y17&lt;&gt;"",$Y17&gt;=BT$7,$Y17&lt;BT$7+7),"I","")&amp;IF(AND($Z17&lt;&gt;"",$Z17&gt;=BT$7,$Z17&lt;BT$7+7),"P","")&amp;IF(AND($AA17&lt;&gt;"",$AA17&gt;=BT$7,$AA17&lt;BT$7+7),"T","")&amp;IF(AND($AB17&lt;&gt;"",$AB17&gt;=BT$7,$AB17&lt;BT$7+7),"H","")&amp;IF(AND($AC17&lt;&gt;"",$AC17&gt;=BT$7,$AC17&lt;BT$7+7),"G","")&amp;IF(AND($AH17&lt;&gt;"",$AH17&gt;=BT$7,$AH17&lt;BT$7+7),"S","")</f>
        <v/>
      </c>
      <c r="BU17" s="92" t="str">
        <f aca="false">IF(AND($Y17&lt;&gt;"",$Y17&gt;=BU$7,$Y17&lt;BU$7+7),"I","")&amp;IF(AND($Z17&lt;&gt;"",$Z17&gt;=BU$7,$Z17&lt;BU$7+7),"P","")&amp;IF(AND($AA17&lt;&gt;"",$AA17&gt;=BU$7,$AA17&lt;BU$7+7),"T","")&amp;IF(AND($AB17&lt;&gt;"",$AB17&gt;=BU$7,$AB17&lt;BU$7+7),"H","")&amp;IF(AND($AC17&lt;&gt;"",$AC17&gt;=BU$7,$AC17&lt;BU$7+7),"G","")&amp;IF(AND($AH17&lt;&gt;"",$AH17&gt;=BU$7,$AH17&lt;BU$7+7),"S","")</f>
        <v/>
      </c>
      <c r="BV17" s="92" t="str">
        <f aca="false">IF(AND($Y17&lt;&gt;"",$Y17&gt;=BV$7,$Y17&lt;BV$7+7),"I","")&amp;IF(AND($Z17&lt;&gt;"",$Z17&gt;=BV$7,$Z17&lt;BV$7+7),"P","")&amp;IF(AND($AA17&lt;&gt;"",$AA17&gt;=BV$7,$AA17&lt;BV$7+7),"T","")&amp;IF(AND($AB17&lt;&gt;"",$AB17&gt;=BV$7,$AB17&lt;BV$7+7),"H","")&amp;IF(AND($AC17&lt;&gt;"",$AC17&gt;=BV$7,$AC17&lt;BV$7+7),"G","")&amp;IF(AND($AH17&lt;&gt;"",$AH17&gt;=BV$7,$AH17&lt;BV$7+7),"S","")</f>
        <v/>
      </c>
      <c r="BW17" s="92" t="str">
        <f aca="false">IF(AND($Y17&lt;&gt;"",$Y17&gt;=BW$7,$Y17&lt;BW$7+7),"I","")&amp;IF(AND($Z17&lt;&gt;"",$Z17&gt;=BW$7,$Z17&lt;BW$7+7),"P","")&amp;IF(AND($AA17&lt;&gt;"",$AA17&gt;=BW$7,$AA17&lt;BW$7+7),"T","")&amp;IF(AND($AB17&lt;&gt;"",$AB17&gt;=BW$7,$AB17&lt;BW$7+7),"H","")&amp;IF(AND($AC17&lt;&gt;"",$AC17&gt;=BW$7,$AC17&lt;BW$7+7),"G","")&amp;IF(AND($AH17&lt;&gt;"",$AH17&gt;=BW$7,$AH17&lt;BW$7+7),"S","")</f>
        <v/>
      </c>
      <c r="BX17" s="92" t="str">
        <f aca="false">IF(AND($Y17&lt;&gt;"",$Y17&gt;=BX$7,$Y17&lt;BX$7+7),"I","")&amp;IF(AND($Z17&lt;&gt;"",$Z17&gt;=BX$7,$Z17&lt;BX$7+7),"P","")&amp;IF(AND($AA17&lt;&gt;"",$AA17&gt;=BX$7,$AA17&lt;BX$7+7),"T","")&amp;IF(AND($AB17&lt;&gt;"",$AB17&gt;=BX$7,$AB17&lt;BX$7+7),"H","")&amp;IF(AND($AC17&lt;&gt;"",$AC17&gt;=BX$7,$AC17&lt;BX$7+7),"G","")&amp;IF(AND($AH17&lt;&gt;"",$AH17&gt;=BX$7,$AH17&lt;BX$7+7),"S","")</f>
        <v>S</v>
      </c>
      <c r="BY17" s="92" t="str">
        <f aca="false">IF(AND($Y17&lt;&gt;"",$Y17&gt;=BY$7,$Y17&lt;BY$7+7),"I","")&amp;IF(AND($Z17&lt;&gt;"",$Z17&gt;=BY$7,$Z17&lt;BY$7+7),"P","")&amp;IF(AND($AA17&lt;&gt;"",$AA17&gt;=BY$7,$AA17&lt;BY$7+7),"T","")&amp;IF(AND($AB17&lt;&gt;"",$AB17&gt;=BY$7,$AB17&lt;BY$7+7),"H","")&amp;IF(AND($AC17&lt;&gt;"",$AC17&gt;=BY$7,$AC17&lt;BY$7+7),"G","")&amp;IF(AND($AH17&lt;&gt;"",$AH17&gt;=BY$7,$AH17&lt;BY$7+7),"S","")</f>
        <v/>
      </c>
      <c r="BZ17" s="92" t="str">
        <f aca="false">IF(AND($Y17&lt;&gt;"",$Y17&gt;=BZ$7,$Y17&lt;BZ$7+7),"I","")&amp;IF(AND($Z17&lt;&gt;"",$Z17&gt;=BZ$7,$Z17&lt;BZ$7+7),"P","")&amp;IF(AND($AA17&lt;&gt;"",$AA17&gt;=BZ$7,$AA17&lt;BZ$7+7),"T","")&amp;IF(AND($AB17&lt;&gt;"",$AB17&gt;=BZ$7,$AB17&lt;BZ$7+7),"H","")&amp;IF(AND($AC17&lt;&gt;"",$AC17&gt;=BZ$7,$AC17&lt;BZ$7+7),"G","")&amp;IF(AND($AH17&lt;&gt;"",$AH17&gt;=BZ$7,$AH17&lt;BZ$7+7),"S","")</f>
        <v/>
      </c>
      <c r="CA17" s="92" t="str">
        <f aca="false">IF(AND($Y17&lt;&gt;"",$Y17&gt;=CA$7,$Y17&lt;CA$7+7),"I","")&amp;IF(AND($Z17&lt;&gt;"",$Z17&gt;=CA$7,$Z17&lt;CA$7+7),"P","")&amp;IF(AND($AA17&lt;&gt;"",$AA17&gt;=CA$7,$AA17&lt;CA$7+7),"T","")&amp;IF(AND($AB17&lt;&gt;"",$AB17&gt;=CA$7,$AB17&lt;CA$7+7),"H","")&amp;IF(AND($AC17&lt;&gt;"",$AC17&gt;=CA$7,$AC17&lt;CA$7+7),"G","")&amp;IF(AND($AH17&lt;&gt;"",$AH17&gt;=CA$7,$AH17&lt;CA$7+7),"S","")</f>
        <v/>
      </c>
      <c r="CB17" s="92" t="str">
        <f aca="false">IF(AND($Y17&lt;&gt;"",$Y17&gt;=CB$7,$Y17&lt;CB$7+7),"I","")&amp;IF(AND($Z17&lt;&gt;"",$Z17&gt;=CB$7,$Z17&lt;CB$7+7),"P","")&amp;IF(AND($AA17&lt;&gt;"",$AA17&gt;=CB$7,$AA17&lt;CB$7+7),"T","")&amp;IF(AND($AB17&lt;&gt;"",$AB17&gt;=CB$7,$AB17&lt;CB$7+7),"H","")&amp;IF(AND($AC17&lt;&gt;"",$AC17&gt;=CB$7,$AC17&lt;CB$7+7),"G","")&amp;IF(AND($AH17&lt;&gt;"",$AH17&gt;=CB$7,$AH17&lt;CB$7+7),"S","")</f>
        <v/>
      </c>
      <c r="CC17" s="92" t="str">
        <f aca="false">IF(AND($Y17&lt;&gt;"",$Y17&gt;=CC$7,$Y17&lt;CC$7+7),"I","")&amp;IF(AND($Z17&lt;&gt;"",$Z17&gt;=CC$7,$Z17&lt;CC$7+7),"P","")&amp;IF(AND($AA17&lt;&gt;"",$AA17&gt;=CC$7,$AA17&lt;CC$7+7),"T","")&amp;IF(AND($AB17&lt;&gt;"",$AB17&gt;=CC$7,$AB17&lt;CC$7+7),"H","")&amp;IF(AND($AC17&lt;&gt;"",$AC17&gt;=CC$7,$AC17&lt;CC$7+7),"G","")&amp;IF(AND($AH17&lt;&gt;"",$AH17&gt;=CC$7,$AH17&lt;CC$7+7),"S","")</f>
        <v/>
      </c>
      <c r="CD17" s="92" t="str">
        <f aca="false">IF(AND($Y17&lt;&gt;"",$Y17&gt;=CD$7,$Y17&lt;CD$7+7),"I","")&amp;IF(AND($Z17&lt;&gt;"",$Z17&gt;=CD$7,$Z17&lt;CD$7+7),"P","")&amp;IF(AND($AA17&lt;&gt;"",$AA17&gt;=CD$7,$AA17&lt;CD$7+7),"T","")&amp;IF(AND($AB17&lt;&gt;"",$AB17&gt;=CD$7,$AB17&lt;CD$7+7),"H","")&amp;IF(AND($AC17&lt;&gt;"",$AC17&gt;=CD$7,$AC17&lt;CD$7+7),"G","")&amp;IF(AND($AH17&lt;&gt;"",$AH17&gt;=CD$7,$AH17&lt;CD$7+7),"S","")</f>
        <v/>
      </c>
      <c r="CE17" s="92" t="str">
        <f aca="false">IF(AND($Y17&lt;&gt;"",$Y17&gt;=CE$7,$Y17&lt;CE$7+7),"I","")&amp;IF(AND($Z17&lt;&gt;"",$Z17&gt;=CE$7,$Z17&lt;CE$7+7),"P","")&amp;IF(AND($AA17&lt;&gt;"",$AA17&gt;=CE$7,$AA17&lt;CE$7+7),"T","")&amp;IF(AND($AB17&lt;&gt;"",$AB17&gt;=CE$7,$AB17&lt;CE$7+7),"H","")&amp;IF(AND($AC17&lt;&gt;"",$AC17&gt;=CE$7,$AC17&lt;CE$7+7),"G","")&amp;IF(AND($AH17&lt;&gt;"",$AH17&gt;=CE$7,$AH17&lt;CE$7+7),"S","")</f>
        <v/>
      </c>
      <c r="CF17" s="92" t="str">
        <f aca="false">IF(AND($Y17&lt;&gt;"",$Y17&gt;=CF$7,$Y17&lt;CF$7+7),"I","")&amp;IF(AND($Z17&lt;&gt;"",$Z17&gt;=CF$7,$Z17&lt;CF$7+7),"P","")&amp;IF(AND($AA17&lt;&gt;"",$AA17&gt;=CF$7,$AA17&lt;CF$7+7),"T","")&amp;IF(AND($AB17&lt;&gt;"",$AB17&gt;=CF$7,$AB17&lt;CF$7+7),"H","")&amp;IF(AND($AC17&lt;&gt;"",$AC17&gt;=CF$7,$AC17&lt;CF$7+7),"G","")&amp;IF(AND($AH17&lt;&gt;"",$AH17&gt;=CF$7,$AH17&lt;CF$7+7),"S","")</f>
        <v/>
      </c>
      <c r="CG17" s="92" t="str">
        <f aca="false">IF(AND($Y17&lt;&gt;"",$Y17&gt;=CG$7,$Y17&lt;CG$7+7),"I","")&amp;IF(AND($Z17&lt;&gt;"",$Z17&gt;=CG$7,$Z17&lt;CG$7+7),"P","")&amp;IF(AND($AA17&lt;&gt;"",$AA17&gt;=CG$7,$AA17&lt;CG$7+7),"T","")&amp;IF(AND($AB17&lt;&gt;"",$AB17&gt;=CG$7,$AB17&lt;CG$7+7),"H","")&amp;IF(AND($AC17&lt;&gt;"",$AC17&gt;=CG$7,$AC17&lt;CG$7+7),"G","")&amp;IF(AND($AH17&lt;&gt;"",$AH17&gt;=CG$7,$AH17&lt;CG$7+7),"S","")</f>
        <v/>
      </c>
      <c r="CH17" s="92" t="str">
        <f aca="false">IF(AND($Y17&lt;&gt;"",$Y17&gt;=CH$7,$Y17&lt;CH$7+7),"I","")&amp;IF(AND($Z17&lt;&gt;"",$Z17&gt;=CH$7,$Z17&lt;CH$7+7),"P","")&amp;IF(AND($AA17&lt;&gt;"",$AA17&gt;=CH$7,$AA17&lt;CH$7+7),"T","")&amp;IF(AND($AB17&lt;&gt;"",$AB17&gt;=CH$7,$AB17&lt;CH$7+7),"H","")&amp;IF(AND($AC17&lt;&gt;"",$AC17&gt;=CH$7,$AC17&lt;CH$7+7),"G","")&amp;IF(AND($AH17&lt;&gt;"",$AH17&gt;=CH$7,$AH17&lt;CH$7+7),"S","")</f>
        <v/>
      </c>
      <c r="CI17" s="92" t="str">
        <f aca="false">IF(AND($Y17&lt;&gt;"",$Y17&gt;=CI$7,$Y17&lt;CI$7+7),"I","")&amp;IF(AND($Z17&lt;&gt;"",$Z17&gt;=CI$7,$Z17&lt;CI$7+7),"P","")&amp;IF(AND($AA17&lt;&gt;"",$AA17&gt;=CI$7,$AA17&lt;CI$7+7),"T","")&amp;IF(AND($AB17&lt;&gt;"",$AB17&gt;=CI$7,$AB17&lt;CI$7+7),"H","")&amp;IF(AND($AC17&lt;&gt;"",$AC17&gt;=CI$7,$AC17&lt;CI$7+7),"G","")&amp;IF(AND($AH17&lt;&gt;"",$AH17&gt;=CI$7,$AH17&lt;CI$7+7),"S","")</f>
        <v/>
      </c>
      <c r="CJ17" s="92" t="str">
        <f aca="false">IF(AND($Y17&lt;&gt;"",$Y17&gt;=CJ$7,$Y17&lt;CJ$7+7),"I","")&amp;IF(AND($Z17&lt;&gt;"",$Z17&gt;=CJ$7,$Z17&lt;CJ$7+7),"P","")&amp;IF(AND($AA17&lt;&gt;"",$AA17&gt;=CJ$7,$AA17&lt;CJ$7+7),"T","")&amp;IF(AND($AB17&lt;&gt;"",$AB17&gt;=CJ$7,$AB17&lt;CJ$7+7),"H","")&amp;IF(AND($AC17&lt;&gt;"",$AC17&gt;=CJ$7,$AC17&lt;CJ$7+7),"G","")&amp;IF(AND($AH17&lt;&gt;"",$AH17&gt;=CJ$7,$AH17&lt;CJ$7+7),"S","")</f>
        <v/>
      </c>
      <c r="CK17" s="92" t="str">
        <f aca="false">IF(AND($Y17&lt;&gt;"",$Y17&gt;=CK$7,$Y17&lt;CK$7+7),"I","")&amp;IF(AND($Z17&lt;&gt;"",$Z17&gt;=CK$7,$Z17&lt;CK$7+7),"P","")&amp;IF(AND($AA17&lt;&gt;"",$AA17&gt;=CK$7,$AA17&lt;CK$7+7),"T","")&amp;IF(AND($AB17&lt;&gt;"",$AB17&gt;=CK$7,$AB17&lt;CK$7+7),"H","")&amp;IF(AND($AC17&lt;&gt;"",$AC17&gt;=CK$7,$AC17&lt;CK$7+7),"G","")&amp;IF(AND($AH17&lt;&gt;"",$AH17&gt;=CK$7,$AH17&lt;CK$7+7),"S","")</f>
        <v/>
      </c>
      <c r="CL17" s="92" t="str">
        <f aca="false">IF(AND($Y17&lt;&gt;"",$Y17&gt;=CL$7,$Y17&lt;CL$7+7),"I","")&amp;IF(AND($Z17&lt;&gt;"",$Z17&gt;=CL$7,$Z17&lt;CL$7+7),"P","")&amp;IF(AND($AA17&lt;&gt;"",$AA17&gt;=CL$7,$AA17&lt;CL$7+7),"T","")&amp;IF(AND($AB17&lt;&gt;"",$AB17&gt;=CL$7,$AB17&lt;CL$7+7),"H","")&amp;IF(AND($AC17&lt;&gt;"",$AC17&gt;=CL$7,$AC17&lt;CL$7+7),"G","")&amp;IF(AND($AH17&lt;&gt;"",$AH17&gt;=CL$7,$AH17&lt;CL$7+7),"S","")</f>
        <v/>
      </c>
      <c r="CM17" s="92" t="str">
        <f aca="false">IF(AND($Y17&lt;&gt;"",$Y17&gt;=CM$7,$Y17&lt;CM$7+7),"I","")&amp;IF(AND($Z17&lt;&gt;"",$Z17&gt;=CM$7,$Z17&lt;CM$7+7),"P","")&amp;IF(AND($AA17&lt;&gt;"",$AA17&gt;=CM$7,$AA17&lt;CM$7+7),"T","")&amp;IF(AND($AB17&lt;&gt;"",$AB17&gt;=CM$7,$AB17&lt;CM$7+7),"H","")&amp;IF(AND($AC17&lt;&gt;"",$AC17&gt;=CM$7,$AC17&lt;CM$7+7),"G","")&amp;IF(AND($AH17&lt;&gt;"",$AH17&gt;=CM$7,$AH17&lt;CM$7+7),"S","")</f>
        <v/>
      </c>
      <c r="CN17" s="92" t="str">
        <f aca="false">IF(AND($Y17&lt;&gt;"",$Y17&gt;=CN$7,$Y17&lt;CN$7+7),"I","")&amp;IF(AND($Z17&lt;&gt;"",$Z17&gt;=CN$7,$Z17&lt;CN$7+7),"P","")&amp;IF(AND($AA17&lt;&gt;"",$AA17&gt;=CN$7,$AA17&lt;CN$7+7),"T","")&amp;IF(AND($AB17&lt;&gt;"",$AB17&gt;=CN$7,$AB17&lt;CN$7+7),"H","")&amp;IF(AND($AC17&lt;&gt;"",$AC17&gt;=CN$7,$AC17&lt;CN$7+7),"G","")&amp;IF(AND($AH17&lt;&gt;"",$AH17&gt;=CN$7,$AH17&lt;CN$7+7),"S","")</f>
        <v/>
      </c>
      <c r="CO17" s="92" t="str">
        <f aca="false">IF(AND($Y17&lt;&gt;"",$Y17&gt;=CO$7,$Y17&lt;CO$7+7),"I","")&amp;IF(AND($Z17&lt;&gt;"",$Z17&gt;=CO$7,$Z17&lt;CO$7+7),"P","")&amp;IF(AND($AA17&lt;&gt;"",$AA17&gt;=CO$7,$AA17&lt;CO$7+7),"T","")&amp;IF(AND($AB17&lt;&gt;"",$AB17&gt;=CO$7,$AB17&lt;CO$7+7),"H","")&amp;IF(AND($AC17&lt;&gt;"",$AC17&gt;=CO$7,$AC17&lt;CO$7+7),"G","")&amp;IF(AND($AH17&lt;&gt;"",$AH17&gt;=CO$7,$AH17&lt;CO$7+7),"S","")</f>
        <v/>
      </c>
      <c r="CP17" s="92" t="str">
        <f aca="false">IF(AND($Y17&lt;&gt;"",$Y17&gt;=CP$7,$Y17&lt;CP$7+7),"I","")&amp;IF(AND($Z17&lt;&gt;"",$Z17&gt;=CP$7,$Z17&lt;CP$7+7),"P","")&amp;IF(AND($AA17&lt;&gt;"",$AA17&gt;=CP$7,$AA17&lt;CP$7+7),"T","")&amp;IF(AND($AB17&lt;&gt;"",$AB17&gt;=CP$7,$AB17&lt;CP$7+7),"H","")&amp;IF(AND($AC17&lt;&gt;"",$AC17&gt;=CP$7,$AC17&lt;CP$7+7),"G","")&amp;IF(AND($AH17&lt;&gt;"",$AH17&gt;=CP$7,$AH17&lt;CP$7+7),"S","")</f>
        <v/>
      </c>
      <c r="CQ17" s="92" t="str">
        <f aca="false">IF(AND($Y17&lt;&gt;"",$Y17&gt;=CQ$7,$Y17&lt;CQ$7+7),"I","")&amp;IF(AND($Z17&lt;&gt;"",$Z17&gt;=CQ$7,$Z17&lt;CQ$7+7),"P","")&amp;IF(AND($AA17&lt;&gt;"",$AA17&gt;=CQ$7,$AA17&lt;CQ$7+7),"T","")&amp;IF(AND($AB17&lt;&gt;"",$AB17&gt;=CQ$7,$AB17&lt;CQ$7+7),"H","")&amp;IF(AND($AC17&lt;&gt;"",$AC17&gt;=CQ$7,$AC17&lt;CQ$7+7),"G","")&amp;IF(AND($AH17&lt;&gt;"",$AH17&gt;=CQ$7,$AH17&lt;CQ$7+7),"S","")</f>
        <v/>
      </c>
      <c r="CR17" s="92" t="str">
        <f aca="false">IF(AND($Y17&lt;&gt;"",$Y17&gt;=CR$7,$Y17&lt;CR$7+7),"I","")&amp;IF(AND($Z17&lt;&gt;"",$Z17&gt;=CR$7,$Z17&lt;CR$7+7),"P","")&amp;IF(AND($AA17&lt;&gt;"",$AA17&gt;=CR$7,$AA17&lt;CR$7+7),"T","")&amp;IF(AND($AB17&lt;&gt;"",$AB17&gt;=CR$7,$AB17&lt;CR$7+7),"H","")&amp;IF(AND($AC17&lt;&gt;"",$AC17&gt;=CR$7,$AC17&lt;CR$7+7),"G","")&amp;IF(AND($AH17&lt;&gt;"",$AH17&gt;=CR$7,$AH17&lt;CR$7+7),"S","")</f>
        <v/>
      </c>
      <c r="CS17" s="92" t="str">
        <f aca="false">IF(AND($Y17&lt;&gt;"",$Y17&gt;=CS$7,$Y17&lt;CS$7+7),"I","")&amp;IF(AND($Z17&lt;&gt;"",$Z17&gt;=CS$7,$Z17&lt;CS$7+7),"P","")&amp;IF(AND($AA17&lt;&gt;"",$AA17&gt;=CS$7,$AA17&lt;CS$7+7),"T","")&amp;IF(AND($AB17&lt;&gt;"",$AB17&gt;=CS$7,$AB17&lt;CS$7+7),"H","")&amp;IF(AND($AC17&lt;&gt;"",$AC17&gt;=CS$7,$AC17&lt;CS$7+7),"G","")&amp;IF(AND($AH17&lt;&gt;"",$AH17&gt;=CS$7,$AH17&lt;CS$7+7),"S","")</f>
        <v/>
      </c>
      <c r="CT17" s="92" t="str">
        <f aca="false">IF(AND($Y17&lt;&gt;"",$Y17&gt;=CT$7,$Y17&lt;CT$7+7),"I","")&amp;IF(AND($Z17&lt;&gt;"",$Z17&gt;=CT$7,$Z17&lt;CT$7+7),"P","")&amp;IF(AND($AA17&lt;&gt;"",$AA17&gt;=CT$7,$AA17&lt;CT$7+7),"T","")&amp;IF(AND($AB17&lt;&gt;"",$AB17&gt;=CT$7,$AB17&lt;CT$7+7),"H","")&amp;IF(AND($AC17&lt;&gt;"",$AC17&gt;=CT$7,$AC17&lt;CT$7+7),"G","")&amp;IF(AND($AH17&lt;&gt;"",$AH17&gt;=CT$7,$AH17&lt;CT$7+7),"S","")</f>
        <v/>
      </c>
      <c r="CU17" s="92" t="str">
        <f aca="false">IF(AND($Y17&lt;&gt;"",$Y17&gt;=CU$7,$Y17&lt;CU$7+7),"I","")&amp;IF(AND($Z17&lt;&gt;"",$Z17&gt;=CU$7,$Z17&lt;CU$7+7),"P","")&amp;IF(AND($AA17&lt;&gt;"",$AA17&gt;=CU$7,$AA17&lt;CU$7+7),"T","")&amp;IF(AND($AB17&lt;&gt;"",$AB17&gt;=CU$7,$AB17&lt;CU$7+7),"H","")&amp;IF(AND($AC17&lt;&gt;"",$AC17&gt;=CU$7,$AC17&lt;CU$7+7),"G","")&amp;IF(AND($AH17&lt;&gt;"",$AH17&gt;=CU$7,$AH17&lt;CU$7+7),"S","")</f>
        <v/>
      </c>
      <c r="CV17" s="92" t="str">
        <f aca="false">IF(AND($Y17&lt;&gt;"",$Y17&gt;=CV$7,$Y17&lt;CV$7+7),"I","")&amp;IF(AND($Z17&lt;&gt;"",$Z17&gt;=CV$7,$Z17&lt;CV$7+7),"P","")&amp;IF(AND($AA17&lt;&gt;"",$AA17&gt;=CV$7,$AA17&lt;CV$7+7),"T","")&amp;IF(AND($AB17&lt;&gt;"",$AB17&gt;=CV$7,$AB17&lt;CV$7+7),"H","")&amp;IF(AND($AC17&lt;&gt;"",$AC17&gt;=CV$7,$AC17&lt;CV$7+7),"G","")&amp;IF(AND($AH17&lt;&gt;"",$AH17&gt;=CV$7,$AH17&lt;CV$7+7),"S","")</f>
        <v/>
      </c>
      <c r="CW17" s="92" t="str">
        <f aca="false">IF(AND($Y17&lt;&gt;"",$Y17&gt;=CW$7,$Y17&lt;CW$7+7),"I","")&amp;IF(AND($Z17&lt;&gt;"",$Z17&gt;=CW$7,$Z17&lt;CW$7+7),"P","")&amp;IF(AND($AA17&lt;&gt;"",$AA17&gt;=CW$7,$AA17&lt;CW$7+7),"T","")&amp;IF(AND($AB17&lt;&gt;"",$AB17&gt;=CW$7,$AB17&lt;CW$7+7),"H","")&amp;IF(AND($AC17&lt;&gt;"",$AC17&gt;=CW$7,$AC17&lt;CW$7+7),"G","")&amp;IF(AND($AH17&lt;&gt;"",$AH17&gt;=CW$7,$AH17&lt;CW$7+7),"S","")</f>
        <v/>
      </c>
      <c r="CX17" s="92" t="str">
        <f aca="false">IF(AND($Y17&lt;&gt;"",$Y17&gt;=CX$7,$Y17&lt;CX$7+7),"I","")&amp;IF(AND($Z17&lt;&gt;"",$Z17&gt;=CX$7,$Z17&lt;CX$7+7),"P","")&amp;IF(AND($AA17&lt;&gt;"",$AA17&gt;=CX$7,$AA17&lt;CX$7+7),"T","")&amp;IF(AND($AB17&lt;&gt;"",$AB17&gt;=CX$7,$AB17&lt;CX$7+7),"H","")&amp;IF(AND($AC17&lt;&gt;"",$AC17&gt;=CX$7,$AC17&lt;CX$7+7),"G","")&amp;IF(AND($AH17&lt;&gt;"",$AH17&gt;=CX$7,$AH17&lt;CX$7+7),"S","")</f>
        <v/>
      </c>
      <c r="CY17" s="92" t="str">
        <f aca="false">IF(AND($Y17&lt;&gt;"",$Y17&gt;=CY$7,$Y17&lt;CY$7+7),"I","")&amp;IF(AND($Z17&lt;&gt;"",$Z17&gt;=CY$7,$Z17&lt;CY$7+7),"P","")&amp;IF(AND($AA17&lt;&gt;"",$AA17&gt;=CY$7,$AA17&lt;CY$7+7),"T","")&amp;IF(AND($AB17&lt;&gt;"",$AB17&gt;=CY$7,$AB17&lt;CY$7+7),"H","")&amp;IF(AND($AC17&lt;&gt;"",$AC17&gt;=CY$7,$AC17&lt;CY$7+7),"G","")&amp;IF(AND($AH17&lt;&gt;"",$AH17&gt;=CY$7,$AH17&lt;CY$7+7),"S","")</f>
        <v/>
      </c>
      <c r="CZ17" s="92" t="str">
        <f aca="false">IF(AND($Y17&lt;&gt;"",$Y17&gt;=CZ$7,$Y17&lt;CZ$7+7),"I","")&amp;IF(AND($Z17&lt;&gt;"",$Z17&gt;=CZ$7,$Z17&lt;CZ$7+7),"P","")&amp;IF(AND($AA17&lt;&gt;"",$AA17&gt;=CZ$7,$AA17&lt;CZ$7+7),"T","")&amp;IF(AND($AB17&lt;&gt;"",$AB17&gt;=CZ$7,$AB17&lt;CZ$7+7),"H","")&amp;IF(AND($AC17&lt;&gt;"",$AC17&gt;=CZ$7,$AC17&lt;CZ$7+7),"G","")&amp;IF(AND($AH17&lt;&gt;"",$AH17&gt;=CZ$7,$AH17&lt;CZ$7+7),"S","")</f>
        <v/>
      </c>
      <c r="DA17" s="92" t="str">
        <f aca="false">IF(AND($Y17&lt;&gt;"",$Y17&gt;=DA$7,$Y17&lt;DA$7+7),"I","")&amp;IF(AND($Z17&lt;&gt;"",$Z17&gt;=DA$7,$Z17&lt;DA$7+7),"P","")&amp;IF(AND($AA17&lt;&gt;"",$AA17&gt;=DA$7,$AA17&lt;DA$7+7),"T","")&amp;IF(AND($AB17&lt;&gt;"",$AB17&gt;=DA$7,$AB17&lt;DA$7+7),"H","")&amp;IF(AND($AC17&lt;&gt;"",$AC17&gt;=DA$7,$AC17&lt;DA$7+7),"G","")&amp;IF(AND($AH17&lt;&gt;"",$AH17&gt;=DA$7,$AH17&lt;DA$7+7),"S","")</f>
        <v/>
      </c>
      <c r="DB17" s="92" t="str">
        <f aca="false">IF(AND($Y17&lt;&gt;"",$Y17&gt;=DB$7,$Y17&lt;DB$7+7),"I","")&amp;IF(AND($Z17&lt;&gt;"",$Z17&gt;=DB$7,$Z17&lt;DB$7+7),"P","")&amp;IF(AND($AA17&lt;&gt;"",$AA17&gt;=DB$7,$AA17&lt;DB$7+7),"T","")&amp;IF(AND($AB17&lt;&gt;"",$AB17&gt;=DB$7,$AB17&lt;DB$7+7),"H","")&amp;IF(AND($AC17&lt;&gt;"",$AC17&gt;=DB$7,$AC17&lt;DB$7+7),"G","")&amp;IF(AND($AH17&lt;&gt;"",$AH17&gt;=DB$7,$AH17&lt;DB$7+7),"S","")</f>
        <v/>
      </c>
      <c r="DC17" s="92" t="str">
        <f aca="false">IF(AND($Y17&lt;&gt;"",$Y17&gt;=DC$7,$Y17&lt;DC$7+7),"I","")&amp;IF(AND($Z17&lt;&gt;"",$Z17&gt;=DC$7,$Z17&lt;DC$7+7),"P","")&amp;IF(AND($AA17&lt;&gt;"",$AA17&gt;=DC$7,$AA17&lt;DC$7+7),"T","")&amp;IF(AND($AB17&lt;&gt;"",$AB17&gt;=DC$7,$AB17&lt;DC$7+7),"H","")&amp;IF(AND($AC17&lt;&gt;"",$AC17&gt;=DC$7,$AC17&lt;DC$7+7),"G","")&amp;IF(AND($AH17&lt;&gt;"",$AH17&gt;=DC$7,$AH17&lt;DC$7+7),"S","")</f>
        <v/>
      </c>
    </row>
    <row r="18" customFormat="false" ht="15" hidden="false" customHeight="false" outlineLevel="0" collapsed="false">
      <c r="A18" s="47" t="s">
        <v>82</v>
      </c>
      <c r="B18" s="31" t="s">
        <v>83</v>
      </c>
      <c r="C18" s="36" t="s">
        <v>565</v>
      </c>
      <c r="D18" s="31" t="s">
        <v>566</v>
      </c>
      <c r="E18" s="31" t="s">
        <v>180</v>
      </c>
      <c r="F18" s="75" t="n">
        <v>150.48</v>
      </c>
      <c r="G18" s="31" t="s">
        <v>170</v>
      </c>
      <c r="H18" s="76" t="n">
        <f aca="false">PROJ_START+RD_SPAN</f>
        <v>46403</v>
      </c>
      <c r="I18" s="77" t="n">
        <f aca="false">H18+33</f>
        <v>46436</v>
      </c>
      <c r="J18" s="31" t="s">
        <v>85</v>
      </c>
      <c r="K18" s="36" t="s">
        <v>131</v>
      </c>
      <c r="L18" s="36" t="s">
        <v>84</v>
      </c>
      <c r="M18" s="36" t="s">
        <v>567</v>
      </c>
      <c r="N18" s="78" t="str">
        <f aca="false">IF(ISNUMBER(อัปเดตรายสัปดาห์!$AF18),อัปเดตรายสัปดาห์!$AF18,"")</f>
        <v/>
      </c>
      <c r="O18" s="78" t="str">
        <f aca="false">IF(ISNUMBER(อัปเดตรายสัปดาห์!$AH18),อัปเดตรายสัปดาห์!$AH18,"")</f>
        <v/>
      </c>
      <c r="P18" s="78" t="str">
        <f aca="false">IF(ISNUMBER(อัปเดตรายสัปดาห์!$AG18),อัปเดตรายสัปดาห์!$AG18,IF(AND(ISNUMBER(TCRoof!$AC$18),N(TCRoof!$AC$18)&lt;=ASOF),TCRoof!$AC$18,""))</f>
        <v/>
      </c>
      <c r="Q18" s="78" t="str">
        <f aca="false">IF(ISNUMBER(อัปเดตรายสัปดาห์!$AL18),อัปเดตรายสัปดาห์!$AL18,"")</f>
        <v/>
      </c>
      <c r="R18" s="78" t="str">
        <f aca="false">IF(ISNUMBER(อัปเดตรายสัปดาห์!$Q18),อัปเดตรายสัปดาห์!$Q18,"")</f>
        <v/>
      </c>
      <c r="S18" s="78" t="str">
        <f aca="false">IF(ISNUMBER(อัปเดตรายสัปดาห์!$R18),อัปเดตรายสัปดาห์!$R18,"")</f>
        <v/>
      </c>
      <c r="T18" s="78" t="str">
        <f aca="false">IF(ISNUMBER(อัปเดตรายสัปดาห์!$S18),อัปเดตรายสัปดาห์!$S18,IF(อัปเดตรายสัปดาห์!$S18="Y",ASOF,""))</f>
        <v/>
      </c>
      <c r="U18" s="78" t="str">
        <f aca="false">IF(ISNUMBER(อัปเดตรายสัปดาห์!$T18),อัปเดตรายสัปดาห์!$T18,IF(อัปเดตรายสัปดาห์!$T18="Y",ASOF,""))</f>
        <v/>
      </c>
      <c r="V18" s="78" t="str">
        <f aca="false">IF(ISNUMBER(อัปเดตรายสัปดาห์!$U18),อัปเดตรายสัปดาห์!$U18,IF(อัปเดตรายสัปดาห์!$U18="Y",ASOF,""))</f>
        <v/>
      </c>
      <c r="W18" s="78" t="str">
        <f aca="false">IF(ISNUMBER(อัปเดตรายสัปดาห์!$N18),อัปเดตรายสัปดาห์!$N18,"")</f>
        <v/>
      </c>
      <c r="X18" s="78" t="str">
        <f aca="false">IF(ISNUMBER(อัปเดตรายสัปดาห์!$V18),อัปเดตรายสัปดาห์!$V18,IF(AND(ISNUMBER(TCRoof!$AD$18),N(TCRoof!$AD$18)&lt;=ASOF),TCRoof!$AD$18,""))</f>
        <v/>
      </c>
      <c r="Y18" s="79" t="n">
        <f aca="false">IF(N18&lt;&gt;"",N18,WORKDAY((ASOF+LEAD_INST+7*INT((AT18-0.01)/MAX(1,AU18)))-1,1,HOLIDAYS))</f>
        <v>46349</v>
      </c>
      <c r="Z18" s="79" t="n">
        <f aca="false">IF(O18&lt;&gt;"",O18,WORKDAY((MAX(AV18+7*INT((AW18-1)/MAX(1,AX18)),AV18+7*INT((AY18-1)/MAX(1,AZ18))))-1,1,HOLIDAYS))</f>
        <v>46356</v>
      </c>
      <c r="AA18" s="79" t="n">
        <f aca="false">IF(P18&lt;&gt;"",P18,WORKDAY((BA18+7*INT((BB18-1)/MAX(1,BC18)))-1,1,HOLIDAYS))</f>
        <v>46359</v>
      </c>
      <c r="AB18" s="79" t="n">
        <f aca="false">IF(Q18&lt;&gt;"",Q18,WORKDAY((MAX(AA18+BD18,ASOF+1))-1,1,HOLIDAYS))</f>
        <v>46367</v>
      </c>
      <c r="AC18" s="79" t="n">
        <f aca="false">IF(R18&lt;&gt;"",R18,WORKDAY((MAX(Y18,ASOF)+LAG_GRID)-1,1,HOLIDAYS))</f>
        <v>46356</v>
      </c>
      <c r="AD18" s="79" t="n">
        <f aca="false">IF(T18&lt;&gt;"",T18,WORKDAY((MAX(WORKDAY(MAX(AC18,N(S18)),REVIEW_WD,HOLIDAYS),ASOF+1))-1,1,HOLIDAYS))</f>
        <v>46379</v>
      </c>
      <c r="AE18" s="79" t="n">
        <f aca="false">IF(U18&lt;&gt;"",U18,WORKDAY((MAX(AD18,ASOF)+FEE_DAYS)-1,1,HOLIDAYS))</f>
        <v>46386</v>
      </c>
      <c r="AF18" s="79" t="n">
        <f aca="false">IF(V18&lt;&gt;"",V18,WORKDAY((MAX(AA18,Z18,AE18,IF(AG18="",0,AG18+REVIEW_PK2),ASOF)+LAG_INSREQ)-1,1,HOLIDAYS))</f>
        <v>46391</v>
      </c>
      <c r="AG18" s="79" t="str">
        <f aca="false">IF(M18&lt;&gt;"Y","",IF(W18&lt;&gt;"",W18,WORKDAY((MAX(Y18,ASOF)+LAG_GRID)-1,1,HOLIDAYS)))</f>
        <v/>
      </c>
      <c r="AH18" s="80" t="n">
        <f aca="false">IF(X18&lt;&gt;"",X18,WORKDAY(AF18,INSPECT_WD,HOLIDAYS))</f>
        <v>46433</v>
      </c>
      <c r="AI18" s="81" t="n">
        <f aca="false">IF(H18="","",AB18-H18)</f>
        <v>-36</v>
      </c>
      <c r="AJ18" s="81" t="n">
        <f aca="false">IF(I18="","",AH18-I18)</f>
        <v>-3</v>
      </c>
      <c r="AK18" s="82" t="n">
        <f aca="false">IF(AND(ISNUMBER(N18),N(N18)&lt;=ASOF),1,0)+IF(AND(ISNUMBER(O18),N(O18)&lt;=ASOF),1,0)+IF(AND(ISNUMBER(P18),N(P18)&lt;=ASOF),1,0)+IF(AND(ISNUMBER(Q18),N(Q18)&lt;=ASOF),1,0)+IF(AND(ISNUMBER(R18),N(R18)&lt;=ASOF),1,0)+IF(AND(ISNUMBER(U18),N(U18)&lt;=ASOF),1,0)+IF(AND(ISNUMBER(X18),N(X18)&lt;=ASOF),1,0)</f>
        <v>0</v>
      </c>
      <c r="AL18" s="83" t="n">
        <v>7</v>
      </c>
      <c r="AM18" s="84" t="n">
        <f aca="false">'P9-011'!$J$4</f>
        <v>0</v>
      </c>
      <c r="AN18" s="85" t="str">
        <f aca="false">TRIM(IF(AND(ISNUMBER(O18),NOT(ISNUMBER(N18))),"กฟภ.ตรวจก่อนติดตั้ง, ","")&amp;IF(AND(ISNUMBER(P18),NOT(ISNUMBER(N18))),"IEC ก่อนติดตั้ง, ","")&amp;IF(AND(ISNUMBER(Q18),NOT(ISNUMBER(N18))),"ส่งมอบก่อนติดตั้ง, ","")&amp;IF(AND(ISNUMBER(Q18),ISNUMBER(P18),N(Q18)&lt;N(P18)),"ส่งมอบก่อน IEC, ","")&amp;IF(AND(ISNUMBER(อัปเดตรายสัปดาห์!$AG18),ISNUMBER(TCRoof!$AC$18),ABS(N(อัปเดตรายสัปดาห์!$AG18)-N(TCRoof!$AC$18))&gt;3),"IEC Excel≠แอป, ","")&amp;IF(AND(ISNUMBER(อัปเดตรายสัปดาห์!$V18),ISNUMBER(TCRoof!$AD$18),ABS(N(อัปเดตรายสัปดาห์!$V18)-N(TCRoof!$AD$18))&gt;3),"COD Excel≠แอป, ","")&amp;IF(AND(ISNUMBER(อัปเดตรายสัปดาห์!$AF18),ISNUMBER(TCRoof!$AB$18),ABS(N(อัปเดตรายสัปดาห์!$AF18)-N(TCRoof!$AB$18))&gt;3),"ติดตั้ง Excel≠แอป, ","")&amp;IF(AND(ISNUMBER(N18),N(N18)&gt;ASOF,OR(WEEKDAY(N(N18),2)&gt;5,COUNTIF(HOLIDAYS,N(N18))&gt;0)),"นัดดับไฟตรงวันหยุด, ","")&amp;IF(AND(ISNUMBER(O18),N(O18)&gt;ASOF,OR(WEEKDAY(N(O18),2)&gt;5,COUNTIF(HOLIDAYS,N(O18))&gt;0)),"นัด กฟภ.ตรงวันหยุด, ","")&amp;IF(AND(ISNUMBER(P18),N(P18)&gt;ASOF,OR(WEEKDAY(N(P18),2)&gt;5,COUNTIF(HOLIDAYS,N(P18))&gt;0)),"นัด IECตรงวันหยุด, ","")&amp;IF(AND(ISNUMBER(X18),N(X18)&gt;ASOF,OR(WEEKDAY(N(X18),2)&gt;5,COUNTIF(HOLIDAYS,N(X18))&gt;0)),"นัด Syncตรงวันหยุด, ",""))</f>
        <v/>
      </c>
      <c r="AO18" s="86" t="n">
        <f aca="false">SUMIFS(CR_COD,CR_ST,A18,CR_STAT,"อนุมัติ")+SUMIFS(CR_COD,CR_ST,"ทั้งเฟส",CR_STAT,"อนุมัติ")+SUMIFS(CR_COD,CR_ST,"ผรม. "&amp;L18,CR_STAT,"อนุมัติ")+SUMIFS(CR_COD,CR_ST,"เขต "&amp;E18,CR_STAT,"อนุมัติ")</f>
        <v>0</v>
      </c>
      <c r="AP18" s="86" t="n">
        <f aca="false">IF(NOT(ISNUMBER(AJ18)),"",MAX(0,AJ18-AO18))</f>
        <v>0</v>
      </c>
      <c r="AQ18" s="86" t="n">
        <f aca="false">COUNTIF(RW_ST,A18)</f>
        <v>0</v>
      </c>
      <c r="AR18" s="87" t="str">
        <f aca="false">IF(ISNUMBER(TCRoof!$I$18),TCRoof!$I$18,"")</f>
        <v/>
      </c>
      <c r="AS18" s="88" t="str">
        <f aca="false">IF(ISNUMBER(TCRoof!$H$18),TCRoof!$H$18,"")</f>
        <v/>
      </c>
      <c r="AT18" s="89" t="n">
        <f aca="false">IF(N18&lt;&gt;"","",SUMIFS($F$8:$F$27,$L$8:$L$27,L18,$N$8:$N$27,"",$H$8:$H$27,"&lt;"&amp;H18)+SUMIFS($F$8:$F$27,$L$8:$L$27,L18,$N$8:$N$27,"",$H$8:$H$27,H18,$A$8:$A$27,"&lt;="&amp;A18)+SUMIFS($F$8:$F$27,$L$8:$L$27,L18,$N$8:$N$27,"&gt;"&amp;ASOF))</f>
        <v>150.48</v>
      </c>
      <c r="AU18" s="89" t="n">
        <f aca="false">IFERROR(VLOOKUP(L18,TEAM_TBL,2,0)*VLOOKUP(L18,TEAM_TBL,3,0),150)</f>
        <v>150</v>
      </c>
      <c r="AV18" s="90" t="n">
        <f aca="false">IF(O18&lt;&gt;"","",MAX(Y18+LAG_PEA,ASOF+LAG_PEA))</f>
        <v>46356</v>
      </c>
      <c r="AW18" s="89" t="n">
        <f aca="false">IF(O18&lt;&gt;"","",COUNTIFS($E$8:$E$27,E18,$AV$8:$AV$27,"&lt;"&amp;AV18)+COUNTIFS($E$8:$E$27,E18,$AV$8:$AV$27,AV18,$A$8:$A$27,"&lt;"&amp;A18)+COUNTIFS($E$8:$E$27,E18,$O$8:$O$27,"&gt;"&amp;ASOF)+1)</f>
        <v>1</v>
      </c>
      <c r="AX18" s="89" t="n">
        <f aca="false">IFERROR(VLOOKUP(E18,ZONE_TBL,2,0),CAP_PEA)</f>
        <v>3</v>
      </c>
      <c r="AY18" s="89" t="n">
        <f aca="false">IF(O18&lt;&gt;"","",COUNTIFS($J$8:$J$27,J18,$AV$8:$AV$27,"&lt;"&amp;AV18)+COUNTIFS($J$8:$J$27,J18,$AV$8:$AV$27,AV18,$A$8:$A$27,"&lt;"&amp;A18)+COUNTIFS($J$8:$J$27,J18,$O$8:$O$27,"&gt;"&amp;ASOF)+1)</f>
        <v>1</v>
      </c>
      <c r="AZ18" s="89" t="n">
        <f aca="false">IFERROR(VLOOKUP(J18,ENG_TBL,2,0),ENG_CAP)</f>
        <v>3</v>
      </c>
      <c r="BA18" s="90" t="n">
        <f aca="false">IF(P18&lt;&gt;"","",MAX(Z18+LAG_IEC,ASOF+1))</f>
        <v>46359</v>
      </c>
      <c r="BB18" s="89" t="n">
        <f aca="false">IF(P18&lt;&gt;"","",COUNTIFS($L$8:$L$27,L18,$BA$8:$BA$27,"&lt;"&amp;BA18)+COUNTIFS($L$8:$L$27,L18,$BA$8:$BA$27,BA18,$A$8:$A$27,"&lt;"&amp;A18)+COUNTIFS($L$8:$L$27,L18,$P$8:$P$27,"&gt;"&amp;ASOF)+1)</f>
        <v>1</v>
      </c>
      <c r="BC18" s="89" t="n">
        <f aca="false">IFERROR(VLOOKUP(L18,TEAM_TBL,4,0)*VLOOKUP(L18,TEAM_TBL,5,0),3)</f>
        <v>3</v>
      </c>
      <c r="BD18" s="91" t="n">
        <f aca="false">IFERROR(VLOOKUP(L18,TEAM_TBL,6,0),LAG_HO)</f>
        <v>7</v>
      </c>
      <c r="BE18" s="89" t="n">
        <f aca="false">IF(ISNUMBER(AW18),7*INT((AW18-1)/MAX(1,AX18)),"")</f>
        <v>0</v>
      </c>
      <c r="BF18" s="89" t="n">
        <f aca="false">IF(ISNUMBER(AY18),7*INT((AY18-1)/MAX(1,AZ18)),"")</f>
        <v>0</v>
      </c>
      <c r="BH18" s="92" t="str">
        <f aca="false">IF(AND($Y18&lt;&gt;"",$Y18&gt;=BH$7,$Y18&lt;BH$7+7),"I","")&amp;IF(AND($Z18&lt;&gt;"",$Z18&gt;=BH$7,$Z18&lt;BH$7+7),"P","")&amp;IF(AND($AA18&lt;&gt;"",$AA18&gt;=BH$7,$AA18&lt;BH$7+7),"T","")&amp;IF(AND($AB18&lt;&gt;"",$AB18&gt;=BH$7,$AB18&lt;BH$7+7),"H","")&amp;IF(AND($AC18&lt;&gt;"",$AC18&gt;=BH$7,$AC18&lt;BH$7+7),"G","")&amp;IF(AND($AH18&lt;&gt;"",$AH18&gt;=BH$7,$AH18&lt;BH$7+7),"S","")</f>
        <v/>
      </c>
      <c r="BI18" s="92" t="str">
        <f aca="false">IF(AND($Y18&lt;&gt;"",$Y18&gt;=BI$7,$Y18&lt;BI$7+7),"I","")&amp;IF(AND($Z18&lt;&gt;"",$Z18&gt;=BI$7,$Z18&lt;BI$7+7),"P","")&amp;IF(AND($AA18&lt;&gt;"",$AA18&gt;=BI$7,$AA18&lt;BI$7+7),"T","")&amp;IF(AND($AB18&lt;&gt;"",$AB18&gt;=BI$7,$AB18&lt;BI$7+7),"H","")&amp;IF(AND($AC18&lt;&gt;"",$AC18&gt;=BI$7,$AC18&lt;BI$7+7),"G","")&amp;IF(AND($AH18&lt;&gt;"",$AH18&gt;=BI$7,$AH18&lt;BI$7+7),"S","")</f>
        <v/>
      </c>
      <c r="BJ18" s="92" t="str">
        <f aca="false">IF(AND($Y18&lt;&gt;"",$Y18&gt;=BJ$7,$Y18&lt;BJ$7+7),"I","")&amp;IF(AND($Z18&lt;&gt;"",$Z18&gt;=BJ$7,$Z18&lt;BJ$7+7),"P","")&amp;IF(AND($AA18&lt;&gt;"",$AA18&gt;=BJ$7,$AA18&lt;BJ$7+7),"T","")&amp;IF(AND($AB18&lt;&gt;"",$AB18&gt;=BJ$7,$AB18&lt;BJ$7+7),"H","")&amp;IF(AND($AC18&lt;&gt;"",$AC18&gt;=BJ$7,$AC18&lt;BJ$7+7),"G","")&amp;IF(AND($AH18&lt;&gt;"",$AH18&gt;=BJ$7,$AH18&lt;BJ$7+7),"S","")</f>
        <v/>
      </c>
      <c r="BK18" s="92" t="str">
        <f aca="false">IF(AND($Y18&lt;&gt;"",$Y18&gt;=BK$7,$Y18&lt;BK$7+7),"I","")&amp;IF(AND($Z18&lt;&gt;"",$Z18&gt;=BK$7,$Z18&lt;BK$7+7),"P","")&amp;IF(AND($AA18&lt;&gt;"",$AA18&gt;=BK$7,$AA18&lt;BK$7+7),"T","")&amp;IF(AND($AB18&lt;&gt;"",$AB18&gt;=BK$7,$AB18&lt;BK$7+7),"H","")&amp;IF(AND($AC18&lt;&gt;"",$AC18&gt;=BK$7,$AC18&lt;BK$7+7),"G","")&amp;IF(AND($AH18&lt;&gt;"",$AH18&gt;=BK$7,$AH18&lt;BK$7+7),"S","")</f>
        <v/>
      </c>
      <c r="BL18" s="92" t="str">
        <f aca="false">IF(AND($Y18&lt;&gt;"",$Y18&gt;=BL$7,$Y18&lt;BL$7+7),"I","")&amp;IF(AND($Z18&lt;&gt;"",$Z18&gt;=BL$7,$Z18&lt;BL$7+7),"P","")&amp;IF(AND($AA18&lt;&gt;"",$AA18&gt;=BL$7,$AA18&lt;BL$7+7),"T","")&amp;IF(AND($AB18&lt;&gt;"",$AB18&gt;=BL$7,$AB18&lt;BL$7+7),"H","")&amp;IF(AND($AC18&lt;&gt;"",$AC18&gt;=BL$7,$AC18&lt;BL$7+7),"G","")&amp;IF(AND($AH18&lt;&gt;"",$AH18&gt;=BL$7,$AH18&lt;BL$7+7),"S","")</f>
        <v>I</v>
      </c>
      <c r="BM18" s="92" t="str">
        <f aca="false">IF(AND($Y18&lt;&gt;"",$Y18&gt;=BM$7,$Y18&lt;BM$7+7),"I","")&amp;IF(AND($Z18&lt;&gt;"",$Z18&gt;=BM$7,$Z18&lt;BM$7+7),"P","")&amp;IF(AND($AA18&lt;&gt;"",$AA18&gt;=BM$7,$AA18&lt;BM$7+7),"T","")&amp;IF(AND($AB18&lt;&gt;"",$AB18&gt;=BM$7,$AB18&lt;BM$7+7),"H","")&amp;IF(AND($AC18&lt;&gt;"",$AC18&gt;=BM$7,$AC18&lt;BM$7+7),"G","")&amp;IF(AND($AH18&lt;&gt;"",$AH18&gt;=BM$7,$AH18&lt;BM$7+7),"S","")</f>
        <v>PTG</v>
      </c>
      <c r="BN18" s="92" t="str">
        <f aca="false">IF(AND($Y18&lt;&gt;"",$Y18&gt;=BN$7,$Y18&lt;BN$7+7),"I","")&amp;IF(AND($Z18&lt;&gt;"",$Z18&gt;=BN$7,$Z18&lt;BN$7+7),"P","")&amp;IF(AND($AA18&lt;&gt;"",$AA18&gt;=BN$7,$AA18&lt;BN$7+7),"T","")&amp;IF(AND($AB18&lt;&gt;"",$AB18&gt;=BN$7,$AB18&lt;BN$7+7),"H","")&amp;IF(AND($AC18&lt;&gt;"",$AC18&gt;=BN$7,$AC18&lt;BN$7+7),"G","")&amp;IF(AND($AH18&lt;&gt;"",$AH18&gt;=BN$7,$AH18&lt;BN$7+7),"S","")</f>
        <v>H</v>
      </c>
      <c r="BO18" s="92" t="str">
        <f aca="false">IF(AND($Y18&lt;&gt;"",$Y18&gt;=BO$7,$Y18&lt;BO$7+7),"I","")&amp;IF(AND($Z18&lt;&gt;"",$Z18&gt;=BO$7,$Z18&lt;BO$7+7),"P","")&amp;IF(AND($AA18&lt;&gt;"",$AA18&gt;=BO$7,$AA18&lt;BO$7+7),"T","")&amp;IF(AND($AB18&lt;&gt;"",$AB18&gt;=BO$7,$AB18&lt;BO$7+7),"H","")&amp;IF(AND($AC18&lt;&gt;"",$AC18&gt;=BO$7,$AC18&lt;BO$7+7),"G","")&amp;IF(AND($AH18&lt;&gt;"",$AH18&gt;=BO$7,$AH18&lt;BO$7+7),"S","")</f>
        <v/>
      </c>
      <c r="BP18" s="92" t="str">
        <f aca="false">IF(AND($Y18&lt;&gt;"",$Y18&gt;=BP$7,$Y18&lt;BP$7+7),"I","")&amp;IF(AND($Z18&lt;&gt;"",$Z18&gt;=BP$7,$Z18&lt;BP$7+7),"P","")&amp;IF(AND($AA18&lt;&gt;"",$AA18&gt;=BP$7,$AA18&lt;BP$7+7),"T","")&amp;IF(AND($AB18&lt;&gt;"",$AB18&gt;=BP$7,$AB18&lt;BP$7+7),"H","")&amp;IF(AND($AC18&lt;&gt;"",$AC18&gt;=BP$7,$AC18&lt;BP$7+7),"G","")&amp;IF(AND($AH18&lt;&gt;"",$AH18&gt;=BP$7,$AH18&lt;BP$7+7),"S","")</f>
        <v/>
      </c>
      <c r="BQ18" s="92" t="str">
        <f aca="false">IF(AND($Y18&lt;&gt;"",$Y18&gt;=BQ$7,$Y18&lt;BQ$7+7),"I","")&amp;IF(AND($Z18&lt;&gt;"",$Z18&gt;=BQ$7,$Z18&lt;BQ$7+7),"P","")&amp;IF(AND($AA18&lt;&gt;"",$AA18&gt;=BQ$7,$AA18&lt;BQ$7+7),"T","")&amp;IF(AND($AB18&lt;&gt;"",$AB18&gt;=BQ$7,$AB18&lt;BQ$7+7),"H","")&amp;IF(AND($AC18&lt;&gt;"",$AC18&gt;=BQ$7,$AC18&lt;BQ$7+7),"G","")&amp;IF(AND($AH18&lt;&gt;"",$AH18&gt;=BQ$7,$AH18&lt;BQ$7+7),"S","")</f>
        <v/>
      </c>
      <c r="BR18" s="92" t="str">
        <f aca="false">IF(AND($Y18&lt;&gt;"",$Y18&gt;=BR$7,$Y18&lt;BR$7+7),"I","")&amp;IF(AND($Z18&lt;&gt;"",$Z18&gt;=BR$7,$Z18&lt;BR$7+7),"P","")&amp;IF(AND($AA18&lt;&gt;"",$AA18&gt;=BR$7,$AA18&lt;BR$7+7),"T","")&amp;IF(AND($AB18&lt;&gt;"",$AB18&gt;=BR$7,$AB18&lt;BR$7+7),"H","")&amp;IF(AND($AC18&lt;&gt;"",$AC18&gt;=BR$7,$AC18&lt;BR$7+7),"G","")&amp;IF(AND($AH18&lt;&gt;"",$AH18&gt;=BR$7,$AH18&lt;BR$7+7),"S","")</f>
        <v/>
      </c>
      <c r="BS18" s="92" t="str">
        <f aca="false">IF(AND($Y18&lt;&gt;"",$Y18&gt;=BS$7,$Y18&lt;BS$7+7),"I","")&amp;IF(AND($Z18&lt;&gt;"",$Z18&gt;=BS$7,$Z18&lt;BS$7+7),"P","")&amp;IF(AND($AA18&lt;&gt;"",$AA18&gt;=BS$7,$AA18&lt;BS$7+7),"T","")&amp;IF(AND($AB18&lt;&gt;"",$AB18&gt;=BS$7,$AB18&lt;BS$7+7),"H","")&amp;IF(AND($AC18&lt;&gt;"",$AC18&gt;=BS$7,$AC18&lt;BS$7+7),"G","")&amp;IF(AND($AH18&lt;&gt;"",$AH18&gt;=BS$7,$AH18&lt;BS$7+7),"S","")</f>
        <v/>
      </c>
      <c r="BT18" s="92" t="str">
        <f aca="false">IF(AND($Y18&lt;&gt;"",$Y18&gt;=BT$7,$Y18&lt;BT$7+7),"I","")&amp;IF(AND($Z18&lt;&gt;"",$Z18&gt;=BT$7,$Z18&lt;BT$7+7),"P","")&amp;IF(AND($AA18&lt;&gt;"",$AA18&gt;=BT$7,$AA18&lt;BT$7+7),"T","")&amp;IF(AND($AB18&lt;&gt;"",$AB18&gt;=BT$7,$AB18&lt;BT$7+7),"H","")&amp;IF(AND($AC18&lt;&gt;"",$AC18&gt;=BT$7,$AC18&lt;BT$7+7),"G","")&amp;IF(AND($AH18&lt;&gt;"",$AH18&gt;=BT$7,$AH18&lt;BT$7+7),"S","")</f>
        <v/>
      </c>
      <c r="BU18" s="92" t="str">
        <f aca="false">IF(AND($Y18&lt;&gt;"",$Y18&gt;=BU$7,$Y18&lt;BU$7+7),"I","")&amp;IF(AND($Z18&lt;&gt;"",$Z18&gt;=BU$7,$Z18&lt;BU$7+7),"P","")&amp;IF(AND($AA18&lt;&gt;"",$AA18&gt;=BU$7,$AA18&lt;BU$7+7),"T","")&amp;IF(AND($AB18&lt;&gt;"",$AB18&gt;=BU$7,$AB18&lt;BU$7+7),"H","")&amp;IF(AND($AC18&lt;&gt;"",$AC18&gt;=BU$7,$AC18&lt;BU$7+7),"G","")&amp;IF(AND($AH18&lt;&gt;"",$AH18&gt;=BU$7,$AH18&lt;BU$7+7),"S","")</f>
        <v/>
      </c>
      <c r="BV18" s="92" t="str">
        <f aca="false">IF(AND($Y18&lt;&gt;"",$Y18&gt;=BV$7,$Y18&lt;BV$7+7),"I","")&amp;IF(AND($Z18&lt;&gt;"",$Z18&gt;=BV$7,$Z18&lt;BV$7+7),"P","")&amp;IF(AND($AA18&lt;&gt;"",$AA18&gt;=BV$7,$AA18&lt;BV$7+7),"T","")&amp;IF(AND($AB18&lt;&gt;"",$AB18&gt;=BV$7,$AB18&lt;BV$7+7),"H","")&amp;IF(AND($AC18&lt;&gt;"",$AC18&gt;=BV$7,$AC18&lt;BV$7+7),"G","")&amp;IF(AND($AH18&lt;&gt;"",$AH18&gt;=BV$7,$AH18&lt;BV$7+7),"S","")</f>
        <v/>
      </c>
      <c r="BW18" s="92" t="str">
        <f aca="false">IF(AND($Y18&lt;&gt;"",$Y18&gt;=BW$7,$Y18&lt;BW$7+7),"I","")&amp;IF(AND($Z18&lt;&gt;"",$Z18&gt;=BW$7,$Z18&lt;BW$7+7),"P","")&amp;IF(AND($AA18&lt;&gt;"",$AA18&gt;=BW$7,$AA18&lt;BW$7+7),"T","")&amp;IF(AND($AB18&lt;&gt;"",$AB18&gt;=BW$7,$AB18&lt;BW$7+7),"H","")&amp;IF(AND($AC18&lt;&gt;"",$AC18&gt;=BW$7,$AC18&lt;BW$7+7),"G","")&amp;IF(AND($AH18&lt;&gt;"",$AH18&gt;=BW$7,$AH18&lt;BW$7+7),"S","")</f>
        <v/>
      </c>
      <c r="BX18" s="92" t="str">
        <f aca="false">IF(AND($Y18&lt;&gt;"",$Y18&gt;=BX$7,$Y18&lt;BX$7+7),"I","")&amp;IF(AND($Z18&lt;&gt;"",$Z18&gt;=BX$7,$Z18&lt;BX$7+7),"P","")&amp;IF(AND($AA18&lt;&gt;"",$AA18&gt;=BX$7,$AA18&lt;BX$7+7),"T","")&amp;IF(AND($AB18&lt;&gt;"",$AB18&gt;=BX$7,$AB18&lt;BX$7+7),"H","")&amp;IF(AND($AC18&lt;&gt;"",$AC18&gt;=BX$7,$AC18&lt;BX$7+7),"G","")&amp;IF(AND($AH18&lt;&gt;"",$AH18&gt;=BX$7,$AH18&lt;BX$7+7),"S","")</f>
        <v>S</v>
      </c>
      <c r="BY18" s="92" t="str">
        <f aca="false">IF(AND($Y18&lt;&gt;"",$Y18&gt;=BY$7,$Y18&lt;BY$7+7),"I","")&amp;IF(AND($Z18&lt;&gt;"",$Z18&gt;=BY$7,$Z18&lt;BY$7+7),"P","")&amp;IF(AND($AA18&lt;&gt;"",$AA18&gt;=BY$7,$AA18&lt;BY$7+7),"T","")&amp;IF(AND($AB18&lt;&gt;"",$AB18&gt;=BY$7,$AB18&lt;BY$7+7),"H","")&amp;IF(AND($AC18&lt;&gt;"",$AC18&gt;=BY$7,$AC18&lt;BY$7+7),"G","")&amp;IF(AND($AH18&lt;&gt;"",$AH18&gt;=BY$7,$AH18&lt;BY$7+7),"S","")</f>
        <v/>
      </c>
      <c r="BZ18" s="92" t="str">
        <f aca="false">IF(AND($Y18&lt;&gt;"",$Y18&gt;=BZ$7,$Y18&lt;BZ$7+7),"I","")&amp;IF(AND($Z18&lt;&gt;"",$Z18&gt;=BZ$7,$Z18&lt;BZ$7+7),"P","")&amp;IF(AND($AA18&lt;&gt;"",$AA18&gt;=BZ$7,$AA18&lt;BZ$7+7),"T","")&amp;IF(AND($AB18&lt;&gt;"",$AB18&gt;=BZ$7,$AB18&lt;BZ$7+7),"H","")&amp;IF(AND($AC18&lt;&gt;"",$AC18&gt;=BZ$7,$AC18&lt;BZ$7+7),"G","")&amp;IF(AND($AH18&lt;&gt;"",$AH18&gt;=BZ$7,$AH18&lt;BZ$7+7),"S","")</f>
        <v/>
      </c>
      <c r="CA18" s="92" t="str">
        <f aca="false">IF(AND($Y18&lt;&gt;"",$Y18&gt;=CA$7,$Y18&lt;CA$7+7),"I","")&amp;IF(AND($Z18&lt;&gt;"",$Z18&gt;=CA$7,$Z18&lt;CA$7+7),"P","")&amp;IF(AND($AA18&lt;&gt;"",$AA18&gt;=CA$7,$AA18&lt;CA$7+7),"T","")&amp;IF(AND($AB18&lt;&gt;"",$AB18&gt;=CA$7,$AB18&lt;CA$7+7),"H","")&amp;IF(AND($AC18&lt;&gt;"",$AC18&gt;=CA$7,$AC18&lt;CA$7+7),"G","")&amp;IF(AND($AH18&lt;&gt;"",$AH18&gt;=CA$7,$AH18&lt;CA$7+7),"S","")</f>
        <v/>
      </c>
      <c r="CB18" s="92" t="str">
        <f aca="false">IF(AND($Y18&lt;&gt;"",$Y18&gt;=CB$7,$Y18&lt;CB$7+7),"I","")&amp;IF(AND($Z18&lt;&gt;"",$Z18&gt;=CB$7,$Z18&lt;CB$7+7),"P","")&amp;IF(AND($AA18&lt;&gt;"",$AA18&gt;=CB$7,$AA18&lt;CB$7+7),"T","")&amp;IF(AND($AB18&lt;&gt;"",$AB18&gt;=CB$7,$AB18&lt;CB$7+7),"H","")&amp;IF(AND($AC18&lt;&gt;"",$AC18&gt;=CB$7,$AC18&lt;CB$7+7),"G","")&amp;IF(AND($AH18&lt;&gt;"",$AH18&gt;=CB$7,$AH18&lt;CB$7+7),"S","")</f>
        <v/>
      </c>
      <c r="CC18" s="92" t="str">
        <f aca="false">IF(AND($Y18&lt;&gt;"",$Y18&gt;=CC$7,$Y18&lt;CC$7+7),"I","")&amp;IF(AND($Z18&lt;&gt;"",$Z18&gt;=CC$7,$Z18&lt;CC$7+7),"P","")&amp;IF(AND($AA18&lt;&gt;"",$AA18&gt;=CC$7,$AA18&lt;CC$7+7),"T","")&amp;IF(AND($AB18&lt;&gt;"",$AB18&gt;=CC$7,$AB18&lt;CC$7+7),"H","")&amp;IF(AND($AC18&lt;&gt;"",$AC18&gt;=CC$7,$AC18&lt;CC$7+7),"G","")&amp;IF(AND($AH18&lt;&gt;"",$AH18&gt;=CC$7,$AH18&lt;CC$7+7),"S","")</f>
        <v/>
      </c>
      <c r="CD18" s="92" t="str">
        <f aca="false">IF(AND($Y18&lt;&gt;"",$Y18&gt;=CD$7,$Y18&lt;CD$7+7),"I","")&amp;IF(AND($Z18&lt;&gt;"",$Z18&gt;=CD$7,$Z18&lt;CD$7+7),"P","")&amp;IF(AND($AA18&lt;&gt;"",$AA18&gt;=CD$7,$AA18&lt;CD$7+7),"T","")&amp;IF(AND($AB18&lt;&gt;"",$AB18&gt;=CD$7,$AB18&lt;CD$7+7),"H","")&amp;IF(AND($AC18&lt;&gt;"",$AC18&gt;=CD$7,$AC18&lt;CD$7+7),"G","")&amp;IF(AND($AH18&lt;&gt;"",$AH18&gt;=CD$7,$AH18&lt;CD$7+7),"S","")</f>
        <v/>
      </c>
      <c r="CE18" s="92" t="str">
        <f aca="false">IF(AND($Y18&lt;&gt;"",$Y18&gt;=CE$7,$Y18&lt;CE$7+7),"I","")&amp;IF(AND($Z18&lt;&gt;"",$Z18&gt;=CE$7,$Z18&lt;CE$7+7),"P","")&amp;IF(AND($AA18&lt;&gt;"",$AA18&gt;=CE$7,$AA18&lt;CE$7+7),"T","")&amp;IF(AND($AB18&lt;&gt;"",$AB18&gt;=CE$7,$AB18&lt;CE$7+7),"H","")&amp;IF(AND($AC18&lt;&gt;"",$AC18&gt;=CE$7,$AC18&lt;CE$7+7),"G","")&amp;IF(AND($AH18&lt;&gt;"",$AH18&gt;=CE$7,$AH18&lt;CE$7+7),"S","")</f>
        <v/>
      </c>
      <c r="CF18" s="92" t="str">
        <f aca="false">IF(AND($Y18&lt;&gt;"",$Y18&gt;=CF$7,$Y18&lt;CF$7+7),"I","")&amp;IF(AND($Z18&lt;&gt;"",$Z18&gt;=CF$7,$Z18&lt;CF$7+7),"P","")&amp;IF(AND($AA18&lt;&gt;"",$AA18&gt;=CF$7,$AA18&lt;CF$7+7),"T","")&amp;IF(AND($AB18&lt;&gt;"",$AB18&gt;=CF$7,$AB18&lt;CF$7+7),"H","")&amp;IF(AND($AC18&lt;&gt;"",$AC18&gt;=CF$7,$AC18&lt;CF$7+7),"G","")&amp;IF(AND($AH18&lt;&gt;"",$AH18&gt;=CF$7,$AH18&lt;CF$7+7),"S","")</f>
        <v/>
      </c>
      <c r="CG18" s="92" t="str">
        <f aca="false">IF(AND($Y18&lt;&gt;"",$Y18&gt;=CG$7,$Y18&lt;CG$7+7),"I","")&amp;IF(AND($Z18&lt;&gt;"",$Z18&gt;=CG$7,$Z18&lt;CG$7+7),"P","")&amp;IF(AND($AA18&lt;&gt;"",$AA18&gt;=CG$7,$AA18&lt;CG$7+7),"T","")&amp;IF(AND($AB18&lt;&gt;"",$AB18&gt;=CG$7,$AB18&lt;CG$7+7),"H","")&amp;IF(AND($AC18&lt;&gt;"",$AC18&gt;=CG$7,$AC18&lt;CG$7+7),"G","")&amp;IF(AND($AH18&lt;&gt;"",$AH18&gt;=CG$7,$AH18&lt;CG$7+7),"S","")</f>
        <v/>
      </c>
      <c r="CH18" s="92" t="str">
        <f aca="false">IF(AND($Y18&lt;&gt;"",$Y18&gt;=CH$7,$Y18&lt;CH$7+7),"I","")&amp;IF(AND($Z18&lt;&gt;"",$Z18&gt;=CH$7,$Z18&lt;CH$7+7),"P","")&amp;IF(AND($AA18&lt;&gt;"",$AA18&gt;=CH$7,$AA18&lt;CH$7+7),"T","")&amp;IF(AND($AB18&lt;&gt;"",$AB18&gt;=CH$7,$AB18&lt;CH$7+7),"H","")&amp;IF(AND($AC18&lt;&gt;"",$AC18&gt;=CH$7,$AC18&lt;CH$7+7),"G","")&amp;IF(AND($AH18&lt;&gt;"",$AH18&gt;=CH$7,$AH18&lt;CH$7+7),"S","")</f>
        <v/>
      </c>
      <c r="CI18" s="92" t="str">
        <f aca="false">IF(AND($Y18&lt;&gt;"",$Y18&gt;=CI$7,$Y18&lt;CI$7+7),"I","")&amp;IF(AND($Z18&lt;&gt;"",$Z18&gt;=CI$7,$Z18&lt;CI$7+7),"P","")&amp;IF(AND($AA18&lt;&gt;"",$AA18&gt;=CI$7,$AA18&lt;CI$7+7),"T","")&amp;IF(AND($AB18&lt;&gt;"",$AB18&gt;=CI$7,$AB18&lt;CI$7+7),"H","")&amp;IF(AND($AC18&lt;&gt;"",$AC18&gt;=CI$7,$AC18&lt;CI$7+7),"G","")&amp;IF(AND($AH18&lt;&gt;"",$AH18&gt;=CI$7,$AH18&lt;CI$7+7),"S","")</f>
        <v/>
      </c>
      <c r="CJ18" s="92" t="str">
        <f aca="false">IF(AND($Y18&lt;&gt;"",$Y18&gt;=CJ$7,$Y18&lt;CJ$7+7),"I","")&amp;IF(AND($Z18&lt;&gt;"",$Z18&gt;=CJ$7,$Z18&lt;CJ$7+7),"P","")&amp;IF(AND($AA18&lt;&gt;"",$AA18&gt;=CJ$7,$AA18&lt;CJ$7+7),"T","")&amp;IF(AND($AB18&lt;&gt;"",$AB18&gt;=CJ$7,$AB18&lt;CJ$7+7),"H","")&amp;IF(AND($AC18&lt;&gt;"",$AC18&gt;=CJ$7,$AC18&lt;CJ$7+7),"G","")&amp;IF(AND($AH18&lt;&gt;"",$AH18&gt;=CJ$7,$AH18&lt;CJ$7+7),"S","")</f>
        <v/>
      </c>
      <c r="CK18" s="92" t="str">
        <f aca="false">IF(AND($Y18&lt;&gt;"",$Y18&gt;=CK$7,$Y18&lt;CK$7+7),"I","")&amp;IF(AND($Z18&lt;&gt;"",$Z18&gt;=CK$7,$Z18&lt;CK$7+7),"P","")&amp;IF(AND($AA18&lt;&gt;"",$AA18&gt;=CK$7,$AA18&lt;CK$7+7),"T","")&amp;IF(AND($AB18&lt;&gt;"",$AB18&gt;=CK$7,$AB18&lt;CK$7+7),"H","")&amp;IF(AND($AC18&lt;&gt;"",$AC18&gt;=CK$7,$AC18&lt;CK$7+7),"G","")&amp;IF(AND($AH18&lt;&gt;"",$AH18&gt;=CK$7,$AH18&lt;CK$7+7),"S","")</f>
        <v/>
      </c>
      <c r="CL18" s="92" t="str">
        <f aca="false">IF(AND($Y18&lt;&gt;"",$Y18&gt;=CL$7,$Y18&lt;CL$7+7),"I","")&amp;IF(AND($Z18&lt;&gt;"",$Z18&gt;=CL$7,$Z18&lt;CL$7+7),"P","")&amp;IF(AND($AA18&lt;&gt;"",$AA18&gt;=CL$7,$AA18&lt;CL$7+7),"T","")&amp;IF(AND($AB18&lt;&gt;"",$AB18&gt;=CL$7,$AB18&lt;CL$7+7),"H","")&amp;IF(AND($AC18&lt;&gt;"",$AC18&gt;=CL$7,$AC18&lt;CL$7+7),"G","")&amp;IF(AND($AH18&lt;&gt;"",$AH18&gt;=CL$7,$AH18&lt;CL$7+7),"S","")</f>
        <v/>
      </c>
      <c r="CM18" s="92" t="str">
        <f aca="false">IF(AND($Y18&lt;&gt;"",$Y18&gt;=CM$7,$Y18&lt;CM$7+7),"I","")&amp;IF(AND($Z18&lt;&gt;"",$Z18&gt;=CM$7,$Z18&lt;CM$7+7),"P","")&amp;IF(AND($AA18&lt;&gt;"",$AA18&gt;=CM$7,$AA18&lt;CM$7+7),"T","")&amp;IF(AND($AB18&lt;&gt;"",$AB18&gt;=CM$7,$AB18&lt;CM$7+7),"H","")&amp;IF(AND($AC18&lt;&gt;"",$AC18&gt;=CM$7,$AC18&lt;CM$7+7),"G","")&amp;IF(AND($AH18&lt;&gt;"",$AH18&gt;=CM$7,$AH18&lt;CM$7+7),"S","")</f>
        <v/>
      </c>
      <c r="CN18" s="92" t="str">
        <f aca="false">IF(AND($Y18&lt;&gt;"",$Y18&gt;=CN$7,$Y18&lt;CN$7+7),"I","")&amp;IF(AND($Z18&lt;&gt;"",$Z18&gt;=CN$7,$Z18&lt;CN$7+7),"P","")&amp;IF(AND($AA18&lt;&gt;"",$AA18&gt;=CN$7,$AA18&lt;CN$7+7),"T","")&amp;IF(AND($AB18&lt;&gt;"",$AB18&gt;=CN$7,$AB18&lt;CN$7+7),"H","")&amp;IF(AND($AC18&lt;&gt;"",$AC18&gt;=CN$7,$AC18&lt;CN$7+7),"G","")&amp;IF(AND($AH18&lt;&gt;"",$AH18&gt;=CN$7,$AH18&lt;CN$7+7),"S","")</f>
        <v/>
      </c>
      <c r="CO18" s="92" t="str">
        <f aca="false">IF(AND($Y18&lt;&gt;"",$Y18&gt;=CO$7,$Y18&lt;CO$7+7),"I","")&amp;IF(AND($Z18&lt;&gt;"",$Z18&gt;=CO$7,$Z18&lt;CO$7+7),"P","")&amp;IF(AND($AA18&lt;&gt;"",$AA18&gt;=CO$7,$AA18&lt;CO$7+7),"T","")&amp;IF(AND($AB18&lt;&gt;"",$AB18&gt;=CO$7,$AB18&lt;CO$7+7),"H","")&amp;IF(AND($AC18&lt;&gt;"",$AC18&gt;=CO$7,$AC18&lt;CO$7+7),"G","")&amp;IF(AND($AH18&lt;&gt;"",$AH18&gt;=CO$7,$AH18&lt;CO$7+7),"S","")</f>
        <v/>
      </c>
      <c r="CP18" s="92" t="str">
        <f aca="false">IF(AND($Y18&lt;&gt;"",$Y18&gt;=CP$7,$Y18&lt;CP$7+7),"I","")&amp;IF(AND($Z18&lt;&gt;"",$Z18&gt;=CP$7,$Z18&lt;CP$7+7),"P","")&amp;IF(AND($AA18&lt;&gt;"",$AA18&gt;=CP$7,$AA18&lt;CP$7+7),"T","")&amp;IF(AND($AB18&lt;&gt;"",$AB18&gt;=CP$7,$AB18&lt;CP$7+7),"H","")&amp;IF(AND($AC18&lt;&gt;"",$AC18&gt;=CP$7,$AC18&lt;CP$7+7),"G","")&amp;IF(AND($AH18&lt;&gt;"",$AH18&gt;=CP$7,$AH18&lt;CP$7+7),"S","")</f>
        <v/>
      </c>
      <c r="CQ18" s="92" t="str">
        <f aca="false">IF(AND($Y18&lt;&gt;"",$Y18&gt;=CQ$7,$Y18&lt;CQ$7+7),"I","")&amp;IF(AND($Z18&lt;&gt;"",$Z18&gt;=CQ$7,$Z18&lt;CQ$7+7),"P","")&amp;IF(AND($AA18&lt;&gt;"",$AA18&gt;=CQ$7,$AA18&lt;CQ$7+7),"T","")&amp;IF(AND($AB18&lt;&gt;"",$AB18&gt;=CQ$7,$AB18&lt;CQ$7+7),"H","")&amp;IF(AND($AC18&lt;&gt;"",$AC18&gt;=CQ$7,$AC18&lt;CQ$7+7),"G","")&amp;IF(AND($AH18&lt;&gt;"",$AH18&gt;=CQ$7,$AH18&lt;CQ$7+7),"S","")</f>
        <v/>
      </c>
      <c r="CR18" s="92" t="str">
        <f aca="false">IF(AND($Y18&lt;&gt;"",$Y18&gt;=CR$7,$Y18&lt;CR$7+7),"I","")&amp;IF(AND($Z18&lt;&gt;"",$Z18&gt;=CR$7,$Z18&lt;CR$7+7),"P","")&amp;IF(AND($AA18&lt;&gt;"",$AA18&gt;=CR$7,$AA18&lt;CR$7+7),"T","")&amp;IF(AND($AB18&lt;&gt;"",$AB18&gt;=CR$7,$AB18&lt;CR$7+7),"H","")&amp;IF(AND($AC18&lt;&gt;"",$AC18&gt;=CR$7,$AC18&lt;CR$7+7),"G","")&amp;IF(AND($AH18&lt;&gt;"",$AH18&gt;=CR$7,$AH18&lt;CR$7+7),"S","")</f>
        <v/>
      </c>
      <c r="CS18" s="92" t="str">
        <f aca="false">IF(AND($Y18&lt;&gt;"",$Y18&gt;=CS$7,$Y18&lt;CS$7+7),"I","")&amp;IF(AND($Z18&lt;&gt;"",$Z18&gt;=CS$7,$Z18&lt;CS$7+7),"P","")&amp;IF(AND($AA18&lt;&gt;"",$AA18&gt;=CS$7,$AA18&lt;CS$7+7),"T","")&amp;IF(AND($AB18&lt;&gt;"",$AB18&gt;=CS$7,$AB18&lt;CS$7+7),"H","")&amp;IF(AND($AC18&lt;&gt;"",$AC18&gt;=CS$7,$AC18&lt;CS$7+7),"G","")&amp;IF(AND($AH18&lt;&gt;"",$AH18&gt;=CS$7,$AH18&lt;CS$7+7),"S","")</f>
        <v/>
      </c>
      <c r="CT18" s="92" t="str">
        <f aca="false">IF(AND($Y18&lt;&gt;"",$Y18&gt;=CT$7,$Y18&lt;CT$7+7),"I","")&amp;IF(AND($Z18&lt;&gt;"",$Z18&gt;=CT$7,$Z18&lt;CT$7+7),"P","")&amp;IF(AND($AA18&lt;&gt;"",$AA18&gt;=CT$7,$AA18&lt;CT$7+7),"T","")&amp;IF(AND($AB18&lt;&gt;"",$AB18&gt;=CT$7,$AB18&lt;CT$7+7),"H","")&amp;IF(AND($AC18&lt;&gt;"",$AC18&gt;=CT$7,$AC18&lt;CT$7+7),"G","")&amp;IF(AND($AH18&lt;&gt;"",$AH18&gt;=CT$7,$AH18&lt;CT$7+7),"S","")</f>
        <v/>
      </c>
      <c r="CU18" s="92" t="str">
        <f aca="false">IF(AND($Y18&lt;&gt;"",$Y18&gt;=CU$7,$Y18&lt;CU$7+7),"I","")&amp;IF(AND($Z18&lt;&gt;"",$Z18&gt;=CU$7,$Z18&lt;CU$7+7),"P","")&amp;IF(AND($AA18&lt;&gt;"",$AA18&gt;=CU$7,$AA18&lt;CU$7+7),"T","")&amp;IF(AND($AB18&lt;&gt;"",$AB18&gt;=CU$7,$AB18&lt;CU$7+7),"H","")&amp;IF(AND($AC18&lt;&gt;"",$AC18&gt;=CU$7,$AC18&lt;CU$7+7),"G","")&amp;IF(AND($AH18&lt;&gt;"",$AH18&gt;=CU$7,$AH18&lt;CU$7+7),"S","")</f>
        <v/>
      </c>
      <c r="CV18" s="92" t="str">
        <f aca="false">IF(AND($Y18&lt;&gt;"",$Y18&gt;=CV$7,$Y18&lt;CV$7+7),"I","")&amp;IF(AND($Z18&lt;&gt;"",$Z18&gt;=CV$7,$Z18&lt;CV$7+7),"P","")&amp;IF(AND($AA18&lt;&gt;"",$AA18&gt;=CV$7,$AA18&lt;CV$7+7),"T","")&amp;IF(AND($AB18&lt;&gt;"",$AB18&gt;=CV$7,$AB18&lt;CV$7+7),"H","")&amp;IF(AND($AC18&lt;&gt;"",$AC18&gt;=CV$7,$AC18&lt;CV$7+7),"G","")&amp;IF(AND($AH18&lt;&gt;"",$AH18&gt;=CV$7,$AH18&lt;CV$7+7),"S","")</f>
        <v/>
      </c>
      <c r="CW18" s="92" t="str">
        <f aca="false">IF(AND($Y18&lt;&gt;"",$Y18&gt;=CW$7,$Y18&lt;CW$7+7),"I","")&amp;IF(AND($Z18&lt;&gt;"",$Z18&gt;=CW$7,$Z18&lt;CW$7+7),"P","")&amp;IF(AND($AA18&lt;&gt;"",$AA18&gt;=CW$7,$AA18&lt;CW$7+7),"T","")&amp;IF(AND($AB18&lt;&gt;"",$AB18&gt;=CW$7,$AB18&lt;CW$7+7),"H","")&amp;IF(AND($AC18&lt;&gt;"",$AC18&gt;=CW$7,$AC18&lt;CW$7+7),"G","")&amp;IF(AND($AH18&lt;&gt;"",$AH18&gt;=CW$7,$AH18&lt;CW$7+7),"S","")</f>
        <v/>
      </c>
      <c r="CX18" s="92" t="str">
        <f aca="false">IF(AND($Y18&lt;&gt;"",$Y18&gt;=CX$7,$Y18&lt;CX$7+7),"I","")&amp;IF(AND($Z18&lt;&gt;"",$Z18&gt;=CX$7,$Z18&lt;CX$7+7),"P","")&amp;IF(AND($AA18&lt;&gt;"",$AA18&gt;=CX$7,$AA18&lt;CX$7+7),"T","")&amp;IF(AND($AB18&lt;&gt;"",$AB18&gt;=CX$7,$AB18&lt;CX$7+7),"H","")&amp;IF(AND($AC18&lt;&gt;"",$AC18&gt;=CX$7,$AC18&lt;CX$7+7),"G","")&amp;IF(AND($AH18&lt;&gt;"",$AH18&gt;=CX$7,$AH18&lt;CX$7+7),"S","")</f>
        <v/>
      </c>
      <c r="CY18" s="92" t="str">
        <f aca="false">IF(AND($Y18&lt;&gt;"",$Y18&gt;=CY$7,$Y18&lt;CY$7+7),"I","")&amp;IF(AND($Z18&lt;&gt;"",$Z18&gt;=CY$7,$Z18&lt;CY$7+7),"P","")&amp;IF(AND($AA18&lt;&gt;"",$AA18&gt;=CY$7,$AA18&lt;CY$7+7),"T","")&amp;IF(AND($AB18&lt;&gt;"",$AB18&gt;=CY$7,$AB18&lt;CY$7+7),"H","")&amp;IF(AND($AC18&lt;&gt;"",$AC18&gt;=CY$7,$AC18&lt;CY$7+7),"G","")&amp;IF(AND($AH18&lt;&gt;"",$AH18&gt;=CY$7,$AH18&lt;CY$7+7),"S","")</f>
        <v/>
      </c>
      <c r="CZ18" s="92" t="str">
        <f aca="false">IF(AND($Y18&lt;&gt;"",$Y18&gt;=CZ$7,$Y18&lt;CZ$7+7),"I","")&amp;IF(AND($Z18&lt;&gt;"",$Z18&gt;=CZ$7,$Z18&lt;CZ$7+7),"P","")&amp;IF(AND($AA18&lt;&gt;"",$AA18&gt;=CZ$7,$AA18&lt;CZ$7+7),"T","")&amp;IF(AND($AB18&lt;&gt;"",$AB18&gt;=CZ$7,$AB18&lt;CZ$7+7),"H","")&amp;IF(AND($AC18&lt;&gt;"",$AC18&gt;=CZ$7,$AC18&lt;CZ$7+7),"G","")&amp;IF(AND($AH18&lt;&gt;"",$AH18&gt;=CZ$7,$AH18&lt;CZ$7+7),"S","")</f>
        <v/>
      </c>
      <c r="DA18" s="92" t="str">
        <f aca="false">IF(AND($Y18&lt;&gt;"",$Y18&gt;=DA$7,$Y18&lt;DA$7+7),"I","")&amp;IF(AND($Z18&lt;&gt;"",$Z18&gt;=DA$7,$Z18&lt;DA$7+7),"P","")&amp;IF(AND($AA18&lt;&gt;"",$AA18&gt;=DA$7,$AA18&lt;DA$7+7),"T","")&amp;IF(AND($AB18&lt;&gt;"",$AB18&gt;=DA$7,$AB18&lt;DA$7+7),"H","")&amp;IF(AND($AC18&lt;&gt;"",$AC18&gt;=DA$7,$AC18&lt;DA$7+7),"G","")&amp;IF(AND($AH18&lt;&gt;"",$AH18&gt;=DA$7,$AH18&lt;DA$7+7),"S","")</f>
        <v/>
      </c>
      <c r="DB18" s="92" t="str">
        <f aca="false">IF(AND($Y18&lt;&gt;"",$Y18&gt;=DB$7,$Y18&lt;DB$7+7),"I","")&amp;IF(AND($Z18&lt;&gt;"",$Z18&gt;=DB$7,$Z18&lt;DB$7+7),"P","")&amp;IF(AND($AA18&lt;&gt;"",$AA18&gt;=DB$7,$AA18&lt;DB$7+7),"T","")&amp;IF(AND($AB18&lt;&gt;"",$AB18&gt;=DB$7,$AB18&lt;DB$7+7),"H","")&amp;IF(AND($AC18&lt;&gt;"",$AC18&gt;=DB$7,$AC18&lt;DB$7+7),"G","")&amp;IF(AND($AH18&lt;&gt;"",$AH18&gt;=DB$7,$AH18&lt;DB$7+7),"S","")</f>
        <v/>
      </c>
      <c r="DC18" s="92" t="str">
        <f aca="false">IF(AND($Y18&lt;&gt;"",$Y18&gt;=DC$7,$Y18&lt;DC$7+7),"I","")&amp;IF(AND($Z18&lt;&gt;"",$Z18&gt;=DC$7,$Z18&lt;DC$7+7),"P","")&amp;IF(AND($AA18&lt;&gt;"",$AA18&gt;=DC$7,$AA18&lt;DC$7+7),"T","")&amp;IF(AND($AB18&lt;&gt;"",$AB18&gt;=DC$7,$AB18&lt;DC$7+7),"H","")&amp;IF(AND($AC18&lt;&gt;"",$AC18&gt;=DC$7,$AC18&lt;DC$7+7),"G","")&amp;IF(AND($AH18&lt;&gt;"",$AH18&gt;=DC$7,$AH18&lt;DC$7+7),"S","")</f>
        <v/>
      </c>
    </row>
    <row r="19" customFormat="false" ht="15" hidden="false" customHeight="false" outlineLevel="0" collapsed="false">
      <c r="A19" s="47" t="s">
        <v>86</v>
      </c>
      <c r="B19" s="31" t="s">
        <v>87</v>
      </c>
      <c r="C19" s="36" t="s">
        <v>565</v>
      </c>
      <c r="D19" s="31" t="s">
        <v>566</v>
      </c>
      <c r="E19" s="31" t="s">
        <v>181</v>
      </c>
      <c r="F19" s="75" t="n">
        <v>280.44</v>
      </c>
      <c r="G19" s="31" t="s">
        <v>170</v>
      </c>
      <c r="H19" s="76" t="n">
        <f aca="false">PROJ_START+RD_SPAN</f>
        <v>46403</v>
      </c>
      <c r="I19" s="77" t="n">
        <f aca="false">H19+33</f>
        <v>46436</v>
      </c>
      <c r="J19" s="31" t="s">
        <v>89</v>
      </c>
      <c r="K19" s="36" t="s">
        <v>131</v>
      </c>
      <c r="L19" s="36" t="s">
        <v>88</v>
      </c>
      <c r="M19" s="36" t="s">
        <v>568</v>
      </c>
      <c r="N19" s="78" t="str">
        <f aca="false">IF(ISNUMBER(อัปเดตรายสัปดาห์!$AF19),อัปเดตรายสัปดาห์!$AF19,"")</f>
        <v/>
      </c>
      <c r="O19" s="78" t="str">
        <f aca="false">IF(ISNUMBER(อัปเดตรายสัปดาห์!$AH19),อัปเดตรายสัปดาห์!$AH19,"")</f>
        <v/>
      </c>
      <c r="P19" s="78" t="str">
        <f aca="false">IF(ISNUMBER(อัปเดตรายสัปดาห์!$AG19),อัปเดตรายสัปดาห์!$AG19,IF(AND(ISNUMBER(TCRoof!$AC$19),N(TCRoof!$AC$19)&lt;=ASOF),TCRoof!$AC$19,""))</f>
        <v/>
      </c>
      <c r="Q19" s="78" t="str">
        <f aca="false">IF(ISNUMBER(อัปเดตรายสัปดาห์!$AL19),อัปเดตรายสัปดาห์!$AL19,"")</f>
        <v/>
      </c>
      <c r="R19" s="78" t="str">
        <f aca="false">IF(ISNUMBER(อัปเดตรายสัปดาห์!$Q19),อัปเดตรายสัปดาห์!$Q19,"")</f>
        <v/>
      </c>
      <c r="S19" s="78" t="str">
        <f aca="false">IF(ISNUMBER(อัปเดตรายสัปดาห์!$R19),อัปเดตรายสัปดาห์!$R19,"")</f>
        <v/>
      </c>
      <c r="T19" s="78" t="str">
        <f aca="false">IF(ISNUMBER(อัปเดตรายสัปดาห์!$S19),อัปเดตรายสัปดาห์!$S19,IF(อัปเดตรายสัปดาห์!$S19="Y",ASOF,""))</f>
        <v/>
      </c>
      <c r="U19" s="78" t="str">
        <f aca="false">IF(ISNUMBER(อัปเดตรายสัปดาห์!$T19),อัปเดตรายสัปดาห์!$T19,IF(อัปเดตรายสัปดาห์!$T19="Y",ASOF,""))</f>
        <v/>
      </c>
      <c r="V19" s="78" t="str">
        <f aca="false">IF(ISNUMBER(อัปเดตรายสัปดาห์!$U19),อัปเดตรายสัปดาห์!$U19,IF(อัปเดตรายสัปดาห์!$U19="Y",ASOF,""))</f>
        <v/>
      </c>
      <c r="W19" s="78" t="str">
        <f aca="false">IF(ISNUMBER(อัปเดตรายสัปดาห์!$N19),อัปเดตรายสัปดาห์!$N19,"")</f>
        <v/>
      </c>
      <c r="X19" s="78" t="str">
        <f aca="false">IF(ISNUMBER(อัปเดตรายสัปดาห์!$V19),อัปเดตรายสัปดาห์!$V19,IF(AND(ISNUMBER(TCRoof!$AD$19),N(TCRoof!$AD$19)&lt;=ASOF),TCRoof!$AD$19,""))</f>
        <v/>
      </c>
      <c r="Y19" s="79" t="n">
        <f aca="false">IF(N19&lt;&gt;"",N19,WORKDAY((ASOF+LEAD_INST+7*INT((AT19-0.01)/MAX(1,AU19)))-1,1,HOLIDAYS))</f>
        <v>46349</v>
      </c>
      <c r="Z19" s="79" t="n">
        <f aca="false">IF(O19&lt;&gt;"",O19,WORKDAY((MAX(AV19+7*INT((AW19-1)/MAX(1,AX19)),AV19+7*INT((AY19-1)/MAX(1,AZ19))))-1,1,HOLIDAYS))</f>
        <v>46356</v>
      </c>
      <c r="AA19" s="79" t="n">
        <f aca="false">IF(P19&lt;&gt;"",P19,WORKDAY((BA19+7*INT((BB19-1)/MAX(1,BC19)))-1,1,HOLIDAYS))</f>
        <v>46359</v>
      </c>
      <c r="AB19" s="79" t="n">
        <f aca="false">IF(Q19&lt;&gt;"",Q19,WORKDAY((MAX(AA19+BD19,ASOF+1))-1,1,HOLIDAYS))</f>
        <v>46367</v>
      </c>
      <c r="AC19" s="79" t="n">
        <f aca="false">IF(R19&lt;&gt;"",R19,WORKDAY((MAX(Y19,ASOF)+LAG_GRID)-1,1,HOLIDAYS))</f>
        <v>46356</v>
      </c>
      <c r="AD19" s="79" t="n">
        <f aca="false">IF(T19&lt;&gt;"",T19,WORKDAY((MAX(WORKDAY(MAX(AC19,N(S19)),REVIEW_WD,HOLIDAYS),ASOF+1))-1,1,HOLIDAYS))</f>
        <v>46379</v>
      </c>
      <c r="AE19" s="79" t="n">
        <f aca="false">IF(U19&lt;&gt;"",U19,WORKDAY((MAX(AD19,ASOF)+FEE_DAYS)-1,1,HOLIDAYS))</f>
        <v>46386</v>
      </c>
      <c r="AF19" s="79" t="n">
        <f aca="false">IF(V19&lt;&gt;"",V19,WORKDAY((MAX(AA19,Z19,AE19,IF(AG19="",0,AG19+REVIEW_PK2),ASOF)+LAG_INSREQ)-1,1,HOLIDAYS))</f>
        <v>46391</v>
      </c>
      <c r="AG19" s="79" t="n">
        <f aca="false">IF(M19&lt;&gt;"Y","",IF(W19&lt;&gt;"",W19,WORKDAY((MAX(Y19,ASOF)+LAG_GRID)-1,1,HOLIDAYS)))</f>
        <v>46356</v>
      </c>
      <c r="AH19" s="80" t="n">
        <f aca="false">IF(X19&lt;&gt;"",X19,WORKDAY(AF19,INSPECT_WD,HOLIDAYS))</f>
        <v>46433</v>
      </c>
      <c r="AI19" s="81" t="n">
        <f aca="false">IF(H19="","",AB19-H19)</f>
        <v>-36</v>
      </c>
      <c r="AJ19" s="81" t="n">
        <f aca="false">IF(I19="","",AH19-I19)</f>
        <v>-3</v>
      </c>
      <c r="AK19" s="82" t="n">
        <f aca="false">IF(AND(ISNUMBER(N19),N(N19)&lt;=ASOF),1,0)+IF(AND(ISNUMBER(O19),N(O19)&lt;=ASOF),1,0)+IF(AND(ISNUMBER(P19),N(P19)&lt;=ASOF),1,0)+IF(AND(ISNUMBER(Q19),N(Q19)&lt;=ASOF),1,0)+IF(AND(ISNUMBER(R19),N(R19)&lt;=ASOF),1,0)+IF(AND(ISNUMBER(U19),N(U19)&lt;=ASOF),1,0)+IF(AND(ISNUMBER(X19),N(X19)&lt;=ASOF),1,0)+IF(AND(ISNUMBER(W19),N(W19)&lt;=ASOF),1,0)</f>
        <v>0</v>
      </c>
      <c r="AL19" s="83" t="n">
        <v>8</v>
      </c>
      <c r="AM19" s="84" t="n">
        <f aca="false">'P9-012'!$J$4</f>
        <v>0</v>
      </c>
      <c r="AN19" s="85" t="str">
        <f aca="false">TRIM(IF(AND(ISNUMBER(O19),NOT(ISNUMBER(N19))),"กฟภ.ตรวจก่อนติดตั้ง, ","")&amp;IF(AND(ISNUMBER(P19),NOT(ISNUMBER(N19))),"IEC ก่อนติดตั้ง, ","")&amp;IF(AND(ISNUMBER(Q19),NOT(ISNUMBER(N19))),"ส่งมอบก่อนติดตั้ง, ","")&amp;IF(AND(ISNUMBER(Q19),ISNUMBER(P19),N(Q19)&lt;N(P19)),"ส่งมอบก่อน IEC, ","")&amp;IF(AND(ISNUMBER(อัปเดตรายสัปดาห์!$AG19),ISNUMBER(TCRoof!$AC$19),ABS(N(อัปเดตรายสัปดาห์!$AG19)-N(TCRoof!$AC$19))&gt;3),"IEC Excel≠แอป, ","")&amp;IF(AND(ISNUMBER(อัปเดตรายสัปดาห์!$V19),ISNUMBER(TCRoof!$AD$19),ABS(N(อัปเดตรายสัปดาห์!$V19)-N(TCRoof!$AD$19))&gt;3),"COD Excel≠แอป, ","")&amp;IF(AND(ISNUMBER(อัปเดตรายสัปดาห์!$AF19),ISNUMBER(TCRoof!$AB$19),ABS(N(อัปเดตรายสัปดาห์!$AF19)-N(TCRoof!$AB$19))&gt;3),"ติดตั้ง Excel≠แอป, ","")&amp;IF(AND(ISNUMBER(N19),N(N19)&gt;ASOF,OR(WEEKDAY(N(N19),2)&gt;5,COUNTIF(HOLIDAYS,N(N19))&gt;0)),"นัดดับไฟตรงวันหยุด, ","")&amp;IF(AND(ISNUMBER(O19),N(O19)&gt;ASOF,OR(WEEKDAY(N(O19),2)&gt;5,COUNTIF(HOLIDAYS,N(O19))&gt;0)),"นัด กฟภ.ตรงวันหยุด, ","")&amp;IF(AND(ISNUMBER(P19),N(P19)&gt;ASOF,OR(WEEKDAY(N(P19),2)&gt;5,COUNTIF(HOLIDAYS,N(P19))&gt;0)),"นัด IECตรงวันหยุด, ","")&amp;IF(AND(ISNUMBER(X19),N(X19)&gt;ASOF,OR(WEEKDAY(N(X19),2)&gt;5,COUNTIF(HOLIDAYS,N(X19))&gt;0)),"นัด Syncตรงวันหยุด, ",""))</f>
        <v/>
      </c>
      <c r="AO19" s="86" t="n">
        <f aca="false">SUMIFS(CR_COD,CR_ST,A19,CR_STAT,"อนุมัติ")+SUMIFS(CR_COD,CR_ST,"ทั้งเฟส",CR_STAT,"อนุมัติ")+SUMIFS(CR_COD,CR_ST,"ผรม. "&amp;L19,CR_STAT,"อนุมัติ")+SUMIFS(CR_COD,CR_ST,"เขต "&amp;E19,CR_STAT,"อนุมัติ")</f>
        <v>0</v>
      </c>
      <c r="AP19" s="86" t="n">
        <f aca="false">IF(NOT(ISNUMBER(AJ19)),"",MAX(0,AJ19-AO19))</f>
        <v>0</v>
      </c>
      <c r="AQ19" s="86" t="n">
        <f aca="false">COUNTIF(RW_ST,A19)</f>
        <v>0</v>
      </c>
      <c r="AR19" s="87" t="str">
        <f aca="false">IF(ISNUMBER(TCRoof!$I$19),TCRoof!$I$19,"")</f>
        <v/>
      </c>
      <c r="AS19" s="88" t="str">
        <f aca="false">IF(ISNUMBER(TCRoof!$H$19),TCRoof!$H$19,"")</f>
        <v/>
      </c>
      <c r="AT19" s="89" t="n">
        <f aca="false">IF(N19&lt;&gt;"","",SUMIFS($F$8:$F$27,$L$8:$L$27,L19,$N$8:$N$27,"",$H$8:$H$27,"&lt;"&amp;H19)+SUMIFS($F$8:$F$27,$L$8:$L$27,L19,$N$8:$N$27,"",$H$8:$H$27,H19,$A$8:$A$27,"&lt;="&amp;A19)+SUMIFS($F$8:$F$27,$L$8:$L$27,L19,$N$8:$N$27,"&gt;"&amp;ASOF))</f>
        <v>280.44</v>
      </c>
      <c r="AU19" s="89" t="n">
        <f aca="false">IFERROR(VLOOKUP(L19,TEAM_TBL,2,0)*VLOOKUP(L19,TEAM_TBL,3,0),150)</f>
        <v>150</v>
      </c>
      <c r="AV19" s="90" t="n">
        <f aca="false">IF(O19&lt;&gt;"","",MAX(Y19+LAG_PEA,ASOF+LAG_PEA))</f>
        <v>46356</v>
      </c>
      <c r="AW19" s="89" t="n">
        <f aca="false">IF(O19&lt;&gt;"","",COUNTIFS($E$8:$E$27,E19,$AV$8:$AV$27,"&lt;"&amp;AV19)+COUNTIFS($E$8:$E$27,E19,$AV$8:$AV$27,AV19,$A$8:$A$27,"&lt;"&amp;A19)+COUNTIFS($E$8:$E$27,E19,$O$8:$O$27,"&gt;"&amp;ASOF)+1)</f>
        <v>1</v>
      </c>
      <c r="AX19" s="89" t="n">
        <f aca="false">IFERROR(VLOOKUP(E19,ZONE_TBL,2,0),CAP_PEA)</f>
        <v>3</v>
      </c>
      <c r="AY19" s="89" t="n">
        <f aca="false">IF(O19&lt;&gt;"","",COUNTIFS($J$8:$J$27,J19,$AV$8:$AV$27,"&lt;"&amp;AV19)+COUNTIFS($J$8:$J$27,J19,$AV$8:$AV$27,AV19,$A$8:$A$27,"&lt;"&amp;A19)+COUNTIFS($J$8:$J$27,J19,$O$8:$O$27,"&gt;"&amp;ASOF)+1)</f>
        <v>1</v>
      </c>
      <c r="AZ19" s="89" t="n">
        <f aca="false">IFERROR(VLOOKUP(J19,ENG_TBL,2,0),ENG_CAP)</f>
        <v>3</v>
      </c>
      <c r="BA19" s="90" t="n">
        <f aca="false">IF(P19&lt;&gt;"","",MAX(Z19+LAG_IEC,ASOF+1))</f>
        <v>46359</v>
      </c>
      <c r="BB19" s="89" t="n">
        <f aca="false">IF(P19&lt;&gt;"","",COUNTIFS($L$8:$L$27,L19,$BA$8:$BA$27,"&lt;"&amp;BA19)+COUNTIFS($L$8:$L$27,L19,$BA$8:$BA$27,BA19,$A$8:$A$27,"&lt;"&amp;A19)+COUNTIFS($L$8:$L$27,L19,$P$8:$P$27,"&gt;"&amp;ASOF)+1)</f>
        <v>1</v>
      </c>
      <c r="BC19" s="89" t="n">
        <f aca="false">IFERROR(VLOOKUP(L19,TEAM_TBL,4,0)*VLOOKUP(L19,TEAM_TBL,5,0),3)</f>
        <v>3</v>
      </c>
      <c r="BD19" s="91" t="n">
        <f aca="false">IFERROR(VLOOKUP(L19,TEAM_TBL,6,0),LAG_HO)</f>
        <v>7</v>
      </c>
      <c r="BE19" s="89" t="n">
        <f aca="false">IF(ISNUMBER(AW19),7*INT((AW19-1)/MAX(1,AX19)),"")</f>
        <v>0</v>
      </c>
      <c r="BF19" s="89" t="n">
        <f aca="false">IF(ISNUMBER(AY19),7*INT((AY19-1)/MAX(1,AZ19)),"")</f>
        <v>0</v>
      </c>
      <c r="BH19" s="92" t="str">
        <f aca="false">IF(AND($Y19&lt;&gt;"",$Y19&gt;=BH$7,$Y19&lt;BH$7+7),"I","")&amp;IF(AND($Z19&lt;&gt;"",$Z19&gt;=BH$7,$Z19&lt;BH$7+7),"P","")&amp;IF(AND($AA19&lt;&gt;"",$AA19&gt;=BH$7,$AA19&lt;BH$7+7),"T","")&amp;IF(AND($AB19&lt;&gt;"",$AB19&gt;=BH$7,$AB19&lt;BH$7+7),"H","")&amp;IF(AND($AC19&lt;&gt;"",$AC19&gt;=BH$7,$AC19&lt;BH$7+7),"G","")&amp;IF(AND($AH19&lt;&gt;"",$AH19&gt;=BH$7,$AH19&lt;BH$7+7),"S","")</f>
        <v/>
      </c>
      <c r="BI19" s="92" t="str">
        <f aca="false">IF(AND($Y19&lt;&gt;"",$Y19&gt;=BI$7,$Y19&lt;BI$7+7),"I","")&amp;IF(AND($Z19&lt;&gt;"",$Z19&gt;=BI$7,$Z19&lt;BI$7+7),"P","")&amp;IF(AND($AA19&lt;&gt;"",$AA19&gt;=BI$7,$AA19&lt;BI$7+7),"T","")&amp;IF(AND($AB19&lt;&gt;"",$AB19&gt;=BI$7,$AB19&lt;BI$7+7),"H","")&amp;IF(AND($AC19&lt;&gt;"",$AC19&gt;=BI$7,$AC19&lt;BI$7+7),"G","")&amp;IF(AND($AH19&lt;&gt;"",$AH19&gt;=BI$7,$AH19&lt;BI$7+7),"S","")</f>
        <v/>
      </c>
      <c r="BJ19" s="92" t="str">
        <f aca="false">IF(AND($Y19&lt;&gt;"",$Y19&gt;=BJ$7,$Y19&lt;BJ$7+7),"I","")&amp;IF(AND($Z19&lt;&gt;"",$Z19&gt;=BJ$7,$Z19&lt;BJ$7+7),"P","")&amp;IF(AND($AA19&lt;&gt;"",$AA19&gt;=BJ$7,$AA19&lt;BJ$7+7),"T","")&amp;IF(AND($AB19&lt;&gt;"",$AB19&gt;=BJ$7,$AB19&lt;BJ$7+7),"H","")&amp;IF(AND($AC19&lt;&gt;"",$AC19&gt;=BJ$7,$AC19&lt;BJ$7+7),"G","")&amp;IF(AND($AH19&lt;&gt;"",$AH19&gt;=BJ$7,$AH19&lt;BJ$7+7),"S","")</f>
        <v/>
      </c>
      <c r="BK19" s="92" t="str">
        <f aca="false">IF(AND($Y19&lt;&gt;"",$Y19&gt;=BK$7,$Y19&lt;BK$7+7),"I","")&amp;IF(AND($Z19&lt;&gt;"",$Z19&gt;=BK$7,$Z19&lt;BK$7+7),"P","")&amp;IF(AND($AA19&lt;&gt;"",$AA19&gt;=BK$7,$AA19&lt;BK$7+7),"T","")&amp;IF(AND($AB19&lt;&gt;"",$AB19&gt;=BK$7,$AB19&lt;BK$7+7),"H","")&amp;IF(AND($AC19&lt;&gt;"",$AC19&gt;=BK$7,$AC19&lt;BK$7+7),"G","")&amp;IF(AND($AH19&lt;&gt;"",$AH19&gt;=BK$7,$AH19&lt;BK$7+7),"S","")</f>
        <v/>
      </c>
      <c r="BL19" s="92" t="str">
        <f aca="false">IF(AND($Y19&lt;&gt;"",$Y19&gt;=BL$7,$Y19&lt;BL$7+7),"I","")&amp;IF(AND($Z19&lt;&gt;"",$Z19&gt;=BL$7,$Z19&lt;BL$7+7),"P","")&amp;IF(AND($AA19&lt;&gt;"",$AA19&gt;=BL$7,$AA19&lt;BL$7+7),"T","")&amp;IF(AND($AB19&lt;&gt;"",$AB19&gt;=BL$7,$AB19&lt;BL$7+7),"H","")&amp;IF(AND($AC19&lt;&gt;"",$AC19&gt;=BL$7,$AC19&lt;BL$7+7),"G","")&amp;IF(AND($AH19&lt;&gt;"",$AH19&gt;=BL$7,$AH19&lt;BL$7+7),"S","")</f>
        <v>I</v>
      </c>
      <c r="BM19" s="92" t="str">
        <f aca="false">IF(AND($Y19&lt;&gt;"",$Y19&gt;=BM$7,$Y19&lt;BM$7+7),"I","")&amp;IF(AND($Z19&lt;&gt;"",$Z19&gt;=BM$7,$Z19&lt;BM$7+7),"P","")&amp;IF(AND($AA19&lt;&gt;"",$AA19&gt;=BM$7,$AA19&lt;BM$7+7),"T","")&amp;IF(AND($AB19&lt;&gt;"",$AB19&gt;=BM$7,$AB19&lt;BM$7+7),"H","")&amp;IF(AND($AC19&lt;&gt;"",$AC19&gt;=BM$7,$AC19&lt;BM$7+7),"G","")&amp;IF(AND($AH19&lt;&gt;"",$AH19&gt;=BM$7,$AH19&lt;BM$7+7),"S","")</f>
        <v>PTG</v>
      </c>
      <c r="BN19" s="92" t="str">
        <f aca="false">IF(AND($Y19&lt;&gt;"",$Y19&gt;=BN$7,$Y19&lt;BN$7+7),"I","")&amp;IF(AND($Z19&lt;&gt;"",$Z19&gt;=BN$7,$Z19&lt;BN$7+7),"P","")&amp;IF(AND($AA19&lt;&gt;"",$AA19&gt;=BN$7,$AA19&lt;BN$7+7),"T","")&amp;IF(AND($AB19&lt;&gt;"",$AB19&gt;=BN$7,$AB19&lt;BN$7+7),"H","")&amp;IF(AND($AC19&lt;&gt;"",$AC19&gt;=BN$7,$AC19&lt;BN$7+7),"G","")&amp;IF(AND($AH19&lt;&gt;"",$AH19&gt;=BN$7,$AH19&lt;BN$7+7),"S","")</f>
        <v>H</v>
      </c>
      <c r="BO19" s="92" t="str">
        <f aca="false">IF(AND($Y19&lt;&gt;"",$Y19&gt;=BO$7,$Y19&lt;BO$7+7),"I","")&amp;IF(AND($Z19&lt;&gt;"",$Z19&gt;=BO$7,$Z19&lt;BO$7+7),"P","")&amp;IF(AND($AA19&lt;&gt;"",$AA19&gt;=BO$7,$AA19&lt;BO$7+7),"T","")&amp;IF(AND($AB19&lt;&gt;"",$AB19&gt;=BO$7,$AB19&lt;BO$7+7),"H","")&amp;IF(AND($AC19&lt;&gt;"",$AC19&gt;=BO$7,$AC19&lt;BO$7+7),"G","")&amp;IF(AND($AH19&lt;&gt;"",$AH19&gt;=BO$7,$AH19&lt;BO$7+7),"S","")</f>
        <v/>
      </c>
      <c r="BP19" s="92" t="str">
        <f aca="false">IF(AND($Y19&lt;&gt;"",$Y19&gt;=BP$7,$Y19&lt;BP$7+7),"I","")&amp;IF(AND($Z19&lt;&gt;"",$Z19&gt;=BP$7,$Z19&lt;BP$7+7),"P","")&amp;IF(AND($AA19&lt;&gt;"",$AA19&gt;=BP$7,$AA19&lt;BP$7+7),"T","")&amp;IF(AND($AB19&lt;&gt;"",$AB19&gt;=BP$7,$AB19&lt;BP$7+7),"H","")&amp;IF(AND($AC19&lt;&gt;"",$AC19&gt;=BP$7,$AC19&lt;BP$7+7),"G","")&amp;IF(AND($AH19&lt;&gt;"",$AH19&gt;=BP$7,$AH19&lt;BP$7+7),"S","")</f>
        <v/>
      </c>
      <c r="BQ19" s="92" t="str">
        <f aca="false">IF(AND($Y19&lt;&gt;"",$Y19&gt;=BQ$7,$Y19&lt;BQ$7+7),"I","")&amp;IF(AND($Z19&lt;&gt;"",$Z19&gt;=BQ$7,$Z19&lt;BQ$7+7),"P","")&amp;IF(AND($AA19&lt;&gt;"",$AA19&gt;=BQ$7,$AA19&lt;BQ$7+7),"T","")&amp;IF(AND($AB19&lt;&gt;"",$AB19&gt;=BQ$7,$AB19&lt;BQ$7+7),"H","")&amp;IF(AND($AC19&lt;&gt;"",$AC19&gt;=BQ$7,$AC19&lt;BQ$7+7),"G","")&amp;IF(AND($AH19&lt;&gt;"",$AH19&gt;=BQ$7,$AH19&lt;BQ$7+7),"S","")</f>
        <v/>
      </c>
      <c r="BR19" s="92" t="str">
        <f aca="false">IF(AND($Y19&lt;&gt;"",$Y19&gt;=BR$7,$Y19&lt;BR$7+7),"I","")&amp;IF(AND($Z19&lt;&gt;"",$Z19&gt;=BR$7,$Z19&lt;BR$7+7),"P","")&amp;IF(AND($AA19&lt;&gt;"",$AA19&gt;=BR$7,$AA19&lt;BR$7+7),"T","")&amp;IF(AND($AB19&lt;&gt;"",$AB19&gt;=BR$7,$AB19&lt;BR$7+7),"H","")&amp;IF(AND($AC19&lt;&gt;"",$AC19&gt;=BR$7,$AC19&lt;BR$7+7),"G","")&amp;IF(AND($AH19&lt;&gt;"",$AH19&gt;=BR$7,$AH19&lt;BR$7+7),"S","")</f>
        <v/>
      </c>
      <c r="BS19" s="92" t="str">
        <f aca="false">IF(AND($Y19&lt;&gt;"",$Y19&gt;=BS$7,$Y19&lt;BS$7+7),"I","")&amp;IF(AND($Z19&lt;&gt;"",$Z19&gt;=BS$7,$Z19&lt;BS$7+7),"P","")&amp;IF(AND($AA19&lt;&gt;"",$AA19&gt;=BS$7,$AA19&lt;BS$7+7),"T","")&amp;IF(AND($AB19&lt;&gt;"",$AB19&gt;=BS$7,$AB19&lt;BS$7+7),"H","")&amp;IF(AND($AC19&lt;&gt;"",$AC19&gt;=BS$7,$AC19&lt;BS$7+7),"G","")&amp;IF(AND($AH19&lt;&gt;"",$AH19&gt;=BS$7,$AH19&lt;BS$7+7),"S","")</f>
        <v/>
      </c>
      <c r="BT19" s="92" t="str">
        <f aca="false">IF(AND($Y19&lt;&gt;"",$Y19&gt;=BT$7,$Y19&lt;BT$7+7),"I","")&amp;IF(AND($Z19&lt;&gt;"",$Z19&gt;=BT$7,$Z19&lt;BT$7+7),"P","")&amp;IF(AND($AA19&lt;&gt;"",$AA19&gt;=BT$7,$AA19&lt;BT$7+7),"T","")&amp;IF(AND($AB19&lt;&gt;"",$AB19&gt;=BT$7,$AB19&lt;BT$7+7),"H","")&amp;IF(AND($AC19&lt;&gt;"",$AC19&gt;=BT$7,$AC19&lt;BT$7+7),"G","")&amp;IF(AND($AH19&lt;&gt;"",$AH19&gt;=BT$7,$AH19&lt;BT$7+7),"S","")</f>
        <v/>
      </c>
      <c r="BU19" s="92" t="str">
        <f aca="false">IF(AND($Y19&lt;&gt;"",$Y19&gt;=BU$7,$Y19&lt;BU$7+7),"I","")&amp;IF(AND($Z19&lt;&gt;"",$Z19&gt;=BU$7,$Z19&lt;BU$7+7),"P","")&amp;IF(AND($AA19&lt;&gt;"",$AA19&gt;=BU$7,$AA19&lt;BU$7+7),"T","")&amp;IF(AND($AB19&lt;&gt;"",$AB19&gt;=BU$7,$AB19&lt;BU$7+7),"H","")&amp;IF(AND($AC19&lt;&gt;"",$AC19&gt;=BU$7,$AC19&lt;BU$7+7),"G","")&amp;IF(AND($AH19&lt;&gt;"",$AH19&gt;=BU$7,$AH19&lt;BU$7+7),"S","")</f>
        <v/>
      </c>
      <c r="BV19" s="92" t="str">
        <f aca="false">IF(AND($Y19&lt;&gt;"",$Y19&gt;=BV$7,$Y19&lt;BV$7+7),"I","")&amp;IF(AND($Z19&lt;&gt;"",$Z19&gt;=BV$7,$Z19&lt;BV$7+7),"P","")&amp;IF(AND($AA19&lt;&gt;"",$AA19&gt;=BV$7,$AA19&lt;BV$7+7),"T","")&amp;IF(AND($AB19&lt;&gt;"",$AB19&gt;=BV$7,$AB19&lt;BV$7+7),"H","")&amp;IF(AND($AC19&lt;&gt;"",$AC19&gt;=BV$7,$AC19&lt;BV$7+7),"G","")&amp;IF(AND($AH19&lt;&gt;"",$AH19&gt;=BV$7,$AH19&lt;BV$7+7),"S","")</f>
        <v/>
      </c>
      <c r="BW19" s="92" t="str">
        <f aca="false">IF(AND($Y19&lt;&gt;"",$Y19&gt;=BW$7,$Y19&lt;BW$7+7),"I","")&amp;IF(AND($Z19&lt;&gt;"",$Z19&gt;=BW$7,$Z19&lt;BW$7+7),"P","")&amp;IF(AND($AA19&lt;&gt;"",$AA19&gt;=BW$7,$AA19&lt;BW$7+7),"T","")&amp;IF(AND($AB19&lt;&gt;"",$AB19&gt;=BW$7,$AB19&lt;BW$7+7),"H","")&amp;IF(AND($AC19&lt;&gt;"",$AC19&gt;=BW$7,$AC19&lt;BW$7+7),"G","")&amp;IF(AND($AH19&lt;&gt;"",$AH19&gt;=BW$7,$AH19&lt;BW$7+7),"S","")</f>
        <v/>
      </c>
      <c r="BX19" s="92" t="str">
        <f aca="false">IF(AND($Y19&lt;&gt;"",$Y19&gt;=BX$7,$Y19&lt;BX$7+7),"I","")&amp;IF(AND($Z19&lt;&gt;"",$Z19&gt;=BX$7,$Z19&lt;BX$7+7),"P","")&amp;IF(AND($AA19&lt;&gt;"",$AA19&gt;=BX$7,$AA19&lt;BX$7+7),"T","")&amp;IF(AND($AB19&lt;&gt;"",$AB19&gt;=BX$7,$AB19&lt;BX$7+7),"H","")&amp;IF(AND($AC19&lt;&gt;"",$AC19&gt;=BX$7,$AC19&lt;BX$7+7),"G","")&amp;IF(AND($AH19&lt;&gt;"",$AH19&gt;=BX$7,$AH19&lt;BX$7+7),"S","")</f>
        <v>S</v>
      </c>
      <c r="BY19" s="92" t="str">
        <f aca="false">IF(AND($Y19&lt;&gt;"",$Y19&gt;=BY$7,$Y19&lt;BY$7+7),"I","")&amp;IF(AND($Z19&lt;&gt;"",$Z19&gt;=BY$7,$Z19&lt;BY$7+7),"P","")&amp;IF(AND($AA19&lt;&gt;"",$AA19&gt;=BY$7,$AA19&lt;BY$7+7),"T","")&amp;IF(AND($AB19&lt;&gt;"",$AB19&gt;=BY$7,$AB19&lt;BY$7+7),"H","")&amp;IF(AND($AC19&lt;&gt;"",$AC19&gt;=BY$7,$AC19&lt;BY$7+7),"G","")&amp;IF(AND($AH19&lt;&gt;"",$AH19&gt;=BY$7,$AH19&lt;BY$7+7),"S","")</f>
        <v/>
      </c>
      <c r="BZ19" s="92" t="str">
        <f aca="false">IF(AND($Y19&lt;&gt;"",$Y19&gt;=BZ$7,$Y19&lt;BZ$7+7),"I","")&amp;IF(AND($Z19&lt;&gt;"",$Z19&gt;=BZ$7,$Z19&lt;BZ$7+7),"P","")&amp;IF(AND($AA19&lt;&gt;"",$AA19&gt;=BZ$7,$AA19&lt;BZ$7+7),"T","")&amp;IF(AND($AB19&lt;&gt;"",$AB19&gt;=BZ$7,$AB19&lt;BZ$7+7),"H","")&amp;IF(AND($AC19&lt;&gt;"",$AC19&gt;=BZ$7,$AC19&lt;BZ$7+7),"G","")&amp;IF(AND($AH19&lt;&gt;"",$AH19&gt;=BZ$7,$AH19&lt;BZ$7+7),"S","")</f>
        <v/>
      </c>
      <c r="CA19" s="92" t="str">
        <f aca="false">IF(AND($Y19&lt;&gt;"",$Y19&gt;=CA$7,$Y19&lt;CA$7+7),"I","")&amp;IF(AND($Z19&lt;&gt;"",$Z19&gt;=CA$7,$Z19&lt;CA$7+7),"P","")&amp;IF(AND($AA19&lt;&gt;"",$AA19&gt;=CA$7,$AA19&lt;CA$7+7),"T","")&amp;IF(AND($AB19&lt;&gt;"",$AB19&gt;=CA$7,$AB19&lt;CA$7+7),"H","")&amp;IF(AND($AC19&lt;&gt;"",$AC19&gt;=CA$7,$AC19&lt;CA$7+7),"G","")&amp;IF(AND($AH19&lt;&gt;"",$AH19&gt;=CA$7,$AH19&lt;CA$7+7),"S","")</f>
        <v/>
      </c>
      <c r="CB19" s="92" t="str">
        <f aca="false">IF(AND($Y19&lt;&gt;"",$Y19&gt;=CB$7,$Y19&lt;CB$7+7),"I","")&amp;IF(AND($Z19&lt;&gt;"",$Z19&gt;=CB$7,$Z19&lt;CB$7+7),"P","")&amp;IF(AND($AA19&lt;&gt;"",$AA19&gt;=CB$7,$AA19&lt;CB$7+7),"T","")&amp;IF(AND($AB19&lt;&gt;"",$AB19&gt;=CB$7,$AB19&lt;CB$7+7),"H","")&amp;IF(AND($AC19&lt;&gt;"",$AC19&gt;=CB$7,$AC19&lt;CB$7+7),"G","")&amp;IF(AND($AH19&lt;&gt;"",$AH19&gt;=CB$7,$AH19&lt;CB$7+7),"S","")</f>
        <v/>
      </c>
      <c r="CC19" s="92" t="str">
        <f aca="false">IF(AND($Y19&lt;&gt;"",$Y19&gt;=CC$7,$Y19&lt;CC$7+7),"I","")&amp;IF(AND($Z19&lt;&gt;"",$Z19&gt;=CC$7,$Z19&lt;CC$7+7),"P","")&amp;IF(AND($AA19&lt;&gt;"",$AA19&gt;=CC$7,$AA19&lt;CC$7+7),"T","")&amp;IF(AND($AB19&lt;&gt;"",$AB19&gt;=CC$7,$AB19&lt;CC$7+7),"H","")&amp;IF(AND($AC19&lt;&gt;"",$AC19&gt;=CC$7,$AC19&lt;CC$7+7),"G","")&amp;IF(AND($AH19&lt;&gt;"",$AH19&gt;=CC$7,$AH19&lt;CC$7+7),"S","")</f>
        <v/>
      </c>
      <c r="CD19" s="92" t="str">
        <f aca="false">IF(AND($Y19&lt;&gt;"",$Y19&gt;=CD$7,$Y19&lt;CD$7+7),"I","")&amp;IF(AND($Z19&lt;&gt;"",$Z19&gt;=CD$7,$Z19&lt;CD$7+7),"P","")&amp;IF(AND($AA19&lt;&gt;"",$AA19&gt;=CD$7,$AA19&lt;CD$7+7),"T","")&amp;IF(AND($AB19&lt;&gt;"",$AB19&gt;=CD$7,$AB19&lt;CD$7+7),"H","")&amp;IF(AND($AC19&lt;&gt;"",$AC19&gt;=CD$7,$AC19&lt;CD$7+7),"G","")&amp;IF(AND($AH19&lt;&gt;"",$AH19&gt;=CD$7,$AH19&lt;CD$7+7),"S","")</f>
        <v/>
      </c>
      <c r="CE19" s="92" t="str">
        <f aca="false">IF(AND($Y19&lt;&gt;"",$Y19&gt;=CE$7,$Y19&lt;CE$7+7),"I","")&amp;IF(AND($Z19&lt;&gt;"",$Z19&gt;=CE$7,$Z19&lt;CE$7+7),"P","")&amp;IF(AND($AA19&lt;&gt;"",$AA19&gt;=CE$7,$AA19&lt;CE$7+7),"T","")&amp;IF(AND($AB19&lt;&gt;"",$AB19&gt;=CE$7,$AB19&lt;CE$7+7),"H","")&amp;IF(AND($AC19&lt;&gt;"",$AC19&gt;=CE$7,$AC19&lt;CE$7+7),"G","")&amp;IF(AND($AH19&lt;&gt;"",$AH19&gt;=CE$7,$AH19&lt;CE$7+7),"S","")</f>
        <v/>
      </c>
      <c r="CF19" s="92" t="str">
        <f aca="false">IF(AND($Y19&lt;&gt;"",$Y19&gt;=CF$7,$Y19&lt;CF$7+7),"I","")&amp;IF(AND($Z19&lt;&gt;"",$Z19&gt;=CF$7,$Z19&lt;CF$7+7),"P","")&amp;IF(AND($AA19&lt;&gt;"",$AA19&gt;=CF$7,$AA19&lt;CF$7+7),"T","")&amp;IF(AND($AB19&lt;&gt;"",$AB19&gt;=CF$7,$AB19&lt;CF$7+7),"H","")&amp;IF(AND($AC19&lt;&gt;"",$AC19&gt;=CF$7,$AC19&lt;CF$7+7),"G","")&amp;IF(AND($AH19&lt;&gt;"",$AH19&gt;=CF$7,$AH19&lt;CF$7+7),"S","")</f>
        <v/>
      </c>
      <c r="CG19" s="92" t="str">
        <f aca="false">IF(AND($Y19&lt;&gt;"",$Y19&gt;=CG$7,$Y19&lt;CG$7+7),"I","")&amp;IF(AND($Z19&lt;&gt;"",$Z19&gt;=CG$7,$Z19&lt;CG$7+7),"P","")&amp;IF(AND($AA19&lt;&gt;"",$AA19&gt;=CG$7,$AA19&lt;CG$7+7),"T","")&amp;IF(AND($AB19&lt;&gt;"",$AB19&gt;=CG$7,$AB19&lt;CG$7+7),"H","")&amp;IF(AND($AC19&lt;&gt;"",$AC19&gt;=CG$7,$AC19&lt;CG$7+7),"G","")&amp;IF(AND($AH19&lt;&gt;"",$AH19&gt;=CG$7,$AH19&lt;CG$7+7),"S","")</f>
        <v/>
      </c>
      <c r="CH19" s="92" t="str">
        <f aca="false">IF(AND($Y19&lt;&gt;"",$Y19&gt;=CH$7,$Y19&lt;CH$7+7),"I","")&amp;IF(AND($Z19&lt;&gt;"",$Z19&gt;=CH$7,$Z19&lt;CH$7+7),"P","")&amp;IF(AND($AA19&lt;&gt;"",$AA19&gt;=CH$7,$AA19&lt;CH$7+7),"T","")&amp;IF(AND($AB19&lt;&gt;"",$AB19&gt;=CH$7,$AB19&lt;CH$7+7),"H","")&amp;IF(AND($AC19&lt;&gt;"",$AC19&gt;=CH$7,$AC19&lt;CH$7+7),"G","")&amp;IF(AND($AH19&lt;&gt;"",$AH19&gt;=CH$7,$AH19&lt;CH$7+7),"S","")</f>
        <v/>
      </c>
      <c r="CI19" s="92" t="str">
        <f aca="false">IF(AND($Y19&lt;&gt;"",$Y19&gt;=CI$7,$Y19&lt;CI$7+7),"I","")&amp;IF(AND($Z19&lt;&gt;"",$Z19&gt;=CI$7,$Z19&lt;CI$7+7),"P","")&amp;IF(AND($AA19&lt;&gt;"",$AA19&gt;=CI$7,$AA19&lt;CI$7+7),"T","")&amp;IF(AND($AB19&lt;&gt;"",$AB19&gt;=CI$7,$AB19&lt;CI$7+7),"H","")&amp;IF(AND($AC19&lt;&gt;"",$AC19&gt;=CI$7,$AC19&lt;CI$7+7),"G","")&amp;IF(AND($AH19&lt;&gt;"",$AH19&gt;=CI$7,$AH19&lt;CI$7+7),"S","")</f>
        <v/>
      </c>
      <c r="CJ19" s="92" t="str">
        <f aca="false">IF(AND($Y19&lt;&gt;"",$Y19&gt;=CJ$7,$Y19&lt;CJ$7+7),"I","")&amp;IF(AND($Z19&lt;&gt;"",$Z19&gt;=CJ$7,$Z19&lt;CJ$7+7),"P","")&amp;IF(AND($AA19&lt;&gt;"",$AA19&gt;=CJ$7,$AA19&lt;CJ$7+7),"T","")&amp;IF(AND($AB19&lt;&gt;"",$AB19&gt;=CJ$7,$AB19&lt;CJ$7+7),"H","")&amp;IF(AND($AC19&lt;&gt;"",$AC19&gt;=CJ$7,$AC19&lt;CJ$7+7),"G","")&amp;IF(AND($AH19&lt;&gt;"",$AH19&gt;=CJ$7,$AH19&lt;CJ$7+7),"S","")</f>
        <v/>
      </c>
      <c r="CK19" s="92" t="str">
        <f aca="false">IF(AND($Y19&lt;&gt;"",$Y19&gt;=CK$7,$Y19&lt;CK$7+7),"I","")&amp;IF(AND($Z19&lt;&gt;"",$Z19&gt;=CK$7,$Z19&lt;CK$7+7),"P","")&amp;IF(AND($AA19&lt;&gt;"",$AA19&gt;=CK$7,$AA19&lt;CK$7+7),"T","")&amp;IF(AND($AB19&lt;&gt;"",$AB19&gt;=CK$7,$AB19&lt;CK$7+7),"H","")&amp;IF(AND($AC19&lt;&gt;"",$AC19&gt;=CK$7,$AC19&lt;CK$7+7),"G","")&amp;IF(AND($AH19&lt;&gt;"",$AH19&gt;=CK$7,$AH19&lt;CK$7+7),"S","")</f>
        <v/>
      </c>
      <c r="CL19" s="92" t="str">
        <f aca="false">IF(AND($Y19&lt;&gt;"",$Y19&gt;=CL$7,$Y19&lt;CL$7+7),"I","")&amp;IF(AND($Z19&lt;&gt;"",$Z19&gt;=CL$7,$Z19&lt;CL$7+7),"P","")&amp;IF(AND($AA19&lt;&gt;"",$AA19&gt;=CL$7,$AA19&lt;CL$7+7),"T","")&amp;IF(AND($AB19&lt;&gt;"",$AB19&gt;=CL$7,$AB19&lt;CL$7+7),"H","")&amp;IF(AND($AC19&lt;&gt;"",$AC19&gt;=CL$7,$AC19&lt;CL$7+7),"G","")&amp;IF(AND($AH19&lt;&gt;"",$AH19&gt;=CL$7,$AH19&lt;CL$7+7),"S","")</f>
        <v/>
      </c>
      <c r="CM19" s="92" t="str">
        <f aca="false">IF(AND($Y19&lt;&gt;"",$Y19&gt;=CM$7,$Y19&lt;CM$7+7),"I","")&amp;IF(AND($Z19&lt;&gt;"",$Z19&gt;=CM$7,$Z19&lt;CM$7+7),"P","")&amp;IF(AND($AA19&lt;&gt;"",$AA19&gt;=CM$7,$AA19&lt;CM$7+7),"T","")&amp;IF(AND($AB19&lt;&gt;"",$AB19&gt;=CM$7,$AB19&lt;CM$7+7),"H","")&amp;IF(AND($AC19&lt;&gt;"",$AC19&gt;=CM$7,$AC19&lt;CM$7+7),"G","")&amp;IF(AND($AH19&lt;&gt;"",$AH19&gt;=CM$7,$AH19&lt;CM$7+7),"S","")</f>
        <v/>
      </c>
      <c r="CN19" s="92" t="str">
        <f aca="false">IF(AND($Y19&lt;&gt;"",$Y19&gt;=CN$7,$Y19&lt;CN$7+7),"I","")&amp;IF(AND($Z19&lt;&gt;"",$Z19&gt;=CN$7,$Z19&lt;CN$7+7),"P","")&amp;IF(AND($AA19&lt;&gt;"",$AA19&gt;=CN$7,$AA19&lt;CN$7+7),"T","")&amp;IF(AND($AB19&lt;&gt;"",$AB19&gt;=CN$7,$AB19&lt;CN$7+7),"H","")&amp;IF(AND($AC19&lt;&gt;"",$AC19&gt;=CN$7,$AC19&lt;CN$7+7),"G","")&amp;IF(AND($AH19&lt;&gt;"",$AH19&gt;=CN$7,$AH19&lt;CN$7+7),"S","")</f>
        <v/>
      </c>
      <c r="CO19" s="92" t="str">
        <f aca="false">IF(AND($Y19&lt;&gt;"",$Y19&gt;=CO$7,$Y19&lt;CO$7+7),"I","")&amp;IF(AND($Z19&lt;&gt;"",$Z19&gt;=CO$7,$Z19&lt;CO$7+7),"P","")&amp;IF(AND($AA19&lt;&gt;"",$AA19&gt;=CO$7,$AA19&lt;CO$7+7),"T","")&amp;IF(AND($AB19&lt;&gt;"",$AB19&gt;=CO$7,$AB19&lt;CO$7+7),"H","")&amp;IF(AND($AC19&lt;&gt;"",$AC19&gt;=CO$7,$AC19&lt;CO$7+7),"G","")&amp;IF(AND($AH19&lt;&gt;"",$AH19&gt;=CO$7,$AH19&lt;CO$7+7),"S","")</f>
        <v/>
      </c>
      <c r="CP19" s="92" t="str">
        <f aca="false">IF(AND($Y19&lt;&gt;"",$Y19&gt;=CP$7,$Y19&lt;CP$7+7),"I","")&amp;IF(AND($Z19&lt;&gt;"",$Z19&gt;=CP$7,$Z19&lt;CP$7+7),"P","")&amp;IF(AND($AA19&lt;&gt;"",$AA19&gt;=CP$7,$AA19&lt;CP$7+7),"T","")&amp;IF(AND($AB19&lt;&gt;"",$AB19&gt;=CP$7,$AB19&lt;CP$7+7),"H","")&amp;IF(AND($AC19&lt;&gt;"",$AC19&gt;=CP$7,$AC19&lt;CP$7+7),"G","")&amp;IF(AND($AH19&lt;&gt;"",$AH19&gt;=CP$7,$AH19&lt;CP$7+7),"S","")</f>
        <v/>
      </c>
      <c r="CQ19" s="92" t="str">
        <f aca="false">IF(AND($Y19&lt;&gt;"",$Y19&gt;=CQ$7,$Y19&lt;CQ$7+7),"I","")&amp;IF(AND($Z19&lt;&gt;"",$Z19&gt;=CQ$7,$Z19&lt;CQ$7+7),"P","")&amp;IF(AND($AA19&lt;&gt;"",$AA19&gt;=CQ$7,$AA19&lt;CQ$7+7),"T","")&amp;IF(AND($AB19&lt;&gt;"",$AB19&gt;=CQ$7,$AB19&lt;CQ$7+7),"H","")&amp;IF(AND($AC19&lt;&gt;"",$AC19&gt;=CQ$7,$AC19&lt;CQ$7+7),"G","")&amp;IF(AND($AH19&lt;&gt;"",$AH19&gt;=CQ$7,$AH19&lt;CQ$7+7),"S","")</f>
        <v/>
      </c>
      <c r="CR19" s="92" t="str">
        <f aca="false">IF(AND($Y19&lt;&gt;"",$Y19&gt;=CR$7,$Y19&lt;CR$7+7),"I","")&amp;IF(AND($Z19&lt;&gt;"",$Z19&gt;=CR$7,$Z19&lt;CR$7+7),"P","")&amp;IF(AND($AA19&lt;&gt;"",$AA19&gt;=CR$7,$AA19&lt;CR$7+7),"T","")&amp;IF(AND($AB19&lt;&gt;"",$AB19&gt;=CR$7,$AB19&lt;CR$7+7),"H","")&amp;IF(AND($AC19&lt;&gt;"",$AC19&gt;=CR$7,$AC19&lt;CR$7+7),"G","")&amp;IF(AND($AH19&lt;&gt;"",$AH19&gt;=CR$7,$AH19&lt;CR$7+7),"S","")</f>
        <v/>
      </c>
      <c r="CS19" s="92" t="str">
        <f aca="false">IF(AND($Y19&lt;&gt;"",$Y19&gt;=CS$7,$Y19&lt;CS$7+7),"I","")&amp;IF(AND($Z19&lt;&gt;"",$Z19&gt;=CS$7,$Z19&lt;CS$7+7),"P","")&amp;IF(AND($AA19&lt;&gt;"",$AA19&gt;=CS$7,$AA19&lt;CS$7+7),"T","")&amp;IF(AND($AB19&lt;&gt;"",$AB19&gt;=CS$7,$AB19&lt;CS$7+7),"H","")&amp;IF(AND($AC19&lt;&gt;"",$AC19&gt;=CS$7,$AC19&lt;CS$7+7),"G","")&amp;IF(AND($AH19&lt;&gt;"",$AH19&gt;=CS$7,$AH19&lt;CS$7+7),"S","")</f>
        <v/>
      </c>
      <c r="CT19" s="92" t="str">
        <f aca="false">IF(AND($Y19&lt;&gt;"",$Y19&gt;=CT$7,$Y19&lt;CT$7+7),"I","")&amp;IF(AND($Z19&lt;&gt;"",$Z19&gt;=CT$7,$Z19&lt;CT$7+7),"P","")&amp;IF(AND($AA19&lt;&gt;"",$AA19&gt;=CT$7,$AA19&lt;CT$7+7),"T","")&amp;IF(AND($AB19&lt;&gt;"",$AB19&gt;=CT$7,$AB19&lt;CT$7+7),"H","")&amp;IF(AND($AC19&lt;&gt;"",$AC19&gt;=CT$7,$AC19&lt;CT$7+7),"G","")&amp;IF(AND($AH19&lt;&gt;"",$AH19&gt;=CT$7,$AH19&lt;CT$7+7),"S","")</f>
        <v/>
      </c>
      <c r="CU19" s="92" t="str">
        <f aca="false">IF(AND($Y19&lt;&gt;"",$Y19&gt;=CU$7,$Y19&lt;CU$7+7),"I","")&amp;IF(AND($Z19&lt;&gt;"",$Z19&gt;=CU$7,$Z19&lt;CU$7+7),"P","")&amp;IF(AND($AA19&lt;&gt;"",$AA19&gt;=CU$7,$AA19&lt;CU$7+7),"T","")&amp;IF(AND($AB19&lt;&gt;"",$AB19&gt;=CU$7,$AB19&lt;CU$7+7),"H","")&amp;IF(AND($AC19&lt;&gt;"",$AC19&gt;=CU$7,$AC19&lt;CU$7+7),"G","")&amp;IF(AND($AH19&lt;&gt;"",$AH19&gt;=CU$7,$AH19&lt;CU$7+7),"S","")</f>
        <v/>
      </c>
      <c r="CV19" s="92" t="str">
        <f aca="false">IF(AND($Y19&lt;&gt;"",$Y19&gt;=CV$7,$Y19&lt;CV$7+7),"I","")&amp;IF(AND($Z19&lt;&gt;"",$Z19&gt;=CV$7,$Z19&lt;CV$7+7),"P","")&amp;IF(AND($AA19&lt;&gt;"",$AA19&gt;=CV$7,$AA19&lt;CV$7+7),"T","")&amp;IF(AND($AB19&lt;&gt;"",$AB19&gt;=CV$7,$AB19&lt;CV$7+7),"H","")&amp;IF(AND($AC19&lt;&gt;"",$AC19&gt;=CV$7,$AC19&lt;CV$7+7),"G","")&amp;IF(AND($AH19&lt;&gt;"",$AH19&gt;=CV$7,$AH19&lt;CV$7+7),"S","")</f>
        <v/>
      </c>
      <c r="CW19" s="92" t="str">
        <f aca="false">IF(AND($Y19&lt;&gt;"",$Y19&gt;=CW$7,$Y19&lt;CW$7+7),"I","")&amp;IF(AND($Z19&lt;&gt;"",$Z19&gt;=CW$7,$Z19&lt;CW$7+7),"P","")&amp;IF(AND($AA19&lt;&gt;"",$AA19&gt;=CW$7,$AA19&lt;CW$7+7),"T","")&amp;IF(AND($AB19&lt;&gt;"",$AB19&gt;=CW$7,$AB19&lt;CW$7+7),"H","")&amp;IF(AND($AC19&lt;&gt;"",$AC19&gt;=CW$7,$AC19&lt;CW$7+7),"G","")&amp;IF(AND($AH19&lt;&gt;"",$AH19&gt;=CW$7,$AH19&lt;CW$7+7),"S","")</f>
        <v/>
      </c>
      <c r="CX19" s="92" t="str">
        <f aca="false">IF(AND($Y19&lt;&gt;"",$Y19&gt;=CX$7,$Y19&lt;CX$7+7),"I","")&amp;IF(AND($Z19&lt;&gt;"",$Z19&gt;=CX$7,$Z19&lt;CX$7+7),"P","")&amp;IF(AND($AA19&lt;&gt;"",$AA19&gt;=CX$7,$AA19&lt;CX$7+7),"T","")&amp;IF(AND($AB19&lt;&gt;"",$AB19&gt;=CX$7,$AB19&lt;CX$7+7),"H","")&amp;IF(AND($AC19&lt;&gt;"",$AC19&gt;=CX$7,$AC19&lt;CX$7+7),"G","")&amp;IF(AND($AH19&lt;&gt;"",$AH19&gt;=CX$7,$AH19&lt;CX$7+7),"S","")</f>
        <v/>
      </c>
      <c r="CY19" s="92" t="str">
        <f aca="false">IF(AND($Y19&lt;&gt;"",$Y19&gt;=CY$7,$Y19&lt;CY$7+7),"I","")&amp;IF(AND($Z19&lt;&gt;"",$Z19&gt;=CY$7,$Z19&lt;CY$7+7),"P","")&amp;IF(AND($AA19&lt;&gt;"",$AA19&gt;=CY$7,$AA19&lt;CY$7+7),"T","")&amp;IF(AND($AB19&lt;&gt;"",$AB19&gt;=CY$7,$AB19&lt;CY$7+7),"H","")&amp;IF(AND($AC19&lt;&gt;"",$AC19&gt;=CY$7,$AC19&lt;CY$7+7),"G","")&amp;IF(AND($AH19&lt;&gt;"",$AH19&gt;=CY$7,$AH19&lt;CY$7+7),"S","")</f>
        <v/>
      </c>
      <c r="CZ19" s="92" t="str">
        <f aca="false">IF(AND($Y19&lt;&gt;"",$Y19&gt;=CZ$7,$Y19&lt;CZ$7+7),"I","")&amp;IF(AND($Z19&lt;&gt;"",$Z19&gt;=CZ$7,$Z19&lt;CZ$7+7),"P","")&amp;IF(AND($AA19&lt;&gt;"",$AA19&gt;=CZ$7,$AA19&lt;CZ$7+7),"T","")&amp;IF(AND($AB19&lt;&gt;"",$AB19&gt;=CZ$7,$AB19&lt;CZ$7+7),"H","")&amp;IF(AND($AC19&lt;&gt;"",$AC19&gt;=CZ$7,$AC19&lt;CZ$7+7),"G","")&amp;IF(AND($AH19&lt;&gt;"",$AH19&gt;=CZ$7,$AH19&lt;CZ$7+7),"S","")</f>
        <v/>
      </c>
      <c r="DA19" s="92" t="str">
        <f aca="false">IF(AND($Y19&lt;&gt;"",$Y19&gt;=DA$7,$Y19&lt;DA$7+7),"I","")&amp;IF(AND($Z19&lt;&gt;"",$Z19&gt;=DA$7,$Z19&lt;DA$7+7),"P","")&amp;IF(AND($AA19&lt;&gt;"",$AA19&gt;=DA$7,$AA19&lt;DA$7+7),"T","")&amp;IF(AND($AB19&lt;&gt;"",$AB19&gt;=DA$7,$AB19&lt;DA$7+7),"H","")&amp;IF(AND($AC19&lt;&gt;"",$AC19&gt;=DA$7,$AC19&lt;DA$7+7),"G","")&amp;IF(AND($AH19&lt;&gt;"",$AH19&gt;=DA$7,$AH19&lt;DA$7+7),"S","")</f>
        <v/>
      </c>
      <c r="DB19" s="92" t="str">
        <f aca="false">IF(AND($Y19&lt;&gt;"",$Y19&gt;=DB$7,$Y19&lt;DB$7+7),"I","")&amp;IF(AND($Z19&lt;&gt;"",$Z19&gt;=DB$7,$Z19&lt;DB$7+7),"P","")&amp;IF(AND($AA19&lt;&gt;"",$AA19&gt;=DB$7,$AA19&lt;DB$7+7),"T","")&amp;IF(AND($AB19&lt;&gt;"",$AB19&gt;=DB$7,$AB19&lt;DB$7+7),"H","")&amp;IF(AND($AC19&lt;&gt;"",$AC19&gt;=DB$7,$AC19&lt;DB$7+7),"G","")&amp;IF(AND($AH19&lt;&gt;"",$AH19&gt;=DB$7,$AH19&lt;DB$7+7),"S","")</f>
        <v/>
      </c>
      <c r="DC19" s="92" t="str">
        <f aca="false">IF(AND($Y19&lt;&gt;"",$Y19&gt;=DC$7,$Y19&lt;DC$7+7),"I","")&amp;IF(AND($Z19&lt;&gt;"",$Z19&gt;=DC$7,$Z19&lt;DC$7+7),"P","")&amp;IF(AND($AA19&lt;&gt;"",$AA19&gt;=DC$7,$AA19&lt;DC$7+7),"T","")&amp;IF(AND($AB19&lt;&gt;"",$AB19&gt;=DC$7,$AB19&lt;DC$7+7),"H","")&amp;IF(AND($AC19&lt;&gt;"",$AC19&gt;=DC$7,$AC19&lt;DC$7+7),"G","")&amp;IF(AND($AH19&lt;&gt;"",$AH19&gt;=DC$7,$AH19&lt;DC$7+7),"S","")</f>
        <v/>
      </c>
    </row>
    <row r="20" customFormat="false" ht="15" hidden="false" customHeight="false" outlineLevel="0" collapsed="false">
      <c r="A20" s="47" t="s">
        <v>90</v>
      </c>
      <c r="B20" s="31" t="s">
        <v>91</v>
      </c>
      <c r="C20" s="36" t="s">
        <v>565</v>
      </c>
      <c r="D20" s="31" t="s">
        <v>566</v>
      </c>
      <c r="E20" s="31" t="s">
        <v>182</v>
      </c>
      <c r="F20" s="75" t="n">
        <v>150.48</v>
      </c>
      <c r="G20" s="31" t="s">
        <v>170</v>
      </c>
      <c r="H20" s="76" t="n">
        <f aca="false">PROJ_START+RD_SPAN</f>
        <v>46403</v>
      </c>
      <c r="I20" s="77" t="n">
        <f aca="false">H20+33</f>
        <v>46436</v>
      </c>
      <c r="J20" s="31" t="s">
        <v>93</v>
      </c>
      <c r="K20" s="36" t="s">
        <v>131</v>
      </c>
      <c r="L20" s="36" t="s">
        <v>92</v>
      </c>
      <c r="M20" s="36" t="s">
        <v>567</v>
      </c>
      <c r="N20" s="78" t="str">
        <f aca="false">IF(ISNUMBER(อัปเดตรายสัปดาห์!$AF20),อัปเดตรายสัปดาห์!$AF20,"")</f>
        <v/>
      </c>
      <c r="O20" s="78" t="str">
        <f aca="false">IF(ISNUMBER(อัปเดตรายสัปดาห์!$AH20),อัปเดตรายสัปดาห์!$AH20,"")</f>
        <v/>
      </c>
      <c r="P20" s="78" t="str">
        <f aca="false">IF(ISNUMBER(อัปเดตรายสัปดาห์!$AG20),อัปเดตรายสัปดาห์!$AG20,IF(AND(ISNUMBER(TCRoof!$AC$20),N(TCRoof!$AC$20)&lt;=ASOF),TCRoof!$AC$20,""))</f>
        <v/>
      </c>
      <c r="Q20" s="78" t="str">
        <f aca="false">IF(ISNUMBER(อัปเดตรายสัปดาห์!$AL20),อัปเดตรายสัปดาห์!$AL20,"")</f>
        <v/>
      </c>
      <c r="R20" s="78" t="str">
        <f aca="false">IF(ISNUMBER(อัปเดตรายสัปดาห์!$Q20),อัปเดตรายสัปดาห์!$Q20,"")</f>
        <v/>
      </c>
      <c r="S20" s="78" t="str">
        <f aca="false">IF(ISNUMBER(อัปเดตรายสัปดาห์!$R20),อัปเดตรายสัปดาห์!$R20,"")</f>
        <v/>
      </c>
      <c r="T20" s="78" t="str">
        <f aca="false">IF(ISNUMBER(อัปเดตรายสัปดาห์!$S20),อัปเดตรายสัปดาห์!$S20,IF(อัปเดตรายสัปดาห์!$S20="Y",ASOF,""))</f>
        <v/>
      </c>
      <c r="U20" s="78" t="str">
        <f aca="false">IF(ISNUMBER(อัปเดตรายสัปดาห์!$T20),อัปเดตรายสัปดาห์!$T20,IF(อัปเดตรายสัปดาห์!$T20="Y",ASOF,""))</f>
        <v/>
      </c>
      <c r="V20" s="78" t="str">
        <f aca="false">IF(ISNUMBER(อัปเดตรายสัปดาห์!$U20),อัปเดตรายสัปดาห์!$U20,IF(อัปเดตรายสัปดาห์!$U20="Y",ASOF,""))</f>
        <v/>
      </c>
      <c r="W20" s="78" t="str">
        <f aca="false">IF(ISNUMBER(อัปเดตรายสัปดาห์!$N20),อัปเดตรายสัปดาห์!$N20,"")</f>
        <v/>
      </c>
      <c r="X20" s="78" t="str">
        <f aca="false">IF(ISNUMBER(อัปเดตรายสัปดาห์!$V20),อัปเดตรายสัปดาห์!$V20,IF(AND(ISNUMBER(TCRoof!$AD$20),N(TCRoof!$AD$20)&lt;=ASOF),TCRoof!$AD$20,""))</f>
        <v/>
      </c>
      <c r="Y20" s="79" t="n">
        <f aca="false">IF(N20&lt;&gt;"",N20,WORKDAY((ASOF+LEAD_INST+7*INT((AT20-0.01)/MAX(1,AU20)))-1,1,HOLIDAYS))</f>
        <v>46349</v>
      </c>
      <c r="Z20" s="79" t="n">
        <f aca="false">IF(O20&lt;&gt;"",O20,WORKDAY((MAX(AV20+7*INT((AW20-1)/MAX(1,AX20)),AV20+7*INT((AY20-1)/MAX(1,AZ20))))-1,1,HOLIDAYS))</f>
        <v>46356</v>
      </c>
      <c r="AA20" s="79" t="n">
        <f aca="false">IF(P20&lt;&gt;"",P20,WORKDAY((BA20+7*INT((BB20-1)/MAX(1,BC20)))-1,1,HOLIDAYS))</f>
        <v>46359</v>
      </c>
      <c r="AB20" s="79" t="n">
        <f aca="false">IF(Q20&lt;&gt;"",Q20,WORKDAY((MAX(AA20+BD20,ASOF+1))-1,1,HOLIDAYS))</f>
        <v>46367</v>
      </c>
      <c r="AC20" s="79" t="n">
        <f aca="false">IF(R20&lt;&gt;"",R20,WORKDAY((MAX(Y20,ASOF)+LAG_GRID)-1,1,HOLIDAYS))</f>
        <v>46356</v>
      </c>
      <c r="AD20" s="79" t="n">
        <f aca="false">IF(T20&lt;&gt;"",T20,WORKDAY((MAX(WORKDAY(MAX(AC20,N(S20)),REVIEW_WD,HOLIDAYS),ASOF+1))-1,1,HOLIDAYS))</f>
        <v>46379</v>
      </c>
      <c r="AE20" s="79" t="n">
        <f aca="false">IF(U20&lt;&gt;"",U20,WORKDAY((MAX(AD20,ASOF)+FEE_DAYS)-1,1,HOLIDAYS))</f>
        <v>46386</v>
      </c>
      <c r="AF20" s="79" t="n">
        <f aca="false">IF(V20&lt;&gt;"",V20,WORKDAY((MAX(AA20,Z20,AE20,IF(AG20="",0,AG20+REVIEW_PK2),ASOF)+LAG_INSREQ)-1,1,HOLIDAYS))</f>
        <v>46391</v>
      </c>
      <c r="AG20" s="79" t="str">
        <f aca="false">IF(M20&lt;&gt;"Y","",IF(W20&lt;&gt;"",W20,WORKDAY((MAX(Y20,ASOF)+LAG_GRID)-1,1,HOLIDAYS)))</f>
        <v/>
      </c>
      <c r="AH20" s="80" t="n">
        <f aca="false">IF(X20&lt;&gt;"",X20,WORKDAY(AF20,INSPECT_WD,HOLIDAYS))</f>
        <v>46433</v>
      </c>
      <c r="AI20" s="81" t="n">
        <f aca="false">IF(H20="","",AB20-H20)</f>
        <v>-36</v>
      </c>
      <c r="AJ20" s="81" t="n">
        <f aca="false">IF(I20="","",AH20-I20)</f>
        <v>-3</v>
      </c>
      <c r="AK20" s="82" t="n">
        <f aca="false">IF(AND(ISNUMBER(N20),N(N20)&lt;=ASOF),1,0)+IF(AND(ISNUMBER(O20),N(O20)&lt;=ASOF),1,0)+IF(AND(ISNUMBER(P20),N(P20)&lt;=ASOF),1,0)+IF(AND(ISNUMBER(Q20),N(Q20)&lt;=ASOF),1,0)+IF(AND(ISNUMBER(R20),N(R20)&lt;=ASOF),1,0)+IF(AND(ISNUMBER(U20),N(U20)&lt;=ASOF),1,0)+IF(AND(ISNUMBER(X20),N(X20)&lt;=ASOF),1,0)</f>
        <v>0</v>
      </c>
      <c r="AL20" s="83" t="n">
        <v>7</v>
      </c>
      <c r="AM20" s="84" t="n">
        <f aca="false">'P9-013'!$J$4</f>
        <v>0</v>
      </c>
      <c r="AN20" s="85" t="str">
        <f aca="false">TRIM(IF(AND(ISNUMBER(O20),NOT(ISNUMBER(N20))),"กฟภ.ตรวจก่อนติดตั้ง, ","")&amp;IF(AND(ISNUMBER(P20),NOT(ISNUMBER(N20))),"IEC ก่อนติดตั้ง, ","")&amp;IF(AND(ISNUMBER(Q20),NOT(ISNUMBER(N20))),"ส่งมอบก่อนติดตั้ง, ","")&amp;IF(AND(ISNUMBER(Q20),ISNUMBER(P20),N(Q20)&lt;N(P20)),"ส่งมอบก่อน IEC, ","")&amp;IF(AND(ISNUMBER(อัปเดตรายสัปดาห์!$AG20),ISNUMBER(TCRoof!$AC$20),ABS(N(อัปเดตรายสัปดาห์!$AG20)-N(TCRoof!$AC$20))&gt;3),"IEC Excel≠แอป, ","")&amp;IF(AND(ISNUMBER(อัปเดตรายสัปดาห์!$V20),ISNUMBER(TCRoof!$AD$20),ABS(N(อัปเดตรายสัปดาห์!$V20)-N(TCRoof!$AD$20))&gt;3),"COD Excel≠แอป, ","")&amp;IF(AND(ISNUMBER(อัปเดตรายสัปดาห์!$AF20),ISNUMBER(TCRoof!$AB$20),ABS(N(อัปเดตรายสัปดาห์!$AF20)-N(TCRoof!$AB$20))&gt;3),"ติดตั้ง Excel≠แอป, ","")&amp;IF(AND(ISNUMBER(N20),N(N20)&gt;ASOF,OR(WEEKDAY(N(N20),2)&gt;5,COUNTIF(HOLIDAYS,N(N20))&gt;0)),"นัดดับไฟตรงวันหยุด, ","")&amp;IF(AND(ISNUMBER(O20),N(O20)&gt;ASOF,OR(WEEKDAY(N(O20),2)&gt;5,COUNTIF(HOLIDAYS,N(O20))&gt;0)),"นัด กฟภ.ตรงวันหยุด, ","")&amp;IF(AND(ISNUMBER(P20),N(P20)&gt;ASOF,OR(WEEKDAY(N(P20),2)&gt;5,COUNTIF(HOLIDAYS,N(P20))&gt;0)),"นัด IECตรงวันหยุด, ","")&amp;IF(AND(ISNUMBER(X20),N(X20)&gt;ASOF,OR(WEEKDAY(N(X20),2)&gt;5,COUNTIF(HOLIDAYS,N(X20))&gt;0)),"นัด Syncตรงวันหยุด, ",""))</f>
        <v/>
      </c>
      <c r="AO20" s="86" t="n">
        <f aca="false">SUMIFS(CR_COD,CR_ST,A20,CR_STAT,"อนุมัติ")+SUMIFS(CR_COD,CR_ST,"ทั้งเฟส",CR_STAT,"อนุมัติ")+SUMIFS(CR_COD,CR_ST,"ผรม. "&amp;L20,CR_STAT,"อนุมัติ")+SUMIFS(CR_COD,CR_ST,"เขต "&amp;E20,CR_STAT,"อนุมัติ")</f>
        <v>0</v>
      </c>
      <c r="AP20" s="86" t="n">
        <f aca="false">IF(NOT(ISNUMBER(AJ20)),"",MAX(0,AJ20-AO20))</f>
        <v>0</v>
      </c>
      <c r="AQ20" s="86" t="n">
        <f aca="false">COUNTIF(RW_ST,A20)</f>
        <v>0</v>
      </c>
      <c r="AR20" s="87" t="str">
        <f aca="false">IF(ISNUMBER(TCRoof!$I$20),TCRoof!$I$20,"")</f>
        <v/>
      </c>
      <c r="AS20" s="88" t="str">
        <f aca="false">IF(ISNUMBER(TCRoof!$H$20),TCRoof!$H$20,"")</f>
        <v/>
      </c>
      <c r="AT20" s="89" t="n">
        <f aca="false">IF(N20&lt;&gt;"","",SUMIFS($F$8:$F$27,$L$8:$L$27,L20,$N$8:$N$27,"",$H$8:$H$27,"&lt;"&amp;H20)+SUMIFS($F$8:$F$27,$L$8:$L$27,L20,$N$8:$N$27,"",$H$8:$H$27,H20,$A$8:$A$27,"&lt;="&amp;A20)+SUMIFS($F$8:$F$27,$L$8:$L$27,L20,$N$8:$N$27,"&gt;"&amp;ASOF))</f>
        <v>150.48</v>
      </c>
      <c r="AU20" s="89" t="n">
        <f aca="false">IFERROR(VLOOKUP(L20,TEAM_TBL,2,0)*VLOOKUP(L20,TEAM_TBL,3,0),150)</f>
        <v>150</v>
      </c>
      <c r="AV20" s="90" t="n">
        <f aca="false">IF(O20&lt;&gt;"","",MAX(Y20+LAG_PEA,ASOF+LAG_PEA))</f>
        <v>46356</v>
      </c>
      <c r="AW20" s="89" t="n">
        <f aca="false">IF(O20&lt;&gt;"","",COUNTIFS($E$8:$E$27,E20,$AV$8:$AV$27,"&lt;"&amp;AV20)+COUNTIFS($E$8:$E$27,E20,$AV$8:$AV$27,AV20,$A$8:$A$27,"&lt;"&amp;A20)+COUNTIFS($E$8:$E$27,E20,$O$8:$O$27,"&gt;"&amp;ASOF)+1)</f>
        <v>1</v>
      </c>
      <c r="AX20" s="89" t="n">
        <f aca="false">IFERROR(VLOOKUP(E20,ZONE_TBL,2,0),CAP_PEA)</f>
        <v>3</v>
      </c>
      <c r="AY20" s="89" t="n">
        <f aca="false">IF(O20&lt;&gt;"","",COUNTIFS($J$8:$J$27,J20,$AV$8:$AV$27,"&lt;"&amp;AV20)+COUNTIFS($J$8:$J$27,J20,$AV$8:$AV$27,AV20,$A$8:$A$27,"&lt;"&amp;A20)+COUNTIFS($J$8:$J$27,J20,$O$8:$O$27,"&gt;"&amp;ASOF)+1)</f>
        <v>1</v>
      </c>
      <c r="AZ20" s="89" t="n">
        <f aca="false">IFERROR(VLOOKUP(J20,ENG_TBL,2,0),ENG_CAP)</f>
        <v>3</v>
      </c>
      <c r="BA20" s="90" t="n">
        <f aca="false">IF(P20&lt;&gt;"","",MAX(Z20+LAG_IEC,ASOF+1))</f>
        <v>46359</v>
      </c>
      <c r="BB20" s="89" t="n">
        <f aca="false">IF(P20&lt;&gt;"","",COUNTIFS($L$8:$L$27,L20,$BA$8:$BA$27,"&lt;"&amp;BA20)+COUNTIFS($L$8:$L$27,L20,$BA$8:$BA$27,BA20,$A$8:$A$27,"&lt;"&amp;A20)+COUNTIFS($L$8:$L$27,L20,$P$8:$P$27,"&gt;"&amp;ASOF)+1)</f>
        <v>1</v>
      </c>
      <c r="BC20" s="89" t="n">
        <f aca="false">IFERROR(VLOOKUP(L20,TEAM_TBL,4,0)*VLOOKUP(L20,TEAM_TBL,5,0),3)</f>
        <v>3</v>
      </c>
      <c r="BD20" s="91" t="n">
        <f aca="false">IFERROR(VLOOKUP(L20,TEAM_TBL,6,0),LAG_HO)</f>
        <v>7</v>
      </c>
      <c r="BE20" s="89" t="n">
        <f aca="false">IF(ISNUMBER(AW20),7*INT((AW20-1)/MAX(1,AX20)),"")</f>
        <v>0</v>
      </c>
      <c r="BF20" s="89" t="n">
        <f aca="false">IF(ISNUMBER(AY20),7*INT((AY20-1)/MAX(1,AZ20)),"")</f>
        <v>0</v>
      </c>
      <c r="BH20" s="92" t="str">
        <f aca="false">IF(AND($Y20&lt;&gt;"",$Y20&gt;=BH$7,$Y20&lt;BH$7+7),"I","")&amp;IF(AND($Z20&lt;&gt;"",$Z20&gt;=BH$7,$Z20&lt;BH$7+7),"P","")&amp;IF(AND($AA20&lt;&gt;"",$AA20&gt;=BH$7,$AA20&lt;BH$7+7),"T","")&amp;IF(AND($AB20&lt;&gt;"",$AB20&gt;=BH$7,$AB20&lt;BH$7+7),"H","")&amp;IF(AND($AC20&lt;&gt;"",$AC20&gt;=BH$7,$AC20&lt;BH$7+7),"G","")&amp;IF(AND($AH20&lt;&gt;"",$AH20&gt;=BH$7,$AH20&lt;BH$7+7),"S","")</f>
        <v/>
      </c>
      <c r="BI20" s="92" t="str">
        <f aca="false">IF(AND($Y20&lt;&gt;"",$Y20&gt;=BI$7,$Y20&lt;BI$7+7),"I","")&amp;IF(AND($Z20&lt;&gt;"",$Z20&gt;=BI$7,$Z20&lt;BI$7+7),"P","")&amp;IF(AND($AA20&lt;&gt;"",$AA20&gt;=BI$7,$AA20&lt;BI$7+7),"T","")&amp;IF(AND($AB20&lt;&gt;"",$AB20&gt;=BI$7,$AB20&lt;BI$7+7),"H","")&amp;IF(AND($AC20&lt;&gt;"",$AC20&gt;=BI$7,$AC20&lt;BI$7+7),"G","")&amp;IF(AND($AH20&lt;&gt;"",$AH20&gt;=BI$7,$AH20&lt;BI$7+7),"S","")</f>
        <v/>
      </c>
      <c r="BJ20" s="92" t="str">
        <f aca="false">IF(AND($Y20&lt;&gt;"",$Y20&gt;=BJ$7,$Y20&lt;BJ$7+7),"I","")&amp;IF(AND($Z20&lt;&gt;"",$Z20&gt;=BJ$7,$Z20&lt;BJ$7+7),"P","")&amp;IF(AND($AA20&lt;&gt;"",$AA20&gt;=BJ$7,$AA20&lt;BJ$7+7),"T","")&amp;IF(AND($AB20&lt;&gt;"",$AB20&gt;=BJ$7,$AB20&lt;BJ$7+7),"H","")&amp;IF(AND($AC20&lt;&gt;"",$AC20&gt;=BJ$7,$AC20&lt;BJ$7+7),"G","")&amp;IF(AND($AH20&lt;&gt;"",$AH20&gt;=BJ$7,$AH20&lt;BJ$7+7),"S","")</f>
        <v/>
      </c>
      <c r="BK20" s="92" t="str">
        <f aca="false">IF(AND($Y20&lt;&gt;"",$Y20&gt;=BK$7,$Y20&lt;BK$7+7),"I","")&amp;IF(AND($Z20&lt;&gt;"",$Z20&gt;=BK$7,$Z20&lt;BK$7+7),"P","")&amp;IF(AND($AA20&lt;&gt;"",$AA20&gt;=BK$7,$AA20&lt;BK$7+7),"T","")&amp;IF(AND($AB20&lt;&gt;"",$AB20&gt;=BK$7,$AB20&lt;BK$7+7),"H","")&amp;IF(AND($AC20&lt;&gt;"",$AC20&gt;=BK$7,$AC20&lt;BK$7+7),"G","")&amp;IF(AND($AH20&lt;&gt;"",$AH20&gt;=BK$7,$AH20&lt;BK$7+7),"S","")</f>
        <v/>
      </c>
      <c r="BL20" s="92" t="str">
        <f aca="false">IF(AND($Y20&lt;&gt;"",$Y20&gt;=BL$7,$Y20&lt;BL$7+7),"I","")&amp;IF(AND($Z20&lt;&gt;"",$Z20&gt;=BL$7,$Z20&lt;BL$7+7),"P","")&amp;IF(AND($AA20&lt;&gt;"",$AA20&gt;=BL$7,$AA20&lt;BL$7+7),"T","")&amp;IF(AND($AB20&lt;&gt;"",$AB20&gt;=BL$7,$AB20&lt;BL$7+7),"H","")&amp;IF(AND($AC20&lt;&gt;"",$AC20&gt;=BL$7,$AC20&lt;BL$7+7),"G","")&amp;IF(AND($AH20&lt;&gt;"",$AH20&gt;=BL$7,$AH20&lt;BL$7+7),"S","")</f>
        <v>I</v>
      </c>
      <c r="BM20" s="92" t="str">
        <f aca="false">IF(AND($Y20&lt;&gt;"",$Y20&gt;=BM$7,$Y20&lt;BM$7+7),"I","")&amp;IF(AND($Z20&lt;&gt;"",$Z20&gt;=BM$7,$Z20&lt;BM$7+7),"P","")&amp;IF(AND($AA20&lt;&gt;"",$AA20&gt;=BM$7,$AA20&lt;BM$7+7),"T","")&amp;IF(AND($AB20&lt;&gt;"",$AB20&gt;=BM$7,$AB20&lt;BM$7+7),"H","")&amp;IF(AND($AC20&lt;&gt;"",$AC20&gt;=BM$7,$AC20&lt;BM$7+7),"G","")&amp;IF(AND($AH20&lt;&gt;"",$AH20&gt;=BM$7,$AH20&lt;BM$7+7),"S","")</f>
        <v>PTG</v>
      </c>
      <c r="BN20" s="92" t="str">
        <f aca="false">IF(AND($Y20&lt;&gt;"",$Y20&gt;=BN$7,$Y20&lt;BN$7+7),"I","")&amp;IF(AND($Z20&lt;&gt;"",$Z20&gt;=BN$7,$Z20&lt;BN$7+7),"P","")&amp;IF(AND($AA20&lt;&gt;"",$AA20&gt;=BN$7,$AA20&lt;BN$7+7),"T","")&amp;IF(AND($AB20&lt;&gt;"",$AB20&gt;=BN$7,$AB20&lt;BN$7+7),"H","")&amp;IF(AND($AC20&lt;&gt;"",$AC20&gt;=BN$7,$AC20&lt;BN$7+7),"G","")&amp;IF(AND($AH20&lt;&gt;"",$AH20&gt;=BN$7,$AH20&lt;BN$7+7),"S","")</f>
        <v>H</v>
      </c>
      <c r="BO20" s="92" t="str">
        <f aca="false">IF(AND($Y20&lt;&gt;"",$Y20&gt;=BO$7,$Y20&lt;BO$7+7),"I","")&amp;IF(AND($Z20&lt;&gt;"",$Z20&gt;=BO$7,$Z20&lt;BO$7+7),"P","")&amp;IF(AND($AA20&lt;&gt;"",$AA20&gt;=BO$7,$AA20&lt;BO$7+7),"T","")&amp;IF(AND($AB20&lt;&gt;"",$AB20&gt;=BO$7,$AB20&lt;BO$7+7),"H","")&amp;IF(AND($AC20&lt;&gt;"",$AC20&gt;=BO$7,$AC20&lt;BO$7+7),"G","")&amp;IF(AND($AH20&lt;&gt;"",$AH20&gt;=BO$7,$AH20&lt;BO$7+7),"S","")</f>
        <v/>
      </c>
      <c r="BP20" s="92" t="str">
        <f aca="false">IF(AND($Y20&lt;&gt;"",$Y20&gt;=BP$7,$Y20&lt;BP$7+7),"I","")&amp;IF(AND($Z20&lt;&gt;"",$Z20&gt;=BP$7,$Z20&lt;BP$7+7),"P","")&amp;IF(AND($AA20&lt;&gt;"",$AA20&gt;=BP$7,$AA20&lt;BP$7+7),"T","")&amp;IF(AND($AB20&lt;&gt;"",$AB20&gt;=BP$7,$AB20&lt;BP$7+7),"H","")&amp;IF(AND($AC20&lt;&gt;"",$AC20&gt;=BP$7,$AC20&lt;BP$7+7),"G","")&amp;IF(AND($AH20&lt;&gt;"",$AH20&gt;=BP$7,$AH20&lt;BP$7+7),"S","")</f>
        <v/>
      </c>
      <c r="BQ20" s="92" t="str">
        <f aca="false">IF(AND($Y20&lt;&gt;"",$Y20&gt;=BQ$7,$Y20&lt;BQ$7+7),"I","")&amp;IF(AND($Z20&lt;&gt;"",$Z20&gt;=BQ$7,$Z20&lt;BQ$7+7),"P","")&amp;IF(AND($AA20&lt;&gt;"",$AA20&gt;=BQ$7,$AA20&lt;BQ$7+7),"T","")&amp;IF(AND($AB20&lt;&gt;"",$AB20&gt;=BQ$7,$AB20&lt;BQ$7+7),"H","")&amp;IF(AND($AC20&lt;&gt;"",$AC20&gt;=BQ$7,$AC20&lt;BQ$7+7),"G","")&amp;IF(AND($AH20&lt;&gt;"",$AH20&gt;=BQ$7,$AH20&lt;BQ$7+7),"S","")</f>
        <v/>
      </c>
      <c r="BR20" s="92" t="str">
        <f aca="false">IF(AND($Y20&lt;&gt;"",$Y20&gt;=BR$7,$Y20&lt;BR$7+7),"I","")&amp;IF(AND($Z20&lt;&gt;"",$Z20&gt;=BR$7,$Z20&lt;BR$7+7),"P","")&amp;IF(AND($AA20&lt;&gt;"",$AA20&gt;=BR$7,$AA20&lt;BR$7+7),"T","")&amp;IF(AND($AB20&lt;&gt;"",$AB20&gt;=BR$7,$AB20&lt;BR$7+7),"H","")&amp;IF(AND($AC20&lt;&gt;"",$AC20&gt;=BR$7,$AC20&lt;BR$7+7),"G","")&amp;IF(AND($AH20&lt;&gt;"",$AH20&gt;=BR$7,$AH20&lt;BR$7+7),"S","")</f>
        <v/>
      </c>
      <c r="BS20" s="92" t="str">
        <f aca="false">IF(AND($Y20&lt;&gt;"",$Y20&gt;=BS$7,$Y20&lt;BS$7+7),"I","")&amp;IF(AND($Z20&lt;&gt;"",$Z20&gt;=BS$7,$Z20&lt;BS$7+7),"P","")&amp;IF(AND($AA20&lt;&gt;"",$AA20&gt;=BS$7,$AA20&lt;BS$7+7),"T","")&amp;IF(AND($AB20&lt;&gt;"",$AB20&gt;=BS$7,$AB20&lt;BS$7+7),"H","")&amp;IF(AND($AC20&lt;&gt;"",$AC20&gt;=BS$7,$AC20&lt;BS$7+7),"G","")&amp;IF(AND($AH20&lt;&gt;"",$AH20&gt;=BS$7,$AH20&lt;BS$7+7),"S","")</f>
        <v/>
      </c>
      <c r="BT20" s="92" t="str">
        <f aca="false">IF(AND($Y20&lt;&gt;"",$Y20&gt;=BT$7,$Y20&lt;BT$7+7),"I","")&amp;IF(AND($Z20&lt;&gt;"",$Z20&gt;=BT$7,$Z20&lt;BT$7+7),"P","")&amp;IF(AND($AA20&lt;&gt;"",$AA20&gt;=BT$7,$AA20&lt;BT$7+7),"T","")&amp;IF(AND($AB20&lt;&gt;"",$AB20&gt;=BT$7,$AB20&lt;BT$7+7),"H","")&amp;IF(AND($AC20&lt;&gt;"",$AC20&gt;=BT$7,$AC20&lt;BT$7+7),"G","")&amp;IF(AND($AH20&lt;&gt;"",$AH20&gt;=BT$7,$AH20&lt;BT$7+7),"S","")</f>
        <v/>
      </c>
      <c r="BU20" s="92" t="str">
        <f aca="false">IF(AND($Y20&lt;&gt;"",$Y20&gt;=BU$7,$Y20&lt;BU$7+7),"I","")&amp;IF(AND($Z20&lt;&gt;"",$Z20&gt;=BU$7,$Z20&lt;BU$7+7),"P","")&amp;IF(AND($AA20&lt;&gt;"",$AA20&gt;=BU$7,$AA20&lt;BU$7+7),"T","")&amp;IF(AND($AB20&lt;&gt;"",$AB20&gt;=BU$7,$AB20&lt;BU$7+7),"H","")&amp;IF(AND($AC20&lt;&gt;"",$AC20&gt;=BU$7,$AC20&lt;BU$7+7),"G","")&amp;IF(AND($AH20&lt;&gt;"",$AH20&gt;=BU$7,$AH20&lt;BU$7+7),"S","")</f>
        <v/>
      </c>
      <c r="BV20" s="92" t="str">
        <f aca="false">IF(AND($Y20&lt;&gt;"",$Y20&gt;=BV$7,$Y20&lt;BV$7+7),"I","")&amp;IF(AND($Z20&lt;&gt;"",$Z20&gt;=BV$7,$Z20&lt;BV$7+7),"P","")&amp;IF(AND($AA20&lt;&gt;"",$AA20&gt;=BV$7,$AA20&lt;BV$7+7),"T","")&amp;IF(AND($AB20&lt;&gt;"",$AB20&gt;=BV$7,$AB20&lt;BV$7+7),"H","")&amp;IF(AND($AC20&lt;&gt;"",$AC20&gt;=BV$7,$AC20&lt;BV$7+7),"G","")&amp;IF(AND($AH20&lt;&gt;"",$AH20&gt;=BV$7,$AH20&lt;BV$7+7),"S","")</f>
        <v/>
      </c>
      <c r="BW20" s="92" t="str">
        <f aca="false">IF(AND($Y20&lt;&gt;"",$Y20&gt;=BW$7,$Y20&lt;BW$7+7),"I","")&amp;IF(AND($Z20&lt;&gt;"",$Z20&gt;=BW$7,$Z20&lt;BW$7+7),"P","")&amp;IF(AND($AA20&lt;&gt;"",$AA20&gt;=BW$7,$AA20&lt;BW$7+7),"T","")&amp;IF(AND($AB20&lt;&gt;"",$AB20&gt;=BW$7,$AB20&lt;BW$7+7),"H","")&amp;IF(AND($AC20&lt;&gt;"",$AC20&gt;=BW$7,$AC20&lt;BW$7+7),"G","")&amp;IF(AND($AH20&lt;&gt;"",$AH20&gt;=BW$7,$AH20&lt;BW$7+7),"S","")</f>
        <v/>
      </c>
      <c r="BX20" s="92" t="str">
        <f aca="false">IF(AND($Y20&lt;&gt;"",$Y20&gt;=BX$7,$Y20&lt;BX$7+7),"I","")&amp;IF(AND($Z20&lt;&gt;"",$Z20&gt;=BX$7,$Z20&lt;BX$7+7),"P","")&amp;IF(AND($AA20&lt;&gt;"",$AA20&gt;=BX$7,$AA20&lt;BX$7+7),"T","")&amp;IF(AND($AB20&lt;&gt;"",$AB20&gt;=BX$7,$AB20&lt;BX$7+7),"H","")&amp;IF(AND($AC20&lt;&gt;"",$AC20&gt;=BX$7,$AC20&lt;BX$7+7),"G","")&amp;IF(AND($AH20&lt;&gt;"",$AH20&gt;=BX$7,$AH20&lt;BX$7+7),"S","")</f>
        <v>S</v>
      </c>
      <c r="BY20" s="92" t="str">
        <f aca="false">IF(AND($Y20&lt;&gt;"",$Y20&gt;=BY$7,$Y20&lt;BY$7+7),"I","")&amp;IF(AND($Z20&lt;&gt;"",$Z20&gt;=BY$7,$Z20&lt;BY$7+7),"P","")&amp;IF(AND($AA20&lt;&gt;"",$AA20&gt;=BY$7,$AA20&lt;BY$7+7),"T","")&amp;IF(AND($AB20&lt;&gt;"",$AB20&gt;=BY$7,$AB20&lt;BY$7+7),"H","")&amp;IF(AND($AC20&lt;&gt;"",$AC20&gt;=BY$7,$AC20&lt;BY$7+7),"G","")&amp;IF(AND($AH20&lt;&gt;"",$AH20&gt;=BY$7,$AH20&lt;BY$7+7),"S","")</f>
        <v/>
      </c>
      <c r="BZ20" s="92" t="str">
        <f aca="false">IF(AND($Y20&lt;&gt;"",$Y20&gt;=BZ$7,$Y20&lt;BZ$7+7),"I","")&amp;IF(AND($Z20&lt;&gt;"",$Z20&gt;=BZ$7,$Z20&lt;BZ$7+7),"P","")&amp;IF(AND($AA20&lt;&gt;"",$AA20&gt;=BZ$7,$AA20&lt;BZ$7+7),"T","")&amp;IF(AND($AB20&lt;&gt;"",$AB20&gt;=BZ$7,$AB20&lt;BZ$7+7),"H","")&amp;IF(AND($AC20&lt;&gt;"",$AC20&gt;=BZ$7,$AC20&lt;BZ$7+7),"G","")&amp;IF(AND($AH20&lt;&gt;"",$AH20&gt;=BZ$7,$AH20&lt;BZ$7+7),"S","")</f>
        <v/>
      </c>
      <c r="CA20" s="92" t="str">
        <f aca="false">IF(AND($Y20&lt;&gt;"",$Y20&gt;=CA$7,$Y20&lt;CA$7+7),"I","")&amp;IF(AND($Z20&lt;&gt;"",$Z20&gt;=CA$7,$Z20&lt;CA$7+7),"P","")&amp;IF(AND($AA20&lt;&gt;"",$AA20&gt;=CA$7,$AA20&lt;CA$7+7),"T","")&amp;IF(AND($AB20&lt;&gt;"",$AB20&gt;=CA$7,$AB20&lt;CA$7+7),"H","")&amp;IF(AND($AC20&lt;&gt;"",$AC20&gt;=CA$7,$AC20&lt;CA$7+7),"G","")&amp;IF(AND($AH20&lt;&gt;"",$AH20&gt;=CA$7,$AH20&lt;CA$7+7),"S","")</f>
        <v/>
      </c>
      <c r="CB20" s="92" t="str">
        <f aca="false">IF(AND($Y20&lt;&gt;"",$Y20&gt;=CB$7,$Y20&lt;CB$7+7),"I","")&amp;IF(AND($Z20&lt;&gt;"",$Z20&gt;=CB$7,$Z20&lt;CB$7+7),"P","")&amp;IF(AND($AA20&lt;&gt;"",$AA20&gt;=CB$7,$AA20&lt;CB$7+7),"T","")&amp;IF(AND($AB20&lt;&gt;"",$AB20&gt;=CB$7,$AB20&lt;CB$7+7),"H","")&amp;IF(AND($AC20&lt;&gt;"",$AC20&gt;=CB$7,$AC20&lt;CB$7+7),"G","")&amp;IF(AND($AH20&lt;&gt;"",$AH20&gt;=CB$7,$AH20&lt;CB$7+7),"S","")</f>
        <v/>
      </c>
      <c r="CC20" s="92" t="str">
        <f aca="false">IF(AND($Y20&lt;&gt;"",$Y20&gt;=CC$7,$Y20&lt;CC$7+7),"I","")&amp;IF(AND($Z20&lt;&gt;"",$Z20&gt;=CC$7,$Z20&lt;CC$7+7),"P","")&amp;IF(AND($AA20&lt;&gt;"",$AA20&gt;=CC$7,$AA20&lt;CC$7+7),"T","")&amp;IF(AND($AB20&lt;&gt;"",$AB20&gt;=CC$7,$AB20&lt;CC$7+7),"H","")&amp;IF(AND($AC20&lt;&gt;"",$AC20&gt;=CC$7,$AC20&lt;CC$7+7),"G","")&amp;IF(AND($AH20&lt;&gt;"",$AH20&gt;=CC$7,$AH20&lt;CC$7+7),"S","")</f>
        <v/>
      </c>
      <c r="CD20" s="92" t="str">
        <f aca="false">IF(AND($Y20&lt;&gt;"",$Y20&gt;=CD$7,$Y20&lt;CD$7+7),"I","")&amp;IF(AND($Z20&lt;&gt;"",$Z20&gt;=CD$7,$Z20&lt;CD$7+7),"P","")&amp;IF(AND($AA20&lt;&gt;"",$AA20&gt;=CD$7,$AA20&lt;CD$7+7),"T","")&amp;IF(AND($AB20&lt;&gt;"",$AB20&gt;=CD$7,$AB20&lt;CD$7+7),"H","")&amp;IF(AND($AC20&lt;&gt;"",$AC20&gt;=CD$7,$AC20&lt;CD$7+7),"G","")&amp;IF(AND($AH20&lt;&gt;"",$AH20&gt;=CD$7,$AH20&lt;CD$7+7),"S","")</f>
        <v/>
      </c>
      <c r="CE20" s="92" t="str">
        <f aca="false">IF(AND($Y20&lt;&gt;"",$Y20&gt;=CE$7,$Y20&lt;CE$7+7),"I","")&amp;IF(AND($Z20&lt;&gt;"",$Z20&gt;=CE$7,$Z20&lt;CE$7+7),"P","")&amp;IF(AND($AA20&lt;&gt;"",$AA20&gt;=CE$7,$AA20&lt;CE$7+7),"T","")&amp;IF(AND($AB20&lt;&gt;"",$AB20&gt;=CE$7,$AB20&lt;CE$7+7),"H","")&amp;IF(AND($AC20&lt;&gt;"",$AC20&gt;=CE$7,$AC20&lt;CE$7+7),"G","")&amp;IF(AND($AH20&lt;&gt;"",$AH20&gt;=CE$7,$AH20&lt;CE$7+7),"S","")</f>
        <v/>
      </c>
      <c r="CF20" s="92" t="str">
        <f aca="false">IF(AND($Y20&lt;&gt;"",$Y20&gt;=CF$7,$Y20&lt;CF$7+7),"I","")&amp;IF(AND($Z20&lt;&gt;"",$Z20&gt;=CF$7,$Z20&lt;CF$7+7),"P","")&amp;IF(AND($AA20&lt;&gt;"",$AA20&gt;=CF$7,$AA20&lt;CF$7+7),"T","")&amp;IF(AND($AB20&lt;&gt;"",$AB20&gt;=CF$7,$AB20&lt;CF$7+7),"H","")&amp;IF(AND($AC20&lt;&gt;"",$AC20&gt;=CF$7,$AC20&lt;CF$7+7),"G","")&amp;IF(AND($AH20&lt;&gt;"",$AH20&gt;=CF$7,$AH20&lt;CF$7+7),"S","")</f>
        <v/>
      </c>
      <c r="CG20" s="92" t="str">
        <f aca="false">IF(AND($Y20&lt;&gt;"",$Y20&gt;=CG$7,$Y20&lt;CG$7+7),"I","")&amp;IF(AND($Z20&lt;&gt;"",$Z20&gt;=CG$7,$Z20&lt;CG$7+7),"P","")&amp;IF(AND($AA20&lt;&gt;"",$AA20&gt;=CG$7,$AA20&lt;CG$7+7),"T","")&amp;IF(AND($AB20&lt;&gt;"",$AB20&gt;=CG$7,$AB20&lt;CG$7+7),"H","")&amp;IF(AND($AC20&lt;&gt;"",$AC20&gt;=CG$7,$AC20&lt;CG$7+7),"G","")&amp;IF(AND($AH20&lt;&gt;"",$AH20&gt;=CG$7,$AH20&lt;CG$7+7),"S","")</f>
        <v/>
      </c>
      <c r="CH20" s="92" t="str">
        <f aca="false">IF(AND($Y20&lt;&gt;"",$Y20&gt;=CH$7,$Y20&lt;CH$7+7),"I","")&amp;IF(AND($Z20&lt;&gt;"",$Z20&gt;=CH$7,$Z20&lt;CH$7+7),"P","")&amp;IF(AND($AA20&lt;&gt;"",$AA20&gt;=CH$7,$AA20&lt;CH$7+7),"T","")&amp;IF(AND($AB20&lt;&gt;"",$AB20&gt;=CH$7,$AB20&lt;CH$7+7),"H","")&amp;IF(AND($AC20&lt;&gt;"",$AC20&gt;=CH$7,$AC20&lt;CH$7+7),"G","")&amp;IF(AND($AH20&lt;&gt;"",$AH20&gt;=CH$7,$AH20&lt;CH$7+7),"S","")</f>
        <v/>
      </c>
      <c r="CI20" s="92" t="str">
        <f aca="false">IF(AND($Y20&lt;&gt;"",$Y20&gt;=CI$7,$Y20&lt;CI$7+7),"I","")&amp;IF(AND($Z20&lt;&gt;"",$Z20&gt;=CI$7,$Z20&lt;CI$7+7),"P","")&amp;IF(AND($AA20&lt;&gt;"",$AA20&gt;=CI$7,$AA20&lt;CI$7+7),"T","")&amp;IF(AND($AB20&lt;&gt;"",$AB20&gt;=CI$7,$AB20&lt;CI$7+7),"H","")&amp;IF(AND($AC20&lt;&gt;"",$AC20&gt;=CI$7,$AC20&lt;CI$7+7),"G","")&amp;IF(AND($AH20&lt;&gt;"",$AH20&gt;=CI$7,$AH20&lt;CI$7+7),"S","")</f>
        <v/>
      </c>
      <c r="CJ20" s="92" t="str">
        <f aca="false">IF(AND($Y20&lt;&gt;"",$Y20&gt;=CJ$7,$Y20&lt;CJ$7+7),"I","")&amp;IF(AND($Z20&lt;&gt;"",$Z20&gt;=CJ$7,$Z20&lt;CJ$7+7),"P","")&amp;IF(AND($AA20&lt;&gt;"",$AA20&gt;=CJ$7,$AA20&lt;CJ$7+7),"T","")&amp;IF(AND($AB20&lt;&gt;"",$AB20&gt;=CJ$7,$AB20&lt;CJ$7+7),"H","")&amp;IF(AND($AC20&lt;&gt;"",$AC20&gt;=CJ$7,$AC20&lt;CJ$7+7),"G","")&amp;IF(AND($AH20&lt;&gt;"",$AH20&gt;=CJ$7,$AH20&lt;CJ$7+7),"S","")</f>
        <v/>
      </c>
      <c r="CK20" s="92" t="str">
        <f aca="false">IF(AND($Y20&lt;&gt;"",$Y20&gt;=CK$7,$Y20&lt;CK$7+7),"I","")&amp;IF(AND($Z20&lt;&gt;"",$Z20&gt;=CK$7,$Z20&lt;CK$7+7),"P","")&amp;IF(AND($AA20&lt;&gt;"",$AA20&gt;=CK$7,$AA20&lt;CK$7+7),"T","")&amp;IF(AND($AB20&lt;&gt;"",$AB20&gt;=CK$7,$AB20&lt;CK$7+7),"H","")&amp;IF(AND($AC20&lt;&gt;"",$AC20&gt;=CK$7,$AC20&lt;CK$7+7),"G","")&amp;IF(AND($AH20&lt;&gt;"",$AH20&gt;=CK$7,$AH20&lt;CK$7+7),"S","")</f>
        <v/>
      </c>
      <c r="CL20" s="92" t="str">
        <f aca="false">IF(AND($Y20&lt;&gt;"",$Y20&gt;=CL$7,$Y20&lt;CL$7+7),"I","")&amp;IF(AND($Z20&lt;&gt;"",$Z20&gt;=CL$7,$Z20&lt;CL$7+7),"P","")&amp;IF(AND($AA20&lt;&gt;"",$AA20&gt;=CL$7,$AA20&lt;CL$7+7),"T","")&amp;IF(AND($AB20&lt;&gt;"",$AB20&gt;=CL$7,$AB20&lt;CL$7+7),"H","")&amp;IF(AND($AC20&lt;&gt;"",$AC20&gt;=CL$7,$AC20&lt;CL$7+7),"G","")&amp;IF(AND($AH20&lt;&gt;"",$AH20&gt;=CL$7,$AH20&lt;CL$7+7),"S","")</f>
        <v/>
      </c>
      <c r="CM20" s="92" t="str">
        <f aca="false">IF(AND($Y20&lt;&gt;"",$Y20&gt;=CM$7,$Y20&lt;CM$7+7),"I","")&amp;IF(AND($Z20&lt;&gt;"",$Z20&gt;=CM$7,$Z20&lt;CM$7+7),"P","")&amp;IF(AND($AA20&lt;&gt;"",$AA20&gt;=CM$7,$AA20&lt;CM$7+7),"T","")&amp;IF(AND($AB20&lt;&gt;"",$AB20&gt;=CM$7,$AB20&lt;CM$7+7),"H","")&amp;IF(AND($AC20&lt;&gt;"",$AC20&gt;=CM$7,$AC20&lt;CM$7+7),"G","")&amp;IF(AND($AH20&lt;&gt;"",$AH20&gt;=CM$7,$AH20&lt;CM$7+7),"S","")</f>
        <v/>
      </c>
      <c r="CN20" s="92" t="str">
        <f aca="false">IF(AND($Y20&lt;&gt;"",$Y20&gt;=CN$7,$Y20&lt;CN$7+7),"I","")&amp;IF(AND($Z20&lt;&gt;"",$Z20&gt;=CN$7,$Z20&lt;CN$7+7),"P","")&amp;IF(AND($AA20&lt;&gt;"",$AA20&gt;=CN$7,$AA20&lt;CN$7+7),"T","")&amp;IF(AND($AB20&lt;&gt;"",$AB20&gt;=CN$7,$AB20&lt;CN$7+7),"H","")&amp;IF(AND($AC20&lt;&gt;"",$AC20&gt;=CN$7,$AC20&lt;CN$7+7),"G","")&amp;IF(AND($AH20&lt;&gt;"",$AH20&gt;=CN$7,$AH20&lt;CN$7+7),"S","")</f>
        <v/>
      </c>
      <c r="CO20" s="92" t="str">
        <f aca="false">IF(AND($Y20&lt;&gt;"",$Y20&gt;=CO$7,$Y20&lt;CO$7+7),"I","")&amp;IF(AND($Z20&lt;&gt;"",$Z20&gt;=CO$7,$Z20&lt;CO$7+7),"P","")&amp;IF(AND($AA20&lt;&gt;"",$AA20&gt;=CO$7,$AA20&lt;CO$7+7),"T","")&amp;IF(AND($AB20&lt;&gt;"",$AB20&gt;=CO$7,$AB20&lt;CO$7+7),"H","")&amp;IF(AND($AC20&lt;&gt;"",$AC20&gt;=CO$7,$AC20&lt;CO$7+7),"G","")&amp;IF(AND($AH20&lt;&gt;"",$AH20&gt;=CO$7,$AH20&lt;CO$7+7),"S","")</f>
        <v/>
      </c>
      <c r="CP20" s="92" t="str">
        <f aca="false">IF(AND($Y20&lt;&gt;"",$Y20&gt;=CP$7,$Y20&lt;CP$7+7),"I","")&amp;IF(AND($Z20&lt;&gt;"",$Z20&gt;=CP$7,$Z20&lt;CP$7+7),"P","")&amp;IF(AND($AA20&lt;&gt;"",$AA20&gt;=CP$7,$AA20&lt;CP$7+7),"T","")&amp;IF(AND($AB20&lt;&gt;"",$AB20&gt;=CP$7,$AB20&lt;CP$7+7),"H","")&amp;IF(AND($AC20&lt;&gt;"",$AC20&gt;=CP$7,$AC20&lt;CP$7+7),"G","")&amp;IF(AND($AH20&lt;&gt;"",$AH20&gt;=CP$7,$AH20&lt;CP$7+7),"S","")</f>
        <v/>
      </c>
      <c r="CQ20" s="92" t="str">
        <f aca="false">IF(AND($Y20&lt;&gt;"",$Y20&gt;=CQ$7,$Y20&lt;CQ$7+7),"I","")&amp;IF(AND($Z20&lt;&gt;"",$Z20&gt;=CQ$7,$Z20&lt;CQ$7+7),"P","")&amp;IF(AND($AA20&lt;&gt;"",$AA20&gt;=CQ$7,$AA20&lt;CQ$7+7),"T","")&amp;IF(AND($AB20&lt;&gt;"",$AB20&gt;=CQ$7,$AB20&lt;CQ$7+7),"H","")&amp;IF(AND($AC20&lt;&gt;"",$AC20&gt;=CQ$7,$AC20&lt;CQ$7+7),"G","")&amp;IF(AND($AH20&lt;&gt;"",$AH20&gt;=CQ$7,$AH20&lt;CQ$7+7),"S","")</f>
        <v/>
      </c>
      <c r="CR20" s="92" t="str">
        <f aca="false">IF(AND($Y20&lt;&gt;"",$Y20&gt;=CR$7,$Y20&lt;CR$7+7),"I","")&amp;IF(AND($Z20&lt;&gt;"",$Z20&gt;=CR$7,$Z20&lt;CR$7+7),"P","")&amp;IF(AND($AA20&lt;&gt;"",$AA20&gt;=CR$7,$AA20&lt;CR$7+7),"T","")&amp;IF(AND($AB20&lt;&gt;"",$AB20&gt;=CR$7,$AB20&lt;CR$7+7),"H","")&amp;IF(AND($AC20&lt;&gt;"",$AC20&gt;=CR$7,$AC20&lt;CR$7+7),"G","")&amp;IF(AND($AH20&lt;&gt;"",$AH20&gt;=CR$7,$AH20&lt;CR$7+7),"S","")</f>
        <v/>
      </c>
      <c r="CS20" s="92" t="str">
        <f aca="false">IF(AND($Y20&lt;&gt;"",$Y20&gt;=CS$7,$Y20&lt;CS$7+7),"I","")&amp;IF(AND($Z20&lt;&gt;"",$Z20&gt;=CS$7,$Z20&lt;CS$7+7),"P","")&amp;IF(AND($AA20&lt;&gt;"",$AA20&gt;=CS$7,$AA20&lt;CS$7+7),"T","")&amp;IF(AND($AB20&lt;&gt;"",$AB20&gt;=CS$7,$AB20&lt;CS$7+7),"H","")&amp;IF(AND($AC20&lt;&gt;"",$AC20&gt;=CS$7,$AC20&lt;CS$7+7),"G","")&amp;IF(AND($AH20&lt;&gt;"",$AH20&gt;=CS$7,$AH20&lt;CS$7+7),"S","")</f>
        <v/>
      </c>
      <c r="CT20" s="92" t="str">
        <f aca="false">IF(AND($Y20&lt;&gt;"",$Y20&gt;=CT$7,$Y20&lt;CT$7+7),"I","")&amp;IF(AND($Z20&lt;&gt;"",$Z20&gt;=CT$7,$Z20&lt;CT$7+7),"P","")&amp;IF(AND($AA20&lt;&gt;"",$AA20&gt;=CT$7,$AA20&lt;CT$7+7),"T","")&amp;IF(AND($AB20&lt;&gt;"",$AB20&gt;=CT$7,$AB20&lt;CT$7+7),"H","")&amp;IF(AND($AC20&lt;&gt;"",$AC20&gt;=CT$7,$AC20&lt;CT$7+7),"G","")&amp;IF(AND($AH20&lt;&gt;"",$AH20&gt;=CT$7,$AH20&lt;CT$7+7),"S","")</f>
        <v/>
      </c>
      <c r="CU20" s="92" t="str">
        <f aca="false">IF(AND($Y20&lt;&gt;"",$Y20&gt;=CU$7,$Y20&lt;CU$7+7),"I","")&amp;IF(AND($Z20&lt;&gt;"",$Z20&gt;=CU$7,$Z20&lt;CU$7+7),"P","")&amp;IF(AND($AA20&lt;&gt;"",$AA20&gt;=CU$7,$AA20&lt;CU$7+7),"T","")&amp;IF(AND($AB20&lt;&gt;"",$AB20&gt;=CU$7,$AB20&lt;CU$7+7),"H","")&amp;IF(AND($AC20&lt;&gt;"",$AC20&gt;=CU$7,$AC20&lt;CU$7+7),"G","")&amp;IF(AND($AH20&lt;&gt;"",$AH20&gt;=CU$7,$AH20&lt;CU$7+7),"S","")</f>
        <v/>
      </c>
      <c r="CV20" s="92" t="str">
        <f aca="false">IF(AND($Y20&lt;&gt;"",$Y20&gt;=CV$7,$Y20&lt;CV$7+7),"I","")&amp;IF(AND($Z20&lt;&gt;"",$Z20&gt;=CV$7,$Z20&lt;CV$7+7),"P","")&amp;IF(AND($AA20&lt;&gt;"",$AA20&gt;=CV$7,$AA20&lt;CV$7+7),"T","")&amp;IF(AND($AB20&lt;&gt;"",$AB20&gt;=CV$7,$AB20&lt;CV$7+7),"H","")&amp;IF(AND($AC20&lt;&gt;"",$AC20&gt;=CV$7,$AC20&lt;CV$7+7),"G","")&amp;IF(AND($AH20&lt;&gt;"",$AH20&gt;=CV$7,$AH20&lt;CV$7+7),"S","")</f>
        <v/>
      </c>
      <c r="CW20" s="92" t="str">
        <f aca="false">IF(AND($Y20&lt;&gt;"",$Y20&gt;=CW$7,$Y20&lt;CW$7+7),"I","")&amp;IF(AND($Z20&lt;&gt;"",$Z20&gt;=CW$7,$Z20&lt;CW$7+7),"P","")&amp;IF(AND($AA20&lt;&gt;"",$AA20&gt;=CW$7,$AA20&lt;CW$7+7),"T","")&amp;IF(AND($AB20&lt;&gt;"",$AB20&gt;=CW$7,$AB20&lt;CW$7+7),"H","")&amp;IF(AND($AC20&lt;&gt;"",$AC20&gt;=CW$7,$AC20&lt;CW$7+7),"G","")&amp;IF(AND($AH20&lt;&gt;"",$AH20&gt;=CW$7,$AH20&lt;CW$7+7),"S","")</f>
        <v/>
      </c>
      <c r="CX20" s="92" t="str">
        <f aca="false">IF(AND($Y20&lt;&gt;"",$Y20&gt;=CX$7,$Y20&lt;CX$7+7),"I","")&amp;IF(AND($Z20&lt;&gt;"",$Z20&gt;=CX$7,$Z20&lt;CX$7+7),"P","")&amp;IF(AND($AA20&lt;&gt;"",$AA20&gt;=CX$7,$AA20&lt;CX$7+7),"T","")&amp;IF(AND($AB20&lt;&gt;"",$AB20&gt;=CX$7,$AB20&lt;CX$7+7),"H","")&amp;IF(AND($AC20&lt;&gt;"",$AC20&gt;=CX$7,$AC20&lt;CX$7+7),"G","")&amp;IF(AND($AH20&lt;&gt;"",$AH20&gt;=CX$7,$AH20&lt;CX$7+7),"S","")</f>
        <v/>
      </c>
      <c r="CY20" s="92" t="str">
        <f aca="false">IF(AND($Y20&lt;&gt;"",$Y20&gt;=CY$7,$Y20&lt;CY$7+7),"I","")&amp;IF(AND($Z20&lt;&gt;"",$Z20&gt;=CY$7,$Z20&lt;CY$7+7),"P","")&amp;IF(AND($AA20&lt;&gt;"",$AA20&gt;=CY$7,$AA20&lt;CY$7+7),"T","")&amp;IF(AND($AB20&lt;&gt;"",$AB20&gt;=CY$7,$AB20&lt;CY$7+7),"H","")&amp;IF(AND($AC20&lt;&gt;"",$AC20&gt;=CY$7,$AC20&lt;CY$7+7),"G","")&amp;IF(AND($AH20&lt;&gt;"",$AH20&gt;=CY$7,$AH20&lt;CY$7+7),"S","")</f>
        <v/>
      </c>
      <c r="CZ20" s="92" t="str">
        <f aca="false">IF(AND($Y20&lt;&gt;"",$Y20&gt;=CZ$7,$Y20&lt;CZ$7+7),"I","")&amp;IF(AND($Z20&lt;&gt;"",$Z20&gt;=CZ$7,$Z20&lt;CZ$7+7),"P","")&amp;IF(AND($AA20&lt;&gt;"",$AA20&gt;=CZ$7,$AA20&lt;CZ$7+7),"T","")&amp;IF(AND($AB20&lt;&gt;"",$AB20&gt;=CZ$7,$AB20&lt;CZ$7+7),"H","")&amp;IF(AND($AC20&lt;&gt;"",$AC20&gt;=CZ$7,$AC20&lt;CZ$7+7),"G","")&amp;IF(AND($AH20&lt;&gt;"",$AH20&gt;=CZ$7,$AH20&lt;CZ$7+7),"S","")</f>
        <v/>
      </c>
      <c r="DA20" s="92" t="str">
        <f aca="false">IF(AND($Y20&lt;&gt;"",$Y20&gt;=DA$7,$Y20&lt;DA$7+7),"I","")&amp;IF(AND($Z20&lt;&gt;"",$Z20&gt;=DA$7,$Z20&lt;DA$7+7),"P","")&amp;IF(AND($AA20&lt;&gt;"",$AA20&gt;=DA$7,$AA20&lt;DA$7+7),"T","")&amp;IF(AND($AB20&lt;&gt;"",$AB20&gt;=DA$7,$AB20&lt;DA$7+7),"H","")&amp;IF(AND($AC20&lt;&gt;"",$AC20&gt;=DA$7,$AC20&lt;DA$7+7),"G","")&amp;IF(AND($AH20&lt;&gt;"",$AH20&gt;=DA$7,$AH20&lt;DA$7+7),"S","")</f>
        <v/>
      </c>
      <c r="DB20" s="92" t="str">
        <f aca="false">IF(AND($Y20&lt;&gt;"",$Y20&gt;=DB$7,$Y20&lt;DB$7+7),"I","")&amp;IF(AND($Z20&lt;&gt;"",$Z20&gt;=DB$7,$Z20&lt;DB$7+7),"P","")&amp;IF(AND($AA20&lt;&gt;"",$AA20&gt;=DB$7,$AA20&lt;DB$7+7),"T","")&amp;IF(AND($AB20&lt;&gt;"",$AB20&gt;=DB$7,$AB20&lt;DB$7+7),"H","")&amp;IF(AND($AC20&lt;&gt;"",$AC20&gt;=DB$7,$AC20&lt;DB$7+7),"G","")&amp;IF(AND($AH20&lt;&gt;"",$AH20&gt;=DB$7,$AH20&lt;DB$7+7),"S","")</f>
        <v/>
      </c>
      <c r="DC20" s="92" t="str">
        <f aca="false">IF(AND($Y20&lt;&gt;"",$Y20&gt;=DC$7,$Y20&lt;DC$7+7),"I","")&amp;IF(AND($Z20&lt;&gt;"",$Z20&gt;=DC$7,$Z20&lt;DC$7+7),"P","")&amp;IF(AND($AA20&lt;&gt;"",$AA20&gt;=DC$7,$AA20&lt;DC$7+7),"T","")&amp;IF(AND($AB20&lt;&gt;"",$AB20&gt;=DC$7,$AB20&lt;DC$7+7),"H","")&amp;IF(AND($AC20&lt;&gt;"",$AC20&gt;=DC$7,$AC20&lt;DC$7+7),"G","")&amp;IF(AND($AH20&lt;&gt;"",$AH20&gt;=DC$7,$AH20&lt;DC$7+7),"S","")</f>
        <v/>
      </c>
    </row>
    <row r="21" customFormat="false" ht="15" hidden="false" customHeight="false" outlineLevel="0" collapsed="false">
      <c r="A21" s="47" t="s">
        <v>94</v>
      </c>
      <c r="B21" s="31" t="s">
        <v>95</v>
      </c>
      <c r="C21" s="36" t="s">
        <v>565</v>
      </c>
      <c r="D21" s="31" t="s">
        <v>566</v>
      </c>
      <c r="E21" s="31" t="s">
        <v>183</v>
      </c>
      <c r="F21" s="75" t="n">
        <v>280.44</v>
      </c>
      <c r="G21" s="31" t="s">
        <v>170</v>
      </c>
      <c r="H21" s="76" t="n">
        <f aca="false">PROJ_START+RD_SPAN</f>
        <v>46403</v>
      </c>
      <c r="I21" s="77" t="n">
        <f aca="false">H21+33</f>
        <v>46436</v>
      </c>
      <c r="J21" s="31" t="s">
        <v>97</v>
      </c>
      <c r="K21" s="36" t="s">
        <v>131</v>
      </c>
      <c r="L21" s="36" t="s">
        <v>96</v>
      </c>
      <c r="M21" s="36" t="s">
        <v>568</v>
      </c>
      <c r="N21" s="78" t="str">
        <f aca="false">IF(ISNUMBER(อัปเดตรายสัปดาห์!$AF21),อัปเดตรายสัปดาห์!$AF21,"")</f>
        <v/>
      </c>
      <c r="O21" s="78" t="str">
        <f aca="false">IF(ISNUMBER(อัปเดตรายสัปดาห์!$AH21),อัปเดตรายสัปดาห์!$AH21,"")</f>
        <v/>
      </c>
      <c r="P21" s="78" t="str">
        <f aca="false">IF(ISNUMBER(อัปเดตรายสัปดาห์!$AG21),อัปเดตรายสัปดาห์!$AG21,IF(AND(ISNUMBER(TCRoof!$AC$21),N(TCRoof!$AC$21)&lt;=ASOF),TCRoof!$AC$21,""))</f>
        <v/>
      </c>
      <c r="Q21" s="78" t="str">
        <f aca="false">IF(ISNUMBER(อัปเดตรายสัปดาห์!$AL21),อัปเดตรายสัปดาห์!$AL21,"")</f>
        <v/>
      </c>
      <c r="R21" s="78" t="str">
        <f aca="false">IF(ISNUMBER(อัปเดตรายสัปดาห์!$Q21),อัปเดตรายสัปดาห์!$Q21,"")</f>
        <v/>
      </c>
      <c r="S21" s="78" t="str">
        <f aca="false">IF(ISNUMBER(อัปเดตรายสัปดาห์!$R21),อัปเดตรายสัปดาห์!$R21,"")</f>
        <v/>
      </c>
      <c r="T21" s="78" t="str">
        <f aca="false">IF(ISNUMBER(อัปเดตรายสัปดาห์!$S21),อัปเดตรายสัปดาห์!$S21,IF(อัปเดตรายสัปดาห์!$S21="Y",ASOF,""))</f>
        <v/>
      </c>
      <c r="U21" s="78" t="str">
        <f aca="false">IF(ISNUMBER(อัปเดตรายสัปดาห์!$T21),อัปเดตรายสัปดาห์!$T21,IF(อัปเดตรายสัปดาห์!$T21="Y",ASOF,""))</f>
        <v/>
      </c>
      <c r="V21" s="78" t="str">
        <f aca="false">IF(ISNUMBER(อัปเดตรายสัปดาห์!$U21),อัปเดตรายสัปดาห์!$U21,IF(อัปเดตรายสัปดาห์!$U21="Y",ASOF,""))</f>
        <v/>
      </c>
      <c r="W21" s="78" t="str">
        <f aca="false">IF(ISNUMBER(อัปเดตรายสัปดาห์!$N21),อัปเดตรายสัปดาห์!$N21,"")</f>
        <v/>
      </c>
      <c r="X21" s="78" t="str">
        <f aca="false">IF(ISNUMBER(อัปเดตรายสัปดาห์!$V21),อัปเดตรายสัปดาห์!$V21,IF(AND(ISNUMBER(TCRoof!$AD$21),N(TCRoof!$AD$21)&lt;=ASOF),TCRoof!$AD$21,""))</f>
        <v/>
      </c>
      <c r="Y21" s="79" t="n">
        <f aca="false">IF(N21&lt;&gt;"",N21,WORKDAY((ASOF+LEAD_INST+7*INT((AT21-0.01)/MAX(1,AU21)))-1,1,HOLIDAYS))</f>
        <v>46349</v>
      </c>
      <c r="Z21" s="79" t="n">
        <f aca="false">IF(O21&lt;&gt;"",O21,WORKDAY((MAX(AV21+7*INT((AW21-1)/MAX(1,AX21)),AV21+7*INT((AY21-1)/MAX(1,AZ21))))-1,1,HOLIDAYS))</f>
        <v>46356</v>
      </c>
      <c r="AA21" s="79" t="n">
        <f aca="false">IF(P21&lt;&gt;"",P21,WORKDAY((BA21+7*INT((BB21-1)/MAX(1,BC21)))-1,1,HOLIDAYS))</f>
        <v>46359</v>
      </c>
      <c r="AB21" s="79" t="n">
        <f aca="false">IF(Q21&lt;&gt;"",Q21,WORKDAY((MAX(AA21+BD21,ASOF+1))-1,1,HOLIDAYS))</f>
        <v>46367</v>
      </c>
      <c r="AC21" s="79" t="n">
        <f aca="false">IF(R21&lt;&gt;"",R21,WORKDAY((MAX(Y21,ASOF)+LAG_GRID)-1,1,HOLIDAYS))</f>
        <v>46356</v>
      </c>
      <c r="AD21" s="79" t="n">
        <f aca="false">IF(T21&lt;&gt;"",T21,WORKDAY((MAX(WORKDAY(MAX(AC21,N(S21)),REVIEW_WD,HOLIDAYS),ASOF+1))-1,1,HOLIDAYS))</f>
        <v>46379</v>
      </c>
      <c r="AE21" s="79" t="n">
        <f aca="false">IF(U21&lt;&gt;"",U21,WORKDAY((MAX(AD21,ASOF)+FEE_DAYS)-1,1,HOLIDAYS))</f>
        <v>46386</v>
      </c>
      <c r="AF21" s="79" t="n">
        <f aca="false">IF(V21&lt;&gt;"",V21,WORKDAY((MAX(AA21,Z21,AE21,IF(AG21="",0,AG21+REVIEW_PK2),ASOF)+LAG_INSREQ)-1,1,HOLIDAYS))</f>
        <v>46391</v>
      </c>
      <c r="AG21" s="79" t="n">
        <f aca="false">IF(M21&lt;&gt;"Y","",IF(W21&lt;&gt;"",W21,WORKDAY((MAX(Y21,ASOF)+LAG_GRID)-1,1,HOLIDAYS)))</f>
        <v>46356</v>
      </c>
      <c r="AH21" s="80" t="n">
        <f aca="false">IF(X21&lt;&gt;"",X21,WORKDAY(AF21,INSPECT_WD,HOLIDAYS))</f>
        <v>46433</v>
      </c>
      <c r="AI21" s="81" t="n">
        <f aca="false">IF(H21="","",AB21-H21)</f>
        <v>-36</v>
      </c>
      <c r="AJ21" s="81" t="n">
        <f aca="false">IF(I21="","",AH21-I21)</f>
        <v>-3</v>
      </c>
      <c r="AK21" s="82" t="n">
        <f aca="false">IF(AND(ISNUMBER(N21),N(N21)&lt;=ASOF),1,0)+IF(AND(ISNUMBER(O21),N(O21)&lt;=ASOF),1,0)+IF(AND(ISNUMBER(P21),N(P21)&lt;=ASOF),1,0)+IF(AND(ISNUMBER(Q21),N(Q21)&lt;=ASOF),1,0)+IF(AND(ISNUMBER(R21),N(R21)&lt;=ASOF),1,0)+IF(AND(ISNUMBER(U21),N(U21)&lt;=ASOF),1,0)+IF(AND(ISNUMBER(X21),N(X21)&lt;=ASOF),1,0)+IF(AND(ISNUMBER(W21),N(W21)&lt;=ASOF),1,0)</f>
        <v>0</v>
      </c>
      <c r="AL21" s="83" t="n">
        <v>8</v>
      </c>
      <c r="AM21" s="84" t="n">
        <f aca="false">'P9-014'!$J$4</f>
        <v>0</v>
      </c>
      <c r="AN21" s="85" t="str">
        <f aca="false">TRIM(IF(AND(ISNUMBER(O21),NOT(ISNUMBER(N21))),"กฟภ.ตรวจก่อนติดตั้ง, ","")&amp;IF(AND(ISNUMBER(P21),NOT(ISNUMBER(N21))),"IEC ก่อนติดตั้ง, ","")&amp;IF(AND(ISNUMBER(Q21),NOT(ISNUMBER(N21))),"ส่งมอบก่อนติดตั้ง, ","")&amp;IF(AND(ISNUMBER(Q21),ISNUMBER(P21),N(Q21)&lt;N(P21)),"ส่งมอบก่อน IEC, ","")&amp;IF(AND(ISNUMBER(อัปเดตรายสัปดาห์!$AG21),ISNUMBER(TCRoof!$AC$21),ABS(N(อัปเดตรายสัปดาห์!$AG21)-N(TCRoof!$AC$21))&gt;3),"IEC Excel≠แอป, ","")&amp;IF(AND(ISNUMBER(อัปเดตรายสัปดาห์!$V21),ISNUMBER(TCRoof!$AD$21),ABS(N(อัปเดตรายสัปดาห์!$V21)-N(TCRoof!$AD$21))&gt;3),"COD Excel≠แอป, ","")&amp;IF(AND(ISNUMBER(อัปเดตรายสัปดาห์!$AF21),ISNUMBER(TCRoof!$AB$21),ABS(N(อัปเดตรายสัปดาห์!$AF21)-N(TCRoof!$AB$21))&gt;3),"ติดตั้ง Excel≠แอป, ","")&amp;IF(AND(ISNUMBER(N21),N(N21)&gt;ASOF,OR(WEEKDAY(N(N21),2)&gt;5,COUNTIF(HOLIDAYS,N(N21))&gt;0)),"นัดดับไฟตรงวันหยุด, ","")&amp;IF(AND(ISNUMBER(O21),N(O21)&gt;ASOF,OR(WEEKDAY(N(O21),2)&gt;5,COUNTIF(HOLIDAYS,N(O21))&gt;0)),"นัด กฟภ.ตรงวันหยุด, ","")&amp;IF(AND(ISNUMBER(P21),N(P21)&gt;ASOF,OR(WEEKDAY(N(P21),2)&gt;5,COUNTIF(HOLIDAYS,N(P21))&gt;0)),"นัด IECตรงวันหยุด, ","")&amp;IF(AND(ISNUMBER(X21),N(X21)&gt;ASOF,OR(WEEKDAY(N(X21),2)&gt;5,COUNTIF(HOLIDAYS,N(X21))&gt;0)),"นัด Syncตรงวันหยุด, ",""))</f>
        <v/>
      </c>
      <c r="AO21" s="86" t="n">
        <f aca="false">SUMIFS(CR_COD,CR_ST,A21,CR_STAT,"อนุมัติ")+SUMIFS(CR_COD,CR_ST,"ทั้งเฟส",CR_STAT,"อนุมัติ")+SUMIFS(CR_COD,CR_ST,"ผรม. "&amp;L21,CR_STAT,"อนุมัติ")+SUMIFS(CR_COD,CR_ST,"เขต "&amp;E21,CR_STAT,"อนุมัติ")</f>
        <v>0</v>
      </c>
      <c r="AP21" s="86" t="n">
        <f aca="false">IF(NOT(ISNUMBER(AJ21)),"",MAX(0,AJ21-AO21))</f>
        <v>0</v>
      </c>
      <c r="AQ21" s="86" t="n">
        <f aca="false">COUNTIF(RW_ST,A21)</f>
        <v>0</v>
      </c>
      <c r="AR21" s="87" t="str">
        <f aca="false">IF(ISNUMBER(TCRoof!$I$21),TCRoof!$I$21,"")</f>
        <v/>
      </c>
      <c r="AS21" s="88" t="str">
        <f aca="false">IF(ISNUMBER(TCRoof!$H$21),TCRoof!$H$21,"")</f>
        <v/>
      </c>
      <c r="AT21" s="89" t="n">
        <f aca="false">IF(N21&lt;&gt;"","",SUMIFS($F$8:$F$27,$L$8:$L$27,L21,$N$8:$N$27,"",$H$8:$H$27,"&lt;"&amp;H21)+SUMIFS($F$8:$F$27,$L$8:$L$27,L21,$N$8:$N$27,"",$H$8:$H$27,H21,$A$8:$A$27,"&lt;="&amp;A21)+SUMIFS($F$8:$F$27,$L$8:$L$27,L21,$N$8:$N$27,"&gt;"&amp;ASOF))</f>
        <v>280.44</v>
      </c>
      <c r="AU21" s="89" t="n">
        <f aca="false">IFERROR(VLOOKUP(L21,TEAM_TBL,2,0)*VLOOKUP(L21,TEAM_TBL,3,0),150)</f>
        <v>150</v>
      </c>
      <c r="AV21" s="90" t="n">
        <f aca="false">IF(O21&lt;&gt;"","",MAX(Y21+LAG_PEA,ASOF+LAG_PEA))</f>
        <v>46356</v>
      </c>
      <c r="AW21" s="89" t="n">
        <f aca="false">IF(O21&lt;&gt;"","",COUNTIFS($E$8:$E$27,E21,$AV$8:$AV$27,"&lt;"&amp;AV21)+COUNTIFS($E$8:$E$27,E21,$AV$8:$AV$27,AV21,$A$8:$A$27,"&lt;"&amp;A21)+COUNTIFS($E$8:$E$27,E21,$O$8:$O$27,"&gt;"&amp;ASOF)+1)</f>
        <v>1</v>
      </c>
      <c r="AX21" s="89" t="n">
        <f aca="false">IFERROR(VLOOKUP(E21,ZONE_TBL,2,0),CAP_PEA)</f>
        <v>3</v>
      </c>
      <c r="AY21" s="89" t="n">
        <f aca="false">IF(O21&lt;&gt;"","",COUNTIFS($J$8:$J$27,J21,$AV$8:$AV$27,"&lt;"&amp;AV21)+COUNTIFS($J$8:$J$27,J21,$AV$8:$AV$27,AV21,$A$8:$A$27,"&lt;"&amp;A21)+COUNTIFS($J$8:$J$27,J21,$O$8:$O$27,"&gt;"&amp;ASOF)+1)</f>
        <v>1</v>
      </c>
      <c r="AZ21" s="89" t="n">
        <f aca="false">IFERROR(VLOOKUP(J21,ENG_TBL,2,0),ENG_CAP)</f>
        <v>3</v>
      </c>
      <c r="BA21" s="90" t="n">
        <f aca="false">IF(P21&lt;&gt;"","",MAX(Z21+LAG_IEC,ASOF+1))</f>
        <v>46359</v>
      </c>
      <c r="BB21" s="89" t="n">
        <f aca="false">IF(P21&lt;&gt;"","",COUNTIFS($L$8:$L$27,L21,$BA$8:$BA$27,"&lt;"&amp;BA21)+COUNTIFS($L$8:$L$27,L21,$BA$8:$BA$27,BA21,$A$8:$A$27,"&lt;"&amp;A21)+COUNTIFS($L$8:$L$27,L21,$P$8:$P$27,"&gt;"&amp;ASOF)+1)</f>
        <v>1</v>
      </c>
      <c r="BC21" s="89" t="n">
        <f aca="false">IFERROR(VLOOKUP(L21,TEAM_TBL,4,0)*VLOOKUP(L21,TEAM_TBL,5,0),3)</f>
        <v>3</v>
      </c>
      <c r="BD21" s="91" t="n">
        <f aca="false">IFERROR(VLOOKUP(L21,TEAM_TBL,6,0),LAG_HO)</f>
        <v>7</v>
      </c>
      <c r="BE21" s="89" t="n">
        <f aca="false">IF(ISNUMBER(AW21),7*INT((AW21-1)/MAX(1,AX21)),"")</f>
        <v>0</v>
      </c>
      <c r="BF21" s="89" t="n">
        <f aca="false">IF(ISNUMBER(AY21),7*INT((AY21-1)/MAX(1,AZ21)),"")</f>
        <v>0</v>
      </c>
      <c r="BH21" s="92" t="str">
        <f aca="false">IF(AND($Y21&lt;&gt;"",$Y21&gt;=BH$7,$Y21&lt;BH$7+7),"I","")&amp;IF(AND($Z21&lt;&gt;"",$Z21&gt;=BH$7,$Z21&lt;BH$7+7),"P","")&amp;IF(AND($AA21&lt;&gt;"",$AA21&gt;=BH$7,$AA21&lt;BH$7+7),"T","")&amp;IF(AND($AB21&lt;&gt;"",$AB21&gt;=BH$7,$AB21&lt;BH$7+7),"H","")&amp;IF(AND($AC21&lt;&gt;"",$AC21&gt;=BH$7,$AC21&lt;BH$7+7),"G","")&amp;IF(AND($AH21&lt;&gt;"",$AH21&gt;=BH$7,$AH21&lt;BH$7+7),"S","")</f>
        <v/>
      </c>
      <c r="BI21" s="92" t="str">
        <f aca="false">IF(AND($Y21&lt;&gt;"",$Y21&gt;=BI$7,$Y21&lt;BI$7+7),"I","")&amp;IF(AND($Z21&lt;&gt;"",$Z21&gt;=BI$7,$Z21&lt;BI$7+7),"P","")&amp;IF(AND($AA21&lt;&gt;"",$AA21&gt;=BI$7,$AA21&lt;BI$7+7),"T","")&amp;IF(AND($AB21&lt;&gt;"",$AB21&gt;=BI$7,$AB21&lt;BI$7+7),"H","")&amp;IF(AND($AC21&lt;&gt;"",$AC21&gt;=BI$7,$AC21&lt;BI$7+7),"G","")&amp;IF(AND($AH21&lt;&gt;"",$AH21&gt;=BI$7,$AH21&lt;BI$7+7),"S","")</f>
        <v/>
      </c>
      <c r="BJ21" s="92" t="str">
        <f aca="false">IF(AND($Y21&lt;&gt;"",$Y21&gt;=BJ$7,$Y21&lt;BJ$7+7),"I","")&amp;IF(AND($Z21&lt;&gt;"",$Z21&gt;=BJ$7,$Z21&lt;BJ$7+7),"P","")&amp;IF(AND($AA21&lt;&gt;"",$AA21&gt;=BJ$7,$AA21&lt;BJ$7+7),"T","")&amp;IF(AND($AB21&lt;&gt;"",$AB21&gt;=BJ$7,$AB21&lt;BJ$7+7),"H","")&amp;IF(AND($AC21&lt;&gt;"",$AC21&gt;=BJ$7,$AC21&lt;BJ$7+7),"G","")&amp;IF(AND($AH21&lt;&gt;"",$AH21&gt;=BJ$7,$AH21&lt;BJ$7+7),"S","")</f>
        <v/>
      </c>
      <c r="BK21" s="92" t="str">
        <f aca="false">IF(AND($Y21&lt;&gt;"",$Y21&gt;=BK$7,$Y21&lt;BK$7+7),"I","")&amp;IF(AND($Z21&lt;&gt;"",$Z21&gt;=BK$7,$Z21&lt;BK$7+7),"P","")&amp;IF(AND($AA21&lt;&gt;"",$AA21&gt;=BK$7,$AA21&lt;BK$7+7),"T","")&amp;IF(AND($AB21&lt;&gt;"",$AB21&gt;=BK$7,$AB21&lt;BK$7+7),"H","")&amp;IF(AND($AC21&lt;&gt;"",$AC21&gt;=BK$7,$AC21&lt;BK$7+7),"G","")&amp;IF(AND($AH21&lt;&gt;"",$AH21&gt;=BK$7,$AH21&lt;BK$7+7),"S","")</f>
        <v/>
      </c>
      <c r="BL21" s="92" t="str">
        <f aca="false">IF(AND($Y21&lt;&gt;"",$Y21&gt;=BL$7,$Y21&lt;BL$7+7),"I","")&amp;IF(AND($Z21&lt;&gt;"",$Z21&gt;=BL$7,$Z21&lt;BL$7+7),"P","")&amp;IF(AND($AA21&lt;&gt;"",$AA21&gt;=BL$7,$AA21&lt;BL$7+7),"T","")&amp;IF(AND($AB21&lt;&gt;"",$AB21&gt;=BL$7,$AB21&lt;BL$7+7),"H","")&amp;IF(AND($AC21&lt;&gt;"",$AC21&gt;=BL$7,$AC21&lt;BL$7+7),"G","")&amp;IF(AND($AH21&lt;&gt;"",$AH21&gt;=BL$7,$AH21&lt;BL$7+7),"S","")</f>
        <v>I</v>
      </c>
      <c r="BM21" s="92" t="str">
        <f aca="false">IF(AND($Y21&lt;&gt;"",$Y21&gt;=BM$7,$Y21&lt;BM$7+7),"I","")&amp;IF(AND($Z21&lt;&gt;"",$Z21&gt;=BM$7,$Z21&lt;BM$7+7),"P","")&amp;IF(AND($AA21&lt;&gt;"",$AA21&gt;=BM$7,$AA21&lt;BM$7+7),"T","")&amp;IF(AND($AB21&lt;&gt;"",$AB21&gt;=BM$7,$AB21&lt;BM$7+7),"H","")&amp;IF(AND($AC21&lt;&gt;"",$AC21&gt;=BM$7,$AC21&lt;BM$7+7),"G","")&amp;IF(AND($AH21&lt;&gt;"",$AH21&gt;=BM$7,$AH21&lt;BM$7+7),"S","")</f>
        <v>PTG</v>
      </c>
      <c r="BN21" s="92" t="str">
        <f aca="false">IF(AND($Y21&lt;&gt;"",$Y21&gt;=BN$7,$Y21&lt;BN$7+7),"I","")&amp;IF(AND($Z21&lt;&gt;"",$Z21&gt;=BN$7,$Z21&lt;BN$7+7),"P","")&amp;IF(AND($AA21&lt;&gt;"",$AA21&gt;=BN$7,$AA21&lt;BN$7+7),"T","")&amp;IF(AND($AB21&lt;&gt;"",$AB21&gt;=BN$7,$AB21&lt;BN$7+7),"H","")&amp;IF(AND($AC21&lt;&gt;"",$AC21&gt;=BN$7,$AC21&lt;BN$7+7),"G","")&amp;IF(AND($AH21&lt;&gt;"",$AH21&gt;=BN$7,$AH21&lt;BN$7+7),"S","")</f>
        <v>H</v>
      </c>
      <c r="BO21" s="92" t="str">
        <f aca="false">IF(AND($Y21&lt;&gt;"",$Y21&gt;=BO$7,$Y21&lt;BO$7+7),"I","")&amp;IF(AND($Z21&lt;&gt;"",$Z21&gt;=BO$7,$Z21&lt;BO$7+7),"P","")&amp;IF(AND($AA21&lt;&gt;"",$AA21&gt;=BO$7,$AA21&lt;BO$7+7),"T","")&amp;IF(AND($AB21&lt;&gt;"",$AB21&gt;=BO$7,$AB21&lt;BO$7+7),"H","")&amp;IF(AND($AC21&lt;&gt;"",$AC21&gt;=BO$7,$AC21&lt;BO$7+7),"G","")&amp;IF(AND($AH21&lt;&gt;"",$AH21&gt;=BO$7,$AH21&lt;BO$7+7),"S","")</f>
        <v/>
      </c>
      <c r="BP21" s="92" t="str">
        <f aca="false">IF(AND($Y21&lt;&gt;"",$Y21&gt;=BP$7,$Y21&lt;BP$7+7),"I","")&amp;IF(AND($Z21&lt;&gt;"",$Z21&gt;=BP$7,$Z21&lt;BP$7+7),"P","")&amp;IF(AND($AA21&lt;&gt;"",$AA21&gt;=BP$7,$AA21&lt;BP$7+7),"T","")&amp;IF(AND($AB21&lt;&gt;"",$AB21&gt;=BP$7,$AB21&lt;BP$7+7),"H","")&amp;IF(AND($AC21&lt;&gt;"",$AC21&gt;=BP$7,$AC21&lt;BP$7+7),"G","")&amp;IF(AND($AH21&lt;&gt;"",$AH21&gt;=BP$7,$AH21&lt;BP$7+7),"S","")</f>
        <v/>
      </c>
      <c r="BQ21" s="92" t="str">
        <f aca="false">IF(AND($Y21&lt;&gt;"",$Y21&gt;=BQ$7,$Y21&lt;BQ$7+7),"I","")&amp;IF(AND($Z21&lt;&gt;"",$Z21&gt;=BQ$7,$Z21&lt;BQ$7+7),"P","")&amp;IF(AND($AA21&lt;&gt;"",$AA21&gt;=BQ$7,$AA21&lt;BQ$7+7),"T","")&amp;IF(AND($AB21&lt;&gt;"",$AB21&gt;=BQ$7,$AB21&lt;BQ$7+7),"H","")&amp;IF(AND($AC21&lt;&gt;"",$AC21&gt;=BQ$7,$AC21&lt;BQ$7+7),"G","")&amp;IF(AND($AH21&lt;&gt;"",$AH21&gt;=BQ$7,$AH21&lt;BQ$7+7),"S","")</f>
        <v/>
      </c>
      <c r="BR21" s="92" t="str">
        <f aca="false">IF(AND($Y21&lt;&gt;"",$Y21&gt;=BR$7,$Y21&lt;BR$7+7),"I","")&amp;IF(AND($Z21&lt;&gt;"",$Z21&gt;=BR$7,$Z21&lt;BR$7+7),"P","")&amp;IF(AND($AA21&lt;&gt;"",$AA21&gt;=BR$7,$AA21&lt;BR$7+7),"T","")&amp;IF(AND($AB21&lt;&gt;"",$AB21&gt;=BR$7,$AB21&lt;BR$7+7),"H","")&amp;IF(AND($AC21&lt;&gt;"",$AC21&gt;=BR$7,$AC21&lt;BR$7+7),"G","")&amp;IF(AND($AH21&lt;&gt;"",$AH21&gt;=BR$7,$AH21&lt;BR$7+7),"S","")</f>
        <v/>
      </c>
      <c r="BS21" s="92" t="str">
        <f aca="false">IF(AND($Y21&lt;&gt;"",$Y21&gt;=BS$7,$Y21&lt;BS$7+7),"I","")&amp;IF(AND($Z21&lt;&gt;"",$Z21&gt;=BS$7,$Z21&lt;BS$7+7),"P","")&amp;IF(AND($AA21&lt;&gt;"",$AA21&gt;=BS$7,$AA21&lt;BS$7+7),"T","")&amp;IF(AND($AB21&lt;&gt;"",$AB21&gt;=BS$7,$AB21&lt;BS$7+7),"H","")&amp;IF(AND($AC21&lt;&gt;"",$AC21&gt;=BS$7,$AC21&lt;BS$7+7),"G","")&amp;IF(AND($AH21&lt;&gt;"",$AH21&gt;=BS$7,$AH21&lt;BS$7+7),"S","")</f>
        <v/>
      </c>
      <c r="BT21" s="92" t="str">
        <f aca="false">IF(AND($Y21&lt;&gt;"",$Y21&gt;=BT$7,$Y21&lt;BT$7+7),"I","")&amp;IF(AND($Z21&lt;&gt;"",$Z21&gt;=BT$7,$Z21&lt;BT$7+7),"P","")&amp;IF(AND($AA21&lt;&gt;"",$AA21&gt;=BT$7,$AA21&lt;BT$7+7),"T","")&amp;IF(AND($AB21&lt;&gt;"",$AB21&gt;=BT$7,$AB21&lt;BT$7+7),"H","")&amp;IF(AND($AC21&lt;&gt;"",$AC21&gt;=BT$7,$AC21&lt;BT$7+7),"G","")&amp;IF(AND($AH21&lt;&gt;"",$AH21&gt;=BT$7,$AH21&lt;BT$7+7),"S","")</f>
        <v/>
      </c>
      <c r="BU21" s="92" t="str">
        <f aca="false">IF(AND($Y21&lt;&gt;"",$Y21&gt;=BU$7,$Y21&lt;BU$7+7),"I","")&amp;IF(AND($Z21&lt;&gt;"",$Z21&gt;=BU$7,$Z21&lt;BU$7+7),"P","")&amp;IF(AND($AA21&lt;&gt;"",$AA21&gt;=BU$7,$AA21&lt;BU$7+7),"T","")&amp;IF(AND($AB21&lt;&gt;"",$AB21&gt;=BU$7,$AB21&lt;BU$7+7),"H","")&amp;IF(AND($AC21&lt;&gt;"",$AC21&gt;=BU$7,$AC21&lt;BU$7+7),"G","")&amp;IF(AND($AH21&lt;&gt;"",$AH21&gt;=BU$7,$AH21&lt;BU$7+7),"S","")</f>
        <v/>
      </c>
      <c r="BV21" s="92" t="str">
        <f aca="false">IF(AND($Y21&lt;&gt;"",$Y21&gt;=BV$7,$Y21&lt;BV$7+7),"I","")&amp;IF(AND($Z21&lt;&gt;"",$Z21&gt;=BV$7,$Z21&lt;BV$7+7),"P","")&amp;IF(AND($AA21&lt;&gt;"",$AA21&gt;=BV$7,$AA21&lt;BV$7+7),"T","")&amp;IF(AND($AB21&lt;&gt;"",$AB21&gt;=BV$7,$AB21&lt;BV$7+7),"H","")&amp;IF(AND($AC21&lt;&gt;"",$AC21&gt;=BV$7,$AC21&lt;BV$7+7),"G","")&amp;IF(AND($AH21&lt;&gt;"",$AH21&gt;=BV$7,$AH21&lt;BV$7+7),"S","")</f>
        <v/>
      </c>
      <c r="BW21" s="92" t="str">
        <f aca="false">IF(AND($Y21&lt;&gt;"",$Y21&gt;=BW$7,$Y21&lt;BW$7+7),"I","")&amp;IF(AND($Z21&lt;&gt;"",$Z21&gt;=BW$7,$Z21&lt;BW$7+7),"P","")&amp;IF(AND($AA21&lt;&gt;"",$AA21&gt;=BW$7,$AA21&lt;BW$7+7),"T","")&amp;IF(AND($AB21&lt;&gt;"",$AB21&gt;=BW$7,$AB21&lt;BW$7+7),"H","")&amp;IF(AND($AC21&lt;&gt;"",$AC21&gt;=BW$7,$AC21&lt;BW$7+7),"G","")&amp;IF(AND($AH21&lt;&gt;"",$AH21&gt;=BW$7,$AH21&lt;BW$7+7),"S","")</f>
        <v/>
      </c>
      <c r="BX21" s="92" t="str">
        <f aca="false">IF(AND($Y21&lt;&gt;"",$Y21&gt;=BX$7,$Y21&lt;BX$7+7),"I","")&amp;IF(AND($Z21&lt;&gt;"",$Z21&gt;=BX$7,$Z21&lt;BX$7+7),"P","")&amp;IF(AND($AA21&lt;&gt;"",$AA21&gt;=BX$7,$AA21&lt;BX$7+7),"T","")&amp;IF(AND($AB21&lt;&gt;"",$AB21&gt;=BX$7,$AB21&lt;BX$7+7),"H","")&amp;IF(AND($AC21&lt;&gt;"",$AC21&gt;=BX$7,$AC21&lt;BX$7+7),"G","")&amp;IF(AND($AH21&lt;&gt;"",$AH21&gt;=BX$7,$AH21&lt;BX$7+7),"S","")</f>
        <v>S</v>
      </c>
      <c r="BY21" s="92" t="str">
        <f aca="false">IF(AND($Y21&lt;&gt;"",$Y21&gt;=BY$7,$Y21&lt;BY$7+7),"I","")&amp;IF(AND($Z21&lt;&gt;"",$Z21&gt;=BY$7,$Z21&lt;BY$7+7),"P","")&amp;IF(AND($AA21&lt;&gt;"",$AA21&gt;=BY$7,$AA21&lt;BY$7+7),"T","")&amp;IF(AND($AB21&lt;&gt;"",$AB21&gt;=BY$7,$AB21&lt;BY$7+7),"H","")&amp;IF(AND($AC21&lt;&gt;"",$AC21&gt;=BY$7,$AC21&lt;BY$7+7),"G","")&amp;IF(AND($AH21&lt;&gt;"",$AH21&gt;=BY$7,$AH21&lt;BY$7+7),"S","")</f>
        <v/>
      </c>
      <c r="BZ21" s="92" t="str">
        <f aca="false">IF(AND($Y21&lt;&gt;"",$Y21&gt;=BZ$7,$Y21&lt;BZ$7+7),"I","")&amp;IF(AND($Z21&lt;&gt;"",$Z21&gt;=BZ$7,$Z21&lt;BZ$7+7),"P","")&amp;IF(AND($AA21&lt;&gt;"",$AA21&gt;=BZ$7,$AA21&lt;BZ$7+7),"T","")&amp;IF(AND($AB21&lt;&gt;"",$AB21&gt;=BZ$7,$AB21&lt;BZ$7+7),"H","")&amp;IF(AND($AC21&lt;&gt;"",$AC21&gt;=BZ$7,$AC21&lt;BZ$7+7),"G","")&amp;IF(AND($AH21&lt;&gt;"",$AH21&gt;=BZ$7,$AH21&lt;BZ$7+7),"S","")</f>
        <v/>
      </c>
      <c r="CA21" s="92" t="str">
        <f aca="false">IF(AND($Y21&lt;&gt;"",$Y21&gt;=CA$7,$Y21&lt;CA$7+7),"I","")&amp;IF(AND($Z21&lt;&gt;"",$Z21&gt;=CA$7,$Z21&lt;CA$7+7),"P","")&amp;IF(AND($AA21&lt;&gt;"",$AA21&gt;=CA$7,$AA21&lt;CA$7+7),"T","")&amp;IF(AND($AB21&lt;&gt;"",$AB21&gt;=CA$7,$AB21&lt;CA$7+7),"H","")&amp;IF(AND($AC21&lt;&gt;"",$AC21&gt;=CA$7,$AC21&lt;CA$7+7),"G","")&amp;IF(AND($AH21&lt;&gt;"",$AH21&gt;=CA$7,$AH21&lt;CA$7+7),"S","")</f>
        <v/>
      </c>
      <c r="CB21" s="92" t="str">
        <f aca="false">IF(AND($Y21&lt;&gt;"",$Y21&gt;=CB$7,$Y21&lt;CB$7+7),"I","")&amp;IF(AND($Z21&lt;&gt;"",$Z21&gt;=CB$7,$Z21&lt;CB$7+7),"P","")&amp;IF(AND($AA21&lt;&gt;"",$AA21&gt;=CB$7,$AA21&lt;CB$7+7),"T","")&amp;IF(AND($AB21&lt;&gt;"",$AB21&gt;=CB$7,$AB21&lt;CB$7+7),"H","")&amp;IF(AND($AC21&lt;&gt;"",$AC21&gt;=CB$7,$AC21&lt;CB$7+7),"G","")&amp;IF(AND($AH21&lt;&gt;"",$AH21&gt;=CB$7,$AH21&lt;CB$7+7),"S","")</f>
        <v/>
      </c>
      <c r="CC21" s="92" t="str">
        <f aca="false">IF(AND($Y21&lt;&gt;"",$Y21&gt;=CC$7,$Y21&lt;CC$7+7),"I","")&amp;IF(AND($Z21&lt;&gt;"",$Z21&gt;=CC$7,$Z21&lt;CC$7+7),"P","")&amp;IF(AND($AA21&lt;&gt;"",$AA21&gt;=CC$7,$AA21&lt;CC$7+7),"T","")&amp;IF(AND($AB21&lt;&gt;"",$AB21&gt;=CC$7,$AB21&lt;CC$7+7),"H","")&amp;IF(AND($AC21&lt;&gt;"",$AC21&gt;=CC$7,$AC21&lt;CC$7+7),"G","")&amp;IF(AND($AH21&lt;&gt;"",$AH21&gt;=CC$7,$AH21&lt;CC$7+7),"S","")</f>
        <v/>
      </c>
      <c r="CD21" s="92" t="str">
        <f aca="false">IF(AND($Y21&lt;&gt;"",$Y21&gt;=CD$7,$Y21&lt;CD$7+7),"I","")&amp;IF(AND($Z21&lt;&gt;"",$Z21&gt;=CD$7,$Z21&lt;CD$7+7),"P","")&amp;IF(AND($AA21&lt;&gt;"",$AA21&gt;=CD$7,$AA21&lt;CD$7+7),"T","")&amp;IF(AND($AB21&lt;&gt;"",$AB21&gt;=CD$7,$AB21&lt;CD$7+7),"H","")&amp;IF(AND($AC21&lt;&gt;"",$AC21&gt;=CD$7,$AC21&lt;CD$7+7),"G","")&amp;IF(AND($AH21&lt;&gt;"",$AH21&gt;=CD$7,$AH21&lt;CD$7+7),"S","")</f>
        <v/>
      </c>
      <c r="CE21" s="92" t="str">
        <f aca="false">IF(AND($Y21&lt;&gt;"",$Y21&gt;=CE$7,$Y21&lt;CE$7+7),"I","")&amp;IF(AND($Z21&lt;&gt;"",$Z21&gt;=CE$7,$Z21&lt;CE$7+7),"P","")&amp;IF(AND($AA21&lt;&gt;"",$AA21&gt;=CE$7,$AA21&lt;CE$7+7),"T","")&amp;IF(AND($AB21&lt;&gt;"",$AB21&gt;=CE$7,$AB21&lt;CE$7+7),"H","")&amp;IF(AND($AC21&lt;&gt;"",$AC21&gt;=CE$7,$AC21&lt;CE$7+7),"G","")&amp;IF(AND($AH21&lt;&gt;"",$AH21&gt;=CE$7,$AH21&lt;CE$7+7),"S","")</f>
        <v/>
      </c>
      <c r="CF21" s="92" t="str">
        <f aca="false">IF(AND($Y21&lt;&gt;"",$Y21&gt;=CF$7,$Y21&lt;CF$7+7),"I","")&amp;IF(AND($Z21&lt;&gt;"",$Z21&gt;=CF$7,$Z21&lt;CF$7+7),"P","")&amp;IF(AND($AA21&lt;&gt;"",$AA21&gt;=CF$7,$AA21&lt;CF$7+7),"T","")&amp;IF(AND($AB21&lt;&gt;"",$AB21&gt;=CF$7,$AB21&lt;CF$7+7),"H","")&amp;IF(AND($AC21&lt;&gt;"",$AC21&gt;=CF$7,$AC21&lt;CF$7+7),"G","")&amp;IF(AND($AH21&lt;&gt;"",$AH21&gt;=CF$7,$AH21&lt;CF$7+7),"S","")</f>
        <v/>
      </c>
      <c r="CG21" s="92" t="str">
        <f aca="false">IF(AND($Y21&lt;&gt;"",$Y21&gt;=CG$7,$Y21&lt;CG$7+7),"I","")&amp;IF(AND($Z21&lt;&gt;"",$Z21&gt;=CG$7,$Z21&lt;CG$7+7),"P","")&amp;IF(AND($AA21&lt;&gt;"",$AA21&gt;=CG$7,$AA21&lt;CG$7+7),"T","")&amp;IF(AND($AB21&lt;&gt;"",$AB21&gt;=CG$7,$AB21&lt;CG$7+7),"H","")&amp;IF(AND($AC21&lt;&gt;"",$AC21&gt;=CG$7,$AC21&lt;CG$7+7),"G","")&amp;IF(AND($AH21&lt;&gt;"",$AH21&gt;=CG$7,$AH21&lt;CG$7+7),"S","")</f>
        <v/>
      </c>
      <c r="CH21" s="92" t="str">
        <f aca="false">IF(AND($Y21&lt;&gt;"",$Y21&gt;=CH$7,$Y21&lt;CH$7+7),"I","")&amp;IF(AND($Z21&lt;&gt;"",$Z21&gt;=CH$7,$Z21&lt;CH$7+7),"P","")&amp;IF(AND($AA21&lt;&gt;"",$AA21&gt;=CH$7,$AA21&lt;CH$7+7),"T","")&amp;IF(AND($AB21&lt;&gt;"",$AB21&gt;=CH$7,$AB21&lt;CH$7+7),"H","")&amp;IF(AND($AC21&lt;&gt;"",$AC21&gt;=CH$7,$AC21&lt;CH$7+7),"G","")&amp;IF(AND($AH21&lt;&gt;"",$AH21&gt;=CH$7,$AH21&lt;CH$7+7),"S","")</f>
        <v/>
      </c>
      <c r="CI21" s="92" t="str">
        <f aca="false">IF(AND($Y21&lt;&gt;"",$Y21&gt;=CI$7,$Y21&lt;CI$7+7),"I","")&amp;IF(AND($Z21&lt;&gt;"",$Z21&gt;=CI$7,$Z21&lt;CI$7+7),"P","")&amp;IF(AND($AA21&lt;&gt;"",$AA21&gt;=CI$7,$AA21&lt;CI$7+7),"T","")&amp;IF(AND($AB21&lt;&gt;"",$AB21&gt;=CI$7,$AB21&lt;CI$7+7),"H","")&amp;IF(AND($AC21&lt;&gt;"",$AC21&gt;=CI$7,$AC21&lt;CI$7+7),"G","")&amp;IF(AND($AH21&lt;&gt;"",$AH21&gt;=CI$7,$AH21&lt;CI$7+7),"S","")</f>
        <v/>
      </c>
      <c r="CJ21" s="92" t="str">
        <f aca="false">IF(AND($Y21&lt;&gt;"",$Y21&gt;=CJ$7,$Y21&lt;CJ$7+7),"I","")&amp;IF(AND($Z21&lt;&gt;"",$Z21&gt;=CJ$7,$Z21&lt;CJ$7+7),"P","")&amp;IF(AND($AA21&lt;&gt;"",$AA21&gt;=CJ$7,$AA21&lt;CJ$7+7),"T","")&amp;IF(AND($AB21&lt;&gt;"",$AB21&gt;=CJ$7,$AB21&lt;CJ$7+7),"H","")&amp;IF(AND($AC21&lt;&gt;"",$AC21&gt;=CJ$7,$AC21&lt;CJ$7+7),"G","")&amp;IF(AND($AH21&lt;&gt;"",$AH21&gt;=CJ$7,$AH21&lt;CJ$7+7),"S","")</f>
        <v/>
      </c>
      <c r="CK21" s="92" t="str">
        <f aca="false">IF(AND($Y21&lt;&gt;"",$Y21&gt;=CK$7,$Y21&lt;CK$7+7),"I","")&amp;IF(AND($Z21&lt;&gt;"",$Z21&gt;=CK$7,$Z21&lt;CK$7+7),"P","")&amp;IF(AND($AA21&lt;&gt;"",$AA21&gt;=CK$7,$AA21&lt;CK$7+7),"T","")&amp;IF(AND($AB21&lt;&gt;"",$AB21&gt;=CK$7,$AB21&lt;CK$7+7),"H","")&amp;IF(AND($AC21&lt;&gt;"",$AC21&gt;=CK$7,$AC21&lt;CK$7+7),"G","")&amp;IF(AND($AH21&lt;&gt;"",$AH21&gt;=CK$7,$AH21&lt;CK$7+7),"S","")</f>
        <v/>
      </c>
      <c r="CL21" s="92" t="str">
        <f aca="false">IF(AND($Y21&lt;&gt;"",$Y21&gt;=CL$7,$Y21&lt;CL$7+7),"I","")&amp;IF(AND($Z21&lt;&gt;"",$Z21&gt;=CL$7,$Z21&lt;CL$7+7),"P","")&amp;IF(AND($AA21&lt;&gt;"",$AA21&gt;=CL$7,$AA21&lt;CL$7+7),"T","")&amp;IF(AND($AB21&lt;&gt;"",$AB21&gt;=CL$7,$AB21&lt;CL$7+7),"H","")&amp;IF(AND($AC21&lt;&gt;"",$AC21&gt;=CL$7,$AC21&lt;CL$7+7),"G","")&amp;IF(AND($AH21&lt;&gt;"",$AH21&gt;=CL$7,$AH21&lt;CL$7+7),"S","")</f>
        <v/>
      </c>
      <c r="CM21" s="92" t="str">
        <f aca="false">IF(AND($Y21&lt;&gt;"",$Y21&gt;=CM$7,$Y21&lt;CM$7+7),"I","")&amp;IF(AND($Z21&lt;&gt;"",$Z21&gt;=CM$7,$Z21&lt;CM$7+7),"P","")&amp;IF(AND($AA21&lt;&gt;"",$AA21&gt;=CM$7,$AA21&lt;CM$7+7),"T","")&amp;IF(AND($AB21&lt;&gt;"",$AB21&gt;=CM$7,$AB21&lt;CM$7+7),"H","")&amp;IF(AND($AC21&lt;&gt;"",$AC21&gt;=CM$7,$AC21&lt;CM$7+7),"G","")&amp;IF(AND($AH21&lt;&gt;"",$AH21&gt;=CM$7,$AH21&lt;CM$7+7),"S","")</f>
        <v/>
      </c>
      <c r="CN21" s="92" t="str">
        <f aca="false">IF(AND($Y21&lt;&gt;"",$Y21&gt;=CN$7,$Y21&lt;CN$7+7),"I","")&amp;IF(AND($Z21&lt;&gt;"",$Z21&gt;=CN$7,$Z21&lt;CN$7+7),"P","")&amp;IF(AND($AA21&lt;&gt;"",$AA21&gt;=CN$7,$AA21&lt;CN$7+7),"T","")&amp;IF(AND($AB21&lt;&gt;"",$AB21&gt;=CN$7,$AB21&lt;CN$7+7),"H","")&amp;IF(AND($AC21&lt;&gt;"",$AC21&gt;=CN$7,$AC21&lt;CN$7+7),"G","")&amp;IF(AND($AH21&lt;&gt;"",$AH21&gt;=CN$7,$AH21&lt;CN$7+7),"S","")</f>
        <v/>
      </c>
      <c r="CO21" s="92" t="str">
        <f aca="false">IF(AND($Y21&lt;&gt;"",$Y21&gt;=CO$7,$Y21&lt;CO$7+7),"I","")&amp;IF(AND($Z21&lt;&gt;"",$Z21&gt;=CO$7,$Z21&lt;CO$7+7),"P","")&amp;IF(AND($AA21&lt;&gt;"",$AA21&gt;=CO$7,$AA21&lt;CO$7+7),"T","")&amp;IF(AND($AB21&lt;&gt;"",$AB21&gt;=CO$7,$AB21&lt;CO$7+7),"H","")&amp;IF(AND($AC21&lt;&gt;"",$AC21&gt;=CO$7,$AC21&lt;CO$7+7),"G","")&amp;IF(AND($AH21&lt;&gt;"",$AH21&gt;=CO$7,$AH21&lt;CO$7+7),"S","")</f>
        <v/>
      </c>
      <c r="CP21" s="92" t="str">
        <f aca="false">IF(AND($Y21&lt;&gt;"",$Y21&gt;=CP$7,$Y21&lt;CP$7+7),"I","")&amp;IF(AND($Z21&lt;&gt;"",$Z21&gt;=CP$7,$Z21&lt;CP$7+7),"P","")&amp;IF(AND($AA21&lt;&gt;"",$AA21&gt;=CP$7,$AA21&lt;CP$7+7),"T","")&amp;IF(AND($AB21&lt;&gt;"",$AB21&gt;=CP$7,$AB21&lt;CP$7+7),"H","")&amp;IF(AND($AC21&lt;&gt;"",$AC21&gt;=CP$7,$AC21&lt;CP$7+7),"G","")&amp;IF(AND($AH21&lt;&gt;"",$AH21&gt;=CP$7,$AH21&lt;CP$7+7),"S","")</f>
        <v/>
      </c>
      <c r="CQ21" s="92" t="str">
        <f aca="false">IF(AND($Y21&lt;&gt;"",$Y21&gt;=CQ$7,$Y21&lt;CQ$7+7),"I","")&amp;IF(AND($Z21&lt;&gt;"",$Z21&gt;=CQ$7,$Z21&lt;CQ$7+7),"P","")&amp;IF(AND($AA21&lt;&gt;"",$AA21&gt;=CQ$7,$AA21&lt;CQ$7+7),"T","")&amp;IF(AND($AB21&lt;&gt;"",$AB21&gt;=CQ$7,$AB21&lt;CQ$7+7),"H","")&amp;IF(AND($AC21&lt;&gt;"",$AC21&gt;=CQ$7,$AC21&lt;CQ$7+7),"G","")&amp;IF(AND($AH21&lt;&gt;"",$AH21&gt;=CQ$7,$AH21&lt;CQ$7+7),"S","")</f>
        <v/>
      </c>
      <c r="CR21" s="92" t="str">
        <f aca="false">IF(AND($Y21&lt;&gt;"",$Y21&gt;=CR$7,$Y21&lt;CR$7+7),"I","")&amp;IF(AND($Z21&lt;&gt;"",$Z21&gt;=CR$7,$Z21&lt;CR$7+7),"P","")&amp;IF(AND($AA21&lt;&gt;"",$AA21&gt;=CR$7,$AA21&lt;CR$7+7),"T","")&amp;IF(AND($AB21&lt;&gt;"",$AB21&gt;=CR$7,$AB21&lt;CR$7+7),"H","")&amp;IF(AND($AC21&lt;&gt;"",$AC21&gt;=CR$7,$AC21&lt;CR$7+7),"G","")&amp;IF(AND($AH21&lt;&gt;"",$AH21&gt;=CR$7,$AH21&lt;CR$7+7),"S","")</f>
        <v/>
      </c>
      <c r="CS21" s="92" t="str">
        <f aca="false">IF(AND($Y21&lt;&gt;"",$Y21&gt;=CS$7,$Y21&lt;CS$7+7),"I","")&amp;IF(AND($Z21&lt;&gt;"",$Z21&gt;=CS$7,$Z21&lt;CS$7+7),"P","")&amp;IF(AND($AA21&lt;&gt;"",$AA21&gt;=CS$7,$AA21&lt;CS$7+7),"T","")&amp;IF(AND($AB21&lt;&gt;"",$AB21&gt;=CS$7,$AB21&lt;CS$7+7),"H","")&amp;IF(AND($AC21&lt;&gt;"",$AC21&gt;=CS$7,$AC21&lt;CS$7+7),"G","")&amp;IF(AND($AH21&lt;&gt;"",$AH21&gt;=CS$7,$AH21&lt;CS$7+7),"S","")</f>
        <v/>
      </c>
      <c r="CT21" s="92" t="str">
        <f aca="false">IF(AND($Y21&lt;&gt;"",$Y21&gt;=CT$7,$Y21&lt;CT$7+7),"I","")&amp;IF(AND($Z21&lt;&gt;"",$Z21&gt;=CT$7,$Z21&lt;CT$7+7),"P","")&amp;IF(AND($AA21&lt;&gt;"",$AA21&gt;=CT$7,$AA21&lt;CT$7+7),"T","")&amp;IF(AND($AB21&lt;&gt;"",$AB21&gt;=CT$7,$AB21&lt;CT$7+7),"H","")&amp;IF(AND($AC21&lt;&gt;"",$AC21&gt;=CT$7,$AC21&lt;CT$7+7),"G","")&amp;IF(AND($AH21&lt;&gt;"",$AH21&gt;=CT$7,$AH21&lt;CT$7+7),"S","")</f>
        <v/>
      </c>
      <c r="CU21" s="92" t="str">
        <f aca="false">IF(AND($Y21&lt;&gt;"",$Y21&gt;=CU$7,$Y21&lt;CU$7+7),"I","")&amp;IF(AND($Z21&lt;&gt;"",$Z21&gt;=CU$7,$Z21&lt;CU$7+7),"P","")&amp;IF(AND($AA21&lt;&gt;"",$AA21&gt;=CU$7,$AA21&lt;CU$7+7),"T","")&amp;IF(AND($AB21&lt;&gt;"",$AB21&gt;=CU$7,$AB21&lt;CU$7+7),"H","")&amp;IF(AND($AC21&lt;&gt;"",$AC21&gt;=CU$7,$AC21&lt;CU$7+7),"G","")&amp;IF(AND($AH21&lt;&gt;"",$AH21&gt;=CU$7,$AH21&lt;CU$7+7),"S","")</f>
        <v/>
      </c>
      <c r="CV21" s="92" t="str">
        <f aca="false">IF(AND($Y21&lt;&gt;"",$Y21&gt;=CV$7,$Y21&lt;CV$7+7),"I","")&amp;IF(AND($Z21&lt;&gt;"",$Z21&gt;=CV$7,$Z21&lt;CV$7+7),"P","")&amp;IF(AND($AA21&lt;&gt;"",$AA21&gt;=CV$7,$AA21&lt;CV$7+7),"T","")&amp;IF(AND($AB21&lt;&gt;"",$AB21&gt;=CV$7,$AB21&lt;CV$7+7),"H","")&amp;IF(AND($AC21&lt;&gt;"",$AC21&gt;=CV$7,$AC21&lt;CV$7+7),"G","")&amp;IF(AND($AH21&lt;&gt;"",$AH21&gt;=CV$7,$AH21&lt;CV$7+7),"S","")</f>
        <v/>
      </c>
      <c r="CW21" s="92" t="str">
        <f aca="false">IF(AND($Y21&lt;&gt;"",$Y21&gt;=CW$7,$Y21&lt;CW$7+7),"I","")&amp;IF(AND($Z21&lt;&gt;"",$Z21&gt;=CW$7,$Z21&lt;CW$7+7),"P","")&amp;IF(AND($AA21&lt;&gt;"",$AA21&gt;=CW$7,$AA21&lt;CW$7+7),"T","")&amp;IF(AND($AB21&lt;&gt;"",$AB21&gt;=CW$7,$AB21&lt;CW$7+7),"H","")&amp;IF(AND($AC21&lt;&gt;"",$AC21&gt;=CW$7,$AC21&lt;CW$7+7),"G","")&amp;IF(AND($AH21&lt;&gt;"",$AH21&gt;=CW$7,$AH21&lt;CW$7+7),"S","")</f>
        <v/>
      </c>
      <c r="CX21" s="92" t="str">
        <f aca="false">IF(AND($Y21&lt;&gt;"",$Y21&gt;=CX$7,$Y21&lt;CX$7+7),"I","")&amp;IF(AND($Z21&lt;&gt;"",$Z21&gt;=CX$7,$Z21&lt;CX$7+7),"P","")&amp;IF(AND($AA21&lt;&gt;"",$AA21&gt;=CX$7,$AA21&lt;CX$7+7),"T","")&amp;IF(AND($AB21&lt;&gt;"",$AB21&gt;=CX$7,$AB21&lt;CX$7+7),"H","")&amp;IF(AND($AC21&lt;&gt;"",$AC21&gt;=CX$7,$AC21&lt;CX$7+7),"G","")&amp;IF(AND($AH21&lt;&gt;"",$AH21&gt;=CX$7,$AH21&lt;CX$7+7),"S","")</f>
        <v/>
      </c>
      <c r="CY21" s="92" t="str">
        <f aca="false">IF(AND($Y21&lt;&gt;"",$Y21&gt;=CY$7,$Y21&lt;CY$7+7),"I","")&amp;IF(AND($Z21&lt;&gt;"",$Z21&gt;=CY$7,$Z21&lt;CY$7+7),"P","")&amp;IF(AND($AA21&lt;&gt;"",$AA21&gt;=CY$7,$AA21&lt;CY$7+7),"T","")&amp;IF(AND($AB21&lt;&gt;"",$AB21&gt;=CY$7,$AB21&lt;CY$7+7),"H","")&amp;IF(AND($AC21&lt;&gt;"",$AC21&gt;=CY$7,$AC21&lt;CY$7+7),"G","")&amp;IF(AND($AH21&lt;&gt;"",$AH21&gt;=CY$7,$AH21&lt;CY$7+7),"S","")</f>
        <v/>
      </c>
      <c r="CZ21" s="92" t="str">
        <f aca="false">IF(AND($Y21&lt;&gt;"",$Y21&gt;=CZ$7,$Y21&lt;CZ$7+7),"I","")&amp;IF(AND($Z21&lt;&gt;"",$Z21&gt;=CZ$7,$Z21&lt;CZ$7+7),"P","")&amp;IF(AND($AA21&lt;&gt;"",$AA21&gt;=CZ$7,$AA21&lt;CZ$7+7),"T","")&amp;IF(AND($AB21&lt;&gt;"",$AB21&gt;=CZ$7,$AB21&lt;CZ$7+7),"H","")&amp;IF(AND($AC21&lt;&gt;"",$AC21&gt;=CZ$7,$AC21&lt;CZ$7+7),"G","")&amp;IF(AND($AH21&lt;&gt;"",$AH21&gt;=CZ$7,$AH21&lt;CZ$7+7),"S","")</f>
        <v/>
      </c>
      <c r="DA21" s="92" t="str">
        <f aca="false">IF(AND($Y21&lt;&gt;"",$Y21&gt;=DA$7,$Y21&lt;DA$7+7),"I","")&amp;IF(AND($Z21&lt;&gt;"",$Z21&gt;=DA$7,$Z21&lt;DA$7+7),"P","")&amp;IF(AND($AA21&lt;&gt;"",$AA21&gt;=DA$7,$AA21&lt;DA$7+7),"T","")&amp;IF(AND($AB21&lt;&gt;"",$AB21&gt;=DA$7,$AB21&lt;DA$7+7),"H","")&amp;IF(AND($AC21&lt;&gt;"",$AC21&gt;=DA$7,$AC21&lt;DA$7+7),"G","")&amp;IF(AND($AH21&lt;&gt;"",$AH21&gt;=DA$7,$AH21&lt;DA$7+7),"S","")</f>
        <v/>
      </c>
      <c r="DB21" s="92" t="str">
        <f aca="false">IF(AND($Y21&lt;&gt;"",$Y21&gt;=DB$7,$Y21&lt;DB$7+7),"I","")&amp;IF(AND($Z21&lt;&gt;"",$Z21&gt;=DB$7,$Z21&lt;DB$7+7),"P","")&amp;IF(AND($AA21&lt;&gt;"",$AA21&gt;=DB$7,$AA21&lt;DB$7+7),"T","")&amp;IF(AND($AB21&lt;&gt;"",$AB21&gt;=DB$7,$AB21&lt;DB$7+7),"H","")&amp;IF(AND($AC21&lt;&gt;"",$AC21&gt;=DB$7,$AC21&lt;DB$7+7),"G","")&amp;IF(AND($AH21&lt;&gt;"",$AH21&gt;=DB$7,$AH21&lt;DB$7+7),"S","")</f>
        <v/>
      </c>
      <c r="DC21" s="92" t="str">
        <f aca="false">IF(AND($Y21&lt;&gt;"",$Y21&gt;=DC$7,$Y21&lt;DC$7+7),"I","")&amp;IF(AND($Z21&lt;&gt;"",$Z21&gt;=DC$7,$Z21&lt;DC$7+7),"P","")&amp;IF(AND($AA21&lt;&gt;"",$AA21&gt;=DC$7,$AA21&lt;DC$7+7),"T","")&amp;IF(AND($AB21&lt;&gt;"",$AB21&gt;=DC$7,$AB21&lt;DC$7+7),"H","")&amp;IF(AND($AC21&lt;&gt;"",$AC21&gt;=DC$7,$AC21&lt;DC$7+7),"G","")&amp;IF(AND($AH21&lt;&gt;"",$AH21&gt;=DC$7,$AH21&lt;DC$7+7),"S","")</f>
        <v/>
      </c>
    </row>
    <row r="22" customFormat="false" ht="15" hidden="false" customHeight="false" outlineLevel="0" collapsed="false">
      <c r="A22" s="47" t="s">
        <v>98</v>
      </c>
      <c r="B22" s="31" t="s">
        <v>99</v>
      </c>
      <c r="C22" s="36" t="s">
        <v>565</v>
      </c>
      <c r="D22" s="31" t="s">
        <v>566</v>
      </c>
      <c r="E22" s="31" t="s">
        <v>184</v>
      </c>
      <c r="F22" s="75" t="n">
        <v>150.48</v>
      </c>
      <c r="G22" s="31" t="s">
        <v>170</v>
      </c>
      <c r="H22" s="76" t="n">
        <f aca="false">PROJ_START+RD_SPAN</f>
        <v>46403</v>
      </c>
      <c r="I22" s="77" t="n">
        <f aca="false">H22+33</f>
        <v>46436</v>
      </c>
      <c r="J22" s="31" t="s">
        <v>101</v>
      </c>
      <c r="K22" s="36" t="s">
        <v>131</v>
      </c>
      <c r="L22" s="36" t="s">
        <v>100</v>
      </c>
      <c r="M22" s="36" t="s">
        <v>567</v>
      </c>
      <c r="N22" s="78" t="str">
        <f aca="false">IF(ISNUMBER(อัปเดตรายสัปดาห์!$AF22),อัปเดตรายสัปดาห์!$AF22,"")</f>
        <v/>
      </c>
      <c r="O22" s="78" t="str">
        <f aca="false">IF(ISNUMBER(อัปเดตรายสัปดาห์!$AH22),อัปเดตรายสัปดาห์!$AH22,"")</f>
        <v/>
      </c>
      <c r="P22" s="78" t="str">
        <f aca="false">IF(ISNUMBER(อัปเดตรายสัปดาห์!$AG22),อัปเดตรายสัปดาห์!$AG22,IF(AND(ISNUMBER(TCRoof!$AC$22),N(TCRoof!$AC$22)&lt;=ASOF),TCRoof!$AC$22,""))</f>
        <v/>
      </c>
      <c r="Q22" s="78" t="str">
        <f aca="false">IF(ISNUMBER(อัปเดตรายสัปดาห์!$AL22),อัปเดตรายสัปดาห์!$AL22,"")</f>
        <v/>
      </c>
      <c r="R22" s="78" t="str">
        <f aca="false">IF(ISNUMBER(อัปเดตรายสัปดาห์!$Q22),อัปเดตรายสัปดาห์!$Q22,"")</f>
        <v/>
      </c>
      <c r="S22" s="78" t="str">
        <f aca="false">IF(ISNUMBER(อัปเดตรายสัปดาห์!$R22),อัปเดตรายสัปดาห์!$R22,"")</f>
        <v/>
      </c>
      <c r="T22" s="78" t="str">
        <f aca="false">IF(ISNUMBER(อัปเดตรายสัปดาห์!$S22),อัปเดตรายสัปดาห์!$S22,IF(อัปเดตรายสัปดาห์!$S22="Y",ASOF,""))</f>
        <v/>
      </c>
      <c r="U22" s="78" t="str">
        <f aca="false">IF(ISNUMBER(อัปเดตรายสัปดาห์!$T22),อัปเดตรายสัปดาห์!$T22,IF(อัปเดตรายสัปดาห์!$T22="Y",ASOF,""))</f>
        <v/>
      </c>
      <c r="V22" s="78" t="str">
        <f aca="false">IF(ISNUMBER(อัปเดตรายสัปดาห์!$U22),อัปเดตรายสัปดาห์!$U22,IF(อัปเดตรายสัปดาห์!$U22="Y",ASOF,""))</f>
        <v/>
      </c>
      <c r="W22" s="78" t="str">
        <f aca="false">IF(ISNUMBER(อัปเดตรายสัปดาห์!$N22),อัปเดตรายสัปดาห์!$N22,"")</f>
        <v/>
      </c>
      <c r="X22" s="78" t="str">
        <f aca="false">IF(ISNUMBER(อัปเดตรายสัปดาห์!$V22),อัปเดตรายสัปดาห์!$V22,IF(AND(ISNUMBER(TCRoof!$AD$22),N(TCRoof!$AD$22)&lt;=ASOF),TCRoof!$AD$22,""))</f>
        <v/>
      </c>
      <c r="Y22" s="79" t="n">
        <f aca="false">IF(N22&lt;&gt;"",N22,WORKDAY((ASOF+LEAD_INST+7*INT((AT22-0.01)/MAX(1,AU22)))-1,1,HOLIDAYS))</f>
        <v>46349</v>
      </c>
      <c r="Z22" s="79" t="n">
        <f aca="false">IF(O22&lt;&gt;"",O22,WORKDAY((MAX(AV22+7*INT((AW22-1)/MAX(1,AX22)),AV22+7*INT((AY22-1)/MAX(1,AZ22))))-1,1,HOLIDAYS))</f>
        <v>46356</v>
      </c>
      <c r="AA22" s="79" t="n">
        <f aca="false">IF(P22&lt;&gt;"",P22,WORKDAY((BA22+7*INT((BB22-1)/MAX(1,BC22)))-1,1,HOLIDAYS))</f>
        <v>46359</v>
      </c>
      <c r="AB22" s="79" t="n">
        <f aca="false">IF(Q22&lt;&gt;"",Q22,WORKDAY((MAX(AA22+BD22,ASOF+1))-1,1,HOLIDAYS))</f>
        <v>46367</v>
      </c>
      <c r="AC22" s="79" t="n">
        <f aca="false">IF(R22&lt;&gt;"",R22,WORKDAY((MAX(Y22,ASOF)+LAG_GRID)-1,1,HOLIDAYS))</f>
        <v>46356</v>
      </c>
      <c r="AD22" s="79" t="n">
        <f aca="false">IF(T22&lt;&gt;"",T22,WORKDAY((MAX(WORKDAY(MAX(AC22,N(S22)),REVIEW_WD,HOLIDAYS),ASOF+1))-1,1,HOLIDAYS))</f>
        <v>46379</v>
      </c>
      <c r="AE22" s="79" t="n">
        <f aca="false">IF(U22&lt;&gt;"",U22,WORKDAY((MAX(AD22,ASOF)+FEE_DAYS)-1,1,HOLIDAYS))</f>
        <v>46386</v>
      </c>
      <c r="AF22" s="79" t="n">
        <f aca="false">IF(V22&lt;&gt;"",V22,WORKDAY((MAX(AA22,Z22,AE22,IF(AG22="",0,AG22+REVIEW_PK2),ASOF)+LAG_INSREQ)-1,1,HOLIDAYS))</f>
        <v>46391</v>
      </c>
      <c r="AG22" s="79" t="str">
        <f aca="false">IF(M22&lt;&gt;"Y","",IF(W22&lt;&gt;"",W22,WORKDAY((MAX(Y22,ASOF)+LAG_GRID)-1,1,HOLIDAYS)))</f>
        <v/>
      </c>
      <c r="AH22" s="80" t="n">
        <f aca="false">IF(X22&lt;&gt;"",X22,WORKDAY(AF22,INSPECT_WD,HOLIDAYS))</f>
        <v>46433</v>
      </c>
      <c r="AI22" s="81" t="n">
        <f aca="false">IF(H22="","",AB22-H22)</f>
        <v>-36</v>
      </c>
      <c r="AJ22" s="81" t="n">
        <f aca="false">IF(I22="","",AH22-I22)</f>
        <v>-3</v>
      </c>
      <c r="AK22" s="82" t="n">
        <f aca="false">IF(AND(ISNUMBER(N22),N(N22)&lt;=ASOF),1,0)+IF(AND(ISNUMBER(O22),N(O22)&lt;=ASOF),1,0)+IF(AND(ISNUMBER(P22),N(P22)&lt;=ASOF),1,0)+IF(AND(ISNUMBER(Q22),N(Q22)&lt;=ASOF),1,0)+IF(AND(ISNUMBER(R22),N(R22)&lt;=ASOF),1,0)+IF(AND(ISNUMBER(U22),N(U22)&lt;=ASOF),1,0)+IF(AND(ISNUMBER(X22),N(X22)&lt;=ASOF),1,0)</f>
        <v>0</v>
      </c>
      <c r="AL22" s="83" t="n">
        <v>7</v>
      </c>
      <c r="AM22" s="84" t="n">
        <f aca="false">'P9-015'!$J$4</f>
        <v>0</v>
      </c>
      <c r="AN22" s="85" t="str">
        <f aca="false">TRIM(IF(AND(ISNUMBER(O22),NOT(ISNUMBER(N22))),"กฟภ.ตรวจก่อนติดตั้ง, ","")&amp;IF(AND(ISNUMBER(P22),NOT(ISNUMBER(N22))),"IEC ก่อนติดตั้ง, ","")&amp;IF(AND(ISNUMBER(Q22),NOT(ISNUMBER(N22))),"ส่งมอบก่อนติดตั้ง, ","")&amp;IF(AND(ISNUMBER(Q22),ISNUMBER(P22),N(Q22)&lt;N(P22)),"ส่งมอบก่อน IEC, ","")&amp;IF(AND(ISNUMBER(อัปเดตรายสัปดาห์!$AG22),ISNUMBER(TCRoof!$AC$22),ABS(N(อัปเดตรายสัปดาห์!$AG22)-N(TCRoof!$AC$22))&gt;3),"IEC Excel≠แอป, ","")&amp;IF(AND(ISNUMBER(อัปเดตรายสัปดาห์!$V22),ISNUMBER(TCRoof!$AD$22),ABS(N(อัปเดตรายสัปดาห์!$V22)-N(TCRoof!$AD$22))&gt;3),"COD Excel≠แอป, ","")&amp;IF(AND(ISNUMBER(อัปเดตรายสัปดาห์!$AF22),ISNUMBER(TCRoof!$AB$22),ABS(N(อัปเดตรายสัปดาห์!$AF22)-N(TCRoof!$AB$22))&gt;3),"ติดตั้ง Excel≠แอป, ","")&amp;IF(AND(ISNUMBER(N22),N(N22)&gt;ASOF,OR(WEEKDAY(N(N22),2)&gt;5,COUNTIF(HOLIDAYS,N(N22))&gt;0)),"นัดดับไฟตรงวันหยุด, ","")&amp;IF(AND(ISNUMBER(O22),N(O22)&gt;ASOF,OR(WEEKDAY(N(O22),2)&gt;5,COUNTIF(HOLIDAYS,N(O22))&gt;0)),"นัด กฟภ.ตรงวันหยุด, ","")&amp;IF(AND(ISNUMBER(P22),N(P22)&gt;ASOF,OR(WEEKDAY(N(P22),2)&gt;5,COUNTIF(HOLIDAYS,N(P22))&gt;0)),"นัด IECตรงวันหยุด, ","")&amp;IF(AND(ISNUMBER(X22),N(X22)&gt;ASOF,OR(WEEKDAY(N(X22),2)&gt;5,COUNTIF(HOLIDAYS,N(X22))&gt;0)),"นัด Syncตรงวันหยุด, ",""))</f>
        <v/>
      </c>
      <c r="AO22" s="86" t="n">
        <f aca="false">SUMIFS(CR_COD,CR_ST,A22,CR_STAT,"อนุมัติ")+SUMIFS(CR_COD,CR_ST,"ทั้งเฟส",CR_STAT,"อนุมัติ")+SUMIFS(CR_COD,CR_ST,"ผรม. "&amp;L22,CR_STAT,"อนุมัติ")+SUMIFS(CR_COD,CR_ST,"เขต "&amp;E22,CR_STAT,"อนุมัติ")</f>
        <v>0</v>
      </c>
      <c r="AP22" s="86" t="n">
        <f aca="false">IF(NOT(ISNUMBER(AJ22)),"",MAX(0,AJ22-AO22))</f>
        <v>0</v>
      </c>
      <c r="AQ22" s="86" t="n">
        <f aca="false">COUNTIF(RW_ST,A22)</f>
        <v>0</v>
      </c>
      <c r="AR22" s="87" t="str">
        <f aca="false">IF(ISNUMBER(TCRoof!$I$22),TCRoof!$I$22,"")</f>
        <v/>
      </c>
      <c r="AS22" s="88" t="str">
        <f aca="false">IF(ISNUMBER(TCRoof!$H$22),TCRoof!$H$22,"")</f>
        <v/>
      </c>
      <c r="AT22" s="89" t="n">
        <f aca="false">IF(N22&lt;&gt;"","",SUMIFS($F$8:$F$27,$L$8:$L$27,L22,$N$8:$N$27,"",$H$8:$H$27,"&lt;"&amp;H22)+SUMIFS($F$8:$F$27,$L$8:$L$27,L22,$N$8:$N$27,"",$H$8:$H$27,H22,$A$8:$A$27,"&lt;="&amp;A22)+SUMIFS($F$8:$F$27,$L$8:$L$27,L22,$N$8:$N$27,"&gt;"&amp;ASOF))</f>
        <v>150.48</v>
      </c>
      <c r="AU22" s="89" t="n">
        <f aca="false">IFERROR(VLOOKUP(L22,TEAM_TBL,2,0)*VLOOKUP(L22,TEAM_TBL,3,0),150)</f>
        <v>150</v>
      </c>
      <c r="AV22" s="90" t="n">
        <f aca="false">IF(O22&lt;&gt;"","",MAX(Y22+LAG_PEA,ASOF+LAG_PEA))</f>
        <v>46356</v>
      </c>
      <c r="AW22" s="89" t="n">
        <f aca="false">IF(O22&lt;&gt;"","",COUNTIFS($E$8:$E$27,E22,$AV$8:$AV$27,"&lt;"&amp;AV22)+COUNTIFS($E$8:$E$27,E22,$AV$8:$AV$27,AV22,$A$8:$A$27,"&lt;"&amp;A22)+COUNTIFS($E$8:$E$27,E22,$O$8:$O$27,"&gt;"&amp;ASOF)+1)</f>
        <v>1</v>
      </c>
      <c r="AX22" s="89" t="n">
        <f aca="false">IFERROR(VLOOKUP(E22,ZONE_TBL,2,0),CAP_PEA)</f>
        <v>3</v>
      </c>
      <c r="AY22" s="89" t="n">
        <f aca="false">IF(O22&lt;&gt;"","",COUNTIFS($J$8:$J$27,J22,$AV$8:$AV$27,"&lt;"&amp;AV22)+COUNTIFS($J$8:$J$27,J22,$AV$8:$AV$27,AV22,$A$8:$A$27,"&lt;"&amp;A22)+COUNTIFS($J$8:$J$27,J22,$O$8:$O$27,"&gt;"&amp;ASOF)+1)</f>
        <v>1</v>
      </c>
      <c r="AZ22" s="89" t="n">
        <f aca="false">IFERROR(VLOOKUP(J22,ENG_TBL,2,0),ENG_CAP)</f>
        <v>3</v>
      </c>
      <c r="BA22" s="90" t="n">
        <f aca="false">IF(P22&lt;&gt;"","",MAX(Z22+LAG_IEC,ASOF+1))</f>
        <v>46359</v>
      </c>
      <c r="BB22" s="89" t="n">
        <f aca="false">IF(P22&lt;&gt;"","",COUNTIFS($L$8:$L$27,L22,$BA$8:$BA$27,"&lt;"&amp;BA22)+COUNTIFS($L$8:$L$27,L22,$BA$8:$BA$27,BA22,$A$8:$A$27,"&lt;"&amp;A22)+COUNTIFS($L$8:$L$27,L22,$P$8:$P$27,"&gt;"&amp;ASOF)+1)</f>
        <v>1</v>
      </c>
      <c r="BC22" s="89" t="n">
        <f aca="false">IFERROR(VLOOKUP(L22,TEAM_TBL,4,0)*VLOOKUP(L22,TEAM_TBL,5,0),3)</f>
        <v>3</v>
      </c>
      <c r="BD22" s="91" t="n">
        <f aca="false">IFERROR(VLOOKUP(L22,TEAM_TBL,6,0),LAG_HO)</f>
        <v>7</v>
      </c>
      <c r="BE22" s="89" t="n">
        <f aca="false">IF(ISNUMBER(AW22),7*INT((AW22-1)/MAX(1,AX22)),"")</f>
        <v>0</v>
      </c>
      <c r="BF22" s="89" t="n">
        <f aca="false">IF(ISNUMBER(AY22),7*INT((AY22-1)/MAX(1,AZ22)),"")</f>
        <v>0</v>
      </c>
      <c r="BH22" s="92" t="str">
        <f aca="false">IF(AND($Y22&lt;&gt;"",$Y22&gt;=BH$7,$Y22&lt;BH$7+7),"I","")&amp;IF(AND($Z22&lt;&gt;"",$Z22&gt;=BH$7,$Z22&lt;BH$7+7),"P","")&amp;IF(AND($AA22&lt;&gt;"",$AA22&gt;=BH$7,$AA22&lt;BH$7+7),"T","")&amp;IF(AND($AB22&lt;&gt;"",$AB22&gt;=BH$7,$AB22&lt;BH$7+7),"H","")&amp;IF(AND($AC22&lt;&gt;"",$AC22&gt;=BH$7,$AC22&lt;BH$7+7),"G","")&amp;IF(AND($AH22&lt;&gt;"",$AH22&gt;=BH$7,$AH22&lt;BH$7+7),"S","")</f>
        <v/>
      </c>
      <c r="BI22" s="92" t="str">
        <f aca="false">IF(AND($Y22&lt;&gt;"",$Y22&gt;=BI$7,$Y22&lt;BI$7+7),"I","")&amp;IF(AND($Z22&lt;&gt;"",$Z22&gt;=BI$7,$Z22&lt;BI$7+7),"P","")&amp;IF(AND($AA22&lt;&gt;"",$AA22&gt;=BI$7,$AA22&lt;BI$7+7),"T","")&amp;IF(AND($AB22&lt;&gt;"",$AB22&gt;=BI$7,$AB22&lt;BI$7+7),"H","")&amp;IF(AND($AC22&lt;&gt;"",$AC22&gt;=BI$7,$AC22&lt;BI$7+7),"G","")&amp;IF(AND($AH22&lt;&gt;"",$AH22&gt;=BI$7,$AH22&lt;BI$7+7),"S","")</f>
        <v/>
      </c>
      <c r="BJ22" s="92" t="str">
        <f aca="false">IF(AND($Y22&lt;&gt;"",$Y22&gt;=BJ$7,$Y22&lt;BJ$7+7),"I","")&amp;IF(AND($Z22&lt;&gt;"",$Z22&gt;=BJ$7,$Z22&lt;BJ$7+7),"P","")&amp;IF(AND($AA22&lt;&gt;"",$AA22&gt;=BJ$7,$AA22&lt;BJ$7+7),"T","")&amp;IF(AND($AB22&lt;&gt;"",$AB22&gt;=BJ$7,$AB22&lt;BJ$7+7),"H","")&amp;IF(AND($AC22&lt;&gt;"",$AC22&gt;=BJ$7,$AC22&lt;BJ$7+7),"G","")&amp;IF(AND($AH22&lt;&gt;"",$AH22&gt;=BJ$7,$AH22&lt;BJ$7+7),"S","")</f>
        <v/>
      </c>
      <c r="BK22" s="92" t="str">
        <f aca="false">IF(AND($Y22&lt;&gt;"",$Y22&gt;=BK$7,$Y22&lt;BK$7+7),"I","")&amp;IF(AND($Z22&lt;&gt;"",$Z22&gt;=BK$7,$Z22&lt;BK$7+7),"P","")&amp;IF(AND($AA22&lt;&gt;"",$AA22&gt;=BK$7,$AA22&lt;BK$7+7),"T","")&amp;IF(AND($AB22&lt;&gt;"",$AB22&gt;=BK$7,$AB22&lt;BK$7+7),"H","")&amp;IF(AND($AC22&lt;&gt;"",$AC22&gt;=BK$7,$AC22&lt;BK$7+7),"G","")&amp;IF(AND($AH22&lt;&gt;"",$AH22&gt;=BK$7,$AH22&lt;BK$7+7),"S","")</f>
        <v/>
      </c>
      <c r="BL22" s="92" t="str">
        <f aca="false">IF(AND($Y22&lt;&gt;"",$Y22&gt;=BL$7,$Y22&lt;BL$7+7),"I","")&amp;IF(AND($Z22&lt;&gt;"",$Z22&gt;=BL$7,$Z22&lt;BL$7+7),"P","")&amp;IF(AND($AA22&lt;&gt;"",$AA22&gt;=BL$7,$AA22&lt;BL$7+7),"T","")&amp;IF(AND($AB22&lt;&gt;"",$AB22&gt;=BL$7,$AB22&lt;BL$7+7),"H","")&amp;IF(AND($AC22&lt;&gt;"",$AC22&gt;=BL$7,$AC22&lt;BL$7+7),"G","")&amp;IF(AND($AH22&lt;&gt;"",$AH22&gt;=BL$7,$AH22&lt;BL$7+7),"S","")</f>
        <v>I</v>
      </c>
      <c r="BM22" s="92" t="str">
        <f aca="false">IF(AND($Y22&lt;&gt;"",$Y22&gt;=BM$7,$Y22&lt;BM$7+7),"I","")&amp;IF(AND($Z22&lt;&gt;"",$Z22&gt;=BM$7,$Z22&lt;BM$7+7),"P","")&amp;IF(AND($AA22&lt;&gt;"",$AA22&gt;=BM$7,$AA22&lt;BM$7+7),"T","")&amp;IF(AND($AB22&lt;&gt;"",$AB22&gt;=BM$7,$AB22&lt;BM$7+7),"H","")&amp;IF(AND($AC22&lt;&gt;"",$AC22&gt;=BM$7,$AC22&lt;BM$7+7),"G","")&amp;IF(AND($AH22&lt;&gt;"",$AH22&gt;=BM$7,$AH22&lt;BM$7+7),"S","")</f>
        <v>PTG</v>
      </c>
      <c r="BN22" s="92" t="str">
        <f aca="false">IF(AND($Y22&lt;&gt;"",$Y22&gt;=BN$7,$Y22&lt;BN$7+7),"I","")&amp;IF(AND($Z22&lt;&gt;"",$Z22&gt;=BN$7,$Z22&lt;BN$7+7),"P","")&amp;IF(AND($AA22&lt;&gt;"",$AA22&gt;=BN$7,$AA22&lt;BN$7+7),"T","")&amp;IF(AND($AB22&lt;&gt;"",$AB22&gt;=BN$7,$AB22&lt;BN$7+7),"H","")&amp;IF(AND($AC22&lt;&gt;"",$AC22&gt;=BN$7,$AC22&lt;BN$7+7),"G","")&amp;IF(AND($AH22&lt;&gt;"",$AH22&gt;=BN$7,$AH22&lt;BN$7+7),"S","")</f>
        <v>H</v>
      </c>
      <c r="BO22" s="92" t="str">
        <f aca="false">IF(AND($Y22&lt;&gt;"",$Y22&gt;=BO$7,$Y22&lt;BO$7+7),"I","")&amp;IF(AND($Z22&lt;&gt;"",$Z22&gt;=BO$7,$Z22&lt;BO$7+7),"P","")&amp;IF(AND($AA22&lt;&gt;"",$AA22&gt;=BO$7,$AA22&lt;BO$7+7),"T","")&amp;IF(AND($AB22&lt;&gt;"",$AB22&gt;=BO$7,$AB22&lt;BO$7+7),"H","")&amp;IF(AND($AC22&lt;&gt;"",$AC22&gt;=BO$7,$AC22&lt;BO$7+7),"G","")&amp;IF(AND($AH22&lt;&gt;"",$AH22&gt;=BO$7,$AH22&lt;BO$7+7),"S","")</f>
        <v/>
      </c>
      <c r="BP22" s="92" t="str">
        <f aca="false">IF(AND($Y22&lt;&gt;"",$Y22&gt;=BP$7,$Y22&lt;BP$7+7),"I","")&amp;IF(AND($Z22&lt;&gt;"",$Z22&gt;=BP$7,$Z22&lt;BP$7+7),"P","")&amp;IF(AND($AA22&lt;&gt;"",$AA22&gt;=BP$7,$AA22&lt;BP$7+7),"T","")&amp;IF(AND($AB22&lt;&gt;"",$AB22&gt;=BP$7,$AB22&lt;BP$7+7),"H","")&amp;IF(AND($AC22&lt;&gt;"",$AC22&gt;=BP$7,$AC22&lt;BP$7+7),"G","")&amp;IF(AND($AH22&lt;&gt;"",$AH22&gt;=BP$7,$AH22&lt;BP$7+7),"S","")</f>
        <v/>
      </c>
      <c r="BQ22" s="92" t="str">
        <f aca="false">IF(AND($Y22&lt;&gt;"",$Y22&gt;=BQ$7,$Y22&lt;BQ$7+7),"I","")&amp;IF(AND($Z22&lt;&gt;"",$Z22&gt;=BQ$7,$Z22&lt;BQ$7+7),"P","")&amp;IF(AND($AA22&lt;&gt;"",$AA22&gt;=BQ$7,$AA22&lt;BQ$7+7),"T","")&amp;IF(AND($AB22&lt;&gt;"",$AB22&gt;=BQ$7,$AB22&lt;BQ$7+7),"H","")&amp;IF(AND($AC22&lt;&gt;"",$AC22&gt;=BQ$7,$AC22&lt;BQ$7+7),"G","")&amp;IF(AND($AH22&lt;&gt;"",$AH22&gt;=BQ$7,$AH22&lt;BQ$7+7),"S","")</f>
        <v/>
      </c>
      <c r="BR22" s="92" t="str">
        <f aca="false">IF(AND($Y22&lt;&gt;"",$Y22&gt;=BR$7,$Y22&lt;BR$7+7),"I","")&amp;IF(AND($Z22&lt;&gt;"",$Z22&gt;=BR$7,$Z22&lt;BR$7+7),"P","")&amp;IF(AND($AA22&lt;&gt;"",$AA22&gt;=BR$7,$AA22&lt;BR$7+7),"T","")&amp;IF(AND($AB22&lt;&gt;"",$AB22&gt;=BR$7,$AB22&lt;BR$7+7),"H","")&amp;IF(AND($AC22&lt;&gt;"",$AC22&gt;=BR$7,$AC22&lt;BR$7+7),"G","")&amp;IF(AND($AH22&lt;&gt;"",$AH22&gt;=BR$7,$AH22&lt;BR$7+7),"S","")</f>
        <v/>
      </c>
      <c r="BS22" s="92" t="str">
        <f aca="false">IF(AND($Y22&lt;&gt;"",$Y22&gt;=BS$7,$Y22&lt;BS$7+7),"I","")&amp;IF(AND($Z22&lt;&gt;"",$Z22&gt;=BS$7,$Z22&lt;BS$7+7),"P","")&amp;IF(AND($AA22&lt;&gt;"",$AA22&gt;=BS$7,$AA22&lt;BS$7+7),"T","")&amp;IF(AND($AB22&lt;&gt;"",$AB22&gt;=BS$7,$AB22&lt;BS$7+7),"H","")&amp;IF(AND($AC22&lt;&gt;"",$AC22&gt;=BS$7,$AC22&lt;BS$7+7),"G","")&amp;IF(AND($AH22&lt;&gt;"",$AH22&gt;=BS$7,$AH22&lt;BS$7+7),"S","")</f>
        <v/>
      </c>
      <c r="BT22" s="92" t="str">
        <f aca="false">IF(AND($Y22&lt;&gt;"",$Y22&gt;=BT$7,$Y22&lt;BT$7+7),"I","")&amp;IF(AND($Z22&lt;&gt;"",$Z22&gt;=BT$7,$Z22&lt;BT$7+7),"P","")&amp;IF(AND($AA22&lt;&gt;"",$AA22&gt;=BT$7,$AA22&lt;BT$7+7),"T","")&amp;IF(AND($AB22&lt;&gt;"",$AB22&gt;=BT$7,$AB22&lt;BT$7+7),"H","")&amp;IF(AND($AC22&lt;&gt;"",$AC22&gt;=BT$7,$AC22&lt;BT$7+7),"G","")&amp;IF(AND($AH22&lt;&gt;"",$AH22&gt;=BT$7,$AH22&lt;BT$7+7),"S","")</f>
        <v/>
      </c>
      <c r="BU22" s="92" t="str">
        <f aca="false">IF(AND($Y22&lt;&gt;"",$Y22&gt;=BU$7,$Y22&lt;BU$7+7),"I","")&amp;IF(AND($Z22&lt;&gt;"",$Z22&gt;=BU$7,$Z22&lt;BU$7+7),"P","")&amp;IF(AND($AA22&lt;&gt;"",$AA22&gt;=BU$7,$AA22&lt;BU$7+7),"T","")&amp;IF(AND($AB22&lt;&gt;"",$AB22&gt;=BU$7,$AB22&lt;BU$7+7),"H","")&amp;IF(AND($AC22&lt;&gt;"",$AC22&gt;=BU$7,$AC22&lt;BU$7+7),"G","")&amp;IF(AND($AH22&lt;&gt;"",$AH22&gt;=BU$7,$AH22&lt;BU$7+7),"S","")</f>
        <v/>
      </c>
      <c r="BV22" s="92" t="str">
        <f aca="false">IF(AND($Y22&lt;&gt;"",$Y22&gt;=BV$7,$Y22&lt;BV$7+7),"I","")&amp;IF(AND($Z22&lt;&gt;"",$Z22&gt;=BV$7,$Z22&lt;BV$7+7),"P","")&amp;IF(AND($AA22&lt;&gt;"",$AA22&gt;=BV$7,$AA22&lt;BV$7+7),"T","")&amp;IF(AND($AB22&lt;&gt;"",$AB22&gt;=BV$7,$AB22&lt;BV$7+7),"H","")&amp;IF(AND($AC22&lt;&gt;"",$AC22&gt;=BV$7,$AC22&lt;BV$7+7),"G","")&amp;IF(AND($AH22&lt;&gt;"",$AH22&gt;=BV$7,$AH22&lt;BV$7+7),"S","")</f>
        <v/>
      </c>
      <c r="BW22" s="92" t="str">
        <f aca="false">IF(AND($Y22&lt;&gt;"",$Y22&gt;=BW$7,$Y22&lt;BW$7+7),"I","")&amp;IF(AND($Z22&lt;&gt;"",$Z22&gt;=BW$7,$Z22&lt;BW$7+7),"P","")&amp;IF(AND($AA22&lt;&gt;"",$AA22&gt;=BW$7,$AA22&lt;BW$7+7),"T","")&amp;IF(AND($AB22&lt;&gt;"",$AB22&gt;=BW$7,$AB22&lt;BW$7+7),"H","")&amp;IF(AND($AC22&lt;&gt;"",$AC22&gt;=BW$7,$AC22&lt;BW$7+7),"G","")&amp;IF(AND($AH22&lt;&gt;"",$AH22&gt;=BW$7,$AH22&lt;BW$7+7),"S","")</f>
        <v/>
      </c>
      <c r="BX22" s="92" t="str">
        <f aca="false">IF(AND($Y22&lt;&gt;"",$Y22&gt;=BX$7,$Y22&lt;BX$7+7),"I","")&amp;IF(AND($Z22&lt;&gt;"",$Z22&gt;=BX$7,$Z22&lt;BX$7+7),"P","")&amp;IF(AND($AA22&lt;&gt;"",$AA22&gt;=BX$7,$AA22&lt;BX$7+7),"T","")&amp;IF(AND($AB22&lt;&gt;"",$AB22&gt;=BX$7,$AB22&lt;BX$7+7),"H","")&amp;IF(AND($AC22&lt;&gt;"",$AC22&gt;=BX$7,$AC22&lt;BX$7+7),"G","")&amp;IF(AND($AH22&lt;&gt;"",$AH22&gt;=BX$7,$AH22&lt;BX$7+7),"S","")</f>
        <v>S</v>
      </c>
      <c r="BY22" s="92" t="str">
        <f aca="false">IF(AND($Y22&lt;&gt;"",$Y22&gt;=BY$7,$Y22&lt;BY$7+7),"I","")&amp;IF(AND($Z22&lt;&gt;"",$Z22&gt;=BY$7,$Z22&lt;BY$7+7),"P","")&amp;IF(AND($AA22&lt;&gt;"",$AA22&gt;=BY$7,$AA22&lt;BY$7+7),"T","")&amp;IF(AND($AB22&lt;&gt;"",$AB22&gt;=BY$7,$AB22&lt;BY$7+7),"H","")&amp;IF(AND($AC22&lt;&gt;"",$AC22&gt;=BY$7,$AC22&lt;BY$7+7),"G","")&amp;IF(AND($AH22&lt;&gt;"",$AH22&gt;=BY$7,$AH22&lt;BY$7+7),"S","")</f>
        <v/>
      </c>
      <c r="BZ22" s="92" t="str">
        <f aca="false">IF(AND($Y22&lt;&gt;"",$Y22&gt;=BZ$7,$Y22&lt;BZ$7+7),"I","")&amp;IF(AND($Z22&lt;&gt;"",$Z22&gt;=BZ$7,$Z22&lt;BZ$7+7),"P","")&amp;IF(AND($AA22&lt;&gt;"",$AA22&gt;=BZ$7,$AA22&lt;BZ$7+7),"T","")&amp;IF(AND($AB22&lt;&gt;"",$AB22&gt;=BZ$7,$AB22&lt;BZ$7+7),"H","")&amp;IF(AND($AC22&lt;&gt;"",$AC22&gt;=BZ$7,$AC22&lt;BZ$7+7),"G","")&amp;IF(AND($AH22&lt;&gt;"",$AH22&gt;=BZ$7,$AH22&lt;BZ$7+7),"S","")</f>
        <v/>
      </c>
      <c r="CA22" s="92" t="str">
        <f aca="false">IF(AND($Y22&lt;&gt;"",$Y22&gt;=CA$7,$Y22&lt;CA$7+7),"I","")&amp;IF(AND($Z22&lt;&gt;"",$Z22&gt;=CA$7,$Z22&lt;CA$7+7),"P","")&amp;IF(AND($AA22&lt;&gt;"",$AA22&gt;=CA$7,$AA22&lt;CA$7+7),"T","")&amp;IF(AND($AB22&lt;&gt;"",$AB22&gt;=CA$7,$AB22&lt;CA$7+7),"H","")&amp;IF(AND($AC22&lt;&gt;"",$AC22&gt;=CA$7,$AC22&lt;CA$7+7),"G","")&amp;IF(AND($AH22&lt;&gt;"",$AH22&gt;=CA$7,$AH22&lt;CA$7+7),"S","")</f>
        <v/>
      </c>
      <c r="CB22" s="92" t="str">
        <f aca="false">IF(AND($Y22&lt;&gt;"",$Y22&gt;=CB$7,$Y22&lt;CB$7+7),"I","")&amp;IF(AND($Z22&lt;&gt;"",$Z22&gt;=CB$7,$Z22&lt;CB$7+7),"P","")&amp;IF(AND($AA22&lt;&gt;"",$AA22&gt;=CB$7,$AA22&lt;CB$7+7),"T","")&amp;IF(AND($AB22&lt;&gt;"",$AB22&gt;=CB$7,$AB22&lt;CB$7+7),"H","")&amp;IF(AND($AC22&lt;&gt;"",$AC22&gt;=CB$7,$AC22&lt;CB$7+7),"G","")&amp;IF(AND($AH22&lt;&gt;"",$AH22&gt;=CB$7,$AH22&lt;CB$7+7),"S","")</f>
        <v/>
      </c>
      <c r="CC22" s="92" t="str">
        <f aca="false">IF(AND($Y22&lt;&gt;"",$Y22&gt;=CC$7,$Y22&lt;CC$7+7),"I","")&amp;IF(AND($Z22&lt;&gt;"",$Z22&gt;=CC$7,$Z22&lt;CC$7+7),"P","")&amp;IF(AND($AA22&lt;&gt;"",$AA22&gt;=CC$7,$AA22&lt;CC$7+7),"T","")&amp;IF(AND($AB22&lt;&gt;"",$AB22&gt;=CC$7,$AB22&lt;CC$7+7),"H","")&amp;IF(AND($AC22&lt;&gt;"",$AC22&gt;=CC$7,$AC22&lt;CC$7+7),"G","")&amp;IF(AND($AH22&lt;&gt;"",$AH22&gt;=CC$7,$AH22&lt;CC$7+7),"S","")</f>
        <v/>
      </c>
      <c r="CD22" s="92" t="str">
        <f aca="false">IF(AND($Y22&lt;&gt;"",$Y22&gt;=CD$7,$Y22&lt;CD$7+7),"I","")&amp;IF(AND($Z22&lt;&gt;"",$Z22&gt;=CD$7,$Z22&lt;CD$7+7),"P","")&amp;IF(AND($AA22&lt;&gt;"",$AA22&gt;=CD$7,$AA22&lt;CD$7+7),"T","")&amp;IF(AND($AB22&lt;&gt;"",$AB22&gt;=CD$7,$AB22&lt;CD$7+7),"H","")&amp;IF(AND($AC22&lt;&gt;"",$AC22&gt;=CD$7,$AC22&lt;CD$7+7),"G","")&amp;IF(AND($AH22&lt;&gt;"",$AH22&gt;=CD$7,$AH22&lt;CD$7+7),"S","")</f>
        <v/>
      </c>
      <c r="CE22" s="92" t="str">
        <f aca="false">IF(AND($Y22&lt;&gt;"",$Y22&gt;=CE$7,$Y22&lt;CE$7+7),"I","")&amp;IF(AND($Z22&lt;&gt;"",$Z22&gt;=CE$7,$Z22&lt;CE$7+7),"P","")&amp;IF(AND($AA22&lt;&gt;"",$AA22&gt;=CE$7,$AA22&lt;CE$7+7),"T","")&amp;IF(AND($AB22&lt;&gt;"",$AB22&gt;=CE$7,$AB22&lt;CE$7+7),"H","")&amp;IF(AND($AC22&lt;&gt;"",$AC22&gt;=CE$7,$AC22&lt;CE$7+7),"G","")&amp;IF(AND($AH22&lt;&gt;"",$AH22&gt;=CE$7,$AH22&lt;CE$7+7),"S","")</f>
        <v/>
      </c>
      <c r="CF22" s="92" t="str">
        <f aca="false">IF(AND($Y22&lt;&gt;"",$Y22&gt;=CF$7,$Y22&lt;CF$7+7),"I","")&amp;IF(AND($Z22&lt;&gt;"",$Z22&gt;=CF$7,$Z22&lt;CF$7+7),"P","")&amp;IF(AND($AA22&lt;&gt;"",$AA22&gt;=CF$7,$AA22&lt;CF$7+7),"T","")&amp;IF(AND($AB22&lt;&gt;"",$AB22&gt;=CF$7,$AB22&lt;CF$7+7),"H","")&amp;IF(AND($AC22&lt;&gt;"",$AC22&gt;=CF$7,$AC22&lt;CF$7+7),"G","")&amp;IF(AND($AH22&lt;&gt;"",$AH22&gt;=CF$7,$AH22&lt;CF$7+7),"S","")</f>
        <v/>
      </c>
      <c r="CG22" s="92" t="str">
        <f aca="false">IF(AND($Y22&lt;&gt;"",$Y22&gt;=CG$7,$Y22&lt;CG$7+7),"I","")&amp;IF(AND($Z22&lt;&gt;"",$Z22&gt;=CG$7,$Z22&lt;CG$7+7),"P","")&amp;IF(AND($AA22&lt;&gt;"",$AA22&gt;=CG$7,$AA22&lt;CG$7+7),"T","")&amp;IF(AND($AB22&lt;&gt;"",$AB22&gt;=CG$7,$AB22&lt;CG$7+7),"H","")&amp;IF(AND($AC22&lt;&gt;"",$AC22&gt;=CG$7,$AC22&lt;CG$7+7),"G","")&amp;IF(AND($AH22&lt;&gt;"",$AH22&gt;=CG$7,$AH22&lt;CG$7+7),"S","")</f>
        <v/>
      </c>
      <c r="CH22" s="92" t="str">
        <f aca="false">IF(AND($Y22&lt;&gt;"",$Y22&gt;=CH$7,$Y22&lt;CH$7+7),"I","")&amp;IF(AND($Z22&lt;&gt;"",$Z22&gt;=CH$7,$Z22&lt;CH$7+7),"P","")&amp;IF(AND($AA22&lt;&gt;"",$AA22&gt;=CH$7,$AA22&lt;CH$7+7),"T","")&amp;IF(AND($AB22&lt;&gt;"",$AB22&gt;=CH$7,$AB22&lt;CH$7+7),"H","")&amp;IF(AND($AC22&lt;&gt;"",$AC22&gt;=CH$7,$AC22&lt;CH$7+7),"G","")&amp;IF(AND($AH22&lt;&gt;"",$AH22&gt;=CH$7,$AH22&lt;CH$7+7),"S","")</f>
        <v/>
      </c>
      <c r="CI22" s="92" t="str">
        <f aca="false">IF(AND($Y22&lt;&gt;"",$Y22&gt;=CI$7,$Y22&lt;CI$7+7),"I","")&amp;IF(AND($Z22&lt;&gt;"",$Z22&gt;=CI$7,$Z22&lt;CI$7+7),"P","")&amp;IF(AND($AA22&lt;&gt;"",$AA22&gt;=CI$7,$AA22&lt;CI$7+7),"T","")&amp;IF(AND($AB22&lt;&gt;"",$AB22&gt;=CI$7,$AB22&lt;CI$7+7),"H","")&amp;IF(AND($AC22&lt;&gt;"",$AC22&gt;=CI$7,$AC22&lt;CI$7+7),"G","")&amp;IF(AND($AH22&lt;&gt;"",$AH22&gt;=CI$7,$AH22&lt;CI$7+7),"S","")</f>
        <v/>
      </c>
      <c r="CJ22" s="92" t="str">
        <f aca="false">IF(AND($Y22&lt;&gt;"",$Y22&gt;=CJ$7,$Y22&lt;CJ$7+7),"I","")&amp;IF(AND($Z22&lt;&gt;"",$Z22&gt;=CJ$7,$Z22&lt;CJ$7+7),"P","")&amp;IF(AND($AA22&lt;&gt;"",$AA22&gt;=CJ$7,$AA22&lt;CJ$7+7),"T","")&amp;IF(AND($AB22&lt;&gt;"",$AB22&gt;=CJ$7,$AB22&lt;CJ$7+7),"H","")&amp;IF(AND($AC22&lt;&gt;"",$AC22&gt;=CJ$7,$AC22&lt;CJ$7+7),"G","")&amp;IF(AND($AH22&lt;&gt;"",$AH22&gt;=CJ$7,$AH22&lt;CJ$7+7),"S","")</f>
        <v/>
      </c>
      <c r="CK22" s="92" t="str">
        <f aca="false">IF(AND($Y22&lt;&gt;"",$Y22&gt;=CK$7,$Y22&lt;CK$7+7),"I","")&amp;IF(AND($Z22&lt;&gt;"",$Z22&gt;=CK$7,$Z22&lt;CK$7+7),"P","")&amp;IF(AND($AA22&lt;&gt;"",$AA22&gt;=CK$7,$AA22&lt;CK$7+7),"T","")&amp;IF(AND($AB22&lt;&gt;"",$AB22&gt;=CK$7,$AB22&lt;CK$7+7),"H","")&amp;IF(AND($AC22&lt;&gt;"",$AC22&gt;=CK$7,$AC22&lt;CK$7+7),"G","")&amp;IF(AND($AH22&lt;&gt;"",$AH22&gt;=CK$7,$AH22&lt;CK$7+7),"S","")</f>
        <v/>
      </c>
      <c r="CL22" s="92" t="str">
        <f aca="false">IF(AND($Y22&lt;&gt;"",$Y22&gt;=CL$7,$Y22&lt;CL$7+7),"I","")&amp;IF(AND($Z22&lt;&gt;"",$Z22&gt;=CL$7,$Z22&lt;CL$7+7),"P","")&amp;IF(AND($AA22&lt;&gt;"",$AA22&gt;=CL$7,$AA22&lt;CL$7+7),"T","")&amp;IF(AND($AB22&lt;&gt;"",$AB22&gt;=CL$7,$AB22&lt;CL$7+7),"H","")&amp;IF(AND($AC22&lt;&gt;"",$AC22&gt;=CL$7,$AC22&lt;CL$7+7),"G","")&amp;IF(AND($AH22&lt;&gt;"",$AH22&gt;=CL$7,$AH22&lt;CL$7+7),"S","")</f>
        <v/>
      </c>
      <c r="CM22" s="92" t="str">
        <f aca="false">IF(AND($Y22&lt;&gt;"",$Y22&gt;=CM$7,$Y22&lt;CM$7+7),"I","")&amp;IF(AND($Z22&lt;&gt;"",$Z22&gt;=CM$7,$Z22&lt;CM$7+7),"P","")&amp;IF(AND($AA22&lt;&gt;"",$AA22&gt;=CM$7,$AA22&lt;CM$7+7),"T","")&amp;IF(AND($AB22&lt;&gt;"",$AB22&gt;=CM$7,$AB22&lt;CM$7+7),"H","")&amp;IF(AND($AC22&lt;&gt;"",$AC22&gt;=CM$7,$AC22&lt;CM$7+7),"G","")&amp;IF(AND($AH22&lt;&gt;"",$AH22&gt;=CM$7,$AH22&lt;CM$7+7),"S","")</f>
        <v/>
      </c>
      <c r="CN22" s="92" t="str">
        <f aca="false">IF(AND($Y22&lt;&gt;"",$Y22&gt;=CN$7,$Y22&lt;CN$7+7),"I","")&amp;IF(AND($Z22&lt;&gt;"",$Z22&gt;=CN$7,$Z22&lt;CN$7+7),"P","")&amp;IF(AND($AA22&lt;&gt;"",$AA22&gt;=CN$7,$AA22&lt;CN$7+7),"T","")&amp;IF(AND($AB22&lt;&gt;"",$AB22&gt;=CN$7,$AB22&lt;CN$7+7),"H","")&amp;IF(AND($AC22&lt;&gt;"",$AC22&gt;=CN$7,$AC22&lt;CN$7+7),"G","")&amp;IF(AND($AH22&lt;&gt;"",$AH22&gt;=CN$7,$AH22&lt;CN$7+7),"S","")</f>
        <v/>
      </c>
      <c r="CO22" s="92" t="str">
        <f aca="false">IF(AND($Y22&lt;&gt;"",$Y22&gt;=CO$7,$Y22&lt;CO$7+7),"I","")&amp;IF(AND($Z22&lt;&gt;"",$Z22&gt;=CO$7,$Z22&lt;CO$7+7),"P","")&amp;IF(AND($AA22&lt;&gt;"",$AA22&gt;=CO$7,$AA22&lt;CO$7+7),"T","")&amp;IF(AND($AB22&lt;&gt;"",$AB22&gt;=CO$7,$AB22&lt;CO$7+7),"H","")&amp;IF(AND($AC22&lt;&gt;"",$AC22&gt;=CO$7,$AC22&lt;CO$7+7),"G","")&amp;IF(AND($AH22&lt;&gt;"",$AH22&gt;=CO$7,$AH22&lt;CO$7+7),"S","")</f>
        <v/>
      </c>
      <c r="CP22" s="92" t="str">
        <f aca="false">IF(AND($Y22&lt;&gt;"",$Y22&gt;=CP$7,$Y22&lt;CP$7+7),"I","")&amp;IF(AND($Z22&lt;&gt;"",$Z22&gt;=CP$7,$Z22&lt;CP$7+7),"P","")&amp;IF(AND($AA22&lt;&gt;"",$AA22&gt;=CP$7,$AA22&lt;CP$7+7),"T","")&amp;IF(AND($AB22&lt;&gt;"",$AB22&gt;=CP$7,$AB22&lt;CP$7+7),"H","")&amp;IF(AND($AC22&lt;&gt;"",$AC22&gt;=CP$7,$AC22&lt;CP$7+7),"G","")&amp;IF(AND($AH22&lt;&gt;"",$AH22&gt;=CP$7,$AH22&lt;CP$7+7),"S","")</f>
        <v/>
      </c>
      <c r="CQ22" s="92" t="str">
        <f aca="false">IF(AND($Y22&lt;&gt;"",$Y22&gt;=CQ$7,$Y22&lt;CQ$7+7),"I","")&amp;IF(AND($Z22&lt;&gt;"",$Z22&gt;=CQ$7,$Z22&lt;CQ$7+7),"P","")&amp;IF(AND($AA22&lt;&gt;"",$AA22&gt;=CQ$7,$AA22&lt;CQ$7+7),"T","")&amp;IF(AND($AB22&lt;&gt;"",$AB22&gt;=CQ$7,$AB22&lt;CQ$7+7),"H","")&amp;IF(AND($AC22&lt;&gt;"",$AC22&gt;=CQ$7,$AC22&lt;CQ$7+7),"G","")&amp;IF(AND($AH22&lt;&gt;"",$AH22&gt;=CQ$7,$AH22&lt;CQ$7+7),"S","")</f>
        <v/>
      </c>
      <c r="CR22" s="92" t="str">
        <f aca="false">IF(AND($Y22&lt;&gt;"",$Y22&gt;=CR$7,$Y22&lt;CR$7+7),"I","")&amp;IF(AND($Z22&lt;&gt;"",$Z22&gt;=CR$7,$Z22&lt;CR$7+7),"P","")&amp;IF(AND($AA22&lt;&gt;"",$AA22&gt;=CR$7,$AA22&lt;CR$7+7),"T","")&amp;IF(AND($AB22&lt;&gt;"",$AB22&gt;=CR$7,$AB22&lt;CR$7+7),"H","")&amp;IF(AND($AC22&lt;&gt;"",$AC22&gt;=CR$7,$AC22&lt;CR$7+7),"G","")&amp;IF(AND($AH22&lt;&gt;"",$AH22&gt;=CR$7,$AH22&lt;CR$7+7),"S","")</f>
        <v/>
      </c>
      <c r="CS22" s="92" t="str">
        <f aca="false">IF(AND($Y22&lt;&gt;"",$Y22&gt;=CS$7,$Y22&lt;CS$7+7),"I","")&amp;IF(AND($Z22&lt;&gt;"",$Z22&gt;=CS$7,$Z22&lt;CS$7+7),"P","")&amp;IF(AND($AA22&lt;&gt;"",$AA22&gt;=CS$7,$AA22&lt;CS$7+7),"T","")&amp;IF(AND($AB22&lt;&gt;"",$AB22&gt;=CS$7,$AB22&lt;CS$7+7),"H","")&amp;IF(AND($AC22&lt;&gt;"",$AC22&gt;=CS$7,$AC22&lt;CS$7+7),"G","")&amp;IF(AND($AH22&lt;&gt;"",$AH22&gt;=CS$7,$AH22&lt;CS$7+7),"S","")</f>
        <v/>
      </c>
      <c r="CT22" s="92" t="str">
        <f aca="false">IF(AND($Y22&lt;&gt;"",$Y22&gt;=CT$7,$Y22&lt;CT$7+7),"I","")&amp;IF(AND($Z22&lt;&gt;"",$Z22&gt;=CT$7,$Z22&lt;CT$7+7),"P","")&amp;IF(AND($AA22&lt;&gt;"",$AA22&gt;=CT$7,$AA22&lt;CT$7+7),"T","")&amp;IF(AND($AB22&lt;&gt;"",$AB22&gt;=CT$7,$AB22&lt;CT$7+7),"H","")&amp;IF(AND($AC22&lt;&gt;"",$AC22&gt;=CT$7,$AC22&lt;CT$7+7),"G","")&amp;IF(AND($AH22&lt;&gt;"",$AH22&gt;=CT$7,$AH22&lt;CT$7+7),"S","")</f>
        <v/>
      </c>
      <c r="CU22" s="92" t="str">
        <f aca="false">IF(AND($Y22&lt;&gt;"",$Y22&gt;=CU$7,$Y22&lt;CU$7+7),"I","")&amp;IF(AND($Z22&lt;&gt;"",$Z22&gt;=CU$7,$Z22&lt;CU$7+7),"P","")&amp;IF(AND($AA22&lt;&gt;"",$AA22&gt;=CU$7,$AA22&lt;CU$7+7),"T","")&amp;IF(AND($AB22&lt;&gt;"",$AB22&gt;=CU$7,$AB22&lt;CU$7+7),"H","")&amp;IF(AND($AC22&lt;&gt;"",$AC22&gt;=CU$7,$AC22&lt;CU$7+7),"G","")&amp;IF(AND($AH22&lt;&gt;"",$AH22&gt;=CU$7,$AH22&lt;CU$7+7),"S","")</f>
        <v/>
      </c>
      <c r="CV22" s="92" t="str">
        <f aca="false">IF(AND($Y22&lt;&gt;"",$Y22&gt;=CV$7,$Y22&lt;CV$7+7),"I","")&amp;IF(AND($Z22&lt;&gt;"",$Z22&gt;=CV$7,$Z22&lt;CV$7+7),"P","")&amp;IF(AND($AA22&lt;&gt;"",$AA22&gt;=CV$7,$AA22&lt;CV$7+7),"T","")&amp;IF(AND($AB22&lt;&gt;"",$AB22&gt;=CV$7,$AB22&lt;CV$7+7),"H","")&amp;IF(AND($AC22&lt;&gt;"",$AC22&gt;=CV$7,$AC22&lt;CV$7+7),"G","")&amp;IF(AND($AH22&lt;&gt;"",$AH22&gt;=CV$7,$AH22&lt;CV$7+7),"S","")</f>
        <v/>
      </c>
      <c r="CW22" s="92" t="str">
        <f aca="false">IF(AND($Y22&lt;&gt;"",$Y22&gt;=CW$7,$Y22&lt;CW$7+7),"I","")&amp;IF(AND($Z22&lt;&gt;"",$Z22&gt;=CW$7,$Z22&lt;CW$7+7),"P","")&amp;IF(AND($AA22&lt;&gt;"",$AA22&gt;=CW$7,$AA22&lt;CW$7+7),"T","")&amp;IF(AND($AB22&lt;&gt;"",$AB22&gt;=CW$7,$AB22&lt;CW$7+7),"H","")&amp;IF(AND($AC22&lt;&gt;"",$AC22&gt;=CW$7,$AC22&lt;CW$7+7),"G","")&amp;IF(AND($AH22&lt;&gt;"",$AH22&gt;=CW$7,$AH22&lt;CW$7+7),"S","")</f>
        <v/>
      </c>
      <c r="CX22" s="92" t="str">
        <f aca="false">IF(AND($Y22&lt;&gt;"",$Y22&gt;=CX$7,$Y22&lt;CX$7+7),"I","")&amp;IF(AND($Z22&lt;&gt;"",$Z22&gt;=CX$7,$Z22&lt;CX$7+7),"P","")&amp;IF(AND($AA22&lt;&gt;"",$AA22&gt;=CX$7,$AA22&lt;CX$7+7),"T","")&amp;IF(AND($AB22&lt;&gt;"",$AB22&gt;=CX$7,$AB22&lt;CX$7+7),"H","")&amp;IF(AND($AC22&lt;&gt;"",$AC22&gt;=CX$7,$AC22&lt;CX$7+7),"G","")&amp;IF(AND($AH22&lt;&gt;"",$AH22&gt;=CX$7,$AH22&lt;CX$7+7),"S","")</f>
        <v/>
      </c>
      <c r="CY22" s="92" t="str">
        <f aca="false">IF(AND($Y22&lt;&gt;"",$Y22&gt;=CY$7,$Y22&lt;CY$7+7),"I","")&amp;IF(AND($Z22&lt;&gt;"",$Z22&gt;=CY$7,$Z22&lt;CY$7+7),"P","")&amp;IF(AND($AA22&lt;&gt;"",$AA22&gt;=CY$7,$AA22&lt;CY$7+7),"T","")&amp;IF(AND($AB22&lt;&gt;"",$AB22&gt;=CY$7,$AB22&lt;CY$7+7),"H","")&amp;IF(AND($AC22&lt;&gt;"",$AC22&gt;=CY$7,$AC22&lt;CY$7+7),"G","")&amp;IF(AND($AH22&lt;&gt;"",$AH22&gt;=CY$7,$AH22&lt;CY$7+7),"S","")</f>
        <v/>
      </c>
      <c r="CZ22" s="92" t="str">
        <f aca="false">IF(AND($Y22&lt;&gt;"",$Y22&gt;=CZ$7,$Y22&lt;CZ$7+7),"I","")&amp;IF(AND($Z22&lt;&gt;"",$Z22&gt;=CZ$7,$Z22&lt;CZ$7+7),"P","")&amp;IF(AND($AA22&lt;&gt;"",$AA22&gt;=CZ$7,$AA22&lt;CZ$7+7),"T","")&amp;IF(AND($AB22&lt;&gt;"",$AB22&gt;=CZ$7,$AB22&lt;CZ$7+7),"H","")&amp;IF(AND($AC22&lt;&gt;"",$AC22&gt;=CZ$7,$AC22&lt;CZ$7+7),"G","")&amp;IF(AND($AH22&lt;&gt;"",$AH22&gt;=CZ$7,$AH22&lt;CZ$7+7),"S","")</f>
        <v/>
      </c>
      <c r="DA22" s="92" t="str">
        <f aca="false">IF(AND($Y22&lt;&gt;"",$Y22&gt;=DA$7,$Y22&lt;DA$7+7),"I","")&amp;IF(AND($Z22&lt;&gt;"",$Z22&gt;=DA$7,$Z22&lt;DA$7+7),"P","")&amp;IF(AND($AA22&lt;&gt;"",$AA22&gt;=DA$7,$AA22&lt;DA$7+7),"T","")&amp;IF(AND($AB22&lt;&gt;"",$AB22&gt;=DA$7,$AB22&lt;DA$7+7),"H","")&amp;IF(AND($AC22&lt;&gt;"",$AC22&gt;=DA$7,$AC22&lt;DA$7+7),"G","")&amp;IF(AND($AH22&lt;&gt;"",$AH22&gt;=DA$7,$AH22&lt;DA$7+7),"S","")</f>
        <v/>
      </c>
      <c r="DB22" s="92" t="str">
        <f aca="false">IF(AND($Y22&lt;&gt;"",$Y22&gt;=DB$7,$Y22&lt;DB$7+7),"I","")&amp;IF(AND($Z22&lt;&gt;"",$Z22&gt;=DB$7,$Z22&lt;DB$7+7),"P","")&amp;IF(AND($AA22&lt;&gt;"",$AA22&gt;=DB$7,$AA22&lt;DB$7+7),"T","")&amp;IF(AND($AB22&lt;&gt;"",$AB22&gt;=DB$7,$AB22&lt;DB$7+7),"H","")&amp;IF(AND($AC22&lt;&gt;"",$AC22&gt;=DB$7,$AC22&lt;DB$7+7),"G","")&amp;IF(AND($AH22&lt;&gt;"",$AH22&gt;=DB$7,$AH22&lt;DB$7+7),"S","")</f>
        <v/>
      </c>
      <c r="DC22" s="92" t="str">
        <f aca="false">IF(AND($Y22&lt;&gt;"",$Y22&gt;=DC$7,$Y22&lt;DC$7+7),"I","")&amp;IF(AND($Z22&lt;&gt;"",$Z22&gt;=DC$7,$Z22&lt;DC$7+7),"P","")&amp;IF(AND($AA22&lt;&gt;"",$AA22&gt;=DC$7,$AA22&lt;DC$7+7),"T","")&amp;IF(AND($AB22&lt;&gt;"",$AB22&gt;=DC$7,$AB22&lt;DC$7+7),"H","")&amp;IF(AND($AC22&lt;&gt;"",$AC22&gt;=DC$7,$AC22&lt;DC$7+7),"G","")&amp;IF(AND($AH22&lt;&gt;"",$AH22&gt;=DC$7,$AH22&lt;DC$7+7),"S","")</f>
        <v/>
      </c>
    </row>
    <row r="23" customFormat="false" ht="15" hidden="false" customHeight="false" outlineLevel="0" collapsed="false">
      <c r="A23" s="47" t="s">
        <v>102</v>
      </c>
      <c r="B23" s="31" t="s">
        <v>103</v>
      </c>
      <c r="C23" s="36" t="s">
        <v>565</v>
      </c>
      <c r="D23" s="31" t="s">
        <v>566</v>
      </c>
      <c r="E23" s="31" t="s">
        <v>185</v>
      </c>
      <c r="F23" s="75" t="n">
        <v>280.44</v>
      </c>
      <c r="G23" s="31" t="s">
        <v>170</v>
      </c>
      <c r="H23" s="76" t="n">
        <f aca="false">PROJ_START+RD_SPAN</f>
        <v>46403</v>
      </c>
      <c r="I23" s="77" t="n">
        <f aca="false">H23+33</f>
        <v>46436</v>
      </c>
      <c r="J23" s="31" t="s">
        <v>105</v>
      </c>
      <c r="K23" s="36" t="s">
        <v>131</v>
      </c>
      <c r="L23" s="36" t="s">
        <v>104</v>
      </c>
      <c r="M23" s="36" t="s">
        <v>568</v>
      </c>
      <c r="N23" s="78" t="str">
        <f aca="false">IF(ISNUMBER(อัปเดตรายสัปดาห์!$AF23),อัปเดตรายสัปดาห์!$AF23,"")</f>
        <v/>
      </c>
      <c r="O23" s="78" t="str">
        <f aca="false">IF(ISNUMBER(อัปเดตรายสัปดาห์!$AH23),อัปเดตรายสัปดาห์!$AH23,"")</f>
        <v/>
      </c>
      <c r="P23" s="78" t="str">
        <f aca="false">IF(ISNUMBER(อัปเดตรายสัปดาห์!$AG23),อัปเดตรายสัปดาห์!$AG23,IF(AND(ISNUMBER(TCRoof!$AC$23),N(TCRoof!$AC$23)&lt;=ASOF),TCRoof!$AC$23,""))</f>
        <v/>
      </c>
      <c r="Q23" s="78" t="str">
        <f aca="false">IF(ISNUMBER(อัปเดตรายสัปดาห์!$AL23),อัปเดตรายสัปดาห์!$AL23,"")</f>
        <v/>
      </c>
      <c r="R23" s="78" t="str">
        <f aca="false">IF(ISNUMBER(อัปเดตรายสัปดาห์!$Q23),อัปเดตรายสัปดาห์!$Q23,"")</f>
        <v/>
      </c>
      <c r="S23" s="78" t="str">
        <f aca="false">IF(ISNUMBER(อัปเดตรายสัปดาห์!$R23),อัปเดตรายสัปดาห์!$R23,"")</f>
        <v/>
      </c>
      <c r="T23" s="78" t="str">
        <f aca="false">IF(ISNUMBER(อัปเดตรายสัปดาห์!$S23),อัปเดตรายสัปดาห์!$S23,IF(อัปเดตรายสัปดาห์!$S23="Y",ASOF,""))</f>
        <v/>
      </c>
      <c r="U23" s="78" t="str">
        <f aca="false">IF(ISNUMBER(อัปเดตรายสัปดาห์!$T23),อัปเดตรายสัปดาห์!$T23,IF(อัปเดตรายสัปดาห์!$T23="Y",ASOF,""))</f>
        <v/>
      </c>
      <c r="V23" s="78" t="str">
        <f aca="false">IF(ISNUMBER(อัปเดตรายสัปดาห์!$U23),อัปเดตรายสัปดาห์!$U23,IF(อัปเดตรายสัปดาห์!$U23="Y",ASOF,""))</f>
        <v/>
      </c>
      <c r="W23" s="78" t="str">
        <f aca="false">IF(ISNUMBER(อัปเดตรายสัปดาห์!$N23),อัปเดตรายสัปดาห์!$N23,"")</f>
        <v/>
      </c>
      <c r="X23" s="78" t="str">
        <f aca="false">IF(ISNUMBER(อัปเดตรายสัปดาห์!$V23),อัปเดตรายสัปดาห์!$V23,IF(AND(ISNUMBER(TCRoof!$AD$23),N(TCRoof!$AD$23)&lt;=ASOF),TCRoof!$AD$23,""))</f>
        <v/>
      </c>
      <c r="Y23" s="79" t="n">
        <f aca="false">IF(N23&lt;&gt;"",N23,WORKDAY((ASOF+LEAD_INST+7*INT((AT23-0.01)/MAX(1,AU23)))-1,1,HOLIDAYS))</f>
        <v>46349</v>
      </c>
      <c r="Z23" s="79" t="n">
        <f aca="false">IF(O23&lt;&gt;"",O23,WORKDAY((MAX(AV23+7*INT((AW23-1)/MAX(1,AX23)),AV23+7*INT((AY23-1)/MAX(1,AZ23))))-1,1,HOLIDAYS))</f>
        <v>46356</v>
      </c>
      <c r="AA23" s="79" t="n">
        <f aca="false">IF(P23&lt;&gt;"",P23,WORKDAY((BA23+7*INT((BB23-1)/MAX(1,BC23)))-1,1,HOLIDAYS))</f>
        <v>46359</v>
      </c>
      <c r="AB23" s="79" t="n">
        <f aca="false">IF(Q23&lt;&gt;"",Q23,WORKDAY((MAX(AA23+BD23,ASOF+1))-1,1,HOLIDAYS))</f>
        <v>46367</v>
      </c>
      <c r="AC23" s="79" t="n">
        <f aca="false">IF(R23&lt;&gt;"",R23,WORKDAY((MAX(Y23,ASOF)+LAG_GRID)-1,1,HOLIDAYS))</f>
        <v>46356</v>
      </c>
      <c r="AD23" s="79" t="n">
        <f aca="false">IF(T23&lt;&gt;"",T23,WORKDAY((MAX(WORKDAY(MAX(AC23,N(S23)),REVIEW_WD,HOLIDAYS),ASOF+1))-1,1,HOLIDAYS))</f>
        <v>46379</v>
      </c>
      <c r="AE23" s="79" t="n">
        <f aca="false">IF(U23&lt;&gt;"",U23,WORKDAY((MAX(AD23,ASOF)+FEE_DAYS)-1,1,HOLIDAYS))</f>
        <v>46386</v>
      </c>
      <c r="AF23" s="79" t="n">
        <f aca="false">IF(V23&lt;&gt;"",V23,WORKDAY((MAX(AA23,Z23,AE23,IF(AG23="",0,AG23+REVIEW_PK2),ASOF)+LAG_INSREQ)-1,1,HOLIDAYS))</f>
        <v>46391</v>
      </c>
      <c r="AG23" s="79" t="n">
        <f aca="false">IF(M23&lt;&gt;"Y","",IF(W23&lt;&gt;"",W23,WORKDAY((MAX(Y23,ASOF)+LAG_GRID)-1,1,HOLIDAYS)))</f>
        <v>46356</v>
      </c>
      <c r="AH23" s="80" t="n">
        <f aca="false">IF(X23&lt;&gt;"",X23,WORKDAY(AF23,INSPECT_WD,HOLIDAYS))</f>
        <v>46433</v>
      </c>
      <c r="AI23" s="81" t="n">
        <f aca="false">IF(H23="","",AB23-H23)</f>
        <v>-36</v>
      </c>
      <c r="AJ23" s="81" t="n">
        <f aca="false">IF(I23="","",AH23-I23)</f>
        <v>-3</v>
      </c>
      <c r="AK23" s="82" t="n">
        <f aca="false">IF(AND(ISNUMBER(N23),N(N23)&lt;=ASOF),1,0)+IF(AND(ISNUMBER(O23),N(O23)&lt;=ASOF),1,0)+IF(AND(ISNUMBER(P23),N(P23)&lt;=ASOF),1,0)+IF(AND(ISNUMBER(Q23),N(Q23)&lt;=ASOF),1,0)+IF(AND(ISNUMBER(R23),N(R23)&lt;=ASOF),1,0)+IF(AND(ISNUMBER(U23),N(U23)&lt;=ASOF),1,0)+IF(AND(ISNUMBER(X23),N(X23)&lt;=ASOF),1,0)+IF(AND(ISNUMBER(W23),N(W23)&lt;=ASOF),1,0)</f>
        <v>0</v>
      </c>
      <c r="AL23" s="83" t="n">
        <v>8</v>
      </c>
      <c r="AM23" s="84" t="n">
        <f aca="false">'P9-016'!$J$4</f>
        <v>0</v>
      </c>
      <c r="AN23" s="85" t="str">
        <f aca="false">TRIM(IF(AND(ISNUMBER(O23),NOT(ISNUMBER(N23))),"กฟภ.ตรวจก่อนติดตั้ง, ","")&amp;IF(AND(ISNUMBER(P23),NOT(ISNUMBER(N23))),"IEC ก่อนติดตั้ง, ","")&amp;IF(AND(ISNUMBER(Q23),NOT(ISNUMBER(N23))),"ส่งมอบก่อนติดตั้ง, ","")&amp;IF(AND(ISNUMBER(Q23),ISNUMBER(P23),N(Q23)&lt;N(P23)),"ส่งมอบก่อน IEC, ","")&amp;IF(AND(ISNUMBER(อัปเดตรายสัปดาห์!$AG23),ISNUMBER(TCRoof!$AC$23),ABS(N(อัปเดตรายสัปดาห์!$AG23)-N(TCRoof!$AC$23))&gt;3),"IEC Excel≠แอป, ","")&amp;IF(AND(ISNUMBER(อัปเดตรายสัปดาห์!$V23),ISNUMBER(TCRoof!$AD$23),ABS(N(อัปเดตรายสัปดาห์!$V23)-N(TCRoof!$AD$23))&gt;3),"COD Excel≠แอป, ","")&amp;IF(AND(ISNUMBER(อัปเดตรายสัปดาห์!$AF23),ISNUMBER(TCRoof!$AB$23),ABS(N(อัปเดตรายสัปดาห์!$AF23)-N(TCRoof!$AB$23))&gt;3),"ติดตั้ง Excel≠แอป, ","")&amp;IF(AND(ISNUMBER(N23),N(N23)&gt;ASOF,OR(WEEKDAY(N(N23),2)&gt;5,COUNTIF(HOLIDAYS,N(N23))&gt;0)),"นัดดับไฟตรงวันหยุด, ","")&amp;IF(AND(ISNUMBER(O23),N(O23)&gt;ASOF,OR(WEEKDAY(N(O23),2)&gt;5,COUNTIF(HOLIDAYS,N(O23))&gt;0)),"นัด กฟภ.ตรงวันหยุด, ","")&amp;IF(AND(ISNUMBER(P23),N(P23)&gt;ASOF,OR(WEEKDAY(N(P23),2)&gt;5,COUNTIF(HOLIDAYS,N(P23))&gt;0)),"นัด IECตรงวันหยุด, ","")&amp;IF(AND(ISNUMBER(X23),N(X23)&gt;ASOF,OR(WEEKDAY(N(X23),2)&gt;5,COUNTIF(HOLIDAYS,N(X23))&gt;0)),"นัด Syncตรงวันหยุด, ",""))</f>
        <v/>
      </c>
      <c r="AO23" s="86" t="n">
        <f aca="false">SUMIFS(CR_COD,CR_ST,A23,CR_STAT,"อนุมัติ")+SUMIFS(CR_COD,CR_ST,"ทั้งเฟส",CR_STAT,"อนุมัติ")+SUMIFS(CR_COD,CR_ST,"ผรม. "&amp;L23,CR_STAT,"อนุมัติ")+SUMIFS(CR_COD,CR_ST,"เขต "&amp;E23,CR_STAT,"อนุมัติ")</f>
        <v>0</v>
      </c>
      <c r="AP23" s="86" t="n">
        <f aca="false">IF(NOT(ISNUMBER(AJ23)),"",MAX(0,AJ23-AO23))</f>
        <v>0</v>
      </c>
      <c r="AQ23" s="86" t="n">
        <f aca="false">COUNTIF(RW_ST,A23)</f>
        <v>0</v>
      </c>
      <c r="AR23" s="87" t="str">
        <f aca="false">IF(ISNUMBER(TCRoof!$I$23),TCRoof!$I$23,"")</f>
        <v/>
      </c>
      <c r="AS23" s="88" t="str">
        <f aca="false">IF(ISNUMBER(TCRoof!$H$23),TCRoof!$H$23,"")</f>
        <v/>
      </c>
      <c r="AT23" s="89" t="n">
        <f aca="false">IF(N23&lt;&gt;"","",SUMIFS($F$8:$F$27,$L$8:$L$27,L23,$N$8:$N$27,"",$H$8:$H$27,"&lt;"&amp;H23)+SUMIFS($F$8:$F$27,$L$8:$L$27,L23,$N$8:$N$27,"",$H$8:$H$27,H23,$A$8:$A$27,"&lt;="&amp;A23)+SUMIFS($F$8:$F$27,$L$8:$L$27,L23,$N$8:$N$27,"&gt;"&amp;ASOF))</f>
        <v>280.44</v>
      </c>
      <c r="AU23" s="89" t="n">
        <f aca="false">IFERROR(VLOOKUP(L23,TEAM_TBL,2,0)*VLOOKUP(L23,TEAM_TBL,3,0),150)</f>
        <v>150</v>
      </c>
      <c r="AV23" s="90" t="n">
        <f aca="false">IF(O23&lt;&gt;"","",MAX(Y23+LAG_PEA,ASOF+LAG_PEA))</f>
        <v>46356</v>
      </c>
      <c r="AW23" s="89" t="n">
        <f aca="false">IF(O23&lt;&gt;"","",COUNTIFS($E$8:$E$27,E23,$AV$8:$AV$27,"&lt;"&amp;AV23)+COUNTIFS($E$8:$E$27,E23,$AV$8:$AV$27,AV23,$A$8:$A$27,"&lt;"&amp;A23)+COUNTIFS($E$8:$E$27,E23,$O$8:$O$27,"&gt;"&amp;ASOF)+1)</f>
        <v>1</v>
      </c>
      <c r="AX23" s="89" t="n">
        <f aca="false">IFERROR(VLOOKUP(E23,ZONE_TBL,2,0),CAP_PEA)</f>
        <v>3</v>
      </c>
      <c r="AY23" s="89" t="n">
        <f aca="false">IF(O23&lt;&gt;"","",COUNTIFS($J$8:$J$27,J23,$AV$8:$AV$27,"&lt;"&amp;AV23)+COUNTIFS($J$8:$J$27,J23,$AV$8:$AV$27,AV23,$A$8:$A$27,"&lt;"&amp;A23)+COUNTIFS($J$8:$J$27,J23,$O$8:$O$27,"&gt;"&amp;ASOF)+1)</f>
        <v>1</v>
      </c>
      <c r="AZ23" s="89" t="n">
        <f aca="false">IFERROR(VLOOKUP(J23,ENG_TBL,2,0),ENG_CAP)</f>
        <v>3</v>
      </c>
      <c r="BA23" s="90" t="n">
        <f aca="false">IF(P23&lt;&gt;"","",MAX(Z23+LAG_IEC,ASOF+1))</f>
        <v>46359</v>
      </c>
      <c r="BB23" s="89" t="n">
        <f aca="false">IF(P23&lt;&gt;"","",COUNTIFS($L$8:$L$27,L23,$BA$8:$BA$27,"&lt;"&amp;BA23)+COUNTIFS($L$8:$L$27,L23,$BA$8:$BA$27,BA23,$A$8:$A$27,"&lt;"&amp;A23)+COUNTIFS($L$8:$L$27,L23,$P$8:$P$27,"&gt;"&amp;ASOF)+1)</f>
        <v>1</v>
      </c>
      <c r="BC23" s="89" t="n">
        <f aca="false">IFERROR(VLOOKUP(L23,TEAM_TBL,4,0)*VLOOKUP(L23,TEAM_TBL,5,0),3)</f>
        <v>3</v>
      </c>
      <c r="BD23" s="91" t="n">
        <f aca="false">IFERROR(VLOOKUP(L23,TEAM_TBL,6,0),LAG_HO)</f>
        <v>7</v>
      </c>
      <c r="BE23" s="89" t="n">
        <f aca="false">IF(ISNUMBER(AW23),7*INT((AW23-1)/MAX(1,AX23)),"")</f>
        <v>0</v>
      </c>
      <c r="BF23" s="89" t="n">
        <f aca="false">IF(ISNUMBER(AY23),7*INT((AY23-1)/MAX(1,AZ23)),"")</f>
        <v>0</v>
      </c>
      <c r="BH23" s="92" t="str">
        <f aca="false">IF(AND($Y23&lt;&gt;"",$Y23&gt;=BH$7,$Y23&lt;BH$7+7),"I","")&amp;IF(AND($Z23&lt;&gt;"",$Z23&gt;=BH$7,$Z23&lt;BH$7+7),"P","")&amp;IF(AND($AA23&lt;&gt;"",$AA23&gt;=BH$7,$AA23&lt;BH$7+7),"T","")&amp;IF(AND($AB23&lt;&gt;"",$AB23&gt;=BH$7,$AB23&lt;BH$7+7),"H","")&amp;IF(AND($AC23&lt;&gt;"",$AC23&gt;=BH$7,$AC23&lt;BH$7+7),"G","")&amp;IF(AND($AH23&lt;&gt;"",$AH23&gt;=BH$7,$AH23&lt;BH$7+7),"S","")</f>
        <v/>
      </c>
      <c r="BI23" s="92" t="str">
        <f aca="false">IF(AND($Y23&lt;&gt;"",$Y23&gt;=BI$7,$Y23&lt;BI$7+7),"I","")&amp;IF(AND($Z23&lt;&gt;"",$Z23&gt;=BI$7,$Z23&lt;BI$7+7),"P","")&amp;IF(AND($AA23&lt;&gt;"",$AA23&gt;=BI$7,$AA23&lt;BI$7+7),"T","")&amp;IF(AND($AB23&lt;&gt;"",$AB23&gt;=BI$7,$AB23&lt;BI$7+7),"H","")&amp;IF(AND($AC23&lt;&gt;"",$AC23&gt;=BI$7,$AC23&lt;BI$7+7),"G","")&amp;IF(AND($AH23&lt;&gt;"",$AH23&gt;=BI$7,$AH23&lt;BI$7+7),"S","")</f>
        <v/>
      </c>
      <c r="BJ23" s="92" t="str">
        <f aca="false">IF(AND($Y23&lt;&gt;"",$Y23&gt;=BJ$7,$Y23&lt;BJ$7+7),"I","")&amp;IF(AND($Z23&lt;&gt;"",$Z23&gt;=BJ$7,$Z23&lt;BJ$7+7),"P","")&amp;IF(AND($AA23&lt;&gt;"",$AA23&gt;=BJ$7,$AA23&lt;BJ$7+7),"T","")&amp;IF(AND($AB23&lt;&gt;"",$AB23&gt;=BJ$7,$AB23&lt;BJ$7+7),"H","")&amp;IF(AND($AC23&lt;&gt;"",$AC23&gt;=BJ$7,$AC23&lt;BJ$7+7),"G","")&amp;IF(AND($AH23&lt;&gt;"",$AH23&gt;=BJ$7,$AH23&lt;BJ$7+7),"S","")</f>
        <v/>
      </c>
      <c r="BK23" s="92" t="str">
        <f aca="false">IF(AND($Y23&lt;&gt;"",$Y23&gt;=BK$7,$Y23&lt;BK$7+7),"I","")&amp;IF(AND($Z23&lt;&gt;"",$Z23&gt;=BK$7,$Z23&lt;BK$7+7),"P","")&amp;IF(AND($AA23&lt;&gt;"",$AA23&gt;=BK$7,$AA23&lt;BK$7+7),"T","")&amp;IF(AND($AB23&lt;&gt;"",$AB23&gt;=BK$7,$AB23&lt;BK$7+7),"H","")&amp;IF(AND($AC23&lt;&gt;"",$AC23&gt;=BK$7,$AC23&lt;BK$7+7),"G","")&amp;IF(AND($AH23&lt;&gt;"",$AH23&gt;=BK$7,$AH23&lt;BK$7+7),"S","")</f>
        <v/>
      </c>
      <c r="BL23" s="92" t="str">
        <f aca="false">IF(AND($Y23&lt;&gt;"",$Y23&gt;=BL$7,$Y23&lt;BL$7+7),"I","")&amp;IF(AND($Z23&lt;&gt;"",$Z23&gt;=BL$7,$Z23&lt;BL$7+7),"P","")&amp;IF(AND($AA23&lt;&gt;"",$AA23&gt;=BL$7,$AA23&lt;BL$7+7),"T","")&amp;IF(AND($AB23&lt;&gt;"",$AB23&gt;=BL$7,$AB23&lt;BL$7+7),"H","")&amp;IF(AND($AC23&lt;&gt;"",$AC23&gt;=BL$7,$AC23&lt;BL$7+7),"G","")&amp;IF(AND($AH23&lt;&gt;"",$AH23&gt;=BL$7,$AH23&lt;BL$7+7),"S","")</f>
        <v>I</v>
      </c>
      <c r="BM23" s="92" t="str">
        <f aca="false">IF(AND($Y23&lt;&gt;"",$Y23&gt;=BM$7,$Y23&lt;BM$7+7),"I","")&amp;IF(AND($Z23&lt;&gt;"",$Z23&gt;=BM$7,$Z23&lt;BM$7+7),"P","")&amp;IF(AND($AA23&lt;&gt;"",$AA23&gt;=BM$7,$AA23&lt;BM$7+7),"T","")&amp;IF(AND($AB23&lt;&gt;"",$AB23&gt;=BM$7,$AB23&lt;BM$7+7),"H","")&amp;IF(AND($AC23&lt;&gt;"",$AC23&gt;=BM$7,$AC23&lt;BM$7+7),"G","")&amp;IF(AND($AH23&lt;&gt;"",$AH23&gt;=BM$7,$AH23&lt;BM$7+7),"S","")</f>
        <v>PTG</v>
      </c>
      <c r="BN23" s="92" t="str">
        <f aca="false">IF(AND($Y23&lt;&gt;"",$Y23&gt;=BN$7,$Y23&lt;BN$7+7),"I","")&amp;IF(AND($Z23&lt;&gt;"",$Z23&gt;=BN$7,$Z23&lt;BN$7+7),"P","")&amp;IF(AND($AA23&lt;&gt;"",$AA23&gt;=BN$7,$AA23&lt;BN$7+7),"T","")&amp;IF(AND($AB23&lt;&gt;"",$AB23&gt;=BN$7,$AB23&lt;BN$7+7),"H","")&amp;IF(AND($AC23&lt;&gt;"",$AC23&gt;=BN$7,$AC23&lt;BN$7+7),"G","")&amp;IF(AND($AH23&lt;&gt;"",$AH23&gt;=BN$7,$AH23&lt;BN$7+7),"S","")</f>
        <v>H</v>
      </c>
      <c r="BO23" s="92" t="str">
        <f aca="false">IF(AND($Y23&lt;&gt;"",$Y23&gt;=BO$7,$Y23&lt;BO$7+7),"I","")&amp;IF(AND($Z23&lt;&gt;"",$Z23&gt;=BO$7,$Z23&lt;BO$7+7),"P","")&amp;IF(AND($AA23&lt;&gt;"",$AA23&gt;=BO$7,$AA23&lt;BO$7+7),"T","")&amp;IF(AND($AB23&lt;&gt;"",$AB23&gt;=BO$7,$AB23&lt;BO$7+7),"H","")&amp;IF(AND($AC23&lt;&gt;"",$AC23&gt;=BO$7,$AC23&lt;BO$7+7),"G","")&amp;IF(AND($AH23&lt;&gt;"",$AH23&gt;=BO$7,$AH23&lt;BO$7+7),"S","")</f>
        <v/>
      </c>
      <c r="BP23" s="92" t="str">
        <f aca="false">IF(AND($Y23&lt;&gt;"",$Y23&gt;=BP$7,$Y23&lt;BP$7+7),"I","")&amp;IF(AND($Z23&lt;&gt;"",$Z23&gt;=BP$7,$Z23&lt;BP$7+7),"P","")&amp;IF(AND($AA23&lt;&gt;"",$AA23&gt;=BP$7,$AA23&lt;BP$7+7),"T","")&amp;IF(AND($AB23&lt;&gt;"",$AB23&gt;=BP$7,$AB23&lt;BP$7+7),"H","")&amp;IF(AND($AC23&lt;&gt;"",$AC23&gt;=BP$7,$AC23&lt;BP$7+7),"G","")&amp;IF(AND($AH23&lt;&gt;"",$AH23&gt;=BP$7,$AH23&lt;BP$7+7),"S","")</f>
        <v/>
      </c>
      <c r="BQ23" s="92" t="str">
        <f aca="false">IF(AND($Y23&lt;&gt;"",$Y23&gt;=BQ$7,$Y23&lt;BQ$7+7),"I","")&amp;IF(AND($Z23&lt;&gt;"",$Z23&gt;=BQ$7,$Z23&lt;BQ$7+7),"P","")&amp;IF(AND($AA23&lt;&gt;"",$AA23&gt;=BQ$7,$AA23&lt;BQ$7+7),"T","")&amp;IF(AND($AB23&lt;&gt;"",$AB23&gt;=BQ$7,$AB23&lt;BQ$7+7),"H","")&amp;IF(AND($AC23&lt;&gt;"",$AC23&gt;=BQ$7,$AC23&lt;BQ$7+7),"G","")&amp;IF(AND($AH23&lt;&gt;"",$AH23&gt;=BQ$7,$AH23&lt;BQ$7+7),"S","")</f>
        <v/>
      </c>
      <c r="BR23" s="92" t="str">
        <f aca="false">IF(AND($Y23&lt;&gt;"",$Y23&gt;=BR$7,$Y23&lt;BR$7+7),"I","")&amp;IF(AND($Z23&lt;&gt;"",$Z23&gt;=BR$7,$Z23&lt;BR$7+7),"P","")&amp;IF(AND($AA23&lt;&gt;"",$AA23&gt;=BR$7,$AA23&lt;BR$7+7),"T","")&amp;IF(AND($AB23&lt;&gt;"",$AB23&gt;=BR$7,$AB23&lt;BR$7+7),"H","")&amp;IF(AND($AC23&lt;&gt;"",$AC23&gt;=BR$7,$AC23&lt;BR$7+7),"G","")&amp;IF(AND($AH23&lt;&gt;"",$AH23&gt;=BR$7,$AH23&lt;BR$7+7),"S","")</f>
        <v/>
      </c>
      <c r="BS23" s="92" t="str">
        <f aca="false">IF(AND($Y23&lt;&gt;"",$Y23&gt;=BS$7,$Y23&lt;BS$7+7),"I","")&amp;IF(AND($Z23&lt;&gt;"",$Z23&gt;=BS$7,$Z23&lt;BS$7+7),"P","")&amp;IF(AND($AA23&lt;&gt;"",$AA23&gt;=BS$7,$AA23&lt;BS$7+7),"T","")&amp;IF(AND($AB23&lt;&gt;"",$AB23&gt;=BS$7,$AB23&lt;BS$7+7),"H","")&amp;IF(AND($AC23&lt;&gt;"",$AC23&gt;=BS$7,$AC23&lt;BS$7+7),"G","")&amp;IF(AND($AH23&lt;&gt;"",$AH23&gt;=BS$7,$AH23&lt;BS$7+7),"S","")</f>
        <v/>
      </c>
      <c r="BT23" s="92" t="str">
        <f aca="false">IF(AND($Y23&lt;&gt;"",$Y23&gt;=BT$7,$Y23&lt;BT$7+7),"I","")&amp;IF(AND($Z23&lt;&gt;"",$Z23&gt;=BT$7,$Z23&lt;BT$7+7),"P","")&amp;IF(AND($AA23&lt;&gt;"",$AA23&gt;=BT$7,$AA23&lt;BT$7+7),"T","")&amp;IF(AND($AB23&lt;&gt;"",$AB23&gt;=BT$7,$AB23&lt;BT$7+7),"H","")&amp;IF(AND($AC23&lt;&gt;"",$AC23&gt;=BT$7,$AC23&lt;BT$7+7),"G","")&amp;IF(AND($AH23&lt;&gt;"",$AH23&gt;=BT$7,$AH23&lt;BT$7+7),"S","")</f>
        <v/>
      </c>
      <c r="BU23" s="92" t="str">
        <f aca="false">IF(AND($Y23&lt;&gt;"",$Y23&gt;=BU$7,$Y23&lt;BU$7+7),"I","")&amp;IF(AND($Z23&lt;&gt;"",$Z23&gt;=BU$7,$Z23&lt;BU$7+7),"P","")&amp;IF(AND($AA23&lt;&gt;"",$AA23&gt;=BU$7,$AA23&lt;BU$7+7),"T","")&amp;IF(AND($AB23&lt;&gt;"",$AB23&gt;=BU$7,$AB23&lt;BU$7+7),"H","")&amp;IF(AND($AC23&lt;&gt;"",$AC23&gt;=BU$7,$AC23&lt;BU$7+7),"G","")&amp;IF(AND($AH23&lt;&gt;"",$AH23&gt;=BU$7,$AH23&lt;BU$7+7),"S","")</f>
        <v/>
      </c>
      <c r="BV23" s="92" t="str">
        <f aca="false">IF(AND($Y23&lt;&gt;"",$Y23&gt;=BV$7,$Y23&lt;BV$7+7),"I","")&amp;IF(AND($Z23&lt;&gt;"",$Z23&gt;=BV$7,$Z23&lt;BV$7+7),"P","")&amp;IF(AND($AA23&lt;&gt;"",$AA23&gt;=BV$7,$AA23&lt;BV$7+7),"T","")&amp;IF(AND($AB23&lt;&gt;"",$AB23&gt;=BV$7,$AB23&lt;BV$7+7),"H","")&amp;IF(AND($AC23&lt;&gt;"",$AC23&gt;=BV$7,$AC23&lt;BV$7+7),"G","")&amp;IF(AND($AH23&lt;&gt;"",$AH23&gt;=BV$7,$AH23&lt;BV$7+7),"S","")</f>
        <v/>
      </c>
      <c r="BW23" s="92" t="str">
        <f aca="false">IF(AND($Y23&lt;&gt;"",$Y23&gt;=BW$7,$Y23&lt;BW$7+7),"I","")&amp;IF(AND($Z23&lt;&gt;"",$Z23&gt;=BW$7,$Z23&lt;BW$7+7),"P","")&amp;IF(AND($AA23&lt;&gt;"",$AA23&gt;=BW$7,$AA23&lt;BW$7+7),"T","")&amp;IF(AND($AB23&lt;&gt;"",$AB23&gt;=BW$7,$AB23&lt;BW$7+7),"H","")&amp;IF(AND($AC23&lt;&gt;"",$AC23&gt;=BW$7,$AC23&lt;BW$7+7),"G","")&amp;IF(AND($AH23&lt;&gt;"",$AH23&gt;=BW$7,$AH23&lt;BW$7+7),"S","")</f>
        <v/>
      </c>
      <c r="BX23" s="92" t="str">
        <f aca="false">IF(AND($Y23&lt;&gt;"",$Y23&gt;=BX$7,$Y23&lt;BX$7+7),"I","")&amp;IF(AND($Z23&lt;&gt;"",$Z23&gt;=BX$7,$Z23&lt;BX$7+7),"P","")&amp;IF(AND($AA23&lt;&gt;"",$AA23&gt;=BX$7,$AA23&lt;BX$7+7),"T","")&amp;IF(AND($AB23&lt;&gt;"",$AB23&gt;=BX$7,$AB23&lt;BX$7+7),"H","")&amp;IF(AND($AC23&lt;&gt;"",$AC23&gt;=BX$7,$AC23&lt;BX$7+7),"G","")&amp;IF(AND($AH23&lt;&gt;"",$AH23&gt;=BX$7,$AH23&lt;BX$7+7),"S","")</f>
        <v>S</v>
      </c>
      <c r="BY23" s="92" t="str">
        <f aca="false">IF(AND($Y23&lt;&gt;"",$Y23&gt;=BY$7,$Y23&lt;BY$7+7),"I","")&amp;IF(AND($Z23&lt;&gt;"",$Z23&gt;=BY$7,$Z23&lt;BY$7+7),"P","")&amp;IF(AND($AA23&lt;&gt;"",$AA23&gt;=BY$7,$AA23&lt;BY$7+7),"T","")&amp;IF(AND($AB23&lt;&gt;"",$AB23&gt;=BY$7,$AB23&lt;BY$7+7),"H","")&amp;IF(AND($AC23&lt;&gt;"",$AC23&gt;=BY$7,$AC23&lt;BY$7+7),"G","")&amp;IF(AND($AH23&lt;&gt;"",$AH23&gt;=BY$7,$AH23&lt;BY$7+7),"S","")</f>
        <v/>
      </c>
      <c r="BZ23" s="92" t="str">
        <f aca="false">IF(AND($Y23&lt;&gt;"",$Y23&gt;=BZ$7,$Y23&lt;BZ$7+7),"I","")&amp;IF(AND($Z23&lt;&gt;"",$Z23&gt;=BZ$7,$Z23&lt;BZ$7+7),"P","")&amp;IF(AND($AA23&lt;&gt;"",$AA23&gt;=BZ$7,$AA23&lt;BZ$7+7),"T","")&amp;IF(AND($AB23&lt;&gt;"",$AB23&gt;=BZ$7,$AB23&lt;BZ$7+7),"H","")&amp;IF(AND($AC23&lt;&gt;"",$AC23&gt;=BZ$7,$AC23&lt;BZ$7+7),"G","")&amp;IF(AND($AH23&lt;&gt;"",$AH23&gt;=BZ$7,$AH23&lt;BZ$7+7),"S","")</f>
        <v/>
      </c>
      <c r="CA23" s="92" t="str">
        <f aca="false">IF(AND($Y23&lt;&gt;"",$Y23&gt;=CA$7,$Y23&lt;CA$7+7),"I","")&amp;IF(AND($Z23&lt;&gt;"",$Z23&gt;=CA$7,$Z23&lt;CA$7+7),"P","")&amp;IF(AND($AA23&lt;&gt;"",$AA23&gt;=CA$7,$AA23&lt;CA$7+7),"T","")&amp;IF(AND($AB23&lt;&gt;"",$AB23&gt;=CA$7,$AB23&lt;CA$7+7),"H","")&amp;IF(AND($AC23&lt;&gt;"",$AC23&gt;=CA$7,$AC23&lt;CA$7+7),"G","")&amp;IF(AND($AH23&lt;&gt;"",$AH23&gt;=CA$7,$AH23&lt;CA$7+7),"S","")</f>
        <v/>
      </c>
      <c r="CB23" s="92" t="str">
        <f aca="false">IF(AND($Y23&lt;&gt;"",$Y23&gt;=CB$7,$Y23&lt;CB$7+7),"I","")&amp;IF(AND($Z23&lt;&gt;"",$Z23&gt;=CB$7,$Z23&lt;CB$7+7),"P","")&amp;IF(AND($AA23&lt;&gt;"",$AA23&gt;=CB$7,$AA23&lt;CB$7+7),"T","")&amp;IF(AND($AB23&lt;&gt;"",$AB23&gt;=CB$7,$AB23&lt;CB$7+7),"H","")&amp;IF(AND($AC23&lt;&gt;"",$AC23&gt;=CB$7,$AC23&lt;CB$7+7),"G","")&amp;IF(AND($AH23&lt;&gt;"",$AH23&gt;=CB$7,$AH23&lt;CB$7+7),"S","")</f>
        <v/>
      </c>
      <c r="CC23" s="92" t="str">
        <f aca="false">IF(AND($Y23&lt;&gt;"",$Y23&gt;=CC$7,$Y23&lt;CC$7+7),"I","")&amp;IF(AND($Z23&lt;&gt;"",$Z23&gt;=CC$7,$Z23&lt;CC$7+7),"P","")&amp;IF(AND($AA23&lt;&gt;"",$AA23&gt;=CC$7,$AA23&lt;CC$7+7),"T","")&amp;IF(AND($AB23&lt;&gt;"",$AB23&gt;=CC$7,$AB23&lt;CC$7+7),"H","")&amp;IF(AND($AC23&lt;&gt;"",$AC23&gt;=CC$7,$AC23&lt;CC$7+7),"G","")&amp;IF(AND($AH23&lt;&gt;"",$AH23&gt;=CC$7,$AH23&lt;CC$7+7),"S","")</f>
        <v/>
      </c>
      <c r="CD23" s="92" t="str">
        <f aca="false">IF(AND($Y23&lt;&gt;"",$Y23&gt;=CD$7,$Y23&lt;CD$7+7),"I","")&amp;IF(AND($Z23&lt;&gt;"",$Z23&gt;=CD$7,$Z23&lt;CD$7+7),"P","")&amp;IF(AND($AA23&lt;&gt;"",$AA23&gt;=CD$7,$AA23&lt;CD$7+7),"T","")&amp;IF(AND($AB23&lt;&gt;"",$AB23&gt;=CD$7,$AB23&lt;CD$7+7),"H","")&amp;IF(AND($AC23&lt;&gt;"",$AC23&gt;=CD$7,$AC23&lt;CD$7+7),"G","")&amp;IF(AND($AH23&lt;&gt;"",$AH23&gt;=CD$7,$AH23&lt;CD$7+7),"S","")</f>
        <v/>
      </c>
      <c r="CE23" s="92" t="str">
        <f aca="false">IF(AND($Y23&lt;&gt;"",$Y23&gt;=CE$7,$Y23&lt;CE$7+7),"I","")&amp;IF(AND($Z23&lt;&gt;"",$Z23&gt;=CE$7,$Z23&lt;CE$7+7),"P","")&amp;IF(AND($AA23&lt;&gt;"",$AA23&gt;=CE$7,$AA23&lt;CE$7+7),"T","")&amp;IF(AND($AB23&lt;&gt;"",$AB23&gt;=CE$7,$AB23&lt;CE$7+7),"H","")&amp;IF(AND($AC23&lt;&gt;"",$AC23&gt;=CE$7,$AC23&lt;CE$7+7),"G","")&amp;IF(AND($AH23&lt;&gt;"",$AH23&gt;=CE$7,$AH23&lt;CE$7+7),"S","")</f>
        <v/>
      </c>
      <c r="CF23" s="92" t="str">
        <f aca="false">IF(AND($Y23&lt;&gt;"",$Y23&gt;=CF$7,$Y23&lt;CF$7+7),"I","")&amp;IF(AND($Z23&lt;&gt;"",$Z23&gt;=CF$7,$Z23&lt;CF$7+7),"P","")&amp;IF(AND($AA23&lt;&gt;"",$AA23&gt;=CF$7,$AA23&lt;CF$7+7),"T","")&amp;IF(AND($AB23&lt;&gt;"",$AB23&gt;=CF$7,$AB23&lt;CF$7+7),"H","")&amp;IF(AND($AC23&lt;&gt;"",$AC23&gt;=CF$7,$AC23&lt;CF$7+7),"G","")&amp;IF(AND($AH23&lt;&gt;"",$AH23&gt;=CF$7,$AH23&lt;CF$7+7),"S","")</f>
        <v/>
      </c>
      <c r="CG23" s="92" t="str">
        <f aca="false">IF(AND($Y23&lt;&gt;"",$Y23&gt;=CG$7,$Y23&lt;CG$7+7),"I","")&amp;IF(AND($Z23&lt;&gt;"",$Z23&gt;=CG$7,$Z23&lt;CG$7+7),"P","")&amp;IF(AND($AA23&lt;&gt;"",$AA23&gt;=CG$7,$AA23&lt;CG$7+7),"T","")&amp;IF(AND($AB23&lt;&gt;"",$AB23&gt;=CG$7,$AB23&lt;CG$7+7),"H","")&amp;IF(AND($AC23&lt;&gt;"",$AC23&gt;=CG$7,$AC23&lt;CG$7+7),"G","")&amp;IF(AND($AH23&lt;&gt;"",$AH23&gt;=CG$7,$AH23&lt;CG$7+7),"S","")</f>
        <v/>
      </c>
      <c r="CH23" s="92" t="str">
        <f aca="false">IF(AND($Y23&lt;&gt;"",$Y23&gt;=CH$7,$Y23&lt;CH$7+7),"I","")&amp;IF(AND($Z23&lt;&gt;"",$Z23&gt;=CH$7,$Z23&lt;CH$7+7),"P","")&amp;IF(AND($AA23&lt;&gt;"",$AA23&gt;=CH$7,$AA23&lt;CH$7+7),"T","")&amp;IF(AND($AB23&lt;&gt;"",$AB23&gt;=CH$7,$AB23&lt;CH$7+7),"H","")&amp;IF(AND($AC23&lt;&gt;"",$AC23&gt;=CH$7,$AC23&lt;CH$7+7),"G","")&amp;IF(AND($AH23&lt;&gt;"",$AH23&gt;=CH$7,$AH23&lt;CH$7+7),"S","")</f>
        <v/>
      </c>
      <c r="CI23" s="92" t="str">
        <f aca="false">IF(AND($Y23&lt;&gt;"",$Y23&gt;=CI$7,$Y23&lt;CI$7+7),"I","")&amp;IF(AND($Z23&lt;&gt;"",$Z23&gt;=CI$7,$Z23&lt;CI$7+7),"P","")&amp;IF(AND($AA23&lt;&gt;"",$AA23&gt;=CI$7,$AA23&lt;CI$7+7),"T","")&amp;IF(AND($AB23&lt;&gt;"",$AB23&gt;=CI$7,$AB23&lt;CI$7+7),"H","")&amp;IF(AND($AC23&lt;&gt;"",$AC23&gt;=CI$7,$AC23&lt;CI$7+7),"G","")&amp;IF(AND($AH23&lt;&gt;"",$AH23&gt;=CI$7,$AH23&lt;CI$7+7),"S","")</f>
        <v/>
      </c>
      <c r="CJ23" s="92" t="str">
        <f aca="false">IF(AND($Y23&lt;&gt;"",$Y23&gt;=CJ$7,$Y23&lt;CJ$7+7),"I","")&amp;IF(AND($Z23&lt;&gt;"",$Z23&gt;=CJ$7,$Z23&lt;CJ$7+7),"P","")&amp;IF(AND($AA23&lt;&gt;"",$AA23&gt;=CJ$7,$AA23&lt;CJ$7+7),"T","")&amp;IF(AND($AB23&lt;&gt;"",$AB23&gt;=CJ$7,$AB23&lt;CJ$7+7),"H","")&amp;IF(AND($AC23&lt;&gt;"",$AC23&gt;=CJ$7,$AC23&lt;CJ$7+7),"G","")&amp;IF(AND($AH23&lt;&gt;"",$AH23&gt;=CJ$7,$AH23&lt;CJ$7+7),"S","")</f>
        <v/>
      </c>
      <c r="CK23" s="92" t="str">
        <f aca="false">IF(AND($Y23&lt;&gt;"",$Y23&gt;=CK$7,$Y23&lt;CK$7+7),"I","")&amp;IF(AND($Z23&lt;&gt;"",$Z23&gt;=CK$7,$Z23&lt;CK$7+7),"P","")&amp;IF(AND($AA23&lt;&gt;"",$AA23&gt;=CK$7,$AA23&lt;CK$7+7),"T","")&amp;IF(AND($AB23&lt;&gt;"",$AB23&gt;=CK$7,$AB23&lt;CK$7+7),"H","")&amp;IF(AND($AC23&lt;&gt;"",$AC23&gt;=CK$7,$AC23&lt;CK$7+7),"G","")&amp;IF(AND($AH23&lt;&gt;"",$AH23&gt;=CK$7,$AH23&lt;CK$7+7),"S","")</f>
        <v/>
      </c>
      <c r="CL23" s="92" t="str">
        <f aca="false">IF(AND($Y23&lt;&gt;"",$Y23&gt;=CL$7,$Y23&lt;CL$7+7),"I","")&amp;IF(AND($Z23&lt;&gt;"",$Z23&gt;=CL$7,$Z23&lt;CL$7+7),"P","")&amp;IF(AND($AA23&lt;&gt;"",$AA23&gt;=CL$7,$AA23&lt;CL$7+7),"T","")&amp;IF(AND($AB23&lt;&gt;"",$AB23&gt;=CL$7,$AB23&lt;CL$7+7),"H","")&amp;IF(AND($AC23&lt;&gt;"",$AC23&gt;=CL$7,$AC23&lt;CL$7+7),"G","")&amp;IF(AND($AH23&lt;&gt;"",$AH23&gt;=CL$7,$AH23&lt;CL$7+7),"S","")</f>
        <v/>
      </c>
      <c r="CM23" s="92" t="str">
        <f aca="false">IF(AND($Y23&lt;&gt;"",$Y23&gt;=CM$7,$Y23&lt;CM$7+7),"I","")&amp;IF(AND($Z23&lt;&gt;"",$Z23&gt;=CM$7,$Z23&lt;CM$7+7),"P","")&amp;IF(AND($AA23&lt;&gt;"",$AA23&gt;=CM$7,$AA23&lt;CM$7+7),"T","")&amp;IF(AND($AB23&lt;&gt;"",$AB23&gt;=CM$7,$AB23&lt;CM$7+7),"H","")&amp;IF(AND($AC23&lt;&gt;"",$AC23&gt;=CM$7,$AC23&lt;CM$7+7),"G","")&amp;IF(AND($AH23&lt;&gt;"",$AH23&gt;=CM$7,$AH23&lt;CM$7+7),"S","")</f>
        <v/>
      </c>
      <c r="CN23" s="92" t="str">
        <f aca="false">IF(AND($Y23&lt;&gt;"",$Y23&gt;=CN$7,$Y23&lt;CN$7+7),"I","")&amp;IF(AND($Z23&lt;&gt;"",$Z23&gt;=CN$7,$Z23&lt;CN$7+7),"P","")&amp;IF(AND($AA23&lt;&gt;"",$AA23&gt;=CN$7,$AA23&lt;CN$7+7),"T","")&amp;IF(AND($AB23&lt;&gt;"",$AB23&gt;=CN$7,$AB23&lt;CN$7+7),"H","")&amp;IF(AND($AC23&lt;&gt;"",$AC23&gt;=CN$7,$AC23&lt;CN$7+7),"G","")&amp;IF(AND($AH23&lt;&gt;"",$AH23&gt;=CN$7,$AH23&lt;CN$7+7),"S","")</f>
        <v/>
      </c>
      <c r="CO23" s="92" t="str">
        <f aca="false">IF(AND($Y23&lt;&gt;"",$Y23&gt;=CO$7,$Y23&lt;CO$7+7),"I","")&amp;IF(AND($Z23&lt;&gt;"",$Z23&gt;=CO$7,$Z23&lt;CO$7+7),"P","")&amp;IF(AND($AA23&lt;&gt;"",$AA23&gt;=CO$7,$AA23&lt;CO$7+7),"T","")&amp;IF(AND($AB23&lt;&gt;"",$AB23&gt;=CO$7,$AB23&lt;CO$7+7),"H","")&amp;IF(AND($AC23&lt;&gt;"",$AC23&gt;=CO$7,$AC23&lt;CO$7+7),"G","")&amp;IF(AND($AH23&lt;&gt;"",$AH23&gt;=CO$7,$AH23&lt;CO$7+7),"S","")</f>
        <v/>
      </c>
      <c r="CP23" s="92" t="str">
        <f aca="false">IF(AND($Y23&lt;&gt;"",$Y23&gt;=CP$7,$Y23&lt;CP$7+7),"I","")&amp;IF(AND($Z23&lt;&gt;"",$Z23&gt;=CP$7,$Z23&lt;CP$7+7),"P","")&amp;IF(AND($AA23&lt;&gt;"",$AA23&gt;=CP$7,$AA23&lt;CP$7+7),"T","")&amp;IF(AND($AB23&lt;&gt;"",$AB23&gt;=CP$7,$AB23&lt;CP$7+7),"H","")&amp;IF(AND($AC23&lt;&gt;"",$AC23&gt;=CP$7,$AC23&lt;CP$7+7),"G","")&amp;IF(AND($AH23&lt;&gt;"",$AH23&gt;=CP$7,$AH23&lt;CP$7+7),"S","")</f>
        <v/>
      </c>
      <c r="CQ23" s="92" t="str">
        <f aca="false">IF(AND($Y23&lt;&gt;"",$Y23&gt;=CQ$7,$Y23&lt;CQ$7+7),"I","")&amp;IF(AND($Z23&lt;&gt;"",$Z23&gt;=CQ$7,$Z23&lt;CQ$7+7),"P","")&amp;IF(AND($AA23&lt;&gt;"",$AA23&gt;=CQ$7,$AA23&lt;CQ$7+7),"T","")&amp;IF(AND($AB23&lt;&gt;"",$AB23&gt;=CQ$7,$AB23&lt;CQ$7+7),"H","")&amp;IF(AND($AC23&lt;&gt;"",$AC23&gt;=CQ$7,$AC23&lt;CQ$7+7),"G","")&amp;IF(AND($AH23&lt;&gt;"",$AH23&gt;=CQ$7,$AH23&lt;CQ$7+7),"S","")</f>
        <v/>
      </c>
      <c r="CR23" s="92" t="str">
        <f aca="false">IF(AND($Y23&lt;&gt;"",$Y23&gt;=CR$7,$Y23&lt;CR$7+7),"I","")&amp;IF(AND($Z23&lt;&gt;"",$Z23&gt;=CR$7,$Z23&lt;CR$7+7),"P","")&amp;IF(AND($AA23&lt;&gt;"",$AA23&gt;=CR$7,$AA23&lt;CR$7+7),"T","")&amp;IF(AND($AB23&lt;&gt;"",$AB23&gt;=CR$7,$AB23&lt;CR$7+7),"H","")&amp;IF(AND($AC23&lt;&gt;"",$AC23&gt;=CR$7,$AC23&lt;CR$7+7),"G","")&amp;IF(AND($AH23&lt;&gt;"",$AH23&gt;=CR$7,$AH23&lt;CR$7+7),"S","")</f>
        <v/>
      </c>
      <c r="CS23" s="92" t="str">
        <f aca="false">IF(AND($Y23&lt;&gt;"",$Y23&gt;=CS$7,$Y23&lt;CS$7+7),"I","")&amp;IF(AND($Z23&lt;&gt;"",$Z23&gt;=CS$7,$Z23&lt;CS$7+7),"P","")&amp;IF(AND($AA23&lt;&gt;"",$AA23&gt;=CS$7,$AA23&lt;CS$7+7),"T","")&amp;IF(AND($AB23&lt;&gt;"",$AB23&gt;=CS$7,$AB23&lt;CS$7+7),"H","")&amp;IF(AND($AC23&lt;&gt;"",$AC23&gt;=CS$7,$AC23&lt;CS$7+7),"G","")&amp;IF(AND($AH23&lt;&gt;"",$AH23&gt;=CS$7,$AH23&lt;CS$7+7),"S","")</f>
        <v/>
      </c>
      <c r="CT23" s="92" t="str">
        <f aca="false">IF(AND($Y23&lt;&gt;"",$Y23&gt;=CT$7,$Y23&lt;CT$7+7),"I","")&amp;IF(AND($Z23&lt;&gt;"",$Z23&gt;=CT$7,$Z23&lt;CT$7+7),"P","")&amp;IF(AND($AA23&lt;&gt;"",$AA23&gt;=CT$7,$AA23&lt;CT$7+7),"T","")&amp;IF(AND($AB23&lt;&gt;"",$AB23&gt;=CT$7,$AB23&lt;CT$7+7),"H","")&amp;IF(AND($AC23&lt;&gt;"",$AC23&gt;=CT$7,$AC23&lt;CT$7+7),"G","")&amp;IF(AND($AH23&lt;&gt;"",$AH23&gt;=CT$7,$AH23&lt;CT$7+7),"S","")</f>
        <v/>
      </c>
      <c r="CU23" s="92" t="str">
        <f aca="false">IF(AND($Y23&lt;&gt;"",$Y23&gt;=CU$7,$Y23&lt;CU$7+7),"I","")&amp;IF(AND($Z23&lt;&gt;"",$Z23&gt;=CU$7,$Z23&lt;CU$7+7),"P","")&amp;IF(AND($AA23&lt;&gt;"",$AA23&gt;=CU$7,$AA23&lt;CU$7+7),"T","")&amp;IF(AND($AB23&lt;&gt;"",$AB23&gt;=CU$7,$AB23&lt;CU$7+7),"H","")&amp;IF(AND($AC23&lt;&gt;"",$AC23&gt;=CU$7,$AC23&lt;CU$7+7),"G","")&amp;IF(AND($AH23&lt;&gt;"",$AH23&gt;=CU$7,$AH23&lt;CU$7+7),"S","")</f>
        <v/>
      </c>
      <c r="CV23" s="92" t="str">
        <f aca="false">IF(AND($Y23&lt;&gt;"",$Y23&gt;=CV$7,$Y23&lt;CV$7+7),"I","")&amp;IF(AND($Z23&lt;&gt;"",$Z23&gt;=CV$7,$Z23&lt;CV$7+7),"P","")&amp;IF(AND($AA23&lt;&gt;"",$AA23&gt;=CV$7,$AA23&lt;CV$7+7),"T","")&amp;IF(AND($AB23&lt;&gt;"",$AB23&gt;=CV$7,$AB23&lt;CV$7+7),"H","")&amp;IF(AND($AC23&lt;&gt;"",$AC23&gt;=CV$7,$AC23&lt;CV$7+7),"G","")&amp;IF(AND($AH23&lt;&gt;"",$AH23&gt;=CV$7,$AH23&lt;CV$7+7),"S","")</f>
        <v/>
      </c>
      <c r="CW23" s="92" t="str">
        <f aca="false">IF(AND($Y23&lt;&gt;"",$Y23&gt;=CW$7,$Y23&lt;CW$7+7),"I","")&amp;IF(AND($Z23&lt;&gt;"",$Z23&gt;=CW$7,$Z23&lt;CW$7+7),"P","")&amp;IF(AND($AA23&lt;&gt;"",$AA23&gt;=CW$7,$AA23&lt;CW$7+7),"T","")&amp;IF(AND($AB23&lt;&gt;"",$AB23&gt;=CW$7,$AB23&lt;CW$7+7),"H","")&amp;IF(AND($AC23&lt;&gt;"",$AC23&gt;=CW$7,$AC23&lt;CW$7+7),"G","")&amp;IF(AND($AH23&lt;&gt;"",$AH23&gt;=CW$7,$AH23&lt;CW$7+7),"S","")</f>
        <v/>
      </c>
      <c r="CX23" s="92" t="str">
        <f aca="false">IF(AND($Y23&lt;&gt;"",$Y23&gt;=CX$7,$Y23&lt;CX$7+7),"I","")&amp;IF(AND($Z23&lt;&gt;"",$Z23&gt;=CX$7,$Z23&lt;CX$7+7),"P","")&amp;IF(AND($AA23&lt;&gt;"",$AA23&gt;=CX$7,$AA23&lt;CX$7+7),"T","")&amp;IF(AND($AB23&lt;&gt;"",$AB23&gt;=CX$7,$AB23&lt;CX$7+7),"H","")&amp;IF(AND($AC23&lt;&gt;"",$AC23&gt;=CX$7,$AC23&lt;CX$7+7),"G","")&amp;IF(AND($AH23&lt;&gt;"",$AH23&gt;=CX$7,$AH23&lt;CX$7+7),"S","")</f>
        <v/>
      </c>
      <c r="CY23" s="92" t="str">
        <f aca="false">IF(AND($Y23&lt;&gt;"",$Y23&gt;=CY$7,$Y23&lt;CY$7+7),"I","")&amp;IF(AND($Z23&lt;&gt;"",$Z23&gt;=CY$7,$Z23&lt;CY$7+7),"P","")&amp;IF(AND($AA23&lt;&gt;"",$AA23&gt;=CY$7,$AA23&lt;CY$7+7),"T","")&amp;IF(AND($AB23&lt;&gt;"",$AB23&gt;=CY$7,$AB23&lt;CY$7+7),"H","")&amp;IF(AND($AC23&lt;&gt;"",$AC23&gt;=CY$7,$AC23&lt;CY$7+7),"G","")&amp;IF(AND($AH23&lt;&gt;"",$AH23&gt;=CY$7,$AH23&lt;CY$7+7),"S","")</f>
        <v/>
      </c>
      <c r="CZ23" s="92" t="str">
        <f aca="false">IF(AND($Y23&lt;&gt;"",$Y23&gt;=CZ$7,$Y23&lt;CZ$7+7),"I","")&amp;IF(AND($Z23&lt;&gt;"",$Z23&gt;=CZ$7,$Z23&lt;CZ$7+7),"P","")&amp;IF(AND($AA23&lt;&gt;"",$AA23&gt;=CZ$7,$AA23&lt;CZ$7+7),"T","")&amp;IF(AND($AB23&lt;&gt;"",$AB23&gt;=CZ$7,$AB23&lt;CZ$7+7),"H","")&amp;IF(AND($AC23&lt;&gt;"",$AC23&gt;=CZ$7,$AC23&lt;CZ$7+7),"G","")&amp;IF(AND($AH23&lt;&gt;"",$AH23&gt;=CZ$7,$AH23&lt;CZ$7+7),"S","")</f>
        <v/>
      </c>
      <c r="DA23" s="92" t="str">
        <f aca="false">IF(AND($Y23&lt;&gt;"",$Y23&gt;=DA$7,$Y23&lt;DA$7+7),"I","")&amp;IF(AND($Z23&lt;&gt;"",$Z23&gt;=DA$7,$Z23&lt;DA$7+7),"P","")&amp;IF(AND($AA23&lt;&gt;"",$AA23&gt;=DA$7,$AA23&lt;DA$7+7),"T","")&amp;IF(AND($AB23&lt;&gt;"",$AB23&gt;=DA$7,$AB23&lt;DA$7+7),"H","")&amp;IF(AND($AC23&lt;&gt;"",$AC23&gt;=DA$7,$AC23&lt;DA$7+7),"G","")&amp;IF(AND($AH23&lt;&gt;"",$AH23&gt;=DA$7,$AH23&lt;DA$7+7),"S","")</f>
        <v/>
      </c>
      <c r="DB23" s="92" t="str">
        <f aca="false">IF(AND($Y23&lt;&gt;"",$Y23&gt;=DB$7,$Y23&lt;DB$7+7),"I","")&amp;IF(AND($Z23&lt;&gt;"",$Z23&gt;=DB$7,$Z23&lt;DB$7+7),"P","")&amp;IF(AND($AA23&lt;&gt;"",$AA23&gt;=DB$7,$AA23&lt;DB$7+7),"T","")&amp;IF(AND($AB23&lt;&gt;"",$AB23&gt;=DB$7,$AB23&lt;DB$7+7),"H","")&amp;IF(AND($AC23&lt;&gt;"",$AC23&gt;=DB$7,$AC23&lt;DB$7+7),"G","")&amp;IF(AND($AH23&lt;&gt;"",$AH23&gt;=DB$7,$AH23&lt;DB$7+7),"S","")</f>
        <v/>
      </c>
      <c r="DC23" s="92" t="str">
        <f aca="false">IF(AND($Y23&lt;&gt;"",$Y23&gt;=DC$7,$Y23&lt;DC$7+7),"I","")&amp;IF(AND($Z23&lt;&gt;"",$Z23&gt;=DC$7,$Z23&lt;DC$7+7),"P","")&amp;IF(AND($AA23&lt;&gt;"",$AA23&gt;=DC$7,$AA23&lt;DC$7+7),"T","")&amp;IF(AND($AB23&lt;&gt;"",$AB23&gt;=DC$7,$AB23&lt;DC$7+7),"H","")&amp;IF(AND($AC23&lt;&gt;"",$AC23&gt;=DC$7,$AC23&lt;DC$7+7),"G","")&amp;IF(AND($AH23&lt;&gt;"",$AH23&gt;=DC$7,$AH23&lt;DC$7+7),"S","")</f>
        <v/>
      </c>
    </row>
    <row r="24" customFormat="false" ht="15" hidden="false" customHeight="false" outlineLevel="0" collapsed="false">
      <c r="A24" s="47" t="s">
        <v>106</v>
      </c>
      <c r="B24" s="31" t="s">
        <v>107</v>
      </c>
      <c r="C24" s="36" t="s">
        <v>565</v>
      </c>
      <c r="D24" s="31" t="s">
        <v>566</v>
      </c>
      <c r="E24" s="31" t="s">
        <v>186</v>
      </c>
      <c r="F24" s="75" t="n">
        <v>150.48</v>
      </c>
      <c r="G24" s="31" t="s">
        <v>170</v>
      </c>
      <c r="H24" s="76" t="n">
        <f aca="false">PROJ_START+RD_SPAN</f>
        <v>46403</v>
      </c>
      <c r="I24" s="77" t="n">
        <f aca="false">H24+33</f>
        <v>46436</v>
      </c>
      <c r="J24" s="31" t="s">
        <v>109</v>
      </c>
      <c r="K24" s="36" t="s">
        <v>131</v>
      </c>
      <c r="L24" s="36" t="s">
        <v>108</v>
      </c>
      <c r="M24" s="36" t="s">
        <v>567</v>
      </c>
      <c r="N24" s="78" t="str">
        <f aca="false">IF(ISNUMBER(อัปเดตรายสัปดาห์!$AF24),อัปเดตรายสัปดาห์!$AF24,"")</f>
        <v/>
      </c>
      <c r="O24" s="78" t="str">
        <f aca="false">IF(ISNUMBER(อัปเดตรายสัปดาห์!$AH24),อัปเดตรายสัปดาห์!$AH24,"")</f>
        <v/>
      </c>
      <c r="P24" s="78" t="str">
        <f aca="false">IF(ISNUMBER(อัปเดตรายสัปดาห์!$AG24),อัปเดตรายสัปดาห์!$AG24,IF(AND(ISNUMBER(TCRoof!$AC$24),N(TCRoof!$AC$24)&lt;=ASOF),TCRoof!$AC$24,""))</f>
        <v/>
      </c>
      <c r="Q24" s="78" t="str">
        <f aca="false">IF(ISNUMBER(อัปเดตรายสัปดาห์!$AL24),อัปเดตรายสัปดาห์!$AL24,"")</f>
        <v/>
      </c>
      <c r="R24" s="78" t="str">
        <f aca="false">IF(ISNUMBER(อัปเดตรายสัปดาห์!$Q24),อัปเดตรายสัปดาห์!$Q24,"")</f>
        <v/>
      </c>
      <c r="S24" s="78" t="str">
        <f aca="false">IF(ISNUMBER(อัปเดตรายสัปดาห์!$R24),อัปเดตรายสัปดาห์!$R24,"")</f>
        <v/>
      </c>
      <c r="T24" s="78" t="str">
        <f aca="false">IF(ISNUMBER(อัปเดตรายสัปดาห์!$S24),อัปเดตรายสัปดาห์!$S24,IF(อัปเดตรายสัปดาห์!$S24="Y",ASOF,""))</f>
        <v/>
      </c>
      <c r="U24" s="78" t="str">
        <f aca="false">IF(ISNUMBER(อัปเดตรายสัปดาห์!$T24),อัปเดตรายสัปดาห์!$T24,IF(อัปเดตรายสัปดาห์!$T24="Y",ASOF,""))</f>
        <v/>
      </c>
      <c r="V24" s="78" t="str">
        <f aca="false">IF(ISNUMBER(อัปเดตรายสัปดาห์!$U24),อัปเดตรายสัปดาห์!$U24,IF(อัปเดตรายสัปดาห์!$U24="Y",ASOF,""))</f>
        <v/>
      </c>
      <c r="W24" s="78" t="str">
        <f aca="false">IF(ISNUMBER(อัปเดตรายสัปดาห์!$N24),อัปเดตรายสัปดาห์!$N24,"")</f>
        <v/>
      </c>
      <c r="X24" s="78" t="str">
        <f aca="false">IF(ISNUMBER(อัปเดตรายสัปดาห์!$V24),อัปเดตรายสัปดาห์!$V24,IF(AND(ISNUMBER(TCRoof!$AD$24),N(TCRoof!$AD$24)&lt;=ASOF),TCRoof!$AD$24,""))</f>
        <v/>
      </c>
      <c r="Y24" s="79" t="n">
        <f aca="false">IF(N24&lt;&gt;"",N24,WORKDAY((ASOF+LEAD_INST+7*INT((AT24-0.01)/MAX(1,AU24)))-1,1,HOLIDAYS))</f>
        <v>46349</v>
      </c>
      <c r="Z24" s="79" t="n">
        <f aca="false">IF(O24&lt;&gt;"",O24,WORKDAY((MAX(AV24+7*INT((AW24-1)/MAX(1,AX24)),AV24+7*INT((AY24-1)/MAX(1,AZ24))))-1,1,HOLIDAYS))</f>
        <v>46356</v>
      </c>
      <c r="AA24" s="79" t="n">
        <f aca="false">IF(P24&lt;&gt;"",P24,WORKDAY((BA24+7*INT((BB24-1)/MAX(1,BC24)))-1,1,HOLIDAYS))</f>
        <v>46359</v>
      </c>
      <c r="AB24" s="79" t="n">
        <f aca="false">IF(Q24&lt;&gt;"",Q24,WORKDAY((MAX(AA24+BD24,ASOF+1))-1,1,HOLIDAYS))</f>
        <v>46367</v>
      </c>
      <c r="AC24" s="79" t="n">
        <f aca="false">IF(R24&lt;&gt;"",R24,WORKDAY((MAX(Y24,ASOF)+LAG_GRID)-1,1,HOLIDAYS))</f>
        <v>46356</v>
      </c>
      <c r="AD24" s="79" t="n">
        <f aca="false">IF(T24&lt;&gt;"",T24,WORKDAY((MAX(WORKDAY(MAX(AC24,N(S24)),REVIEW_WD,HOLIDAYS),ASOF+1))-1,1,HOLIDAYS))</f>
        <v>46379</v>
      </c>
      <c r="AE24" s="79" t="n">
        <f aca="false">IF(U24&lt;&gt;"",U24,WORKDAY((MAX(AD24,ASOF)+FEE_DAYS)-1,1,HOLIDAYS))</f>
        <v>46386</v>
      </c>
      <c r="AF24" s="79" t="n">
        <f aca="false">IF(V24&lt;&gt;"",V24,WORKDAY((MAX(AA24,Z24,AE24,IF(AG24="",0,AG24+REVIEW_PK2),ASOF)+LAG_INSREQ)-1,1,HOLIDAYS))</f>
        <v>46391</v>
      </c>
      <c r="AG24" s="79" t="str">
        <f aca="false">IF(M24&lt;&gt;"Y","",IF(W24&lt;&gt;"",W24,WORKDAY((MAX(Y24,ASOF)+LAG_GRID)-1,1,HOLIDAYS)))</f>
        <v/>
      </c>
      <c r="AH24" s="80" t="n">
        <f aca="false">IF(X24&lt;&gt;"",X24,WORKDAY(AF24,INSPECT_WD,HOLIDAYS))</f>
        <v>46433</v>
      </c>
      <c r="AI24" s="81" t="n">
        <f aca="false">IF(H24="","",AB24-H24)</f>
        <v>-36</v>
      </c>
      <c r="AJ24" s="81" t="n">
        <f aca="false">IF(I24="","",AH24-I24)</f>
        <v>-3</v>
      </c>
      <c r="AK24" s="82" t="n">
        <f aca="false">IF(AND(ISNUMBER(N24),N(N24)&lt;=ASOF),1,0)+IF(AND(ISNUMBER(O24),N(O24)&lt;=ASOF),1,0)+IF(AND(ISNUMBER(P24),N(P24)&lt;=ASOF),1,0)+IF(AND(ISNUMBER(Q24),N(Q24)&lt;=ASOF),1,0)+IF(AND(ISNUMBER(R24),N(R24)&lt;=ASOF),1,0)+IF(AND(ISNUMBER(U24),N(U24)&lt;=ASOF),1,0)+IF(AND(ISNUMBER(X24),N(X24)&lt;=ASOF),1,0)</f>
        <v>0</v>
      </c>
      <c r="AL24" s="83" t="n">
        <v>7</v>
      </c>
      <c r="AM24" s="84" t="n">
        <f aca="false">'P9-017'!$J$4</f>
        <v>0</v>
      </c>
      <c r="AN24" s="85" t="str">
        <f aca="false">TRIM(IF(AND(ISNUMBER(O24),NOT(ISNUMBER(N24))),"กฟภ.ตรวจก่อนติดตั้ง, ","")&amp;IF(AND(ISNUMBER(P24),NOT(ISNUMBER(N24))),"IEC ก่อนติดตั้ง, ","")&amp;IF(AND(ISNUMBER(Q24),NOT(ISNUMBER(N24))),"ส่งมอบก่อนติดตั้ง, ","")&amp;IF(AND(ISNUMBER(Q24),ISNUMBER(P24),N(Q24)&lt;N(P24)),"ส่งมอบก่อน IEC, ","")&amp;IF(AND(ISNUMBER(อัปเดตรายสัปดาห์!$AG24),ISNUMBER(TCRoof!$AC$24),ABS(N(อัปเดตรายสัปดาห์!$AG24)-N(TCRoof!$AC$24))&gt;3),"IEC Excel≠แอป, ","")&amp;IF(AND(ISNUMBER(อัปเดตรายสัปดาห์!$V24),ISNUMBER(TCRoof!$AD$24),ABS(N(อัปเดตรายสัปดาห์!$V24)-N(TCRoof!$AD$24))&gt;3),"COD Excel≠แอป, ","")&amp;IF(AND(ISNUMBER(อัปเดตรายสัปดาห์!$AF24),ISNUMBER(TCRoof!$AB$24),ABS(N(อัปเดตรายสัปดาห์!$AF24)-N(TCRoof!$AB$24))&gt;3),"ติดตั้ง Excel≠แอป, ","")&amp;IF(AND(ISNUMBER(N24),N(N24)&gt;ASOF,OR(WEEKDAY(N(N24),2)&gt;5,COUNTIF(HOLIDAYS,N(N24))&gt;0)),"นัดดับไฟตรงวันหยุด, ","")&amp;IF(AND(ISNUMBER(O24),N(O24)&gt;ASOF,OR(WEEKDAY(N(O24),2)&gt;5,COUNTIF(HOLIDAYS,N(O24))&gt;0)),"นัด กฟภ.ตรงวันหยุด, ","")&amp;IF(AND(ISNUMBER(P24),N(P24)&gt;ASOF,OR(WEEKDAY(N(P24),2)&gt;5,COUNTIF(HOLIDAYS,N(P24))&gt;0)),"นัด IECตรงวันหยุด, ","")&amp;IF(AND(ISNUMBER(X24),N(X24)&gt;ASOF,OR(WEEKDAY(N(X24),2)&gt;5,COUNTIF(HOLIDAYS,N(X24))&gt;0)),"นัด Syncตรงวันหยุด, ",""))</f>
        <v/>
      </c>
      <c r="AO24" s="86" t="n">
        <f aca="false">SUMIFS(CR_COD,CR_ST,A24,CR_STAT,"อนุมัติ")+SUMIFS(CR_COD,CR_ST,"ทั้งเฟส",CR_STAT,"อนุมัติ")+SUMIFS(CR_COD,CR_ST,"ผรม. "&amp;L24,CR_STAT,"อนุมัติ")+SUMIFS(CR_COD,CR_ST,"เขต "&amp;E24,CR_STAT,"อนุมัติ")</f>
        <v>0</v>
      </c>
      <c r="AP24" s="86" t="n">
        <f aca="false">IF(NOT(ISNUMBER(AJ24)),"",MAX(0,AJ24-AO24))</f>
        <v>0</v>
      </c>
      <c r="AQ24" s="86" t="n">
        <f aca="false">COUNTIF(RW_ST,A24)</f>
        <v>0</v>
      </c>
      <c r="AR24" s="87" t="str">
        <f aca="false">IF(ISNUMBER(TCRoof!$I$24),TCRoof!$I$24,"")</f>
        <v/>
      </c>
      <c r="AS24" s="88" t="str">
        <f aca="false">IF(ISNUMBER(TCRoof!$H$24),TCRoof!$H$24,"")</f>
        <v/>
      </c>
      <c r="AT24" s="89" t="n">
        <f aca="false">IF(N24&lt;&gt;"","",SUMIFS($F$8:$F$27,$L$8:$L$27,L24,$N$8:$N$27,"",$H$8:$H$27,"&lt;"&amp;H24)+SUMIFS($F$8:$F$27,$L$8:$L$27,L24,$N$8:$N$27,"",$H$8:$H$27,H24,$A$8:$A$27,"&lt;="&amp;A24)+SUMIFS($F$8:$F$27,$L$8:$L$27,L24,$N$8:$N$27,"&gt;"&amp;ASOF))</f>
        <v>150.48</v>
      </c>
      <c r="AU24" s="89" t="n">
        <f aca="false">IFERROR(VLOOKUP(L24,TEAM_TBL,2,0)*VLOOKUP(L24,TEAM_TBL,3,0),150)</f>
        <v>150</v>
      </c>
      <c r="AV24" s="90" t="n">
        <f aca="false">IF(O24&lt;&gt;"","",MAX(Y24+LAG_PEA,ASOF+LAG_PEA))</f>
        <v>46356</v>
      </c>
      <c r="AW24" s="89" t="n">
        <f aca="false">IF(O24&lt;&gt;"","",COUNTIFS($E$8:$E$27,E24,$AV$8:$AV$27,"&lt;"&amp;AV24)+COUNTIFS($E$8:$E$27,E24,$AV$8:$AV$27,AV24,$A$8:$A$27,"&lt;"&amp;A24)+COUNTIFS($E$8:$E$27,E24,$O$8:$O$27,"&gt;"&amp;ASOF)+1)</f>
        <v>1</v>
      </c>
      <c r="AX24" s="89" t="n">
        <f aca="false">IFERROR(VLOOKUP(E24,ZONE_TBL,2,0),CAP_PEA)</f>
        <v>3</v>
      </c>
      <c r="AY24" s="89" t="n">
        <f aca="false">IF(O24&lt;&gt;"","",COUNTIFS($J$8:$J$27,J24,$AV$8:$AV$27,"&lt;"&amp;AV24)+COUNTIFS($J$8:$J$27,J24,$AV$8:$AV$27,AV24,$A$8:$A$27,"&lt;"&amp;A24)+COUNTIFS($J$8:$J$27,J24,$O$8:$O$27,"&gt;"&amp;ASOF)+1)</f>
        <v>1</v>
      </c>
      <c r="AZ24" s="89" t="n">
        <f aca="false">IFERROR(VLOOKUP(J24,ENG_TBL,2,0),ENG_CAP)</f>
        <v>3</v>
      </c>
      <c r="BA24" s="90" t="n">
        <f aca="false">IF(P24&lt;&gt;"","",MAX(Z24+LAG_IEC,ASOF+1))</f>
        <v>46359</v>
      </c>
      <c r="BB24" s="89" t="n">
        <f aca="false">IF(P24&lt;&gt;"","",COUNTIFS($L$8:$L$27,L24,$BA$8:$BA$27,"&lt;"&amp;BA24)+COUNTIFS($L$8:$L$27,L24,$BA$8:$BA$27,BA24,$A$8:$A$27,"&lt;"&amp;A24)+COUNTIFS($L$8:$L$27,L24,$P$8:$P$27,"&gt;"&amp;ASOF)+1)</f>
        <v>1</v>
      </c>
      <c r="BC24" s="89" t="n">
        <f aca="false">IFERROR(VLOOKUP(L24,TEAM_TBL,4,0)*VLOOKUP(L24,TEAM_TBL,5,0),3)</f>
        <v>3</v>
      </c>
      <c r="BD24" s="91" t="n">
        <f aca="false">IFERROR(VLOOKUP(L24,TEAM_TBL,6,0),LAG_HO)</f>
        <v>7</v>
      </c>
      <c r="BE24" s="89" t="n">
        <f aca="false">IF(ISNUMBER(AW24),7*INT((AW24-1)/MAX(1,AX24)),"")</f>
        <v>0</v>
      </c>
      <c r="BF24" s="89" t="n">
        <f aca="false">IF(ISNUMBER(AY24),7*INT((AY24-1)/MAX(1,AZ24)),"")</f>
        <v>0</v>
      </c>
      <c r="BH24" s="92" t="str">
        <f aca="false">IF(AND($Y24&lt;&gt;"",$Y24&gt;=BH$7,$Y24&lt;BH$7+7),"I","")&amp;IF(AND($Z24&lt;&gt;"",$Z24&gt;=BH$7,$Z24&lt;BH$7+7),"P","")&amp;IF(AND($AA24&lt;&gt;"",$AA24&gt;=BH$7,$AA24&lt;BH$7+7),"T","")&amp;IF(AND($AB24&lt;&gt;"",$AB24&gt;=BH$7,$AB24&lt;BH$7+7),"H","")&amp;IF(AND($AC24&lt;&gt;"",$AC24&gt;=BH$7,$AC24&lt;BH$7+7),"G","")&amp;IF(AND($AH24&lt;&gt;"",$AH24&gt;=BH$7,$AH24&lt;BH$7+7),"S","")</f>
        <v/>
      </c>
      <c r="BI24" s="92" t="str">
        <f aca="false">IF(AND($Y24&lt;&gt;"",$Y24&gt;=BI$7,$Y24&lt;BI$7+7),"I","")&amp;IF(AND($Z24&lt;&gt;"",$Z24&gt;=BI$7,$Z24&lt;BI$7+7),"P","")&amp;IF(AND($AA24&lt;&gt;"",$AA24&gt;=BI$7,$AA24&lt;BI$7+7),"T","")&amp;IF(AND($AB24&lt;&gt;"",$AB24&gt;=BI$7,$AB24&lt;BI$7+7),"H","")&amp;IF(AND($AC24&lt;&gt;"",$AC24&gt;=BI$7,$AC24&lt;BI$7+7),"G","")&amp;IF(AND($AH24&lt;&gt;"",$AH24&gt;=BI$7,$AH24&lt;BI$7+7),"S","")</f>
        <v/>
      </c>
      <c r="BJ24" s="92" t="str">
        <f aca="false">IF(AND($Y24&lt;&gt;"",$Y24&gt;=BJ$7,$Y24&lt;BJ$7+7),"I","")&amp;IF(AND($Z24&lt;&gt;"",$Z24&gt;=BJ$7,$Z24&lt;BJ$7+7),"P","")&amp;IF(AND($AA24&lt;&gt;"",$AA24&gt;=BJ$7,$AA24&lt;BJ$7+7),"T","")&amp;IF(AND($AB24&lt;&gt;"",$AB24&gt;=BJ$7,$AB24&lt;BJ$7+7),"H","")&amp;IF(AND($AC24&lt;&gt;"",$AC24&gt;=BJ$7,$AC24&lt;BJ$7+7),"G","")&amp;IF(AND($AH24&lt;&gt;"",$AH24&gt;=BJ$7,$AH24&lt;BJ$7+7),"S","")</f>
        <v/>
      </c>
      <c r="BK24" s="92" t="str">
        <f aca="false">IF(AND($Y24&lt;&gt;"",$Y24&gt;=BK$7,$Y24&lt;BK$7+7),"I","")&amp;IF(AND($Z24&lt;&gt;"",$Z24&gt;=BK$7,$Z24&lt;BK$7+7),"P","")&amp;IF(AND($AA24&lt;&gt;"",$AA24&gt;=BK$7,$AA24&lt;BK$7+7),"T","")&amp;IF(AND($AB24&lt;&gt;"",$AB24&gt;=BK$7,$AB24&lt;BK$7+7),"H","")&amp;IF(AND($AC24&lt;&gt;"",$AC24&gt;=BK$7,$AC24&lt;BK$7+7),"G","")&amp;IF(AND($AH24&lt;&gt;"",$AH24&gt;=BK$7,$AH24&lt;BK$7+7),"S","")</f>
        <v/>
      </c>
      <c r="BL24" s="92" t="str">
        <f aca="false">IF(AND($Y24&lt;&gt;"",$Y24&gt;=BL$7,$Y24&lt;BL$7+7),"I","")&amp;IF(AND($Z24&lt;&gt;"",$Z24&gt;=BL$7,$Z24&lt;BL$7+7),"P","")&amp;IF(AND($AA24&lt;&gt;"",$AA24&gt;=BL$7,$AA24&lt;BL$7+7),"T","")&amp;IF(AND($AB24&lt;&gt;"",$AB24&gt;=BL$7,$AB24&lt;BL$7+7),"H","")&amp;IF(AND($AC24&lt;&gt;"",$AC24&gt;=BL$7,$AC24&lt;BL$7+7),"G","")&amp;IF(AND($AH24&lt;&gt;"",$AH24&gt;=BL$7,$AH24&lt;BL$7+7),"S","")</f>
        <v>I</v>
      </c>
      <c r="BM24" s="92" t="str">
        <f aca="false">IF(AND($Y24&lt;&gt;"",$Y24&gt;=BM$7,$Y24&lt;BM$7+7),"I","")&amp;IF(AND($Z24&lt;&gt;"",$Z24&gt;=BM$7,$Z24&lt;BM$7+7),"P","")&amp;IF(AND($AA24&lt;&gt;"",$AA24&gt;=BM$7,$AA24&lt;BM$7+7),"T","")&amp;IF(AND($AB24&lt;&gt;"",$AB24&gt;=BM$7,$AB24&lt;BM$7+7),"H","")&amp;IF(AND($AC24&lt;&gt;"",$AC24&gt;=BM$7,$AC24&lt;BM$7+7),"G","")&amp;IF(AND($AH24&lt;&gt;"",$AH24&gt;=BM$7,$AH24&lt;BM$7+7),"S","")</f>
        <v>PTG</v>
      </c>
      <c r="BN24" s="92" t="str">
        <f aca="false">IF(AND($Y24&lt;&gt;"",$Y24&gt;=BN$7,$Y24&lt;BN$7+7),"I","")&amp;IF(AND($Z24&lt;&gt;"",$Z24&gt;=BN$7,$Z24&lt;BN$7+7),"P","")&amp;IF(AND($AA24&lt;&gt;"",$AA24&gt;=BN$7,$AA24&lt;BN$7+7),"T","")&amp;IF(AND($AB24&lt;&gt;"",$AB24&gt;=BN$7,$AB24&lt;BN$7+7),"H","")&amp;IF(AND($AC24&lt;&gt;"",$AC24&gt;=BN$7,$AC24&lt;BN$7+7),"G","")&amp;IF(AND($AH24&lt;&gt;"",$AH24&gt;=BN$7,$AH24&lt;BN$7+7),"S","")</f>
        <v>H</v>
      </c>
      <c r="BO24" s="92" t="str">
        <f aca="false">IF(AND($Y24&lt;&gt;"",$Y24&gt;=BO$7,$Y24&lt;BO$7+7),"I","")&amp;IF(AND($Z24&lt;&gt;"",$Z24&gt;=BO$7,$Z24&lt;BO$7+7),"P","")&amp;IF(AND($AA24&lt;&gt;"",$AA24&gt;=BO$7,$AA24&lt;BO$7+7),"T","")&amp;IF(AND($AB24&lt;&gt;"",$AB24&gt;=BO$7,$AB24&lt;BO$7+7),"H","")&amp;IF(AND($AC24&lt;&gt;"",$AC24&gt;=BO$7,$AC24&lt;BO$7+7),"G","")&amp;IF(AND($AH24&lt;&gt;"",$AH24&gt;=BO$7,$AH24&lt;BO$7+7),"S","")</f>
        <v/>
      </c>
      <c r="BP24" s="92" t="str">
        <f aca="false">IF(AND($Y24&lt;&gt;"",$Y24&gt;=BP$7,$Y24&lt;BP$7+7),"I","")&amp;IF(AND($Z24&lt;&gt;"",$Z24&gt;=BP$7,$Z24&lt;BP$7+7),"P","")&amp;IF(AND($AA24&lt;&gt;"",$AA24&gt;=BP$7,$AA24&lt;BP$7+7),"T","")&amp;IF(AND($AB24&lt;&gt;"",$AB24&gt;=BP$7,$AB24&lt;BP$7+7),"H","")&amp;IF(AND($AC24&lt;&gt;"",$AC24&gt;=BP$7,$AC24&lt;BP$7+7),"G","")&amp;IF(AND($AH24&lt;&gt;"",$AH24&gt;=BP$7,$AH24&lt;BP$7+7),"S","")</f>
        <v/>
      </c>
      <c r="BQ24" s="92" t="str">
        <f aca="false">IF(AND($Y24&lt;&gt;"",$Y24&gt;=BQ$7,$Y24&lt;BQ$7+7),"I","")&amp;IF(AND($Z24&lt;&gt;"",$Z24&gt;=BQ$7,$Z24&lt;BQ$7+7),"P","")&amp;IF(AND($AA24&lt;&gt;"",$AA24&gt;=BQ$7,$AA24&lt;BQ$7+7),"T","")&amp;IF(AND($AB24&lt;&gt;"",$AB24&gt;=BQ$7,$AB24&lt;BQ$7+7),"H","")&amp;IF(AND($AC24&lt;&gt;"",$AC24&gt;=BQ$7,$AC24&lt;BQ$7+7),"G","")&amp;IF(AND($AH24&lt;&gt;"",$AH24&gt;=BQ$7,$AH24&lt;BQ$7+7),"S","")</f>
        <v/>
      </c>
      <c r="BR24" s="92" t="str">
        <f aca="false">IF(AND($Y24&lt;&gt;"",$Y24&gt;=BR$7,$Y24&lt;BR$7+7),"I","")&amp;IF(AND($Z24&lt;&gt;"",$Z24&gt;=BR$7,$Z24&lt;BR$7+7),"P","")&amp;IF(AND($AA24&lt;&gt;"",$AA24&gt;=BR$7,$AA24&lt;BR$7+7),"T","")&amp;IF(AND($AB24&lt;&gt;"",$AB24&gt;=BR$7,$AB24&lt;BR$7+7),"H","")&amp;IF(AND($AC24&lt;&gt;"",$AC24&gt;=BR$7,$AC24&lt;BR$7+7),"G","")&amp;IF(AND($AH24&lt;&gt;"",$AH24&gt;=BR$7,$AH24&lt;BR$7+7),"S","")</f>
        <v/>
      </c>
      <c r="BS24" s="92" t="str">
        <f aca="false">IF(AND($Y24&lt;&gt;"",$Y24&gt;=BS$7,$Y24&lt;BS$7+7),"I","")&amp;IF(AND($Z24&lt;&gt;"",$Z24&gt;=BS$7,$Z24&lt;BS$7+7),"P","")&amp;IF(AND($AA24&lt;&gt;"",$AA24&gt;=BS$7,$AA24&lt;BS$7+7),"T","")&amp;IF(AND($AB24&lt;&gt;"",$AB24&gt;=BS$7,$AB24&lt;BS$7+7),"H","")&amp;IF(AND($AC24&lt;&gt;"",$AC24&gt;=BS$7,$AC24&lt;BS$7+7),"G","")&amp;IF(AND($AH24&lt;&gt;"",$AH24&gt;=BS$7,$AH24&lt;BS$7+7),"S","")</f>
        <v/>
      </c>
      <c r="BT24" s="92" t="str">
        <f aca="false">IF(AND($Y24&lt;&gt;"",$Y24&gt;=BT$7,$Y24&lt;BT$7+7),"I","")&amp;IF(AND($Z24&lt;&gt;"",$Z24&gt;=BT$7,$Z24&lt;BT$7+7),"P","")&amp;IF(AND($AA24&lt;&gt;"",$AA24&gt;=BT$7,$AA24&lt;BT$7+7),"T","")&amp;IF(AND($AB24&lt;&gt;"",$AB24&gt;=BT$7,$AB24&lt;BT$7+7),"H","")&amp;IF(AND($AC24&lt;&gt;"",$AC24&gt;=BT$7,$AC24&lt;BT$7+7),"G","")&amp;IF(AND($AH24&lt;&gt;"",$AH24&gt;=BT$7,$AH24&lt;BT$7+7),"S","")</f>
        <v/>
      </c>
      <c r="BU24" s="92" t="str">
        <f aca="false">IF(AND($Y24&lt;&gt;"",$Y24&gt;=BU$7,$Y24&lt;BU$7+7),"I","")&amp;IF(AND($Z24&lt;&gt;"",$Z24&gt;=BU$7,$Z24&lt;BU$7+7),"P","")&amp;IF(AND($AA24&lt;&gt;"",$AA24&gt;=BU$7,$AA24&lt;BU$7+7),"T","")&amp;IF(AND($AB24&lt;&gt;"",$AB24&gt;=BU$7,$AB24&lt;BU$7+7),"H","")&amp;IF(AND($AC24&lt;&gt;"",$AC24&gt;=BU$7,$AC24&lt;BU$7+7),"G","")&amp;IF(AND($AH24&lt;&gt;"",$AH24&gt;=BU$7,$AH24&lt;BU$7+7),"S","")</f>
        <v/>
      </c>
      <c r="BV24" s="92" t="str">
        <f aca="false">IF(AND($Y24&lt;&gt;"",$Y24&gt;=BV$7,$Y24&lt;BV$7+7),"I","")&amp;IF(AND($Z24&lt;&gt;"",$Z24&gt;=BV$7,$Z24&lt;BV$7+7),"P","")&amp;IF(AND($AA24&lt;&gt;"",$AA24&gt;=BV$7,$AA24&lt;BV$7+7),"T","")&amp;IF(AND($AB24&lt;&gt;"",$AB24&gt;=BV$7,$AB24&lt;BV$7+7),"H","")&amp;IF(AND($AC24&lt;&gt;"",$AC24&gt;=BV$7,$AC24&lt;BV$7+7),"G","")&amp;IF(AND($AH24&lt;&gt;"",$AH24&gt;=BV$7,$AH24&lt;BV$7+7),"S","")</f>
        <v/>
      </c>
      <c r="BW24" s="92" t="str">
        <f aca="false">IF(AND($Y24&lt;&gt;"",$Y24&gt;=BW$7,$Y24&lt;BW$7+7),"I","")&amp;IF(AND($Z24&lt;&gt;"",$Z24&gt;=BW$7,$Z24&lt;BW$7+7),"P","")&amp;IF(AND($AA24&lt;&gt;"",$AA24&gt;=BW$7,$AA24&lt;BW$7+7),"T","")&amp;IF(AND($AB24&lt;&gt;"",$AB24&gt;=BW$7,$AB24&lt;BW$7+7),"H","")&amp;IF(AND($AC24&lt;&gt;"",$AC24&gt;=BW$7,$AC24&lt;BW$7+7),"G","")&amp;IF(AND($AH24&lt;&gt;"",$AH24&gt;=BW$7,$AH24&lt;BW$7+7),"S","")</f>
        <v/>
      </c>
      <c r="BX24" s="92" t="str">
        <f aca="false">IF(AND($Y24&lt;&gt;"",$Y24&gt;=BX$7,$Y24&lt;BX$7+7),"I","")&amp;IF(AND($Z24&lt;&gt;"",$Z24&gt;=BX$7,$Z24&lt;BX$7+7),"P","")&amp;IF(AND($AA24&lt;&gt;"",$AA24&gt;=BX$7,$AA24&lt;BX$7+7),"T","")&amp;IF(AND($AB24&lt;&gt;"",$AB24&gt;=BX$7,$AB24&lt;BX$7+7),"H","")&amp;IF(AND($AC24&lt;&gt;"",$AC24&gt;=BX$7,$AC24&lt;BX$7+7),"G","")&amp;IF(AND($AH24&lt;&gt;"",$AH24&gt;=BX$7,$AH24&lt;BX$7+7),"S","")</f>
        <v>S</v>
      </c>
      <c r="BY24" s="92" t="str">
        <f aca="false">IF(AND($Y24&lt;&gt;"",$Y24&gt;=BY$7,$Y24&lt;BY$7+7),"I","")&amp;IF(AND($Z24&lt;&gt;"",$Z24&gt;=BY$7,$Z24&lt;BY$7+7),"P","")&amp;IF(AND($AA24&lt;&gt;"",$AA24&gt;=BY$7,$AA24&lt;BY$7+7),"T","")&amp;IF(AND($AB24&lt;&gt;"",$AB24&gt;=BY$7,$AB24&lt;BY$7+7),"H","")&amp;IF(AND($AC24&lt;&gt;"",$AC24&gt;=BY$7,$AC24&lt;BY$7+7),"G","")&amp;IF(AND($AH24&lt;&gt;"",$AH24&gt;=BY$7,$AH24&lt;BY$7+7),"S","")</f>
        <v/>
      </c>
      <c r="BZ24" s="92" t="str">
        <f aca="false">IF(AND($Y24&lt;&gt;"",$Y24&gt;=BZ$7,$Y24&lt;BZ$7+7),"I","")&amp;IF(AND($Z24&lt;&gt;"",$Z24&gt;=BZ$7,$Z24&lt;BZ$7+7),"P","")&amp;IF(AND($AA24&lt;&gt;"",$AA24&gt;=BZ$7,$AA24&lt;BZ$7+7),"T","")&amp;IF(AND($AB24&lt;&gt;"",$AB24&gt;=BZ$7,$AB24&lt;BZ$7+7),"H","")&amp;IF(AND($AC24&lt;&gt;"",$AC24&gt;=BZ$7,$AC24&lt;BZ$7+7),"G","")&amp;IF(AND($AH24&lt;&gt;"",$AH24&gt;=BZ$7,$AH24&lt;BZ$7+7),"S","")</f>
        <v/>
      </c>
      <c r="CA24" s="92" t="str">
        <f aca="false">IF(AND($Y24&lt;&gt;"",$Y24&gt;=CA$7,$Y24&lt;CA$7+7),"I","")&amp;IF(AND($Z24&lt;&gt;"",$Z24&gt;=CA$7,$Z24&lt;CA$7+7),"P","")&amp;IF(AND($AA24&lt;&gt;"",$AA24&gt;=CA$7,$AA24&lt;CA$7+7),"T","")&amp;IF(AND($AB24&lt;&gt;"",$AB24&gt;=CA$7,$AB24&lt;CA$7+7),"H","")&amp;IF(AND($AC24&lt;&gt;"",$AC24&gt;=CA$7,$AC24&lt;CA$7+7),"G","")&amp;IF(AND($AH24&lt;&gt;"",$AH24&gt;=CA$7,$AH24&lt;CA$7+7),"S","")</f>
        <v/>
      </c>
      <c r="CB24" s="92" t="str">
        <f aca="false">IF(AND($Y24&lt;&gt;"",$Y24&gt;=CB$7,$Y24&lt;CB$7+7),"I","")&amp;IF(AND($Z24&lt;&gt;"",$Z24&gt;=CB$7,$Z24&lt;CB$7+7),"P","")&amp;IF(AND($AA24&lt;&gt;"",$AA24&gt;=CB$7,$AA24&lt;CB$7+7),"T","")&amp;IF(AND($AB24&lt;&gt;"",$AB24&gt;=CB$7,$AB24&lt;CB$7+7),"H","")&amp;IF(AND($AC24&lt;&gt;"",$AC24&gt;=CB$7,$AC24&lt;CB$7+7),"G","")&amp;IF(AND($AH24&lt;&gt;"",$AH24&gt;=CB$7,$AH24&lt;CB$7+7),"S","")</f>
        <v/>
      </c>
      <c r="CC24" s="92" t="str">
        <f aca="false">IF(AND($Y24&lt;&gt;"",$Y24&gt;=CC$7,$Y24&lt;CC$7+7),"I","")&amp;IF(AND($Z24&lt;&gt;"",$Z24&gt;=CC$7,$Z24&lt;CC$7+7),"P","")&amp;IF(AND($AA24&lt;&gt;"",$AA24&gt;=CC$7,$AA24&lt;CC$7+7),"T","")&amp;IF(AND($AB24&lt;&gt;"",$AB24&gt;=CC$7,$AB24&lt;CC$7+7),"H","")&amp;IF(AND($AC24&lt;&gt;"",$AC24&gt;=CC$7,$AC24&lt;CC$7+7),"G","")&amp;IF(AND($AH24&lt;&gt;"",$AH24&gt;=CC$7,$AH24&lt;CC$7+7),"S","")</f>
        <v/>
      </c>
      <c r="CD24" s="92" t="str">
        <f aca="false">IF(AND($Y24&lt;&gt;"",$Y24&gt;=CD$7,$Y24&lt;CD$7+7),"I","")&amp;IF(AND($Z24&lt;&gt;"",$Z24&gt;=CD$7,$Z24&lt;CD$7+7),"P","")&amp;IF(AND($AA24&lt;&gt;"",$AA24&gt;=CD$7,$AA24&lt;CD$7+7),"T","")&amp;IF(AND($AB24&lt;&gt;"",$AB24&gt;=CD$7,$AB24&lt;CD$7+7),"H","")&amp;IF(AND($AC24&lt;&gt;"",$AC24&gt;=CD$7,$AC24&lt;CD$7+7),"G","")&amp;IF(AND($AH24&lt;&gt;"",$AH24&gt;=CD$7,$AH24&lt;CD$7+7),"S","")</f>
        <v/>
      </c>
      <c r="CE24" s="92" t="str">
        <f aca="false">IF(AND($Y24&lt;&gt;"",$Y24&gt;=CE$7,$Y24&lt;CE$7+7),"I","")&amp;IF(AND($Z24&lt;&gt;"",$Z24&gt;=CE$7,$Z24&lt;CE$7+7),"P","")&amp;IF(AND($AA24&lt;&gt;"",$AA24&gt;=CE$7,$AA24&lt;CE$7+7),"T","")&amp;IF(AND($AB24&lt;&gt;"",$AB24&gt;=CE$7,$AB24&lt;CE$7+7),"H","")&amp;IF(AND($AC24&lt;&gt;"",$AC24&gt;=CE$7,$AC24&lt;CE$7+7),"G","")&amp;IF(AND($AH24&lt;&gt;"",$AH24&gt;=CE$7,$AH24&lt;CE$7+7),"S","")</f>
        <v/>
      </c>
      <c r="CF24" s="92" t="str">
        <f aca="false">IF(AND($Y24&lt;&gt;"",$Y24&gt;=CF$7,$Y24&lt;CF$7+7),"I","")&amp;IF(AND($Z24&lt;&gt;"",$Z24&gt;=CF$7,$Z24&lt;CF$7+7),"P","")&amp;IF(AND($AA24&lt;&gt;"",$AA24&gt;=CF$7,$AA24&lt;CF$7+7),"T","")&amp;IF(AND($AB24&lt;&gt;"",$AB24&gt;=CF$7,$AB24&lt;CF$7+7),"H","")&amp;IF(AND($AC24&lt;&gt;"",$AC24&gt;=CF$7,$AC24&lt;CF$7+7),"G","")&amp;IF(AND($AH24&lt;&gt;"",$AH24&gt;=CF$7,$AH24&lt;CF$7+7),"S","")</f>
        <v/>
      </c>
      <c r="CG24" s="92" t="str">
        <f aca="false">IF(AND($Y24&lt;&gt;"",$Y24&gt;=CG$7,$Y24&lt;CG$7+7),"I","")&amp;IF(AND($Z24&lt;&gt;"",$Z24&gt;=CG$7,$Z24&lt;CG$7+7),"P","")&amp;IF(AND($AA24&lt;&gt;"",$AA24&gt;=CG$7,$AA24&lt;CG$7+7),"T","")&amp;IF(AND($AB24&lt;&gt;"",$AB24&gt;=CG$7,$AB24&lt;CG$7+7),"H","")&amp;IF(AND($AC24&lt;&gt;"",$AC24&gt;=CG$7,$AC24&lt;CG$7+7),"G","")&amp;IF(AND($AH24&lt;&gt;"",$AH24&gt;=CG$7,$AH24&lt;CG$7+7),"S","")</f>
        <v/>
      </c>
      <c r="CH24" s="92" t="str">
        <f aca="false">IF(AND($Y24&lt;&gt;"",$Y24&gt;=CH$7,$Y24&lt;CH$7+7),"I","")&amp;IF(AND($Z24&lt;&gt;"",$Z24&gt;=CH$7,$Z24&lt;CH$7+7),"P","")&amp;IF(AND($AA24&lt;&gt;"",$AA24&gt;=CH$7,$AA24&lt;CH$7+7),"T","")&amp;IF(AND($AB24&lt;&gt;"",$AB24&gt;=CH$7,$AB24&lt;CH$7+7),"H","")&amp;IF(AND($AC24&lt;&gt;"",$AC24&gt;=CH$7,$AC24&lt;CH$7+7),"G","")&amp;IF(AND($AH24&lt;&gt;"",$AH24&gt;=CH$7,$AH24&lt;CH$7+7),"S","")</f>
        <v/>
      </c>
      <c r="CI24" s="92" t="str">
        <f aca="false">IF(AND($Y24&lt;&gt;"",$Y24&gt;=CI$7,$Y24&lt;CI$7+7),"I","")&amp;IF(AND($Z24&lt;&gt;"",$Z24&gt;=CI$7,$Z24&lt;CI$7+7),"P","")&amp;IF(AND($AA24&lt;&gt;"",$AA24&gt;=CI$7,$AA24&lt;CI$7+7),"T","")&amp;IF(AND($AB24&lt;&gt;"",$AB24&gt;=CI$7,$AB24&lt;CI$7+7),"H","")&amp;IF(AND($AC24&lt;&gt;"",$AC24&gt;=CI$7,$AC24&lt;CI$7+7),"G","")&amp;IF(AND($AH24&lt;&gt;"",$AH24&gt;=CI$7,$AH24&lt;CI$7+7),"S","")</f>
        <v/>
      </c>
      <c r="CJ24" s="92" t="str">
        <f aca="false">IF(AND($Y24&lt;&gt;"",$Y24&gt;=CJ$7,$Y24&lt;CJ$7+7),"I","")&amp;IF(AND($Z24&lt;&gt;"",$Z24&gt;=CJ$7,$Z24&lt;CJ$7+7),"P","")&amp;IF(AND($AA24&lt;&gt;"",$AA24&gt;=CJ$7,$AA24&lt;CJ$7+7),"T","")&amp;IF(AND($AB24&lt;&gt;"",$AB24&gt;=CJ$7,$AB24&lt;CJ$7+7),"H","")&amp;IF(AND($AC24&lt;&gt;"",$AC24&gt;=CJ$7,$AC24&lt;CJ$7+7),"G","")&amp;IF(AND($AH24&lt;&gt;"",$AH24&gt;=CJ$7,$AH24&lt;CJ$7+7),"S","")</f>
        <v/>
      </c>
      <c r="CK24" s="92" t="str">
        <f aca="false">IF(AND($Y24&lt;&gt;"",$Y24&gt;=CK$7,$Y24&lt;CK$7+7),"I","")&amp;IF(AND($Z24&lt;&gt;"",$Z24&gt;=CK$7,$Z24&lt;CK$7+7),"P","")&amp;IF(AND($AA24&lt;&gt;"",$AA24&gt;=CK$7,$AA24&lt;CK$7+7),"T","")&amp;IF(AND($AB24&lt;&gt;"",$AB24&gt;=CK$7,$AB24&lt;CK$7+7),"H","")&amp;IF(AND($AC24&lt;&gt;"",$AC24&gt;=CK$7,$AC24&lt;CK$7+7),"G","")&amp;IF(AND($AH24&lt;&gt;"",$AH24&gt;=CK$7,$AH24&lt;CK$7+7),"S","")</f>
        <v/>
      </c>
      <c r="CL24" s="92" t="str">
        <f aca="false">IF(AND($Y24&lt;&gt;"",$Y24&gt;=CL$7,$Y24&lt;CL$7+7),"I","")&amp;IF(AND($Z24&lt;&gt;"",$Z24&gt;=CL$7,$Z24&lt;CL$7+7),"P","")&amp;IF(AND($AA24&lt;&gt;"",$AA24&gt;=CL$7,$AA24&lt;CL$7+7),"T","")&amp;IF(AND($AB24&lt;&gt;"",$AB24&gt;=CL$7,$AB24&lt;CL$7+7),"H","")&amp;IF(AND($AC24&lt;&gt;"",$AC24&gt;=CL$7,$AC24&lt;CL$7+7),"G","")&amp;IF(AND($AH24&lt;&gt;"",$AH24&gt;=CL$7,$AH24&lt;CL$7+7),"S","")</f>
        <v/>
      </c>
      <c r="CM24" s="92" t="str">
        <f aca="false">IF(AND($Y24&lt;&gt;"",$Y24&gt;=CM$7,$Y24&lt;CM$7+7),"I","")&amp;IF(AND($Z24&lt;&gt;"",$Z24&gt;=CM$7,$Z24&lt;CM$7+7),"P","")&amp;IF(AND($AA24&lt;&gt;"",$AA24&gt;=CM$7,$AA24&lt;CM$7+7),"T","")&amp;IF(AND($AB24&lt;&gt;"",$AB24&gt;=CM$7,$AB24&lt;CM$7+7),"H","")&amp;IF(AND($AC24&lt;&gt;"",$AC24&gt;=CM$7,$AC24&lt;CM$7+7),"G","")&amp;IF(AND($AH24&lt;&gt;"",$AH24&gt;=CM$7,$AH24&lt;CM$7+7),"S","")</f>
        <v/>
      </c>
      <c r="CN24" s="92" t="str">
        <f aca="false">IF(AND($Y24&lt;&gt;"",$Y24&gt;=CN$7,$Y24&lt;CN$7+7),"I","")&amp;IF(AND($Z24&lt;&gt;"",$Z24&gt;=CN$7,$Z24&lt;CN$7+7),"P","")&amp;IF(AND($AA24&lt;&gt;"",$AA24&gt;=CN$7,$AA24&lt;CN$7+7),"T","")&amp;IF(AND($AB24&lt;&gt;"",$AB24&gt;=CN$7,$AB24&lt;CN$7+7),"H","")&amp;IF(AND($AC24&lt;&gt;"",$AC24&gt;=CN$7,$AC24&lt;CN$7+7),"G","")&amp;IF(AND($AH24&lt;&gt;"",$AH24&gt;=CN$7,$AH24&lt;CN$7+7),"S","")</f>
        <v/>
      </c>
      <c r="CO24" s="92" t="str">
        <f aca="false">IF(AND($Y24&lt;&gt;"",$Y24&gt;=CO$7,$Y24&lt;CO$7+7),"I","")&amp;IF(AND($Z24&lt;&gt;"",$Z24&gt;=CO$7,$Z24&lt;CO$7+7),"P","")&amp;IF(AND($AA24&lt;&gt;"",$AA24&gt;=CO$7,$AA24&lt;CO$7+7),"T","")&amp;IF(AND($AB24&lt;&gt;"",$AB24&gt;=CO$7,$AB24&lt;CO$7+7),"H","")&amp;IF(AND($AC24&lt;&gt;"",$AC24&gt;=CO$7,$AC24&lt;CO$7+7),"G","")&amp;IF(AND($AH24&lt;&gt;"",$AH24&gt;=CO$7,$AH24&lt;CO$7+7),"S","")</f>
        <v/>
      </c>
      <c r="CP24" s="92" t="str">
        <f aca="false">IF(AND($Y24&lt;&gt;"",$Y24&gt;=CP$7,$Y24&lt;CP$7+7),"I","")&amp;IF(AND($Z24&lt;&gt;"",$Z24&gt;=CP$7,$Z24&lt;CP$7+7),"P","")&amp;IF(AND($AA24&lt;&gt;"",$AA24&gt;=CP$7,$AA24&lt;CP$7+7),"T","")&amp;IF(AND($AB24&lt;&gt;"",$AB24&gt;=CP$7,$AB24&lt;CP$7+7),"H","")&amp;IF(AND($AC24&lt;&gt;"",$AC24&gt;=CP$7,$AC24&lt;CP$7+7),"G","")&amp;IF(AND($AH24&lt;&gt;"",$AH24&gt;=CP$7,$AH24&lt;CP$7+7),"S","")</f>
        <v/>
      </c>
      <c r="CQ24" s="92" t="str">
        <f aca="false">IF(AND($Y24&lt;&gt;"",$Y24&gt;=CQ$7,$Y24&lt;CQ$7+7),"I","")&amp;IF(AND($Z24&lt;&gt;"",$Z24&gt;=CQ$7,$Z24&lt;CQ$7+7),"P","")&amp;IF(AND($AA24&lt;&gt;"",$AA24&gt;=CQ$7,$AA24&lt;CQ$7+7),"T","")&amp;IF(AND($AB24&lt;&gt;"",$AB24&gt;=CQ$7,$AB24&lt;CQ$7+7),"H","")&amp;IF(AND($AC24&lt;&gt;"",$AC24&gt;=CQ$7,$AC24&lt;CQ$7+7),"G","")&amp;IF(AND($AH24&lt;&gt;"",$AH24&gt;=CQ$7,$AH24&lt;CQ$7+7),"S","")</f>
        <v/>
      </c>
      <c r="CR24" s="92" t="str">
        <f aca="false">IF(AND($Y24&lt;&gt;"",$Y24&gt;=CR$7,$Y24&lt;CR$7+7),"I","")&amp;IF(AND($Z24&lt;&gt;"",$Z24&gt;=CR$7,$Z24&lt;CR$7+7),"P","")&amp;IF(AND($AA24&lt;&gt;"",$AA24&gt;=CR$7,$AA24&lt;CR$7+7),"T","")&amp;IF(AND($AB24&lt;&gt;"",$AB24&gt;=CR$7,$AB24&lt;CR$7+7),"H","")&amp;IF(AND($AC24&lt;&gt;"",$AC24&gt;=CR$7,$AC24&lt;CR$7+7),"G","")&amp;IF(AND($AH24&lt;&gt;"",$AH24&gt;=CR$7,$AH24&lt;CR$7+7),"S","")</f>
        <v/>
      </c>
      <c r="CS24" s="92" t="str">
        <f aca="false">IF(AND($Y24&lt;&gt;"",$Y24&gt;=CS$7,$Y24&lt;CS$7+7),"I","")&amp;IF(AND($Z24&lt;&gt;"",$Z24&gt;=CS$7,$Z24&lt;CS$7+7),"P","")&amp;IF(AND($AA24&lt;&gt;"",$AA24&gt;=CS$7,$AA24&lt;CS$7+7),"T","")&amp;IF(AND($AB24&lt;&gt;"",$AB24&gt;=CS$7,$AB24&lt;CS$7+7),"H","")&amp;IF(AND($AC24&lt;&gt;"",$AC24&gt;=CS$7,$AC24&lt;CS$7+7),"G","")&amp;IF(AND($AH24&lt;&gt;"",$AH24&gt;=CS$7,$AH24&lt;CS$7+7),"S","")</f>
        <v/>
      </c>
      <c r="CT24" s="92" t="str">
        <f aca="false">IF(AND($Y24&lt;&gt;"",$Y24&gt;=CT$7,$Y24&lt;CT$7+7),"I","")&amp;IF(AND($Z24&lt;&gt;"",$Z24&gt;=CT$7,$Z24&lt;CT$7+7),"P","")&amp;IF(AND($AA24&lt;&gt;"",$AA24&gt;=CT$7,$AA24&lt;CT$7+7),"T","")&amp;IF(AND($AB24&lt;&gt;"",$AB24&gt;=CT$7,$AB24&lt;CT$7+7),"H","")&amp;IF(AND($AC24&lt;&gt;"",$AC24&gt;=CT$7,$AC24&lt;CT$7+7),"G","")&amp;IF(AND($AH24&lt;&gt;"",$AH24&gt;=CT$7,$AH24&lt;CT$7+7),"S","")</f>
        <v/>
      </c>
      <c r="CU24" s="92" t="str">
        <f aca="false">IF(AND($Y24&lt;&gt;"",$Y24&gt;=CU$7,$Y24&lt;CU$7+7),"I","")&amp;IF(AND($Z24&lt;&gt;"",$Z24&gt;=CU$7,$Z24&lt;CU$7+7),"P","")&amp;IF(AND($AA24&lt;&gt;"",$AA24&gt;=CU$7,$AA24&lt;CU$7+7),"T","")&amp;IF(AND($AB24&lt;&gt;"",$AB24&gt;=CU$7,$AB24&lt;CU$7+7),"H","")&amp;IF(AND($AC24&lt;&gt;"",$AC24&gt;=CU$7,$AC24&lt;CU$7+7),"G","")&amp;IF(AND($AH24&lt;&gt;"",$AH24&gt;=CU$7,$AH24&lt;CU$7+7),"S","")</f>
        <v/>
      </c>
      <c r="CV24" s="92" t="str">
        <f aca="false">IF(AND($Y24&lt;&gt;"",$Y24&gt;=CV$7,$Y24&lt;CV$7+7),"I","")&amp;IF(AND($Z24&lt;&gt;"",$Z24&gt;=CV$7,$Z24&lt;CV$7+7),"P","")&amp;IF(AND($AA24&lt;&gt;"",$AA24&gt;=CV$7,$AA24&lt;CV$7+7),"T","")&amp;IF(AND($AB24&lt;&gt;"",$AB24&gt;=CV$7,$AB24&lt;CV$7+7),"H","")&amp;IF(AND($AC24&lt;&gt;"",$AC24&gt;=CV$7,$AC24&lt;CV$7+7),"G","")&amp;IF(AND($AH24&lt;&gt;"",$AH24&gt;=CV$7,$AH24&lt;CV$7+7),"S","")</f>
        <v/>
      </c>
      <c r="CW24" s="92" t="str">
        <f aca="false">IF(AND($Y24&lt;&gt;"",$Y24&gt;=CW$7,$Y24&lt;CW$7+7),"I","")&amp;IF(AND($Z24&lt;&gt;"",$Z24&gt;=CW$7,$Z24&lt;CW$7+7),"P","")&amp;IF(AND($AA24&lt;&gt;"",$AA24&gt;=CW$7,$AA24&lt;CW$7+7),"T","")&amp;IF(AND($AB24&lt;&gt;"",$AB24&gt;=CW$7,$AB24&lt;CW$7+7),"H","")&amp;IF(AND($AC24&lt;&gt;"",$AC24&gt;=CW$7,$AC24&lt;CW$7+7),"G","")&amp;IF(AND($AH24&lt;&gt;"",$AH24&gt;=CW$7,$AH24&lt;CW$7+7),"S","")</f>
        <v/>
      </c>
      <c r="CX24" s="92" t="str">
        <f aca="false">IF(AND($Y24&lt;&gt;"",$Y24&gt;=CX$7,$Y24&lt;CX$7+7),"I","")&amp;IF(AND($Z24&lt;&gt;"",$Z24&gt;=CX$7,$Z24&lt;CX$7+7),"P","")&amp;IF(AND($AA24&lt;&gt;"",$AA24&gt;=CX$7,$AA24&lt;CX$7+7),"T","")&amp;IF(AND($AB24&lt;&gt;"",$AB24&gt;=CX$7,$AB24&lt;CX$7+7),"H","")&amp;IF(AND($AC24&lt;&gt;"",$AC24&gt;=CX$7,$AC24&lt;CX$7+7),"G","")&amp;IF(AND($AH24&lt;&gt;"",$AH24&gt;=CX$7,$AH24&lt;CX$7+7),"S","")</f>
        <v/>
      </c>
      <c r="CY24" s="92" t="str">
        <f aca="false">IF(AND($Y24&lt;&gt;"",$Y24&gt;=CY$7,$Y24&lt;CY$7+7),"I","")&amp;IF(AND($Z24&lt;&gt;"",$Z24&gt;=CY$7,$Z24&lt;CY$7+7),"P","")&amp;IF(AND($AA24&lt;&gt;"",$AA24&gt;=CY$7,$AA24&lt;CY$7+7),"T","")&amp;IF(AND($AB24&lt;&gt;"",$AB24&gt;=CY$7,$AB24&lt;CY$7+7),"H","")&amp;IF(AND($AC24&lt;&gt;"",$AC24&gt;=CY$7,$AC24&lt;CY$7+7),"G","")&amp;IF(AND($AH24&lt;&gt;"",$AH24&gt;=CY$7,$AH24&lt;CY$7+7),"S","")</f>
        <v/>
      </c>
      <c r="CZ24" s="92" t="str">
        <f aca="false">IF(AND($Y24&lt;&gt;"",$Y24&gt;=CZ$7,$Y24&lt;CZ$7+7),"I","")&amp;IF(AND($Z24&lt;&gt;"",$Z24&gt;=CZ$7,$Z24&lt;CZ$7+7),"P","")&amp;IF(AND($AA24&lt;&gt;"",$AA24&gt;=CZ$7,$AA24&lt;CZ$7+7),"T","")&amp;IF(AND($AB24&lt;&gt;"",$AB24&gt;=CZ$7,$AB24&lt;CZ$7+7),"H","")&amp;IF(AND($AC24&lt;&gt;"",$AC24&gt;=CZ$7,$AC24&lt;CZ$7+7),"G","")&amp;IF(AND($AH24&lt;&gt;"",$AH24&gt;=CZ$7,$AH24&lt;CZ$7+7),"S","")</f>
        <v/>
      </c>
      <c r="DA24" s="92" t="str">
        <f aca="false">IF(AND($Y24&lt;&gt;"",$Y24&gt;=DA$7,$Y24&lt;DA$7+7),"I","")&amp;IF(AND($Z24&lt;&gt;"",$Z24&gt;=DA$7,$Z24&lt;DA$7+7),"P","")&amp;IF(AND($AA24&lt;&gt;"",$AA24&gt;=DA$7,$AA24&lt;DA$7+7),"T","")&amp;IF(AND($AB24&lt;&gt;"",$AB24&gt;=DA$7,$AB24&lt;DA$7+7),"H","")&amp;IF(AND($AC24&lt;&gt;"",$AC24&gt;=DA$7,$AC24&lt;DA$7+7),"G","")&amp;IF(AND($AH24&lt;&gt;"",$AH24&gt;=DA$7,$AH24&lt;DA$7+7),"S","")</f>
        <v/>
      </c>
      <c r="DB24" s="92" t="str">
        <f aca="false">IF(AND($Y24&lt;&gt;"",$Y24&gt;=DB$7,$Y24&lt;DB$7+7),"I","")&amp;IF(AND($Z24&lt;&gt;"",$Z24&gt;=DB$7,$Z24&lt;DB$7+7),"P","")&amp;IF(AND($AA24&lt;&gt;"",$AA24&gt;=DB$7,$AA24&lt;DB$7+7),"T","")&amp;IF(AND($AB24&lt;&gt;"",$AB24&gt;=DB$7,$AB24&lt;DB$7+7),"H","")&amp;IF(AND($AC24&lt;&gt;"",$AC24&gt;=DB$7,$AC24&lt;DB$7+7),"G","")&amp;IF(AND($AH24&lt;&gt;"",$AH24&gt;=DB$7,$AH24&lt;DB$7+7),"S","")</f>
        <v/>
      </c>
      <c r="DC24" s="92" t="str">
        <f aca="false">IF(AND($Y24&lt;&gt;"",$Y24&gt;=DC$7,$Y24&lt;DC$7+7),"I","")&amp;IF(AND($Z24&lt;&gt;"",$Z24&gt;=DC$7,$Z24&lt;DC$7+7),"P","")&amp;IF(AND($AA24&lt;&gt;"",$AA24&gt;=DC$7,$AA24&lt;DC$7+7),"T","")&amp;IF(AND($AB24&lt;&gt;"",$AB24&gt;=DC$7,$AB24&lt;DC$7+7),"H","")&amp;IF(AND($AC24&lt;&gt;"",$AC24&gt;=DC$7,$AC24&lt;DC$7+7),"G","")&amp;IF(AND($AH24&lt;&gt;"",$AH24&gt;=DC$7,$AH24&lt;DC$7+7),"S","")</f>
        <v/>
      </c>
    </row>
    <row r="25" customFormat="false" ht="15" hidden="false" customHeight="false" outlineLevel="0" collapsed="false">
      <c r="A25" s="47" t="s">
        <v>110</v>
      </c>
      <c r="B25" s="31" t="s">
        <v>111</v>
      </c>
      <c r="C25" s="36" t="s">
        <v>565</v>
      </c>
      <c r="D25" s="31" t="s">
        <v>566</v>
      </c>
      <c r="E25" s="31" t="s">
        <v>187</v>
      </c>
      <c r="F25" s="75" t="n">
        <v>280.44</v>
      </c>
      <c r="G25" s="31" t="s">
        <v>170</v>
      </c>
      <c r="H25" s="76" t="n">
        <f aca="false">PROJ_START+RD_SPAN</f>
        <v>46403</v>
      </c>
      <c r="I25" s="77" t="n">
        <f aca="false">H25+33</f>
        <v>46436</v>
      </c>
      <c r="J25" s="31" t="s">
        <v>113</v>
      </c>
      <c r="K25" s="36" t="s">
        <v>131</v>
      </c>
      <c r="L25" s="36" t="s">
        <v>112</v>
      </c>
      <c r="M25" s="36" t="s">
        <v>568</v>
      </c>
      <c r="N25" s="78" t="str">
        <f aca="false">IF(ISNUMBER(อัปเดตรายสัปดาห์!$AF25),อัปเดตรายสัปดาห์!$AF25,"")</f>
        <v/>
      </c>
      <c r="O25" s="78" t="str">
        <f aca="false">IF(ISNUMBER(อัปเดตรายสัปดาห์!$AH25),อัปเดตรายสัปดาห์!$AH25,"")</f>
        <v/>
      </c>
      <c r="P25" s="78" t="str">
        <f aca="false">IF(ISNUMBER(อัปเดตรายสัปดาห์!$AG25),อัปเดตรายสัปดาห์!$AG25,IF(AND(ISNUMBER(TCRoof!$AC$25),N(TCRoof!$AC$25)&lt;=ASOF),TCRoof!$AC$25,""))</f>
        <v/>
      </c>
      <c r="Q25" s="78" t="str">
        <f aca="false">IF(ISNUMBER(อัปเดตรายสัปดาห์!$AL25),อัปเดตรายสัปดาห์!$AL25,"")</f>
        <v/>
      </c>
      <c r="R25" s="78" t="str">
        <f aca="false">IF(ISNUMBER(อัปเดตรายสัปดาห์!$Q25),อัปเดตรายสัปดาห์!$Q25,"")</f>
        <v/>
      </c>
      <c r="S25" s="78" t="str">
        <f aca="false">IF(ISNUMBER(อัปเดตรายสัปดาห์!$R25),อัปเดตรายสัปดาห์!$R25,"")</f>
        <v/>
      </c>
      <c r="T25" s="78" t="str">
        <f aca="false">IF(ISNUMBER(อัปเดตรายสัปดาห์!$S25),อัปเดตรายสัปดาห์!$S25,IF(อัปเดตรายสัปดาห์!$S25="Y",ASOF,""))</f>
        <v/>
      </c>
      <c r="U25" s="78" t="str">
        <f aca="false">IF(ISNUMBER(อัปเดตรายสัปดาห์!$T25),อัปเดตรายสัปดาห์!$T25,IF(อัปเดตรายสัปดาห์!$T25="Y",ASOF,""))</f>
        <v/>
      </c>
      <c r="V25" s="78" t="str">
        <f aca="false">IF(ISNUMBER(อัปเดตรายสัปดาห์!$U25),อัปเดตรายสัปดาห์!$U25,IF(อัปเดตรายสัปดาห์!$U25="Y",ASOF,""))</f>
        <v/>
      </c>
      <c r="W25" s="78" t="str">
        <f aca="false">IF(ISNUMBER(อัปเดตรายสัปดาห์!$N25),อัปเดตรายสัปดาห์!$N25,"")</f>
        <v/>
      </c>
      <c r="X25" s="78" t="str">
        <f aca="false">IF(ISNUMBER(อัปเดตรายสัปดาห์!$V25),อัปเดตรายสัปดาห์!$V25,IF(AND(ISNUMBER(TCRoof!$AD$25),N(TCRoof!$AD$25)&lt;=ASOF),TCRoof!$AD$25,""))</f>
        <v/>
      </c>
      <c r="Y25" s="79" t="n">
        <f aca="false">IF(N25&lt;&gt;"",N25,WORKDAY((ASOF+LEAD_INST+7*INT((AT25-0.01)/MAX(1,AU25)))-1,1,HOLIDAYS))</f>
        <v>46349</v>
      </c>
      <c r="Z25" s="79" t="n">
        <f aca="false">IF(O25&lt;&gt;"",O25,WORKDAY((MAX(AV25+7*INT((AW25-1)/MAX(1,AX25)),AV25+7*INT((AY25-1)/MAX(1,AZ25))))-1,1,HOLIDAYS))</f>
        <v>46356</v>
      </c>
      <c r="AA25" s="79" t="n">
        <f aca="false">IF(P25&lt;&gt;"",P25,WORKDAY((BA25+7*INT((BB25-1)/MAX(1,BC25)))-1,1,HOLIDAYS))</f>
        <v>46359</v>
      </c>
      <c r="AB25" s="79" t="n">
        <f aca="false">IF(Q25&lt;&gt;"",Q25,WORKDAY((MAX(AA25+BD25,ASOF+1))-1,1,HOLIDAYS))</f>
        <v>46367</v>
      </c>
      <c r="AC25" s="79" t="n">
        <f aca="false">IF(R25&lt;&gt;"",R25,WORKDAY((MAX(Y25,ASOF)+LAG_GRID)-1,1,HOLIDAYS))</f>
        <v>46356</v>
      </c>
      <c r="AD25" s="79" t="n">
        <f aca="false">IF(T25&lt;&gt;"",T25,WORKDAY((MAX(WORKDAY(MAX(AC25,N(S25)),REVIEW_WD,HOLIDAYS),ASOF+1))-1,1,HOLIDAYS))</f>
        <v>46379</v>
      </c>
      <c r="AE25" s="79" t="n">
        <f aca="false">IF(U25&lt;&gt;"",U25,WORKDAY((MAX(AD25,ASOF)+FEE_DAYS)-1,1,HOLIDAYS))</f>
        <v>46386</v>
      </c>
      <c r="AF25" s="79" t="n">
        <f aca="false">IF(V25&lt;&gt;"",V25,WORKDAY((MAX(AA25,Z25,AE25,IF(AG25="",0,AG25+REVIEW_PK2),ASOF)+LAG_INSREQ)-1,1,HOLIDAYS))</f>
        <v>46391</v>
      </c>
      <c r="AG25" s="79" t="n">
        <f aca="false">IF(M25&lt;&gt;"Y","",IF(W25&lt;&gt;"",W25,WORKDAY((MAX(Y25,ASOF)+LAG_GRID)-1,1,HOLIDAYS)))</f>
        <v>46356</v>
      </c>
      <c r="AH25" s="80" t="n">
        <f aca="false">IF(X25&lt;&gt;"",X25,WORKDAY(AF25,INSPECT_WD,HOLIDAYS))</f>
        <v>46433</v>
      </c>
      <c r="AI25" s="81" t="n">
        <f aca="false">IF(H25="","",AB25-H25)</f>
        <v>-36</v>
      </c>
      <c r="AJ25" s="81" t="n">
        <f aca="false">IF(I25="","",AH25-I25)</f>
        <v>-3</v>
      </c>
      <c r="AK25" s="82" t="n">
        <f aca="false">IF(AND(ISNUMBER(N25),N(N25)&lt;=ASOF),1,0)+IF(AND(ISNUMBER(O25),N(O25)&lt;=ASOF),1,0)+IF(AND(ISNUMBER(P25),N(P25)&lt;=ASOF),1,0)+IF(AND(ISNUMBER(Q25),N(Q25)&lt;=ASOF),1,0)+IF(AND(ISNUMBER(R25),N(R25)&lt;=ASOF),1,0)+IF(AND(ISNUMBER(U25),N(U25)&lt;=ASOF),1,0)+IF(AND(ISNUMBER(X25),N(X25)&lt;=ASOF),1,0)+IF(AND(ISNUMBER(W25),N(W25)&lt;=ASOF),1,0)</f>
        <v>0</v>
      </c>
      <c r="AL25" s="83" t="n">
        <v>8</v>
      </c>
      <c r="AM25" s="84" t="n">
        <f aca="false">'P9-018'!$J$4</f>
        <v>0</v>
      </c>
      <c r="AN25" s="85" t="str">
        <f aca="false">TRIM(IF(AND(ISNUMBER(O25),NOT(ISNUMBER(N25))),"กฟภ.ตรวจก่อนติดตั้ง, ","")&amp;IF(AND(ISNUMBER(P25),NOT(ISNUMBER(N25))),"IEC ก่อนติดตั้ง, ","")&amp;IF(AND(ISNUMBER(Q25),NOT(ISNUMBER(N25))),"ส่งมอบก่อนติดตั้ง, ","")&amp;IF(AND(ISNUMBER(Q25),ISNUMBER(P25),N(Q25)&lt;N(P25)),"ส่งมอบก่อน IEC, ","")&amp;IF(AND(ISNUMBER(อัปเดตรายสัปดาห์!$AG25),ISNUMBER(TCRoof!$AC$25),ABS(N(อัปเดตรายสัปดาห์!$AG25)-N(TCRoof!$AC$25))&gt;3),"IEC Excel≠แอป, ","")&amp;IF(AND(ISNUMBER(อัปเดตรายสัปดาห์!$V25),ISNUMBER(TCRoof!$AD$25),ABS(N(อัปเดตรายสัปดาห์!$V25)-N(TCRoof!$AD$25))&gt;3),"COD Excel≠แอป, ","")&amp;IF(AND(ISNUMBER(อัปเดตรายสัปดาห์!$AF25),ISNUMBER(TCRoof!$AB$25),ABS(N(อัปเดตรายสัปดาห์!$AF25)-N(TCRoof!$AB$25))&gt;3),"ติดตั้ง Excel≠แอป, ","")&amp;IF(AND(ISNUMBER(N25),N(N25)&gt;ASOF,OR(WEEKDAY(N(N25),2)&gt;5,COUNTIF(HOLIDAYS,N(N25))&gt;0)),"นัดดับไฟตรงวันหยุด, ","")&amp;IF(AND(ISNUMBER(O25),N(O25)&gt;ASOF,OR(WEEKDAY(N(O25),2)&gt;5,COUNTIF(HOLIDAYS,N(O25))&gt;0)),"นัด กฟภ.ตรงวันหยุด, ","")&amp;IF(AND(ISNUMBER(P25),N(P25)&gt;ASOF,OR(WEEKDAY(N(P25),2)&gt;5,COUNTIF(HOLIDAYS,N(P25))&gt;0)),"นัด IECตรงวันหยุด, ","")&amp;IF(AND(ISNUMBER(X25),N(X25)&gt;ASOF,OR(WEEKDAY(N(X25),2)&gt;5,COUNTIF(HOLIDAYS,N(X25))&gt;0)),"นัด Syncตรงวันหยุด, ",""))</f>
        <v/>
      </c>
      <c r="AO25" s="86" t="n">
        <f aca="false">SUMIFS(CR_COD,CR_ST,A25,CR_STAT,"อนุมัติ")+SUMIFS(CR_COD,CR_ST,"ทั้งเฟส",CR_STAT,"อนุมัติ")+SUMIFS(CR_COD,CR_ST,"ผรม. "&amp;L25,CR_STAT,"อนุมัติ")+SUMIFS(CR_COD,CR_ST,"เขต "&amp;E25,CR_STAT,"อนุมัติ")</f>
        <v>0</v>
      </c>
      <c r="AP25" s="86" t="n">
        <f aca="false">IF(NOT(ISNUMBER(AJ25)),"",MAX(0,AJ25-AO25))</f>
        <v>0</v>
      </c>
      <c r="AQ25" s="86" t="n">
        <f aca="false">COUNTIF(RW_ST,A25)</f>
        <v>0</v>
      </c>
      <c r="AR25" s="87" t="str">
        <f aca="false">IF(ISNUMBER(TCRoof!$I$25),TCRoof!$I$25,"")</f>
        <v/>
      </c>
      <c r="AS25" s="88" t="str">
        <f aca="false">IF(ISNUMBER(TCRoof!$H$25),TCRoof!$H$25,"")</f>
        <v/>
      </c>
      <c r="AT25" s="89" t="n">
        <f aca="false">IF(N25&lt;&gt;"","",SUMIFS($F$8:$F$27,$L$8:$L$27,L25,$N$8:$N$27,"",$H$8:$H$27,"&lt;"&amp;H25)+SUMIFS($F$8:$F$27,$L$8:$L$27,L25,$N$8:$N$27,"",$H$8:$H$27,H25,$A$8:$A$27,"&lt;="&amp;A25)+SUMIFS($F$8:$F$27,$L$8:$L$27,L25,$N$8:$N$27,"&gt;"&amp;ASOF))</f>
        <v>280.44</v>
      </c>
      <c r="AU25" s="89" t="n">
        <f aca="false">IFERROR(VLOOKUP(L25,TEAM_TBL,2,0)*VLOOKUP(L25,TEAM_TBL,3,0),150)</f>
        <v>150</v>
      </c>
      <c r="AV25" s="90" t="n">
        <f aca="false">IF(O25&lt;&gt;"","",MAX(Y25+LAG_PEA,ASOF+LAG_PEA))</f>
        <v>46356</v>
      </c>
      <c r="AW25" s="89" t="n">
        <f aca="false">IF(O25&lt;&gt;"","",COUNTIFS($E$8:$E$27,E25,$AV$8:$AV$27,"&lt;"&amp;AV25)+COUNTIFS($E$8:$E$27,E25,$AV$8:$AV$27,AV25,$A$8:$A$27,"&lt;"&amp;A25)+COUNTIFS($E$8:$E$27,E25,$O$8:$O$27,"&gt;"&amp;ASOF)+1)</f>
        <v>1</v>
      </c>
      <c r="AX25" s="89" t="n">
        <f aca="false">IFERROR(VLOOKUP(E25,ZONE_TBL,2,0),CAP_PEA)</f>
        <v>3</v>
      </c>
      <c r="AY25" s="89" t="n">
        <f aca="false">IF(O25&lt;&gt;"","",COUNTIFS($J$8:$J$27,J25,$AV$8:$AV$27,"&lt;"&amp;AV25)+COUNTIFS($J$8:$J$27,J25,$AV$8:$AV$27,AV25,$A$8:$A$27,"&lt;"&amp;A25)+COUNTIFS($J$8:$J$27,J25,$O$8:$O$27,"&gt;"&amp;ASOF)+1)</f>
        <v>1</v>
      </c>
      <c r="AZ25" s="89" t="n">
        <f aca="false">IFERROR(VLOOKUP(J25,ENG_TBL,2,0),ENG_CAP)</f>
        <v>3</v>
      </c>
      <c r="BA25" s="90" t="n">
        <f aca="false">IF(P25&lt;&gt;"","",MAX(Z25+LAG_IEC,ASOF+1))</f>
        <v>46359</v>
      </c>
      <c r="BB25" s="89" t="n">
        <f aca="false">IF(P25&lt;&gt;"","",COUNTIFS($L$8:$L$27,L25,$BA$8:$BA$27,"&lt;"&amp;BA25)+COUNTIFS($L$8:$L$27,L25,$BA$8:$BA$27,BA25,$A$8:$A$27,"&lt;"&amp;A25)+COUNTIFS($L$8:$L$27,L25,$P$8:$P$27,"&gt;"&amp;ASOF)+1)</f>
        <v>1</v>
      </c>
      <c r="BC25" s="89" t="n">
        <f aca="false">IFERROR(VLOOKUP(L25,TEAM_TBL,4,0)*VLOOKUP(L25,TEAM_TBL,5,0),3)</f>
        <v>3</v>
      </c>
      <c r="BD25" s="91" t="n">
        <f aca="false">IFERROR(VLOOKUP(L25,TEAM_TBL,6,0),LAG_HO)</f>
        <v>7</v>
      </c>
      <c r="BE25" s="89" t="n">
        <f aca="false">IF(ISNUMBER(AW25),7*INT((AW25-1)/MAX(1,AX25)),"")</f>
        <v>0</v>
      </c>
      <c r="BF25" s="89" t="n">
        <f aca="false">IF(ISNUMBER(AY25),7*INT((AY25-1)/MAX(1,AZ25)),"")</f>
        <v>0</v>
      </c>
      <c r="BH25" s="92" t="str">
        <f aca="false">IF(AND($Y25&lt;&gt;"",$Y25&gt;=BH$7,$Y25&lt;BH$7+7),"I","")&amp;IF(AND($Z25&lt;&gt;"",$Z25&gt;=BH$7,$Z25&lt;BH$7+7),"P","")&amp;IF(AND($AA25&lt;&gt;"",$AA25&gt;=BH$7,$AA25&lt;BH$7+7),"T","")&amp;IF(AND($AB25&lt;&gt;"",$AB25&gt;=BH$7,$AB25&lt;BH$7+7),"H","")&amp;IF(AND($AC25&lt;&gt;"",$AC25&gt;=BH$7,$AC25&lt;BH$7+7),"G","")&amp;IF(AND($AH25&lt;&gt;"",$AH25&gt;=BH$7,$AH25&lt;BH$7+7),"S","")</f>
        <v/>
      </c>
      <c r="BI25" s="92" t="str">
        <f aca="false">IF(AND($Y25&lt;&gt;"",$Y25&gt;=BI$7,$Y25&lt;BI$7+7),"I","")&amp;IF(AND($Z25&lt;&gt;"",$Z25&gt;=BI$7,$Z25&lt;BI$7+7),"P","")&amp;IF(AND($AA25&lt;&gt;"",$AA25&gt;=BI$7,$AA25&lt;BI$7+7),"T","")&amp;IF(AND($AB25&lt;&gt;"",$AB25&gt;=BI$7,$AB25&lt;BI$7+7),"H","")&amp;IF(AND($AC25&lt;&gt;"",$AC25&gt;=BI$7,$AC25&lt;BI$7+7),"G","")&amp;IF(AND($AH25&lt;&gt;"",$AH25&gt;=BI$7,$AH25&lt;BI$7+7),"S","")</f>
        <v/>
      </c>
      <c r="BJ25" s="92" t="str">
        <f aca="false">IF(AND($Y25&lt;&gt;"",$Y25&gt;=BJ$7,$Y25&lt;BJ$7+7),"I","")&amp;IF(AND($Z25&lt;&gt;"",$Z25&gt;=BJ$7,$Z25&lt;BJ$7+7),"P","")&amp;IF(AND($AA25&lt;&gt;"",$AA25&gt;=BJ$7,$AA25&lt;BJ$7+7),"T","")&amp;IF(AND($AB25&lt;&gt;"",$AB25&gt;=BJ$7,$AB25&lt;BJ$7+7),"H","")&amp;IF(AND($AC25&lt;&gt;"",$AC25&gt;=BJ$7,$AC25&lt;BJ$7+7),"G","")&amp;IF(AND($AH25&lt;&gt;"",$AH25&gt;=BJ$7,$AH25&lt;BJ$7+7),"S","")</f>
        <v/>
      </c>
      <c r="BK25" s="92" t="str">
        <f aca="false">IF(AND($Y25&lt;&gt;"",$Y25&gt;=BK$7,$Y25&lt;BK$7+7),"I","")&amp;IF(AND($Z25&lt;&gt;"",$Z25&gt;=BK$7,$Z25&lt;BK$7+7),"P","")&amp;IF(AND($AA25&lt;&gt;"",$AA25&gt;=BK$7,$AA25&lt;BK$7+7),"T","")&amp;IF(AND($AB25&lt;&gt;"",$AB25&gt;=BK$7,$AB25&lt;BK$7+7),"H","")&amp;IF(AND($AC25&lt;&gt;"",$AC25&gt;=BK$7,$AC25&lt;BK$7+7),"G","")&amp;IF(AND($AH25&lt;&gt;"",$AH25&gt;=BK$7,$AH25&lt;BK$7+7),"S","")</f>
        <v/>
      </c>
      <c r="BL25" s="92" t="str">
        <f aca="false">IF(AND($Y25&lt;&gt;"",$Y25&gt;=BL$7,$Y25&lt;BL$7+7),"I","")&amp;IF(AND($Z25&lt;&gt;"",$Z25&gt;=BL$7,$Z25&lt;BL$7+7),"P","")&amp;IF(AND($AA25&lt;&gt;"",$AA25&gt;=BL$7,$AA25&lt;BL$7+7),"T","")&amp;IF(AND($AB25&lt;&gt;"",$AB25&gt;=BL$7,$AB25&lt;BL$7+7),"H","")&amp;IF(AND($AC25&lt;&gt;"",$AC25&gt;=BL$7,$AC25&lt;BL$7+7),"G","")&amp;IF(AND($AH25&lt;&gt;"",$AH25&gt;=BL$7,$AH25&lt;BL$7+7),"S","")</f>
        <v>I</v>
      </c>
      <c r="BM25" s="92" t="str">
        <f aca="false">IF(AND($Y25&lt;&gt;"",$Y25&gt;=BM$7,$Y25&lt;BM$7+7),"I","")&amp;IF(AND($Z25&lt;&gt;"",$Z25&gt;=BM$7,$Z25&lt;BM$7+7),"P","")&amp;IF(AND($AA25&lt;&gt;"",$AA25&gt;=BM$7,$AA25&lt;BM$7+7),"T","")&amp;IF(AND($AB25&lt;&gt;"",$AB25&gt;=BM$7,$AB25&lt;BM$7+7),"H","")&amp;IF(AND($AC25&lt;&gt;"",$AC25&gt;=BM$7,$AC25&lt;BM$7+7),"G","")&amp;IF(AND($AH25&lt;&gt;"",$AH25&gt;=BM$7,$AH25&lt;BM$7+7),"S","")</f>
        <v>PTG</v>
      </c>
      <c r="BN25" s="92" t="str">
        <f aca="false">IF(AND($Y25&lt;&gt;"",$Y25&gt;=BN$7,$Y25&lt;BN$7+7),"I","")&amp;IF(AND($Z25&lt;&gt;"",$Z25&gt;=BN$7,$Z25&lt;BN$7+7),"P","")&amp;IF(AND($AA25&lt;&gt;"",$AA25&gt;=BN$7,$AA25&lt;BN$7+7),"T","")&amp;IF(AND($AB25&lt;&gt;"",$AB25&gt;=BN$7,$AB25&lt;BN$7+7),"H","")&amp;IF(AND($AC25&lt;&gt;"",$AC25&gt;=BN$7,$AC25&lt;BN$7+7),"G","")&amp;IF(AND($AH25&lt;&gt;"",$AH25&gt;=BN$7,$AH25&lt;BN$7+7),"S","")</f>
        <v>H</v>
      </c>
      <c r="BO25" s="92" t="str">
        <f aca="false">IF(AND($Y25&lt;&gt;"",$Y25&gt;=BO$7,$Y25&lt;BO$7+7),"I","")&amp;IF(AND($Z25&lt;&gt;"",$Z25&gt;=BO$7,$Z25&lt;BO$7+7),"P","")&amp;IF(AND($AA25&lt;&gt;"",$AA25&gt;=BO$7,$AA25&lt;BO$7+7),"T","")&amp;IF(AND($AB25&lt;&gt;"",$AB25&gt;=BO$7,$AB25&lt;BO$7+7),"H","")&amp;IF(AND($AC25&lt;&gt;"",$AC25&gt;=BO$7,$AC25&lt;BO$7+7),"G","")&amp;IF(AND($AH25&lt;&gt;"",$AH25&gt;=BO$7,$AH25&lt;BO$7+7),"S","")</f>
        <v/>
      </c>
      <c r="BP25" s="92" t="str">
        <f aca="false">IF(AND($Y25&lt;&gt;"",$Y25&gt;=BP$7,$Y25&lt;BP$7+7),"I","")&amp;IF(AND($Z25&lt;&gt;"",$Z25&gt;=BP$7,$Z25&lt;BP$7+7),"P","")&amp;IF(AND($AA25&lt;&gt;"",$AA25&gt;=BP$7,$AA25&lt;BP$7+7),"T","")&amp;IF(AND($AB25&lt;&gt;"",$AB25&gt;=BP$7,$AB25&lt;BP$7+7),"H","")&amp;IF(AND($AC25&lt;&gt;"",$AC25&gt;=BP$7,$AC25&lt;BP$7+7),"G","")&amp;IF(AND($AH25&lt;&gt;"",$AH25&gt;=BP$7,$AH25&lt;BP$7+7),"S","")</f>
        <v/>
      </c>
      <c r="BQ25" s="92" t="str">
        <f aca="false">IF(AND($Y25&lt;&gt;"",$Y25&gt;=BQ$7,$Y25&lt;BQ$7+7),"I","")&amp;IF(AND($Z25&lt;&gt;"",$Z25&gt;=BQ$7,$Z25&lt;BQ$7+7),"P","")&amp;IF(AND($AA25&lt;&gt;"",$AA25&gt;=BQ$7,$AA25&lt;BQ$7+7),"T","")&amp;IF(AND($AB25&lt;&gt;"",$AB25&gt;=BQ$7,$AB25&lt;BQ$7+7),"H","")&amp;IF(AND($AC25&lt;&gt;"",$AC25&gt;=BQ$7,$AC25&lt;BQ$7+7),"G","")&amp;IF(AND($AH25&lt;&gt;"",$AH25&gt;=BQ$7,$AH25&lt;BQ$7+7),"S","")</f>
        <v/>
      </c>
      <c r="BR25" s="92" t="str">
        <f aca="false">IF(AND($Y25&lt;&gt;"",$Y25&gt;=BR$7,$Y25&lt;BR$7+7),"I","")&amp;IF(AND($Z25&lt;&gt;"",$Z25&gt;=BR$7,$Z25&lt;BR$7+7),"P","")&amp;IF(AND($AA25&lt;&gt;"",$AA25&gt;=BR$7,$AA25&lt;BR$7+7),"T","")&amp;IF(AND($AB25&lt;&gt;"",$AB25&gt;=BR$7,$AB25&lt;BR$7+7),"H","")&amp;IF(AND($AC25&lt;&gt;"",$AC25&gt;=BR$7,$AC25&lt;BR$7+7),"G","")&amp;IF(AND($AH25&lt;&gt;"",$AH25&gt;=BR$7,$AH25&lt;BR$7+7),"S","")</f>
        <v/>
      </c>
      <c r="BS25" s="92" t="str">
        <f aca="false">IF(AND($Y25&lt;&gt;"",$Y25&gt;=BS$7,$Y25&lt;BS$7+7),"I","")&amp;IF(AND($Z25&lt;&gt;"",$Z25&gt;=BS$7,$Z25&lt;BS$7+7),"P","")&amp;IF(AND($AA25&lt;&gt;"",$AA25&gt;=BS$7,$AA25&lt;BS$7+7),"T","")&amp;IF(AND($AB25&lt;&gt;"",$AB25&gt;=BS$7,$AB25&lt;BS$7+7),"H","")&amp;IF(AND($AC25&lt;&gt;"",$AC25&gt;=BS$7,$AC25&lt;BS$7+7),"G","")&amp;IF(AND($AH25&lt;&gt;"",$AH25&gt;=BS$7,$AH25&lt;BS$7+7),"S","")</f>
        <v/>
      </c>
      <c r="BT25" s="92" t="str">
        <f aca="false">IF(AND($Y25&lt;&gt;"",$Y25&gt;=BT$7,$Y25&lt;BT$7+7),"I","")&amp;IF(AND($Z25&lt;&gt;"",$Z25&gt;=BT$7,$Z25&lt;BT$7+7),"P","")&amp;IF(AND($AA25&lt;&gt;"",$AA25&gt;=BT$7,$AA25&lt;BT$7+7),"T","")&amp;IF(AND($AB25&lt;&gt;"",$AB25&gt;=BT$7,$AB25&lt;BT$7+7),"H","")&amp;IF(AND($AC25&lt;&gt;"",$AC25&gt;=BT$7,$AC25&lt;BT$7+7),"G","")&amp;IF(AND($AH25&lt;&gt;"",$AH25&gt;=BT$7,$AH25&lt;BT$7+7),"S","")</f>
        <v/>
      </c>
      <c r="BU25" s="92" t="str">
        <f aca="false">IF(AND($Y25&lt;&gt;"",$Y25&gt;=BU$7,$Y25&lt;BU$7+7),"I","")&amp;IF(AND($Z25&lt;&gt;"",$Z25&gt;=BU$7,$Z25&lt;BU$7+7),"P","")&amp;IF(AND($AA25&lt;&gt;"",$AA25&gt;=BU$7,$AA25&lt;BU$7+7),"T","")&amp;IF(AND($AB25&lt;&gt;"",$AB25&gt;=BU$7,$AB25&lt;BU$7+7),"H","")&amp;IF(AND($AC25&lt;&gt;"",$AC25&gt;=BU$7,$AC25&lt;BU$7+7),"G","")&amp;IF(AND($AH25&lt;&gt;"",$AH25&gt;=BU$7,$AH25&lt;BU$7+7),"S","")</f>
        <v/>
      </c>
      <c r="BV25" s="92" t="str">
        <f aca="false">IF(AND($Y25&lt;&gt;"",$Y25&gt;=BV$7,$Y25&lt;BV$7+7),"I","")&amp;IF(AND($Z25&lt;&gt;"",$Z25&gt;=BV$7,$Z25&lt;BV$7+7),"P","")&amp;IF(AND($AA25&lt;&gt;"",$AA25&gt;=BV$7,$AA25&lt;BV$7+7),"T","")&amp;IF(AND($AB25&lt;&gt;"",$AB25&gt;=BV$7,$AB25&lt;BV$7+7),"H","")&amp;IF(AND($AC25&lt;&gt;"",$AC25&gt;=BV$7,$AC25&lt;BV$7+7),"G","")&amp;IF(AND($AH25&lt;&gt;"",$AH25&gt;=BV$7,$AH25&lt;BV$7+7),"S","")</f>
        <v/>
      </c>
      <c r="BW25" s="92" t="str">
        <f aca="false">IF(AND($Y25&lt;&gt;"",$Y25&gt;=BW$7,$Y25&lt;BW$7+7),"I","")&amp;IF(AND($Z25&lt;&gt;"",$Z25&gt;=BW$7,$Z25&lt;BW$7+7),"P","")&amp;IF(AND($AA25&lt;&gt;"",$AA25&gt;=BW$7,$AA25&lt;BW$7+7),"T","")&amp;IF(AND($AB25&lt;&gt;"",$AB25&gt;=BW$7,$AB25&lt;BW$7+7),"H","")&amp;IF(AND($AC25&lt;&gt;"",$AC25&gt;=BW$7,$AC25&lt;BW$7+7),"G","")&amp;IF(AND($AH25&lt;&gt;"",$AH25&gt;=BW$7,$AH25&lt;BW$7+7),"S","")</f>
        <v/>
      </c>
      <c r="BX25" s="92" t="str">
        <f aca="false">IF(AND($Y25&lt;&gt;"",$Y25&gt;=BX$7,$Y25&lt;BX$7+7),"I","")&amp;IF(AND($Z25&lt;&gt;"",$Z25&gt;=BX$7,$Z25&lt;BX$7+7),"P","")&amp;IF(AND($AA25&lt;&gt;"",$AA25&gt;=BX$7,$AA25&lt;BX$7+7),"T","")&amp;IF(AND($AB25&lt;&gt;"",$AB25&gt;=BX$7,$AB25&lt;BX$7+7),"H","")&amp;IF(AND($AC25&lt;&gt;"",$AC25&gt;=BX$7,$AC25&lt;BX$7+7),"G","")&amp;IF(AND($AH25&lt;&gt;"",$AH25&gt;=BX$7,$AH25&lt;BX$7+7),"S","")</f>
        <v>S</v>
      </c>
      <c r="BY25" s="92" t="str">
        <f aca="false">IF(AND($Y25&lt;&gt;"",$Y25&gt;=BY$7,$Y25&lt;BY$7+7),"I","")&amp;IF(AND($Z25&lt;&gt;"",$Z25&gt;=BY$7,$Z25&lt;BY$7+7),"P","")&amp;IF(AND($AA25&lt;&gt;"",$AA25&gt;=BY$7,$AA25&lt;BY$7+7),"T","")&amp;IF(AND($AB25&lt;&gt;"",$AB25&gt;=BY$7,$AB25&lt;BY$7+7),"H","")&amp;IF(AND($AC25&lt;&gt;"",$AC25&gt;=BY$7,$AC25&lt;BY$7+7),"G","")&amp;IF(AND($AH25&lt;&gt;"",$AH25&gt;=BY$7,$AH25&lt;BY$7+7),"S","")</f>
        <v/>
      </c>
      <c r="BZ25" s="92" t="str">
        <f aca="false">IF(AND($Y25&lt;&gt;"",$Y25&gt;=BZ$7,$Y25&lt;BZ$7+7),"I","")&amp;IF(AND($Z25&lt;&gt;"",$Z25&gt;=BZ$7,$Z25&lt;BZ$7+7),"P","")&amp;IF(AND($AA25&lt;&gt;"",$AA25&gt;=BZ$7,$AA25&lt;BZ$7+7),"T","")&amp;IF(AND($AB25&lt;&gt;"",$AB25&gt;=BZ$7,$AB25&lt;BZ$7+7),"H","")&amp;IF(AND($AC25&lt;&gt;"",$AC25&gt;=BZ$7,$AC25&lt;BZ$7+7),"G","")&amp;IF(AND($AH25&lt;&gt;"",$AH25&gt;=BZ$7,$AH25&lt;BZ$7+7),"S","")</f>
        <v/>
      </c>
      <c r="CA25" s="92" t="str">
        <f aca="false">IF(AND($Y25&lt;&gt;"",$Y25&gt;=CA$7,$Y25&lt;CA$7+7),"I","")&amp;IF(AND($Z25&lt;&gt;"",$Z25&gt;=CA$7,$Z25&lt;CA$7+7),"P","")&amp;IF(AND($AA25&lt;&gt;"",$AA25&gt;=CA$7,$AA25&lt;CA$7+7),"T","")&amp;IF(AND($AB25&lt;&gt;"",$AB25&gt;=CA$7,$AB25&lt;CA$7+7),"H","")&amp;IF(AND($AC25&lt;&gt;"",$AC25&gt;=CA$7,$AC25&lt;CA$7+7),"G","")&amp;IF(AND($AH25&lt;&gt;"",$AH25&gt;=CA$7,$AH25&lt;CA$7+7),"S","")</f>
        <v/>
      </c>
      <c r="CB25" s="92" t="str">
        <f aca="false">IF(AND($Y25&lt;&gt;"",$Y25&gt;=CB$7,$Y25&lt;CB$7+7),"I","")&amp;IF(AND($Z25&lt;&gt;"",$Z25&gt;=CB$7,$Z25&lt;CB$7+7),"P","")&amp;IF(AND($AA25&lt;&gt;"",$AA25&gt;=CB$7,$AA25&lt;CB$7+7),"T","")&amp;IF(AND($AB25&lt;&gt;"",$AB25&gt;=CB$7,$AB25&lt;CB$7+7),"H","")&amp;IF(AND($AC25&lt;&gt;"",$AC25&gt;=CB$7,$AC25&lt;CB$7+7),"G","")&amp;IF(AND($AH25&lt;&gt;"",$AH25&gt;=CB$7,$AH25&lt;CB$7+7),"S","")</f>
        <v/>
      </c>
      <c r="CC25" s="92" t="str">
        <f aca="false">IF(AND($Y25&lt;&gt;"",$Y25&gt;=CC$7,$Y25&lt;CC$7+7),"I","")&amp;IF(AND($Z25&lt;&gt;"",$Z25&gt;=CC$7,$Z25&lt;CC$7+7),"P","")&amp;IF(AND($AA25&lt;&gt;"",$AA25&gt;=CC$7,$AA25&lt;CC$7+7),"T","")&amp;IF(AND($AB25&lt;&gt;"",$AB25&gt;=CC$7,$AB25&lt;CC$7+7),"H","")&amp;IF(AND($AC25&lt;&gt;"",$AC25&gt;=CC$7,$AC25&lt;CC$7+7),"G","")&amp;IF(AND($AH25&lt;&gt;"",$AH25&gt;=CC$7,$AH25&lt;CC$7+7),"S","")</f>
        <v/>
      </c>
      <c r="CD25" s="92" t="str">
        <f aca="false">IF(AND($Y25&lt;&gt;"",$Y25&gt;=CD$7,$Y25&lt;CD$7+7),"I","")&amp;IF(AND($Z25&lt;&gt;"",$Z25&gt;=CD$7,$Z25&lt;CD$7+7),"P","")&amp;IF(AND($AA25&lt;&gt;"",$AA25&gt;=CD$7,$AA25&lt;CD$7+7),"T","")&amp;IF(AND($AB25&lt;&gt;"",$AB25&gt;=CD$7,$AB25&lt;CD$7+7),"H","")&amp;IF(AND($AC25&lt;&gt;"",$AC25&gt;=CD$7,$AC25&lt;CD$7+7),"G","")&amp;IF(AND($AH25&lt;&gt;"",$AH25&gt;=CD$7,$AH25&lt;CD$7+7),"S","")</f>
        <v/>
      </c>
      <c r="CE25" s="92" t="str">
        <f aca="false">IF(AND($Y25&lt;&gt;"",$Y25&gt;=CE$7,$Y25&lt;CE$7+7),"I","")&amp;IF(AND($Z25&lt;&gt;"",$Z25&gt;=CE$7,$Z25&lt;CE$7+7),"P","")&amp;IF(AND($AA25&lt;&gt;"",$AA25&gt;=CE$7,$AA25&lt;CE$7+7),"T","")&amp;IF(AND($AB25&lt;&gt;"",$AB25&gt;=CE$7,$AB25&lt;CE$7+7),"H","")&amp;IF(AND($AC25&lt;&gt;"",$AC25&gt;=CE$7,$AC25&lt;CE$7+7),"G","")&amp;IF(AND($AH25&lt;&gt;"",$AH25&gt;=CE$7,$AH25&lt;CE$7+7),"S","")</f>
        <v/>
      </c>
      <c r="CF25" s="92" t="str">
        <f aca="false">IF(AND($Y25&lt;&gt;"",$Y25&gt;=CF$7,$Y25&lt;CF$7+7),"I","")&amp;IF(AND($Z25&lt;&gt;"",$Z25&gt;=CF$7,$Z25&lt;CF$7+7),"P","")&amp;IF(AND($AA25&lt;&gt;"",$AA25&gt;=CF$7,$AA25&lt;CF$7+7),"T","")&amp;IF(AND($AB25&lt;&gt;"",$AB25&gt;=CF$7,$AB25&lt;CF$7+7),"H","")&amp;IF(AND($AC25&lt;&gt;"",$AC25&gt;=CF$7,$AC25&lt;CF$7+7),"G","")&amp;IF(AND($AH25&lt;&gt;"",$AH25&gt;=CF$7,$AH25&lt;CF$7+7),"S","")</f>
        <v/>
      </c>
      <c r="CG25" s="92" t="str">
        <f aca="false">IF(AND($Y25&lt;&gt;"",$Y25&gt;=CG$7,$Y25&lt;CG$7+7),"I","")&amp;IF(AND($Z25&lt;&gt;"",$Z25&gt;=CG$7,$Z25&lt;CG$7+7),"P","")&amp;IF(AND($AA25&lt;&gt;"",$AA25&gt;=CG$7,$AA25&lt;CG$7+7),"T","")&amp;IF(AND($AB25&lt;&gt;"",$AB25&gt;=CG$7,$AB25&lt;CG$7+7),"H","")&amp;IF(AND($AC25&lt;&gt;"",$AC25&gt;=CG$7,$AC25&lt;CG$7+7),"G","")&amp;IF(AND($AH25&lt;&gt;"",$AH25&gt;=CG$7,$AH25&lt;CG$7+7),"S","")</f>
        <v/>
      </c>
      <c r="CH25" s="92" t="str">
        <f aca="false">IF(AND($Y25&lt;&gt;"",$Y25&gt;=CH$7,$Y25&lt;CH$7+7),"I","")&amp;IF(AND($Z25&lt;&gt;"",$Z25&gt;=CH$7,$Z25&lt;CH$7+7),"P","")&amp;IF(AND($AA25&lt;&gt;"",$AA25&gt;=CH$7,$AA25&lt;CH$7+7),"T","")&amp;IF(AND($AB25&lt;&gt;"",$AB25&gt;=CH$7,$AB25&lt;CH$7+7),"H","")&amp;IF(AND($AC25&lt;&gt;"",$AC25&gt;=CH$7,$AC25&lt;CH$7+7),"G","")&amp;IF(AND($AH25&lt;&gt;"",$AH25&gt;=CH$7,$AH25&lt;CH$7+7),"S","")</f>
        <v/>
      </c>
      <c r="CI25" s="92" t="str">
        <f aca="false">IF(AND($Y25&lt;&gt;"",$Y25&gt;=CI$7,$Y25&lt;CI$7+7),"I","")&amp;IF(AND($Z25&lt;&gt;"",$Z25&gt;=CI$7,$Z25&lt;CI$7+7),"P","")&amp;IF(AND($AA25&lt;&gt;"",$AA25&gt;=CI$7,$AA25&lt;CI$7+7),"T","")&amp;IF(AND($AB25&lt;&gt;"",$AB25&gt;=CI$7,$AB25&lt;CI$7+7),"H","")&amp;IF(AND($AC25&lt;&gt;"",$AC25&gt;=CI$7,$AC25&lt;CI$7+7),"G","")&amp;IF(AND($AH25&lt;&gt;"",$AH25&gt;=CI$7,$AH25&lt;CI$7+7),"S","")</f>
        <v/>
      </c>
      <c r="CJ25" s="92" t="str">
        <f aca="false">IF(AND($Y25&lt;&gt;"",$Y25&gt;=CJ$7,$Y25&lt;CJ$7+7),"I","")&amp;IF(AND($Z25&lt;&gt;"",$Z25&gt;=CJ$7,$Z25&lt;CJ$7+7),"P","")&amp;IF(AND($AA25&lt;&gt;"",$AA25&gt;=CJ$7,$AA25&lt;CJ$7+7),"T","")&amp;IF(AND($AB25&lt;&gt;"",$AB25&gt;=CJ$7,$AB25&lt;CJ$7+7),"H","")&amp;IF(AND($AC25&lt;&gt;"",$AC25&gt;=CJ$7,$AC25&lt;CJ$7+7),"G","")&amp;IF(AND($AH25&lt;&gt;"",$AH25&gt;=CJ$7,$AH25&lt;CJ$7+7),"S","")</f>
        <v/>
      </c>
      <c r="CK25" s="92" t="str">
        <f aca="false">IF(AND($Y25&lt;&gt;"",$Y25&gt;=CK$7,$Y25&lt;CK$7+7),"I","")&amp;IF(AND($Z25&lt;&gt;"",$Z25&gt;=CK$7,$Z25&lt;CK$7+7),"P","")&amp;IF(AND($AA25&lt;&gt;"",$AA25&gt;=CK$7,$AA25&lt;CK$7+7),"T","")&amp;IF(AND($AB25&lt;&gt;"",$AB25&gt;=CK$7,$AB25&lt;CK$7+7),"H","")&amp;IF(AND($AC25&lt;&gt;"",$AC25&gt;=CK$7,$AC25&lt;CK$7+7),"G","")&amp;IF(AND($AH25&lt;&gt;"",$AH25&gt;=CK$7,$AH25&lt;CK$7+7),"S","")</f>
        <v/>
      </c>
      <c r="CL25" s="92" t="str">
        <f aca="false">IF(AND($Y25&lt;&gt;"",$Y25&gt;=CL$7,$Y25&lt;CL$7+7),"I","")&amp;IF(AND($Z25&lt;&gt;"",$Z25&gt;=CL$7,$Z25&lt;CL$7+7),"P","")&amp;IF(AND($AA25&lt;&gt;"",$AA25&gt;=CL$7,$AA25&lt;CL$7+7),"T","")&amp;IF(AND($AB25&lt;&gt;"",$AB25&gt;=CL$7,$AB25&lt;CL$7+7),"H","")&amp;IF(AND($AC25&lt;&gt;"",$AC25&gt;=CL$7,$AC25&lt;CL$7+7),"G","")&amp;IF(AND($AH25&lt;&gt;"",$AH25&gt;=CL$7,$AH25&lt;CL$7+7),"S","")</f>
        <v/>
      </c>
      <c r="CM25" s="92" t="str">
        <f aca="false">IF(AND($Y25&lt;&gt;"",$Y25&gt;=CM$7,$Y25&lt;CM$7+7),"I","")&amp;IF(AND($Z25&lt;&gt;"",$Z25&gt;=CM$7,$Z25&lt;CM$7+7),"P","")&amp;IF(AND($AA25&lt;&gt;"",$AA25&gt;=CM$7,$AA25&lt;CM$7+7),"T","")&amp;IF(AND($AB25&lt;&gt;"",$AB25&gt;=CM$7,$AB25&lt;CM$7+7),"H","")&amp;IF(AND($AC25&lt;&gt;"",$AC25&gt;=CM$7,$AC25&lt;CM$7+7),"G","")&amp;IF(AND($AH25&lt;&gt;"",$AH25&gt;=CM$7,$AH25&lt;CM$7+7),"S","")</f>
        <v/>
      </c>
      <c r="CN25" s="92" t="str">
        <f aca="false">IF(AND($Y25&lt;&gt;"",$Y25&gt;=CN$7,$Y25&lt;CN$7+7),"I","")&amp;IF(AND($Z25&lt;&gt;"",$Z25&gt;=CN$7,$Z25&lt;CN$7+7),"P","")&amp;IF(AND($AA25&lt;&gt;"",$AA25&gt;=CN$7,$AA25&lt;CN$7+7),"T","")&amp;IF(AND($AB25&lt;&gt;"",$AB25&gt;=CN$7,$AB25&lt;CN$7+7),"H","")&amp;IF(AND($AC25&lt;&gt;"",$AC25&gt;=CN$7,$AC25&lt;CN$7+7),"G","")&amp;IF(AND($AH25&lt;&gt;"",$AH25&gt;=CN$7,$AH25&lt;CN$7+7),"S","")</f>
        <v/>
      </c>
      <c r="CO25" s="92" t="str">
        <f aca="false">IF(AND($Y25&lt;&gt;"",$Y25&gt;=CO$7,$Y25&lt;CO$7+7),"I","")&amp;IF(AND($Z25&lt;&gt;"",$Z25&gt;=CO$7,$Z25&lt;CO$7+7),"P","")&amp;IF(AND($AA25&lt;&gt;"",$AA25&gt;=CO$7,$AA25&lt;CO$7+7),"T","")&amp;IF(AND($AB25&lt;&gt;"",$AB25&gt;=CO$7,$AB25&lt;CO$7+7),"H","")&amp;IF(AND($AC25&lt;&gt;"",$AC25&gt;=CO$7,$AC25&lt;CO$7+7),"G","")&amp;IF(AND($AH25&lt;&gt;"",$AH25&gt;=CO$7,$AH25&lt;CO$7+7),"S","")</f>
        <v/>
      </c>
      <c r="CP25" s="92" t="str">
        <f aca="false">IF(AND($Y25&lt;&gt;"",$Y25&gt;=CP$7,$Y25&lt;CP$7+7),"I","")&amp;IF(AND($Z25&lt;&gt;"",$Z25&gt;=CP$7,$Z25&lt;CP$7+7),"P","")&amp;IF(AND($AA25&lt;&gt;"",$AA25&gt;=CP$7,$AA25&lt;CP$7+7),"T","")&amp;IF(AND($AB25&lt;&gt;"",$AB25&gt;=CP$7,$AB25&lt;CP$7+7),"H","")&amp;IF(AND($AC25&lt;&gt;"",$AC25&gt;=CP$7,$AC25&lt;CP$7+7),"G","")&amp;IF(AND($AH25&lt;&gt;"",$AH25&gt;=CP$7,$AH25&lt;CP$7+7),"S","")</f>
        <v/>
      </c>
      <c r="CQ25" s="92" t="str">
        <f aca="false">IF(AND($Y25&lt;&gt;"",$Y25&gt;=CQ$7,$Y25&lt;CQ$7+7),"I","")&amp;IF(AND($Z25&lt;&gt;"",$Z25&gt;=CQ$7,$Z25&lt;CQ$7+7),"P","")&amp;IF(AND($AA25&lt;&gt;"",$AA25&gt;=CQ$7,$AA25&lt;CQ$7+7),"T","")&amp;IF(AND($AB25&lt;&gt;"",$AB25&gt;=CQ$7,$AB25&lt;CQ$7+7),"H","")&amp;IF(AND($AC25&lt;&gt;"",$AC25&gt;=CQ$7,$AC25&lt;CQ$7+7),"G","")&amp;IF(AND($AH25&lt;&gt;"",$AH25&gt;=CQ$7,$AH25&lt;CQ$7+7),"S","")</f>
        <v/>
      </c>
      <c r="CR25" s="92" t="str">
        <f aca="false">IF(AND($Y25&lt;&gt;"",$Y25&gt;=CR$7,$Y25&lt;CR$7+7),"I","")&amp;IF(AND($Z25&lt;&gt;"",$Z25&gt;=CR$7,$Z25&lt;CR$7+7),"P","")&amp;IF(AND($AA25&lt;&gt;"",$AA25&gt;=CR$7,$AA25&lt;CR$7+7),"T","")&amp;IF(AND($AB25&lt;&gt;"",$AB25&gt;=CR$7,$AB25&lt;CR$7+7),"H","")&amp;IF(AND($AC25&lt;&gt;"",$AC25&gt;=CR$7,$AC25&lt;CR$7+7),"G","")&amp;IF(AND($AH25&lt;&gt;"",$AH25&gt;=CR$7,$AH25&lt;CR$7+7),"S","")</f>
        <v/>
      </c>
      <c r="CS25" s="92" t="str">
        <f aca="false">IF(AND($Y25&lt;&gt;"",$Y25&gt;=CS$7,$Y25&lt;CS$7+7),"I","")&amp;IF(AND($Z25&lt;&gt;"",$Z25&gt;=CS$7,$Z25&lt;CS$7+7),"P","")&amp;IF(AND($AA25&lt;&gt;"",$AA25&gt;=CS$7,$AA25&lt;CS$7+7),"T","")&amp;IF(AND($AB25&lt;&gt;"",$AB25&gt;=CS$7,$AB25&lt;CS$7+7),"H","")&amp;IF(AND($AC25&lt;&gt;"",$AC25&gt;=CS$7,$AC25&lt;CS$7+7),"G","")&amp;IF(AND($AH25&lt;&gt;"",$AH25&gt;=CS$7,$AH25&lt;CS$7+7),"S","")</f>
        <v/>
      </c>
      <c r="CT25" s="92" t="str">
        <f aca="false">IF(AND($Y25&lt;&gt;"",$Y25&gt;=CT$7,$Y25&lt;CT$7+7),"I","")&amp;IF(AND($Z25&lt;&gt;"",$Z25&gt;=CT$7,$Z25&lt;CT$7+7),"P","")&amp;IF(AND($AA25&lt;&gt;"",$AA25&gt;=CT$7,$AA25&lt;CT$7+7),"T","")&amp;IF(AND($AB25&lt;&gt;"",$AB25&gt;=CT$7,$AB25&lt;CT$7+7),"H","")&amp;IF(AND($AC25&lt;&gt;"",$AC25&gt;=CT$7,$AC25&lt;CT$7+7),"G","")&amp;IF(AND($AH25&lt;&gt;"",$AH25&gt;=CT$7,$AH25&lt;CT$7+7),"S","")</f>
        <v/>
      </c>
      <c r="CU25" s="92" t="str">
        <f aca="false">IF(AND($Y25&lt;&gt;"",$Y25&gt;=CU$7,$Y25&lt;CU$7+7),"I","")&amp;IF(AND($Z25&lt;&gt;"",$Z25&gt;=CU$7,$Z25&lt;CU$7+7),"P","")&amp;IF(AND($AA25&lt;&gt;"",$AA25&gt;=CU$7,$AA25&lt;CU$7+7),"T","")&amp;IF(AND($AB25&lt;&gt;"",$AB25&gt;=CU$7,$AB25&lt;CU$7+7),"H","")&amp;IF(AND($AC25&lt;&gt;"",$AC25&gt;=CU$7,$AC25&lt;CU$7+7),"G","")&amp;IF(AND($AH25&lt;&gt;"",$AH25&gt;=CU$7,$AH25&lt;CU$7+7),"S","")</f>
        <v/>
      </c>
      <c r="CV25" s="92" t="str">
        <f aca="false">IF(AND($Y25&lt;&gt;"",$Y25&gt;=CV$7,$Y25&lt;CV$7+7),"I","")&amp;IF(AND($Z25&lt;&gt;"",$Z25&gt;=CV$7,$Z25&lt;CV$7+7),"P","")&amp;IF(AND($AA25&lt;&gt;"",$AA25&gt;=CV$7,$AA25&lt;CV$7+7),"T","")&amp;IF(AND($AB25&lt;&gt;"",$AB25&gt;=CV$7,$AB25&lt;CV$7+7),"H","")&amp;IF(AND($AC25&lt;&gt;"",$AC25&gt;=CV$7,$AC25&lt;CV$7+7),"G","")&amp;IF(AND($AH25&lt;&gt;"",$AH25&gt;=CV$7,$AH25&lt;CV$7+7),"S","")</f>
        <v/>
      </c>
      <c r="CW25" s="92" t="str">
        <f aca="false">IF(AND($Y25&lt;&gt;"",$Y25&gt;=CW$7,$Y25&lt;CW$7+7),"I","")&amp;IF(AND($Z25&lt;&gt;"",$Z25&gt;=CW$7,$Z25&lt;CW$7+7),"P","")&amp;IF(AND($AA25&lt;&gt;"",$AA25&gt;=CW$7,$AA25&lt;CW$7+7),"T","")&amp;IF(AND($AB25&lt;&gt;"",$AB25&gt;=CW$7,$AB25&lt;CW$7+7),"H","")&amp;IF(AND($AC25&lt;&gt;"",$AC25&gt;=CW$7,$AC25&lt;CW$7+7),"G","")&amp;IF(AND($AH25&lt;&gt;"",$AH25&gt;=CW$7,$AH25&lt;CW$7+7),"S","")</f>
        <v/>
      </c>
      <c r="CX25" s="92" t="str">
        <f aca="false">IF(AND($Y25&lt;&gt;"",$Y25&gt;=CX$7,$Y25&lt;CX$7+7),"I","")&amp;IF(AND($Z25&lt;&gt;"",$Z25&gt;=CX$7,$Z25&lt;CX$7+7),"P","")&amp;IF(AND($AA25&lt;&gt;"",$AA25&gt;=CX$7,$AA25&lt;CX$7+7),"T","")&amp;IF(AND($AB25&lt;&gt;"",$AB25&gt;=CX$7,$AB25&lt;CX$7+7),"H","")&amp;IF(AND($AC25&lt;&gt;"",$AC25&gt;=CX$7,$AC25&lt;CX$7+7),"G","")&amp;IF(AND($AH25&lt;&gt;"",$AH25&gt;=CX$7,$AH25&lt;CX$7+7),"S","")</f>
        <v/>
      </c>
      <c r="CY25" s="92" t="str">
        <f aca="false">IF(AND($Y25&lt;&gt;"",$Y25&gt;=CY$7,$Y25&lt;CY$7+7),"I","")&amp;IF(AND($Z25&lt;&gt;"",$Z25&gt;=CY$7,$Z25&lt;CY$7+7),"P","")&amp;IF(AND($AA25&lt;&gt;"",$AA25&gt;=CY$7,$AA25&lt;CY$7+7),"T","")&amp;IF(AND($AB25&lt;&gt;"",$AB25&gt;=CY$7,$AB25&lt;CY$7+7),"H","")&amp;IF(AND($AC25&lt;&gt;"",$AC25&gt;=CY$7,$AC25&lt;CY$7+7),"G","")&amp;IF(AND($AH25&lt;&gt;"",$AH25&gt;=CY$7,$AH25&lt;CY$7+7),"S","")</f>
        <v/>
      </c>
      <c r="CZ25" s="92" t="str">
        <f aca="false">IF(AND($Y25&lt;&gt;"",$Y25&gt;=CZ$7,$Y25&lt;CZ$7+7),"I","")&amp;IF(AND($Z25&lt;&gt;"",$Z25&gt;=CZ$7,$Z25&lt;CZ$7+7),"P","")&amp;IF(AND($AA25&lt;&gt;"",$AA25&gt;=CZ$7,$AA25&lt;CZ$7+7),"T","")&amp;IF(AND($AB25&lt;&gt;"",$AB25&gt;=CZ$7,$AB25&lt;CZ$7+7),"H","")&amp;IF(AND($AC25&lt;&gt;"",$AC25&gt;=CZ$7,$AC25&lt;CZ$7+7),"G","")&amp;IF(AND($AH25&lt;&gt;"",$AH25&gt;=CZ$7,$AH25&lt;CZ$7+7),"S","")</f>
        <v/>
      </c>
      <c r="DA25" s="92" t="str">
        <f aca="false">IF(AND($Y25&lt;&gt;"",$Y25&gt;=DA$7,$Y25&lt;DA$7+7),"I","")&amp;IF(AND($Z25&lt;&gt;"",$Z25&gt;=DA$7,$Z25&lt;DA$7+7),"P","")&amp;IF(AND($AA25&lt;&gt;"",$AA25&gt;=DA$7,$AA25&lt;DA$7+7),"T","")&amp;IF(AND($AB25&lt;&gt;"",$AB25&gt;=DA$7,$AB25&lt;DA$7+7),"H","")&amp;IF(AND($AC25&lt;&gt;"",$AC25&gt;=DA$7,$AC25&lt;DA$7+7),"G","")&amp;IF(AND($AH25&lt;&gt;"",$AH25&gt;=DA$7,$AH25&lt;DA$7+7),"S","")</f>
        <v/>
      </c>
      <c r="DB25" s="92" t="str">
        <f aca="false">IF(AND($Y25&lt;&gt;"",$Y25&gt;=DB$7,$Y25&lt;DB$7+7),"I","")&amp;IF(AND($Z25&lt;&gt;"",$Z25&gt;=DB$7,$Z25&lt;DB$7+7),"P","")&amp;IF(AND($AA25&lt;&gt;"",$AA25&gt;=DB$7,$AA25&lt;DB$7+7),"T","")&amp;IF(AND($AB25&lt;&gt;"",$AB25&gt;=DB$7,$AB25&lt;DB$7+7),"H","")&amp;IF(AND($AC25&lt;&gt;"",$AC25&gt;=DB$7,$AC25&lt;DB$7+7),"G","")&amp;IF(AND($AH25&lt;&gt;"",$AH25&gt;=DB$7,$AH25&lt;DB$7+7),"S","")</f>
        <v/>
      </c>
      <c r="DC25" s="92" t="str">
        <f aca="false">IF(AND($Y25&lt;&gt;"",$Y25&gt;=DC$7,$Y25&lt;DC$7+7),"I","")&amp;IF(AND($Z25&lt;&gt;"",$Z25&gt;=DC$7,$Z25&lt;DC$7+7),"P","")&amp;IF(AND($AA25&lt;&gt;"",$AA25&gt;=DC$7,$AA25&lt;DC$7+7),"T","")&amp;IF(AND($AB25&lt;&gt;"",$AB25&gt;=DC$7,$AB25&lt;DC$7+7),"H","")&amp;IF(AND($AC25&lt;&gt;"",$AC25&gt;=DC$7,$AC25&lt;DC$7+7),"G","")&amp;IF(AND($AH25&lt;&gt;"",$AH25&gt;=DC$7,$AH25&lt;DC$7+7),"S","")</f>
        <v/>
      </c>
    </row>
    <row r="26" customFormat="false" ht="15" hidden="false" customHeight="false" outlineLevel="0" collapsed="false">
      <c r="A26" s="47" t="s">
        <v>114</v>
      </c>
      <c r="B26" s="31" t="s">
        <v>115</v>
      </c>
      <c r="C26" s="36" t="s">
        <v>565</v>
      </c>
      <c r="D26" s="31" t="s">
        <v>566</v>
      </c>
      <c r="E26" s="31" t="s">
        <v>188</v>
      </c>
      <c r="F26" s="75" t="n">
        <v>150.48</v>
      </c>
      <c r="G26" s="31" t="s">
        <v>170</v>
      </c>
      <c r="H26" s="76" t="n">
        <f aca="false">PROJ_START+RD_SPAN</f>
        <v>46403</v>
      </c>
      <c r="I26" s="77" t="n">
        <f aca="false">H26+33</f>
        <v>46436</v>
      </c>
      <c r="J26" s="31" t="s">
        <v>117</v>
      </c>
      <c r="K26" s="36" t="s">
        <v>131</v>
      </c>
      <c r="L26" s="36" t="s">
        <v>116</v>
      </c>
      <c r="M26" s="36" t="s">
        <v>567</v>
      </c>
      <c r="N26" s="78" t="str">
        <f aca="false">IF(ISNUMBER(อัปเดตรายสัปดาห์!$AF26),อัปเดตรายสัปดาห์!$AF26,"")</f>
        <v/>
      </c>
      <c r="O26" s="78" t="str">
        <f aca="false">IF(ISNUMBER(อัปเดตรายสัปดาห์!$AH26),อัปเดตรายสัปดาห์!$AH26,"")</f>
        <v/>
      </c>
      <c r="P26" s="78" t="str">
        <f aca="false">IF(ISNUMBER(อัปเดตรายสัปดาห์!$AG26),อัปเดตรายสัปดาห์!$AG26,IF(AND(ISNUMBER(TCRoof!$AC$26),N(TCRoof!$AC$26)&lt;=ASOF),TCRoof!$AC$26,""))</f>
        <v/>
      </c>
      <c r="Q26" s="78" t="str">
        <f aca="false">IF(ISNUMBER(อัปเดตรายสัปดาห์!$AL26),อัปเดตรายสัปดาห์!$AL26,"")</f>
        <v/>
      </c>
      <c r="R26" s="78" t="str">
        <f aca="false">IF(ISNUMBER(อัปเดตรายสัปดาห์!$Q26),อัปเดตรายสัปดาห์!$Q26,"")</f>
        <v/>
      </c>
      <c r="S26" s="78" t="str">
        <f aca="false">IF(ISNUMBER(อัปเดตรายสัปดาห์!$R26),อัปเดตรายสัปดาห์!$R26,"")</f>
        <v/>
      </c>
      <c r="T26" s="78" t="str">
        <f aca="false">IF(ISNUMBER(อัปเดตรายสัปดาห์!$S26),อัปเดตรายสัปดาห์!$S26,IF(อัปเดตรายสัปดาห์!$S26="Y",ASOF,""))</f>
        <v/>
      </c>
      <c r="U26" s="78" t="str">
        <f aca="false">IF(ISNUMBER(อัปเดตรายสัปดาห์!$T26),อัปเดตรายสัปดาห์!$T26,IF(อัปเดตรายสัปดาห์!$T26="Y",ASOF,""))</f>
        <v/>
      </c>
      <c r="V26" s="78" t="str">
        <f aca="false">IF(ISNUMBER(อัปเดตรายสัปดาห์!$U26),อัปเดตรายสัปดาห์!$U26,IF(อัปเดตรายสัปดาห์!$U26="Y",ASOF,""))</f>
        <v/>
      </c>
      <c r="W26" s="78" t="str">
        <f aca="false">IF(ISNUMBER(อัปเดตรายสัปดาห์!$N26),อัปเดตรายสัปดาห์!$N26,"")</f>
        <v/>
      </c>
      <c r="X26" s="78" t="str">
        <f aca="false">IF(ISNUMBER(อัปเดตรายสัปดาห์!$V26),อัปเดตรายสัปดาห์!$V26,IF(AND(ISNUMBER(TCRoof!$AD$26),N(TCRoof!$AD$26)&lt;=ASOF),TCRoof!$AD$26,""))</f>
        <v/>
      </c>
      <c r="Y26" s="79" t="n">
        <f aca="false">IF(N26&lt;&gt;"",N26,WORKDAY((ASOF+LEAD_INST+7*INT((AT26-0.01)/MAX(1,AU26)))-1,1,HOLIDAYS))</f>
        <v>46349</v>
      </c>
      <c r="Z26" s="79" t="n">
        <f aca="false">IF(O26&lt;&gt;"",O26,WORKDAY((MAX(AV26+7*INT((AW26-1)/MAX(1,AX26)),AV26+7*INT((AY26-1)/MAX(1,AZ26))))-1,1,HOLIDAYS))</f>
        <v>46356</v>
      </c>
      <c r="AA26" s="79" t="n">
        <f aca="false">IF(P26&lt;&gt;"",P26,WORKDAY((BA26+7*INT((BB26-1)/MAX(1,BC26)))-1,1,HOLIDAYS))</f>
        <v>46359</v>
      </c>
      <c r="AB26" s="79" t="n">
        <f aca="false">IF(Q26&lt;&gt;"",Q26,WORKDAY((MAX(AA26+BD26,ASOF+1))-1,1,HOLIDAYS))</f>
        <v>46367</v>
      </c>
      <c r="AC26" s="79" t="n">
        <f aca="false">IF(R26&lt;&gt;"",R26,WORKDAY((MAX(Y26,ASOF)+LAG_GRID)-1,1,HOLIDAYS))</f>
        <v>46356</v>
      </c>
      <c r="AD26" s="79" t="n">
        <f aca="false">IF(T26&lt;&gt;"",T26,WORKDAY((MAX(WORKDAY(MAX(AC26,N(S26)),REVIEW_WD,HOLIDAYS),ASOF+1))-1,1,HOLIDAYS))</f>
        <v>46379</v>
      </c>
      <c r="AE26" s="79" t="n">
        <f aca="false">IF(U26&lt;&gt;"",U26,WORKDAY((MAX(AD26,ASOF)+FEE_DAYS)-1,1,HOLIDAYS))</f>
        <v>46386</v>
      </c>
      <c r="AF26" s="79" t="n">
        <f aca="false">IF(V26&lt;&gt;"",V26,WORKDAY((MAX(AA26,Z26,AE26,IF(AG26="",0,AG26+REVIEW_PK2),ASOF)+LAG_INSREQ)-1,1,HOLIDAYS))</f>
        <v>46391</v>
      </c>
      <c r="AG26" s="79" t="str">
        <f aca="false">IF(M26&lt;&gt;"Y","",IF(W26&lt;&gt;"",W26,WORKDAY((MAX(Y26,ASOF)+LAG_GRID)-1,1,HOLIDAYS)))</f>
        <v/>
      </c>
      <c r="AH26" s="80" t="n">
        <f aca="false">IF(X26&lt;&gt;"",X26,WORKDAY(AF26,INSPECT_WD,HOLIDAYS))</f>
        <v>46433</v>
      </c>
      <c r="AI26" s="81" t="n">
        <f aca="false">IF(H26="","",AB26-H26)</f>
        <v>-36</v>
      </c>
      <c r="AJ26" s="81" t="n">
        <f aca="false">IF(I26="","",AH26-I26)</f>
        <v>-3</v>
      </c>
      <c r="AK26" s="82" t="n">
        <f aca="false">IF(AND(ISNUMBER(N26),N(N26)&lt;=ASOF),1,0)+IF(AND(ISNUMBER(O26),N(O26)&lt;=ASOF),1,0)+IF(AND(ISNUMBER(P26),N(P26)&lt;=ASOF),1,0)+IF(AND(ISNUMBER(Q26),N(Q26)&lt;=ASOF),1,0)+IF(AND(ISNUMBER(R26),N(R26)&lt;=ASOF),1,0)+IF(AND(ISNUMBER(U26),N(U26)&lt;=ASOF),1,0)+IF(AND(ISNUMBER(X26),N(X26)&lt;=ASOF),1,0)</f>
        <v>0</v>
      </c>
      <c r="AL26" s="83" t="n">
        <v>7</v>
      </c>
      <c r="AM26" s="84" t="n">
        <f aca="false">'P9-019'!$J$4</f>
        <v>0</v>
      </c>
      <c r="AN26" s="85" t="str">
        <f aca="false">TRIM(IF(AND(ISNUMBER(O26),NOT(ISNUMBER(N26))),"กฟภ.ตรวจก่อนติดตั้ง, ","")&amp;IF(AND(ISNUMBER(P26),NOT(ISNUMBER(N26))),"IEC ก่อนติดตั้ง, ","")&amp;IF(AND(ISNUMBER(Q26),NOT(ISNUMBER(N26))),"ส่งมอบก่อนติดตั้ง, ","")&amp;IF(AND(ISNUMBER(Q26),ISNUMBER(P26),N(Q26)&lt;N(P26)),"ส่งมอบก่อน IEC, ","")&amp;IF(AND(ISNUMBER(อัปเดตรายสัปดาห์!$AG26),ISNUMBER(TCRoof!$AC$26),ABS(N(อัปเดตรายสัปดาห์!$AG26)-N(TCRoof!$AC$26))&gt;3),"IEC Excel≠แอป, ","")&amp;IF(AND(ISNUMBER(อัปเดตรายสัปดาห์!$V26),ISNUMBER(TCRoof!$AD$26),ABS(N(อัปเดตรายสัปดาห์!$V26)-N(TCRoof!$AD$26))&gt;3),"COD Excel≠แอป, ","")&amp;IF(AND(ISNUMBER(อัปเดตรายสัปดาห์!$AF26),ISNUMBER(TCRoof!$AB$26),ABS(N(อัปเดตรายสัปดาห์!$AF26)-N(TCRoof!$AB$26))&gt;3),"ติดตั้ง Excel≠แอป, ","")&amp;IF(AND(ISNUMBER(N26),N(N26)&gt;ASOF,OR(WEEKDAY(N(N26),2)&gt;5,COUNTIF(HOLIDAYS,N(N26))&gt;0)),"นัดดับไฟตรงวันหยุด, ","")&amp;IF(AND(ISNUMBER(O26),N(O26)&gt;ASOF,OR(WEEKDAY(N(O26),2)&gt;5,COUNTIF(HOLIDAYS,N(O26))&gt;0)),"นัด กฟภ.ตรงวันหยุด, ","")&amp;IF(AND(ISNUMBER(P26),N(P26)&gt;ASOF,OR(WEEKDAY(N(P26),2)&gt;5,COUNTIF(HOLIDAYS,N(P26))&gt;0)),"นัด IECตรงวันหยุด, ","")&amp;IF(AND(ISNUMBER(X26),N(X26)&gt;ASOF,OR(WEEKDAY(N(X26),2)&gt;5,COUNTIF(HOLIDAYS,N(X26))&gt;0)),"นัด Syncตรงวันหยุด, ",""))</f>
        <v/>
      </c>
      <c r="AO26" s="86" t="n">
        <f aca="false">SUMIFS(CR_COD,CR_ST,A26,CR_STAT,"อนุมัติ")+SUMIFS(CR_COD,CR_ST,"ทั้งเฟส",CR_STAT,"อนุมัติ")+SUMIFS(CR_COD,CR_ST,"ผรม. "&amp;L26,CR_STAT,"อนุมัติ")+SUMIFS(CR_COD,CR_ST,"เขต "&amp;E26,CR_STAT,"อนุมัติ")</f>
        <v>0</v>
      </c>
      <c r="AP26" s="86" t="n">
        <f aca="false">IF(NOT(ISNUMBER(AJ26)),"",MAX(0,AJ26-AO26))</f>
        <v>0</v>
      </c>
      <c r="AQ26" s="86" t="n">
        <f aca="false">COUNTIF(RW_ST,A26)</f>
        <v>0</v>
      </c>
      <c r="AR26" s="87" t="str">
        <f aca="false">IF(ISNUMBER(TCRoof!$I$26),TCRoof!$I$26,"")</f>
        <v/>
      </c>
      <c r="AS26" s="88" t="str">
        <f aca="false">IF(ISNUMBER(TCRoof!$H$26),TCRoof!$H$26,"")</f>
        <v/>
      </c>
      <c r="AT26" s="89" t="n">
        <f aca="false">IF(N26&lt;&gt;"","",SUMIFS($F$8:$F$27,$L$8:$L$27,L26,$N$8:$N$27,"",$H$8:$H$27,"&lt;"&amp;H26)+SUMIFS($F$8:$F$27,$L$8:$L$27,L26,$N$8:$N$27,"",$H$8:$H$27,H26,$A$8:$A$27,"&lt;="&amp;A26)+SUMIFS($F$8:$F$27,$L$8:$L$27,L26,$N$8:$N$27,"&gt;"&amp;ASOF))</f>
        <v>150.48</v>
      </c>
      <c r="AU26" s="89" t="n">
        <f aca="false">IFERROR(VLOOKUP(L26,TEAM_TBL,2,0)*VLOOKUP(L26,TEAM_TBL,3,0),150)</f>
        <v>150</v>
      </c>
      <c r="AV26" s="90" t="n">
        <f aca="false">IF(O26&lt;&gt;"","",MAX(Y26+LAG_PEA,ASOF+LAG_PEA))</f>
        <v>46356</v>
      </c>
      <c r="AW26" s="89" t="n">
        <f aca="false">IF(O26&lt;&gt;"","",COUNTIFS($E$8:$E$27,E26,$AV$8:$AV$27,"&lt;"&amp;AV26)+COUNTIFS($E$8:$E$27,E26,$AV$8:$AV$27,AV26,$A$8:$A$27,"&lt;"&amp;A26)+COUNTIFS($E$8:$E$27,E26,$O$8:$O$27,"&gt;"&amp;ASOF)+1)</f>
        <v>1</v>
      </c>
      <c r="AX26" s="89" t="n">
        <f aca="false">IFERROR(VLOOKUP(E26,ZONE_TBL,2,0),CAP_PEA)</f>
        <v>3</v>
      </c>
      <c r="AY26" s="89" t="n">
        <f aca="false">IF(O26&lt;&gt;"","",COUNTIFS($J$8:$J$27,J26,$AV$8:$AV$27,"&lt;"&amp;AV26)+COUNTIFS($J$8:$J$27,J26,$AV$8:$AV$27,AV26,$A$8:$A$27,"&lt;"&amp;A26)+COUNTIFS($J$8:$J$27,J26,$O$8:$O$27,"&gt;"&amp;ASOF)+1)</f>
        <v>1</v>
      </c>
      <c r="AZ26" s="89" t="n">
        <f aca="false">IFERROR(VLOOKUP(J26,ENG_TBL,2,0),ENG_CAP)</f>
        <v>3</v>
      </c>
      <c r="BA26" s="90" t="n">
        <f aca="false">IF(P26&lt;&gt;"","",MAX(Z26+LAG_IEC,ASOF+1))</f>
        <v>46359</v>
      </c>
      <c r="BB26" s="89" t="n">
        <f aca="false">IF(P26&lt;&gt;"","",COUNTIFS($L$8:$L$27,L26,$BA$8:$BA$27,"&lt;"&amp;BA26)+COUNTIFS($L$8:$L$27,L26,$BA$8:$BA$27,BA26,$A$8:$A$27,"&lt;"&amp;A26)+COUNTIFS($L$8:$L$27,L26,$P$8:$P$27,"&gt;"&amp;ASOF)+1)</f>
        <v>1</v>
      </c>
      <c r="BC26" s="89" t="n">
        <f aca="false">IFERROR(VLOOKUP(L26,TEAM_TBL,4,0)*VLOOKUP(L26,TEAM_TBL,5,0),3)</f>
        <v>3</v>
      </c>
      <c r="BD26" s="91" t="n">
        <f aca="false">IFERROR(VLOOKUP(L26,TEAM_TBL,6,0),LAG_HO)</f>
        <v>7</v>
      </c>
      <c r="BE26" s="89" t="n">
        <f aca="false">IF(ISNUMBER(AW26),7*INT((AW26-1)/MAX(1,AX26)),"")</f>
        <v>0</v>
      </c>
      <c r="BF26" s="89" t="n">
        <f aca="false">IF(ISNUMBER(AY26),7*INT((AY26-1)/MAX(1,AZ26)),"")</f>
        <v>0</v>
      </c>
      <c r="BH26" s="92" t="str">
        <f aca="false">IF(AND($Y26&lt;&gt;"",$Y26&gt;=BH$7,$Y26&lt;BH$7+7),"I","")&amp;IF(AND($Z26&lt;&gt;"",$Z26&gt;=BH$7,$Z26&lt;BH$7+7),"P","")&amp;IF(AND($AA26&lt;&gt;"",$AA26&gt;=BH$7,$AA26&lt;BH$7+7),"T","")&amp;IF(AND($AB26&lt;&gt;"",$AB26&gt;=BH$7,$AB26&lt;BH$7+7),"H","")&amp;IF(AND($AC26&lt;&gt;"",$AC26&gt;=BH$7,$AC26&lt;BH$7+7),"G","")&amp;IF(AND($AH26&lt;&gt;"",$AH26&gt;=BH$7,$AH26&lt;BH$7+7),"S","")</f>
        <v/>
      </c>
      <c r="BI26" s="92" t="str">
        <f aca="false">IF(AND($Y26&lt;&gt;"",$Y26&gt;=BI$7,$Y26&lt;BI$7+7),"I","")&amp;IF(AND($Z26&lt;&gt;"",$Z26&gt;=BI$7,$Z26&lt;BI$7+7),"P","")&amp;IF(AND($AA26&lt;&gt;"",$AA26&gt;=BI$7,$AA26&lt;BI$7+7),"T","")&amp;IF(AND($AB26&lt;&gt;"",$AB26&gt;=BI$7,$AB26&lt;BI$7+7),"H","")&amp;IF(AND($AC26&lt;&gt;"",$AC26&gt;=BI$7,$AC26&lt;BI$7+7),"G","")&amp;IF(AND($AH26&lt;&gt;"",$AH26&gt;=BI$7,$AH26&lt;BI$7+7),"S","")</f>
        <v/>
      </c>
      <c r="BJ26" s="92" t="str">
        <f aca="false">IF(AND($Y26&lt;&gt;"",$Y26&gt;=BJ$7,$Y26&lt;BJ$7+7),"I","")&amp;IF(AND($Z26&lt;&gt;"",$Z26&gt;=BJ$7,$Z26&lt;BJ$7+7),"P","")&amp;IF(AND($AA26&lt;&gt;"",$AA26&gt;=BJ$7,$AA26&lt;BJ$7+7),"T","")&amp;IF(AND($AB26&lt;&gt;"",$AB26&gt;=BJ$7,$AB26&lt;BJ$7+7),"H","")&amp;IF(AND($AC26&lt;&gt;"",$AC26&gt;=BJ$7,$AC26&lt;BJ$7+7),"G","")&amp;IF(AND($AH26&lt;&gt;"",$AH26&gt;=BJ$7,$AH26&lt;BJ$7+7),"S","")</f>
        <v/>
      </c>
      <c r="BK26" s="92" t="str">
        <f aca="false">IF(AND($Y26&lt;&gt;"",$Y26&gt;=BK$7,$Y26&lt;BK$7+7),"I","")&amp;IF(AND($Z26&lt;&gt;"",$Z26&gt;=BK$7,$Z26&lt;BK$7+7),"P","")&amp;IF(AND($AA26&lt;&gt;"",$AA26&gt;=BK$7,$AA26&lt;BK$7+7),"T","")&amp;IF(AND($AB26&lt;&gt;"",$AB26&gt;=BK$7,$AB26&lt;BK$7+7),"H","")&amp;IF(AND($AC26&lt;&gt;"",$AC26&gt;=BK$7,$AC26&lt;BK$7+7),"G","")&amp;IF(AND($AH26&lt;&gt;"",$AH26&gt;=BK$7,$AH26&lt;BK$7+7),"S","")</f>
        <v/>
      </c>
      <c r="BL26" s="92" t="str">
        <f aca="false">IF(AND($Y26&lt;&gt;"",$Y26&gt;=BL$7,$Y26&lt;BL$7+7),"I","")&amp;IF(AND($Z26&lt;&gt;"",$Z26&gt;=BL$7,$Z26&lt;BL$7+7),"P","")&amp;IF(AND($AA26&lt;&gt;"",$AA26&gt;=BL$7,$AA26&lt;BL$7+7),"T","")&amp;IF(AND($AB26&lt;&gt;"",$AB26&gt;=BL$7,$AB26&lt;BL$7+7),"H","")&amp;IF(AND($AC26&lt;&gt;"",$AC26&gt;=BL$7,$AC26&lt;BL$7+7),"G","")&amp;IF(AND($AH26&lt;&gt;"",$AH26&gt;=BL$7,$AH26&lt;BL$7+7),"S","")</f>
        <v>I</v>
      </c>
      <c r="BM26" s="92" t="str">
        <f aca="false">IF(AND($Y26&lt;&gt;"",$Y26&gt;=BM$7,$Y26&lt;BM$7+7),"I","")&amp;IF(AND($Z26&lt;&gt;"",$Z26&gt;=BM$7,$Z26&lt;BM$7+7),"P","")&amp;IF(AND($AA26&lt;&gt;"",$AA26&gt;=BM$7,$AA26&lt;BM$7+7),"T","")&amp;IF(AND($AB26&lt;&gt;"",$AB26&gt;=BM$7,$AB26&lt;BM$7+7),"H","")&amp;IF(AND($AC26&lt;&gt;"",$AC26&gt;=BM$7,$AC26&lt;BM$7+7),"G","")&amp;IF(AND($AH26&lt;&gt;"",$AH26&gt;=BM$7,$AH26&lt;BM$7+7),"S","")</f>
        <v>PTG</v>
      </c>
      <c r="BN26" s="92" t="str">
        <f aca="false">IF(AND($Y26&lt;&gt;"",$Y26&gt;=BN$7,$Y26&lt;BN$7+7),"I","")&amp;IF(AND($Z26&lt;&gt;"",$Z26&gt;=BN$7,$Z26&lt;BN$7+7),"P","")&amp;IF(AND($AA26&lt;&gt;"",$AA26&gt;=BN$7,$AA26&lt;BN$7+7),"T","")&amp;IF(AND($AB26&lt;&gt;"",$AB26&gt;=BN$7,$AB26&lt;BN$7+7),"H","")&amp;IF(AND($AC26&lt;&gt;"",$AC26&gt;=BN$7,$AC26&lt;BN$7+7),"G","")&amp;IF(AND($AH26&lt;&gt;"",$AH26&gt;=BN$7,$AH26&lt;BN$7+7),"S","")</f>
        <v>H</v>
      </c>
      <c r="BO26" s="92" t="str">
        <f aca="false">IF(AND($Y26&lt;&gt;"",$Y26&gt;=BO$7,$Y26&lt;BO$7+7),"I","")&amp;IF(AND($Z26&lt;&gt;"",$Z26&gt;=BO$7,$Z26&lt;BO$7+7),"P","")&amp;IF(AND($AA26&lt;&gt;"",$AA26&gt;=BO$7,$AA26&lt;BO$7+7),"T","")&amp;IF(AND($AB26&lt;&gt;"",$AB26&gt;=BO$7,$AB26&lt;BO$7+7),"H","")&amp;IF(AND($AC26&lt;&gt;"",$AC26&gt;=BO$7,$AC26&lt;BO$7+7),"G","")&amp;IF(AND($AH26&lt;&gt;"",$AH26&gt;=BO$7,$AH26&lt;BO$7+7),"S","")</f>
        <v/>
      </c>
      <c r="BP26" s="92" t="str">
        <f aca="false">IF(AND($Y26&lt;&gt;"",$Y26&gt;=BP$7,$Y26&lt;BP$7+7),"I","")&amp;IF(AND($Z26&lt;&gt;"",$Z26&gt;=BP$7,$Z26&lt;BP$7+7),"P","")&amp;IF(AND($AA26&lt;&gt;"",$AA26&gt;=BP$7,$AA26&lt;BP$7+7),"T","")&amp;IF(AND($AB26&lt;&gt;"",$AB26&gt;=BP$7,$AB26&lt;BP$7+7),"H","")&amp;IF(AND($AC26&lt;&gt;"",$AC26&gt;=BP$7,$AC26&lt;BP$7+7),"G","")&amp;IF(AND($AH26&lt;&gt;"",$AH26&gt;=BP$7,$AH26&lt;BP$7+7),"S","")</f>
        <v/>
      </c>
      <c r="BQ26" s="92" t="str">
        <f aca="false">IF(AND($Y26&lt;&gt;"",$Y26&gt;=BQ$7,$Y26&lt;BQ$7+7),"I","")&amp;IF(AND($Z26&lt;&gt;"",$Z26&gt;=BQ$7,$Z26&lt;BQ$7+7),"P","")&amp;IF(AND($AA26&lt;&gt;"",$AA26&gt;=BQ$7,$AA26&lt;BQ$7+7),"T","")&amp;IF(AND($AB26&lt;&gt;"",$AB26&gt;=BQ$7,$AB26&lt;BQ$7+7),"H","")&amp;IF(AND($AC26&lt;&gt;"",$AC26&gt;=BQ$7,$AC26&lt;BQ$7+7),"G","")&amp;IF(AND($AH26&lt;&gt;"",$AH26&gt;=BQ$7,$AH26&lt;BQ$7+7),"S","")</f>
        <v/>
      </c>
      <c r="BR26" s="92" t="str">
        <f aca="false">IF(AND($Y26&lt;&gt;"",$Y26&gt;=BR$7,$Y26&lt;BR$7+7),"I","")&amp;IF(AND($Z26&lt;&gt;"",$Z26&gt;=BR$7,$Z26&lt;BR$7+7),"P","")&amp;IF(AND($AA26&lt;&gt;"",$AA26&gt;=BR$7,$AA26&lt;BR$7+7),"T","")&amp;IF(AND($AB26&lt;&gt;"",$AB26&gt;=BR$7,$AB26&lt;BR$7+7),"H","")&amp;IF(AND($AC26&lt;&gt;"",$AC26&gt;=BR$7,$AC26&lt;BR$7+7),"G","")&amp;IF(AND($AH26&lt;&gt;"",$AH26&gt;=BR$7,$AH26&lt;BR$7+7),"S","")</f>
        <v/>
      </c>
      <c r="BS26" s="92" t="str">
        <f aca="false">IF(AND($Y26&lt;&gt;"",$Y26&gt;=BS$7,$Y26&lt;BS$7+7),"I","")&amp;IF(AND($Z26&lt;&gt;"",$Z26&gt;=BS$7,$Z26&lt;BS$7+7),"P","")&amp;IF(AND($AA26&lt;&gt;"",$AA26&gt;=BS$7,$AA26&lt;BS$7+7),"T","")&amp;IF(AND($AB26&lt;&gt;"",$AB26&gt;=BS$7,$AB26&lt;BS$7+7),"H","")&amp;IF(AND($AC26&lt;&gt;"",$AC26&gt;=BS$7,$AC26&lt;BS$7+7),"G","")&amp;IF(AND($AH26&lt;&gt;"",$AH26&gt;=BS$7,$AH26&lt;BS$7+7),"S","")</f>
        <v/>
      </c>
      <c r="BT26" s="92" t="str">
        <f aca="false">IF(AND($Y26&lt;&gt;"",$Y26&gt;=BT$7,$Y26&lt;BT$7+7),"I","")&amp;IF(AND($Z26&lt;&gt;"",$Z26&gt;=BT$7,$Z26&lt;BT$7+7),"P","")&amp;IF(AND($AA26&lt;&gt;"",$AA26&gt;=BT$7,$AA26&lt;BT$7+7),"T","")&amp;IF(AND($AB26&lt;&gt;"",$AB26&gt;=BT$7,$AB26&lt;BT$7+7),"H","")&amp;IF(AND($AC26&lt;&gt;"",$AC26&gt;=BT$7,$AC26&lt;BT$7+7),"G","")&amp;IF(AND($AH26&lt;&gt;"",$AH26&gt;=BT$7,$AH26&lt;BT$7+7),"S","")</f>
        <v/>
      </c>
      <c r="BU26" s="92" t="str">
        <f aca="false">IF(AND($Y26&lt;&gt;"",$Y26&gt;=BU$7,$Y26&lt;BU$7+7),"I","")&amp;IF(AND($Z26&lt;&gt;"",$Z26&gt;=BU$7,$Z26&lt;BU$7+7),"P","")&amp;IF(AND($AA26&lt;&gt;"",$AA26&gt;=BU$7,$AA26&lt;BU$7+7),"T","")&amp;IF(AND($AB26&lt;&gt;"",$AB26&gt;=BU$7,$AB26&lt;BU$7+7),"H","")&amp;IF(AND($AC26&lt;&gt;"",$AC26&gt;=BU$7,$AC26&lt;BU$7+7),"G","")&amp;IF(AND($AH26&lt;&gt;"",$AH26&gt;=BU$7,$AH26&lt;BU$7+7),"S","")</f>
        <v/>
      </c>
      <c r="BV26" s="92" t="str">
        <f aca="false">IF(AND($Y26&lt;&gt;"",$Y26&gt;=BV$7,$Y26&lt;BV$7+7),"I","")&amp;IF(AND($Z26&lt;&gt;"",$Z26&gt;=BV$7,$Z26&lt;BV$7+7),"P","")&amp;IF(AND($AA26&lt;&gt;"",$AA26&gt;=BV$7,$AA26&lt;BV$7+7),"T","")&amp;IF(AND($AB26&lt;&gt;"",$AB26&gt;=BV$7,$AB26&lt;BV$7+7),"H","")&amp;IF(AND($AC26&lt;&gt;"",$AC26&gt;=BV$7,$AC26&lt;BV$7+7),"G","")&amp;IF(AND($AH26&lt;&gt;"",$AH26&gt;=BV$7,$AH26&lt;BV$7+7),"S","")</f>
        <v/>
      </c>
      <c r="BW26" s="92" t="str">
        <f aca="false">IF(AND($Y26&lt;&gt;"",$Y26&gt;=BW$7,$Y26&lt;BW$7+7),"I","")&amp;IF(AND($Z26&lt;&gt;"",$Z26&gt;=BW$7,$Z26&lt;BW$7+7),"P","")&amp;IF(AND($AA26&lt;&gt;"",$AA26&gt;=BW$7,$AA26&lt;BW$7+7),"T","")&amp;IF(AND($AB26&lt;&gt;"",$AB26&gt;=BW$7,$AB26&lt;BW$7+7),"H","")&amp;IF(AND($AC26&lt;&gt;"",$AC26&gt;=BW$7,$AC26&lt;BW$7+7),"G","")&amp;IF(AND($AH26&lt;&gt;"",$AH26&gt;=BW$7,$AH26&lt;BW$7+7),"S","")</f>
        <v/>
      </c>
      <c r="BX26" s="92" t="str">
        <f aca="false">IF(AND($Y26&lt;&gt;"",$Y26&gt;=BX$7,$Y26&lt;BX$7+7),"I","")&amp;IF(AND($Z26&lt;&gt;"",$Z26&gt;=BX$7,$Z26&lt;BX$7+7),"P","")&amp;IF(AND($AA26&lt;&gt;"",$AA26&gt;=BX$7,$AA26&lt;BX$7+7),"T","")&amp;IF(AND($AB26&lt;&gt;"",$AB26&gt;=BX$7,$AB26&lt;BX$7+7),"H","")&amp;IF(AND($AC26&lt;&gt;"",$AC26&gt;=BX$7,$AC26&lt;BX$7+7),"G","")&amp;IF(AND($AH26&lt;&gt;"",$AH26&gt;=BX$7,$AH26&lt;BX$7+7),"S","")</f>
        <v>S</v>
      </c>
      <c r="BY26" s="92" t="str">
        <f aca="false">IF(AND($Y26&lt;&gt;"",$Y26&gt;=BY$7,$Y26&lt;BY$7+7),"I","")&amp;IF(AND($Z26&lt;&gt;"",$Z26&gt;=BY$7,$Z26&lt;BY$7+7),"P","")&amp;IF(AND($AA26&lt;&gt;"",$AA26&gt;=BY$7,$AA26&lt;BY$7+7),"T","")&amp;IF(AND($AB26&lt;&gt;"",$AB26&gt;=BY$7,$AB26&lt;BY$7+7),"H","")&amp;IF(AND($AC26&lt;&gt;"",$AC26&gt;=BY$7,$AC26&lt;BY$7+7),"G","")&amp;IF(AND($AH26&lt;&gt;"",$AH26&gt;=BY$7,$AH26&lt;BY$7+7),"S","")</f>
        <v/>
      </c>
      <c r="BZ26" s="92" t="str">
        <f aca="false">IF(AND($Y26&lt;&gt;"",$Y26&gt;=BZ$7,$Y26&lt;BZ$7+7),"I","")&amp;IF(AND($Z26&lt;&gt;"",$Z26&gt;=BZ$7,$Z26&lt;BZ$7+7),"P","")&amp;IF(AND($AA26&lt;&gt;"",$AA26&gt;=BZ$7,$AA26&lt;BZ$7+7),"T","")&amp;IF(AND($AB26&lt;&gt;"",$AB26&gt;=BZ$7,$AB26&lt;BZ$7+7),"H","")&amp;IF(AND($AC26&lt;&gt;"",$AC26&gt;=BZ$7,$AC26&lt;BZ$7+7),"G","")&amp;IF(AND($AH26&lt;&gt;"",$AH26&gt;=BZ$7,$AH26&lt;BZ$7+7),"S","")</f>
        <v/>
      </c>
      <c r="CA26" s="92" t="str">
        <f aca="false">IF(AND($Y26&lt;&gt;"",$Y26&gt;=CA$7,$Y26&lt;CA$7+7),"I","")&amp;IF(AND($Z26&lt;&gt;"",$Z26&gt;=CA$7,$Z26&lt;CA$7+7),"P","")&amp;IF(AND($AA26&lt;&gt;"",$AA26&gt;=CA$7,$AA26&lt;CA$7+7),"T","")&amp;IF(AND($AB26&lt;&gt;"",$AB26&gt;=CA$7,$AB26&lt;CA$7+7),"H","")&amp;IF(AND($AC26&lt;&gt;"",$AC26&gt;=CA$7,$AC26&lt;CA$7+7),"G","")&amp;IF(AND($AH26&lt;&gt;"",$AH26&gt;=CA$7,$AH26&lt;CA$7+7),"S","")</f>
        <v/>
      </c>
      <c r="CB26" s="92" t="str">
        <f aca="false">IF(AND($Y26&lt;&gt;"",$Y26&gt;=CB$7,$Y26&lt;CB$7+7),"I","")&amp;IF(AND($Z26&lt;&gt;"",$Z26&gt;=CB$7,$Z26&lt;CB$7+7),"P","")&amp;IF(AND($AA26&lt;&gt;"",$AA26&gt;=CB$7,$AA26&lt;CB$7+7),"T","")&amp;IF(AND($AB26&lt;&gt;"",$AB26&gt;=CB$7,$AB26&lt;CB$7+7),"H","")&amp;IF(AND($AC26&lt;&gt;"",$AC26&gt;=CB$7,$AC26&lt;CB$7+7),"G","")&amp;IF(AND($AH26&lt;&gt;"",$AH26&gt;=CB$7,$AH26&lt;CB$7+7),"S","")</f>
        <v/>
      </c>
      <c r="CC26" s="92" t="str">
        <f aca="false">IF(AND($Y26&lt;&gt;"",$Y26&gt;=CC$7,$Y26&lt;CC$7+7),"I","")&amp;IF(AND($Z26&lt;&gt;"",$Z26&gt;=CC$7,$Z26&lt;CC$7+7),"P","")&amp;IF(AND($AA26&lt;&gt;"",$AA26&gt;=CC$7,$AA26&lt;CC$7+7),"T","")&amp;IF(AND($AB26&lt;&gt;"",$AB26&gt;=CC$7,$AB26&lt;CC$7+7),"H","")&amp;IF(AND($AC26&lt;&gt;"",$AC26&gt;=CC$7,$AC26&lt;CC$7+7),"G","")&amp;IF(AND($AH26&lt;&gt;"",$AH26&gt;=CC$7,$AH26&lt;CC$7+7),"S","")</f>
        <v/>
      </c>
      <c r="CD26" s="92" t="str">
        <f aca="false">IF(AND($Y26&lt;&gt;"",$Y26&gt;=CD$7,$Y26&lt;CD$7+7),"I","")&amp;IF(AND($Z26&lt;&gt;"",$Z26&gt;=CD$7,$Z26&lt;CD$7+7),"P","")&amp;IF(AND($AA26&lt;&gt;"",$AA26&gt;=CD$7,$AA26&lt;CD$7+7),"T","")&amp;IF(AND($AB26&lt;&gt;"",$AB26&gt;=CD$7,$AB26&lt;CD$7+7),"H","")&amp;IF(AND($AC26&lt;&gt;"",$AC26&gt;=CD$7,$AC26&lt;CD$7+7),"G","")&amp;IF(AND($AH26&lt;&gt;"",$AH26&gt;=CD$7,$AH26&lt;CD$7+7),"S","")</f>
        <v/>
      </c>
      <c r="CE26" s="92" t="str">
        <f aca="false">IF(AND($Y26&lt;&gt;"",$Y26&gt;=CE$7,$Y26&lt;CE$7+7),"I","")&amp;IF(AND($Z26&lt;&gt;"",$Z26&gt;=CE$7,$Z26&lt;CE$7+7),"P","")&amp;IF(AND($AA26&lt;&gt;"",$AA26&gt;=CE$7,$AA26&lt;CE$7+7),"T","")&amp;IF(AND($AB26&lt;&gt;"",$AB26&gt;=CE$7,$AB26&lt;CE$7+7),"H","")&amp;IF(AND($AC26&lt;&gt;"",$AC26&gt;=CE$7,$AC26&lt;CE$7+7),"G","")&amp;IF(AND($AH26&lt;&gt;"",$AH26&gt;=CE$7,$AH26&lt;CE$7+7),"S","")</f>
        <v/>
      </c>
      <c r="CF26" s="92" t="str">
        <f aca="false">IF(AND($Y26&lt;&gt;"",$Y26&gt;=CF$7,$Y26&lt;CF$7+7),"I","")&amp;IF(AND($Z26&lt;&gt;"",$Z26&gt;=CF$7,$Z26&lt;CF$7+7),"P","")&amp;IF(AND($AA26&lt;&gt;"",$AA26&gt;=CF$7,$AA26&lt;CF$7+7),"T","")&amp;IF(AND($AB26&lt;&gt;"",$AB26&gt;=CF$7,$AB26&lt;CF$7+7),"H","")&amp;IF(AND($AC26&lt;&gt;"",$AC26&gt;=CF$7,$AC26&lt;CF$7+7),"G","")&amp;IF(AND($AH26&lt;&gt;"",$AH26&gt;=CF$7,$AH26&lt;CF$7+7),"S","")</f>
        <v/>
      </c>
      <c r="CG26" s="92" t="str">
        <f aca="false">IF(AND($Y26&lt;&gt;"",$Y26&gt;=CG$7,$Y26&lt;CG$7+7),"I","")&amp;IF(AND($Z26&lt;&gt;"",$Z26&gt;=CG$7,$Z26&lt;CG$7+7),"P","")&amp;IF(AND($AA26&lt;&gt;"",$AA26&gt;=CG$7,$AA26&lt;CG$7+7),"T","")&amp;IF(AND($AB26&lt;&gt;"",$AB26&gt;=CG$7,$AB26&lt;CG$7+7),"H","")&amp;IF(AND($AC26&lt;&gt;"",$AC26&gt;=CG$7,$AC26&lt;CG$7+7),"G","")&amp;IF(AND($AH26&lt;&gt;"",$AH26&gt;=CG$7,$AH26&lt;CG$7+7),"S","")</f>
        <v/>
      </c>
      <c r="CH26" s="92" t="str">
        <f aca="false">IF(AND($Y26&lt;&gt;"",$Y26&gt;=CH$7,$Y26&lt;CH$7+7),"I","")&amp;IF(AND($Z26&lt;&gt;"",$Z26&gt;=CH$7,$Z26&lt;CH$7+7),"P","")&amp;IF(AND($AA26&lt;&gt;"",$AA26&gt;=CH$7,$AA26&lt;CH$7+7),"T","")&amp;IF(AND($AB26&lt;&gt;"",$AB26&gt;=CH$7,$AB26&lt;CH$7+7),"H","")&amp;IF(AND($AC26&lt;&gt;"",$AC26&gt;=CH$7,$AC26&lt;CH$7+7),"G","")&amp;IF(AND($AH26&lt;&gt;"",$AH26&gt;=CH$7,$AH26&lt;CH$7+7),"S","")</f>
        <v/>
      </c>
      <c r="CI26" s="92" t="str">
        <f aca="false">IF(AND($Y26&lt;&gt;"",$Y26&gt;=CI$7,$Y26&lt;CI$7+7),"I","")&amp;IF(AND($Z26&lt;&gt;"",$Z26&gt;=CI$7,$Z26&lt;CI$7+7),"P","")&amp;IF(AND($AA26&lt;&gt;"",$AA26&gt;=CI$7,$AA26&lt;CI$7+7),"T","")&amp;IF(AND($AB26&lt;&gt;"",$AB26&gt;=CI$7,$AB26&lt;CI$7+7),"H","")&amp;IF(AND($AC26&lt;&gt;"",$AC26&gt;=CI$7,$AC26&lt;CI$7+7),"G","")&amp;IF(AND($AH26&lt;&gt;"",$AH26&gt;=CI$7,$AH26&lt;CI$7+7),"S","")</f>
        <v/>
      </c>
      <c r="CJ26" s="92" t="str">
        <f aca="false">IF(AND($Y26&lt;&gt;"",$Y26&gt;=CJ$7,$Y26&lt;CJ$7+7),"I","")&amp;IF(AND($Z26&lt;&gt;"",$Z26&gt;=CJ$7,$Z26&lt;CJ$7+7),"P","")&amp;IF(AND($AA26&lt;&gt;"",$AA26&gt;=CJ$7,$AA26&lt;CJ$7+7),"T","")&amp;IF(AND($AB26&lt;&gt;"",$AB26&gt;=CJ$7,$AB26&lt;CJ$7+7),"H","")&amp;IF(AND($AC26&lt;&gt;"",$AC26&gt;=CJ$7,$AC26&lt;CJ$7+7),"G","")&amp;IF(AND($AH26&lt;&gt;"",$AH26&gt;=CJ$7,$AH26&lt;CJ$7+7),"S","")</f>
        <v/>
      </c>
      <c r="CK26" s="92" t="str">
        <f aca="false">IF(AND($Y26&lt;&gt;"",$Y26&gt;=CK$7,$Y26&lt;CK$7+7),"I","")&amp;IF(AND($Z26&lt;&gt;"",$Z26&gt;=CK$7,$Z26&lt;CK$7+7),"P","")&amp;IF(AND($AA26&lt;&gt;"",$AA26&gt;=CK$7,$AA26&lt;CK$7+7),"T","")&amp;IF(AND($AB26&lt;&gt;"",$AB26&gt;=CK$7,$AB26&lt;CK$7+7),"H","")&amp;IF(AND($AC26&lt;&gt;"",$AC26&gt;=CK$7,$AC26&lt;CK$7+7),"G","")&amp;IF(AND($AH26&lt;&gt;"",$AH26&gt;=CK$7,$AH26&lt;CK$7+7),"S","")</f>
        <v/>
      </c>
      <c r="CL26" s="92" t="str">
        <f aca="false">IF(AND($Y26&lt;&gt;"",$Y26&gt;=CL$7,$Y26&lt;CL$7+7),"I","")&amp;IF(AND($Z26&lt;&gt;"",$Z26&gt;=CL$7,$Z26&lt;CL$7+7),"P","")&amp;IF(AND($AA26&lt;&gt;"",$AA26&gt;=CL$7,$AA26&lt;CL$7+7),"T","")&amp;IF(AND($AB26&lt;&gt;"",$AB26&gt;=CL$7,$AB26&lt;CL$7+7),"H","")&amp;IF(AND($AC26&lt;&gt;"",$AC26&gt;=CL$7,$AC26&lt;CL$7+7),"G","")&amp;IF(AND($AH26&lt;&gt;"",$AH26&gt;=CL$7,$AH26&lt;CL$7+7),"S","")</f>
        <v/>
      </c>
      <c r="CM26" s="92" t="str">
        <f aca="false">IF(AND($Y26&lt;&gt;"",$Y26&gt;=CM$7,$Y26&lt;CM$7+7),"I","")&amp;IF(AND($Z26&lt;&gt;"",$Z26&gt;=CM$7,$Z26&lt;CM$7+7),"P","")&amp;IF(AND($AA26&lt;&gt;"",$AA26&gt;=CM$7,$AA26&lt;CM$7+7),"T","")&amp;IF(AND($AB26&lt;&gt;"",$AB26&gt;=CM$7,$AB26&lt;CM$7+7),"H","")&amp;IF(AND($AC26&lt;&gt;"",$AC26&gt;=CM$7,$AC26&lt;CM$7+7),"G","")&amp;IF(AND($AH26&lt;&gt;"",$AH26&gt;=CM$7,$AH26&lt;CM$7+7),"S","")</f>
        <v/>
      </c>
      <c r="CN26" s="92" t="str">
        <f aca="false">IF(AND($Y26&lt;&gt;"",$Y26&gt;=CN$7,$Y26&lt;CN$7+7),"I","")&amp;IF(AND($Z26&lt;&gt;"",$Z26&gt;=CN$7,$Z26&lt;CN$7+7),"P","")&amp;IF(AND($AA26&lt;&gt;"",$AA26&gt;=CN$7,$AA26&lt;CN$7+7),"T","")&amp;IF(AND($AB26&lt;&gt;"",$AB26&gt;=CN$7,$AB26&lt;CN$7+7),"H","")&amp;IF(AND($AC26&lt;&gt;"",$AC26&gt;=CN$7,$AC26&lt;CN$7+7),"G","")&amp;IF(AND($AH26&lt;&gt;"",$AH26&gt;=CN$7,$AH26&lt;CN$7+7),"S","")</f>
        <v/>
      </c>
      <c r="CO26" s="92" t="str">
        <f aca="false">IF(AND($Y26&lt;&gt;"",$Y26&gt;=CO$7,$Y26&lt;CO$7+7),"I","")&amp;IF(AND($Z26&lt;&gt;"",$Z26&gt;=CO$7,$Z26&lt;CO$7+7),"P","")&amp;IF(AND($AA26&lt;&gt;"",$AA26&gt;=CO$7,$AA26&lt;CO$7+7),"T","")&amp;IF(AND($AB26&lt;&gt;"",$AB26&gt;=CO$7,$AB26&lt;CO$7+7),"H","")&amp;IF(AND($AC26&lt;&gt;"",$AC26&gt;=CO$7,$AC26&lt;CO$7+7),"G","")&amp;IF(AND($AH26&lt;&gt;"",$AH26&gt;=CO$7,$AH26&lt;CO$7+7),"S","")</f>
        <v/>
      </c>
      <c r="CP26" s="92" t="str">
        <f aca="false">IF(AND($Y26&lt;&gt;"",$Y26&gt;=CP$7,$Y26&lt;CP$7+7),"I","")&amp;IF(AND($Z26&lt;&gt;"",$Z26&gt;=CP$7,$Z26&lt;CP$7+7),"P","")&amp;IF(AND($AA26&lt;&gt;"",$AA26&gt;=CP$7,$AA26&lt;CP$7+7),"T","")&amp;IF(AND($AB26&lt;&gt;"",$AB26&gt;=CP$7,$AB26&lt;CP$7+7),"H","")&amp;IF(AND($AC26&lt;&gt;"",$AC26&gt;=CP$7,$AC26&lt;CP$7+7),"G","")&amp;IF(AND($AH26&lt;&gt;"",$AH26&gt;=CP$7,$AH26&lt;CP$7+7),"S","")</f>
        <v/>
      </c>
      <c r="CQ26" s="92" t="str">
        <f aca="false">IF(AND($Y26&lt;&gt;"",$Y26&gt;=CQ$7,$Y26&lt;CQ$7+7),"I","")&amp;IF(AND($Z26&lt;&gt;"",$Z26&gt;=CQ$7,$Z26&lt;CQ$7+7),"P","")&amp;IF(AND($AA26&lt;&gt;"",$AA26&gt;=CQ$7,$AA26&lt;CQ$7+7),"T","")&amp;IF(AND($AB26&lt;&gt;"",$AB26&gt;=CQ$7,$AB26&lt;CQ$7+7),"H","")&amp;IF(AND($AC26&lt;&gt;"",$AC26&gt;=CQ$7,$AC26&lt;CQ$7+7),"G","")&amp;IF(AND($AH26&lt;&gt;"",$AH26&gt;=CQ$7,$AH26&lt;CQ$7+7),"S","")</f>
        <v/>
      </c>
      <c r="CR26" s="92" t="str">
        <f aca="false">IF(AND($Y26&lt;&gt;"",$Y26&gt;=CR$7,$Y26&lt;CR$7+7),"I","")&amp;IF(AND($Z26&lt;&gt;"",$Z26&gt;=CR$7,$Z26&lt;CR$7+7),"P","")&amp;IF(AND($AA26&lt;&gt;"",$AA26&gt;=CR$7,$AA26&lt;CR$7+7),"T","")&amp;IF(AND($AB26&lt;&gt;"",$AB26&gt;=CR$7,$AB26&lt;CR$7+7),"H","")&amp;IF(AND($AC26&lt;&gt;"",$AC26&gt;=CR$7,$AC26&lt;CR$7+7),"G","")&amp;IF(AND($AH26&lt;&gt;"",$AH26&gt;=CR$7,$AH26&lt;CR$7+7),"S","")</f>
        <v/>
      </c>
      <c r="CS26" s="92" t="str">
        <f aca="false">IF(AND($Y26&lt;&gt;"",$Y26&gt;=CS$7,$Y26&lt;CS$7+7),"I","")&amp;IF(AND($Z26&lt;&gt;"",$Z26&gt;=CS$7,$Z26&lt;CS$7+7),"P","")&amp;IF(AND($AA26&lt;&gt;"",$AA26&gt;=CS$7,$AA26&lt;CS$7+7),"T","")&amp;IF(AND($AB26&lt;&gt;"",$AB26&gt;=CS$7,$AB26&lt;CS$7+7),"H","")&amp;IF(AND($AC26&lt;&gt;"",$AC26&gt;=CS$7,$AC26&lt;CS$7+7),"G","")&amp;IF(AND($AH26&lt;&gt;"",$AH26&gt;=CS$7,$AH26&lt;CS$7+7),"S","")</f>
        <v/>
      </c>
      <c r="CT26" s="92" t="str">
        <f aca="false">IF(AND($Y26&lt;&gt;"",$Y26&gt;=CT$7,$Y26&lt;CT$7+7),"I","")&amp;IF(AND($Z26&lt;&gt;"",$Z26&gt;=CT$7,$Z26&lt;CT$7+7),"P","")&amp;IF(AND($AA26&lt;&gt;"",$AA26&gt;=CT$7,$AA26&lt;CT$7+7),"T","")&amp;IF(AND($AB26&lt;&gt;"",$AB26&gt;=CT$7,$AB26&lt;CT$7+7),"H","")&amp;IF(AND($AC26&lt;&gt;"",$AC26&gt;=CT$7,$AC26&lt;CT$7+7),"G","")&amp;IF(AND($AH26&lt;&gt;"",$AH26&gt;=CT$7,$AH26&lt;CT$7+7),"S","")</f>
        <v/>
      </c>
      <c r="CU26" s="92" t="str">
        <f aca="false">IF(AND($Y26&lt;&gt;"",$Y26&gt;=CU$7,$Y26&lt;CU$7+7),"I","")&amp;IF(AND($Z26&lt;&gt;"",$Z26&gt;=CU$7,$Z26&lt;CU$7+7),"P","")&amp;IF(AND($AA26&lt;&gt;"",$AA26&gt;=CU$7,$AA26&lt;CU$7+7),"T","")&amp;IF(AND($AB26&lt;&gt;"",$AB26&gt;=CU$7,$AB26&lt;CU$7+7),"H","")&amp;IF(AND($AC26&lt;&gt;"",$AC26&gt;=CU$7,$AC26&lt;CU$7+7),"G","")&amp;IF(AND($AH26&lt;&gt;"",$AH26&gt;=CU$7,$AH26&lt;CU$7+7),"S","")</f>
        <v/>
      </c>
      <c r="CV26" s="92" t="str">
        <f aca="false">IF(AND($Y26&lt;&gt;"",$Y26&gt;=CV$7,$Y26&lt;CV$7+7),"I","")&amp;IF(AND($Z26&lt;&gt;"",$Z26&gt;=CV$7,$Z26&lt;CV$7+7),"P","")&amp;IF(AND($AA26&lt;&gt;"",$AA26&gt;=CV$7,$AA26&lt;CV$7+7),"T","")&amp;IF(AND($AB26&lt;&gt;"",$AB26&gt;=CV$7,$AB26&lt;CV$7+7),"H","")&amp;IF(AND($AC26&lt;&gt;"",$AC26&gt;=CV$7,$AC26&lt;CV$7+7),"G","")&amp;IF(AND($AH26&lt;&gt;"",$AH26&gt;=CV$7,$AH26&lt;CV$7+7),"S","")</f>
        <v/>
      </c>
      <c r="CW26" s="92" t="str">
        <f aca="false">IF(AND($Y26&lt;&gt;"",$Y26&gt;=CW$7,$Y26&lt;CW$7+7),"I","")&amp;IF(AND($Z26&lt;&gt;"",$Z26&gt;=CW$7,$Z26&lt;CW$7+7),"P","")&amp;IF(AND($AA26&lt;&gt;"",$AA26&gt;=CW$7,$AA26&lt;CW$7+7),"T","")&amp;IF(AND($AB26&lt;&gt;"",$AB26&gt;=CW$7,$AB26&lt;CW$7+7),"H","")&amp;IF(AND($AC26&lt;&gt;"",$AC26&gt;=CW$7,$AC26&lt;CW$7+7),"G","")&amp;IF(AND($AH26&lt;&gt;"",$AH26&gt;=CW$7,$AH26&lt;CW$7+7),"S","")</f>
        <v/>
      </c>
      <c r="CX26" s="92" t="str">
        <f aca="false">IF(AND($Y26&lt;&gt;"",$Y26&gt;=CX$7,$Y26&lt;CX$7+7),"I","")&amp;IF(AND($Z26&lt;&gt;"",$Z26&gt;=CX$7,$Z26&lt;CX$7+7),"P","")&amp;IF(AND($AA26&lt;&gt;"",$AA26&gt;=CX$7,$AA26&lt;CX$7+7),"T","")&amp;IF(AND($AB26&lt;&gt;"",$AB26&gt;=CX$7,$AB26&lt;CX$7+7),"H","")&amp;IF(AND($AC26&lt;&gt;"",$AC26&gt;=CX$7,$AC26&lt;CX$7+7),"G","")&amp;IF(AND($AH26&lt;&gt;"",$AH26&gt;=CX$7,$AH26&lt;CX$7+7),"S","")</f>
        <v/>
      </c>
      <c r="CY26" s="92" t="str">
        <f aca="false">IF(AND($Y26&lt;&gt;"",$Y26&gt;=CY$7,$Y26&lt;CY$7+7),"I","")&amp;IF(AND($Z26&lt;&gt;"",$Z26&gt;=CY$7,$Z26&lt;CY$7+7),"P","")&amp;IF(AND($AA26&lt;&gt;"",$AA26&gt;=CY$7,$AA26&lt;CY$7+7),"T","")&amp;IF(AND($AB26&lt;&gt;"",$AB26&gt;=CY$7,$AB26&lt;CY$7+7),"H","")&amp;IF(AND($AC26&lt;&gt;"",$AC26&gt;=CY$7,$AC26&lt;CY$7+7),"G","")&amp;IF(AND($AH26&lt;&gt;"",$AH26&gt;=CY$7,$AH26&lt;CY$7+7),"S","")</f>
        <v/>
      </c>
      <c r="CZ26" s="92" t="str">
        <f aca="false">IF(AND($Y26&lt;&gt;"",$Y26&gt;=CZ$7,$Y26&lt;CZ$7+7),"I","")&amp;IF(AND($Z26&lt;&gt;"",$Z26&gt;=CZ$7,$Z26&lt;CZ$7+7),"P","")&amp;IF(AND($AA26&lt;&gt;"",$AA26&gt;=CZ$7,$AA26&lt;CZ$7+7),"T","")&amp;IF(AND($AB26&lt;&gt;"",$AB26&gt;=CZ$7,$AB26&lt;CZ$7+7),"H","")&amp;IF(AND($AC26&lt;&gt;"",$AC26&gt;=CZ$7,$AC26&lt;CZ$7+7),"G","")&amp;IF(AND($AH26&lt;&gt;"",$AH26&gt;=CZ$7,$AH26&lt;CZ$7+7),"S","")</f>
        <v/>
      </c>
      <c r="DA26" s="92" t="str">
        <f aca="false">IF(AND($Y26&lt;&gt;"",$Y26&gt;=DA$7,$Y26&lt;DA$7+7),"I","")&amp;IF(AND($Z26&lt;&gt;"",$Z26&gt;=DA$7,$Z26&lt;DA$7+7),"P","")&amp;IF(AND($AA26&lt;&gt;"",$AA26&gt;=DA$7,$AA26&lt;DA$7+7),"T","")&amp;IF(AND($AB26&lt;&gt;"",$AB26&gt;=DA$7,$AB26&lt;DA$7+7),"H","")&amp;IF(AND($AC26&lt;&gt;"",$AC26&gt;=DA$7,$AC26&lt;DA$7+7),"G","")&amp;IF(AND($AH26&lt;&gt;"",$AH26&gt;=DA$7,$AH26&lt;DA$7+7),"S","")</f>
        <v/>
      </c>
      <c r="DB26" s="92" t="str">
        <f aca="false">IF(AND($Y26&lt;&gt;"",$Y26&gt;=DB$7,$Y26&lt;DB$7+7),"I","")&amp;IF(AND($Z26&lt;&gt;"",$Z26&gt;=DB$7,$Z26&lt;DB$7+7),"P","")&amp;IF(AND($AA26&lt;&gt;"",$AA26&gt;=DB$7,$AA26&lt;DB$7+7),"T","")&amp;IF(AND($AB26&lt;&gt;"",$AB26&gt;=DB$7,$AB26&lt;DB$7+7),"H","")&amp;IF(AND($AC26&lt;&gt;"",$AC26&gt;=DB$7,$AC26&lt;DB$7+7),"G","")&amp;IF(AND($AH26&lt;&gt;"",$AH26&gt;=DB$7,$AH26&lt;DB$7+7),"S","")</f>
        <v/>
      </c>
      <c r="DC26" s="92" t="str">
        <f aca="false">IF(AND($Y26&lt;&gt;"",$Y26&gt;=DC$7,$Y26&lt;DC$7+7),"I","")&amp;IF(AND($Z26&lt;&gt;"",$Z26&gt;=DC$7,$Z26&lt;DC$7+7),"P","")&amp;IF(AND($AA26&lt;&gt;"",$AA26&gt;=DC$7,$AA26&lt;DC$7+7),"T","")&amp;IF(AND($AB26&lt;&gt;"",$AB26&gt;=DC$7,$AB26&lt;DC$7+7),"H","")&amp;IF(AND($AC26&lt;&gt;"",$AC26&gt;=DC$7,$AC26&lt;DC$7+7),"G","")&amp;IF(AND($AH26&lt;&gt;"",$AH26&gt;=DC$7,$AH26&lt;DC$7+7),"S","")</f>
        <v/>
      </c>
    </row>
    <row r="27" customFormat="false" ht="15" hidden="false" customHeight="false" outlineLevel="0" collapsed="false">
      <c r="A27" s="47" t="s">
        <v>118</v>
      </c>
      <c r="B27" s="31" t="s">
        <v>119</v>
      </c>
      <c r="C27" s="36" t="s">
        <v>565</v>
      </c>
      <c r="D27" s="31" t="s">
        <v>566</v>
      </c>
      <c r="E27" s="31" t="s">
        <v>189</v>
      </c>
      <c r="F27" s="75" t="n">
        <v>280.44</v>
      </c>
      <c r="G27" s="31" t="s">
        <v>170</v>
      </c>
      <c r="H27" s="76" t="n">
        <f aca="false">PROJ_START+RD_SPAN</f>
        <v>46403</v>
      </c>
      <c r="I27" s="77" t="n">
        <f aca="false">H27+33</f>
        <v>46436</v>
      </c>
      <c r="J27" s="31" t="s">
        <v>121</v>
      </c>
      <c r="K27" s="36" t="s">
        <v>131</v>
      </c>
      <c r="L27" s="36" t="s">
        <v>120</v>
      </c>
      <c r="M27" s="36" t="s">
        <v>568</v>
      </c>
      <c r="N27" s="78" t="str">
        <f aca="false">IF(ISNUMBER(อัปเดตรายสัปดาห์!$AF27),อัปเดตรายสัปดาห์!$AF27,"")</f>
        <v/>
      </c>
      <c r="O27" s="78" t="str">
        <f aca="false">IF(ISNUMBER(อัปเดตรายสัปดาห์!$AH27),อัปเดตรายสัปดาห์!$AH27,"")</f>
        <v/>
      </c>
      <c r="P27" s="78" t="str">
        <f aca="false">IF(ISNUMBER(อัปเดตรายสัปดาห์!$AG27),อัปเดตรายสัปดาห์!$AG27,IF(AND(ISNUMBER(TCRoof!$AC$27),N(TCRoof!$AC$27)&lt;=ASOF),TCRoof!$AC$27,""))</f>
        <v/>
      </c>
      <c r="Q27" s="78" t="str">
        <f aca="false">IF(ISNUMBER(อัปเดตรายสัปดาห์!$AL27),อัปเดตรายสัปดาห์!$AL27,"")</f>
        <v/>
      </c>
      <c r="R27" s="78" t="str">
        <f aca="false">IF(ISNUMBER(อัปเดตรายสัปดาห์!$Q27),อัปเดตรายสัปดาห์!$Q27,"")</f>
        <v/>
      </c>
      <c r="S27" s="78" t="str">
        <f aca="false">IF(ISNUMBER(อัปเดตรายสัปดาห์!$R27),อัปเดตรายสัปดาห์!$R27,"")</f>
        <v/>
      </c>
      <c r="T27" s="78" t="str">
        <f aca="false">IF(ISNUMBER(อัปเดตรายสัปดาห์!$S27),อัปเดตรายสัปดาห์!$S27,IF(อัปเดตรายสัปดาห์!$S27="Y",ASOF,""))</f>
        <v/>
      </c>
      <c r="U27" s="78" t="str">
        <f aca="false">IF(ISNUMBER(อัปเดตรายสัปดาห์!$T27),อัปเดตรายสัปดาห์!$T27,IF(อัปเดตรายสัปดาห์!$T27="Y",ASOF,""))</f>
        <v/>
      </c>
      <c r="V27" s="78" t="str">
        <f aca="false">IF(ISNUMBER(อัปเดตรายสัปดาห์!$U27),อัปเดตรายสัปดาห์!$U27,IF(อัปเดตรายสัปดาห์!$U27="Y",ASOF,""))</f>
        <v/>
      </c>
      <c r="W27" s="78" t="str">
        <f aca="false">IF(ISNUMBER(อัปเดตรายสัปดาห์!$N27),อัปเดตรายสัปดาห์!$N27,"")</f>
        <v/>
      </c>
      <c r="X27" s="78" t="str">
        <f aca="false">IF(ISNUMBER(อัปเดตรายสัปดาห์!$V27),อัปเดตรายสัปดาห์!$V27,IF(AND(ISNUMBER(TCRoof!$AD$27),N(TCRoof!$AD$27)&lt;=ASOF),TCRoof!$AD$27,""))</f>
        <v/>
      </c>
      <c r="Y27" s="79" t="n">
        <f aca="false">IF(N27&lt;&gt;"",N27,WORKDAY((ASOF+LEAD_INST+7*INT((AT27-0.01)/MAX(1,AU27)))-1,1,HOLIDAYS))</f>
        <v>46349</v>
      </c>
      <c r="Z27" s="79" t="n">
        <f aca="false">IF(O27&lt;&gt;"",O27,WORKDAY((MAX(AV27+7*INT((AW27-1)/MAX(1,AX27)),AV27+7*INT((AY27-1)/MAX(1,AZ27))))-1,1,HOLIDAYS))</f>
        <v>46356</v>
      </c>
      <c r="AA27" s="79" t="n">
        <f aca="false">IF(P27&lt;&gt;"",P27,WORKDAY((BA27+7*INT((BB27-1)/MAX(1,BC27)))-1,1,HOLIDAYS))</f>
        <v>46359</v>
      </c>
      <c r="AB27" s="79" t="n">
        <f aca="false">IF(Q27&lt;&gt;"",Q27,WORKDAY((MAX(AA27+BD27,ASOF+1))-1,1,HOLIDAYS))</f>
        <v>46367</v>
      </c>
      <c r="AC27" s="79" t="n">
        <f aca="false">IF(R27&lt;&gt;"",R27,WORKDAY((MAX(Y27,ASOF)+LAG_GRID)-1,1,HOLIDAYS))</f>
        <v>46356</v>
      </c>
      <c r="AD27" s="79" t="n">
        <f aca="false">IF(T27&lt;&gt;"",T27,WORKDAY((MAX(WORKDAY(MAX(AC27,N(S27)),REVIEW_WD,HOLIDAYS),ASOF+1))-1,1,HOLIDAYS))</f>
        <v>46379</v>
      </c>
      <c r="AE27" s="79" t="n">
        <f aca="false">IF(U27&lt;&gt;"",U27,WORKDAY((MAX(AD27,ASOF)+FEE_DAYS)-1,1,HOLIDAYS))</f>
        <v>46386</v>
      </c>
      <c r="AF27" s="79" t="n">
        <f aca="false">IF(V27&lt;&gt;"",V27,WORKDAY((MAX(AA27,Z27,AE27,IF(AG27="",0,AG27+REVIEW_PK2),ASOF)+LAG_INSREQ)-1,1,HOLIDAYS))</f>
        <v>46391</v>
      </c>
      <c r="AG27" s="79" t="n">
        <f aca="false">IF(M27&lt;&gt;"Y","",IF(W27&lt;&gt;"",W27,WORKDAY((MAX(Y27,ASOF)+LAG_GRID)-1,1,HOLIDAYS)))</f>
        <v>46356</v>
      </c>
      <c r="AH27" s="80" t="n">
        <f aca="false">IF(X27&lt;&gt;"",X27,WORKDAY(AF27,INSPECT_WD,HOLIDAYS))</f>
        <v>46433</v>
      </c>
      <c r="AI27" s="81" t="n">
        <f aca="false">IF(H27="","",AB27-H27)</f>
        <v>-36</v>
      </c>
      <c r="AJ27" s="81" t="n">
        <f aca="false">IF(I27="","",AH27-I27)</f>
        <v>-3</v>
      </c>
      <c r="AK27" s="82" t="n">
        <f aca="false">IF(AND(ISNUMBER(N27),N(N27)&lt;=ASOF),1,0)+IF(AND(ISNUMBER(O27),N(O27)&lt;=ASOF),1,0)+IF(AND(ISNUMBER(P27),N(P27)&lt;=ASOF),1,0)+IF(AND(ISNUMBER(Q27),N(Q27)&lt;=ASOF),1,0)+IF(AND(ISNUMBER(R27),N(R27)&lt;=ASOF),1,0)+IF(AND(ISNUMBER(U27),N(U27)&lt;=ASOF),1,0)+IF(AND(ISNUMBER(X27),N(X27)&lt;=ASOF),1,0)+IF(AND(ISNUMBER(W27),N(W27)&lt;=ASOF),1,0)</f>
        <v>0</v>
      </c>
      <c r="AL27" s="83" t="n">
        <v>8</v>
      </c>
      <c r="AM27" s="84" t="n">
        <f aca="false">'P9-020'!$J$4</f>
        <v>0</v>
      </c>
      <c r="AN27" s="85" t="str">
        <f aca="false">TRIM(IF(AND(ISNUMBER(O27),NOT(ISNUMBER(N27))),"กฟภ.ตรวจก่อนติดตั้ง, ","")&amp;IF(AND(ISNUMBER(P27),NOT(ISNUMBER(N27))),"IEC ก่อนติดตั้ง, ","")&amp;IF(AND(ISNUMBER(Q27),NOT(ISNUMBER(N27))),"ส่งมอบก่อนติดตั้ง, ","")&amp;IF(AND(ISNUMBER(Q27),ISNUMBER(P27),N(Q27)&lt;N(P27)),"ส่งมอบก่อน IEC, ","")&amp;IF(AND(ISNUMBER(อัปเดตรายสัปดาห์!$AG27),ISNUMBER(TCRoof!$AC$27),ABS(N(อัปเดตรายสัปดาห์!$AG27)-N(TCRoof!$AC$27))&gt;3),"IEC Excel≠แอป, ","")&amp;IF(AND(ISNUMBER(อัปเดตรายสัปดาห์!$V27),ISNUMBER(TCRoof!$AD$27),ABS(N(อัปเดตรายสัปดาห์!$V27)-N(TCRoof!$AD$27))&gt;3),"COD Excel≠แอป, ","")&amp;IF(AND(ISNUMBER(อัปเดตรายสัปดาห์!$AF27),ISNUMBER(TCRoof!$AB$27),ABS(N(อัปเดตรายสัปดาห์!$AF27)-N(TCRoof!$AB$27))&gt;3),"ติดตั้ง Excel≠แอป, ","")&amp;IF(AND(ISNUMBER(N27),N(N27)&gt;ASOF,OR(WEEKDAY(N(N27),2)&gt;5,COUNTIF(HOLIDAYS,N(N27))&gt;0)),"นัดดับไฟตรงวันหยุด, ","")&amp;IF(AND(ISNUMBER(O27),N(O27)&gt;ASOF,OR(WEEKDAY(N(O27),2)&gt;5,COUNTIF(HOLIDAYS,N(O27))&gt;0)),"นัด กฟภ.ตรงวันหยุด, ","")&amp;IF(AND(ISNUMBER(P27),N(P27)&gt;ASOF,OR(WEEKDAY(N(P27),2)&gt;5,COUNTIF(HOLIDAYS,N(P27))&gt;0)),"นัด IECตรงวันหยุด, ","")&amp;IF(AND(ISNUMBER(X27),N(X27)&gt;ASOF,OR(WEEKDAY(N(X27),2)&gt;5,COUNTIF(HOLIDAYS,N(X27))&gt;0)),"นัด Syncตรงวันหยุด, ",""))</f>
        <v/>
      </c>
      <c r="AO27" s="86" t="n">
        <f aca="false">SUMIFS(CR_COD,CR_ST,A27,CR_STAT,"อนุมัติ")+SUMIFS(CR_COD,CR_ST,"ทั้งเฟส",CR_STAT,"อนุมัติ")+SUMIFS(CR_COD,CR_ST,"ผรม. "&amp;L27,CR_STAT,"อนุมัติ")+SUMIFS(CR_COD,CR_ST,"เขต "&amp;E27,CR_STAT,"อนุมัติ")</f>
        <v>0</v>
      </c>
      <c r="AP27" s="86" t="n">
        <f aca="false">IF(NOT(ISNUMBER(AJ27)),"",MAX(0,AJ27-AO27))</f>
        <v>0</v>
      </c>
      <c r="AQ27" s="86" t="n">
        <f aca="false">COUNTIF(RW_ST,A27)</f>
        <v>0</v>
      </c>
      <c r="AR27" s="87" t="str">
        <f aca="false">IF(ISNUMBER(TCRoof!$I$27),TCRoof!$I$27,"")</f>
        <v/>
      </c>
      <c r="AS27" s="88" t="str">
        <f aca="false">IF(ISNUMBER(TCRoof!$H$27),TCRoof!$H$27,"")</f>
        <v/>
      </c>
      <c r="AT27" s="89" t="n">
        <f aca="false">IF(N27&lt;&gt;"","",SUMIFS($F$8:$F$27,$L$8:$L$27,L27,$N$8:$N$27,"",$H$8:$H$27,"&lt;"&amp;H27)+SUMIFS($F$8:$F$27,$L$8:$L$27,L27,$N$8:$N$27,"",$H$8:$H$27,H27,$A$8:$A$27,"&lt;="&amp;A27)+SUMIFS($F$8:$F$27,$L$8:$L$27,L27,$N$8:$N$27,"&gt;"&amp;ASOF))</f>
        <v>280.44</v>
      </c>
      <c r="AU27" s="89" t="n">
        <f aca="false">IFERROR(VLOOKUP(L27,TEAM_TBL,2,0)*VLOOKUP(L27,TEAM_TBL,3,0),150)</f>
        <v>150</v>
      </c>
      <c r="AV27" s="90" t="n">
        <f aca="false">IF(O27&lt;&gt;"","",MAX(Y27+LAG_PEA,ASOF+LAG_PEA))</f>
        <v>46356</v>
      </c>
      <c r="AW27" s="89" t="n">
        <f aca="false">IF(O27&lt;&gt;"","",COUNTIFS($E$8:$E$27,E27,$AV$8:$AV$27,"&lt;"&amp;AV27)+COUNTIFS($E$8:$E$27,E27,$AV$8:$AV$27,AV27,$A$8:$A$27,"&lt;"&amp;A27)+COUNTIFS($E$8:$E$27,E27,$O$8:$O$27,"&gt;"&amp;ASOF)+1)</f>
        <v>1</v>
      </c>
      <c r="AX27" s="89" t="n">
        <f aca="false">IFERROR(VLOOKUP(E27,ZONE_TBL,2,0),CAP_PEA)</f>
        <v>3</v>
      </c>
      <c r="AY27" s="89" t="n">
        <f aca="false">IF(O27&lt;&gt;"","",COUNTIFS($J$8:$J$27,J27,$AV$8:$AV$27,"&lt;"&amp;AV27)+COUNTIFS($J$8:$J$27,J27,$AV$8:$AV$27,AV27,$A$8:$A$27,"&lt;"&amp;A27)+COUNTIFS($J$8:$J$27,J27,$O$8:$O$27,"&gt;"&amp;ASOF)+1)</f>
        <v>1</v>
      </c>
      <c r="AZ27" s="89" t="n">
        <f aca="false">IFERROR(VLOOKUP(J27,ENG_TBL,2,0),ENG_CAP)</f>
        <v>3</v>
      </c>
      <c r="BA27" s="90" t="n">
        <f aca="false">IF(P27&lt;&gt;"","",MAX(Z27+LAG_IEC,ASOF+1))</f>
        <v>46359</v>
      </c>
      <c r="BB27" s="89" t="n">
        <f aca="false">IF(P27&lt;&gt;"","",COUNTIFS($L$8:$L$27,L27,$BA$8:$BA$27,"&lt;"&amp;BA27)+COUNTIFS($L$8:$L$27,L27,$BA$8:$BA$27,BA27,$A$8:$A$27,"&lt;"&amp;A27)+COUNTIFS($L$8:$L$27,L27,$P$8:$P$27,"&gt;"&amp;ASOF)+1)</f>
        <v>1</v>
      </c>
      <c r="BC27" s="89" t="n">
        <f aca="false">IFERROR(VLOOKUP(L27,TEAM_TBL,4,0)*VLOOKUP(L27,TEAM_TBL,5,0),3)</f>
        <v>3</v>
      </c>
      <c r="BD27" s="91" t="n">
        <f aca="false">IFERROR(VLOOKUP(L27,TEAM_TBL,6,0),LAG_HO)</f>
        <v>7</v>
      </c>
      <c r="BE27" s="89" t="n">
        <f aca="false">IF(ISNUMBER(AW27),7*INT((AW27-1)/MAX(1,AX27)),"")</f>
        <v>0</v>
      </c>
      <c r="BF27" s="89" t="n">
        <f aca="false">IF(ISNUMBER(AY27),7*INT((AY27-1)/MAX(1,AZ27)),"")</f>
        <v>0</v>
      </c>
      <c r="BH27" s="92" t="str">
        <f aca="false">IF(AND($Y27&lt;&gt;"",$Y27&gt;=BH$7,$Y27&lt;BH$7+7),"I","")&amp;IF(AND($Z27&lt;&gt;"",$Z27&gt;=BH$7,$Z27&lt;BH$7+7),"P","")&amp;IF(AND($AA27&lt;&gt;"",$AA27&gt;=BH$7,$AA27&lt;BH$7+7),"T","")&amp;IF(AND($AB27&lt;&gt;"",$AB27&gt;=BH$7,$AB27&lt;BH$7+7),"H","")&amp;IF(AND($AC27&lt;&gt;"",$AC27&gt;=BH$7,$AC27&lt;BH$7+7),"G","")&amp;IF(AND($AH27&lt;&gt;"",$AH27&gt;=BH$7,$AH27&lt;BH$7+7),"S","")</f>
        <v/>
      </c>
      <c r="BI27" s="92" t="str">
        <f aca="false">IF(AND($Y27&lt;&gt;"",$Y27&gt;=BI$7,$Y27&lt;BI$7+7),"I","")&amp;IF(AND($Z27&lt;&gt;"",$Z27&gt;=BI$7,$Z27&lt;BI$7+7),"P","")&amp;IF(AND($AA27&lt;&gt;"",$AA27&gt;=BI$7,$AA27&lt;BI$7+7),"T","")&amp;IF(AND($AB27&lt;&gt;"",$AB27&gt;=BI$7,$AB27&lt;BI$7+7),"H","")&amp;IF(AND($AC27&lt;&gt;"",$AC27&gt;=BI$7,$AC27&lt;BI$7+7),"G","")&amp;IF(AND($AH27&lt;&gt;"",$AH27&gt;=BI$7,$AH27&lt;BI$7+7),"S","")</f>
        <v/>
      </c>
      <c r="BJ27" s="92" t="str">
        <f aca="false">IF(AND($Y27&lt;&gt;"",$Y27&gt;=BJ$7,$Y27&lt;BJ$7+7),"I","")&amp;IF(AND($Z27&lt;&gt;"",$Z27&gt;=BJ$7,$Z27&lt;BJ$7+7),"P","")&amp;IF(AND($AA27&lt;&gt;"",$AA27&gt;=BJ$7,$AA27&lt;BJ$7+7),"T","")&amp;IF(AND($AB27&lt;&gt;"",$AB27&gt;=BJ$7,$AB27&lt;BJ$7+7),"H","")&amp;IF(AND($AC27&lt;&gt;"",$AC27&gt;=BJ$7,$AC27&lt;BJ$7+7),"G","")&amp;IF(AND($AH27&lt;&gt;"",$AH27&gt;=BJ$7,$AH27&lt;BJ$7+7),"S","")</f>
        <v/>
      </c>
      <c r="BK27" s="92" t="str">
        <f aca="false">IF(AND($Y27&lt;&gt;"",$Y27&gt;=BK$7,$Y27&lt;BK$7+7),"I","")&amp;IF(AND($Z27&lt;&gt;"",$Z27&gt;=BK$7,$Z27&lt;BK$7+7),"P","")&amp;IF(AND($AA27&lt;&gt;"",$AA27&gt;=BK$7,$AA27&lt;BK$7+7),"T","")&amp;IF(AND($AB27&lt;&gt;"",$AB27&gt;=BK$7,$AB27&lt;BK$7+7),"H","")&amp;IF(AND($AC27&lt;&gt;"",$AC27&gt;=BK$7,$AC27&lt;BK$7+7),"G","")&amp;IF(AND($AH27&lt;&gt;"",$AH27&gt;=BK$7,$AH27&lt;BK$7+7),"S","")</f>
        <v/>
      </c>
      <c r="BL27" s="92" t="str">
        <f aca="false">IF(AND($Y27&lt;&gt;"",$Y27&gt;=BL$7,$Y27&lt;BL$7+7),"I","")&amp;IF(AND($Z27&lt;&gt;"",$Z27&gt;=BL$7,$Z27&lt;BL$7+7),"P","")&amp;IF(AND($AA27&lt;&gt;"",$AA27&gt;=BL$7,$AA27&lt;BL$7+7),"T","")&amp;IF(AND($AB27&lt;&gt;"",$AB27&gt;=BL$7,$AB27&lt;BL$7+7),"H","")&amp;IF(AND($AC27&lt;&gt;"",$AC27&gt;=BL$7,$AC27&lt;BL$7+7),"G","")&amp;IF(AND($AH27&lt;&gt;"",$AH27&gt;=BL$7,$AH27&lt;BL$7+7),"S","")</f>
        <v>I</v>
      </c>
      <c r="BM27" s="92" t="str">
        <f aca="false">IF(AND($Y27&lt;&gt;"",$Y27&gt;=BM$7,$Y27&lt;BM$7+7),"I","")&amp;IF(AND($Z27&lt;&gt;"",$Z27&gt;=BM$7,$Z27&lt;BM$7+7),"P","")&amp;IF(AND($AA27&lt;&gt;"",$AA27&gt;=BM$7,$AA27&lt;BM$7+7),"T","")&amp;IF(AND($AB27&lt;&gt;"",$AB27&gt;=BM$7,$AB27&lt;BM$7+7),"H","")&amp;IF(AND($AC27&lt;&gt;"",$AC27&gt;=BM$7,$AC27&lt;BM$7+7),"G","")&amp;IF(AND($AH27&lt;&gt;"",$AH27&gt;=BM$7,$AH27&lt;BM$7+7),"S","")</f>
        <v>PTG</v>
      </c>
      <c r="BN27" s="92" t="str">
        <f aca="false">IF(AND($Y27&lt;&gt;"",$Y27&gt;=BN$7,$Y27&lt;BN$7+7),"I","")&amp;IF(AND($Z27&lt;&gt;"",$Z27&gt;=BN$7,$Z27&lt;BN$7+7),"P","")&amp;IF(AND($AA27&lt;&gt;"",$AA27&gt;=BN$7,$AA27&lt;BN$7+7),"T","")&amp;IF(AND($AB27&lt;&gt;"",$AB27&gt;=BN$7,$AB27&lt;BN$7+7),"H","")&amp;IF(AND($AC27&lt;&gt;"",$AC27&gt;=BN$7,$AC27&lt;BN$7+7),"G","")&amp;IF(AND($AH27&lt;&gt;"",$AH27&gt;=BN$7,$AH27&lt;BN$7+7),"S","")</f>
        <v>H</v>
      </c>
      <c r="BO27" s="92" t="str">
        <f aca="false">IF(AND($Y27&lt;&gt;"",$Y27&gt;=BO$7,$Y27&lt;BO$7+7),"I","")&amp;IF(AND($Z27&lt;&gt;"",$Z27&gt;=BO$7,$Z27&lt;BO$7+7),"P","")&amp;IF(AND($AA27&lt;&gt;"",$AA27&gt;=BO$7,$AA27&lt;BO$7+7),"T","")&amp;IF(AND($AB27&lt;&gt;"",$AB27&gt;=BO$7,$AB27&lt;BO$7+7),"H","")&amp;IF(AND($AC27&lt;&gt;"",$AC27&gt;=BO$7,$AC27&lt;BO$7+7),"G","")&amp;IF(AND($AH27&lt;&gt;"",$AH27&gt;=BO$7,$AH27&lt;BO$7+7),"S","")</f>
        <v/>
      </c>
      <c r="BP27" s="92" t="str">
        <f aca="false">IF(AND($Y27&lt;&gt;"",$Y27&gt;=BP$7,$Y27&lt;BP$7+7),"I","")&amp;IF(AND($Z27&lt;&gt;"",$Z27&gt;=BP$7,$Z27&lt;BP$7+7),"P","")&amp;IF(AND($AA27&lt;&gt;"",$AA27&gt;=BP$7,$AA27&lt;BP$7+7),"T","")&amp;IF(AND($AB27&lt;&gt;"",$AB27&gt;=BP$7,$AB27&lt;BP$7+7),"H","")&amp;IF(AND($AC27&lt;&gt;"",$AC27&gt;=BP$7,$AC27&lt;BP$7+7),"G","")&amp;IF(AND($AH27&lt;&gt;"",$AH27&gt;=BP$7,$AH27&lt;BP$7+7),"S","")</f>
        <v/>
      </c>
      <c r="BQ27" s="92" t="str">
        <f aca="false">IF(AND($Y27&lt;&gt;"",$Y27&gt;=BQ$7,$Y27&lt;BQ$7+7),"I","")&amp;IF(AND($Z27&lt;&gt;"",$Z27&gt;=BQ$7,$Z27&lt;BQ$7+7),"P","")&amp;IF(AND($AA27&lt;&gt;"",$AA27&gt;=BQ$7,$AA27&lt;BQ$7+7),"T","")&amp;IF(AND($AB27&lt;&gt;"",$AB27&gt;=BQ$7,$AB27&lt;BQ$7+7),"H","")&amp;IF(AND($AC27&lt;&gt;"",$AC27&gt;=BQ$7,$AC27&lt;BQ$7+7),"G","")&amp;IF(AND($AH27&lt;&gt;"",$AH27&gt;=BQ$7,$AH27&lt;BQ$7+7),"S","")</f>
        <v/>
      </c>
      <c r="BR27" s="92" t="str">
        <f aca="false">IF(AND($Y27&lt;&gt;"",$Y27&gt;=BR$7,$Y27&lt;BR$7+7),"I","")&amp;IF(AND($Z27&lt;&gt;"",$Z27&gt;=BR$7,$Z27&lt;BR$7+7),"P","")&amp;IF(AND($AA27&lt;&gt;"",$AA27&gt;=BR$7,$AA27&lt;BR$7+7),"T","")&amp;IF(AND($AB27&lt;&gt;"",$AB27&gt;=BR$7,$AB27&lt;BR$7+7),"H","")&amp;IF(AND($AC27&lt;&gt;"",$AC27&gt;=BR$7,$AC27&lt;BR$7+7),"G","")&amp;IF(AND($AH27&lt;&gt;"",$AH27&gt;=BR$7,$AH27&lt;BR$7+7),"S","")</f>
        <v/>
      </c>
      <c r="BS27" s="92" t="str">
        <f aca="false">IF(AND($Y27&lt;&gt;"",$Y27&gt;=BS$7,$Y27&lt;BS$7+7),"I","")&amp;IF(AND($Z27&lt;&gt;"",$Z27&gt;=BS$7,$Z27&lt;BS$7+7),"P","")&amp;IF(AND($AA27&lt;&gt;"",$AA27&gt;=BS$7,$AA27&lt;BS$7+7),"T","")&amp;IF(AND($AB27&lt;&gt;"",$AB27&gt;=BS$7,$AB27&lt;BS$7+7),"H","")&amp;IF(AND($AC27&lt;&gt;"",$AC27&gt;=BS$7,$AC27&lt;BS$7+7),"G","")&amp;IF(AND($AH27&lt;&gt;"",$AH27&gt;=BS$7,$AH27&lt;BS$7+7),"S","")</f>
        <v/>
      </c>
      <c r="BT27" s="92" t="str">
        <f aca="false">IF(AND($Y27&lt;&gt;"",$Y27&gt;=BT$7,$Y27&lt;BT$7+7),"I","")&amp;IF(AND($Z27&lt;&gt;"",$Z27&gt;=BT$7,$Z27&lt;BT$7+7),"P","")&amp;IF(AND($AA27&lt;&gt;"",$AA27&gt;=BT$7,$AA27&lt;BT$7+7),"T","")&amp;IF(AND($AB27&lt;&gt;"",$AB27&gt;=BT$7,$AB27&lt;BT$7+7),"H","")&amp;IF(AND($AC27&lt;&gt;"",$AC27&gt;=BT$7,$AC27&lt;BT$7+7),"G","")&amp;IF(AND($AH27&lt;&gt;"",$AH27&gt;=BT$7,$AH27&lt;BT$7+7),"S","")</f>
        <v/>
      </c>
      <c r="BU27" s="92" t="str">
        <f aca="false">IF(AND($Y27&lt;&gt;"",$Y27&gt;=BU$7,$Y27&lt;BU$7+7),"I","")&amp;IF(AND($Z27&lt;&gt;"",$Z27&gt;=BU$7,$Z27&lt;BU$7+7),"P","")&amp;IF(AND($AA27&lt;&gt;"",$AA27&gt;=BU$7,$AA27&lt;BU$7+7),"T","")&amp;IF(AND($AB27&lt;&gt;"",$AB27&gt;=BU$7,$AB27&lt;BU$7+7),"H","")&amp;IF(AND($AC27&lt;&gt;"",$AC27&gt;=BU$7,$AC27&lt;BU$7+7),"G","")&amp;IF(AND($AH27&lt;&gt;"",$AH27&gt;=BU$7,$AH27&lt;BU$7+7),"S","")</f>
        <v/>
      </c>
      <c r="BV27" s="92" t="str">
        <f aca="false">IF(AND($Y27&lt;&gt;"",$Y27&gt;=BV$7,$Y27&lt;BV$7+7),"I","")&amp;IF(AND($Z27&lt;&gt;"",$Z27&gt;=BV$7,$Z27&lt;BV$7+7),"P","")&amp;IF(AND($AA27&lt;&gt;"",$AA27&gt;=BV$7,$AA27&lt;BV$7+7),"T","")&amp;IF(AND($AB27&lt;&gt;"",$AB27&gt;=BV$7,$AB27&lt;BV$7+7),"H","")&amp;IF(AND($AC27&lt;&gt;"",$AC27&gt;=BV$7,$AC27&lt;BV$7+7),"G","")&amp;IF(AND($AH27&lt;&gt;"",$AH27&gt;=BV$7,$AH27&lt;BV$7+7),"S","")</f>
        <v/>
      </c>
      <c r="BW27" s="92" t="str">
        <f aca="false">IF(AND($Y27&lt;&gt;"",$Y27&gt;=BW$7,$Y27&lt;BW$7+7),"I","")&amp;IF(AND($Z27&lt;&gt;"",$Z27&gt;=BW$7,$Z27&lt;BW$7+7),"P","")&amp;IF(AND($AA27&lt;&gt;"",$AA27&gt;=BW$7,$AA27&lt;BW$7+7),"T","")&amp;IF(AND($AB27&lt;&gt;"",$AB27&gt;=BW$7,$AB27&lt;BW$7+7),"H","")&amp;IF(AND($AC27&lt;&gt;"",$AC27&gt;=BW$7,$AC27&lt;BW$7+7),"G","")&amp;IF(AND($AH27&lt;&gt;"",$AH27&gt;=BW$7,$AH27&lt;BW$7+7),"S","")</f>
        <v/>
      </c>
      <c r="BX27" s="92" t="str">
        <f aca="false">IF(AND($Y27&lt;&gt;"",$Y27&gt;=BX$7,$Y27&lt;BX$7+7),"I","")&amp;IF(AND($Z27&lt;&gt;"",$Z27&gt;=BX$7,$Z27&lt;BX$7+7),"P","")&amp;IF(AND($AA27&lt;&gt;"",$AA27&gt;=BX$7,$AA27&lt;BX$7+7),"T","")&amp;IF(AND($AB27&lt;&gt;"",$AB27&gt;=BX$7,$AB27&lt;BX$7+7),"H","")&amp;IF(AND($AC27&lt;&gt;"",$AC27&gt;=BX$7,$AC27&lt;BX$7+7),"G","")&amp;IF(AND($AH27&lt;&gt;"",$AH27&gt;=BX$7,$AH27&lt;BX$7+7),"S","")</f>
        <v>S</v>
      </c>
      <c r="BY27" s="92" t="str">
        <f aca="false">IF(AND($Y27&lt;&gt;"",$Y27&gt;=BY$7,$Y27&lt;BY$7+7),"I","")&amp;IF(AND($Z27&lt;&gt;"",$Z27&gt;=BY$7,$Z27&lt;BY$7+7),"P","")&amp;IF(AND($AA27&lt;&gt;"",$AA27&gt;=BY$7,$AA27&lt;BY$7+7),"T","")&amp;IF(AND($AB27&lt;&gt;"",$AB27&gt;=BY$7,$AB27&lt;BY$7+7),"H","")&amp;IF(AND($AC27&lt;&gt;"",$AC27&gt;=BY$7,$AC27&lt;BY$7+7),"G","")&amp;IF(AND($AH27&lt;&gt;"",$AH27&gt;=BY$7,$AH27&lt;BY$7+7),"S","")</f>
        <v/>
      </c>
      <c r="BZ27" s="92" t="str">
        <f aca="false">IF(AND($Y27&lt;&gt;"",$Y27&gt;=BZ$7,$Y27&lt;BZ$7+7),"I","")&amp;IF(AND($Z27&lt;&gt;"",$Z27&gt;=BZ$7,$Z27&lt;BZ$7+7),"P","")&amp;IF(AND($AA27&lt;&gt;"",$AA27&gt;=BZ$7,$AA27&lt;BZ$7+7),"T","")&amp;IF(AND($AB27&lt;&gt;"",$AB27&gt;=BZ$7,$AB27&lt;BZ$7+7),"H","")&amp;IF(AND($AC27&lt;&gt;"",$AC27&gt;=BZ$7,$AC27&lt;BZ$7+7),"G","")&amp;IF(AND($AH27&lt;&gt;"",$AH27&gt;=BZ$7,$AH27&lt;BZ$7+7),"S","")</f>
        <v/>
      </c>
      <c r="CA27" s="92" t="str">
        <f aca="false">IF(AND($Y27&lt;&gt;"",$Y27&gt;=CA$7,$Y27&lt;CA$7+7),"I","")&amp;IF(AND($Z27&lt;&gt;"",$Z27&gt;=CA$7,$Z27&lt;CA$7+7),"P","")&amp;IF(AND($AA27&lt;&gt;"",$AA27&gt;=CA$7,$AA27&lt;CA$7+7),"T","")&amp;IF(AND($AB27&lt;&gt;"",$AB27&gt;=CA$7,$AB27&lt;CA$7+7),"H","")&amp;IF(AND($AC27&lt;&gt;"",$AC27&gt;=CA$7,$AC27&lt;CA$7+7),"G","")&amp;IF(AND($AH27&lt;&gt;"",$AH27&gt;=CA$7,$AH27&lt;CA$7+7),"S","")</f>
        <v/>
      </c>
      <c r="CB27" s="92" t="str">
        <f aca="false">IF(AND($Y27&lt;&gt;"",$Y27&gt;=CB$7,$Y27&lt;CB$7+7),"I","")&amp;IF(AND($Z27&lt;&gt;"",$Z27&gt;=CB$7,$Z27&lt;CB$7+7),"P","")&amp;IF(AND($AA27&lt;&gt;"",$AA27&gt;=CB$7,$AA27&lt;CB$7+7),"T","")&amp;IF(AND($AB27&lt;&gt;"",$AB27&gt;=CB$7,$AB27&lt;CB$7+7),"H","")&amp;IF(AND($AC27&lt;&gt;"",$AC27&gt;=CB$7,$AC27&lt;CB$7+7),"G","")&amp;IF(AND($AH27&lt;&gt;"",$AH27&gt;=CB$7,$AH27&lt;CB$7+7),"S","")</f>
        <v/>
      </c>
      <c r="CC27" s="92" t="str">
        <f aca="false">IF(AND($Y27&lt;&gt;"",$Y27&gt;=CC$7,$Y27&lt;CC$7+7),"I","")&amp;IF(AND($Z27&lt;&gt;"",$Z27&gt;=CC$7,$Z27&lt;CC$7+7),"P","")&amp;IF(AND($AA27&lt;&gt;"",$AA27&gt;=CC$7,$AA27&lt;CC$7+7),"T","")&amp;IF(AND($AB27&lt;&gt;"",$AB27&gt;=CC$7,$AB27&lt;CC$7+7),"H","")&amp;IF(AND($AC27&lt;&gt;"",$AC27&gt;=CC$7,$AC27&lt;CC$7+7),"G","")&amp;IF(AND($AH27&lt;&gt;"",$AH27&gt;=CC$7,$AH27&lt;CC$7+7),"S","")</f>
        <v/>
      </c>
      <c r="CD27" s="92" t="str">
        <f aca="false">IF(AND($Y27&lt;&gt;"",$Y27&gt;=CD$7,$Y27&lt;CD$7+7),"I","")&amp;IF(AND($Z27&lt;&gt;"",$Z27&gt;=CD$7,$Z27&lt;CD$7+7),"P","")&amp;IF(AND($AA27&lt;&gt;"",$AA27&gt;=CD$7,$AA27&lt;CD$7+7),"T","")&amp;IF(AND($AB27&lt;&gt;"",$AB27&gt;=CD$7,$AB27&lt;CD$7+7),"H","")&amp;IF(AND($AC27&lt;&gt;"",$AC27&gt;=CD$7,$AC27&lt;CD$7+7),"G","")&amp;IF(AND($AH27&lt;&gt;"",$AH27&gt;=CD$7,$AH27&lt;CD$7+7),"S","")</f>
        <v/>
      </c>
      <c r="CE27" s="92" t="str">
        <f aca="false">IF(AND($Y27&lt;&gt;"",$Y27&gt;=CE$7,$Y27&lt;CE$7+7),"I","")&amp;IF(AND($Z27&lt;&gt;"",$Z27&gt;=CE$7,$Z27&lt;CE$7+7),"P","")&amp;IF(AND($AA27&lt;&gt;"",$AA27&gt;=CE$7,$AA27&lt;CE$7+7),"T","")&amp;IF(AND($AB27&lt;&gt;"",$AB27&gt;=CE$7,$AB27&lt;CE$7+7),"H","")&amp;IF(AND($AC27&lt;&gt;"",$AC27&gt;=CE$7,$AC27&lt;CE$7+7),"G","")&amp;IF(AND($AH27&lt;&gt;"",$AH27&gt;=CE$7,$AH27&lt;CE$7+7),"S","")</f>
        <v/>
      </c>
      <c r="CF27" s="92" t="str">
        <f aca="false">IF(AND($Y27&lt;&gt;"",$Y27&gt;=CF$7,$Y27&lt;CF$7+7),"I","")&amp;IF(AND($Z27&lt;&gt;"",$Z27&gt;=CF$7,$Z27&lt;CF$7+7),"P","")&amp;IF(AND($AA27&lt;&gt;"",$AA27&gt;=CF$7,$AA27&lt;CF$7+7),"T","")&amp;IF(AND($AB27&lt;&gt;"",$AB27&gt;=CF$7,$AB27&lt;CF$7+7),"H","")&amp;IF(AND($AC27&lt;&gt;"",$AC27&gt;=CF$7,$AC27&lt;CF$7+7),"G","")&amp;IF(AND($AH27&lt;&gt;"",$AH27&gt;=CF$7,$AH27&lt;CF$7+7),"S","")</f>
        <v/>
      </c>
      <c r="CG27" s="92" t="str">
        <f aca="false">IF(AND($Y27&lt;&gt;"",$Y27&gt;=CG$7,$Y27&lt;CG$7+7),"I","")&amp;IF(AND($Z27&lt;&gt;"",$Z27&gt;=CG$7,$Z27&lt;CG$7+7),"P","")&amp;IF(AND($AA27&lt;&gt;"",$AA27&gt;=CG$7,$AA27&lt;CG$7+7),"T","")&amp;IF(AND($AB27&lt;&gt;"",$AB27&gt;=CG$7,$AB27&lt;CG$7+7),"H","")&amp;IF(AND($AC27&lt;&gt;"",$AC27&gt;=CG$7,$AC27&lt;CG$7+7),"G","")&amp;IF(AND($AH27&lt;&gt;"",$AH27&gt;=CG$7,$AH27&lt;CG$7+7),"S","")</f>
        <v/>
      </c>
      <c r="CH27" s="92" t="str">
        <f aca="false">IF(AND($Y27&lt;&gt;"",$Y27&gt;=CH$7,$Y27&lt;CH$7+7),"I","")&amp;IF(AND($Z27&lt;&gt;"",$Z27&gt;=CH$7,$Z27&lt;CH$7+7),"P","")&amp;IF(AND($AA27&lt;&gt;"",$AA27&gt;=CH$7,$AA27&lt;CH$7+7),"T","")&amp;IF(AND($AB27&lt;&gt;"",$AB27&gt;=CH$7,$AB27&lt;CH$7+7),"H","")&amp;IF(AND($AC27&lt;&gt;"",$AC27&gt;=CH$7,$AC27&lt;CH$7+7),"G","")&amp;IF(AND($AH27&lt;&gt;"",$AH27&gt;=CH$7,$AH27&lt;CH$7+7),"S","")</f>
        <v/>
      </c>
      <c r="CI27" s="92" t="str">
        <f aca="false">IF(AND($Y27&lt;&gt;"",$Y27&gt;=CI$7,$Y27&lt;CI$7+7),"I","")&amp;IF(AND($Z27&lt;&gt;"",$Z27&gt;=CI$7,$Z27&lt;CI$7+7),"P","")&amp;IF(AND($AA27&lt;&gt;"",$AA27&gt;=CI$7,$AA27&lt;CI$7+7),"T","")&amp;IF(AND($AB27&lt;&gt;"",$AB27&gt;=CI$7,$AB27&lt;CI$7+7),"H","")&amp;IF(AND($AC27&lt;&gt;"",$AC27&gt;=CI$7,$AC27&lt;CI$7+7),"G","")&amp;IF(AND($AH27&lt;&gt;"",$AH27&gt;=CI$7,$AH27&lt;CI$7+7),"S","")</f>
        <v/>
      </c>
      <c r="CJ27" s="92" t="str">
        <f aca="false">IF(AND($Y27&lt;&gt;"",$Y27&gt;=CJ$7,$Y27&lt;CJ$7+7),"I","")&amp;IF(AND($Z27&lt;&gt;"",$Z27&gt;=CJ$7,$Z27&lt;CJ$7+7),"P","")&amp;IF(AND($AA27&lt;&gt;"",$AA27&gt;=CJ$7,$AA27&lt;CJ$7+7),"T","")&amp;IF(AND($AB27&lt;&gt;"",$AB27&gt;=CJ$7,$AB27&lt;CJ$7+7),"H","")&amp;IF(AND($AC27&lt;&gt;"",$AC27&gt;=CJ$7,$AC27&lt;CJ$7+7),"G","")&amp;IF(AND($AH27&lt;&gt;"",$AH27&gt;=CJ$7,$AH27&lt;CJ$7+7),"S","")</f>
        <v/>
      </c>
      <c r="CK27" s="92" t="str">
        <f aca="false">IF(AND($Y27&lt;&gt;"",$Y27&gt;=CK$7,$Y27&lt;CK$7+7),"I","")&amp;IF(AND($Z27&lt;&gt;"",$Z27&gt;=CK$7,$Z27&lt;CK$7+7),"P","")&amp;IF(AND($AA27&lt;&gt;"",$AA27&gt;=CK$7,$AA27&lt;CK$7+7),"T","")&amp;IF(AND($AB27&lt;&gt;"",$AB27&gt;=CK$7,$AB27&lt;CK$7+7),"H","")&amp;IF(AND($AC27&lt;&gt;"",$AC27&gt;=CK$7,$AC27&lt;CK$7+7),"G","")&amp;IF(AND($AH27&lt;&gt;"",$AH27&gt;=CK$7,$AH27&lt;CK$7+7),"S","")</f>
        <v/>
      </c>
      <c r="CL27" s="92" t="str">
        <f aca="false">IF(AND($Y27&lt;&gt;"",$Y27&gt;=CL$7,$Y27&lt;CL$7+7),"I","")&amp;IF(AND($Z27&lt;&gt;"",$Z27&gt;=CL$7,$Z27&lt;CL$7+7),"P","")&amp;IF(AND($AA27&lt;&gt;"",$AA27&gt;=CL$7,$AA27&lt;CL$7+7),"T","")&amp;IF(AND($AB27&lt;&gt;"",$AB27&gt;=CL$7,$AB27&lt;CL$7+7),"H","")&amp;IF(AND($AC27&lt;&gt;"",$AC27&gt;=CL$7,$AC27&lt;CL$7+7),"G","")&amp;IF(AND($AH27&lt;&gt;"",$AH27&gt;=CL$7,$AH27&lt;CL$7+7),"S","")</f>
        <v/>
      </c>
      <c r="CM27" s="92" t="str">
        <f aca="false">IF(AND($Y27&lt;&gt;"",$Y27&gt;=CM$7,$Y27&lt;CM$7+7),"I","")&amp;IF(AND($Z27&lt;&gt;"",$Z27&gt;=CM$7,$Z27&lt;CM$7+7),"P","")&amp;IF(AND($AA27&lt;&gt;"",$AA27&gt;=CM$7,$AA27&lt;CM$7+7),"T","")&amp;IF(AND($AB27&lt;&gt;"",$AB27&gt;=CM$7,$AB27&lt;CM$7+7),"H","")&amp;IF(AND($AC27&lt;&gt;"",$AC27&gt;=CM$7,$AC27&lt;CM$7+7),"G","")&amp;IF(AND($AH27&lt;&gt;"",$AH27&gt;=CM$7,$AH27&lt;CM$7+7),"S","")</f>
        <v/>
      </c>
      <c r="CN27" s="92" t="str">
        <f aca="false">IF(AND($Y27&lt;&gt;"",$Y27&gt;=CN$7,$Y27&lt;CN$7+7),"I","")&amp;IF(AND($Z27&lt;&gt;"",$Z27&gt;=CN$7,$Z27&lt;CN$7+7),"P","")&amp;IF(AND($AA27&lt;&gt;"",$AA27&gt;=CN$7,$AA27&lt;CN$7+7),"T","")&amp;IF(AND($AB27&lt;&gt;"",$AB27&gt;=CN$7,$AB27&lt;CN$7+7),"H","")&amp;IF(AND($AC27&lt;&gt;"",$AC27&gt;=CN$7,$AC27&lt;CN$7+7),"G","")&amp;IF(AND($AH27&lt;&gt;"",$AH27&gt;=CN$7,$AH27&lt;CN$7+7),"S","")</f>
        <v/>
      </c>
      <c r="CO27" s="92" t="str">
        <f aca="false">IF(AND($Y27&lt;&gt;"",$Y27&gt;=CO$7,$Y27&lt;CO$7+7),"I","")&amp;IF(AND($Z27&lt;&gt;"",$Z27&gt;=CO$7,$Z27&lt;CO$7+7),"P","")&amp;IF(AND($AA27&lt;&gt;"",$AA27&gt;=CO$7,$AA27&lt;CO$7+7),"T","")&amp;IF(AND($AB27&lt;&gt;"",$AB27&gt;=CO$7,$AB27&lt;CO$7+7),"H","")&amp;IF(AND($AC27&lt;&gt;"",$AC27&gt;=CO$7,$AC27&lt;CO$7+7),"G","")&amp;IF(AND($AH27&lt;&gt;"",$AH27&gt;=CO$7,$AH27&lt;CO$7+7),"S","")</f>
        <v/>
      </c>
      <c r="CP27" s="92" t="str">
        <f aca="false">IF(AND($Y27&lt;&gt;"",$Y27&gt;=CP$7,$Y27&lt;CP$7+7),"I","")&amp;IF(AND($Z27&lt;&gt;"",$Z27&gt;=CP$7,$Z27&lt;CP$7+7),"P","")&amp;IF(AND($AA27&lt;&gt;"",$AA27&gt;=CP$7,$AA27&lt;CP$7+7),"T","")&amp;IF(AND($AB27&lt;&gt;"",$AB27&gt;=CP$7,$AB27&lt;CP$7+7),"H","")&amp;IF(AND($AC27&lt;&gt;"",$AC27&gt;=CP$7,$AC27&lt;CP$7+7),"G","")&amp;IF(AND($AH27&lt;&gt;"",$AH27&gt;=CP$7,$AH27&lt;CP$7+7),"S","")</f>
        <v/>
      </c>
      <c r="CQ27" s="92" t="str">
        <f aca="false">IF(AND($Y27&lt;&gt;"",$Y27&gt;=CQ$7,$Y27&lt;CQ$7+7),"I","")&amp;IF(AND($Z27&lt;&gt;"",$Z27&gt;=CQ$7,$Z27&lt;CQ$7+7),"P","")&amp;IF(AND($AA27&lt;&gt;"",$AA27&gt;=CQ$7,$AA27&lt;CQ$7+7),"T","")&amp;IF(AND($AB27&lt;&gt;"",$AB27&gt;=CQ$7,$AB27&lt;CQ$7+7),"H","")&amp;IF(AND($AC27&lt;&gt;"",$AC27&gt;=CQ$7,$AC27&lt;CQ$7+7),"G","")&amp;IF(AND($AH27&lt;&gt;"",$AH27&gt;=CQ$7,$AH27&lt;CQ$7+7),"S","")</f>
        <v/>
      </c>
      <c r="CR27" s="92" t="str">
        <f aca="false">IF(AND($Y27&lt;&gt;"",$Y27&gt;=CR$7,$Y27&lt;CR$7+7),"I","")&amp;IF(AND($Z27&lt;&gt;"",$Z27&gt;=CR$7,$Z27&lt;CR$7+7),"P","")&amp;IF(AND($AA27&lt;&gt;"",$AA27&gt;=CR$7,$AA27&lt;CR$7+7),"T","")&amp;IF(AND($AB27&lt;&gt;"",$AB27&gt;=CR$7,$AB27&lt;CR$7+7),"H","")&amp;IF(AND($AC27&lt;&gt;"",$AC27&gt;=CR$7,$AC27&lt;CR$7+7),"G","")&amp;IF(AND($AH27&lt;&gt;"",$AH27&gt;=CR$7,$AH27&lt;CR$7+7),"S","")</f>
        <v/>
      </c>
      <c r="CS27" s="92" t="str">
        <f aca="false">IF(AND($Y27&lt;&gt;"",$Y27&gt;=CS$7,$Y27&lt;CS$7+7),"I","")&amp;IF(AND($Z27&lt;&gt;"",$Z27&gt;=CS$7,$Z27&lt;CS$7+7),"P","")&amp;IF(AND($AA27&lt;&gt;"",$AA27&gt;=CS$7,$AA27&lt;CS$7+7),"T","")&amp;IF(AND($AB27&lt;&gt;"",$AB27&gt;=CS$7,$AB27&lt;CS$7+7),"H","")&amp;IF(AND($AC27&lt;&gt;"",$AC27&gt;=CS$7,$AC27&lt;CS$7+7),"G","")&amp;IF(AND($AH27&lt;&gt;"",$AH27&gt;=CS$7,$AH27&lt;CS$7+7),"S","")</f>
        <v/>
      </c>
      <c r="CT27" s="92" t="str">
        <f aca="false">IF(AND($Y27&lt;&gt;"",$Y27&gt;=CT$7,$Y27&lt;CT$7+7),"I","")&amp;IF(AND($Z27&lt;&gt;"",$Z27&gt;=CT$7,$Z27&lt;CT$7+7),"P","")&amp;IF(AND($AA27&lt;&gt;"",$AA27&gt;=CT$7,$AA27&lt;CT$7+7),"T","")&amp;IF(AND($AB27&lt;&gt;"",$AB27&gt;=CT$7,$AB27&lt;CT$7+7),"H","")&amp;IF(AND($AC27&lt;&gt;"",$AC27&gt;=CT$7,$AC27&lt;CT$7+7),"G","")&amp;IF(AND($AH27&lt;&gt;"",$AH27&gt;=CT$7,$AH27&lt;CT$7+7),"S","")</f>
        <v/>
      </c>
      <c r="CU27" s="92" t="str">
        <f aca="false">IF(AND($Y27&lt;&gt;"",$Y27&gt;=CU$7,$Y27&lt;CU$7+7),"I","")&amp;IF(AND($Z27&lt;&gt;"",$Z27&gt;=CU$7,$Z27&lt;CU$7+7),"P","")&amp;IF(AND($AA27&lt;&gt;"",$AA27&gt;=CU$7,$AA27&lt;CU$7+7),"T","")&amp;IF(AND($AB27&lt;&gt;"",$AB27&gt;=CU$7,$AB27&lt;CU$7+7),"H","")&amp;IF(AND($AC27&lt;&gt;"",$AC27&gt;=CU$7,$AC27&lt;CU$7+7),"G","")&amp;IF(AND($AH27&lt;&gt;"",$AH27&gt;=CU$7,$AH27&lt;CU$7+7),"S","")</f>
        <v/>
      </c>
      <c r="CV27" s="92" t="str">
        <f aca="false">IF(AND($Y27&lt;&gt;"",$Y27&gt;=CV$7,$Y27&lt;CV$7+7),"I","")&amp;IF(AND($Z27&lt;&gt;"",$Z27&gt;=CV$7,$Z27&lt;CV$7+7),"P","")&amp;IF(AND($AA27&lt;&gt;"",$AA27&gt;=CV$7,$AA27&lt;CV$7+7),"T","")&amp;IF(AND($AB27&lt;&gt;"",$AB27&gt;=CV$7,$AB27&lt;CV$7+7),"H","")&amp;IF(AND($AC27&lt;&gt;"",$AC27&gt;=CV$7,$AC27&lt;CV$7+7),"G","")&amp;IF(AND($AH27&lt;&gt;"",$AH27&gt;=CV$7,$AH27&lt;CV$7+7),"S","")</f>
        <v/>
      </c>
      <c r="CW27" s="92" t="str">
        <f aca="false">IF(AND($Y27&lt;&gt;"",$Y27&gt;=CW$7,$Y27&lt;CW$7+7),"I","")&amp;IF(AND($Z27&lt;&gt;"",$Z27&gt;=CW$7,$Z27&lt;CW$7+7),"P","")&amp;IF(AND($AA27&lt;&gt;"",$AA27&gt;=CW$7,$AA27&lt;CW$7+7),"T","")&amp;IF(AND($AB27&lt;&gt;"",$AB27&gt;=CW$7,$AB27&lt;CW$7+7),"H","")&amp;IF(AND($AC27&lt;&gt;"",$AC27&gt;=CW$7,$AC27&lt;CW$7+7),"G","")&amp;IF(AND($AH27&lt;&gt;"",$AH27&gt;=CW$7,$AH27&lt;CW$7+7),"S","")</f>
        <v/>
      </c>
      <c r="CX27" s="92" t="str">
        <f aca="false">IF(AND($Y27&lt;&gt;"",$Y27&gt;=CX$7,$Y27&lt;CX$7+7),"I","")&amp;IF(AND($Z27&lt;&gt;"",$Z27&gt;=CX$7,$Z27&lt;CX$7+7),"P","")&amp;IF(AND($AA27&lt;&gt;"",$AA27&gt;=CX$7,$AA27&lt;CX$7+7),"T","")&amp;IF(AND($AB27&lt;&gt;"",$AB27&gt;=CX$7,$AB27&lt;CX$7+7),"H","")&amp;IF(AND($AC27&lt;&gt;"",$AC27&gt;=CX$7,$AC27&lt;CX$7+7),"G","")&amp;IF(AND($AH27&lt;&gt;"",$AH27&gt;=CX$7,$AH27&lt;CX$7+7),"S","")</f>
        <v/>
      </c>
      <c r="CY27" s="92" t="str">
        <f aca="false">IF(AND($Y27&lt;&gt;"",$Y27&gt;=CY$7,$Y27&lt;CY$7+7),"I","")&amp;IF(AND($Z27&lt;&gt;"",$Z27&gt;=CY$7,$Z27&lt;CY$7+7),"P","")&amp;IF(AND($AA27&lt;&gt;"",$AA27&gt;=CY$7,$AA27&lt;CY$7+7),"T","")&amp;IF(AND($AB27&lt;&gt;"",$AB27&gt;=CY$7,$AB27&lt;CY$7+7),"H","")&amp;IF(AND($AC27&lt;&gt;"",$AC27&gt;=CY$7,$AC27&lt;CY$7+7),"G","")&amp;IF(AND($AH27&lt;&gt;"",$AH27&gt;=CY$7,$AH27&lt;CY$7+7),"S","")</f>
        <v/>
      </c>
      <c r="CZ27" s="92" t="str">
        <f aca="false">IF(AND($Y27&lt;&gt;"",$Y27&gt;=CZ$7,$Y27&lt;CZ$7+7),"I","")&amp;IF(AND($Z27&lt;&gt;"",$Z27&gt;=CZ$7,$Z27&lt;CZ$7+7),"P","")&amp;IF(AND($AA27&lt;&gt;"",$AA27&gt;=CZ$7,$AA27&lt;CZ$7+7),"T","")&amp;IF(AND($AB27&lt;&gt;"",$AB27&gt;=CZ$7,$AB27&lt;CZ$7+7),"H","")&amp;IF(AND($AC27&lt;&gt;"",$AC27&gt;=CZ$7,$AC27&lt;CZ$7+7),"G","")&amp;IF(AND($AH27&lt;&gt;"",$AH27&gt;=CZ$7,$AH27&lt;CZ$7+7),"S","")</f>
        <v/>
      </c>
      <c r="DA27" s="92" t="str">
        <f aca="false">IF(AND($Y27&lt;&gt;"",$Y27&gt;=DA$7,$Y27&lt;DA$7+7),"I","")&amp;IF(AND($Z27&lt;&gt;"",$Z27&gt;=DA$7,$Z27&lt;DA$7+7),"P","")&amp;IF(AND($AA27&lt;&gt;"",$AA27&gt;=DA$7,$AA27&lt;DA$7+7),"T","")&amp;IF(AND($AB27&lt;&gt;"",$AB27&gt;=DA$7,$AB27&lt;DA$7+7),"H","")&amp;IF(AND($AC27&lt;&gt;"",$AC27&gt;=DA$7,$AC27&lt;DA$7+7),"G","")&amp;IF(AND($AH27&lt;&gt;"",$AH27&gt;=DA$7,$AH27&lt;DA$7+7),"S","")</f>
        <v/>
      </c>
      <c r="DB27" s="92" t="str">
        <f aca="false">IF(AND($Y27&lt;&gt;"",$Y27&gt;=DB$7,$Y27&lt;DB$7+7),"I","")&amp;IF(AND($Z27&lt;&gt;"",$Z27&gt;=DB$7,$Z27&lt;DB$7+7),"P","")&amp;IF(AND($AA27&lt;&gt;"",$AA27&gt;=DB$7,$AA27&lt;DB$7+7),"T","")&amp;IF(AND($AB27&lt;&gt;"",$AB27&gt;=DB$7,$AB27&lt;DB$7+7),"H","")&amp;IF(AND($AC27&lt;&gt;"",$AC27&gt;=DB$7,$AC27&lt;DB$7+7),"G","")&amp;IF(AND($AH27&lt;&gt;"",$AH27&gt;=DB$7,$AH27&lt;DB$7+7),"S","")</f>
        <v/>
      </c>
      <c r="DC27" s="92" t="str">
        <f aca="false">IF(AND($Y27&lt;&gt;"",$Y27&gt;=DC$7,$Y27&lt;DC$7+7),"I","")&amp;IF(AND($Z27&lt;&gt;"",$Z27&gt;=DC$7,$Z27&lt;DC$7+7),"P","")&amp;IF(AND($AA27&lt;&gt;"",$AA27&gt;=DC$7,$AA27&lt;DC$7+7),"T","")&amp;IF(AND($AB27&lt;&gt;"",$AB27&gt;=DC$7,$AB27&lt;DC$7+7),"H","")&amp;IF(AND($AC27&lt;&gt;"",$AC27&gt;=DC$7,$AC27&lt;DC$7+7),"G","")&amp;IF(AND($AH27&lt;&gt;"",$AH27&gt;=DC$7,$AH27&lt;DC$7+7),"S","")</f>
        <v/>
      </c>
    </row>
  </sheetData>
  <sheetProtection sheet="true" formatColumns="false" formatRows="false" sort="false" autoFilter="false"/>
  <autoFilter ref="A7:BF27"/>
  <mergeCells count="24">
    <mergeCell ref="A3:B3"/>
    <mergeCell ref="D3:E3"/>
    <mergeCell ref="F3:H3"/>
    <mergeCell ref="I3:J3"/>
    <mergeCell ref="K3:M3"/>
    <mergeCell ref="N3:O3"/>
    <mergeCell ref="P3:Q3"/>
    <mergeCell ref="R3:S3"/>
    <mergeCell ref="T3:U3"/>
    <mergeCell ref="A4:B4"/>
    <mergeCell ref="D4:E4"/>
    <mergeCell ref="F4:H4"/>
    <mergeCell ref="I4:J4"/>
    <mergeCell ref="K4:M4"/>
    <mergeCell ref="N4:O4"/>
    <mergeCell ref="P4:Q4"/>
    <mergeCell ref="R4:S4"/>
    <mergeCell ref="T4:U4"/>
    <mergeCell ref="A6:I6"/>
    <mergeCell ref="J6:M6"/>
    <mergeCell ref="N6:X6"/>
    <mergeCell ref="Y6:AH6"/>
    <mergeCell ref="AI6:AS6"/>
    <mergeCell ref="AT6:BF6"/>
  </mergeCells>
  <conditionalFormatting sqref="BH8:DC27">
    <cfRule type="expression" priority="2" aboveAverage="0" equalAverage="0" bottom="0" percent="0" rank="0" text="" dxfId="5">
      <formula>AND($H8&gt;=BH$7,$H8&lt;BH$7+7)</formula>
    </cfRule>
    <cfRule type="expression" priority="3" aboveAverage="0" equalAverage="0" bottom="0" percent="0" rank="0" text="" dxfId="24">
      <formula>AND(BH8&lt;&gt;"",BH$7+6&lt;=ASOF)</formula>
    </cfRule>
    <cfRule type="expression" priority="4" aboveAverage="0" equalAverage="0" bottom="0" percent="0" rank="0" text="" dxfId="25">
      <formula>BH8&lt;&gt;""</formula>
    </cfRule>
  </conditionalFormatting>
  <conditionalFormatting sqref="BH7:DC27">
    <cfRule type="expression" priority="5" aboveAverage="0" equalAverage="0" bottom="0" percent="0" rank="0" text="" dxfId="26">
      <formula>AND(ASOF&gt;=BH$7,ASOF&lt;BH$7+7)</formula>
    </cfRule>
  </conditionalFormatting>
  <conditionalFormatting sqref="AI8:AI27">
    <cfRule type="expression" priority="6" aboveAverage="0" equalAverage="0" bottom="0" percent="0" rank="0" text="" dxfId="5">
      <formula>N(AI8)&gt;60</formula>
    </cfRule>
    <cfRule type="expression" priority="7" aboveAverage="0" equalAverage="0" bottom="0" percent="0" rank="0" text="" dxfId="27">
      <formula>AND(N(AI8)&gt;0,N(AI8)&lt;=60)</formula>
    </cfRule>
  </conditionalFormatting>
  <conditionalFormatting sqref="AJ8:AJ27">
    <cfRule type="expression" priority="8" aboveAverage="0" equalAverage="0" bottom="0" percent="0" rank="0" text="" dxfId="5">
      <formula>N(AJ8)&gt;60</formula>
    </cfRule>
    <cfRule type="expression" priority="9" aboveAverage="0" equalAverage="0" bottom="0" percent="0" rank="0" text="" dxfId="27">
      <formula>AND(N(AJ8)&gt;0,N(AJ8)&lt;=60)</formula>
    </cfRule>
  </conditionalFormatting>
  <conditionalFormatting sqref="AN8:AN27">
    <cfRule type="expression" priority="10" aboveAverage="0" equalAverage="0" bottom="0" percent="0" rank="0" text="" dxfId="14">
      <formula>LEN(AN8)&gt;0</formula>
    </cfRule>
  </conditionalFormatting>
  <conditionalFormatting sqref="AK8:AK27">
    <cfRule type="expression" priority="11" aboveAverage="0" equalAverage="0" bottom="0" percent="0" rank="0" text="" dxfId="16">
      <formula>AK8=AL8</formula>
    </cfRule>
  </conditionalFormatting>
  <hyperlinks>
    <hyperlink ref="D2" location="'อัปเดตรายสัปดาห์'!A1" display="✎ อัปเดตรายสัปดาห์"/>
    <hyperlink ref="J2" location="'สมมติฐาน'!A1" display="⚙ สมมติฐาน"/>
    <hyperlink ref="M2" location="'ทะเบียนความเสี่ยง'!A1" display="⚠ ความเสี่ยง"/>
    <hyperlink ref="P2" location="'บันทึกการเปลี่ยนแปลง'!A1" display="↻ บันทึกการเปลี่ยนแปลง"/>
    <hyperlink ref="T2" location="'Cost of Quality'!A1" display="✗ Cost of Quality"/>
    <hyperlink ref="W2" location="'Milestone'!A1" display="◆ Milestone"/>
    <hyperlink ref="Z2" location="'TCRoof'!A1" display="⟳ TCRoof (สด)"/>
    <hyperlink ref="A8" location="'P9-001'!A1" display="P9-001"/>
    <hyperlink ref="A9" location="'P9-002'!A1" display="P9-002"/>
    <hyperlink ref="A10" location="'P9-003'!A1" display="P9-003"/>
    <hyperlink ref="A11" location="'P9-004'!A1" display="P9-004"/>
    <hyperlink ref="A12" location="'P9-005'!A1" display="P9-005"/>
    <hyperlink ref="A13" location="'P9-006'!A1" display="P9-006"/>
    <hyperlink ref="A14" location="'P9-007'!A1" display="P9-007"/>
    <hyperlink ref="A15" location="'P9-008'!A1" display="P9-008"/>
    <hyperlink ref="A16" location="'P9-009'!A1" display="P9-009"/>
    <hyperlink ref="A17" location="'P9-010'!A1" display="P9-010"/>
    <hyperlink ref="A18" location="'P9-011'!A1" display="P9-011"/>
    <hyperlink ref="A19" location="'P9-012'!A1" display="P9-012"/>
    <hyperlink ref="A20" location="'P9-013'!A1" display="P9-013"/>
    <hyperlink ref="A21" location="'P9-014'!A1" display="P9-014"/>
    <hyperlink ref="A22" location="'P9-015'!A1" display="P9-015"/>
    <hyperlink ref="A23" location="'P9-016'!A1" display="P9-016"/>
    <hyperlink ref="A24" location="'P9-017'!A1" display="P9-017"/>
    <hyperlink ref="A25" location="'P9-018'!A1" display="P9-018"/>
    <hyperlink ref="A26" location="'P9-019'!A1" display="P9-019"/>
    <hyperlink ref="A27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7" min="6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8.65" hidden="false" customHeight="false" outlineLevel="0" collapsed="false">
      <c r="B1" s="37" t="s">
        <v>569</v>
      </c>
    </row>
    <row r="2" customFormat="false" ht="15" hidden="false" customHeight="false" outlineLevel="0" collapsed="false">
      <c r="B2" s="38" t="s">
        <v>570</v>
      </c>
    </row>
    <row r="3" customFormat="false" ht="15" hidden="false" customHeight="false" outlineLevel="0" collapsed="false">
      <c r="B3" s="93" t="str">
        <f aca="false">TEXT(ASOF,"d/m/yyyy")&amp;" – "&amp;TEXT(ASOF+LOOKAHEAD,"d/m/yyyy")&amp;" ,  "&amp;COUNT(_events!$A$2:$A$171)&amp;" งาน"</f>
        <v>2/11/2026 – 23/11/2026 ,  20 งาน</v>
      </c>
    </row>
    <row r="5" customFormat="false" ht="30.55" hidden="false" customHeight="false" outlineLevel="0" collapsed="false">
      <c r="A5" s="29" t="s">
        <v>571</v>
      </c>
      <c r="B5" s="28" t="s">
        <v>572</v>
      </c>
      <c r="C5" s="28" t="s">
        <v>573</v>
      </c>
      <c r="D5" s="28" t="s">
        <v>34</v>
      </c>
      <c r="E5" s="28" t="s">
        <v>35</v>
      </c>
      <c r="F5" s="28" t="s">
        <v>130</v>
      </c>
      <c r="G5" s="28" t="s">
        <v>22</v>
      </c>
      <c r="H5" s="28" t="s">
        <v>15</v>
      </c>
      <c r="I5" s="29" t="s">
        <v>131</v>
      </c>
      <c r="J5" s="28" t="s">
        <v>574</v>
      </c>
      <c r="K5" s="28" t="s">
        <v>575</v>
      </c>
    </row>
    <row r="6" customFormat="false" ht="15" hidden="false" customHeight="false" outlineLevel="0" collapsed="false">
      <c r="A6" s="94" t="n">
        <f aca="false">IFERROR(SMALL(_events!$A$2:$A$171,1),"")</f>
        <v>46349.00002</v>
      </c>
      <c r="B6" s="95" t="n">
        <f aca="false">IF($A6="","",INT($A6))</f>
        <v>46349</v>
      </c>
      <c r="C6" s="96" t="str">
        <f aca="false">IF($A6="","",INDEX(_events!$C$2:$C$171,MATCH($A6,_events!$A$2:$A$171,0)))</f>
        <v>ติดตั้ง / ดับไฟเชื่อมระบบ</v>
      </c>
      <c r="D6" s="97" t="str">
        <f aca="false">IF($A6="","",HYPERLINK("#'"&amp;INDEX(_events!$D$2:$D$171,MATCH($A6,_events!$A$2:$A$171,0))&amp;"'!A1",INDEX(_events!$D$2:$D$171,MATCH($A6,_events!$A$2:$A$171,0))))</f>
        <v>P9-001</v>
      </c>
      <c r="E6" s="96" t="str">
        <f aca="false">IF($A6="","",INDEX(_events!$E$2:$E$171,MATCH($A6,_events!$A$2:$A$171,0)))</f>
        <v>แม่แบบ หลังคาลอนคู่, กันย้อน HV, Inverter &lt; 200 kVA</v>
      </c>
      <c r="F6" s="96" t="str">
        <f aca="false">IF($A6="","",INDEX(_events!$F$2:$F$171,MATCH($A6,_events!$A$2:$A$171,0)))</f>
        <v>ตย.01</v>
      </c>
      <c r="G6" s="96" t="str">
        <f aca="false">IF($A6="","",INDEX(_events!$G$2:$G$171,MATCH($A6,_events!$A$2:$A$171,0)))</f>
        <v>01</v>
      </c>
      <c r="H6" s="96" t="str">
        <f aca="false">IF($A6="","",INDEX(_events!$H$2:$H$171,MATCH($A6,_events!$A$2:$A$171,0)))</f>
        <v>วศ.01</v>
      </c>
      <c r="I6" s="96" t="str">
        <f aca="false">IF($A6="","",INDEX(_events!$I$2:$I$171,MATCH($A6,_events!$A$2:$A$171,0)))</f>
        <v>Admin</v>
      </c>
      <c r="J6" s="96" t="str">
        <f aca="false">IF($A6="","",INDEX(_events!$J$2:$J$171,MATCH($A6,_events!$A$2:$A$171,0)))</f>
        <v>ตามแผน</v>
      </c>
      <c r="K6" s="96" t="str">
        <f aca="false">IF($A6="","",INDEX(_events!$K$2:$K$171,MATCH($A6,_events!$A$2:$A$171,0)))</f>
        <v>ผรม. 01</v>
      </c>
    </row>
    <row r="7" customFormat="false" ht="15" hidden="false" customHeight="false" outlineLevel="0" collapsed="false">
      <c r="A7" s="94" t="n">
        <f aca="false">IFERROR(SMALL(_events!$A$2:$A$171,2),"")</f>
        <v>46349.0001</v>
      </c>
      <c r="B7" s="95" t="n">
        <f aca="false">IF($A7="","",INT($A7))</f>
        <v>46349</v>
      </c>
      <c r="C7" s="96" t="str">
        <f aca="false">IF($A7="","",INDEX(_events!$C$2:$C$171,MATCH($A7,_events!$A$2:$A$171,0)))</f>
        <v>ติดตั้ง / ดับไฟเชื่อมระบบ</v>
      </c>
      <c r="D7" s="97" t="str">
        <f aca="false">IF($A7="","",HYPERLINK("#'"&amp;INDEX(_events!$D$2:$D$171,MATCH($A7,_events!$A$2:$A$171,0))&amp;"'!A1",INDEX(_events!$D$2:$D$171,MATCH($A7,_events!$A$2:$A$171,0))))</f>
        <v>P9-002</v>
      </c>
      <c r="E7" s="96" t="str">
        <f aca="false">IF($A7="","",INDEX(_events!$E$2:$E$171,MATCH($A7,_events!$A$2:$A$171,0)))</f>
        <v>แม่แบบ หลังคาลอนคู่, กันย้อน HV, Inverter ≥ 200 kVA</v>
      </c>
      <c r="F7" s="96" t="str">
        <f aca="false">IF($A7="","",INDEX(_events!$F$2:$F$171,MATCH($A7,_events!$A$2:$A$171,0)))</f>
        <v>ตย.02</v>
      </c>
      <c r="G7" s="96" t="str">
        <f aca="false">IF($A7="","",INDEX(_events!$G$2:$G$171,MATCH($A7,_events!$A$2:$A$171,0)))</f>
        <v>02</v>
      </c>
      <c r="H7" s="96" t="str">
        <f aca="false">IF($A7="","",INDEX(_events!$H$2:$H$171,MATCH($A7,_events!$A$2:$A$171,0)))</f>
        <v>วศ.02</v>
      </c>
      <c r="I7" s="96" t="str">
        <f aca="false">IF($A7="","",INDEX(_events!$I$2:$I$171,MATCH($A7,_events!$A$2:$A$171,0)))</f>
        <v>Admin</v>
      </c>
      <c r="J7" s="96" t="str">
        <f aca="false">IF($A7="","",INDEX(_events!$J$2:$J$171,MATCH($A7,_events!$A$2:$A$171,0)))</f>
        <v>ตามแผน</v>
      </c>
      <c r="K7" s="96" t="str">
        <f aca="false">IF($A7="","",INDEX(_events!$K$2:$K$171,MATCH($A7,_events!$A$2:$A$171,0)))</f>
        <v>ผรม. 02</v>
      </c>
    </row>
    <row r="8" customFormat="false" ht="15" hidden="false" customHeight="false" outlineLevel="0" collapsed="false">
      <c r="A8" s="94" t="n">
        <f aca="false">IFERROR(SMALL(_events!$A$2:$A$171,3),"")</f>
        <v>46349.00019</v>
      </c>
      <c r="B8" s="95" t="n">
        <f aca="false">IF($A8="","",INT($A8))</f>
        <v>46349</v>
      </c>
      <c r="C8" s="96" t="str">
        <f aca="false">IF($A8="","",INDEX(_events!$C$2:$C$171,MATCH($A8,_events!$A$2:$A$171,0)))</f>
        <v>ติดตั้ง / ดับไฟเชื่อมระบบ</v>
      </c>
      <c r="D8" s="97" t="str">
        <f aca="false">IF($A8="","",HYPERLINK("#'"&amp;INDEX(_events!$D$2:$D$171,MATCH($A8,_events!$A$2:$A$171,0))&amp;"'!A1",INDEX(_events!$D$2:$D$171,MATCH($A8,_events!$A$2:$A$171,0))))</f>
        <v>P9-003</v>
      </c>
      <c r="E8" s="96" t="str">
        <f aca="false">IF($A8="","",INDEX(_events!$E$2:$E$171,MATCH($A8,_events!$A$2:$A$171,0)))</f>
        <v>แม่แบบ หลังคาลอนคู่, กันย้อน LV, Inverter &lt; 200 kVA</v>
      </c>
      <c r="F8" s="96" t="str">
        <f aca="false">IF($A8="","",INDEX(_events!$F$2:$F$171,MATCH($A8,_events!$A$2:$A$171,0)))</f>
        <v>ตย.03</v>
      </c>
      <c r="G8" s="96" t="str">
        <f aca="false">IF($A8="","",INDEX(_events!$G$2:$G$171,MATCH($A8,_events!$A$2:$A$171,0)))</f>
        <v>03</v>
      </c>
      <c r="H8" s="96" t="str">
        <f aca="false">IF($A8="","",INDEX(_events!$H$2:$H$171,MATCH($A8,_events!$A$2:$A$171,0)))</f>
        <v>วศ.03</v>
      </c>
      <c r="I8" s="96" t="str">
        <f aca="false">IF($A8="","",INDEX(_events!$I$2:$I$171,MATCH($A8,_events!$A$2:$A$171,0)))</f>
        <v>Admin</v>
      </c>
      <c r="J8" s="96" t="str">
        <f aca="false">IF($A8="","",INDEX(_events!$J$2:$J$171,MATCH($A8,_events!$A$2:$A$171,0)))</f>
        <v>ตามแผน</v>
      </c>
      <c r="K8" s="96" t="str">
        <f aca="false">IF($A8="","",INDEX(_events!$K$2:$K$171,MATCH($A8,_events!$A$2:$A$171,0)))</f>
        <v>ผรม. 03</v>
      </c>
    </row>
    <row r="9" customFormat="false" ht="15" hidden="false" customHeight="false" outlineLevel="0" collapsed="false">
      <c r="A9" s="94" t="n">
        <f aca="false">IFERROR(SMALL(_events!$A$2:$A$171,4),"")</f>
        <v>46349.00027</v>
      </c>
      <c r="B9" s="95" t="n">
        <f aca="false">IF($A9="","",INT($A9))</f>
        <v>46349</v>
      </c>
      <c r="C9" s="96" t="str">
        <f aca="false">IF($A9="","",INDEX(_events!$C$2:$C$171,MATCH($A9,_events!$A$2:$A$171,0)))</f>
        <v>ติดตั้ง / ดับไฟเชื่อมระบบ</v>
      </c>
      <c r="D9" s="97" t="str">
        <f aca="false">IF($A9="","",HYPERLINK("#'"&amp;INDEX(_events!$D$2:$D$171,MATCH($A9,_events!$A$2:$A$171,0))&amp;"'!A1",INDEX(_events!$D$2:$D$171,MATCH($A9,_events!$A$2:$A$171,0))))</f>
        <v>P9-004</v>
      </c>
      <c r="E9" s="96" t="str">
        <f aca="false">IF($A9="","",INDEX(_events!$E$2:$E$171,MATCH($A9,_events!$A$2:$A$171,0)))</f>
        <v>แม่แบบ หลังคาลอนคู่, กันย้อน LV, Inverter ≥ 200 kVA</v>
      </c>
      <c r="F9" s="96" t="str">
        <f aca="false">IF($A9="","",INDEX(_events!$F$2:$F$171,MATCH($A9,_events!$A$2:$A$171,0)))</f>
        <v>ตย.04</v>
      </c>
      <c r="G9" s="96" t="str">
        <f aca="false">IF($A9="","",INDEX(_events!$G$2:$G$171,MATCH($A9,_events!$A$2:$A$171,0)))</f>
        <v>04</v>
      </c>
      <c r="H9" s="96" t="str">
        <f aca="false">IF($A9="","",INDEX(_events!$H$2:$H$171,MATCH($A9,_events!$A$2:$A$171,0)))</f>
        <v>วศ.04</v>
      </c>
      <c r="I9" s="96" t="str">
        <f aca="false">IF($A9="","",INDEX(_events!$I$2:$I$171,MATCH($A9,_events!$A$2:$A$171,0)))</f>
        <v>Admin</v>
      </c>
      <c r="J9" s="96" t="str">
        <f aca="false">IF($A9="","",INDEX(_events!$J$2:$J$171,MATCH($A9,_events!$A$2:$A$171,0)))</f>
        <v>ตามแผน</v>
      </c>
      <c r="K9" s="96" t="str">
        <f aca="false">IF($A9="","",INDEX(_events!$K$2:$K$171,MATCH($A9,_events!$A$2:$A$171,0)))</f>
        <v>ผรม. 04</v>
      </c>
    </row>
    <row r="10" customFormat="false" ht="15" hidden="false" customHeight="false" outlineLevel="0" collapsed="false">
      <c r="A10" s="94" t="n">
        <f aca="false">IFERROR(SMALL(_events!$A$2:$A$171,5),"")</f>
        <v>46349.00036</v>
      </c>
      <c r="B10" s="95" t="n">
        <f aca="false">IF($A10="","",INT($A10))</f>
        <v>46349</v>
      </c>
      <c r="C10" s="96" t="str">
        <f aca="false">IF($A10="","",INDEX(_events!$C$2:$C$171,MATCH($A10,_events!$A$2:$A$171,0)))</f>
        <v>ติดตั้ง / ดับไฟเชื่อมระบบ</v>
      </c>
      <c r="D10" s="97" t="str">
        <f aca="false">IF($A10="","",HYPERLINK("#'"&amp;INDEX(_events!$D$2:$D$171,MATCH($A10,_events!$A$2:$A$171,0))&amp;"'!A1",INDEX(_events!$D$2:$D$171,MATCH($A10,_events!$A$2:$A$171,0))))</f>
        <v>P9-005</v>
      </c>
      <c r="E10" s="96" t="str">
        <f aca="false">IF($A10="","",INDEX(_events!$E$2:$E$171,MATCH($A10,_events!$A$2:$A$171,0)))</f>
        <v>แม่แบบ หลังคาเมทัลชีท, กันย้อน HV, Inverter &lt; 200 kVA</v>
      </c>
      <c r="F10" s="96" t="str">
        <f aca="false">IF($A10="","",INDEX(_events!$F$2:$F$171,MATCH($A10,_events!$A$2:$A$171,0)))</f>
        <v>ตย.05</v>
      </c>
      <c r="G10" s="96" t="str">
        <f aca="false">IF($A10="","",INDEX(_events!$G$2:$G$171,MATCH($A10,_events!$A$2:$A$171,0)))</f>
        <v>05</v>
      </c>
      <c r="H10" s="96" t="str">
        <f aca="false">IF($A10="","",INDEX(_events!$H$2:$H$171,MATCH($A10,_events!$A$2:$A$171,0)))</f>
        <v>วศ.05</v>
      </c>
      <c r="I10" s="96" t="str">
        <f aca="false">IF($A10="","",INDEX(_events!$I$2:$I$171,MATCH($A10,_events!$A$2:$A$171,0)))</f>
        <v>Admin</v>
      </c>
      <c r="J10" s="96" t="str">
        <f aca="false">IF($A10="","",INDEX(_events!$J$2:$J$171,MATCH($A10,_events!$A$2:$A$171,0)))</f>
        <v>ตามแผน</v>
      </c>
      <c r="K10" s="96" t="str">
        <f aca="false">IF($A10="","",INDEX(_events!$K$2:$K$171,MATCH($A10,_events!$A$2:$A$171,0)))</f>
        <v>ผรม. 05</v>
      </c>
    </row>
    <row r="11" customFormat="false" ht="15" hidden="false" customHeight="false" outlineLevel="0" collapsed="false">
      <c r="A11" s="94" t="n">
        <f aca="false">IFERROR(SMALL(_events!$A$2:$A$171,6),"")</f>
        <v>46349.00044</v>
      </c>
      <c r="B11" s="95" t="n">
        <f aca="false">IF($A11="","",INT($A11))</f>
        <v>46349</v>
      </c>
      <c r="C11" s="96" t="str">
        <f aca="false">IF($A11="","",INDEX(_events!$C$2:$C$171,MATCH($A11,_events!$A$2:$A$171,0)))</f>
        <v>ติดตั้ง / ดับไฟเชื่อมระบบ</v>
      </c>
      <c r="D11" s="97" t="str">
        <f aca="false">IF($A11="","",HYPERLINK("#'"&amp;INDEX(_events!$D$2:$D$171,MATCH($A11,_events!$A$2:$A$171,0))&amp;"'!A1",INDEX(_events!$D$2:$D$171,MATCH($A11,_events!$A$2:$A$171,0))))</f>
        <v>P9-006</v>
      </c>
      <c r="E11" s="96" t="str">
        <f aca="false">IF($A11="","",INDEX(_events!$E$2:$E$171,MATCH($A11,_events!$A$2:$A$171,0)))</f>
        <v>แม่แบบ หลังคาเมทัลชีท, กันย้อน HV, Inverter ≥ 200 kVA</v>
      </c>
      <c r="F11" s="96" t="str">
        <f aca="false">IF($A11="","",INDEX(_events!$F$2:$F$171,MATCH($A11,_events!$A$2:$A$171,0)))</f>
        <v>ตย.06</v>
      </c>
      <c r="G11" s="96" t="str">
        <f aca="false">IF($A11="","",INDEX(_events!$G$2:$G$171,MATCH($A11,_events!$A$2:$A$171,0)))</f>
        <v>06</v>
      </c>
      <c r="H11" s="96" t="str">
        <f aca="false">IF($A11="","",INDEX(_events!$H$2:$H$171,MATCH($A11,_events!$A$2:$A$171,0)))</f>
        <v>วศ.06</v>
      </c>
      <c r="I11" s="96" t="str">
        <f aca="false">IF($A11="","",INDEX(_events!$I$2:$I$171,MATCH($A11,_events!$A$2:$A$171,0)))</f>
        <v>Admin</v>
      </c>
      <c r="J11" s="96" t="str">
        <f aca="false">IF($A11="","",INDEX(_events!$J$2:$J$171,MATCH($A11,_events!$A$2:$A$171,0)))</f>
        <v>ตามแผน</v>
      </c>
      <c r="K11" s="96" t="str">
        <f aca="false">IF($A11="","",INDEX(_events!$K$2:$K$171,MATCH($A11,_events!$A$2:$A$171,0)))</f>
        <v>ผรม. 06</v>
      </c>
    </row>
    <row r="12" customFormat="false" ht="15" hidden="false" customHeight="false" outlineLevel="0" collapsed="false">
      <c r="A12" s="94" t="n">
        <f aca="false">IFERROR(SMALL(_events!$A$2:$A$171,7),"")</f>
        <v>46349.00053</v>
      </c>
      <c r="B12" s="95" t="n">
        <f aca="false">IF($A12="","",INT($A12))</f>
        <v>46349</v>
      </c>
      <c r="C12" s="96" t="str">
        <f aca="false">IF($A12="","",INDEX(_events!$C$2:$C$171,MATCH($A12,_events!$A$2:$A$171,0)))</f>
        <v>ติดตั้ง / ดับไฟเชื่อมระบบ</v>
      </c>
      <c r="D12" s="97" t="str">
        <f aca="false">IF($A12="","",HYPERLINK("#'"&amp;INDEX(_events!$D$2:$D$171,MATCH($A12,_events!$A$2:$A$171,0))&amp;"'!A1",INDEX(_events!$D$2:$D$171,MATCH($A12,_events!$A$2:$A$171,0))))</f>
        <v>P9-007</v>
      </c>
      <c r="E12" s="96" t="str">
        <f aca="false">IF($A12="","",INDEX(_events!$E$2:$E$171,MATCH($A12,_events!$A$2:$A$171,0)))</f>
        <v>แม่แบบ หลังคาเมทัลชีท, กันย้อน LV, Inverter &lt; 200 kVA</v>
      </c>
      <c r="F12" s="96" t="str">
        <f aca="false">IF($A12="","",INDEX(_events!$F$2:$F$171,MATCH($A12,_events!$A$2:$A$171,0)))</f>
        <v>ตย.07</v>
      </c>
      <c r="G12" s="96" t="str">
        <f aca="false">IF($A12="","",INDEX(_events!$G$2:$G$171,MATCH($A12,_events!$A$2:$A$171,0)))</f>
        <v>07</v>
      </c>
      <c r="H12" s="96" t="str">
        <f aca="false">IF($A12="","",INDEX(_events!$H$2:$H$171,MATCH($A12,_events!$A$2:$A$171,0)))</f>
        <v>วศ.07</v>
      </c>
      <c r="I12" s="96" t="str">
        <f aca="false">IF($A12="","",INDEX(_events!$I$2:$I$171,MATCH($A12,_events!$A$2:$A$171,0)))</f>
        <v>Admin</v>
      </c>
      <c r="J12" s="96" t="str">
        <f aca="false">IF($A12="","",INDEX(_events!$J$2:$J$171,MATCH($A12,_events!$A$2:$A$171,0)))</f>
        <v>ตามแผน</v>
      </c>
      <c r="K12" s="96" t="str">
        <f aca="false">IF($A12="","",INDEX(_events!$K$2:$K$171,MATCH($A12,_events!$A$2:$A$171,0)))</f>
        <v>ผรม. 07</v>
      </c>
    </row>
    <row r="13" customFormat="false" ht="15" hidden="false" customHeight="false" outlineLevel="0" collapsed="false">
      <c r="A13" s="94" t="n">
        <f aca="false">IFERROR(SMALL(_events!$A$2:$A$171,8),"")</f>
        <v>46349.00061</v>
      </c>
      <c r="B13" s="95" t="n">
        <f aca="false">IF($A13="","",INT($A13))</f>
        <v>46349</v>
      </c>
      <c r="C13" s="96" t="str">
        <f aca="false">IF($A13="","",INDEX(_events!$C$2:$C$171,MATCH($A13,_events!$A$2:$A$171,0)))</f>
        <v>ติดตั้ง / ดับไฟเชื่อมระบบ</v>
      </c>
      <c r="D13" s="97" t="str">
        <f aca="false">IF($A13="","",HYPERLINK("#'"&amp;INDEX(_events!$D$2:$D$171,MATCH($A13,_events!$A$2:$A$171,0))&amp;"'!A1",INDEX(_events!$D$2:$D$171,MATCH($A13,_events!$A$2:$A$171,0))))</f>
        <v>P9-008</v>
      </c>
      <c r="E13" s="96" t="str">
        <f aca="false">IF($A13="","",INDEX(_events!$E$2:$E$171,MATCH($A13,_events!$A$2:$A$171,0)))</f>
        <v>แม่แบบ หลังคาเมทัลชีท, กันย้อน LV, Inverter ≥ 200 kVA</v>
      </c>
      <c r="F13" s="96" t="str">
        <f aca="false">IF($A13="","",INDEX(_events!$F$2:$F$171,MATCH($A13,_events!$A$2:$A$171,0)))</f>
        <v>ตย.08</v>
      </c>
      <c r="G13" s="96" t="str">
        <f aca="false">IF($A13="","",INDEX(_events!$G$2:$G$171,MATCH($A13,_events!$A$2:$A$171,0)))</f>
        <v>08</v>
      </c>
      <c r="H13" s="96" t="str">
        <f aca="false">IF($A13="","",INDEX(_events!$H$2:$H$171,MATCH($A13,_events!$A$2:$A$171,0)))</f>
        <v>วศ.08</v>
      </c>
      <c r="I13" s="96" t="str">
        <f aca="false">IF($A13="","",INDEX(_events!$I$2:$I$171,MATCH($A13,_events!$A$2:$A$171,0)))</f>
        <v>Admin</v>
      </c>
      <c r="J13" s="96" t="str">
        <f aca="false">IF($A13="","",INDEX(_events!$J$2:$J$171,MATCH($A13,_events!$A$2:$A$171,0)))</f>
        <v>ตามแผน</v>
      </c>
      <c r="K13" s="96" t="str">
        <f aca="false">IF($A13="","",INDEX(_events!$K$2:$K$171,MATCH($A13,_events!$A$2:$A$171,0)))</f>
        <v>ผรม. 08</v>
      </c>
    </row>
    <row r="14" customFormat="false" ht="15" hidden="false" customHeight="false" outlineLevel="0" collapsed="false">
      <c r="A14" s="94" t="n">
        <f aca="false">IFERROR(SMALL(_events!$A$2:$A$171,9),"")</f>
        <v>46349.0007</v>
      </c>
      <c r="B14" s="95" t="n">
        <f aca="false">IF($A14="","",INT($A14))</f>
        <v>46349</v>
      </c>
      <c r="C14" s="96" t="str">
        <f aca="false">IF($A14="","",INDEX(_events!$C$2:$C$171,MATCH($A14,_events!$A$2:$A$171,0)))</f>
        <v>ติดตั้ง / ดับไฟเชื่อมระบบ</v>
      </c>
      <c r="D14" s="97" t="str">
        <f aca="false">IF($A14="","",HYPERLINK("#'"&amp;INDEX(_events!$D$2:$D$171,MATCH($A14,_events!$A$2:$A$171,0))&amp;"'!A1",INDEX(_events!$D$2:$D$171,MATCH($A14,_events!$A$2:$A$171,0))))</f>
        <v>P9-009</v>
      </c>
      <c r="E14" s="96" t="str">
        <f aca="false">IF($A14="","",INDEX(_events!$E$2:$E$171,MATCH($A14,_events!$A$2:$A$171,0)))</f>
        <v>แม่แบบ ถังน้ำใส, กันย้อน HV, Inverter &lt; 200 kVA</v>
      </c>
      <c r="F14" s="96" t="str">
        <f aca="false">IF($A14="","",INDEX(_events!$F$2:$F$171,MATCH($A14,_events!$A$2:$A$171,0)))</f>
        <v>ตย.09</v>
      </c>
      <c r="G14" s="96" t="str">
        <f aca="false">IF($A14="","",INDEX(_events!$G$2:$G$171,MATCH($A14,_events!$A$2:$A$171,0)))</f>
        <v>09</v>
      </c>
      <c r="H14" s="96" t="str">
        <f aca="false">IF($A14="","",INDEX(_events!$H$2:$H$171,MATCH($A14,_events!$A$2:$A$171,0)))</f>
        <v>วศ.09</v>
      </c>
      <c r="I14" s="96" t="str">
        <f aca="false">IF($A14="","",INDEX(_events!$I$2:$I$171,MATCH($A14,_events!$A$2:$A$171,0)))</f>
        <v>Admin</v>
      </c>
      <c r="J14" s="96" t="str">
        <f aca="false">IF($A14="","",INDEX(_events!$J$2:$J$171,MATCH($A14,_events!$A$2:$A$171,0)))</f>
        <v>ตามแผน</v>
      </c>
      <c r="K14" s="96" t="str">
        <f aca="false">IF($A14="","",INDEX(_events!$K$2:$K$171,MATCH($A14,_events!$A$2:$A$171,0)))</f>
        <v>ผรม. 09</v>
      </c>
    </row>
    <row r="15" customFormat="false" ht="15" hidden="false" customHeight="false" outlineLevel="0" collapsed="false">
      <c r="A15" s="94" t="n">
        <f aca="false">IFERROR(SMALL(_events!$A$2:$A$171,10),"")</f>
        <v>46349.00078</v>
      </c>
      <c r="B15" s="95" t="n">
        <f aca="false">IF($A15="","",INT($A15))</f>
        <v>46349</v>
      </c>
      <c r="C15" s="96" t="str">
        <f aca="false">IF($A15="","",INDEX(_events!$C$2:$C$171,MATCH($A15,_events!$A$2:$A$171,0)))</f>
        <v>ติดตั้ง / ดับไฟเชื่อมระบบ</v>
      </c>
      <c r="D15" s="97" t="str">
        <f aca="false">IF($A15="","",HYPERLINK("#'"&amp;INDEX(_events!$D$2:$D$171,MATCH($A15,_events!$A$2:$A$171,0))&amp;"'!A1",INDEX(_events!$D$2:$D$171,MATCH($A15,_events!$A$2:$A$171,0))))</f>
        <v>P9-010</v>
      </c>
      <c r="E15" s="96" t="str">
        <f aca="false">IF($A15="","",INDEX(_events!$E$2:$E$171,MATCH($A15,_events!$A$2:$A$171,0)))</f>
        <v>แม่แบบ ถังน้ำใส, กันย้อน HV, Inverter ≥ 200 kVA</v>
      </c>
      <c r="F15" s="96" t="str">
        <f aca="false">IF($A15="","",INDEX(_events!$F$2:$F$171,MATCH($A15,_events!$A$2:$A$171,0)))</f>
        <v>ตย.10</v>
      </c>
      <c r="G15" s="96" t="str">
        <f aca="false">IF($A15="","",INDEX(_events!$G$2:$G$171,MATCH($A15,_events!$A$2:$A$171,0)))</f>
        <v>10</v>
      </c>
      <c r="H15" s="96" t="str">
        <f aca="false">IF($A15="","",INDEX(_events!$H$2:$H$171,MATCH($A15,_events!$A$2:$A$171,0)))</f>
        <v>วศ.10</v>
      </c>
      <c r="I15" s="96" t="str">
        <f aca="false">IF($A15="","",INDEX(_events!$I$2:$I$171,MATCH($A15,_events!$A$2:$A$171,0)))</f>
        <v>Admin</v>
      </c>
      <c r="J15" s="96" t="str">
        <f aca="false">IF($A15="","",INDEX(_events!$J$2:$J$171,MATCH($A15,_events!$A$2:$A$171,0)))</f>
        <v>ตามแผน</v>
      </c>
      <c r="K15" s="96" t="str">
        <f aca="false">IF($A15="","",INDEX(_events!$K$2:$K$171,MATCH($A15,_events!$A$2:$A$171,0)))</f>
        <v>ผรม. 10</v>
      </c>
    </row>
    <row r="16" customFormat="false" ht="15" hidden="false" customHeight="false" outlineLevel="0" collapsed="false">
      <c r="A16" s="94" t="n">
        <f aca="false">IFERROR(SMALL(_events!$A$2:$A$171,11),"")</f>
        <v>46349.00087</v>
      </c>
      <c r="B16" s="95" t="n">
        <f aca="false">IF($A16="","",INT($A16))</f>
        <v>46349</v>
      </c>
      <c r="C16" s="96" t="str">
        <f aca="false">IF($A16="","",INDEX(_events!$C$2:$C$171,MATCH($A16,_events!$A$2:$A$171,0)))</f>
        <v>ติดตั้ง / ดับไฟเชื่อมระบบ</v>
      </c>
      <c r="D16" s="97" t="str">
        <f aca="false">IF($A16="","",HYPERLINK("#'"&amp;INDEX(_events!$D$2:$D$171,MATCH($A16,_events!$A$2:$A$171,0))&amp;"'!A1",INDEX(_events!$D$2:$D$171,MATCH($A16,_events!$A$2:$A$171,0))))</f>
        <v>P9-011</v>
      </c>
      <c r="E16" s="96" t="str">
        <f aca="false">IF($A16="","",INDEX(_events!$E$2:$E$171,MATCH($A16,_events!$A$2:$A$171,0)))</f>
        <v>แม่แบบ ถังน้ำใส, กันย้อน LV, Inverter &lt; 200 kVA</v>
      </c>
      <c r="F16" s="96" t="str">
        <f aca="false">IF($A16="","",INDEX(_events!$F$2:$F$171,MATCH($A16,_events!$A$2:$A$171,0)))</f>
        <v>ตย.11</v>
      </c>
      <c r="G16" s="96" t="str">
        <f aca="false">IF($A16="","",INDEX(_events!$G$2:$G$171,MATCH($A16,_events!$A$2:$A$171,0)))</f>
        <v>11</v>
      </c>
      <c r="H16" s="96" t="str">
        <f aca="false">IF($A16="","",INDEX(_events!$H$2:$H$171,MATCH($A16,_events!$A$2:$A$171,0)))</f>
        <v>วศ.11</v>
      </c>
      <c r="I16" s="96" t="str">
        <f aca="false">IF($A16="","",INDEX(_events!$I$2:$I$171,MATCH($A16,_events!$A$2:$A$171,0)))</f>
        <v>Admin</v>
      </c>
      <c r="J16" s="96" t="str">
        <f aca="false">IF($A16="","",INDEX(_events!$J$2:$J$171,MATCH($A16,_events!$A$2:$A$171,0)))</f>
        <v>ตามแผน</v>
      </c>
      <c r="K16" s="96" t="str">
        <f aca="false">IF($A16="","",INDEX(_events!$K$2:$K$171,MATCH($A16,_events!$A$2:$A$171,0)))</f>
        <v>ผรม. 11</v>
      </c>
    </row>
    <row r="17" customFormat="false" ht="15" hidden="false" customHeight="false" outlineLevel="0" collapsed="false">
      <c r="A17" s="94" t="n">
        <f aca="false">IFERROR(SMALL(_events!$A$2:$A$171,12),"")</f>
        <v>46349.00095</v>
      </c>
      <c r="B17" s="95" t="n">
        <f aca="false">IF($A17="","",INT($A17))</f>
        <v>46349</v>
      </c>
      <c r="C17" s="96" t="str">
        <f aca="false">IF($A17="","",INDEX(_events!$C$2:$C$171,MATCH($A17,_events!$A$2:$A$171,0)))</f>
        <v>ติดตั้ง / ดับไฟเชื่อมระบบ</v>
      </c>
      <c r="D17" s="97" t="str">
        <f aca="false">IF($A17="","",HYPERLINK("#'"&amp;INDEX(_events!$D$2:$D$171,MATCH($A17,_events!$A$2:$A$171,0))&amp;"'!A1",INDEX(_events!$D$2:$D$171,MATCH($A17,_events!$A$2:$A$171,0))))</f>
        <v>P9-012</v>
      </c>
      <c r="E17" s="96" t="str">
        <f aca="false">IF($A17="","",INDEX(_events!$E$2:$E$171,MATCH($A17,_events!$A$2:$A$171,0)))</f>
        <v>แม่แบบ ถังน้ำใส, กันย้อน LV, Inverter ≥ 200 kVA</v>
      </c>
      <c r="F17" s="96" t="str">
        <f aca="false">IF($A17="","",INDEX(_events!$F$2:$F$171,MATCH($A17,_events!$A$2:$A$171,0)))</f>
        <v>ตย.12</v>
      </c>
      <c r="G17" s="96" t="str">
        <f aca="false">IF($A17="","",INDEX(_events!$G$2:$G$171,MATCH($A17,_events!$A$2:$A$171,0)))</f>
        <v>12</v>
      </c>
      <c r="H17" s="96" t="str">
        <f aca="false">IF($A17="","",INDEX(_events!$H$2:$H$171,MATCH($A17,_events!$A$2:$A$171,0)))</f>
        <v>วศ.12</v>
      </c>
      <c r="I17" s="96" t="str">
        <f aca="false">IF($A17="","",INDEX(_events!$I$2:$I$171,MATCH($A17,_events!$A$2:$A$171,0)))</f>
        <v>Admin</v>
      </c>
      <c r="J17" s="96" t="str">
        <f aca="false">IF($A17="","",INDEX(_events!$J$2:$J$171,MATCH($A17,_events!$A$2:$A$171,0)))</f>
        <v>ตามแผน</v>
      </c>
      <c r="K17" s="96" t="str">
        <f aca="false">IF($A17="","",INDEX(_events!$K$2:$K$171,MATCH($A17,_events!$A$2:$A$171,0)))</f>
        <v>ผรม. 12</v>
      </c>
    </row>
    <row r="18" customFormat="false" ht="15" hidden="false" customHeight="false" outlineLevel="0" collapsed="false">
      <c r="A18" s="94" t="n">
        <f aca="false">IFERROR(SMALL(_events!$A$2:$A$171,13),"")</f>
        <v>46349.00104</v>
      </c>
      <c r="B18" s="95" t="n">
        <f aca="false">IF($A18="","",INT($A18))</f>
        <v>46349</v>
      </c>
      <c r="C18" s="96" t="str">
        <f aca="false">IF($A18="","",INDEX(_events!$C$2:$C$171,MATCH($A18,_events!$A$2:$A$171,0)))</f>
        <v>ติดตั้ง / ดับไฟเชื่อมระบบ</v>
      </c>
      <c r="D18" s="97" t="str">
        <f aca="false">IF($A18="","",HYPERLINK("#'"&amp;INDEX(_events!$D$2:$D$171,MATCH($A18,_events!$A$2:$A$171,0))&amp;"'!A1",INDEX(_events!$D$2:$D$171,MATCH($A18,_events!$A$2:$A$171,0))))</f>
        <v>P9-013</v>
      </c>
      <c r="E18" s="96" t="str">
        <f aca="false">IF($A18="","",INDEX(_events!$E$2:$E$171,MATCH($A18,_events!$A$2:$A$171,0)))</f>
        <v>แม่แบบ ถังดินกลบ, กันย้อน HV, Inverter &lt; 200 kVA</v>
      </c>
      <c r="F18" s="96" t="str">
        <f aca="false">IF($A18="","",INDEX(_events!$F$2:$F$171,MATCH($A18,_events!$A$2:$A$171,0)))</f>
        <v>ตย.13</v>
      </c>
      <c r="G18" s="96" t="str">
        <f aca="false">IF($A18="","",INDEX(_events!$G$2:$G$171,MATCH($A18,_events!$A$2:$A$171,0)))</f>
        <v>13</v>
      </c>
      <c r="H18" s="96" t="str">
        <f aca="false">IF($A18="","",INDEX(_events!$H$2:$H$171,MATCH($A18,_events!$A$2:$A$171,0)))</f>
        <v>วศ.13</v>
      </c>
      <c r="I18" s="96" t="str">
        <f aca="false">IF($A18="","",INDEX(_events!$I$2:$I$171,MATCH($A18,_events!$A$2:$A$171,0)))</f>
        <v>Admin</v>
      </c>
      <c r="J18" s="96" t="str">
        <f aca="false">IF($A18="","",INDEX(_events!$J$2:$J$171,MATCH($A18,_events!$A$2:$A$171,0)))</f>
        <v>ตามแผน</v>
      </c>
      <c r="K18" s="96" t="str">
        <f aca="false">IF($A18="","",INDEX(_events!$K$2:$K$171,MATCH($A18,_events!$A$2:$A$171,0)))</f>
        <v>ผรม. 13</v>
      </c>
    </row>
    <row r="19" customFormat="false" ht="15" hidden="false" customHeight="false" outlineLevel="0" collapsed="false">
      <c r="A19" s="94" t="n">
        <f aca="false">IFERROR(SMALL(_events!$A$2:$A$171,14),"")</f>
        <v>46349.00112</v>
      </c>
      <c r="B19" s="95" t="n">
        <f aca="false">IF($A19="","",INT($A19))</f>
        <v>46349</v>
      </c>
      <c r="C19" s="96" t="str">
        <f aca="false">IF($A19="","",INDEX(_events!$C$2:$C$171,MATCH($A19,_events!$A$2:$A$171,0)))</f>
        <v>ติดตั้ง / ดับไฟเชื่อมระบบ</v>
      </c>
      <c r="D19" s="97" t="str">
        <f aca="false">IF($A19="","",HYPERLINK("#'"&amp;INDEX(_events!$D$2:$D$171,MATCH($A19,_events!$A$2:$A$171,0))&amp;"'!A1",INDEX(_events!$D$2:$D$171,MATCH($A19,_events!$A$2:$A$171,0))))</f>
        <v>P9-014</v>
      </c>
      <c r="E19" s="96" t="str">
        <f aca="false">IF($A19="","",INDEX(_events!$E$2:$E$171,MATCH($A19,_events!$A$2:$A$171,0)))</f>
        <v>แม่แบบ ถังดินกลบ, กันย้อน HV, Inverter ≥ 200 kVA</v>
      </c>
      <c r="F19" s="96" t="str">
        <f aca="false">IF($A19="","",INDEX(_events!$F$2:$F$171,MATCH($A19,_events!$A$2:$A$171,0)))</f>
        <v>ตย.14</v>
      </c>
      <c r="G19" s="96" t="str">
        <f aca="false">IF($A19="","",INDEX(_events!$G$2:$G$171,MATCH($A19,_events!$A$2:$A$171,0)))</f>
        <v>14</v>
      </c>
      <c r="H19" s="96" t="str">
        <f aca="false">IF($A19="","",INDEX(_events!$H$2:$H$171,MATCH($A19,_events!$A$2:$A$171,0)))</f>
        <v>วศ.14</v>
      </c>
      <c r="I19" s="96" t="str">
        <f aca="false">IF($A19="","",INDEX(_events!$I$2:$I$171,MATCH($A19,_events!$A$2:$A$171,0)))</f>
        <v>Admin</v>
      </c>
      <c r="J19" s="96" t="str">
        <f aca="false">IF($A19="","",INDEX(_events!$J$2:$J$171,MATCH($A19,_events!$A$2:$A$171,0)))</f>
        <v>ตามแผน</v>
      </c>
      <c r="K19" s="96" t="str">
        <f aca="false">IF($A19="","",INDEX(_events!$K$2:$K$171,MATCH($A19,_events!$A$2:$A$171,0)))</f>
        <v>ผรม. 14</v>
      </c>
    </row>
    <row r="20" customFormat="false" ht="15" hidden="false" customHeight="false" outlineLevel="0" collapsed="false">
      <c r="A20" s="94" t="n">
        <f aca="false">IFERROR(SMALL(_events!$A$2:$A$171,15),"")</f>
        <v>46349.00121</v>
      </c>
      <c r="B20" s="95" t="n">
        <f aca="false">IF($A20="","",INT($A20))</f>
        <v>46349</v>
      </c>
      <c r="C20" s="96" t="str">
        <f aca="false">IF($A20="","",INDEX(_events!$C$2:$C$171,MATCH($A20,_events!$A$2:$A$171,0)))</f>
        <v>ติดตั้ง / ดับไฟเชื่อมระบบ</v>
      </c>
      <c r="D20" s="97" t="str">
        <f aca="false">IF($A20="","",HYPERLINK("#'"&amp;INDEX(_events!$D$2:$D$171,MATCH($A20,_events!$A$2:$A$171,0))&amp;"'!A1",INDEX(_events!$D$2:$D$171,MATCH($A20,_events!$A$2:$A$171,0))))</f>
        <v>P9-015</v>
      </c>
      <c r="E20" s="96" t="str">
        <f aca="false">IF($A20="","",INDEX(_events!$E$2:$E$171,MATCH($A20,_events!$A$2:$A$171,0)))</f>
        <v>แม่แบบ ถังดินกลบ, กันย้อน LV, Inverter &lt; 200 kVA</v>
      </c>
      <c r="F20" s="96" t="str">
        <f aca="false">IF($A20="","",INDEX(_events!$F$2:$F$171,MATCH($A20,_events!$A$2:$A$171,0)))</f>
        <v>ตย.15</v>
      </c>
      <c r="G20" s="96" t="str">
        <f aca="false">IF($A20="","",INDEX(_events!$G$2:$G$171,MATCH($A20,_events!$A$2:$A$171,0)))</f>
        <v>15</v>
      </c>
      <c r="H20" s="96" t="str">
        <f aca="false">IF($A20="","",INDEX(_events!$H$2:$H$171,MATCH($A20,_events!$A$2:$A$171,0)))</f>
        <v>วศ.15</v>
      </c>
      <c r="I20" s="96" t="str">
        <f aca="false">IF($A20="","",INDEX(_events!$I$2:$I$171,MATCH($A20,_events!$A$2:$A$171,0)))</f>
        <v>Admin</v>
      </c>
      <c r="J20" s="96" t="str">
        <f aca="false">IF($A20="","",INDEX(_events!$J$2:$J$171,MATCH($A20,_events!$A$2:$A$171,0)))</f>
        <v>ตามแผน</v>
      </c>
      <c r="K20" s="96" t="str">
        <f aca="false">IF($A20="","",INDEX(_events!$K$2:$K$171,MATCH($A20,_events!$A$2:$A$171,0)))</f>
        <v>ผรม. 15</v>
      </c>
    </row>
    <row r="21" customFormat="false" ht="15" hidden="false" customHeight="false" outlineLevel="0" collapsed="false">
      <c r="A21" s="94" t="n">
        <f aca="false">IFERROR(SMALL(_events!$A$2:$A$171,16),"")</f>
        <v>46349.00129</v>
      </c>
      <c r="B21" s="95" t="n">
        <f aca="false">IF($A21="","",INT($A21))</f>
        <v>46349</v>
      </c>
      <c r="C21" s="96" t="str">
        <f aca="false">IF($A21="","",INDEX(_events!$C$2:$C$171,MATCH($A21,_events!$A$2:$A$171,0)))</f>
        <v>ติดตั้ง / ดับไฟเชื่อมระบบ</v>
      </c>
      <c r="D21" s="97" t="str">
        <f aca="false">IF($A21="","",HYPERLINK("#'"&amp;INDEX(_events!$D$2:$D$171,MATCH($A21,_events!$A$2:$A$171,0))&amp;"'!A1",INDEX(_events!$D$2:$D$171,MATCH($A21,_events!$A$2:$A$171,0))))</f>
        <v>P9-016</v>
      </c>
      <c r="E21" s="96" t="str">
        <f aca="false">IF($A21="","",INDEX(_events!$E$2:$E$171,MATCH($A21,_events!$A$2:$A$171,0)))</f>
        <v>แม่แบบ ถังดินกลบ, กันย้อน LV, Inverter ≥ 200 kVA</v>
      </c>
      <c r="F21" s="96" t="str">
        <f aca="false">IF($A21="","",INDEX(_events!$F$2:$F$171,MATCH($A21,_events!$A$2:$A$171,0)))</f>
        <v>ตย.16</v>
      </c>
      <c r="G21" s="96" t="str">
        <f aca="false">IF($A21="","",INDEX(_events!$G$2:$G$171,MATCH($A21,_events!$A$2:$A$171,0)))</f>
        <v>16</v>
      </c>
      <c r="H21" s="96" t="str">
        <f aca="false">IF($A21="","",INDEX(_events!$H$2:$H$171,MATCH($A21,_events!$A$2:$A$171,0)))</f>
        <v>วศ.16</v>
      </c>
      <c r="I21" s="96" t="str">
        <f aca="false">IF($A21="","",INDEX(_events!$I$2:$I$171,MATCH($A21,_events!$A$2:$A$171,0)))</f>
        <v>Admin</v>
      </c>
      <c r="J21" s="96" t="str">
        <f aca="false">IF($A21="","",INDEX(_events!$J$2:$J$171,MATCH($A21,_events!$A$2:$A$171,0)))</f>
        <v>ตามแผน</v>
      </c>
      <c r="K21" s="96" t="str">
        <f aca="false">IF($A21="","",INDEX(_events!$K$2:$K$171,MATCH($A21,_events!$A$2:$A$171,0)))</f>
        <v>ผรม. 16</v>
      </c>
    </row>
    <row r="22" customFormat="false" ht="15" hidden="false" customHeight="false" outlineLevel="0" collapsed="false">
      <c r="A22" s="94" t="n">
        <f aca="false">IFERROR(SMALL(_events!$A$2:$A$171,17),"")</f>
        <v>46349.00138</v>
      </c>
      <c r="B22" s="95" t="n">
        <f aca="false">IF($A22="","",INT($A22))</f>
        <v>46349</v>
      </c>
      <c r="C22" s="96" t="str">
        <f aca="false">IF($A22="","",INDEX(_events!$C$2:$C$171,MATCH($A22,_events!$A$2:$A$171,0)))</f>
        <v>ติดตั้ง / ดับไฟเชื่อมระบบ</v>
      </c>
      <c r="D22" s="97" t="str">
        <f aca="false">IF($A22="","",HYPERLINK("#'"&amp;INDEX(_events!$D$2:$D$171,MATCH($A22,_events!$A$2:$A$171,0))&amp;"'!A1",INDEX(_events!$D$2:$D$171,MATCH($A22,_events!$A$2:$A$171,0))))</f>
        <v>P9-017</v>
      </c>
      <c r="E22" s="96" t="str">
        <f aca="false">IF($A22="","",INDEX(_events!$E$2:$E$171,MATCH($A22,_events!$A$2:$A$171,0)))</f>
        <v>แม่แบบ Carport, กันย้อน HV, Inverter &lt; 200 kVA</v>
      </c>
      <c r="F22" s="96" t="str">
        <f aca="false">IF($A22="","",INDEX(_events!$F$2:$F$171,MATCH($A22,_events!$A$2:$A$171,0)))</f>
        <v>ตย.17</v>
      </c>
      <c r="G22" s="96" t="str">
        <f aca="false">IF($A22="","",INDEX(_events!$G$2:$G$171,MATCH($A22,_events!$A$2:$A$171,0)))</f>
        <v>17</v>
      </c>
      <c r="H22" s="96" t="str">
        <f aca="false">IF($A22="","",INDEX(_events!$H$2:$H$171,MATCH($A22,_events!$A$2:$A$171,0)))</f>
        <v>วศ.17</v>
      </c>
      <c r="I22" s="96" t="str">
        <f aca="false">IF($A22="","",INDEX(_events!$I$2:$I$171,MATCH($A22,_events!$A$2:$A$171,0)))</f>
        <v>Admin</v>
      </c>
      <c r="J22" s="96" t="str">
        <f aca="false">IF($A22="","",INDEX(_events!$J$2:$J$171,MATCH($A22,_events!$A$2:$A$171,0)))</f>
        <v>ตามแผน</v>
      </c>
      <c r="K22" s="96" t="str">
        <f aca="false">IF($A22="","",INDEX(_events!$K$2:$K$171,MATCH($A22,_events!$A$2:$A$171,0)))</f>
        <v>ผรม. 17</v>
      </c>
    </row>
    <row r="23" customFormat="false" ht="15" hidden="false" customHeight="false" outlineLevel="0" collapsed="false">
      <c r="A23" s="94" t="n">
        <f aca="false">IFERROR(SMALL(_events!$A$2:$A$171,18),"")</f>
        <v>46349.00146</v>
      </c>
      <c r="B23" s="95" t="n">
        <f aca="false">IF($A23="","",INT($A23))</f>
        <v>46349</v>
      </c>
      <c r="C23" s="96" t="str">
        <f aca="false">IF($A23="","",INDEX(_events!$C$2:$C$171,MATCH($A23,_events!$A$2:$A$171,0)))</f>
        <v>ติดตั้ง / ดับไฟเชื่อมระบบ</v>
      </c>
      <c r="D23" s="97" t="str">
        <f aca="false">IF($A23="","",HYPERLINK("#'"&amp;INDEX(_events!$D$2:$D$171,MATCH($A23,_events!$A$2:$A$171,0))&amp;"'!A1",INDEX(_events!$D$2:$D$171,MATCH($A23,_events!$A$2:$A$171,0))))</f>
        <v>P9-018</v>
      </c>
      <c r="E23" s="96" t="str">
        <f aca="false">IF($A23="","",INDEX(_events!$E$2:$E$171,MATCH($A23,_events!$A$2:$A$171,0)))</f>
        <v>แม่แบบ Carport, กันย้อน HV, Inverter ≥ 200 kVA</v>
      </c>
      <c r="F23" s="96" t="str">
        <f aca="false">IF($A23="","",INDEX(_events!$F$2:$F$171,MATCH($A23,_events!$A$2:$A$171,0)))</f>
        <v>ตย.18</v>
      </c>
      <c r="G23" s="96" t="str">
        <f aca="false">IF($A23="","",INDEX(_events!$G$2:$G$171,MATCH($A23,_events!$A$2:$A$171,0)))</f>
        <v>18</v>
      </c>
      <c r="H23" s="96" t="str">
        <f aca="false">IF($A23="","",INDEX(_events!$H$2:$H$171,MATCH($A23,_events!$A$2:$A$171,0)))</f>
        <v>วศ.18</v>
      </c>
      <c r="I23" s="96" t="str">
        <f aca="false">IF($A23="","",INDEX(_events!$I$2:$I$171,MATCH($A23,_events!$A$2:$A$171,0)))</f>
        <v>Admin</v>
      </c>
      <c r="J23" s="96" t="str">
        <f aca="false">IF($A23="","",INDEX(_events!$J$2:$J$171,MATCH($A23,_events!$A$2:$A$171,0)))</f>
        <v>ตามแผน</v>
      </c>
      <c r="K23" s="96" t="str">
        <f aca="false">IF($A23="","",INDEX(_events!$K$2:$K$171,MATCH($A23,_events!$A$2:$A$171,0)))</f>
        <v>ผรม. 18</v>
      </c>
    </row>
    <row r="24" customFormat="false" ht="15" hidden="false" customHeight="false" outlineLevel="0" collapsed="false">
      <c r="A24" s="94" t="n">
        <f aca="false">IFERROR(SMALL(_events!$A$2:$A$171,19),"")</f>
        <v>46349.00155</v>
      </c>
      <c r="B24" s="95" t="n">
        <f aca="false">IF($A24="","",INT($A24))</f>
        <v>46349</v>
      </c>
      <c r="C24" s="96" t="str">
        <f aca="false">IF($A24="","",INDEX(_events!$C$2:$C$171,MATCH($A24,_events!$A$2:$A$171,0)))</f>
        <v>ติดตั้ง / ดับไฟเชื่อมระบบ</v>
      </c>
      <c r="D24" s="97" t="str">
        <f aca="false">IF($A24="","",HYPERLINK("#'"&amp;INDEX(_events!$D$2:$D$171,MATCH($A24,_events!$A$2:$A$171,0))&amp;"'!A1",INDEX(_events!$D$2:$D$171,MATCH($A24,_events!$A$2:$A$171,0))))</f>
        <v>P9-019</v>
      </c>
      <c r="E24" s="96" t="str">
        <f aca="false">IF($A24="","",INDEX(_events!$E$2:$E$171,MATCH($A24,_events!$A$2:$A$171,0)))</f>
        <v>แม่แบบ Carport, กันย้อน LV, Inverter &lt; 200 kVA</v>
      </c>
      <c r="F24" s="96" t="str">
        <f aca="false">IF($A24="","",INDEX(_events!$F$2:$F$171,MATCH($A24,_events!$A$2:$A$171,0)))</f>
        <v>ตย.19</v>
      </c>
      <c r="G24" s="96" t="str">
        <f aca="false">IF($A24="","",INDEX(_events!$G$2:$G$171,MATCH($A24,_events!$A$2:$A$171,0)))</f>
        <v>19</v>
      </c>
      <c r="H24" s="96" t="str">
        <f aca="false">IF($A24="","",INDEX(_events!$H$2:$H$171,MATCH($A24,_events!$A$2:$A$171,0)))</f>
        <v>วศ.19</v>
      </c>
      <c r="I24" s="96" t="str">
        <f aca="false">IF($A24="","",INDEX(_events!$I$2:$I$171,MATCH($A24,_events!$A$2:$A$171,0)))</f>
        <v>Admin</v>
      </c>
      <c r="J24" s="96" t="str">
        <f aca="false">IF($A24="","",INDEX(_events!$J$2:$J$171,MATCH($A24,_events!$A$2:$A$171,0)))</f>
        <v>ตามแผน</v>
      </c>
      <c r="K24" s="96" t="str">
        <f aca="false">IF($A24="","",INDEX(_events!$K$2:$K$171,MATCH($A24,_events!$A$2:$A$171,0)))</f>
        <v>ผรม. 19</v>
      </c>
    </row>
    <row r="25" customFormat="false" ht="15" hidden="false" customHeight="false" outlineLevel="0" collapsed="false">
      <c r="A25" s="94" t="n">
        <f aca="false">IFERROR(SMALL(_events!$A$2:$A$171,20),"")</f>
        <v>46349.00163</v>
      </c>
      <c r="B25" s="95" t="n">
        <f aca="false">IF($A25="","",INT($A25))</f>
        <v>46349</v>
      </c>
      <c r="C25" s="96" t="str">
        <f aca="false">IF($A25="","",INDEX(_events!$C$2:$C$171,MATCH($A25,_events!$A$2:$A$171,0)))</f>
        <v>ติดตั้ง / ดับไฟเชื่อมระบบ</v>
      </c>
      <c r="D25" s="97" t="str">
        <f aca="false">IF($A25="","",HYPERLINK("#'"&amp;INDEX(_events!$D$2:$D$171,MATCH($A25,_events!$A$2:$A$171,0))&amp;"'!A1",INDEX(_events!$D$2:$D$171,MATCH($A25,_events!$A$2:$A$171,0))))</f>
        <v>P9-020</v>
      </c>
      <c r="E25" s="96" t="str">
        <f aca="false">IF($A25="","",INDEX(_events!$E$2:$E$171,MATCH($A25,_events!$A$2:$A$171,0)))</f>
        <v>แม่แบบ Carport, กันย้อน LV, Inverter ≥ 200 kVA</v>
      </c>
      <c r="F25" s="96" t="str">
        <f aca="false">IF($A25="","",INDEX(_events!$F$2:$F$171,MATCH($A25,_events!$A$2:$A$171,0)))</f>
        <v>ตย.20</v>
      </c>
      <c r="G25" s="96" t="str">
        <f aca="false">IF($A25="","",INDEX(_events!$G$2:$G$171,MATCH($A25,_events!$A$2:$A$171,0)))</f>
        <v>20</v>
      </c>
      <c r="H25" s="96" t="str">
        <f aca="false">IF($A25="","",INDEX(_events!$H$2:$H$171,MATCH($A25,_events!$A$2:$A$171,0)))</f>
        <v>วศ.20</v>
      </c>
      <c r="I25" s="96" t="str">
        <f aca="false">IF($A25="","",INDEX(_events!$I$2:$I$171,MATCH($A25,_events!$A$2:$A$171,0)))</f>
        <v>Admin</v>
      </c>
      <c r="J25" s="96" t="str">
        <f aca="false">IF($A25="","",INDEX(_events!$J$2:$J$171,MATCH($A25,_events!$A$2:$A$171,0)))</f>
        <v>ตามแผน</v>
      </c>
      <c r="K25" s="96" t="str">
        <f aca="false">IF($A25="","",INDEX(_events!$K$2:$K$171,MATCH($A25,_events!$A$2:$A$171,0)))</f>
        <v>ผรม. 20</v>
      </c>
    </row>
    <row r="26" customFormat="false" ht="15" hidden="false" customHeight="false" outlineLevel="0" collapsed="false">
      <c r="A26" s="94" t="str">
        <f aca="false">IFERROR(SMALL(_events!$A$2:$A$171,21),"")</f>
        <v/>
      </c>
      <c r="B26" s="95" t="str">
        <f aca="false">IF($A26="","",INT($A26))</f>
        <v/>
      </c>
      <c r="C26" s="96" t="str">
        <f aca="false">IF($A26="","",INDEX(_events!$C$2:$C$171,MATCH($A26,_events!$A$2:$A$171,0)))</f>
        <v/>
      </c>
      <c r="D26" s="97" t="str">
        <f aca="false">IF($A26="","",HYPERLINK("#'"&amp;INDEX(_events!$D$2:$D$171,MATCH($A26,_events!$A$2:$A$171,0))&amp;"'!A1",INDEX(_events!$D$2:$D$171,MATCH($A26,_events!$A$2:$A$171,0))))</f>
        <v/>
      </c>
      <c r="E26" s="96" t="str">
        <f aca="false">IF($A26="","",INDEX(_events!$E$2:$E$171,MATCH($A26,_events!$A$2:$A$171,0)))</f>
        <v/>
      </c>
      <c r="F26" s="96" t="str">
        <f aca="false">IF($A26="","",INDEX(_events!$F$2:$F$171,MATCH($A26,_events!$A$2:$A$171,0)))</f>
        <v/>
      </c>
      <c r="G26" s="96" t="str">
        <f aca="false">IF($A26="","",INDEX(_events!$G$2:$G$171,MATCH($A26,_events!$A$2:$A$171,0)))</f>
        <v/>
      </c>
      <c r="H26" s="96" t="str">
        <f aca="false">IF($A26="","",INDEX(_events!$H$2:$H$171,MATCH($A26,_events!$A$2:$A$171,0)))</f>
        <v/>
      </c>
      <c r="I26" s="96" t="str">
        <f aca="false">IF($A26="","",INDEX(_events!$I$2:$I$171,MATCH($A26,_events!$A$2:$A$171,0)))</f>
        <v/>
      </c>
      <c r="J26" s="96" t="str">
        <f aca="false">IF($A26="","",INDEX(_events!$J$2:$J$171,MATCH($A26,_events!$A$2:$A$171,0)))</f>
        <v/>
      </c>
      <c r="K26" s="96" t="str">
        <f aca="false">IF($A26="","",INDEX(_events!$K$2:$K$171,MATCH($A26,_events!$A$2:$A$171,0)))</f>
        <v/>
      </c>
    </row>
    <row r="27" customFormat="false" ht="15" hidden="false" customHeight="false" outlineLevel="0" collapsed="false">
      <c r="A27" s="94" t="str">
        <f aca="false">IFERROR(SMALL(_events!$A$2:$A$171,22),"")</f>
        <v/>
      </c>
      <c r="B27" s="95" t="str">
        <f aca="false">IF($A27="","",INT($A27))</f>
        <v/>
      </c>
      <c r="C27" s="96" t="str">
        <f aca="false">IF($A27="","",INDEX(_events!$C$2:$C$171,MATCH($A27,_events!$A$2:$A$171,0)))</f>
        <v/>
      </c>
      <c r="D27" s="97" t="str">
        <f aca="false">IF($A27="","",HYPERLINK("#'"&amp;INDEX(_events!$D$2:$D$171,MATCH($A27,_events!$A$2:$A$171,0))&amp;"'!A1",INDEX(_events!$D$2:$D$171,MATCH($A27,_events!$A$2:$A$171,0))))</f>
        <v/>
      </c>
      <c r="E27" s="96" t="str">
        <f aca="false">IF($A27="","",INDEX(_events!$E$2:$E$171,MATCH($A27,_events!$A$2:$A$171,0)))</f>
        <v/>
      </c>
      <c r="F27" s="96" t="str">
        <f aca="false">IF($A27="","",INDEX(_events!$F$2:$F$171,MATCH($A27,_events!$A$2:$A$171,0)))</f>
        <v/>
      </c>
      <c r="G27" s="96" t="str">
        <f aca="false">IF($A27="","",INDEX(_events!$G$2:$G$171,MATCH($A27,_events!$A$2:$A$171,0)))</f>
        <v/>
      </c>
      <c r="H27" s="96" t="str">
        <f aca="false">IF($A27="","",INDEX(_events!$H$2:$H$171,MATCH($A27,_events!$A$2:$A$171,0)))</f>
        <v/>
      </c>
      <c r="I27" s="96" t="str">
        <f aca="false">IF($A27="","",INDEX(_events!$I$2:$I$171,MATCH($A27,_events!$A$2:$A$171,0)))</f>
        <v/>
      </c>
      <c r="J27" s="96" t="str">
        <f aca="false">IF($A27="","",INDEX(_events!$J$2:$J$171,MATCH($A27,_events!$A$2:$A$171,0)))</f>
        <v/>
      </c>
      <c r="K27" s="96" t="str">
        <f aca="false">IF($A27="","",INDEX(_events!$K$2:$K$171,MATCH($A27,_events!$A$2:$A$171,0)))</f>
        <v/>
      </c>
    </row>
    <row r="28" customFormat="false" ht="15" hidden="false" customHeight="false" outlineLevel="0" collapsed="false">
      <c r="A28" s="94" t="str">
        <f aca="false">IFERROR(SMALL(_events!$A$2:$A$171,23),"")</f>
        <v/>
      </c>
      <c r="B28" s="95" t="str">
        <f aca="false">IF($A28="","",INT($A28))</f>
        <v/>
      </c>
      <c r="C28" s="96" t="str">
        <f aca="false">IF($A28="","",INDEX(_events!$C$2:$C$171,MATCH($A28,_events!$A$2:$A$171,0)))</f>
        <v/>
      </c>
      <c r="D28" s="97" t="str">
        <f aca="false">IF($A28="","",HYPERLINK("#'"&amp;INDEX(_events!$D$2:$D$171,MATCH($A28,_events!$A$2:$A$171,0))&amp;"'!A1",INDEX(_events!$D$2:$D$171,MATCH($A28,_events!$A$2:$A$171,0))))</f>
        <v/>
      </c>
      <c r="E28" s="96" t="str">
        <f aca="false">IF($A28="","",INDEX(_events!$E$2:$E$171,MATCH($A28,_events!$A$2:$A$171,0)))</f>
        <v/>
      </c>
      <c r="F28" s="96" t="str">
        <f aca="false">IF($A28="","",INDEX(_events!$F$2:$F$171,MATCH($A28,_events!$A$2:$A$171,0)))</f>
        <v/>
      </c>
      <c r="G28" s="96" t="str">
        <f aca="false">IF($A28="","",INDEX(_events!$G$2:$G$171,MATCH($A28,_events!$A$2:$A$171,0)))</f>
        <v/>
      </c>
      <c r="H28" s="96" t="str">
        <f aca="false">IF($A28="","",INDEX(_events!$H$2:$H$171,MATCH($A28,_events!$A$2:$A$171,0)))</f>
        <v/>
      </c>
      <c r="I28" s="96" t="str">
        <f aca="false">IF($A28="","",INDEX(_events!$I$2:$I$171,MATCH($A28,_events!$A$2:$A$171,0)))</f>
        <v/>
      </c>
      <c r="J28" s="96" t="str">
        <f aca="false">IF($A28="","",INDEX(_events!$J$2:$J$171,MATCH($A28,_events!$A$2:$A$171,0)))</f>
        <v/>
      </c>
      <c r="K28" s="96" t="str">
        <f aca="false">IF($A28="","",INDEX(_events!$K$2:$K$171,MATCH($A28,_events!$A$2:$A$171,0)))</f>
        <v/>
      </c>
    </row>
    <row r="29" customFormat="false" ht="15" hidden="false" customHeight="false" outlineLevel="0" collapsed="false">
      <c r="A29" s="94" t="str">
        <f aca="false">IFERROR(SMALL(_events!$A$2:$A$171,24),"")</f>
        <v/>
      </c>
      <c r="B29" s="95" t="str">
        <f aca="false">IF($A29="","",INT($A29))</f>
        <v/>
      </c>
      <c r="C29" s="96" t="str">
        <f aca="false">IF($A29="","",INDEX(_events!$C$2:$C$171,MATCH($A29,_events!$A$2:$A$171,0)))</f>
        <v/>
      </c>
      <c r="D29" s="97" t="str">
        <f aca="false">IF($A29="","",HYPERLINK("#'"&amp;INDEX(_events!$D$2:$D$171,MATCH($A29,_events!$A$2:$A$171,0))&amp;"'!A1",INDEX(_events!$D$2:$D$171,MATCH($A29,_events!$A$2:$A$171,0))))</f>
        <v/>
      </c>
      <c r="E29" s="96" t="str">
        <f aca="false">IF($A29="","",INDEX(_events!$E$2:$E$171,MATCH($A29,_events!$A$2:$A$171,0)))</f>
        <v/>
      </c>
      <c r="F29" s="96" t="str">
        <f aca="false">IF($A29="","",INDEX(_events!$F$2:$F$171,MATCH($A29,_events!$A$2:$A$171,0)))</f>
        <v/>
      </c>
      <c r="G29" s="96" t="str">
        <f aca="false">IF($A29="","",INDEX(_events!$G$2:$G$171,MATCH($A29,_events!$A$2:$A$171,0)))</f>
        <v/>
      </c>
      <c r="H29" s="96" t="str">
        <f aca="false">IF($A29="","",INDEX(_events!$H$2:$H$171,MATCH($A29,_events!$A$2:$A$171,0)))</f>
        <v/>
      </c>
      <c r="I29" s="96" t="str">
        <f aca="false">IF($A29="","",INDEX(_events!$I$2:$I$171,MATCH($A29,_events!$A$2:$A$171,0)))</f>
        <v/>
      </c>
      <c r="J29" s="96" t="str">
        <f aca="false">IF($A29="","",INDEX(_events!$J$2:$J$171,MATCH($A29,_events!$A$2:$A$171,0)))</f>
        <v/>
      </c>
      <c r="K29" s="96" t="str">
        <f aca="false">IF($A29="","",INDEX(_events!$K$2:$K$171,MATCH($A29,_events!$A$2:$A$171,0)))</f>
        <v/>
      </c>
    </row>
    <row r="30" customFormat="false" ht="15" hidden="false" customHeight="false" outlineLevel="0" collapsed="false">
      <c r="A30" s="94" t="str">
        <f aca="false">IFERROR(SMALL(_events!$A$2:$A$171,25),"")</f>
        <v/>
      </c>
      <c r="B30" s="95" t="str">
        <f aca="false">IF($A30="","",INT($A30))</f>
        <v/>
      </c>
      <c r="C30" s="96" t="str">
        <f aca="false">IF($A30="","",INDEX(_events!$C$2:$C$171,MATCH($A30,_events!$A$2:$A$171,0)))</f>
        <v/>
      </c>
      <c r="D30" s="97" t="str">
        <f aca="false">IF($A30="","",HYPERLINK("#'"&amp;INDEX(_events!$D$2:$D$171,MATCH($A30,_events!$A$2:$A$171,0))&amp;"'!A1",INDEX(_events!$D$2:$D$171,MATCH($A30,_events!$A$2:$A$171,0))))</f>
        <v/>
      </c>
      <c r="E30" s="96" t="str">
        <f aca="false">IF($A30="","",INDEX(_events!$E$2:$E$171,MATCH($A30,_events!$A$2:$A$171,0)))</f>
        <v/>
      </c>
      <c r="F30" s="96" t="str">
        <f aca="false">IF($A30="","",INDEX(_events!$F$2:$F$171,MATCH($A30,_events!$A$2:$A$171,0)))</f>
        <v/>
      </c>
      <c r="G30" s="96" t="str">
        <f aca="false">IF($A30="","",INDEX(_events!$G$2:$G$171,MATCH($A30,_events!$A$2:$A$171,0)))</f>
        <v/>
      </c>
      <c r="H30" s="96" t="str">
        <f aca="false">IF($A30="","",INDEX(_events!$H$2:$H$171,MATCH($A30,_events!$A$2:$A$171,0)))</f>
        <v/>
      </c>
      <c r="I30" s="96" t="str">
        <f aca="false">IF($A30="","",INDEX(_events!$I$2:$I$171,MATCH($A30,_events!$A$2:$A$171,0)))</f>
        <v/>
      </c>
      <c r="J30" s="96" t="str">
        <f aca="false">IF($A30="","",INDEX(_events!$J$2:$J$171,MATCH($A30,_events!$A$2:$A$171,0)))</f>
        <v/>
      </c>
      <c r="K30" s="96" t="str">
        <f aca="false">IF($A30="","",INDEX(_events!$K$2:$K$171,MATCH($A30,_events!$A$2:$A$171,0)))</f>
        <v/>
      </c>
    </row>
    <row r="31" customFormat="false" ht="15" hidden="false" customHeight="false" outlineLevel="0" collapsed="false">
      <c r="A31" s="94" t="str">
        <f aca="false">IFERROR(SMALL(_events!$A$2:$A$171,26),"")</f>
        <v/>
      </c>
      <c r="B31" s="95" t="str">
        <f aca="false">IF($A31="","",INT($A31))</f>
        <v/>
      </c>
      <c r="C31" s="96" t="str">
        <f aca="false">IF($A31="","",INDEX(_events!$C$2:$C$171,MATCH($A31,_events!$A$2:$A$171,0)))</f>
        <v/>
      </c>
      <c r="D31" s="97" t="str">
        <f aca="false">IF($A31="","",HYPERLINK("#'"&amp;INDEX(_events!$D$2:$D$171,MATCH($A31,_events!$A$2:$A$171,0))&amp;"'!A1",INDEX(_events!$D$2:$D$171,MATCH($A31,_events!$A$2:$A$171,0))))</f>
        <v/>
      </c>
      <c r="E31" s="96" t="str">
        <f aca="false">IF($A31="","",INDEX(_events!$E$2:$E$171,MATCH($A31,_events!$A$2:$A$171,0)))</f>
        <v/>
      </c>
      <c r="F31" s="96" t="str">
        <f aca="false">IF($A31="","",INDEX(_events!$F$2:$F$171,MATCH($A31,_events!$A$2:$A$171,0)))</f>
        <v/>
      </c>
      <c r="G31" s="96" t="str">
        <f aca="false">IF($A31="","",INDEX(_events!$G$2:$G$171,MATCH($A31,_events!$A$2:$A$171,0)))</f>
        <v/>
      </c>
      <c r="H31" s="96" t="str">
        <f aca="false">IF($A31="","",INDEX(_events!$H$2:$H$171,MATCH($A31,_events!$A$2:$A$171,0)))</f>
        <v/>
      </c>
      <c r="I31" s="96" t="str">
        <f aca="false">IF($A31="","",INDEX(_events!$I$2:$I$171,MATCH($A31,_events!$A$2:$A$171,0)))</f>
        <v/>
      </c>
      <c r="J31" s="96" t="str">
        <f aca="false">IF($A31="","",INDEX(_events!$J$2:$J$171,MATCH($A31,_events!$A$2:$A$171,0)))</f>
        <v/>
      </c>
      <c r="K31" s="96" t="str">
        <f aca="false">IF($A31="","",INDEX(_events!$K$2:$K$171,MATCH($A31,_events!$A$2:$A$171,0)))</f>
        <v/>
      </c>
    </row>
    <row r="32" customFormat="false" ht="15" hidden="false" customHeight="false" outlineLevel="0" collapsed="false">
      <c r="A32" s="94" t="str">
        <f aca="false">IFERROR(SMALL(_events!$A$2:$A$171,27),"")</f>
        <v/>
      </c>
      <c r="B32" s="95" t="str">
        <f aca="false">IF($A32="","",INT($A32))</f>
        <v/>
      </c>
      <c r="C32" s="96" t="str">
        <f aca="false">IF($A32="","",INDEX(_events!$C$2:$C$171,MATCH($A32,_events!$A$2:$A$171,0)))</f>
        <v/>
      </c>
      <c r="D32" s="97" t="str">
        <f aca="false">IF($A32="","",HYPERLINK("#'"&amp;INDEX(_events!$D$2:$D$171,MATCH($A32,_events!$A$2:$A$171,0))&amp;"'!A1",INDEX(_events!$D$2:$D$171,MATCH($A32,_events!$A$2:$A$171,0))))</f>
        <v/>
      </c>
      <c r="E32" s="96" t="str">
        <f aca="false">IF($A32="","",INDEX(_events!$E$2:$E$171,MATCH($A32,_events!$A$2:$A$171,0)))</f>
        <v/>
      </c>
      <c r="F32" s="96" t="str">
        <f aca="false">IF($A32="","",INDEX(_events!$F$2:$F$171,MATCH($A32,_events!$A$2:$A$171,0)))</f>
        <v/>
      </c>
      <c r="G32" s="96" t="str">
        <f aca="false">IF($A32="","",INDEX(_events!$G$2:$G$171,MATCH($A32,_events!$A$2:$A$171,0)))</f>
        <v/>
      </c>
      <c r="H32" s="96" t="str">
        <f aca="false">IF($A32="","",INDEX(_events!$H$2:$H$171,MATCH($A32,_events!$A$2:$A$171,0)))</f>
        <v/>
      </c>
      <c r="I32" s="96" t="str">
        <f aca="false">IF($A32="","",INDEX(_events!$I$2:$I$171,MATCH($A32,_events!$A$2:$A$171,0)))</f>
        <v/>
      </c>
      <c r="J32" s="96" t="str">
        <f aca="false">IF($A32="","",INDEX(_events!$J$2:$J$171,MATCH($A32,_events!$A$2:$A$171,0)))</f>
        <v/>
      </c>
      <c r="K32" s="96" t="str">
        <f aca="false">IF($A32="","",INDEX(_events!$K$2:$K$171,MATCH($A32,_events!$A$2:$A$171,0)))</f>
        <v/>
      </c>
    </row>
    <row r="33" customFormat="false" ht="15" hidden="false" customHeight="false" outlineLevel="0" collapsed="false">
      <c r="A33" s="94" t="str">
        <f aca="false">IFERROR(SMALL(_events!$A$2:$A$171,28),"")</f>
        <v/>
      </c>
      <c r="B33" s="95" t="str">
        <f aca="false">IF($A33="","",INT($A33))</f>
        <v/>
      </c>
      <c r="C33" s="96" t="str">
        <f aca="false">IF($A33="","",INDEX(_events!$C$2:$C$171,MATCH($A33,_events!$A$2:$A$171,0)))</f>
        <v/>
      </c>
      <c r="D33" s="97" t="str">
        <f aca="false">IF($A33="","",HYPERLINK("#'"&amp;INDEX(_events!$D$2:$D$171,MATCH($A33,_events!$A$2:$A$171,0))&amp;"'!A1",INDEX(_events!$D$2:$D$171,MATCH($A33,_events!$A$2:$A$171,0))))</f>
        <v/>
      </c>
      <c r="E33" s="96" t="str">
        <f aca="false">IF($A33="","",INDEX(_events!$E$2:$E$171,MATCH($A33,_events!$A$2:$A$171,0)))</f>
        <v/>
      </c>
      <c r="F33" s="96" t="str">
        <f aca="false">IF($A33="","",INDEX(_events!$F$2:$F$171,MATCH($A33,_events!$A$2:$A$171,0)))</f>
        <v/>
      </c>
      <c r="G33" s="96" t="str">
        <f aca="false">IF($A33="","",INDEX(_events!$G$2:$G$171,MATCH($A33,_events!$A$2:$A$171,0)))</f>
        <v/>
      </c>
      <c r="H33" s="96" t="str">
        <f aca="false">IF($A33="","",INDEX(_events!$H$2:$H$171,MATCH($A33,_events!$A$2:$A$171,0)))</f>
        <v/>
      </c>
      <c r="I33" s="96" t="str">
        <f aca="false">IF($A33="","",INDEX(_events!$I$2:$I$171,MATCH($A33,_events!$A$2:$A$171,0)))</f>
        <v/>
      </c>
      <c r="J33" s="96" t="str">
        <f aca="false">IF($A33="","",INDEX(_events!$J$2:$J$171,MATCH($A33,_events!$A$2:$A$171,0)))</f>
        <v/>
      </c>
      <c r="K33" s="96" t="str">
        <f aca="false">IF($A33="","",INDEX(_events!$K$2:$K$171,MATCH($A33,_events!$A$2:$A$171,0)))</f>
        <v/>
      </c>
    </row>
    <row r="34" customFormat="false" ht="15" hidden="false" customHeight="false" outlineLevel="0" collapsed="false">
      <c r="A34" s="94" t="str">
        <f aca="false">IFERROR(SMALL(_events!$A$2:$A$171,29),"")</f>
        <v/>
      </c>
      <c r="B34" s="95" t="str">
        <f aca="false">IF($A34="","",INT($A34))</f>
        <v/>
      </c>
      <c r="C34" s="96" t="str">
        <f aca="false">IF($A34="","",INDEX(_events!$C$2:$C$171,MATCH($A34,_events!$A$2:$A$171,0)))</f>
        <v/>
      </c>
      <c r="D34" s="97" t="str">
        <f aca="false">IF($A34="","",HYPERLINK("#'"&amp;INDEX(_events!$D$2:$D$171,MATCH($A34,_events!$A$2:$A$171,0))&amp;"'!A1",INDEX(_events!$D$2:$D$171,MATCH($A34,_events!$A$2:$A$171,0))))</f>
        <v/>
      </c>
      <c r="E34" s="96" t="str">
        <f aca="false">IF($A34="","",INDEX(_events!$E$2:$E$171,MATCH($A34,_events!$A$2:$A$171,0)))</f>
        <v/>
      </c>
      <c r="F34" s="96" t="str">
        <f aca="false">IF($A34="","",INDEX(_events!$F$2:$F$171,MATCH($A34,_events!$A$2:$A$171,0)))</f>
        <v/>
      </c>
      <c r="G34" s="96" t="str">
        <f aca="false">IF($A34="","",INDEX(_events!$G$2:$G$171,MATCH($A34,_events!$A$2:$A$171,0)))</f>
        <v/>
      </c>
      <c r="H34" s="96" t="str">
        <f aca="false">IF($A34="","",INDEX(_events!$H$2:$H$171,MATCH($A34,_events!$A$2:$A$171,0)))</f>
        <v/>
      </c>
      <c r="I34" s="96" t="str">
        <f aca="false">IF($A34="","",INDEX(_events!$I$2:$I$171,MATCH($A34,_events!$A$2:$A$171,0)))</f>
        <v/>
      </c>
      <c r="J34" s="96" t="str">
        <f aca="false">IF($A34="","",INDEX(_events!$J$2:$J$171,MATCH($A34,_events!$A$2:$A$171,0)))</f>
        <v/>
      </c>
      <c r="K34" s="96" t="str">
        <f aca="false">IF($A34="","",INDEX(_events!$K$2:$K$171,MATCH($A34,_events!$A$2:$A$171,0)))</f>
        <v/>
      </c>
    </row>
    <row r="35" customFormat="false" ht="15" hidden="false" customHeight="false" outlineLevel="0" collapsed="false">
      <c r="A35" s="94" t="str">
        <f aca="false">IFERROR(SMALL(_events!$A$2:$A$171,30),"")</f>
        <v/>
      </c>
      <c r="B35" s="95" t="str">
        <f aca="false">IF($A35="","",INT($A35))</f>
        <v/>
      </c>
      <c r="C35" s="96" t="str">
        <f aca="false">IF($A35="","",INDEX(_events!$C$2:$C$171,MATCH($A35,_events!$A$2:$A$171,0)))</f>
        <v/>
      </c>
      <c r="D35" s="97" t="str">
        <f aca="false">IF($A35="","",HYPERLINK("#'"&amp;INDEX(_events!$D$2:$D$171,MATCH($A35,_events!$A$2:$A$171,0))&amp;"'!A1",INDEX(_events!$D$2:$D$171,MATCH($A35,_events!$A$2:$A$171,0))))</f>
        <v/>
      </c>
      <c r="E35" s="96" t="str">
        <f aca="false">IF($A35="","",INDEX(_events!$E$2:$E$171,MATCH($A35,_events!$A$2:$A$171,0)))</f>
        <v/>
      </c>
      <c r="F35" s="96" t="str">
        <f aca="false">IF($A35="","",INDEX(_events!$F$2:$F$171,MATCH($A35,_events!$A$2:$A$171,0)))</f>
        <v/>
      </c>
      <c r="G35" s="96" t="str">
        <f aca="false">IF($A35="","",INDEX(_events!$G$2:$G$171,MATCH($A35,_events!$A$2:$A$171,0)))</f>
        <v/>
      </c>
      <c r="H35" s="96" t="str">
        <f aca="false">IF($A35="","",INDEX(_events!$H$2:$H$171,MATCH($A35,_events!$A$2:$A$171,0)))</f>
        <v/>
      </c>
      <c r="I35" s="96" t="str">
        <f aca="false">IF($A35="","",INDEX(_events!$I$2:$I$171,MATCH($A35,_events!$A$2:$A$171,0)))</f>
        <v/>
      </c>
      <c r="J35" s="96" t="str">
        <f aca="false">IF($A35="","",INDEX(_events!$J$2:$J$171,MATCH($A35,_events!$A$2:$A$171,0)))</f>
        <v/>
      </c>
      <c r="K35" s="96" t="str">
        <f aca="false">IF($A35="","",INDEX(_events!$K$2:$K$171,MATCH($A35,_events!$A$2:$A$171,0)))</f>
        <v/>
      </c>
    </row>
    <row r="36" customFormat="false" ht="15" hidden="false" customHeight="false" outlineLevel="0" collapsed="false">
      <c r="A36" s="94" t="str">
        <f aca="false">IFERROR(SMALL(_events!$A$2:$A$171,31),"")</f>
        <v/>
      </c>
      <c r="B36" s="95" t="str">
        <f aca="false">IF($A36="","",INT($A36))</f>
        <v/>
      </c>
      <c r="C36" s="96" t="str">
        <f aca="false">IF($A36="","",INDEX(_events!$C$2:$C$171,MATCH($A36,_events!$A$2:$A$171,0)))</f>
        <v/>
      </c>
      <c r="D36" s="97" t="str">
        <f aca="false">IF($A36="","",HYPERLINK("#'"&amp;INDEX(_events!$D$2:$D$171,MATCH($A36,_events!$A$2:$A$171,0))&amp;"'!A1",INDEX(_events!$D$2:$D$171,MATCH($A36,_events!$A$2:$A$171,0))))</f>
        <v/>
      </c>
      <c r="E36" s="96" t="str">
        <f aca="false">IF($A36="","",INDEX(_events!$E$2:$E$171,MATCH($A36,_events!$A$2:$A$171,0)))</f>
        <v/>
      </c>
      <c r="F36" s="96" t="str">
        <f aca="false">IF($A36="","",INDEX(_events!$F$2:$F$171,MATCH($A36,_events!$A$2:$A$171,0)))</f>
        <v/>
      </c>
      <c r="G36" s="96" t="str">
        <f aca="false">IF($A36="","",INDEX(_events!$G$2:$G$171,MATCH($A36,_events!$A$2:$A$171,0)))</f>
        <v/>
      </c>
      <c r="H36" s="96" t="str">
        <f aca="false">IF($A36="","",INDEX(_events!$H$2:$H$171,MATCH($A36,_events!$A$2:$A$171,0)))</f>
        <v/>
      </c>
      <c r="I36" s="96" t="str">
        <f aca="false">IF($A36="","",INDEX(_events!$I$2:$I$171,MATCH($A36,_events!$A$2:$A$171,0)))</f>
        <v/>
      </c>
      <c r="J36" s="96" t="str">
        <f aca="false">IF($A36="","",INDEX(_events!$J$2:$J$171,MATCH($A36,_events!$A$2:$A$171,0)))</f>
        <v/>
      </c>
      <c r="K36" s="96" t="str">
        <f aca="false">IF($A36="","",INDEX(_events!$K$2:$K$171,MATCH($A36,_events!$A$2:$A$171,0)))</f>
        <v/>
      </c>
    </row>
    <row r="37" customFormat="false" ht="15" hidden="false" customHeight="false" outlineLevel="0" collapsed="false">
      <c r="A37" s="94" t="str">
        <f aca="false">IFERROR(SMALL(_events!$A$2:$A$171,32),"")</f>
        <v/>
      </c>
      <c r="B37" s="95" t="str">
        <f aca="false">IF($A37="","",INT($A37))</f>
        <v/>
      </c>
      <c r="C37" s="96" t="str">
        <f aca="false">IF($A37="","",INDEX(_events!$C$2:$C$171,MATCH($A37,_events!$A$2:$A$171,0)))</f>
        <v/>
      </c>
      <c r="D37" s="97" t="str">
        <f aca="false">IF($A37="","",HYPERLINK("#'"&amp;INDEX(_events!$D$2:$D$171,MATCH($A37,_events!$A$2:$A$171,0))&amp;"'!A1",INDEX(_events!$D$2:$D$171,MATCH($A37,_events!$A$2:$A$171,0))))</f>
        <v/>
      </c>
      <c r="E37" s="96" t="str">
        <f aca="false">IF($A37="","",INDEX(_events!$E$2:$E$171,MATCH($A37,_events!$A$2:$A$171,0)))</f>
        <v/>
      </c>
      <c r="F37" s="96" t="str">
        <f aca="false">IF($A37="","",INDEX(_events!$F$2:$F$171,MATCH($A37,_events!$A$2:$A$171,0)))</f>
        <v/>
      </c>
      <c r="G37" s="96" t="str">
        <f aca="false">IF($A37="","",INDEX(_events!$G$2:$G$171,MATCH($A37,_events!$A$2:$A$171,0)))</f>
        <v/>
      </c>
      <c r="H37" s="96" t="str">
        <f aca="false">IF($A37="","",INDEX(_events!$H$2:$H$171,MATCH($A37,_events!$A$2:$A$171,0)))</f>
        <v/>
      </c>
      <c r="I37" s="96" t="str">
        <f aca="false">IF($A37="","",INDEX(_events!$I$2:$I$171,MATCH($A37,_events!$A$2:$A$171,0)))</f>
        <v/>
      </c>
      <c r="J37" s="96" t="str">
        <f aca="false">IF($A37="","",INDEX(_events!$J$2:$J$171,MATCH($A37,_events!$A$2:$A$171,0)))</f>
        <v/>
      </c>
      <c r="K37" s="96" t="str">
        <f aca="false">IF($A37="","",INDEX(_events!$K$2:$K$171,MATCH($A37,_events!$A$2:$A$171,0)))</f>
        <v/>
      </c>
    </row>
    <row r="38" customFormat="false" ht="15" hidden="false" customHeight="false" outlineLevel="0" collapsed="false">
      <c r="A38" s="94" t="str">
        <f aca="false">IFERROR(SMALL(_events!$A$2:$A$171,33),"")</f>
        <v/>
      </c>
      <c r="B38" s="95" t="str">
        <f aca="false">IF($A38="","",INT($A38))</f>
        <v/>
      </c>
      <c r="C38" s="96" t="str">
        <f aca="false">IF($A38="","",INDEX(_events!$C$2:$C$171,MATCH($A38,_events!$A$2:$A$171,0)))</f>
        <v/>
      </c>
      <c r="D38" s="97" t="str">
        <f aca="false">IF($A38="","",HYPERLINK("#'"&amp;INDEX(_events!$D$2:$D$171,MATCH($A38,_events!$A$2:$A$171,0))&amp;"'!A1",INDEX(_events!$D$2:$D$171,MATCH($A38,_events!$A$2:$A$171,0))))</f>
        <v/>
      </c>
      <c r="E38" s="96" t="str">
        <f aca="false">IF($A38="","",INDEX(_events!$E$2:$E$171,MATCH($A38,_events!$A$2:$A$171,0)))</f>
        <v/>
      </c>
      <c r="F38" s="96" t="str">
        <f aca="false">IF($A38="","",INDEX(_events!$F$2:$F$171,MATCH($A38,_events!$A$2:$A$171,0)))</f>
        <v/>
      </c>
      <c r="G38" s="96" t="str">
        <f aca="false">IF($A38="","",INDEX(_events!$G$2:$G$171,MATCH($A38,_events!$A$2:$A$171,0)))</f>
        <v/>
      </c>
      <c r="H38" s="96" t="str">
        <f aca="false">IF($A38="","",INDEX(_events!$H$2:$H$171,MATCH($A38,_events!$A$2:$A$171,0)))</f>
        <v/>
      </c>
      <c r="I38" s="96" t="str">
        <f aca="false">IF($A38="","",INDEX(_events!$I$2:$I$171,MATCH($A38,_events!$A$2:$A$171,0)))</f>
        <v/>
      </c>
      <c r="J38" s="96" t="str">
        <f aca="false">IF($A38="","",INDEX(_events!$J$2:$J$171,MATCH($A38,_events!$A$2:$A$171,0)))</f>
        <v/>
      </c>
      <c r="K38" s="96" t="str">
        <f aca="false">IF($A38="","",INDEX(_events!$K$2:$K$171,MATCH($A38,_events!$A$2:$A$171,0)))</f>
        <v/>
      </c>
    </row>
    <row r="39" customFormat="false" ht="15" hidden="false" customHeight="false" outlineLevel="0" collapsed="false">
      <c r="A39" s="94" t="str">
        <f aca="false">IFERROR(SMALL(_events!$A$2:$A$171,34),"")</f>
        <v/>
      </c>
      <c r="B39" s="95" t="str">
        <f aca="false">IF($A39="","",INT($A39))</f>
        <v/>
      </c>
      <c r="C39" s="96" t="str">
        <f aca="false">IF($A39="","",INDEX(_events!$C$2:$C$171,MATCH($A39,_events!$A$2:$A$171,0)))</f>
        <v/>
      </c>
      <c r="D39" s="97" t="str">
        <f aca="false">IF($A39="","",HYPERLINK("#'"&amp;INDEX(_events!$D$2:$D$171,MATCH($A39,_events!$A$2:$A$171,0))&amp;"'!A1",INDEX(_events!$D$2:$D$171,MATCH($A39,_events!$A$2:$A$171,0))))</f>
        <v/>
      </c>
      <c r="E39" s="96" t="str">
        <f aca="false">IF($A39="","",INDEX(_events!$E$2:$E$171,MATCH($A39,_events!$A$2:$A$171,0)))</f>
        <v/>
      </c>
      <c r="F39" s="96" t="str">
        <f aca="false">IF($A39="","",INDEX(_events!$F$2:$F$171,MATCH($A39,_events!$A$2:$A$171,0)))</f>
        <v/>
      </c>
      <c r="G39" s="96" t="str">
        <f aca="false">IF($A39="","",INDEX(_events!$G$2:$G$171,MATCH($A39,_events!$A$2:$A$171,0)))</f>
        <v/>
      </c>
      <c r="H39" s="96" t="str">
        <f aca="false">IF($A39="","",INDEX(_events!$H$2:$H$171,MATCH($A39,_events!$A$2:$A$171,0)))</f>
        <v/>
      </c>
      <c r="I39" s="96" t="str">
        <f aca="false">IF($A39="","",INDEX(_events!$I$2:$I$171,MATCH($A39,_events!$A$2:$A$171,0)))</f>
        <v/>
      </c>
      <c r="J39" s="96" t="str">
        <f aca="false">IF($A39="","",INDEX(_events!$J$2:$J$171,MATCH($A39,_events!$A$2:$A$171,0)))</f>
        <v/>
      </c>
      <c r="K39" s="96" t="str">
        <f aca="false">IF($A39="","",INDEX(_events!$K$2:$K$171,MATCH($A39,_events!$A$2:$A$171,0)))</f>
        <v/>
      </c>
    </row>
    <row r="40" customFormat="false" ht="15" hidden="false" customHeight="false" outlineLevel="0" collapsed="false">
      <c r="A40" s="94" t="str">
        <f aca="false">IFERROR(SMALL(_events!$A$2:$A$171,35),"")</f>
        <v/>
      </c>
      <c r="B40" s="95" t="str">
        <f aca="false">IF($A40="","",INT($A40))</f>
        <v/>
      </c>
      <c r="C40" s="96" t="str">
        <f aca="false">IF($A40="","",INDEX(_events!$C$2:$C$171,MATCH($A40,_events!$A$2:$A$171,0)))</f>
        <v/>
      </c>
      <c r="D40" s="97" t="str">
        <f aca="false">IF($A40="","",HYPERLINK("#'"&amp;INDEX(_events!$D$2:$D$171,MATCH($A40,_events!$A$2:$A$171,0))&amp;"'!A1",INDEX(_events!$D$2:$D$171,MATCH($A40,_events!$A$2:$A$171,0))))</f>
        <v/>
      </c>
      <c r="E40" s="96" t="str">
        <f aca="false">IF($A40="","",INDEX(_events!$E$2:$E$171,MATCH($A40,_events!$A$2:$A$171,0)))</f>
        <v/>
      </c>
      <c r="F40" s="96" t="str">
        <f aca="false">IF($A40="","",INDEX(_events!$F$2:$F$171,MATCH($A40,_events!$A$2:$A$171,0)))</f>
        <v/>
      </c>
      <c r="G40" s="96" t="str">
        <f aca="false">IF($A40="","",INDEX(_events!$G$2:$G$171,MATCH($A40,_events!$A$2:$A$171,0)))</f>
        <v/>
      </c>
      <c r="H40" s="96" t="str">
        <f aca="false">IF($A40="","",INDEX(_events!$H$2:$H$171,MATCH($A40,_events!$A$2:$A$171,0)))</f>
        <v/>
      </c>
      <c r="I40" s="96" t="str">
        <f aca="false">IF($A40="","",INDEX(_events!$I$2:$I$171,MATCH($A40,_events!$A$2:$A$171,0)))</f>
        <v/>
      </c>
      <c r="J40" s="96" t="str">
        <f aca="false">IF($A40="","",INDEX(_events!$J$2:$J$171,MATCH($A40,_events!$A$2:$A$171,0)))</f>
        <v/>
      </c>
      <c r="K40" s="96" t="str">
        <f aca="false">IF($A40="","",INDEX(_events!$K$2:$K$171,MATCH($A40,_events!$A$2:$A$171,0)))</f>
        <v/>
      </c>
    </row>
    <row r="41" customFormat="false" ht="15" hidden="false" customHeight="false" outlineLevel="0" collapsed="false">
      <c r="A41" s="94" t="str">
        <f aca="false">IFERROR(SMALL(_events!$A$2:$A$171,36),"")</f>
        <v/>
      </c>
      <c r="B41" s="95" t="str">
        <f aca="false">IF($A41="","",INT($A41))</f>
        <v/>
      </c>
      <c r="C41" s="96" t="str">
        <f aca="false">IF($A41="","",INDEX(_events!$C$2:$C$171,MATCH($A41,_events!$A$2:$A$171,0)))</f>
        <v/>
      </c>
      <c r="D41" s="97" t="str">
        <f aca="false">IF($A41="","",HYPERLINK("#'"&amp;INDEX(_events!$D$2:$D$171,MATCH($A41,_events!$A$2:$A$171,0))&amp;"'!A1",INDEX(_events!$D$2:$D$171,MATCH($A41,_events!$A$2:$A$171,0))))</f>
        <v/>
      </c>
      <c r="E41" s="96" t="str">
        <f aca="false">IF($A41="","",INDEX(_events!$E$2:$E$171,MATCH($A41,_events!$A$2:$A$171,0)))</f>
        <v/>
      </c>
      <c r="F41" s="96" t="str">
        <f aca="false">IF($A41="","",INDEX(_events!$F$2:$F$171,MATCH($A41,_events!$A$2:$A$171,0)))</f>
        <v/>
      </c>
      <c r="G41" s="96" t="str">
        <f aca="false">IF($A41="","",INDEX(_events!$G$2:$G$171,MATCH($A41,_events!$A$2:$A$171,0)))</f>
        <v/>
      </c>
      <c r="H41" s="96" t="str">
        <f aca="false">IF($A41="","",INDEX(_events!$H$2:$H$171,MATCH($A41,_events!$A$2:$A$171,0)))</f>
        <v/>
      </c>
      <c r="I41" s="96" t="str">
        <f aca="false">IF($A41="","",INDEX(_events!$I$2:$I$171,MATCH($A41,_events!$A$2:$A$171,0)))</f>
        <v/>
      </c>
      <c r="J41" s="96" t="str">
        <f aca="false">IF($A41="","",INDEX(_events!$J$2:$J$171,MATCH($A41,_events!$A$2:$A$171,0)))</f>
        <v/>
      </c>
      <c r="K41" s="96" t="str">
        <f aca="false">IF($A41="","",INDEX(_events!$K$2:$K$171,MATCH($A41,_events!$A$2:$A$171,0)))</f>
        <v/>
      </c>
    </row>
    <row r="42" customFormat="false" ht="15" hidden="false" customHeight="false" outlineLevel="0" collapsed="false">
      <c r="A42" s="94" t="str">
        <f aca="false">IFERROR(SMALL(_events!$A$2:$A$171,37),"")</f>
        <v/>
      </c>
      <c r="B42" s="95" t="str">
        <f aca="false">IF($A42="","",INT($A42))</f>
        <v/>
      </c>
      <c r="C42" s="96" t="str">
        <f aca="false">IF($A42="","",INDEX(_events!$C$2:$C$171,MATCH($A42,_events!$A$2:$A$171,0)))</f>
        <v/>
      </c>
      <c r="D42" s="97" t="str">
        <f aca="false">IF($A42="","",HYPERLINK("#'"&amp;INDEX(_events!$D$2:$D$171,MATCH($A42,_events!$A$2:$A$171,0))&amp;"'!A1",INDEX(_events!$D$2:$D$171,MATCH($A42,_events!$A$2:$A$171,0))))</f>
        <v/>
      </c>
      <c r="E42" s="96" t="str">
        <f aca="false">IF($A42="","",INDEX(_events!$E$2:$E$171,MATCH($A42,_events!$A$2:$A$171,0)))</f>
        <v/>
      </c>
      <c r="F42" s="96" t="str">
        <f aca="false">IF($A42="","",INDEX(_events!$F$2:$F$171,MATCH($A42,_events!$A$2:$A$171,0)))</f>
        <v/>
      </c>
      <c r="G42" s="96" t="str">
        <f aca="false">IF($A42="","",INDEX(_events!$G$2:$G$171,MATCH($A42,_events!$A$2:$A$171,0)))</f>
        <v/>
      </c>
      <c r="H42" s="96" t="str">
        <f aca="false">IF($A42="","",INDEX(_events!$H$2:$H$171,MATCH($A42,_events!$A$2:$A$171,0)))</f>
        <v/>
      </c>
      <c r="I42" s="96" t="str">
        <f aca="false">IF($A42="","",INDEX(_events!$I$2:$I$171,MATCH($A42,_events!$A$2:$A$171,0)))</f>
        <v/>
      </c>
      <c r="J42" s="96" t="str">
        <f aca="false">IF($A42="","",INDEX(_events!$J$2:$J$171,MATCH($A42,_events!$A$2:$A$171,0)))</f>
        <v/>
      </c>
      <c r="K42" s="96" t="str">
        <f aca="false">IF($A42="","",INDEX(_events!$K$2:$K$171,MATCH($A42,_events!$A$2:$A$171,0)))</f>
        <v/>
      </c>
    </row>
    <row r="43" customFormat="false" ht="15" hidden="false" customHeight="false" outlineLevel="0" collapsed="false">
      <c r="A43" s="94" t="str">
        <f aca="false">IFERROR(SMALL(_events!$A$2:$A$171,38),"")</f>
        <v/>
      </c>
      <c r="B43" s="95" t="str">
        <f aca="false">IF($A43="","",INT($A43))</f>
        <v/>
      </c>
      <c r="C43" s="96" t="str">
        <f aca="false">IF($A43="","",INDEX(_events!$C$2:$C$171,MATCH($A43,_events!$A$2:$A$171,0)))</f>
        <v/>
      </c>
      <c r="D43" s="97" t="str">
        <f aca="false">IF($A43="","",HYPERLINK("#'"&amp;INDEX(_events!$D$2:$D$171,MATCH($A43,_events!$A$2:$A$171,0))&amp;"'!A1",INDEX(_events!$D$2:$D$171,MATCH($A43,_events!$A$2:$A$171,0))))</f>
        <v/>
      </c>
      <c r="E43" s="96" t="str">
        <f aca="false">IF($A43="","",INDEX(_events!$E$2:$E$171,MATCH($A43,_events!$A$2:$A$171,0)))</f>
        <v/>
      </c>
      <c r="F43" s="96" t="str">
        <f aca="false">IF($A43="","",INDEX(_events!$F$2:$F$171,MATCH($A43,_events!$A$2:$A$171,0)))</f>
        <v/>
      </c>
      <c r="G43" s="96" t="str">
        <f aca="false">IF($A43="","",INDEX(_events!$G$2:$G$171,MATCH($A43,_events!$A$2:$A$171,0)))</f>
        <v/>
      </c>
      <c r="H43" s="96" t="str">
        <f aca="false">IF($A43="","",INDEX(_events!$H$2:$H$171,MATCH($A43,_events!$A$2:$A$171,0)))</f>
        <v/>
      </c>
      <c r="I43" s="96" t="str">
        <f aca="false">IF($A43="","",INDEX(_events!$I$2:$I$171,MATCH($A43,_events!$A$2:$A$171,0)))</f>
        <v/>
      </c>
      <c r="J43" s="96" t="str">
        <f aca="false">IF($A43="","",INDEX(_events!$J$2:$J$171,MATCH($A43,_events!$A$2:$A$171,0)))</f>
        <v/>
      </c>
      <c r="K43" s="96" t="str">
        <f aca="false">IF($A43="","",INDEX(_events!$K$2:$K$171,MATCH($A43,_events!$A$2:$A$171,0)))</f>
        <v/>
      </c>
    </row>
    <row r="44" customFormat="false" ht="15" hidden="false" customHeight="false" outlineLevel="0" collapsed="false">
      <c r="A44" s="94" t="str">
        <f aca="false">IFERROR(SMALL(_events!$A$2:$A$171,39),"")</f>
        <v/>
      </c>
      <c r="B44" s="95" t="str">
        <f aca="false">IF($A44="","",INT($A44))</f>
        <v/>
      </c>
      <c r="C44" s="96" t="str">
        <f aca="false">IF($A44="","",INDEX(_events!$C$2:$C$171,MATCH($A44,_events!$A$2:$A$171,0)))</f>
        <v/>
      </c>
      <c r="D44" s="97" t="str">
        <f aca="false">IF($A44="","",HYPERLINK("#'"&amp;INDEX(_events!$D$2:$D$171,MATCH($A44,_events!$A$2:$A$171,0))&amp;"'!A1",INDEX(_events!$D$2:$D$171,MATCH($A44,_events!$A$2:$A$171,0))))</f>
        <v/>
      </c>
      <c r="E44" s="96" t="str">
        <f aca="false">IF($A44="","",INDEX(_events!$E$2:$E$171,MATCH($A44,_events!$A$2:$A$171,0)))</f>
        <v/>
      </c>
      <c r="F44" s="96" t="str">
        <f aca="false">IF($A44="","",INDEX(_events!$F$2:$F$171,MATCH($A44,_events!$A$2:$A$171,0)))</f>
        <v/>
      </c>
      <c r="G44" s="96" t="str">
        <f aca="false">IF($A44="","",INDEX(_events!$G$2:$G$171,MATCH($A44,_events!$A$2:$A$171,0)))</f>
        <v/>
      </c>
      <c r="H44" s="96" t="str">
        <f aca="false">IF($A44="","",INDEX(_events!$H$2:$H$171,MATCH($A44,_events!$A$2:$A$171,0)))</f>
        <v/>
      </c>
      <c r="I44" s="96" t="str">
        <f aca="false">IF($A44="","",INDEX(_events!$I$2:$I$171,MATCH($A44,_events!$A$2:$A$171,0)))</f>
        <v/>
      </c>
      <c r="J44" s="96" t="str">
        <f aca="false">IF($A44="","",INDEX(_events!$J$2:$J$171,MATCH($A44,_events!$A$2:$A$171,0)))</f>
        <v/>
      </c>
      <c r="K44" s="96" t="str">
        <f aca="false">IF($A44="","",INDEX(_events!$K$2:$K$171,MATCH($A44,_events!$A$2:$A$171,0)))</f>
        <v/>
      </c>
    </row>
    <row r="45" customFormat="false" ht="15" hidden="false" customHeight="false" outlineLevel="0" collapsed="false">
      <c r="A45" s="94" t="str">
        <f aca="false">IFERROR(SMALL(_events!$A$2:$A$171,40),"")</f>
        <v/>
      </c>
      <c r="B45" s="95" t="str">
        <f aca="false">IF($A45="","",INT($A45))</f>
        <v/>
      </c>
      <c r="C45" s="96" t="str">
        <f aca="false">IF($A45="","",INDEX(_events!$C$2:$C$171,MATCH($A45,_events!$A$2:$A$171,0)))</f>
        <v/>
      </c>
      <c r="D45" s="97" t="str">
        <f aca="false">IF($A45="","",HYPERLINK("#'"&amp;INDEX(_events!$D$2:$D$171,MATCH($A45,_events!$A$2:$A$171,0))&amp;"'!A1",INDEX(_events!$D$2:$D$171,MATCH($A45,_events!$A$2:$A$171,0))))</f>
        <v/>
      </c>
      <c r="E45" s="96" t="str">
        <f aca="false">IF($A45="","",INDEX(_events!$E$2:$E$171,MATCH($A45,_events!$A$2:$A$171,0)))</f>
        <v/>
      </c>
      <c r="F45" s="96" t="str">
        <f aca="false">IF($A45="","",INDEX(_events!$F$2:$F$171,MATCH($A45,_events!$A$2:$A$171,0)))</f>
        <v/>
      </c>
      <c r="G45" s="96" t="str">
        <f aca="false">IF($A45="","",INDEX(_events!$G$2:$G$171,MATCH($A45,_events!$A$2:$A$171,0)))</f>
        <v/>
      </c>
      <c r="H45" s="96" t="str">
        <f aca="false">IF($A45="","",INDEX(_events!$H$2:$H$171,MATCH($A45,_events!$A$2:$A$171,0)))</f>
        <v/>
      </c>
      <c r="I45" s="96" t="str">
        <f aca="false">IF($A45="","",INDEX(_events!$I$2:$I$171,MATCH($A45,_events!$A$2:$A$171,0)))</f>
        <v/>
      </c>
      <c r="J45" s="96" t="str">
        <f aca="false">IF($A45="","",INDEX(_events!$J$2:$J$171,MATCH($A45,_events!$A$2:$A$171,0)))</f>
        <v/>
      </c>
      <c r="K45" s="96" t="str">
        <f aca="false">IF($A45="","",INDEX(_events!$K$2:$K$171,MATCH($A45,_events!$A$2:$A$171,0)))</f>
        <v/>
      </c>
    </row>
    <row r="46" customFormat="false" ht="15" hidden="false" customHeight="false" outlineLevel="0" collapsed="false">
      <c r="A46" s="94" t="str">
        <f aca="false">IFERROR(SMALL(_events!$A$2:$A$171,41),"")</f>
        <v/>
      </c>
      <c r="B46" s="95" t="str">
        <f aca="false">IF($A46="","",INT($A46))</f>
        <v/>
      </c>
      <c r="C46" s="96" t="str">
        <f aca="false">IF($A46="","",INDEX(_events!$C$2:$C$171,MATCH($A46,_events!$A$2:$A$171,0)))</f>
        <v/>
      </c>
      <c r="D46" s="97" t="str">
        <f aca="false">IF($A46="","",HYPERLINK("#'"&amp;INDEX(_events!$D$2:$D$171,MATCH($A46,_events!$A$2:$A$171,0))&amp;"'!A1",INDEX(_events!$D$2:$D$171,MATCH($A46,_events!$A$2:$A$171,0))))</f>
        <v/>
      </c>
      <c r="E46" s="96" t="str">
        <f aca="false">IF($A46="","",INDEX(_events!$E$2:$E$171,MATCH($A46,_events!$A$2:$A$171,0)))</f>
        <v/>
      </c>
      <c r="F46" s="96" t="str">
        <f aca="false">IF($A46="","",INDEX(_events!$F$2:$F$171,MATCH($A46,_events!$A$2:$A$171,0)))</f>
        <v/>
      </c>
      <c r="G46" s="96" t="str">
        <f aca="false">IF($A46="","",INDEX(_events!$G$2:$G$171,MATCH($A46,_events!$A$2:$A$171,0)))</f>
        <v/>
      </c>
      <c r="H46" s="96" t="str">
        <f aca="false">IF($A46="","",INDEX(_events!$H$2:$H$171,MATCH($A46,_events!$A$2:$A$171,0)))</f>
        <v/>
      </c>
      <c r="I46" s="96" t="str">
        <f aca="false">IF($A46="","",INDEX(_events!$I$2:$I$171,MATCH($A46,_events!$A$2:$A$171,0)))</f>
        <v/>
      </c>
      <c r="J46" s="96" t="str">
        <f aca="false">IF($A46="","",INDEX(_events!$J$2:$J$171,MATCH($A46,_events!$A$2:$A$171,0)))</f>
        <v/>
      </c>
      <c r="K46" s="96" t="str">
        <f aca="false">IF($A46="","",INDEX(_events!$K$2:$K$171,MATCH($A46,_events!$A$2:$A$171,0)))</f>
        <v/>
      </c>
    </row>
    <row r="47" customFormat="false" ht="15" hidden="false" customHeight="false" outlineLevel="0" collapsed="false">
      <c r="A47" s="94" t="str">
        <f aca="false">IFERROR(SMALL(_events!$A$2:$A$171,42),"")</f>
        <v/>
      </c>
      <c r="B47" s="95" t="str">
        <f aca="false">IF($A47="","",INT($A47))</f>
        <v/>
      </c>
      <c r="C47" s="96" t="str">
        <f aca="false">IF($A47="","",INDEX(_events!$C$2:$C$171,MATCH($A47,_events!$A$2:$A$171,0)))</f>
        <v/>
      </c>
      <c r="D47" s="97" t="str">
        <f aca="false">IF($A47="","",HYPERLINK("#'"&amp;INDEX(_events!$D$2:$D$171,MATCH($A47,_events!$A$2:$A$171,0))&amp;"'!A1",INDEX(_events!$D$2:$D$171,MATCH($A47,_events!$A$2:$A$171,0))))</f>
        <v/>
      </c>
      <c r="E47" s="96" t="str">
        <f aca="false">IF($A47="","",INDEX(_events!$E$2:$E$171,MATCH($A47,_events!$A$2:$A$171,0)))</f>
        <v/>
      </c>
      <c r="F47" s="96" t="str">
        <f aca="false">IF($A47="","",INDEX(_events!$F$2:$F$171,MATCH($A47,_events!$A$2:$A$171,0)))</f>
        <v/>
      </c>
      <c r="G47" s="96" t="str">
        <f aca="false">IF($A47="","",INDEX(_events!$G$2:$G$171,MATCH($A47,_events!$A$2:$A$171,0)))</f>
        <v/>
      </c>
      <c r="H47" s="96" t="str">
        <f aca="false">IF($A47="","",INDEX(_events!$H$2:$H$171,MATCH($A47,_events!$A$2:$A$171,0)))</f>
        <v/>
      </c>
      <c r="I47" s="96" t="str">
        <f aca="false">IF($A47="","",INDEX(_events!$I$2:$I$171,MATCH($A47,_events!$A$2:$A$171,0)))</f>
        <v/>
      </c>
      <c r="J47" s="96" t="str">
        <f aca="false">IF($A47="","",INDEX(_events!$J$2:$J$171,MATCH($A47,_events!$A$2:$A$171,0)))</f>
        <v/>
      </c>
      <c r="K47" s="96" t="str">
        <f aca="false">IF($A47="","",INDEX(_events!$K$2:$K$171,MATCH($A47,_events!$A$2:$A$171,0)))</f>
        <v/>
      </c>
    </row>
    <row r="48" customFormat="false" ht="15" hidden="false" customHeight="false" outlineLevel="0" collapsed="false">
      <c r="A48" s="94" t="str">
        <f aca="false">IFERROR(SMALL(_events!$A$2:$A$171,43),"")</f>
        <v/>
      </c>
      <c r="B48" s="95" t="str">
        <f aca="false">IF($A48="","",INT($A48))</f>
        <v/>
      </c>
      <c r="C48" s="96" t="str">
        <f aca="false">IF($A48="","",INDEX(_events!$C$2:$C$171,MATCH($A48,_events!$A$2:$A$171,0)))</f>
        <v/>
      </c>
      <c r="D48" s="97" t="str">
        <f aca="false">IF($A48="","",HYPERLINK("#'"&amp;INDEX(_events!$D$2:$D$171,MATCH($A48,_events!$A$2:$A$171,0))&amp;"'!A1",INDEX(_events!$D$2:$D$171,MATCH($A48,_events!$A$2:$A$171,0))))</f>
        <v/>
      </c>
      <c r="E48" s="96" t="str">
        <f aca="false">IF($A48="","",INDEX(_events!$E$2:$E$171,MATCH($A48,_events!$A$2:$A$171,0)))</f>
        <v/>
      </c>
      <c r="F48" s="96" t="str">
        <f aca="false">IF($A48="","",INDEX(_events!$F$2:$F$171,MATCH($A48,_events!$A$2:$A$171,0)))</f>
        <v/>
      </c>
      <c r="G48" s="96" t="str">
        <f aca="false">IF($A48="","",INDEX(_events!$G$2:$G$171,MATCH($A48,_events!$A$2:$A$171,0)))</f>
        <v/>
      </c>
      <c r="H48" s="96" t="str">
        <f aca="false">IF($A48="","",INDEX(_events!$H$2:$H$171,MATCH($A48,_events!$A$2:$A$171,0)))</f>
        <v/>
      </c>
      <c r="I48" s="96" t="str">
        <f aca="false">IF($A48="","",INDEX(_events!$I$2:$I$171,MATCH($A48,_events!$A$2:$A$171,0)))</f>
        <v/>
      </c>
      <c r="J48" s="96" t="str">
        <f aca="false">IF($A48="","",INDEX(_events!$J$2:$J$171,MATCH($A48,_events!$A$2:$A$171,0)))</f>
        <v/>
      </c>
      <c r="K48" s="96" t="str">
        <f aca="false">IF($A48="","",INDEX(_events!$K$2:$K$171,MATCH($A48,_events!$A$2:$A$171,0)))</f>
        <v/>
      </c>
    </row>
    <row r="49" customFormat="false" ht="15" hidden="false" customHeight="false" outlineLevel="0" collapsed="false">
      <c r="A49" s="94" t="str">
        <f aca="false">IFERROR(SMALL(_events!$A$2:$A$171,44),"")</f>
        <v/>
      </c>
      <c r="B49" s="95" t="str">
        <f aca="false">IF($A49="","",INT($A49))</f>
        <v/>
      </c>
      <c r="C49" s="96" t="str">
        <f aca="false">IF($A49="","",INDEX(_events!$C$2:$C$171,MATCH($A49,_events!$A$2:$A$171,0)))</f>
        <v/>
      </c>
      <c r="D49" s="97" t="str">
        <f aca="false">IF($A49="","",HYPERLINK("#'"&amp;INDEX(_events!$D$2:$D$171,MATCH($A49,_events!$A$2:$A$171,0))&amp;"'!A1",INDEX(_events!$D$2:$D$171,MATCH($A49,_events!$A$2:$A$171,0))))</f>
        <v/>
      </c>
      <c r="E49" s="96" t="str">
        <f aca="false">IF($A49="","",INDEX(_events!$E$2:$E$171,MATCH($A49,_events!$A$2:$A$171,0)))</f>
        <v/>
      </c>
      <c r="F49" s="96" t="str">
        <f aca="false">IF($A49="","",INDEX(_events!$F$2:$F$171,MATCH($A49,_events!$A$2:$A$171,0)))</f>
        <v/>
      </c>
      <c r="G49" s="96" t="str">
        <f aca="false">IF($A49="","",INDEX(_events!$G$2:$G$171,MATCH($A49,_events!$A$2:$A$171,0)))</f>
        <v/>
      </c>
      <c r="H49" s="96" t="str">
        <f aca="false">IF($A49="","",INDEX(_events!$H$2:$H$171,MATCH($A49,_events!$A$2:$A$171,0)))</f>
        <v/>
      </c>
      <c r="I49" s="96" t="str">
        <f aca="false">IF($A49="","",INDEX(_events!$I$2:$I$171,MATCH($A49,_events!$A$2:$A$171,0)))</f>
        <v/>
      </c>
      <c r="J49" s="96" t="str">
        <f aca="false">IF($A49="","",INDEX(_events!$J$2:$J$171,MATCH($A49,_events!$A$2:$A$171,0)))</f>
        <v/>
      </c>
      <c r="K49" s="96" t="str">
        <f aca="false">IF($A49="","",INDEX(_events!$K$2:$K$171,MATCH($A49,_events!$A$2:$A$171,0)))</f>
        <v/>
      </c>
    </row>
    <row r="50" customFormat="false" ht="15" hidden="false" customHeight="false" outlineLevel="0" collapsed="false">
      <c r="A50" s="94" t="str">
        <f aca="false">IFERROR(SMALL(_events!$A$2:$A$171,45),"")</f>
        <v/>
      </c>
      <c r="B50" s="95" t="str">
        <f aca="false">IF($A50="","",INT($A50))</f>
        <v/>
      </c>
      <c r="C50" s="96" t="str">
        <f aca="false">IF($A50="","",INDEX(_events!$C$2:$C$171,MATCH($A50,_events!$A$2:$A$171,0)))</f>
        <v/>
      </c>
      <c r="D50" s="97" t="str">
        <f aca="false">IF($A50="","",HYPERLINK("#'"&amp;INDEX(_events!$D$2:$D$171,MATCH($A50,_events!$A$2:$A$171,0))&amp;"'!A1",INDEX(_events!$D$2:$D$171,MATCH($A50,_events!$A$2:$A$171,0))))</f>
        <v/>
      </c>
      <c r="E50" s="96" t="str">
        <f aca="false">IF($A50="","",INDEX(_events!$E$2:$E$171,MATCH($A50,_events!$A$2:$A$171,0)))</f>
        <v/>
      </c>
      <c r="F50" s="96" t="str">
        <f aca="false">IF($A50="","",INDEX(_events!$F$2:$F$171,MATCH($A50,_events!$A$2:$A$171,0)))</f>
        <v/>
      </c>
      <c r="G50" s="96" t="str">
        <f aca="false">IF($A50="","",INDEX(_events!$G$2:$G$171,MATCH($A50,_events!$A$2:$A$171,0)))</f>
        <v/>
      </c>
      <c r="H50" s="96" t="str">
        <f aca="false">IF($A50="","",INDEX(_events!$H$2:$H$171,MATCH($A50,_events!$A$2:$A$171,0)))</f>
        <v/>
      </c>
      <c r="I50" s="96" t="str">
        <f aca="false">IF($A50="","",INDEX(_events!$I$2:$I$171,MATCH($A50,_events!$A$2:$A$171,0)))</f>
        <v/>
      </c>
      <c r="J50" s="96" t="str">
        <f aca="false">IF($A50="","",INDEX(_events!$J$2:$J$171,MATCH($A50,_events!$A$2:$A$171,0)))</f>
        <v/>
      </c>
      <c r="K50" s="96" t="str">
        <f aca="false">IF($A50="","",INDEX(_events!$K$2:$K$171,MATCH($A50,_events!$A$2:$A$171,0)))</f>
        <v/>
      </c>
    </row>
    <row r="51" customFormat="false" ht="15" hidden="false" customHeight="false" outlineLevel="0" collapsed="false">
      <c r="A51" s="94" t="str">
        <f aca="false">IFERROR(SMALL(_events!$A$2:$A$171,46),"")</f>
        <v/>
      </c>
      <c r="B51" s="95" t="str">
        <f aca="false">IF($A51="","",INT($A51))</f>
        <v/>
      </c>
      <c r="C51" s="96" t="str">
        <f aca="false">IF($A51="","",INDEX(_events!$C$2:$C$171,MATCH($A51,_events!$A$2:$A$171,0)))</f>
        <v/>
      </c>
      <c r="D51" s="97" t="str">
        <f aca="false">IF($A51="","",HYPERLINK("#'"&amp;INDEX(_events!$D$2:$D$171,MATCH($A51,_events!$A$2:$A$171,0))&amp;"'!A1",INDEX(_events!$D$2:$D$171,MATCH($A51,_events!$A$2:$A$171,0))))</f>
        <v/>
      </c>
      <c r="E51" s="96" t="str">
        <f aca="false">IF($A51="","",INDEX(_events!$E$2:$E$171,MATCH($A51,_events!$A$2:$A$171,0)))</f>
        <v/>
      </c>
      <c r="F51" s="96" t="str">
        <f aca="false">IF($A51="","",INDEX(_events!$F$2:$F$171,MATCH($A51,_events!$A$2:$A$171,0)))</f>
        <v/>
      </c>
      <c r="G51" s="96" t="str">
        <f aca="false">IF($A51="","",INDEX(_events!$G$2:$G$171,MATCH($A51,_events!$A$2:$A$171,0)))</f>
        <v/>
      </c>
      <c r="H51" s="96" t="str">
        <f aca="false">IF($A51="","",INDEX(_events!$H$2:$H$171,MATCH($A51,_events!$A$2:$A$171,0)))</f>
        <v/>
      </c>
      <c r="I51" s="96" t="str">
        <f aca="false">IF($A51="","",INDEX(_events!$I$2:$I$171,MATCH($A51,_events!$A$2:$A$171,0)))</f>
        <v/>
      </c>
      <c r="J51" s="96" t="str">
        <f aca="false">IF($A51="","",INDEX(_events!$J$2:$J$171,MATCH($A51,_events!$A$2:$A$171,0)))</f>
        <v/>
      </c>
      <c r="K51" s="96" t="str">
        <f aca="false">IF($A51="","",INDEX(_events!$K$2:$K$171,MATCH($A51,_events!$A$2:$A$171,0)))</f>
        <v/>
      </c>
    </row>
    <row r="52" customFormat="false" ht="15" hidden="false" customHeight="false" outlineLevel="0" collapsed="false">
      <c r="A52" s="94" t="str">
        <f aca="false">IFERROR(SMALL(_events!$A$2:$A$171,47),"")</f>
        <v/>
      </c>
      <c r="B52" s="95" t="str">
        <f aca="false">IF($A52="","",INT($A52))</f>
        <v/>
      </c>
      <c r="C52" s="96" t="str">
        <f aca="false">IF($A52="","",INDEX(_events!$C$2:$C$171,MATCH($A52,_events!$A$2:$A$171,0)))</f>
        <v/>
      </c>
      <c r="D52" s="97" t="str">
        <f aca="false">IF($A52="","",HYPERLINK("#'"&amp;INDEX(_events!$D$2:$D$171,MATCH($A52,_events!$A$2:$A$171,0))&amp;"'!A1",INDEX(_events!$D$2:$D$171,MATCH($A52,_events!$A$2:$A$171,0))))</f>
        <v/>
      </c>
      <c r="E52" s="96" t="str">
        <f aca="false">IF($A52="","",INDEX(_events!$E$2:$E$171,MATCH($A52,_events!$A$2:$A$171,0)))</f>
        <v/>
      </c>
      <c r="F52" s="96" t="str">
        <f aca="false">IF($A52="","",INDEX(_events!$F$2:$F$171,MATCH($A52,_events!$A$2:$A$171,0)))</f>
        <v/>
      </c>
      <c r="G52" s="96" t="str">
        <f aca="false">IF($A52="","",INDEX(_events!$G$2:$G$171,MATCH($A52,_events!$A$2:$A$171,0)))</f>
        <v/>
      </c>
      <c r="H52" s="96" t="str">
        <f aca="false">IF($A52="","",INDEX(_events!$H$2:$H$171,MATCH($A52,_events!$A$2:$A$171,0)))</f>
        <v/>
      </c>
      <c r="I52" s="96" t="str">
        <f aca="false">IF($A52="","",INDEX(_events!$I$2:$I$171,MATCH($A52,_events!$A$2:$A$171,0)))</f>
        <v/>
      </c>
      <c r="J52" s="96" t="str">
        <f aca="false">IF($A52="","",INDEX(_events!$J$2:$J$171,MATCH($A52,_events!$A$2:$A$171,0)))</f>
        <v/>
      </c>
      <c r="K52" s="96" t="str">
        <f aca="false">IF($A52="","",INDEX(_events!$K$2:$K$171,MATCH($A52,_events!$A$2:$A$171,0)))</f>
        <v/>
      </c>
    </row>
    <row r="53" customFormat="false" ht="15" hidden="false" customHeight="false" outlineLevel="0" collapsed="false">
      <c r="A53" s="94" t="str">
        <f aca="false">IFERROR(SMALL(_events!$A$2:$A$171,48),"")</f>
        <v/>
      </c>
      <c r="B53" s="95" t="str">
        <f aca="false">IF($A53="","",INT($A53))</f>
        <v/>
      </c>
      <c r="C53" s="96" t="str">
        <f aca="false">IF($A53="","",INDEX(_events!$C$2:$C$171,MATCH($A53,_events!$A$2:$A$171,0)))</f>
        <v/>
      </c>
      <c r="D53" s="97" t="str">
        <f aca="false">IF($A53="","",HYPERLINK("#'"&amp;INDEX(_events!$D$2:$D$171,MATCH($A53,_events!$A$2:$A$171,0))&amp;"'!A1",INDEX(_events!$D$2:$D$171,MATCH($A53,_events!$A$2:$A$171,0))))</f>
        <v/>
      </c>
      <c r="E53" s="96" t="str">
        <f aca="false">IF($A53="","",INDEX(_events!$E$2:$E$171,MATCH($A53,_events!$A$2:$A$171,0)))</f>
        <v/>
      </c>
      <c r="F53" s="96" t="str">
        <f aca="false">IF($A53="","",INDEX(_events!$F$2:$F$171,MATCH($A53,_events!$A$2:$A$171,0)))</f>
        <v/>
      </c>
      <c r="G53" s="96" t="str">
        <f aca="false">IF($A53="","",INDEX(_events!$G$2:$G$171,MATCH($A53,_events!$A$2:$A$171,0)))</f>
        <v/>
      </c>
      <c r="H53" s="96" t="str">
        <f aca="false">IF($A53="","",INDEX(_events!$H$2:$H$171,MATCH($A53,_events!$A$2:$A$171,0)))</f>
        <v/>
      </c>
      <c r="I53" s="96" t="str">
        <f aca="false">IF($A53="","",INDEX(_events!$I$2:$I$171,MATCH($A53,_events!$A$2:$A$171,0)))</f>
        <v/>
      </c>
      <c r="J53" s="96" t="str">
        <f aca="false">IF($A53="","",INDEX(_events!$J$2:$J$171,MATCH($A53,_events!$A$2:$A$171,0)))</f>
        <v/>
      </c>
      <c r="K53" s="96" t="str">
        <f aca="false">IF($A53="","",INDEX(_events!$K$2:$K$171,MATCH($A53,_events!$A$2:$A$171,0)))</f>
        <v/>
      </c>
    </row>
    <row r="54" customFormat="false" ht="15" hidden="false" customHeight="false" outlineLevel="0" collapsed="false">
      <c r="A54" s="94" t="str">
        <f aca="false">IFERROR(SMALL(_events!$A$2:$A$171,49),"")</f>
        <v/>
      </c>
      <c r="B54" s="95" t="str">
        <f aca="false">IF($A54="","",INT($A54))</f>
        <v/>
      </c>
      <c r="C54" s="96" t="str">
        <f aca="false">IF($A54="","",INDEX(_events!$C$2:$C$171,MATCH($A54,_events!$A$2:$A$171,0)))</f>
        <v/>
      </c>
      <c r="D54" s="97" t="str">
        <f aca="false">IF($A54="","",HYPERLINK("#'"&amp;INDEX(_events!$D$2:$D$171,MATCH($A54,_events!$A$2:$A$171,0))&amp;"'!A1",INDEX(_events!$D$2:$D$171,MATCH($A54,_events!$A$2:$A$171,0))))</f>
        <v/>
      </c>
      <c r="E54" s="96" t="str">
        <f aca="false">IF($A54="","",INDEX(_events!$E$2:$E$171,MATCH($A54,_events!$A$2:$A$171,0)))</f>
        <v/>
      </c>
      <c r="F54" s="96" t="str">
        <f aca="false">IF($A54="","",INDEX(_events!$F$2:$F$171,MATCH($A54,_events!$A$2:$A$171,0)))</f>
        <v/>
      </c>
      <c r="G54" s="96" t="str">
        <f aca="false">IF($A54="","",INDEX(_events!$G$2:$G$171,MATCH($A54,_events!$A$2:$A$171,0)))</f>
        <v/>
      </c>
      <c r="H54" s="96" t="str">
        <f aca="false">IF($A54="","",INDEX(_events!$H$2:$H$171,MATCH($A54,_events!$A$2:$A$171,0)))</f>
        <v/>
      </c>
      <c r="I54" s="96" t="str">
        <f aca="false">IF($A54="","",INDEX(_events!$I$2:$I$171,MATCH($A54,_events!$A$2:$A$171,0)))</f>
        <v/>
      </c>
      <c r="J54" s="96" t="str">
        <f aca="false">IF($A54="","",INDEX(_events!$J$2:$J$171,MATCH($A54,_events!$A$2:$A$171,0)))</f>
        <v/>
      </c>
      <c r="K54" s="96" t="str">
        <f aca="false">IF($A54="","",INDEX(_events!$K$2:$K$171,MATCH($A54,_events!$A$2:$A$171,0)))</f>
        <v/>
      </c>
    </row>
    <row r="55" customFormat="false" ht="15" hidden="false" customHeight="false" outlineLevel="0" collapsed="false">
      <c r="A55" s="94" t="str">
        <f aca="false">IFERROR(SMALL(_events!$A$2:$A$171,50),"")</f>
        <v/>
      </c>
      <c r="B55" s="95" t="str">
        <f aca="false">IF($A55="","",INT($A55))</f>
        <v/>
      </c>
      <c r="C55" s="96" t="str">
        <f aca="false">IF($A55="","",INDEX(_events!$C$2:$C$171,MATCH($A55,_events!$A$2:$A$171,0)))</f>
        <v/>
      </c>
      <c r="D55" s="97" t="str">
        <f aca="false">IF($A55="","",HYPERLINK("#'"&amp;INDEX(_events!$D$2:$D$171,MATCH($A55,_events!$A$2:$A$171,0))&amp;"'!A1",INDEX(_events!$D$2:$D$171,MATCH($A55,_events!$A$2:$A$171,0))))</f>
        <v/>
      </c>
      <c r="E55" s="96" t="str">
        <f aca="false">IF($A55="","",INDEX(_events!$E$2:$E$171,MATCH($A55,_events!$A$2:$A$171,0)))</f>
        <v/>
      </c>
      <c r="F55" s="96" t="str">
        <f aca="false">IF($A55="","",INDEX(_events!$F$2:$F$171,MATCH($A55,_events!$A$2:$A$171,0)))</f>
        <v/>
      </c>
      <c r="G55" s="96" t="str">
        <f aca="false">IF($A55="","",INDEX(_events!$G$2:$G$171,MATCH($A55,_events!$A$2:$A$171,0)))</f>
        <v/>
      </c>
      <c r="H55" s="96" t="str">
        <f aca="false">IF($A55="","",INDEX(_events!$H$2:$H$171,MATCH($A55,_events!$A$2:$A$171,0)))</f>
        <v/>
      </c>
      <c r="I55" s="96" t="str">
        <f aca="false">IF($A55="","",INDEX(_events!$I$2:$I$171,MATCH($A55,_events!$A$2:$A$171,0)))</f>
        <v/>
      </c>
      <c r="J55" s="96" t="str">
        <f aca="false">IF($A55="","",INDEX(_events!$J$2:$J$171,MATCH($A55,_events!$A$2:$A$171,0)))</f>
        <v/>
      </c>
      <c r="K55" s="96" t="str">
        <f aca="false">IF($A55="","",INDEX(_events!$K$2:$K$171,MATCH($A55,_events!$A$2:$A$171,0)))</f>
        <v/>
      </c>
    </row>
    <row r="56" customFormat="false" ht="15" hidden="false" customHeight="false" outlineLevel="0" collapsed="false">
      <c r="A56" s="94" t="str">
        <f aca="false">IFERROR(SMALL(_events!$A$2:$A$171,51),"")</f>
        <v/>
      </c>
      <c r="B56" s="95" t="str">
        <f aca="false">IF($A56="","",INT($A56))</f>
        <v/>
      </c>
      <c r="C56" s="96" t="str">
        <f aca="false">IF($A56="","",INDEX(_events!$C$2:$C$171,MATCH($A56,_events!$A$2:$A$171,0)))</f>
        <v/>
      </c>
      <c r="D56" s="97" t="str">
        <f aca="false">IF($A56="","",HYPERLINK("#'"&amp;INDEX(_events!$D$2:$D$171,MATCH($A56,_events!$A$2:$A$171,0))&amp;"'!A1",INDEX(_events!$D$2:$D$171,MATCH($A56,_events!$A$2:$A$171,0))))</f>
        <v/>
      </c>
      <c r="E56" s="96" t="str">
        <f aca="false">IF($A56="","",INDEX(_events!$E$2:$E$171,MATCH($A56,_events!$A$2:$A$171,0)))</f>
        <v/>
      </c>
      <c r="F56" s="96" t="str">
        <f aca="false">IF($A56="","",INDEX(_events!$F$2:$F$171,MATCH($A56,_events!$A$2:$A$171,0)))</f>
        <v/>
      </c>
      <c r="G56" s="96" t="str">
        <f aca="false">IF($A56="","",INDEX(_events!$G$2:$G$171,MATCH($A56,_events!$A$2:$A$171,0)))</f>
        <v/>
      </c>
      <c r="H56" s="96" t="str">
        <f aca="false">IF($A56="","",INDEX(_events!$H$2:$H$171,MATCH($A56,_events!$A$2:$A$171,0)))</f>
        <v/>
      </c>
      <c r="I56" s="96" t="str">
        <f aca="false">IF($A56="","",INDEX(_events!$I$2:$I$171,MATCH($A56,_events!$A$2:$A$171,0)))</f>
        <v/>
      </c>
      <c r="J56" s="96" t="str">
        <f aca="false">IF($A56="","",INDEX(_events!$J$2:$J$171,MATCH($A56,_events!$A$2:$A$171,0)))</f>
        <v/>
      </c>
      <c r="K56" s="96" t="str">
        <f aca="false">IF($A56="","",INDEX(_events!$K$2:$K$171,MATCH($A56,_events!$A$2:$A$171,0)))</f>
        <v/>
      </c>
    </row>
    <row r="57" customFormat="false" ht="15" hidden="false" customHeight="false" outlineLevel="0" collapsed="false">
      <c r="A57" s="94" t="str">
        <f aca="false">IFERROR(SMALL(_events!$A$2:$A$171,52),"")</f>
        <v/>
      </c>
      <c r="B57" s="95" t="str">
        <f aca="false">IF($A57="","",INT($A57))</f>
        <v/>
      </c>
      <c r="C57" s="96" t="str">
        <f aca="false">IF($A57="","",INDEX(_events!$C$2:$C$171,MATCH($A57,_events!$A$2:$A$171,0)))</f>
        <v/>
      </c>
      <c r="D57" s="97" t="str">
        <f aca="false">IF($A57="","",HYPERLINK("#'"&amp;INDEX(_events!$D$2:$D$171,MATCH($A57,_events!$A$2:$A$171,0))&amp;"'!A1",INDEX(_events!$D$2:$D$171,MATCH($A57,_events!$A$2:$A$171,0))))</f>
        <v/>
      </c>
      <c r="E57" s="96" t="str">
        <f aca="false">IF($A57="","",INDEX(_events!$E$2:$E$171,MATCH($A57,_events!$A$2:$A$171,0)))</f>
        <v/>
      </c>
      <c r="F57" s="96" t="str">
        <f aca="false">IF($A57="","",INDEX(_events!$F$2:$F$171,MATCH($A57,_events!$A$2:$A$171,0)))</f>
        <v/>
      </c>
      <c r="G57" s="96" t="str">
        <f aca="false">IF($A57="","",INDEX(_events!$G$2:$G$171,MATCH($A57,_events!$A$2:$A$171,0)))</f>
        <v/>
      </c>
      <c r="H57" s="96" t="str">
        <f aca="false">IF($A57="","",INDEX(_events!$H$2:$H$171,MATCH($A57,_events!$A$2:$A$171,0)))</f>
        <v/>
      </c>
      <c r="I57" s="96" t="str">
        <f aca="false">IF($A57="","",INDEX(_events!$I$2:$I$171,MATCH($A57,_events!$A$2:$A$171,0)))</f>
        <v/>
      </c>
      <c r="J57" s="96" t="str">
        <f aca="false">IF($A57="","",INDEX(_events!$J$2:$J$171,MATCH($A57,_events!$A$2:$A$171,0)))</f>
        <v/>
      </c>
      <c r="K57" s="96" t="str">
        <f aca="false">IF($A57="","",INDEX(_events!$K$2:$K$171,MATCH($A57,_events!$A$2:$A$171,0)))</f>
        <v/>
      </c>
    </row>
    <row r="58" customFormat="false" ht="15" hidden="false" customHeight="false" outlineLevel="0" collapsed="false">
      <c r="A58" s="94" t="str">
        <f aca="false">IFERROR(SMALL(_events!$A$2:$A$171,53),"")</f>
        <v/>
      </c>
      <c r="B58" s="95" t="str">
        <f aca="false">IF($A58="","",INT($A58))</f>
        <v/>
      </c>
      <c r="C58" s="96" t="str">
        <f aca="false">IF($A58="","",INDEX(_events!$C$2:$C$171,MATCH($A58,_events!$A$2:$A$171,0)))</f>
        <v/>
      </c>
      <c r="D58" s="97" t="str">
        <f aca="false">IF($A58="","",HYPERLINK("#'"&amp;INDEX(_events!$D$2:$D$171,MATCH($A58,_events!$A$2:$A$171,0))&amp;"'!A1",INDEX(_events!$D$2:$D$171,MATCH($A58,_events!$A$2:$A$171,0))))</f>
        <v/>
      </c>
      <c r="E58" s="96" t="str">
        <f aca="false">IF($A58="","",INDEX(_events!$E$2:$E$171,MATCH($A58,_events!$A$2:$A$171,0)))</f>
        <v/>
      </c>
      <c r="F58" s="96" t="str">
        <f aca="false">IF($A58="","",INDEX(_events!$F$2:$F$171,MATCH($A58,_events!$A$2:$A$171,0)))</f>
        <v/>
      </c>
      <c r="G58" s="96" t="str">
        <f aca="false">IF($A58="","",INDEX(_events!$G$2:$G$171,MATCH($A58,_events!$A$2:$A$171,0)))</f>
        <v/>
      </c>
      <c r="H58" s="96" t="str">
        <f aca="false">IF($A58="","",INDEX(_events!$H$2:$H$171,MATCH($A58,_events!$A$2:$A$171,0)))</f>
        <v/>
      </c>
      <c r="I58" s="96" t="str">
        <f aca="false">IF($A58="","",INDEX(_events!$I$2:$I$171,MATCH($A58,_events!$A$2:$A$171,0)))</f>
        <v/>
      </c>
      <c r="J58" s="96" t="str">
        <f aca="false">IF($A58="","",INDEX(_events!$J$2:$J$171,MATCH($A58,_events!$A$2:$A$171,0)))</f>
        <v/>
      </c>
      <c r="K58" s="96" t="str">
        <f aca="false">IF($A58="","",INDEX(_events!$K$2:$K$171,MATCH($A58,_events!$A$2:$A$171,0)))</f>
        <v/>
      </c>
    </row>
    <row r="59" customFormat="false" ht="15" hidden="false" customHeight="false" outlineLevel="0" collapsed="false">
      <c r="A59" s="94" t="str">
        <f aca="false">IFERROR(SMALL(_events!$A$2:$A$171,54),"")</f>
        <v/>
      </c>
      <c r="B59" s="95" t="str">
        <f aca="false">IF($A59="","",INT($A59))</f>
        <v/>
      </c>
      <c r="C59" s="96" t="str">
        <f aca="false">IF($A59="","",INDEX(_events!$C$2:$C$171,MATCH($A59,_events!$A$2:$A$171,0)))</f>
        <v/>
      </c>
      <c r="D59" s="97" t="str">
        <f aca="false">IF($A59="","",HYPERLINK("#'"&amp;INDEX(_events!$D$2:$D$171,MATCH($A59,_events!$A$2:$A$171,0))&amp;"'!A1",INDEX(_events!$D$2:$D$171,MATCH($A59,_events!$A$2:$A$171,0))))</f>
        <v/>
      </c>
      <c r="E59" s="96" t="str">
        <f aca="false">IF($A59="","",INDEX(_events!$E$2:$E$171,MATCH($A59,_events!$A$2:$A$171,0)))</f>
        <v/>
      </c>
      <c r="F59" s="96" t="str">
        <f aca="false">IF($A59="","",INDEX(_events!$F$2:$F$171,MATCH($A59,_events!$A$2:$A$171,0)))</f>
        <v/>
      </c>
      <c r="G59" s="96" t="str">
        <f aca="false">IF($A59="","",INDEX(_events!$G$2:$G$171,MATCH($A59,_events!$A$2:$A$171,0)))</f>
        <v/>
      </c>
      <c r="H59" s="96" t="str">
        <f aca="false">IF($A59="","",INDEX(_events!$H$2:$H$171,MATCH($A59,_events!$A$2:$A$171,0)))</f>
        <v/>
      </c>
      <c r="I59" s="96" t="str">
        <f aca="false">IF($A59="","",INDEX(_events!$I$2:$I$171,MATCH($A59,_events!$A$2:$A$171,0)))</f>
        <v/>
      </c>
      <c r="J59" s="96" t="str">
        <f aca="false">IF($A59="","",INDEX(_events!$J$2:$J$171,MATCH($A59,_events!$A$2:$A$171,0)))</f>
        <v/>
      </c>
      <c r="K59" s="96" t="str">
        <f aca="false">IF($A59="","",INDEX(_events!$K$2:$K$171,MATCH($A59,_events!$A$2:$A$171,0)))</f>
        <v/>
      </c>
    </row>
    <row r="60" customFormat="false" ht="15" hidden="false" customHeight="false" outlineLevel="0" collapsed="false">
      <c r="A60" s="94" t="str">
        <f aca="false">IFERROR(SMALL(_events!$A$2:$A$171,55),"")</f>
        <v/>
      </c>
      <c r="B60" s="95" t="str">
        <f aca="false">IF($A60="","",INT($A60))</f>
        <v/>
      </c>
      <c r="C60" s="96" t="str">
        <f aca="false">IF($A60="","",INDEX(_events!$C$2:$C$171,MATCH($A60,_events!$A$2:$A$171,0)))</f>
        <v/>
      </c>
      <c r="D60" s="97" t="str">
        <f aca="false">IF($A60="","",HYPERLINK("#'"&amp;INDEX(_events!$D$2:$D$171,MATCH($A60,_events!$A$2:$A$171,0))&amp;"'!A1",INDEX(_events!$D$2:$D$171,MATCH($A60,_events!$A$2:$A$171,0))))</f>
        <v/>
      </c>
      <c r="E60" s="96" t="str">
        <f aca="false">IF($A60="","",INDEX(_events!$E$2:$E$171,MATCH($A60,_events!$A$2:$A$171,0)))</f>
        <v/>
      </c>
      <c r="F60" s="96" t="str">
        <f aca="false">IF($A60="","",INDEX(_events!$F$2:$F$171,MATCH($A60,_events!$A$2:$A$171,0)))</f>
        <v/>
      </c>
      <c r="G60" s="96" t="str">
        <f aca="false">IF($A60="","",INDEX(_events!$G$2:$G$171,MATCH($A60,_events!$A$2:$A$171,0)))</f>
        <v/>
      </c>
      <c r="H60" s="96" t="str">
        <f aca="false">IF($A60="","",INDEX(_events!$H$2:$H$171,MATCH($A60,_events!$A$2:$A$171,0)))</f>
        <v/>
      </c>
      <c r="I60" s="96" t="str">
        <f aca="false">IF($A60="","",INDEX(_events!$I$2:$I$171,MATCH($A60,_events!$A$2:$A$171,0)))</f>
        <v/>
      </c>
      <c r="J60" s="96" t="str">
        <f aca="false">IF($A60="","",INDEX(_events!$J$2:$J$171,MATCH($A60,_events!$A$2:$A$171,0)))</f>
        <v/>
      </c>
      <c r="K60" s="96" t="str">
        <f aca="false">IF($A60="","",INDEX(_events!$K$2:$K$171,MATCH($A60,_events!$A$2:$A$171,0)))</f>
        <v/>
      </c>
    </row>
    <row r="61" customFormat="false" ht="15" hidden="false" customHeight="false" outlineLevel="0" collapsed="false">
      <c r="A61" s="94" t="str">
        <f aca="false">IFERROR(SMALL(_events!$A$2:$A$171,56),"")</f>
        <v/>
      </c>
      <c r="B61" s="95" t="str">
        <f aca="false">IF($A61="","",INT($A61))</f>
        <v/>
      </c>
      <c r="C61" s="96" t="str">
        <f aca="false">IF($A61="","",INDEX(_events!$C$2:$C$171,MATCH($A61,_events!$A$2:$A$171,0)))</f>
        <v/>
      </c>
      <c r="D61" s="97" t="str">
        <f aca="false">IF($A61="","",HYPERLINK("#'"&amp;INDEX(_events!$D$2:$D$171,MATCH($A61,_events!$A$2:$A$171,0))&amp;"'!A1",INDEX(_events!$D$2:$D$171,MATCH($A61,_events!$A$2:$A$171,0))))</f>
        <v/>
      </c>
      <c r="E61" s="96" t="str">
        <f aca="false">IF($A61="","",INDEX(_events!$E$2:$E$171,MATCH($A61,_events!$A$2:$A$171,0)))</f>
        <v/>
      </c>
      <c r="F61" s="96" t="str">
        <f aca="false">IF($A61="","",INDEX(_events!$F$2:$F$171,MATCH($A61,_events!$A$2:$A$171,0)))</f>
        <v/>
      </c>
      <c r="G61" s="96" t="str">
        <f aca="false">IF($A61="","",INDEX(_events!$G$2:$G$171,MATCH($A61,_events!$A$2:$A$171,0)))</f>
        <v/>
      </c>
      <c r="H61" s="96" t="str">
        <f aca="false">IF($A61="","",INDEX(_events!$H$2:$H$171,MATCH($A61,_events!$A$2:$A$171,0)))</f>
        <v/>
      </c>
      <c r="I61" s="96" t="str">
        <f aca="false">IF($A61="","",INDEX(_events!$I$2:$I$171,MATCH($A61,_events!$A$2:$A$171,0)))</f>
        <v/>
      </c>
      <c r="J61" s="96" t="str">
        <f aca="false">IF($A61="","",INDEX(_events!$J$2:$J$171,MATCH($A61,_events!$A$2:$A$171,0)))</f>
        <v/>
      </c>
      <c r="K61" s="96" t="str">
        <f aca="false">IF($A61="","",INDEX(_events!$K$2:$K$171,MATCH($A61,_events!$A$2:$A$171,0)))</f>
        <v/>
      </c>
    </row>
    <row r="62" customFormat="false" ht="15" hidden="false" customHeight="false" outlineLevel="0" collapsed="false">
      <c r="A62" s="94" t="str">
        <f aca="false">IFERROR(SMALL(_events!$A$2:$A$171,57),"")</f>
        <v/>
      </c>
      <c r="B62" s="95" t="str">
        <f aca="false">IF($A62="","",INT($A62))</f>
        <v/>
      </c>
      <c r="C62" s="96" t="str">
        <f aca="false">IF($A62="","",INDEX(_events!$C$2:$C$171,MATCH($A62,_events!$A$2:$A$171,0)))</f>
        <v/>
      </c>
      <c r="D62" s="97" t="str">
        <f aca="false">IF($A62="","",HYPERLINK("#'"&amp;INDEX(_events!$D$2:$D$171,MATCH($A62,_events!$A$2:$A$171,0))&amp;"'!A1",INDEX(_events!$D$2:$D$171,MATCH($A62,_events!$A$2:$A$171,0))))</f>
        <v/>
      </c>
      <c r="E62" s="96" t="str">
        <f aca="false">IF($A62="","",INDEX(_events!$E$2:$E$171,MATCH($A62,_events!$A$2:$A$171,0)))</f>
        <v/>
      </c>
      <c r="F62" s="96" t="str">
        <f aca="false">IF($A62="","",INDEX(_events!$F$2:$F$171,MATCH($A62,_events!$A$2:$A$171,0)))</f>
        <v/>
      </c>
      <c r="G62" s="96" t="str">
        <f aca="false">IF($A62="","",INDEX(_events!$G$2:$G$171,MATCH($A62,_events!$A$2:$A$171,0)))</f>
        <v/>
      </c>
      <c r="H62" s="96" t="str">
        <f aca="false">IF($A62="","",INDEX(_events!$H$2:$H$171,MATCH($A62,_events!$A$2:$A$171,0)))</f>
        <v/>
      </c>
      <c r="I62" s="96" t="str">
        <f aca="false">IF($A62="","",INDEX(_events!$I$2:$I$171,MATCH($A62,_events!$A$2:$A$171,0)))</f>
        <v/>
      </c>
      <c r="J62" s="96" t="str">
        <f aca="false">IF($A62="","",INDEX(_events!$J$2:$J$171,MATCH($A62,_events!$A$2:$A$171,0)))</f>
        <v/>
      </c>
      <c r="K62" s="96" t="str">
        <f aca="false">IF($A62="","",INDEX(_events!$K$2:$K$171,MATCH($A62,_events!$A$2:$A$171,0)))</f>
        <v/>
      </c>
    </row>
    <row r="63" customFormat="false" ht="15" hidden="false" customHeight="false" outlineLevel="0" collapsed="false">
      <c r="A63" s="94" t="str">
        <f aca="false">IFERROR(SMALL(_events!$A$2:$A$171,58),"")</f>
        <v/>
      </c>
      <c r="B63" s="95" t="str">
        <f aca="false">IF($A63="","",INT($A63))</f>
        <v/>
      </c>
      <c r="C63" s="96" t="str">
        <f aca="false">IF($A63="","",INDEX(_events!$C$2:$C$171,MATCH($A63,_events!$A$2:$A$171,0)))</f>
        <v/>
      </c>
      <c r="D63" s="97" t="str">
        <f aca="false">IF($A63="","",HYPERLINK("#'"&amp;INDEX(_events!$D$2:$D$171,MATCH($A63,_events!$A$2:$A$171,0))&amp;"'!A1",INDEX(_events!$D$2:$D$171,MATCH($A63,_events!$A$2:$A$171,0))))</f>
        <v/>
      </c>
      <c r="E63" s="96" t="str">
        <f aca="false">IF($A63="","",INDEX(_events!$E$2:$E$171,MATCH($A63,_events!$A$2:$A$171,0)))</f>
        <v/>
      </c>
      <c r="F63" s="96" t="str">
        <f aca="false">IF($A63="","",INDEX(_events!$F$2:$F$171,MATCH($A63,_events!$A$2:$A$171,0)))</f>
        <v/>
      </c>
      <c r="G63" s="96" t="str">
        <f aca="false">IF($A63="","",INDEX(_events!$G$2:$G$171,MATCH($A63,_events!$A$2:$A$171,0)))</f>
        <v/>
      </c>
      <c r="H63" s="96" t="str">
        <f aca="false">IF($A63="","",INDEX(_events!$H$2:$H$171,MATCH($A63,_events!$A$2:$A$171,0)))</f>
        <v/>
      </c>
      <c r="I63" s="96" t="str">
        <f aca="false">IF($A63="","",INDEX(_events!$I$2:$I$171,MATCH($A63,_events!$A$2:$A$171,0)))</f>
        <v/>
      </c>
      <c r="J63" s="96" t="str">
        <f aca="false">IF($A63="","",INDEX(_events!$J$2:$J$171,MATCH($A63,_events!$A$2:$A$171,0)))</f>
        <v/>
      </c>
      <c r="K63" s="96" t="str">
        <f aca="false">IF($A63="","",INDEX(_events!$K$2:$K$171,MATCH($A63,_events!$A$2:$A$171,0)))</f>
        <v/>
      </c>
    </row>
    <row r="64" customFormat="false" ht="15" hidden="false" customHeight="false" outlineLevel="0" collapsed="false">
      <c r="A64" s="94" t="str">
        <f aca="false">IFERROR(SMALL(_events!$A$2:$A$171,59),"")</f>
        <v/>
      </c>
      <c r="B64" s="95" t="str">
        <f aca="false">IF($A64="","",INT($A64))</f>
        <v/>
      </c>
      <c r="C64" s="96" t="str">
        <f aca="false">IF($A64="","",INDEX(_events!$C$2:$C$171,MATCH($A64,_events!$A$2:$A$171,0)))</f>
        <v/>
      </c>
      <c r="D64" s="97" t="str">
        <f aca="false">IF($A64="","",HYPERLINK("#'"&amp;INDEX(_events!$D$2:$D$171,MATCH($A64,_events!$A$2:$A$171,0))&amp;"'!A1",INDEX(_events!$D$2:$D$171,MATCH($A64,_events!$A$2:$A$171,0))))</f>
        <v/>
      </c>
      <c r="E64" s="96" t="str">
        <f aca="false">IF($A64="","",INDEX(_events!$E$2:$E$171,MATCH($A64,_events!$A$2:$A$171,0)))</f>
        <v/>
      </c>
      <c r="F64" s="96" t="str">
        <f aca="false">IF($A64="","",INDEX(_events!$F$2:$F$171,MATCH($A64,_events!$A$2:$A$171,0)))</f>
        <v/>
      </c>
      <c r="G64" s="96" t="str">
        <f aca="false">IF($A64="","",INDEX(_events!$G$2:$G$171,MATCH($A64,_events!$A$2:$A$171,0)))</f>
        <v/>
      </c>
      <c r="H64" s="96" t="str">
        <f aca="false">IF($A64="","",INDEX(_events!$H$2:$H$171,MATCH($A64,_events!$A$2:$A$171,0)))</f>
        <v/>
      </c>
      <c r="I64" s="96" t="str">
        <f aca="false">IF($A64="","",INDEX(_events!$I$2:$I$171,MATCH($A64,_events!$A$2:$A$171,0)))</f>
        <v/>
      </c>
      <c r="J64" s="96" t="str">
        <f aca="false">IF($A64="","",INDEX(_events!$J$2:$J$171,MATCH($A64,_events!$A$2:$A$171,0)))</f>
        <v/>
      </c>
      <c r="K64" s="96" t="str">
        <f aca="false">IF($A64="","",INDEX(_events!$K$2:$K$171,MATCH($A64,_events!$A$2:$A$171,0)))</f>
        <v/>
      </c>
    </row>
    <row r="65" customFormat="false" ht="15" hidden="false" customHeight="false" outlineLevel="0" collapsed="false">
      <c r="A65" s="94" t="str">
        <f aca="false">IFERROR(SMALL(_events!$A$2:$A$171,60),"")</f>
        <v/>
      </c>
      <c r="B65" s="95" t="str">
        <f aca="false">IF($A65="","",INT($A65))</f>
        <v/>
      </c>
      <c r="C65" s="96" t="str">
        <f aca="false">IF($A65="","",INDEX(_events!$C$2:$C$171,MATCH($A65,_events!$A$2:$A$171,0)))</f>
        <v/>
      </c>
      <c r="D65" s="97" t="str">
        <f aca="false">IF($A65="","",HYPERLINK("#'"&amp;INDEX(_events!$D$2:$D$171,MATCH($A65,_events!$A$2:$A$171,0))&amp;"'!A1",INDEX(_events!$D$2:$D$171,MATCH($A65,_events!$A$2:$A$171,0))))</f>
        <v/>
      </c>
      <c r="E65" s="96" t="str">
        <f aca="false">IF($A65="","",INDEX(_events!$E$2:$E$171,MATCH($A65,_events!$A$2:$A$171,0)))</f>
        <v/>
      </c>
      <c r="F65" s="96" t="str">
        <f aca="false">IF($A65="","",INDEX(_events!$F$2:$F$171,MATCH($A65,_events!$A$2:$A$171,0)))</f>
        <v/>
      </c>
      <c r="G65" s="96" t="str">
        <f aca="false">IF($A65="","",INDEX(_events!$G$2:$G$171,MATCH($A65,_events!$A$2:$A$171,0)))</f>
        <v/>
      </c>
      <c r="H65" s="96" t="str">
        <f aca="false">IF($A65="","",INDEX(_events!$H$2:$H$171,MATCH($A65,_events!$A$2:$A$171,0)))</f>
        <v/>
      </c>
      <c r="I65" s="96" t="str">
        <f aca="false">IF($A65="","",INDEX(_events!$I$2:$I$171,MATCH($A65,_events!$A$2:$A$171,0)))</f>
        <v/>
      </c>
      <c r="J65" s="96" t="str">
        <f aca="false">IF($A65="","",INDEX(_events!$J$2:$J$171,MATCH($A65,_events!$A$2:$A$171,0)))</f>
        <v/>
      </c>
      <c r="K65" s="96" t="str">
        <f aca="false">IF($A65="","",INDEX(_events!$K$2:$K$171,MATCH($A65,_events!$A$2:$A$171,0)))</f>
        <v/>
      </c>
    </row>
    <row r="66" customFormat="false" ht="15" hidden="false" customHeight="false" outlineLevel="0" collapsed="false">
      <c r="A66" s="94" t="str">
        <f aca="false">IFERROR(SMALL(_events!$A$2:$A$171,61),"")</f>
        <v/>
      </c>
      <c r="B66" s="95" t="str">
        <f aca="false">IF($A66="","",INT($A66))</f>
        <v/>
      </c>
      <c r="C66" s="96" t="str">
        <f aca="false">IF($A66="","",INDEX(_events!$C$2:$C$171,MATCH($A66,_events!$A$2:$A$171,0)))</f>
        <v/>
      </c>
      <c r="D66" s="97" t="str">
        <f aca="false">IF($A66="","",HYPERLINK("#'"&amp;INDEX(_events!$D$2:$D$171,MATCH($A66,_events!$A$2:$A$171,0))&amp;"'!A1",INDEX(_events!$D$2:$D$171,MATCH($A66,_events!$A$2:$A$171,0))))</f>
        <v/>
      </c>
      <c r="E66" s="96" t="str">
        <f aca="false">IF($A66="","",INDEX(_events!$E$2:$E$171,MATCH($A66,_events!$A$2:$A$171,0)))</f>
        <v/>
      </c>
      <c r="F66" s="96" t="str">
        <f aca="false">IF($A66="","",INDEX(_events!$F$2:$F$171,MATCH($A66,_events!$A$2:$A$171,0)))</f>
        <v/>
      </c>
      <c r="G66" s="96" t="str">
        <f aca="false">IF($A66="","",INDEX(_events!$G$2:$G$171,MATCH($A66,_events!$A$2:$A$171,0)))</f>
        <v/>
      </c>
      <c r="H66" s="96" t="str">
        <f aca="false">IF($A66="","",INDEX(_events!$H$2:$H$171,MATCH($A66,_events!$A$2:$A$171,0)))</f>
        <v/>
      </c>
      <c r="I66" s="96" t="str">
        <f aca="false">IF($A66="","",INDEX(_events!$I$2:$I$171,MATCH($A66,_events!$A$2:$A$171,0)))</f>
        <v/>
      </c>
      <c r="J66" s="96" t="str">
        <f aca="false">IF($A66="","",INDEX(_events!$J$2:$J$171,MATCH($A66,_events!$A$2:$A$171,0)))</f>
        <v/>
      </c>
      <c r="K66" s="96" t="str">
        <f aca="false">IF($A66="","",INDEX(_events!$K$2:$K$171,MATCH($A66,_events!$A$2:$A$171,0)))</f>
        <v/>
      </c>
    </row>
    <row r="67" customFormat="false" ht="15" hidden="false" customHeight="false" outlineLevel="0" collapsed="false">
      <c r="A67" s="94" t="str">
        <f aca="false">IFERROR(SMALL(_events!$A$2:$A$171,62),"")</f>
        <v/>
      </c>
      <c r="B67" s="95" t="str">
        <f aca="false">IF($A67="","",INT($A67))</f>
        <v/>
      </c>
      <c r="C67" s="96" t="str">
        <f aca="false">IF($A67="","",INDEX(_events!$C$2:$C$171,MATCH($A67,_events!$A$2:$A$171,0)))</f>
        <v/>
      </c>
      <c r="D67" s="97" t="str">
        <f aca="false">IF($A67="","",HYPERLINK("#'"&amp;INDEX(_events!$D$2:$D$171,MATCH($A67,_events!$A$2:$A$171,0))&amp;"'!A1",INDEX(_events!$D$2:$D$171,MATCH($A67,_events!$A$2:$A$171,0))))</f>
        <v/>
      </c>
      <c r="E67" s="96" t="str">
        <f aca="false">IF($A67="","",INDEX(_events!$E$2:$E$171,MATCH($A67,_events!$A$2:$A$171,0)))</f>
        <v/>
      </c>
      <c r="F67" s="96" t="str">
        <f aca="false">IF($A67="","",INDEX(_events!$F$2:$F$171,MATCH($A67,_events!$A$2:$A$171,0)))</f>
        <v/>
      </c>
      <c r="G67" s="96" t="str">
        <f aca="false">IF($A67="","",INDEX(_events!$G$2:$G$171,MATCH($A67,_events!$A$2:$A$171,0)))</f>
        <v/>
      </c>
      <c r="H67" s="96" t="str">
        <f aca="false">IF($A67="","",INDEX(_events!$H$2:$H$171,MATCH($A67,_events!$A$2:$A$171,0)))</f>
        <v/>
      </c>
      <c r="I67" s="96" t="str">
        <f aca="false">IF($A67="","",INDEX(_events!$I$2:$I$171,MATCH($A67,_events!$A$2:$A$171,0)))</f>
        <v/>
      </c>
      <c r="J67" s="96" t="str">
        <f aca="false">IF($A67="","",INDEX(_events!$J$2:$J$171,MATCH($A67,_events!$A$2:$A$171,0)))</f>
        <v/>
      </c>
      <c r="K67" s="96" t="str">
        <f aca="false">IF($A67="","",INDEX(_events!$K$2:$K$171,MATCH($A67,_events!$A$2:$A$171,0)))</f>
        <v/>
      </c>
    </row>
    <row r="68" customFormat="false" ht="15" hidden="false" customHeight="false" outlineLevel="0" collapsed="false">
      <c r="A68" s="94" t="str">
        <f aca="false">IFERROR(SMALL(_events!$A$2:$A$171,63),"")</f>
        <v/>
      </c>
      <c r="B68" s="95" t="str">
        <f aca="false">IF($A68="","",INT($A68))</f>
        <v/>
      </c>
      <c r="C68" s="96" t="str">
        <f aca="false">IF($A68="","",INDEX(_events!$C$2:$C$171,MATCH($A68,_events!$A$2:$A$171,0)))</f>
        <v/>
      </c>
      <c r="D68" s="97" t="str">
        <f aca="false">IF($A68="","",HYPERLINK("#'"&amp;INDEX(_events!$D$2:$D$171,MATCH($A68,_events!$A$2:$A$171,0))&amp;"'!A1",INDEX(_events!$D$2:$D$171,MATCH($A68,_events!$A$2:$A$171,0))))</f>
        <v/>
      </c>
      <c r="E68" s="96" t="str">
        <f aca="false">IF($A68="","",INDEX(_events!$E$2:$E$171,MATCH($A68,_events!$A$2:$A$171,0)))</f>
        <v/>
      </c>
      <c r="F68" s="96" t="str">
        <f aca="false">IF($A68="","",INDEX(_events!$F$2:$F$171,MATCH($A68,_events!$A$2:$A$171,0)))</f>
        <v/>
      </c>
      <c r="G68" s="96" t="str">
        <f aca="false">IF($A68="","",INDEX(_events!$G$2:$G$171,MATCH($A68,_events!$A$2:$A$171,0)))</f>
        <v/>
      </c>
      <c r="H68" s="96" t="str">
        <f aca="false">IF($A68="","",INDEX(_events!$H$2:$H$171,MATCH($A68,_events!$A$2:$A$171,0)))</f>
        <v/>
      </c>
      <c r="I68" s="96" t="str">
        <f aca="false">IF($A68="","",INDEX(_events!$I$2:$I$171,MATCH($A68,_events!$A$2:$A$171,0)))</f>
        <v/>
      </c>
      <c r="J68" s="96" t="str">
        <f aca="false">IF($A68="","",INDEX(_events!$J$2:$J$171,MATCH($A68,_events!$A$2:$A$171,0)))</f>
        <v/>
      </c>
      <c r="K68" s="96" t="str">
        <f aca="false">IF($A68="","",INDEX(_events!$K$2:$K$171,MATCH($A68,_events!$A$2:$A$171,0)))</f>
        <v/>
      </c>
    </row>
    <row r="69" customFormat="false" ht="15" hidden="false" customHeight="false" outlineLevel="0" collapsed="false">
      <c r="A69" s="94" t="str">
        <f aca="false">IFERROR(SMALL(_events!$A$2:$A$171,64),"")</f>
        <v/>
      </c>
      <c r="B69" s="95" t="str">
        <f aca="false">IF($A69="","",INT($A69))</f>
        <v/>
      </c>
      <c r="C69" s="96" t="str">
        <f aca="false">IF($A69="","",INDEX(_events!$C$2:$C$171,MATCH($A69,_events!$A$2:$A$171,0)))</f>
        <v/>
      </c>
      <c r="D69" s="97" t="str">
        <f aca="false">IF($A69="","",HYPERLINK("#'"&amp;INDEX(_events!$D$2:$D$171,MATCH($A69,_events!$A$2:$A$171,0))&amp;"'!A1",INDEX(_events!$D$2:$D$171,MATCH($A69,_events!$A$2:$A$171,0))))</f>
        <v/>
      </c>
      <c r="E69" s="96" t="str">
        <f aca="false">IF($A69="","",INDEX(_events!$E$2:$E$171,MATCH($A69,_events!$A$2:$A$171,0)))</f>
        <v/>
      </c>
      <c r="F69" s="96" t="str">
        <f aca="false">IF($A69="","",INDEX(_events!$F$2:$F$171,MATCH($A69,_events!$A$2:$A$171,0)))</f>
        <v/>
      </c>
      <c r="G69" s="96" t="str">
        <f aca="false">IF($A69="","",INDEX(_events!$G$2:$G$171,MATCH($A69,_events!$A$2:$A$171,0)))</f>
        <v/>
      </c>
      <c r="H69" s="96" t="str">
        <f aca="false">IF($A69="","",INDEX(_events!$H$2:$H$171,MATCH($A69,_events!$A$2:$A$171,0)))</f>
        <v/>
      </c>
      <c r="I69" s="96" t="str">
        <f aca="false">IF($A69="","",INDEX(_events!$I$2:$I$171,MATCH($A69,_events!$A$2:$A$171,0)))</f>
        <v/>
      </c>
      <c r="J69" s="96" t="str">
        <f aca="false">IF($A69="","",INDEX(_events!$J$2:$J$171,MATCH($A69,_events!$A$2:$A$171,0)))</f>
        <v/>
      </c>
      <c r="K69" s="96" t="str">
        <f aca="false">IF($A69="","",INDEX(_events!$K$2:$K$171,MATCH($A69,_events!$A$2:$A$171,0)))</f>
        <v/>
      </c>
    </row>
    <row r="70" customFormat="false" ht="15" hidden="false" customHeight="false" outlineLevel="0" collapsed="false">
      <c r="A70" s="94" t="str">
        <f aca="false">IFERROR(SMALL(_events!$A$2:$A$171,65),"")</f>
        <v/>
      </c>
      <c r="B70" s="95" t="str">
        <f aca="false">IF($A70="","",INT($A70))</f>
        <v/>
      </c>
      <c r="C70" s="96" t="str">
        <f aca="false">IF($A70="","",INDEX(_events!$C$2:$C$171,MATCH($A70,_events!$A$2:$A$171,0)))</f>
        <v/>
      </c>
      <c r="D70" s="97" t="str">
        <f aca="false">IF($A70="","",HYPERLINK("#'"&amp;INDEX(_events!$D$2:$D$171,MATCH($A70,_events!$A$2:$A$171,0))&amp;"'!A1",INDEX(_events!$D$2:$D$171,MATCH($A70,_events!$A$2:$A$171,0))))</f>
        <v/>
      </c>
      <c r="E70" s="96" t="str">
        <f aca="false">IF($A70="","",INDEX(_events!$E$2:$E$171,MATCH($A70,_events!$A$2:$A$171,0)))</f>
        <v/>
      </c>
      <c r="F70" s="96" t="str">
        <f aca="false">IF($A70="","",INDEX(_events!$F$2:$F$171,MATCH($A70,_events!$A$2:$A$171,0)))</f>
        <v/>
      </c>
      <c r="G70" s="96" t="str">
        <f aca="false">IF($A70="","",INDEX(_events!$G$2:$G$171,MATCH($A70,_events!$A$2:$A$171,0)))</f>
        <v/>
      </c>
      <c r="H70" s="96" t="str">
        <f aca="false">IF($A70="","",INDEX(_events!$H$2:$H$171,MATCH($A70,_events!$A$2:$A$171,0)))</f>
        <v/>
      </c>
      <c r="I70" s="96" t="str">
        <f aca="false">IF($A70="","",INDEX(_events!$I$2:$I$171,MATCH($A70,_events!$A$2:$A$171,0)))</f>
        <v/>
      </c>
      <c r="J70" s="96" t="str">
        <f aca="false">IF($A70="","",INDEX(_events!$J$2:$J$171,MATCH($A70,_events!$A$2:$A$171,0)))</f>
        <v/>
      </c>
      <c r="K70" s="96" t="str">
        <f aca="false">IF($A70="","",INDEX(_events!$K$2:$K$171,MATCH($A70,_events!$A$2:$A$171,0)))</f>
        <v/>
      </c>
    </row>
    <row r="71" customFormat="false" ht="15" hidden="false" customHeight="false" outlineLevel="0" collapsed="false">
      <c r="A71" s="94" t="str">
        <f aca="false">IFERROR(SMALL(_events!$A$2:$A$171,66),"")</f>
        <v/>
      </c>
      <c r="B71" s="95" t="str">
        <f aca="false">IF($A71="","",INT($A71))</f>
        <v/>
      </c>
      <c r="C71" s="96" t="str">
        <f aca="false">IF($A71="","",INDEX(_events!$C$2:$C$171,MATCH($A71,_events!$A$2:$A$171,0)))</f>
        <v/>
      </c>
      <c r="D71" s="97" t="str">
        <f aca="false">IF($A71="","",HYPERLINK("#'"&amp;INDEX(_events!$D$2:$D$171,MATCH($A71,_events!$A$2:$A$171,0))&amp;"'!A1",INDEX(_events!$D$2:$D$171,MATCH($A71,_events!$A$2:$A$171,0))))</f>
        <v/>
      </c>
      <c r="E71" s="96" t="str">
        <f aca="false">IF($A71="","",INDEX(_events!$E$2:$E$171,MATCH($A71,_events!$A$2:$A$171,0)))</f>
        <v/>
      </c>
      <c r="F71" s="96" t="str">
        <f aca="false">IF($A71="","",INDEX(_events!$F$2:$F$171,MATCH($A71,_events!$A$2:$A$171,0)))</f>
        <v/>
      </c>
      <c r="G71" s="96" t="str">
        <f aca="false">IF($A71="","",INDEX(_events!$G$2:$G$171,MATCH($A71,_events!$A$2:$A$171,0)))</f>
        <v/>
      </c>
      <c r="H71" s="96" t="str">
        <f aca="false">IF($A71="","",INDEX(_events!$H$2:$H$171,MATCH($A71,_events!$A$2:$A$171,0)))</f>
        <v/>
      </c>
      <c r="I71" s="96" t="str">
        <f aca="false">IF($A71="","",INDEX(_events!$I$2:$I$171,MATCH($A71,_events!$A$2:$A$171,0)))</f>
        <v/>
      </c>
      <c r="J71" s="96" t="str">
        <f aca="false">IF($A71="","",INDEX(_events!$J$2:$J$171,MATCH($A71,_events!$A$2:$A$171,0)))</f>
        <v/>
      </c>
      <c r="K71" s="96" t="str">
        <f aca="false">IF($A71="","",INDEX(_events!$K$2:$K$171,MATCH($A71,_events!$A$2:$A$171,0)))</f>
        <v/>
      </c>
    </row>
    <row r="72" customFormat="false" ht="15" hidden="false" customHeight="false" outlineLevel="0" collapsed="false">
      <c r="A72" s="94" t="str">
        <f aca="false">IFERROR(SMALL(_events!$A$2:$A$171,67),"")</f>
        <v/>
      </c>
      <c r="B72" s="95" t="str">
        <f aca="false">IF($A72="","",INT($A72))</f>
        <v/>
      </c>
      <c r="C72" s="96" t="str">
        <f aca="false">IF($A72="","",INDEX(_events!$C$2:$C$171,MATCH($A72,_events!$A$2:$A$171,0)))</f>
        <v/>
      </c>
      <c r="D72" s="97" t="str">
        <f aca="false">IF($A72="","",HYPERLINK("#'"&amp;INDEX(_events!$D$2:$D$171,MATCH($A72,_events!$A$2:$A$171,0))&amp;"'!A1",INDEX(_events!$D$2:$D$171,MATCH($A72,_events!$A$2:$A$171,0))))</f>
        <v/>
      </c>
      <c r="E72" s="96" t="str">
        <f aca="false">IF($A72="","",INDEX(_events!$E$2:$E$171,MATCH($A72,_events!$A$2:$A$171,0)))</f>
        <v/>
      </c>
      <c r="F72" s="96" t="str">
        <f aca="false">IF($A72="","",INDEX(_events!$F$2:$F$171,MATCH($A72,_events!$A$2:$A$171,0)))</f>
        <v/>
      </c>
      <c r="G72" s="96" t="str">
        <f aca="false">IF($A72="","",INDEX(_events!$G$2:$G$171,MATCH($A72,_events!$A$2:$A$171,0)))</f>
        <v/>
      </c>
      <c r="H72" s="96" t="str">
        <f aca="false">IF($A72="","",INDEX(_events!$H$2:$H$171,MATCH($A72,_events!$A$2:$A$171,0)))</f>
        <v/>
      </c>
      <c r="I72" s="96" t="str">
        <f aca="false">IF($A72="","",INDEX(_events!$I$2:$I$171,MATCH($A72,_events!$A$2:$A$171,0)))</f>
        <v/>
      </c>
      <c r="J72" s="96" t="str">
        <f aca="false">IF($A72="","",INDEX(_events!$J$2:$J$171,MATCH($A72,_events!$A$2:$A$171,0)))</f>
        <v/>
      </c>
      <c r="K72" s="96" t="str">
        <f aca="false">IF($A72="","",INDEX(_events!$K$2:$K$171,MATCH($A72,_events!$A$2:$A$171,0)))</f>
        <v/>
      </c>
    </row>
    <row r="73" customFormat="false" ht="15" hidden="false" customHeight="false" outlineLevel="0" collapsed="false">
      <c r="A73" s="94" t="str">
        <f aca="false">IFERROR(SMALL(_events!$A$2:$A$171,68),"")</f>
        <v/>
      </c>
      <c r="B73" s="95" t="str">
        <f aca="false">IF($A73="","",INT($A73))</f>
        <v/>
      </c>
      <c r="C73" s="96" t="str">
        <f aca="false">IF($A73="","",INDEX(_events!$C$2:$C$171,MATCH($A73,_events!$A$2:$A$171,0)))</f>
        <v/>
      </c>
      <c r="D73" s="97" t="str">
        <f aca="false">IF($A73="","",HYPERLINK("#'"&amp;INDEX(_events!$D$2:$D$171,MATCH($A73,_events!$A$2:$A$171,0))&amp;"'!A1",INDEX(_events!$D$2:$D$171,MATCH($A73,_events!$A$2:$A$171,0))))</f>
        <v/>
      </c>
      <c r="E73" s="96" t="str">
        <f aca="false">IF($A73="","",INDEX(_events!$E$2:$E$171,MATCH($A73,_events!$A$2:$A$171,0)))</f>
        <v/>
      </c>
      <c r="F73" s="96" t="str">
        <f aca="false">IF($A73="","",INDEX(_events!$F$2:$F$171,MATCH($A73,_events!$A$2:$A$171,0)))</f>
        <v/>
      </c>
      <c r="G73" s="96" t="str">
        <f aca="false">IF($A73="","",INDEX(_events!$G$2:$G$171,MATCH($A73,_events!$A$2:$A$171,0)))</f>
        <v/>
      </c>
      <c r="H73" s="96" t="str">
        <f aca="false">IF($A73="","",INDEX(_events!$H$2:$H$171,MATCH($A73,_events!$A$2:$A$171,0)))</f>
        <v/>
      </c>
      <c r="I73" s="96" t="str">
        <f aca="false">IF($A73="","",INDEX(_events!$I$2:$I$171,MATCH($A73,_events!$A$2:$A$171,0)))</f>
        <v/>
      </c>
      <c r="J73" s="96" t="str">
        <f aca="false">IF($A73="","",INDEX(_events!$J$2:$J$171,MATCH($A73,_events!$A$2:$A$171,0)))</f>
        <v/>
      </c>
      <c r="K73" s="96" t="str">
        <f aca="false">IF($A73="","",INDEX(_events!$K$2:$K$171,MATCH($A73,_events!$A$2:$A$171,0)))</f>
        <v/>
      </c>
    </row>
    <row r="74" customFormat="false" ht="15" hidden="false" customHeight="false" outlineLevel="0" collapsed="false">
      <c r="A74" s="94" t="str">
        <f aca="false">IFERROR(SMALL(_events!$A$2:$A$171,69),"")</f>
        <v/>
      </c>
      <c r="B74" s="95" t="str">
        <f aca="false">IF($A74="","",INT($A74))</f>
        <v/>
      </c>
      <c r="C74" s="96" t="str">
        <f aca="false">IF($A74="","",INDEX(_events!$C$2:$C$171,MATCH($A74,_events!$A$2:$A$171,0)))</f>
        <v/>
      </c>
      <c r="D74" s="97" t="str">
        <f aca="false">IF($A74="","",HYPERLINK("#'"&amp;INDEX(_events!$D$2:$D$171,MATCH($A74,_events!$A$2:$A$171,0))&amp;"'!A1",INDEX(_events!$D$2:$D$171,MATCH($A74,_events!$A$2:$A$171,0))))</f>
        <v/>
      </c>
      <c r="E74" s="96" t="str">
        <f aca="false">IF($A74="","",INDEX(_events!$E$2:$E$171,MATCH($A74,_events!$A$2:$A$171,0)))</f>
        <v/>
      </c>
      <c r="F74" s="96" t="str">
        <f aca="false">IF($A74="","",INDEX(_events!$F$2:$F$171,MATCH($A74,_events!$A$2:$A$171,0)))</f>
        <v/>
      </c>
      <c r="G74" s="96" t="str">
        <f aca="false">IF($A74="","",INDEX(_events!$G$2:$G$171,MATCH($A74,_events!$A$2:$A$171,0)))</f>
        <v/>
      </c>
      <c r="H74" s="96" t="str">
        <f aca="false">IF($A74="","",INDEX(_events!$H$2:$H$171,MATCH($A74,_events!$A$2:$A$171,0)))</f>
        <v/>
      </c>
      <c r="I74" s="96" t="str">
        <f aca="false">IF($A74="","",INDEX(_events!$I$2:$I$171,MATCH($A74,_events!$A$2:$A$171,0)))</f>
        <v/>
      </c>
      <c r="J74" s="96" t="str">
        <f aca="false">IF($A74="","",INDEX(_events!$J$2:$J$171,MATCH($A74,_events!$A$2:$A$171,0)))</f>
        <v/>
      </c>
      <c r="K74" s="96" t="str">
        <f aca="false">IF($A74="","",INDEX(_events!$K$2:$K$171,MATCH($A74,_events!$A$2:$A$171,0)))</f>
        <v/>
      </c>
    </row>
    <row r="75" customFormat="false" ht="15" hidden="false" customHeight="false" outlineLevel="0" collapsed="false">
      <c r="A75" s="94" t="str">
        <f aca="false">IFERROR(SMALL(_events!$A$2:$A$171,70),"")</f>
        <v/>
      </c>
      <c r="B75" s="95" t="str">
        <f aca="false">IF($A75="","",INT($A75))</f>
        <v/>
      </c>
      <c r="C75" s="96" t="str">
        <f aca="false">IF($A75="","",INDEX(_events!$C$2:$C$171,MATCH($A75,_events!$A$2:$A$171,0)))</f>
        <v/>
      </c>
      <c r="D75" s="97" t="str">
        <f aca="false">IF($A75="","",HYPERLINK("#'"&amp;INDEX(_events!$D$2:$D$171,MATCH($A75,_events!$A$2:$A$171,0))&amp;"'!A1",INDEX(_events!$D$2:$D$171,MATCH($A75,_events!$A$2:$A$171,0))))</f>
        <v/>
      </c>
      <c r="E75" s="96" t="str">
        <f aca="false">IF($A75="","",INDEX(_events!$E$2:$E$171,MATCH($A75,_events!$A$2:$A$171,0)))</f>
        <v/>
      </c>
      <c r="F75" s="96" t="str">
        <f aca="false">IF($A75="","",INDEX(_events!$F$2:$F$171,MATCH($A75,_events!$A$2:$A$171,0)))</f>
        <v/>
      </c>
      <c r="G75" s="96" t="str">
        <f aca="false">IF($A75="","",INDEX(_events!$G$2:$G$171,MATCH($A75,_events!$A$2:$A$171,0)))</f>
        <v/>
      </c>
      <c r="H75" s="96" t="str">
        <f aca="false">IF($A75="","",INDEX(_events!$H$2:$H$171,MATCH($A75,_events!$A$2:$A$171,0)))</f>
        <v/>
      </c>
      <c r="I75" s="96" t="str">
        <f aca="false">IF($A75="","",INDEX(_events!$I$2:$I$171,MATCH($A75,_events!$A$2:$A$171,0)))</f>
        <v/>
      </c>
      <c r="J75" s="96" t="str">
        <f aca="false">IF($A75="","",INDEX(_events!$J$2:$J$171,MATCH($A75,_events!$A$2:$A$171,0)))</f>
        <v/>
      </c>
      <c r="K75" s="96" t="str">
        <f aca="false">IF($A75="","",INDEX(_events!$K$2:$K$171,MATCH($A75,_events!$A$2:$A$171,0)))</f>
        <v/>
      </c>
    </row>
    <row r="76" customFormat="false" ht="15" hidden="false" customHeight="false" outlineLevel="0" collapsed="false">
      <c r="A76" s="94" t="str">
        <f aca="false">IFERROR(SMALL(_events!$A$2:$A$171,71),"")</f>
        <v/>
      </c>
      <c r="B76" s="95" t="str">
        <f aca="false">IF($A76="","",INT($A76))</f>
        <v/>
      </c>
      <c r="C76" s="96" t="str">
        <f aca="false">IF($A76="","",INDEX(_events!$C$2:$C$171,MATCH($A76,_events!$A$2:$A$171,0)))</f>
        <v/>
      </c>
      <c r="D76" s="97" t="str">
        <f aca="false">IF($A76="","",HYPERLINK("#'"&amp;INDEX(_events!$D$2:$D$171,MATCH($A76,_events!$A$2:$A$171,0))&amp;"'!A1",INDEX(_events!$D$2:$D$171,MATCH($A76,_events!$A$2:$A$171,0))))</f>
        <v/>
      </c>
      <c r="E76" s="96" t="str">
        <f aca="false">IF($A76="","",INDEX(_events!$E$2:$E$171,MATCH($A76,_events!$A$2:$A$171,0)))</f>
        <v/>
      </c>
      <c r="F76" s="96" t="str">
        <f aca="false">IF($A76="","",INDEX(_events!$F$2:$F$171,MATCH($A76,_events!$A$2:$A$171,0)))</f>
        <v/>
      </c>
      <c r="G76" s="96" t="str">
        <f aca="false">IF($A76="","",INDEX(_events!$G$2:$G$171,MATCH($A76,_events!$A$2:$A$171,0)))</f>
        <v/>
      </c>
      <c r="H76" s="96" t="str">
        <f aca="false">IF($A76="","",INDEX(_events!$H$2:$H$171,MATCH($A76,_events!$A$2:$A$171,0)))</f>
        <v/>
      </c>
      <c r="I76" s="96" t="str">
        <f aca="false">IF($A76="","",INDEX(_events!$I$2:$I$171,MATCH($A76,_events!$A$2:$A$171,0)))</f>
        <v/>
      </c>
      <c r="J76" s="96" t="str">
        <f aca="false">IF($A76="","",INDEX(_events!$J$2:$J$171,MATCH($A76,_events!$A$2:$A$171,0)))</f>
        <v/>
      </c>
      <c r="K76" s="96" t="str">
        <f aca="false">IF($A76="","",INDEX(_events!$K$2:$K$171,MATCH($A76,_events!$A$2:$A$171,0)))</f>
        <v/>
      </c>
    </row>
    <row r="77" customFormat="false" ht="15" hidden="false" customHeight="false" outlineLevel="0" collapsed="false">
      <c r="A77" s="94" t="str">
        <f aca="false">IFERROR(SMALL(_events!$A$2:$A$171,72),"")</f>
        <v/>
      </c>
      <c r="B77" s="95" t="str">
        <f aca="false">IF($A77="","",INT($A77))</f>
        <v/>
      </c>
      <c r="C77" s="96" t="str">
        <f aca="false">IF($A77="","",INDEX(_events!$C$2:$C$171,MATCH($A77,_events!$A$2:$A$171,0)))</f>
        <v/>
      </c>
      <c r="D77" s="97" t="str">
        <f aca="false">IF($A77="","",HYPERLINK("#'"&amp;INDEX(_events!$D$2:$D$171,MATCH($A77,_events!$A$2:$A$171,0))&amp;"'!A1",INDEX(_events!$D$2:$D$171,MATCH($A77,_events!$A$2:$A$171,0))))</f>
        <v/>
      </c>
      <c r="E77" s="96" t="str">
        <f aca="false">IF($A77="","",INDEX(_events!$E$2:$E$171,MATCH($A77,_events!$A$2:$A$171,0)))</f>
        <v/>
      </c>
      <c r="F77" s="96" t="str">
        <f aca="false">IF($A77="","",INDEX(_events!$F$2:$F$171,MATCH($A77,_events!$A$2:$A$171,0)))</f>
        <v/>
      </c>
      <c r="G77" s="96" t="str">
        <f aca="false">IF($A77="","",INDEX(_events!$G$2:$G$171,MATCH($A77,_events!$A$2:$A$171,0)))</f>
        <v/>
      </c>
      <c r="H77" s="96" t="str">
        <f aca="false">IF($A77="","",INDEX(_events!$H$2:$H$171,MATCH($A77,_events!$A$2:$A$171,0)))</f>
        <v/>
      </c>
      <c r="I77" s="96" t="str">
        <f aca="false">IF($A77="","",INDEX(_events!$I$2:$I$171,MATCH($A77,_events!$A$2:$A$171,0)))</f>
        <v/>
      </c>
      <c r="J77" s="96" t="str">
        <f aca="false">IF($A77="","",INDEX(_events!$J$2:$J$171,MATCH($A77,_events!$A$2:$A$171,0)))</f>
        <v/>
      </c>
      <c r="K77" s="96" t="str">
        <f aca="false">IF($A77="","",INDEX(_events!$K$2:$K$171,MATCH($A77,_events!$A$2:$A$171,0)))</f>
        <v/>
      </c>
    </row>
    <row r="78" customFormat="false" ht="15" hidden="false" customHeight="false" outlineLevel="0" collapsed="false">
      <c r="A78" s="94" t="str">
        <f aca="false">IFERROR(SMALL(_events!$A$2:$A$171,73),"")</f>
        <v/>
      </c>
      <c r="B78" s="95" t="str">
        <f aca="false">IF($A78="","",INT($A78))</f>
        <v/>
      </c>
      <c r="C78" s="96" t="str">
        <f aca="false">IF($A78="","",INDEX(_events!$C$2:$C$171,MATCH($A78,_events!$A$2:$A$171,0)))</f>
        <v/>
      </c>
      <c r="D78" s="97" t="str">
        <f aca="false">IF($A78="","",HYPERLINK("#'"&amp;INDEX(_events!$D$2:$D$171,MATCH($A78,_events!$A$2:$A$171,0))&amp;"'!A1",INDEX(_events!$D$2:$D$171,MATCH($A78,_events!$A$2:$A$171,0))))</f>
        <v/>
      </c>
      <c r="E78" s="96" t="str">
        <f aca="false">IF($A78="","",INDEX(_events!$E$2:$E$171,MATCH($A78,_events!$A$2:$A$171,0)))</f>
        <v/>
      </c>
      <c r="F78" s="96" t="str">
        <f aca="false">IF($A78="","",INDEX(_events!$F$2:$F$171,MATCH($A78,_events!$A$2:$A$171,0)))</f>
        <v/>
      </c>
      <c r="G78" s="96" t="str">
        <f aca="false">IF($A78="","",INDEX(_events!$G$2:$G$171,MATCH($A78,_events!$A$2:$A$171,0)))</f>
        <v/>
      </c>
      <c r="H78" s="96" t="str">
        <f aca="false">IF($A78="","",INDEX(_events!$H$2:$H$171,MATCH($A78,_events!$A$2:$A$171,0)))</f>
        <v/>
      </c>
      <c r="I78" s="96" t="str">
        <f aca="false">IF($A78="","",INDEX(_events!$I$2:$I$171,MATCH($A78,_events!$A$2:$A$171,0)))</f>
        <v/>
      </c>
      <c r="J78" s="96" t="str">
        <f aca="false">IF($A78="","",INDEX(_events!$J$2:$J$171,MATCH($A78,_events!$A$2:$A$171,0)))</f>
        <v/>
      </c>
      <c r="K78" s="96" t="str">
        <f aca="false">IF($A78="","",INDEX(_events!$K$2:$K$171,MATCH($A78,_events!$A$2:$A$171,0)))</f>
        <v/>
      </c>
    </row>
    <row r="79" customFormat="false" ht="15" hidden="false" customHeight="false" outlineLevel="0" collapsed="false">
      <c r="A79" s="94" t="str">
        <f aca="false">IFERROR(SMALL(_events!$A$2:$A$171,74),"")</f>
        <v/>
      </c>
      <c r="B79" s="95" t="str">
        <f aca="false">IF($A79="","",INT($A79))</f>
        <v/>
      </c>
      <c r="C79" s="96" t="str">
        <f aca="false">IF($A79="","",INDEX(_events!$C$2:$C$171,MATCH($A79,_events!$A$2:$A$171,0)))</f>
        <v/>
      </c>
      <c r="D79" s="97" t="str">
        <f aca="false">IF($A79="","",HYPERLINK("#'"&amp;INDEX(_events!$D$2:$D$171,MATCH($A79,_events!$A$2:$A$171,0))&amp;"'!A1",INDEX(_events!$D$2:$D$171,MATCH($A79,_events!$A$2:$A$171,0))))</f>
        <v/>
      </c>
      <c r="E79" s="96" t="str">
        <f aca="false">IF($A79="","",INDEX(_events!$E$2:$E$171,MATCH($A79,_events!$A$2:$A$171,0)))</f>
        <v/>
      </c>
      <c r="F79" s="96" t="str">
        <f aca="false">IF($A79="","",INDEX(_events!$F$2:$F$171,MATCH($A79,_events!$A$2:$A$171,0)))</f>
        <v/>
      </c>
      <c r="G79" s="96" t="str">
        <f aca="false">IF($A79="","",INDEX(_events!$G$2:$G$171,MATCH($A79,_events!$A$2:$A$171,0)))</f>
        <v/>
      </c>
      <c r="H79" s="96" t="str">
        <f aca="false">IF($A79="","",INDEX(_events!$H$2:$H$171,MATCH($A79,_events!$A$2:$A$171,0)))</f>
        <v/>
      </c>
      <c r="I79" s="96" t="str">
        <f aca="false">IF($A79="","",INDEX(_events!$I$2:$I$171,MATCH($A79,_events!$A$2:$A$171,0)))</f>
        <v/>
      </c>
      <c r="J79" s="96" t="str">
        <f aca="false">IF($A79="","",INDEX(_events!$J$2:$J$171,MATCH($A79,_events!$A$2:$A$171,0)))</f>
        <v/>
      </c>
      <c r="K79" s="96" t="str">
        <f aca="false">IF($A79="","",INDEX(_events!$K$2:$K$171,MATCH($A79,_events!$A$2:$A$171,0)))</f>
        <v/>
      </c>
    </row>
    <row r="80" customFormat="false" ht="15" hidden="false" customHeight="false" outlineLevel="0" collapsed="false">
      <c r="A80" s="94" t="str">
        <f aca="false">IFERROR(SMALL(_events!$A$2:$A$171,75),"")</f>
        <v/>
      </c>
      <c r="B80" s="95" t="str">
        <f aca="false">IF($A80="","",INT($A80))</f>
        <v/>
      </c>
      <c r="C80" s="96" t="str">
        <f aca="false">IF($A80="","",INDEX(_events!$C$2:$C$171,MATCH($A80,_events!$A$2:$A$171,0)))</f>
        <v/>
      </c>
      <c r="D80" s="97" t="str">
        <f aca="false">IF($A80="","",HYPERLINK("#'"&amp;INDEX(_events!$D$2:$D$171,MATCH($A80,_events!$A$2:$A$171,0))&amp;"'!A1",INDEX(_events!$D$2:$D$171,MATCH($A80,_events!$A$2:$A$171,0))))</f>
        <v/>
      </c>
      <c r="E80" s="96" t="str">
        <f aca="false">IF($A80="","",INDEX(_events!$E$2:$E$171,MATCH($A80,_events!$A$2:$A$171,0)))</f>
        <v/>
      </c>
      <c r="F80" s="96" t="str">
        <f aca="false">IF($A80="","",INDEX(_events!$F$2:$F$171,MATCH($A80,_events!$A$2:$A$171,0)))</f>
        <v/>
      </c>
      <c r="G80" s="96" t="str">
        <f aca="false">IF($A80="","",INDEX(_events!$G$2:$G$171,MATCH($A80,_events!$A$2:$A$171,0)))</f>
        <v/>
      </c>
      <c r="H80" s="96" t="str">
        <f aca="false">IF($A80="","",INDEX(_events!$H$2:$H$171,MATCH($A80,_events!$A$2:$A$171,0)))</f>
        <v/>
      </c>
      <c r="I80" s="96" t="str">
        <f aca="false">IF($A80="","",INDEX(_events!$I$2:$I$171,MATCH($A80,_events!$A$2:$A$171,0)))</f>
        <v/>
      </c>
      <c r="J80" s="96" t="str">
        <f aca="false">IF($A80="","",INDEX(_events!$J$2:$J$171,MATCH($A80,_events!$A$2:$A$171,0)))</f>
        <v/>
      </c>
      <c r="K80" s="96" t="str">
        <f aca="false">IF($A80="","",INDEX(_events!$K$2:$K$171,MATCH($A80,_events!$A$2:$A$171,0)))</f>
        <v/>
      </c>
    </row>
    <row r="81" customFormat="false" ht="15" hidden="false" customHeight="false" outlineLevel="0" collapsed="false">
      <c r="A81" s="94" t="str">
        <f aca="false">IFERROR(SMALL(_events!$A$2:$A$171,76),"")</f>
        <v/>
      </c>
      <c r="B81" s="95" t="str">
        <f aca="false">IF($A81="","",INT($A81))</f>
        <v/>
      </c>
      <c r="C81" s="96" t="str">
        <f aca="false">IF($A81="","",INDEX(_events!$C$2:$C$171,MATCH($A81,_events!$A$2:$A$171,0)))</f>
        <v/>
      </c>
      <c r="D81" s="97" t="str">
        <f aca="false">IF($A81="","",HYPERLINK("#'"&amp;INDEX(_events!$D$2:$D$171,MATCH($A81,_events!$A$2:$A$171,0))&amp;"'!A1",INDEX(_events!$D$2:$D$171,MATCH($A81,_events!$A$2:$A$171,0))))</f>
        <v/>
      </c>
      <c r="E81" s="96" t="str">
        <f aca="false">IF($A81="","",INDEX(_events!$E$2:$E$171,MATCH($A81,_events!$A$2:$A$171,0)))</f>
        <v/>
      </c>
      <c r="F81" s="96" t="str">
        <f aca="false">IF($A81="","",INDEX(_events!$F$2:$F$171,MATCH($A81,_events!$A$2:$A$171,0)))</f>
        <v/>
      </c>
      <c r="G81" s="96" t="str">
        <f aca="false">IF($A81="","",INDEX(_events!$G$2:$G$171,MATCH($A81,_events!$A$2:$A$171,0)))</f>
        <v/>
      </c>
      <c r="H81" s="96" t="str">
        <f aca="false">IF($A81="","",INDEX(_events!$H$2:$H$171,MATCH($A81,_events!$A$2:$A$171,0)))</f>
        <v/>
      </c>
      <c r="I81" s="96" t="str">
        <f aca="false">IF($A81="","",INDEX(_events!$I$2:$I$171,MATCH($A81,_events!$A$2:$A$171,0)))</f>
        <v/>
      </c>
      <c r="J81" s="96" t="str">
        <f aca="false">IF($A81="","",INDEX(_events!$J$2:$J$171,MATCH($A81,_events!$A$2:$A$171,0)))</f>
        <v/>
      </c>
      <c r="K81" s="96" t="str">
        <f aca="false">IF($A81="","",INDEX(_events!$K$2:$K$171,MATCH($A81,_events!$A$2:$A$171,0)))</f>
        <v/>
      </c>
    </row>
    <row r="82" customFormat="false" ht="15" hidden="false" customHeight="false" outlineLevel="0" collapsed="false">
      <c r="A82" s="94" t="str">
        <f aca="false">IFERROR(SMALL(_events!$A$2:$A$171,77),"")</f>
        <v/>
      </c>
      <c r="B82" s="95" t="str">
        <f aca="false">IF($A82="","",INT($A82))</f>
        <v/>
      </c>
      <c r="C82" s="96" t="str">
        <f aca="false">IF($A82="","",INDEX(_events!$C$2:$C$171,MATCH($A82,_events!$A$2:$A$171,0)))</f>
        <v/>
      </c>
      <c r="D82" s="97" t="str">
        <f aca="false">IF($A82="","",HYPERLINK("#'"&amp;INDEX(_events!$D$2:$D$171,MATCH($A82,_events!$A$2:$A$171,0))&amp;"'!A1",INDEX(_events!$D$2:$D$171,MATCH($A82,_events!$A$2:$A$171,0))))</f>
        <v/>
      </c>
      <c r="E82" s="96" t="str">
        <f aca="false">IF($A82="","",INDEX(_events!$E$2:$E$171,MATCH($A82,_events!$A$2:$A$171,0)))</f>
        <v/>
      </c>
      <c r="F82" s="96" t="str">
        <f aca="false">IF($A82="","",INDEX(_events!$F$2:$F$171,MATCH($A82,_events!$A$2:$A$171,0)))</f>
        <v/>
      </c>
      <c r="G82" s="96" t="str">
        <f aca="false">IF($A82="","",INDEX(_events!$G$2:$G$171,MATCH($A82,_events!$A$2:$A$171,0)))</f>
        <v/>
      </c>
      <c r="H82" s="96" t="str">
        <f aca="false">IF($A82="","",INDEX(_events!$H$2:$H$171,MATCH($A82,_events!$A$2:$A$171,0)))</f>
        <v/>
      </c>
      <c r="I82" s="96" t="str">
        <f aca="false">IF($A82="","",INDEX(_events!$I$2:$I$171,MATCH($A82,_events!$A$2:$A$171,0)))</f>
        <v/>
      </c>
      <c r="J82" s="96" t="str">
        <f aca="false">IF($A82="","",INDEX(_events!$J$2:$J$171,MATCH($A82,_events!$A$2:$A$171,0)))</f>
        <v/>
      </c>
      <c r="K82" s="96" t="str">
        <f aca="false">IF($A82="","",INDEX(_events!$K$2:$K$171,MATCH($A82,_events!$A$2:$A$171,0)))</f>
        <v/>
      </c>
    </row>
    <row r="83" customFormat="false" ht="15" hidden="false" customHeight="false" outlineLevel="0" collapsed="false">
      <c r="A83" s="94" t="str">
        <f aca="false">IFERROR(SMALL(_events!$A$2:$A$171,78),"")</f>
        <v/>
      </c>
      <c r="B83" s="95" t="str">
        <f aca="false">IF($A83="","",INT($A83))</f>
        <v/>
      </c>
      <c r="C83" s="96" t="str">
        <f aca="false">IF($A83="","",INDEX(_events!$C$2:$C$171,MATCH($A83,_events!$A$2:$A$171,0)))</f>
        <v/>
      </c>
      <c r="D83" s="97" t="str">
        <f aca="false">IF($A83="","",HYPERLINK("#'"&amp;INDEX(_events!$D$2:$D$171,MATCH($A83,_events!$A$2:$A$171,0))&amp;"'!A1",INDEX(_events!$D$2:$D$171,MATCH($A83,_events!$A$2:$A$171,0))))</f>
        <v/>
      </c>
      <c r="E83" s="96" t="str">
        <f aca="false">IF($A83="","",INDEX(_events!$E$2:$E$171,MATCH($A83,_events!$A$2:$A$171,0)))</f>
        <v/>
      </c>
      <c r="F83" s="96" t="str">
        <f aca="false">IF($A83="","",INDEX(_events!$F$2:$F$171,MATCH($A83,_events!$A$2:$A$171,0)))</f>
        <v/>
      </c>
      <c r="G83" s="96" t="str">
        <f aca="false">IF($A83="","",INDEX(_events!$G$2:$G$171,MATCH($A83,_events!$A$2:$A$171,0)))</f>
        <v/>
      </c>
      <c r="H83" s="96" t="str">
        <f aca="false">IF($A83="","",INDEX(_events!$H$2:$H$171,MATCH($A83,_events!$A$2:$A$171,0)))</f>
        <v/>
      </c>
      <c r="I83" s="96" t="str">
        <f aca="false">IF($A83="","",INDEX(_events!$I$2:$I$171,MATCH($A83,_events!$A$2:$A$171,0)))</f>
        <v/>
      </c>
      <c r="J83" s="96" t="str">
        <f aca="false">IF($A83="","",INDEX(_events!$J$2:$J$171,MATCH($A83,_events!$A$2:$A$171,0)))</f>
        <v/>
      </c>
      <c r="K83" s="96" t="str">
        <f aca="false">IF($A83="","",INDEX(_events!$K$2:$K$171,MATCH($A83,_events!$A$2:$A$171,0)))</f>
        <v/>
      </c>
    </row>
    <row r="84" customFormat="false" ht="15" hidden="false" customHeight="false" outlineLevel="0" collapsed="false">
      <c r="A84" s="94" t="str">
        <f aca="false">IFERROR(SMALL(_events!$A$2:$A$171,79),"")</f>
        <v/>
      </c>
      <c r="B84" s="95" t="str">
        <f aca="false">IF($A84="","",INT($A84))</f>
        <v/>
      </c>
      <c r="C84" s="96" t="str">
        <f aca="false">IF($A84="","",INDEX(_events!$C$2:$C$171,MATCH($A84,_events!$A$2:$A$171,0)))</f>
        <v/>
      </c>
      <c r="D84" s="97" t="str">
        <f aca="false">IF($A84="","",HYPERLINK("#'"&amp;INDEX(_events!$D$2:$D$171,MATCH($A84,_events!$A$2:$A$171,0))&amp;"'!A1",INDEX(_events!$D$2:$D$171,MATCH($A84,_events!$A$2:$A$171,0))))</f>
        <v/>
      </c>
      <c r="E84" s="96" t="str">
        <f aca="false">IF($A84="","",INDEX(_events!$E$2:$E$171,MATCH($A84,_events!$A$2:$A$171,0)))</f>
        <v/>
      </c>
      <c r="F84" s="96" t="str">
        <f aca="false">IF($A84="","",INDEX(_events!$F$2:$F$171,MATCH($A84,_events!$A$2:$A$171,0)))</f>
        <v/>
      </c>
      <c r="G84" s="96" t="str">
        <f aca="false">IF($A84="","",INDEX(_events!$G$2:$G$171,MATCH($A84,_events!$A$2:$A$171,0)))</f>
        <v/>
      </c>
      <c r="H84" s="96" t="str">
        <f aca="false">IF($A84="","",INDEX(_events!$H$2:$H$171,MATCH($A84,_events!$A$2:$A$171,0)))</f>
        <v/>
      </c>
      <c r="I84" s="96" t="str">
        <f aca="false">IF($A84="","",INDEX(_events!$I$2:$I$171,MATCH($A84,_events!$A$2:$A$171,0)))</f>
        <v/>
      </c>
      <c r="J84" s="96" t="str">
        <f aca="false">IF($A84="","",INDEX(_events!$J$2:$J$171,MATCH($A84,_events!$A$2:$A$171,0)))</f>
        <v/>
      </c>
      <c r="K84" s="96" t="str">
        <f aca="false">IF($A84="","",INDEX(_events!$K$2:$K$171,MATCH($A84,_events!$A$2:$A$171,0)))</f>
        <v/>
      </c>
    </row>
    <row r="85" customFormat="false" ht="15" hidden="false" customHeight="false" outlineLevel="0" collapsed="false">
      <c r="A85" s="94" t="str">
        <f aca="false">IFERROR(SMALL(_events!$A$2:$A$171,80),"")</f>
        <v/>
      </c>
      <c r="B85" s="95" t="str">
        <f aca="false">IF($A85="","",INT($A85))</f>
        <v/>
      </c>
      <c r="C85" s="96" t="str">
        <f aca="false">IF($A85="","",INDEX(_events!$C$2:$C$171,MATCH($A85,_events!$A$2:$A$171,0)))</f>
        <v/>
      </c>
      <c r="D85" s="97" t="str">
        <f aca="false">IF($A85="","",HYPERLINK("#'"&amp;INDEX(_events!$D$2:$D$171,MATCH($A85,_events!$A$2:$A$171,0))&amp;"'!A1",INDEX(_events!$D$2:$D$171,MATCH($A85,_events!$A$2:$A$171,0))))</f>
        <v/>
      </c>
      <c r="E85" s="96" t="str">
        <f aca="false">IF($A85="","",INDEX(_events!$E$2:$E$171,MATCH($A85,_events!$A$2:$A$171,0)))</f>
        <v/>
      </c>
      <c r="F85" s="96" t="str">
        <f aca="false">IF($A85="","",INDEX(_events!$F$2:$F$171,MATCH($A85,_events!$A$2:$A$171,0)))</f>
        <v/>
      </c>
      <c r="G85" s="96" t="str">
        <f aca="false">IF($A85="","",INDEX(_events!$G$2:$G$171,MATCH($A85,_events!$A$2:$A$171,0)))</f>
        <v/>
      </c>
      <c r="H85" s="96" t="str">
        <f aca="false">IF($A85="","",INDEX(_events!$H$2:$H$171,MATCH($A85,_events!$A$2:$A$171,0)))</f>
        <v/>
      </c>
      <c r="I85" s="96" t="str">
        <f aca="false">IF($A85="","",INDEX(_events!$I$2:$I$171,MATCH($A85,_events!$A$2:$A$171,0)))</f>
        <v/>
      </c>
      <c r="J85" s="96" t="str">
        <f aca="false">IF($A85="","",INDEX(_events!$J$2:$J$171,MATCH($A85,_events!$A$2:$A$171,0)))</f>
        <v/>
      </c>
      <c r="K85" s="96" t="str">
        <f aca="false">IF($A85="","",INDEX(_events!$K$2:$K$171,MATCH($A85,_events!$A$2:$A$171,0)))</f>
        <v/>
      </c>
    </row>
    <row r="86" customFormat="false" ht="15" hidden="false" customHeight="false" outlineLevel="0" collapsed="false">
      <c r="A86" s="94" t="str">
        <f aca="false">IFERROR(SMALL(_events!$A$2:$A$171,81),"")</f>
        <v/>
      </c>
      <c r="B86" s="95" t="str">
        <f aca="false">IF($A86="","",INT($A86))</f>
        <v/>
      </c>
      <c r="C86" s="96" t="str">
        <f aca="false">IF($A86="","",INDEX(_events!$C$2:$C$171,MATCH($A86,_events!$A$2:$A$171,0)))</f>
        <v/>
      </c>
      <c r="D86" s="97" t="str">
        <f aca="false">IF($A86="","",HYPERLINK("#'"&amp;INDEX(_events!$D$2:$D$171,MATCH($A86,_events!$A$2:$A$171,0))&amp;"'!A1",INDEX(_events!$D$2:$D$171,MATCH($A86,_events!$A$2:$A$171,0))))</f>
        <v/>
      </c>
      <c r="E86" s="96" t="str">
        <f aca="false">IF($A86="","",INDEX(_events!$E$2:$E$171,MATCH($A86,_events!$A$2:$A$171,0)))</f>
        <v/>
      </c>
      <c r="F86" s="96" t="str">
        <f aca="false">IF($A86="","",INDEX(_events!$F$2:$F$171,MATCH($A86,_events!$A$2:$A$171,0)))</f>
        <v/>
      </c>
      <c r="G86" s="96" t="str">
        <f aca="false">IF($A86="","",INDEX(_events!$G$2:$G$171,MATCH($A86,_events!$A$2:$A$171,0)))</f>
        <v/>
      </c>
      <c r="H86" s="96" t="str">
        <f aca="false">IF($A86="","",INDEX(_events!$H$2:$H$171,MATCH($A86,_events!$A$2:$A$171,0)))</f>
        <v/>
      </c>
      <c r="I86" s="96" t="str">
        <f aca="false">IF($A86="","",INDEX(_events!$I$2:$I$171,MATCH($A86,_events!$A$2:$A$171,0)))</f>
        <v/>
      </c>
      <c r="J86" s="96" t="str">
        <f aca="false">IF($A86="","",INDEX(_events!$J$2:$J$171,MATCH($A86,_events!$A$2:$A$171,0)))</f>
        <v/>
      </c>
      <c r="K86" s="96" t="str">
        <f aca="false">IF($A86="","",INDEX(_events!$K$2:$K$171,MATCH($A86,_events!$A$2:$A$171,0)))</f>
        <v/>
      </c>
    </row>
    <row r="87" customFormat="false" ht="15" hidden="false" customHeight="false" outlineLevel="0" collapsed="false">
      <c r="A87" s="94" t="str">
        <f aca="false">IFERROR(SMALL(_events!$A$2:$A$171,82),"")</f>
        <v/>
      </c>
      <c r="B87" s="95" t="str">
        <f aca="false">IF($A87="","",INT($A87))</f>
        <v/>
      </c>
      <c r="C87" s="96" t="str">
        <f aca="false">IF($A87="","",INDEX(_events!$C$2:$C$171,MATCH($A87,_events!$A$2:$A$171,0)))</f>
        <v/>
      </c>
      <c r="D87" s="97" t="str">
        <f aca="false">IF($A87="","",HYPERLINK("#'"&amp;INDEX(_events!$D$2:$D$171,MATCH($A87,_events!$A$2:$A$171,0))&amp;"'!A1",INDEX(_events!$D$2:$D$171,MATCH($A87,_events!$A$2:$A$171,0))))</f>
        <v/>
      </c>
      <c r="E87" s="96" t="str">
        <f aca="false">IF($A87="","",INDEX(_events!$E$2:$E$171,MATCH($A87,_events!$A$2:$A$171,0)))</f>
        <v/>
      </c>
      <c r="F87" s="96" t="str">
        <f aca="false">IF($A87="","",INDEX(_events!$F$2:$F$171,MATCH($A87,_events!$A$2:$A$171,0)))</f>
        <v/>
      </c>
      <c r="G87" s="96" t="str">
        <f aca="false">IF($A87="","",INDEX(_events!$G$2:$G$171,MATCH($A87,_events!$A$2:$A$171,0)))</f>
        <v/>
      </c>
      <c r="H87" s="96" t="str">
        <f aca="false">IF($A87="","",INDEX(_events!$H$2:$H$171,MATCH($A87,_events!$A$2:$A$171,0)))</f>
        <v/>
      </c>
      <c r="I87" s="96" t="str">
        <f aca="false">IF($A87="","",INDEX(_events!$I$2:$I$171,MATCH($A87,_events!$A$2:$A$171,0)))</f>
        <v/>
      </c>
      <c r="J87" s="96" t="str">
        <f aca="false">IF($A87="","",INDEX(_events!$J$2:$J$171,MATCH($A87,_events!$A$2:$A$171,0)))</f>
        <v/>
      </c>
      <c r="K87" s="96" t="str">
        <f aca="false">IF($A87="","",INDEX(_events!$K$2:$K$171,MATCH($A87,_events!$A$2:$A$171,0)))</f>
        <v/>
      </c>
    </row>
    <row r="88" customFormat="false" ht="15" hidden="false" customHeight="false" outlineLevel="0" collapsed="false">
      <c r="A88" s="94" t="str">
        <f aca="false">IFERROR(SMALL(_events!$A$2:$A$171,83),"")</f>
        <v/>
      </c>
      <c r="B88" s="95" t="str">
        <f aca="false">IF($A88="","",INT($A88))</f>
        <v/>
      </c>
      <c r="C88" s="96" t="str">
        <f aca="false">IF($A88="","",INDEX(_events!$C$2:$C$171,MATCH($A88,_events!$A$2:$A$171,0)))</f>
        <v/>
      </c>
      <c r="D88" s="97" t="str">
        <f aca="false">IF($A88="","",HYPERLINK("#'"&amp;INDEX(_events!$D$2:$D$171,MATCH($A88,_events!$A$2:$A$171,0))&amp;"'!A1",INDEX(_events!$D$2:$D$171,MATCH($A88,_events!$A$2:$A$171,0))))</f>
        <v/>
      </c>
      <c r="E88" s="96" t="str">
        <f aca="false">IF($A88="","",INDEX(_events!$E$2:$E$171,MATCH($A88,_events!$A$2:$A$171,0)))</f>
        <v/>
      </c>
      <c r="F88" s="96" t="str">
        <f aca="false">IF($A88="","",INDEX(_events!$F$2:$F$171,MATCH($A88,_events!$A$2:$A$171,0)))</f>
        <v/>
      </c>
      <c r="G88" s="96" t="str">
        <f aca="false">IF($A88="","",INDEX(_events!$G$2:$G$171,MATCH($A88,_events!$A$2:$A$171,0)))</f>
        <v/>
      </c>
      <c r="H88" s="96" t="str">
        <f aca="false">IF($A88="","",INDEX(_events!$H$2:$H$171,MATCH($A88,_events!$A$2:$A$171,0)))</f>
        <v/>
      </c>
      <c r="I88" s="96" t="str">
        <f aca="false">IF($A88="","",INDEX(_events!$I$2:$I$171,MATCH($A88,_events!$A$2:$A$171,0)))</f>
        <v/>
      </c>
      <c r="J88" s="96" t="str">
        <f aca="false">IF($A88="","",INDEX(_events!$J$2:$J$171,MATCH($A88,_events!$A$2:$A$171,0)))</f>
        <v/>
      </c>
      <c r="K88" s="96" t="str">
        <f aca="false">IF($A88="","",INDEX(_events!$K$2:$K$171,MATCH($A88,_events!$A$2:$A$171,0)))</f>
        <v/>
      </c>
    </row>
    <row r="89" customFormat="false" ht="15" hidden="false" customHeight="false" outlineLevel="0" collapsed="false">
      <c r="A89" s="94" t="str">
        <f aca="false">IFERROR(SMALL(_events!$A$2:$A$171,84),"")</f>
        <v/>
      </c>
      <c r="B89" s="95" t="str">
        <f aca="false">IF($A89="","",INT($A89))</f>
        <v/>
      </c>
      <c r="C89" s="96" t="str">
        <f aca="false">IF($A89="","",INDEX(_events!$C$2:$C$171,MATCH($A89,_events!$A$2:$A$171,0)))</f>
        <v/>
      </c>
      <c r="D89" s="97" t="str">
        <f aca="false">IF($A89="","",HYPERLINK("#'"&amp;INDEX(_events!$D$2:$D$171,MATCH($A89,_events!$A$2:$A$171,0))&amp;"'!A1",INDEX(_events!$D$2:$D$171,MATCH($A89,_events!$A$2:$A$171,0))))</f>
        <v/>
      </c>
      <c r="E89" s="96" t="str">
        <f aca="false">IF($A89="","",INDEX(_events!$E$2:$E$171,MATCH($A89,_events!$A$2:$A$171,0)))</f>
        <v/>
      </c>
      <c r="F89" s="96" t="str">
        <f aca="false">IF($A89="","",INDEX(_events!$F$2:$F$171,MATCH($A89,_events!$A$2:$A$171,0)))</f>
        <v/>
      </c>
      <c r="G89" s="96" t="str">
        <f aca="false">IF($A89="","",INDEX(_events!$G$2:$G$171,MATCH($A89,_events!$A$2:$A$171,0)))</f>
        <v/>
      </c>
      <c r="H89" s="96" t="str">
        <f aca="false">IF($A89="","",INDEX(_events!$H$2:$H$171,MATCH($A89,_events!$A$2:$A$171,0)))</f>
        <v/>
      </c>
      <c r="I89" s="96" t="str">
        <f aca="false">IF($A89="","",INDEX(_events!$I$2:$I$171,MATCH($A89,_events!$A$2:$A$171,0)))</f>
        <v/>
      </c>
      <c r="J89" s="96" t="str">
        <f aca="false">IF($A89="","",INDEX(_events!$J$2:$J$171,MATCH($A89,_events!$A$2:$A$171,0)))</f>
        <v/>
      </c>
      <c r="K89" s="96" t="str">
        <f aca="false">IF($A89="","",INDEX(_events!$K$2:$K$171,MATCH($A89,_events!$A$2:$A$171,0)))</f>
        <v/>
      </c>
    </row>
    <row r="90" customFormat="false" ht="15" hidden="false" customHeight="false" outlineLevel="0" collapsed="false">
      <c r="A90" s="94" t="str">
        <f aca="false">IFERROR(SMALL(_events!$A$2:$A$171,85),"")</f>
        <v/>
      </c>
      <c r="B90" s="95" t="str">
        <f aca="false">IF($A90="","",INT($A90))</f>
        <v/>
      </c>
      <c r="C90" s="96" t="str">
        <f aca="false">IF($A90="","",INDEX(_events!$C$2:$C$171,MATCH($A90,_events!$A$2:$A$171,0)))</f>
        <v/>
      </c>
      <c r="D90" s="97" t="str">
        <f aca="false">IF($A90="","",HYPERLINK("#'"&amp;INDEX(_events!$D$2:$D$171,MATCH($A90,_events!$A$2:$A$171,0))&amp;"'!A1",INDEX(_events!$D$2:$D$171,MATCH($A90,_events!$A$2:$A$171,0))))</f>
        <v/>
      </c>
      <c r="E90" s="96" t="str">
        <f aca="false">IF($A90="","",INDEX(_events!$E$2:$E$171,MATCH($A90,_events!$A$2:$A$171,0)))</f>
        <v/>
      </c>
      <c r="F90" s="96" t="str">
        <f aca="false">IF($A90="","",INDEX(_events!$F$2:$F$171,MATCH($A90,_events!$A$2:$A$171,0)))</f>
        <v/>
      </c>
      <c r="G90" s="96" t="str">
        <f aca="false">IF($A90="","",INDEX(_events!$G$2:$G$171,MATCH($A90,_events!$A$2:$A$171,0)))</f>
        <v/>
      </c>
      <c r="H90" s="96" t="str">
        <f aca="false">IF($A90="","",INDEX(_events!$H$2:$H$171,MATCH($A90,_events!$A$2:$A$171,0)))</f>
        <v/>
      </c>
      <c r="I90" s="96" t="str">
        <f aca="false">IF($A90="","",INDEX(_events!$I$2:$I$171,MATCH($A90,_events!$A$2:$A$171,0)))</f>
        <v/>
      </c>
      <c r="J90" s="96" t="str">
        <f aca="false">IF($A90="","",INDEX(_events!$J$2:$J$171,MATCH($A90,_events!$A$2:$A$171,0)))</f>
        <v/>
      </c>
      <c r="K90" s="96" t="str">
        <f aca="false">IF($A90="","",INDEX(_events!$K$2:$K$171,MATCH($A90,_events!$A$2:$A$171,0)))</f>
        <v/>
      </c>
    </row>
    <row r="91" customFormat="false" ht="15" hidden="false" customHeight="false" outlineLevel="0" collapsed="false">
      <c r="A91" s="94" t="str">
        <f aca="false">IFERROR(SMALL(_events!$A$2:$A$171,86),"")</f>
        <v/>
      </c>
      <c r="B91" s="95" t="str">
        <f aca="false">IF($A91="","",INT($A91))</f>
        <v/>
      </c>
      <c r="C91" s="96" t="str">
        <f aca="false">IF($A91="","",INDEX(_events!$C$2:$C$171,MATCH($A91,_events!$A$2:$A$171,0)))</f>
        <v/>
      </c>
      <c r="D91" s="97" t="str">
        <f aca="false">IF($A91="","",HYPERLINK("#'"&amp;INDEX(_events!$D$2:$D$171,MATCH($A91,_events!$A$2:$A$171,0))&amp;"'!A1",INDEX(_events!$D$2:$D$171,MATCH($A91,_events!$A$2:$A$171,0))))</f>
        <v/>
      </c>
      <c r="E91" s="96" t="str">
        <f aca="false">IF($A91="","",INDEX(_events!$E$2:$E$171,MATCH($A91,_events!$A$2:$A$171,0)))</f>
        <v/>
      </c>
      <c r="F91" s="96" t="str">
        <f aca="false">IF($A91="","",INDEX(_events!$F$2:$F$171,MATCH($A91,_events!$A$2:$A$171,0)))</f>
        <v/>
      </c>
      <c r="G91" s="96" t="str">
        <f aca="false">IF($A91="","",INDEX(_events!$G$2:$G$171,MATCH($A91,_events!$A$2:$A$171,0)))</f>
        <v/>
      </c>
      <c r="H91" s="96" t="str">
        <f aca="false">IF($A91="","",INDEX(_events!$H$2:$H$171,MATCH($A91,_events!$A$2:$A$171,0)))</f>
        <v/>
      </c>
      <c r="I91" s="96" t="str">
        <f aca="false">IF($A91="","",INDEX(_events!$I$2:$I$171,MATCH($A91,_events!$A$2:$A$171,0)))</f>
        <v/>
      </c>
      <c r="J91" s="96" t="str">
        <f aca="false">IF($A91="","",INDEX(_events!$J$2:$J$171,MATCH($A91,_events!$A$2:$A$171,0)))</f>
        <v/>
      </c>
      <c r="K91" s="96" t="str">
        <f aca="false">IF($A91="","",INDEX(_events!$K$2:$K$171,MATCH($A91,_events!$A$2:$A$171,0)))</f>
        <v/>
      </c>
    </row>
    <row r="92" customFormat="false" ht="15" hidden="false" customHeight="false" outlineLevel="0" collapsed="false">
      <c r="A92" s="94" t="str">
        <f aca="false">IFERROR(SMALL(_events!$A$2:$A$171,87),"")</f>
        <v/>
      </c>
      <c r="B92" s="95" t="str">
        <f aca="false">IF($A92="","",INT($A92))</f>
        <v/>
      </c>
      <c r="C92" s="96" t="str">
        <f aca="false">IF($A92="","",INDEX(_events!$C$2:$C$171,MATCH($A92,_events!$A$2:$A$171,0)))</f>
        <v/>
      </c>
      <c r="D92" s="97" t="str">
        <f aca="false">IF($A92="","",HYPERLINK("#'"&amp;INDEX(_events!$D$2:$D$171,MATCH($A92,_events!$A$2:$A$171,0))&amp;"'!A1",INDEX(_events!$D$2:$D$171,MATCH($A92,_events!$A$2:$A$171,0))))</f>
        <v/>
      </c>
      <c r="E92" s="96" t="str">
        <f aca="false">IF($A92="","",INDEX(_events!$E$2:$E$171,MATCH($A92,_events!$A$2:$A$171,0)))</f>
        <v/>
      </c>
      <c r="F92" s="96" t="str">
        <f aca="false">IF($A92="","",INDEX(_events!$F$2:$F$171,MATCH($A92,_events!$A$2:$A$171,0)))</f>
        <v/>
      </c>
      <c r="G92" s="96" t="str">
        <f aca="false">IF($A92="","",INDEX(_events!$G$2:$G$171,MATCH($A92,_events!$A$2:$A$171,0)))</f>
        <v/>
      </c>
      <c r="H92" s="96" t="str">
        <f aca="false">IF($A92="","",INDEX(_events!$H$2:$H$171,MATCH($A92,_events!$A$2:$A$171,0)))</f>
        <v/>
      </c>
      <c r="I92" s="96" t="str">
        <f aca="false">IF($A92="","",INDEX(_events!$I$2:$I$171,MATCH($A92,_events!$A$2:$A$171,0)))</f>
        <v/>
      </c>
      <c r="J92" s="96" t="str">
        <f aca="false">IF($A92="","",INDEX(_events!$J$2:$J$171,MATCH($A92,_events!$A$2:$A$171,0)))</f>
        <v/>
      </c>
      <c r="K92" s="96" t="str">
        <f aca="false">IF($A92="","",INDEX(_events!$K$2:$K$171,MATCH($A92,_events!$A$2:$A$171,0)))</f>
        <v/>
      </c>
    </row>
    <row r="93" customFormat="false" ht="15" hidden="false" customHeight="false" outlineLevel="0" collapsed="false">
      <c r="A93" s="94" t="str">
        <f aca="false">IFERROR(SMALL(_events!$A$2:$A$171,88),"")</f>
        <v/>
      </c>
      <c r="B93" s="95" t="str">
        <f aca="false">IF($A93="","",INT($A93))</f>
        <v/>
      </c>
      <c r="C93" s="96" t="str">
        <f aca="false">IF($A93="","",INDEX(_events!$C$2:$C$171,MATCH($A93,_events!$A$2:$A$171,0)))</f>
        <v/>
      </c>
      <c r="D93" s="97" t="str">
        <f aca="false">IF($A93="","",HYPERLINK("#'"&amp;INDEX(_events!$D$2:$D$171,MATCH($A93,_events!$A$2:$A$171,0))&amp;"'!A1",INDEX(_events!$D$2:$D$171,MATCH($A93,_events!$A$2:$A$171,0))))</f>
        <v/>
      </c>
      <c r="E93" s="96" t="str">
        <f aca="false">IF($A93="","",INDEX(_events!$E$2:$E$171,MATCH($A93,_events!$A$2:$A$171,0)))</f>
        <v/>
      </c>
      <c r="F93" s="96" t="str">
        <f aca="false">IF($A93="","",INDEX(_events!$F$2:$F$171,MATCH($A93,_events!$A$2:$A$171,0)))</f>
        <v/>
      </c>
      <c r="G93" s="96" t="str">
        <f aca="false">IF($A93="","",INDEX(_events!$G$2:$G$171,MATCH($A93,_events!$A$2:$A$171,0)))</f>
        <v/>
      </c>
      <c r="H93" s="96" t="str">
        <f aca="false">IF($A93="","",INDEX(_events!$H$2:$H$171,MATCH($A93,_events!$A$2:$A$171,0)))</f>
        <v/>
      </c>
      <c r="I93" s="96" t="str">
        <f aca="false">IF($A93="","",INDEX(_events!$I$2:$I$171,MATCH($A93,_events!$A$2:$A$171,0)))</f>
        <v/>
      </c>
      <c r="J93" s="96" t="str">
        <f aca="false">IF($A93="","",INDEX(_events!$J$2:$J$171,MATCH($A93,_events!$A$2:$A$171,0)))</f>
        <v/>
      </c>
      <c r="K93" s="96" t="str">
        <f aca="false">IF($A93="","",INDEX(_events!$K$2:$K$171,MATCH($A93,_events!$A$2:$A$171,0)))</f>
        <v/>
      </c>
    </row>
    <row r="94" customFormat="false" ht="15" hidden="false" customHeight="false" outlineLevel="0" collapsed="false">
      <c r="A94" s="94" t="str">
        <f aca="false">IFERROR(SMALL(_events!$A$2:$A$171,89),"")</f>
        <v/>
      </c>
      <c r="B94" s="95" t="str">
        <f aca="false">IF($A94="","",INT($A94))</f>
        <v/>
      </c>
      <c r="C94" s="96" t="str">
        <f aca="false">IF($A94="","",INDEX(_events!$C$2:$C$171,MATCH($A94,_events!$A$2:$A$171,0)))</f>
        <v/>
      </c>
      <c r="D94" s="97" t="str">
        <f aca="false">IF($A94="","",HYPERLINK("#'"&amp;INDEX(_events!$D$2:$D$171,MATCH($A94,_events!$A$2:$A$171,0))&amp;"'!A1",INDEX(_events!$D$2:$D$171,MATCH($A94,_events!$A$2:$A$171,0))))</f>
        <v/>
      </c>
      <c r="E94" s="96" t="str">
        <f aca="false">IF($A94="","",INDEX(_events!$E$2:$E$171,MATCH($A94,_events!$A$2:$A$171,0)))</f>
        <v/>
      </c>
      <c r="F94" s="96" t="str">
        <f aca="false">IF($A94="","",INDEX(_events!$F$2:$F$171,MATCH($A94,_events!$A$2:$A$171,0)))</f>
        <v/>
      </c>
      <c r="G94" s="96" t="str">
        <f aca="false">IF($A94="","",INDEX(_events!$G$2:$G$171,MATCH($A94,_events!$A$2:$A$171,0)))</f>
        <v/>
      </c>
      <c r="H94" s="96" t="str">
        <f aca="false">IF($A94="","",INDEX(_events!$H$2:$H$171,MATCH($A94,_events!$A$2:$A$171,0)))</f>
        <v/>
      </c>
      <c r="I94" s="96" t="str">
        <f aca="false">IF($A94="","",INDEX(_events!$I$2:$I$171,MATCH($A94,_events!$A$2:$A$171,0)))</f>
        <v/>
      </c>
      <c r="J94" s="96" t="str">
        <f aca="false">IF($A94="","",INDEX(_events!$J$2:$J$171,MATCH($A94,_events!$A$2:$A$171,0)))</f>
        <v/>
      </c>
      <c r="K94" s="96" t="str">
        <f aca="false">IF($A94="","",INDEX(_events!$K$2:$K$171,MATCH($A94,_events!$A$2:$A$171,0)))</f>
        <v/>
      </c>
    </row>
    <row r="95" customFormat="false" ht="15" hidden="false" customHeight="false" outlineLevel="0" collapsed="false">
      <c r="A95" s="94" t="str">
        <f aca="false">IFERROR(SMALL(_events!$A$2:$A$171,90),"")</f>
        <v/>
      </c>
      <c r="B95" s="95" t="str">
        <f aca="false">IF($A95="","",INT($A95))</f>
        <v/>
      </c>
      <c r="C95" s="96" t="str">
        <f aca="false">IF($A95="","",INDEX(_events!$C$2:$C$171,MATCH($A95,_events!$A$2:$A$171,0)))</f>
        <v/>
      </c>
      <c r="D95" s="97" t="str">
        <f aca="false">IF($A95="","",HYPERLINK("#'"&amp;INDEX(_events!$D$2:$D$171,MATCH($A95,_events!$A$2:$A$171,0))&amp;"'!A1",INDEX(_events!$D$2:$D$171,MATCH($A95,_events!$A$2:$A$171,0))))</f>
        <v/>
      </c>
      <c r="E95" s="96" t="str">
        <f aca="false">IF($A95="","",INDEX(_events!$E$2:$E$171,MATCH($A95,_events!$A$2:$A$171,0)))</f>
        <v/>
      </c>
      <c r="F95" s="96" t="str">
        <f aca="false">IF($A95="","",INDEX(_events!$F$2:$F$171,MATCH($A95,_events!$A$2:$A$171,0)))</f>
        <v/>
      </c>
      <c r="G95" s="96" t="str">
        <f aca="false">IF($A95="","",INDEX(_events!$G$2:$G$171,MATCH($A95,_events!$A$2:$A$171,0)))</f>
        <v/>
      </c>
      <c r="H95" s="96" t="str">
        <f aca="false">IF($A95="","",INDEX(_events!$H$2:$H$171,MATCH($A95,_events!$A$2:$A$171,0)))</f>
        <v/>
      </c>
      <c r="I95" s="96" t="str">
        <f aca="false">IF($A95="","",INDEX(_events!$I$2:$I$171,MATCH($A95,_events!$A$2:$A$171,0)))</f>
        <v/>
      </c>
      <c r="J95" s="96" t="str">
        <f aca="false">IF($A95="","",INDEX(_events!$J$2:$J$171,MATCH($A95,_events!$A$2:$A$171,0)))</f>
        <v/>
      </c>
      <c r="K95" s="96" t="str">
        <f aca="false">IF($A95="","",INDEX(_events!$K$2:$K$171,MATCH($A95,_events!$A$2:$A$171,0)))</f>
        <v/>
      </c>
    </row>
    <row r="96" customFormat="false" ht="15" hidden="false" customHeight="false" outlineLevel="0" collapsed="false">
      <c r="A96" s="94" t="str">
        <f aca="false">IFERROR(SMALL(_events!$A$2:$A$171,91),"")</f>
        <v/>
      </c>
      <c r="B96" s="95" t="str">
        <f aca="false">IF($A96="","",INT($A96))</f>
        <v/>
      </c>
      <c r="C96" s="96" t="str">
        <f aca="false">IF($A96="","",INDEX(_events!$C$2:$C$171,MATCH($A96,_events!$A$2:$A$171,0)))</f>
        <v/>
      </c>
      <c r="D96" s="97" t="str">
        <f aca="false">IF($A96="","",HYPERLINK("#'"&amp;INDEX(_events!$D$2:$D$171,MATCH($A96,_events!$A$2:$A$171,0))&amp;"'!A1",INDEX(_events!$D$2:$D$171,MATCH($A96,_events!$A$2:$A$171,0))))</f>
        <v/>
      </c>
      <c r="E96" s="96" t="str">
        <f aca="false">IF($A96="","",INDEX(_events!$E$2:$E$171,MATCH($A96,_events!$A$2:$A$171,0)))</f>
        <v/>
      </c>
      <c r="F96" s="96" t="str">
        <f aca="false">IF($A96="","",INDEX(_events!$F$2:$F$171,MATCH($A96,_events!$A$2:$A$171,0)))</f>
        <v/>
      </c>
      <c r="G96" s="96" t="str">
        <f aca="false">IF($A96="","",INDEX(_events!$G$2:$G$171,MATCH($A96,_events!$A$2:$A$171,0)))</f>
        <v/>
      </c>
      <c r="H96" s="96" t="str">
        <f aca="false">IF($A96="","",INDEX(_events!$H$2:$H$171,MATCH($A96,_events!$A$2:$A$171,0)))</f>
        <v/>
      </c>
      <c r="I96" s="96" t="str">
        <f aca="false">IF($A96="","",INDEX(_events!$I$2:$I$171,MATCH($A96,_events!$A$2:$A$171,0)))</f>
        <v/>
      </c>
      <c r="J96" s="96" t="str">
        <f aca="false">IF($A96="","",INDEX(_events!$J$2:$J$171,MATCH($A96,_events!$A$2:$A$171,0)))</f>
        <v/>
      </c>
      <c r="K96" s="96" t="str">
        <f aca="false">IF($A96="","",INDEX(_events!$K$2:$K$171,MATCH($A96,_events!$A$2:$A$171,0)))</f>
        <v/>
      </c>
    </row>
    <row r="97" customFormat="false" ht="15" hidden="false" customHeight="false" outlineLevel="0" collapsed="false">
      <c r="A97" s="94" t="str">
        <f aca="false">IFERROR(SMALL(_events!$A$2:$A$171,92),"")</f>
        <v/>
      </c>
      <c r="B97" s="95" t="str">
        <f aca="false">IF($A97="","",INT($A97))</f>
        <v/>
      </c>
      <c r="C97" s="96" t="str">
        <f aca="false">IF($A97="","",INDEX(_events!$C$2:$C$171,MATCH($A97,_events!$A$2:$A$171,0)))</f>
        <v/>
      </c>
      <c r="D97" s="97" t="str">
        <f aca="false">IF($A97="","",HYPERLINK("#'"&amp;INDEX(_events!$D$2:$D$171,MATCH($A97,_events!$A$2:$A$171,0))&amp;"'!A1",INDEX(_events!$D$2:$D$171,MATCH($A97,_events!$A$2:$A$171,0))))</f>
        <v/>
      </c>
      <c r="E97" s="96" t="str">
        <f aca="false">IF($A97="","",INDEX(_events!$E$2:$E$171,MATCH($A97,_events!$A$2:$A$171,0)))</f>
        <v/>
      </c>
      <c r="F97" s="96" t="str">
        <f aca="false">IF($A97="","",INDEX(_events!$F$2:$F$171,MATCH($A97,_events!$A$2:$A$171,0)))</f>
        <v/>
      </c>
      <c r="G97" s="96" t="str">
        <f aca="false">IF($A97="","",INDEX(_events!$G$2:$G$171,MATCH($A97,_events!$A$2:$A$171,0)))</f>
        <v/>
      </c>
      <c r="H97" s="96" t="str">
        <f aca="false">IF($A97="","",INDEX(_events!$H$2:$H$171,MATCH($A97,_events!$A$2:$A$171,0)))</f>
        <v/>
      </c>
      <c r="I97" s="96" t="str">
        <f aca="false">IF($A97="","",INDEX(_events!$I$2:$I$171,MATCH($A97,_events!$A$2:$A$171,0)))</f>
        <v/>
      </c>
      <c r="J97" s="96" t="str">
        <f aca="false">IF($A97="","",INDEX(_events!$J$2:$J$171,MATCH($A97,_events!$A$2:$A$171,0)))</f>
        <v/>
      </c>
      <c r="K97" s="96" t="str">
        <f aca="false">IF($A97="","",INDEX(_events!$K$2:$K$171,MATCH($A97,_events!$A$2:$A$171,0)))</f>
        <v/>
      </c>
    </row>
    <row r="98" customFormat="false" ht="15" hidden="false" customHeight="false" outlineLevel="0" collapsed="false">
      <c r="A98" s="94" t="str">
        <f aca="false">IFERROR(SMALL(_events!$A$2:$A$171,93),"")</f>
        <v/>
      </c>
      <c r="B98" s="95" t="str">
        <f aca="false">IF($A98="","",INT($A98))</f>
        <v/>
      </c>
      <c r="C98" s="96" t="str">
        <f aca="false">IF($A98="","",INDEX(_events!$C$2:$C$171,MATCH($A98,_events!$A$2:$A$171,0)))</f>
        <v/>
      </c>
      <c r="D98" s="97" t="str">
        <f aca="false">IF($A98="","",HYPERLINK("#'"&amp;INDEX(_events!$D$2:$D$171,MATCH($A98,_events!$A$2:$A$171,0))&amp;"'!A1",INDEX(_events!$D$2:$D$171,MATCH($A98,_events!$A$2:$A$171,0))))</f>
        <v/>
      </c>
      <c r="E98" s="96" t="str">
        <f aca="false">IF($A98="","",INDEX(_events!$E$2:$E$171,MATCH($A98,_events!$A$2:$A$171,0)))</f>
        <v/>
      </c>
      <c r="F98" s="96" t="str">
        <f aca="false">IF($A98="","",INDEX(_events!$F$2:$F$171,MATCH($A98,_events!$A$2:$A$171,0)))</f>
        <v/>
      </c>
      <c r="G98" s="96" t="str">
        <f aca="false">IF($A98="","",INDEX(_events!$G$2:$G$171,MATCH($A98,_events!$A$2:$A$171,0)))</f>
        <v/>
      </c>
      <c r="H98" s="96" t="str">
        <f aca="false">IF($A98="","",INDEX(_events!$H$2:$H$171,MATCH($A98,_events!$A$2:$A$171,0)))</f>
        <v/>
      </c>
      <c r="I98" s="96" t="str">
        <f aca="false">IF($A98="","",INDEX(_events!$I$2:$I$171,MATCH($A98,_events!$A$2:$A$171,0)))</f>
        <v/>
      </c>
      <c r="J98" s="96" t="str">
        <f aca="false">IF($A98="","",INDEX(_events!$J$2:$J$171,MATCH($A98,_events!$A$2:$A$171,0)))</f>
        <v/>
      </c>
      <c r="K98" s="96" t="str">
        <f aca="false">IF($A98="","",INDEX(_events!$K$2:$K$171,MATCH($A98,_events!$A$2:$A$171,0)))</f>
        <v/>
      </c>
    </row>
    <row r="99" customFormat="false" ht="15" hidden="false" customHeight="false" outlineLevel="0" collapsed="false">
      <c r="A99" s="94" t="str">
        <f aca="false">IFERROR(SMALL(_events!$A$2:$A$171,94),"")</f>
        <v/>
      </c>
      <c r="B99" s="95" t="str">
        <f aca="false">IF($A99="","",INT($A99))</f>
        <v/>
      </c>
      <c r="C99" s="96" t="str">
        <f aca="false">IF($A99="","",INDEX(_events!$C$2:$C$171,MATCH($A99,_events!$A$2:$A$171,0)))</f>
        <v/>
      </c>
      <c r="D99" s="97" t="str">
        <f aca="false">IF($A99="","",HYPERLINK("#'"&amp;INDEX(_events!$D$2:$D$171,MATCH($A99,_events!$A$2:$A$171,0))&amp;"'!A1",INDEX(_events!$D$2:$D$171,MATCH($A99,_events!$A$2:$A$171,0))))</f>
        <v/>
      </c>
      <c r="E99" s="96" t="str">
        <f aca="false">IF($A99="","",INDEX(_events!$E$2:$E$171,MATCH($A99,_events!$A$2:$A$171,0)))</f>
        <v/>
      </c>
      <c r="F99" s="96" t="str">
        <f aca="false">IF($A99="","",INDEX(_events!$F$2:$F$171,MATCH($A99,_events!$A$2:$A$171,0)))</f>
        <v/>
      </c>
      <c r="G99" s="96" t="str">
        <f aca="false">IF($A99="","",INDEX(_events!$G$2:$G$171,MATCH($A99,_events!$A$2:$A$171,0)))</f>
        <v/>
      </c>
      <c r="H99" s="96" t="str">
        <f aca="false">IF($A99="","",INDEX(_events!$H$2:$H$171,MATCH($A99,_events!$A$2:$A$171,0)))</f>
        <v/>
      </c>
      <c r="I99" s="96" t="str">
        <f aca="false">IF($A99="","",INDEX(_events!$I$2:$I$171,MATCH($A99,_events!$A$2:$A$171,0)))</f>
        <v/>
      </c>
      <c r="J99" s="96" t="str">
        <f aca="false">IF($A99="","",INDEX(_events!$J$2:$J$171,MATCH($A99,_events!$A$2:$A$171,0)))</f>
        <v/>
      </c>
      <c r="K99" s="96" t="str">
        <f aca="false">IF($A99="","",INDEX(_events!$K$2:$K$171,MATCH($A99,_events!$A$2:$A$171,0)))</f>
        <v/>
      </c>
    </row>
    <row r="100" customFormat="false" ht="15" hidden="false" customHeight="false" outlineLevel="0" collapsed="false">
      <c r="A100" s="94" t="str">
        <f aca="false">IFERROR(SMALL(_events!$A$2:$A$171,95),"")</f>
        <v/>
      </c>
      <c r="B100" s="95" t="str">
        <f aca="false">IF($A100="","",INT($A100))</f>
        <v/>
      </c>
      <c r="C100" s="96" t="str">
        <f aca="false">IF($A100="","",INDEX(_events!$C$2:$C$171,MATCH($A100,_events!$A$2:$A$171,0)))</f>
        <v/>
      </c>
      <c r="D100" s="97" t="str">
        <f aca="false">IF($A100="","",HYPERLINK("#'"&amp;INDEX(_events!$D$2:$D$171,MATCH($A100,_events!$A$2:$A$171,0))&amp;"'!A1",INDEX(_events!$D$2:$D$171,MATCH($A100,_events!$A$2:$A$171,0))))</f>
        <v/>
      </c>
      <c r="E100" s="96" t="str">
        <f aca="false">IF($A100="","",INDEX(_events!$E$2:$E$171,MATCH($A100,_events!$A$2:$A$171,0)))</f>
        <v/>
      </c>
      <c r="F100" s="96" t="str">
        <f aca="false">IF($A100="","",INDEX(_events!$F$2:$F$171,MATCH($A100,_events!$A$2:$A$171,0)))</f>
        <v/>
      </c>
      <c r="G100" s="96" t="str">
        <f aca="false">IF($A100="","",INDEX(_events!$G$2:$G$171,MATCH($A100,_events!$A$2:$A$171,0)))</f>
        <v/>
      </c>
      <c r="H100" s="96" t="str">
        <f aca="false">IF($A100="","",INDEX(_events!$H$2:$H$171,MATCH($A100,_events!$A$2:$A$171,0)))</f>
        <v/>
      </c>
      <c r="I100" s="96" t="str">
        <f aca="false">IF($A100="","",INDEX(_events!$I$2:$I$171,MATCH($A100,_events!$A$2:$A$171,0)))</f>
        <v/>
      </c>
      <c r="J100" s="96" t="str">
        <f aca="false">IF($A100="","",INDEX(_events!$J$2:$J$171,MATCH($A100,_events!$A$2:$A$171,0)))</f>
        <v/>
      </c>
      <c r="K100" s="96" t="str">
        <f aca="false">IF($A100="","",INDEX(_events!$K$2:$K$171,MATCH($A100,_events!$A$2:$A$171,0)))</f>
        <v/>
      </c>
    </row>
    <row r="101" customFormat="false" ht="15" hidden="false" customHeight="false" outlineLevel="0" collapsed="false">
      <c r="A101" s="94" t="str">
        <f aca="false">IFERROR(SMALL(_events!$A$2:$A$171,96),"")</f>
        <v/>
      </c>
      <c r="B101" s="95" t="str">
        <f aca="false">IF($A101="","",INT($A101))</f>
        <v/>
      </c>
      <c r="C101" s="96" t="str">
        <f aca="false">IF($A101="","",INDEX(_events!$C$2:$C$171,MATCH($A101,_events!$A$2:$A$171,0)))</f>
        <v/>
      </c>
      <c r="D101" s="97" t="str">
        <f aca="false">IF($A101="","",HYPERLINK("#'"&amp;INDEX(_events!$D$2:$D$171,MATCH($A101,_events!$A$2:$A$171,0))&amp;"'!A1",INDEX(_events!$D$2:$D$171,MATCH($A101,_events!$A$2:$A$171,0))))</f>
        <v/>
      </c>
      <c r="E101" s="96" t="str">
        <f aca="false">IF($A101="","",INDEX(_events!$E$2:$E$171,MATCH($A101,_events!$A$2:$A$171,0)))</f>
        <v/>
      </c>
      <c r="F101" s="96" t="str">
        <f aca="false">IF($A101="","",INDEX(_events!$F$2:$F$171,MATCH($A101,_events!$A$2:$A$171,0)))</f>
        <v/>
      </c>
      <c r="G101" s="96" t="str">
        <f aca="false">IF($A101="","",INDEX(_events!$G$2:$G$171,MATCH($A101,_events!$A$2:$A$171,0)))</f>
        <v/>
      </c>
      <c r="H101" s="96" t="str">
        <f aca="false">IF($A101="","",INDEX(_events!$H$2:$H$171,MATCH($A101,_events!$A$2:$A$171,0)))</f>
        <v/>
      </c>
      <c r="I101" s="96" t="str">
        <f aca="false">IF($A101="","",INDEX(_events!$I$2:$I$171,MATCH($A101,_events!$A$2:$A$171,0)))</f>
        <v/>
      </c>
      <c r="J101" s="96" t="str">
        <f aca="false">IF($A101="","",INDEX(_events!$J$2:$J$171,MATCH($A101,_events!$A$2:$A$171,0)))</f>
        <v/>
      </c>
      <c r="K101" s="96" t="str">
        <f aca="false">IF($A101="","",INDEX(_events!$K$2:$K$171,MATCH($A101,_events!$A$2:$A$171,0)))</f>
        <v/>
      </c>
    </row>
    <row r="102" customFormat="false" ht="15" hidden="false" customHeight="false" outlineLevel="0" collapsed="false">
      <c r="A102" s="94" t="str">
        <f aca="false">IFERROR(SMALL(_events!$A$2:$A$171,97),"")</f>
        <v/>
      </c>
      <c r="B102" s="95" t="str">
        <f aca="false">IF($A102="","",INT($A102))</f>
        <v/>
      </c>
      <c r="C102" s="96" t="str">
        <f aca="false">IF($A102="","",INDEX(_events!$C$2:$C$171,MATCH($A102,_events!$A$2:$A$171,0)))</f>
        <v/>
      </c>
      <c r="D102" s="97" t="str">
        <f aca="false">IF($A102="","",HYPERLINK("#'"&amp;INDEX(_events!$D$2:$D$171,MATCH($A102,_events!$A$2:$A$171,0))&amp;"'!A1",INDEX(_events!$D$2:$D$171,MATCH($A102,_events!$A$2:$A$171,0))))</f>
        <v/>
      </c>
      <c r="E102" s="96" t="str">
        <f aca="false">IF($A102="","",INDEX(_events!$E$2:$E$171,MATCH($A102,_events!$A$2:$A$171,0)))</f>
        <v/>
      </c>
      <c r="F102" s="96" t="str">
        <f aca="false">IF($A102="","",INDEX(_events!$F$2:$F$171,MATCH($A102,_events!$A$2:$A$171,0)))</f>
        <v/>
      </c>
      <c r="G102" s="96" t="str">
        <f aca="false">IF($A102="","",INDEX(_events!$G$2:$G$171,MATCH($A102,_events!$A$2:$A$171,0)))</f>
        <v/>
      </c>
      <c r="H102" s="96" t="str">
        <f aca="false">IF($A102="","",INDEX(_events!$H$2:$H$171,MATCH($A102,_events!$A$2:$A$171,0)))</f>
        <v/>
      </c>
      <c r="I102" s="96" t="str">
        <f aca="false">IF($A102="","",INDEX(_events!$I$2:$I$171,MATCH($A102,_events!$A$2:$A$171,0)))</f>
        <v/>
      </c>
      <c r="J102" s="96" t="str">
        <f aca="false">IF($A102="","",INDEX(_events!$J$2:$J$171,MATCH($A102,_events!$A$2:$A$171,0)))</f>
        <v/>
      </c>
      <c r="K102" s="96" t="str">
        <f aca="false">IF($A102="","",INDEX(_events!$K$2:$K$171,MATCH($A102,_events!$A$2:$A$171,0)))</f>
        <v/>
      </c>
    </row>
    <row r="103" customFormat="false" ht="15" hidden="false" customHeight="false" outlineLevel="0" collapsed="false">
      <c r="A103" s="94" t="str">
        <f aca="false">IFERROR(SMALL(_events!$A$2:$A$171,98),"")</f>
        <v/>
      </c>
      <c r="B103" s="95" t="str">
        <f aca="false">IF($A103="","",INT($A103))</f>
        <v/>
      </c>
      <c r="C103" s="96" t="str">
        <f aca="false">IF($A103="","",INDEX(_events!$C$2:$C$171,MATCH($A103,_events!$A$2:$A$171,0)))</f>
        <v/>
      </c>
      <c r="D103" s="97" t="str">
        <f aca="false">IF($A103="","",HYPERLINK("#'"&amp;INDEX(_events!$D$2:$D$171,MATCH($A103,_events!$A$2:$A$171,0))&amp;"'!A1",INDEX(_events!$D$2:$D$171,MATCH($A103,_events!$A$2:$A$171,0))))</f>
        <v/>
      </c>
      <c r="E103" s="96" t="str">
        <f aca="false">IF($A103="","",INDEX(_events!$E$2:$E$171,MATCH($A103,_events!$A$2:$A$171,0)))</f>
        <v/>
      </c>
      <c r="F103" s="96" t="str">
        <f aca="false">IF($A103="","",INDEX(_events!$F$2:$F$171,MATCH($A103,_events!$A$2:$A$171,0)))</f>
        <v/>
      </c>
      <c r="G103" s="96" t="str">
        <f aca="false">IF($A103="","",INDEX(_events!$G$2:$G$171,MATCH($A103,_events!$A$2:$A$171,0)))</f>
        <v/>
      </c>
      <c r="H103" s="96" t="str">
        <f aca="false">IF($A103="","",INDEX(_events!$H$2:$H$171,MATCH($A103,_events!$A$2:$A$171,0)))</f>
        <v/>
      </c>
      <c r="I103" s="96" t="str">
        <f aca="false">IF($A103="","",INDEX(_events!$I$2:$I$171,MATCH($A103,_events!$A$2:$A$171,0)))</f>
        <v/>
      </c>
      <c r="J103" s="96" t="str">
        <f aca="false">IF($A103="","",INDEX(_events!$J$2:$J$171,MATCH($A103,_events!$A$2:$A$171,0)))</f>
        <v/>
      </c>
      <c r="K103" s="96" t="str">
        <f aca="false">IF($A103="","",INDEX(_events!$K$2:$K$171,MATCH($A103,_events!$A$2:$A$171,0)))</f>
        <v/>
      </c>
    </row>
    <row r="104" customFormat="false" ht="15" hidden="false" customHeight="false" outlineLevel="0" collapsed="false">
      <c r="A104" s="94" t="str">
        <f aca="false">IFERROR(SMALL(_events!$A$2:$A$171,99),"")</f>
        <v/>
      </c>
      <c r="B104" s="95" t="str">
        <f aca="false">IF($A104="","",INT($A104))</f>
        <v/>
      </c>
      <c r="C104" s="96" t="str">
        <f aca="false">IF($A104="","",INDEX(_events!$C$2:$C$171,MATCH($A104,_events!$A$2:$A$171,0)))</f>
        <v/>
      </c>
      <c r="D104" s="97" t="str">
        <f aca="false">IF($A104="","",HYPERLINK("#'"&amp;INDEX(_events!$D$2:$D$171,MATCH($A104,_events!$A$2:$A$171,0))&amp;"'!A1",INDEX(_events!$D$2:$D$171,MATCH($A104,_events!$A$2:$A$171,0))))</f>
        <v/>
      </c>
      <c r="E104" s="96" t="str">
        <f aca="false">IF($A104="","",INDEX(_events!$E$2:$E$171,MATCH($A104,_events!$A$2:$A$171,0)))</f>
        <v/>
      </c>
      <c r="F104" s="96" t="str">
        <f aca="false">IF($A104="","",INDEX(_events!$F$2:$F$171,MATCH($A104,_events!$A$2:$A$171,0)))</f>
        <v/>
      </c>
      <c r="G104" s="96" t="str">
        <f aca="false">IF($A104="","",INDEX(_events!$G$2:$G$171,MATCH($A104,_events!$A$2:$A$171,0)))</f>
        <v/>
      </c>
      <c r="H104" s="96" t="str">
        <f aca="false">IF($A104="","",INDEX(_events!$H$2:$H$171,MATCH($A104,_events!$A$2:$A$171,0)))</f>
        <v/>
      </c>
      <c r="I104" s="96" t="str">
        <f aca="false">IF($A104="","",INDEX(_events!$I$2:$I$171,MATCH($A104,_events!$A$2:$A$171,0)))</f>
        <v/>
      </c>
      <c r="J104" s="96" t="str">
        <f aca="false">IF($A104="","",INDEX(_events!$J$2:$J$171,MATCH($A104,_events!$A$2:$A$171,0)))</f>
        <v/>
      </c>
      <c r="K104" s="96" t="str">
        <f aca="false">IF($A104="","",INDEX(_events!$K$2:$K$171,MATCH($A104,_events!$A$2:$A$171,0)))</f>
        <v/>
      </c>
    </row>
    <row r="105" customFormat="false" ht="15" hidden="false" customHeight="false" outlineLevel="0" collapsed="false">
      <c r="A105" s="94" t="str">
        <f aca="false">IFERROR(SMALL(_events!$A$2:$A$171,100),"")</f>
        <v/>
      </c>
      <c r="B105" s="95" t="str">
        <f aca="false">IF($A105="","",INT($A105))</f>
        <v/>
      </c>
      <c r="C105" s="96" t="str">
        <f aca="false">IF($A105="","",INDEX(_events!$C$2:$C$171,MATCH($A105,_events!$A$2:$A$171,0)))</f>
        <v/>
      </c>
      <c r="D105" s="97" t="str">
        <f aca="false">IF($A105="","",HYPERLINK("#'"&amp;INDEX(_events!$D$2:$D$171,MATCH($A105,_events!$A$2:$A$171,0))&amp;"'!A1",INDEX(_events!$D$2:$D$171,MATCH($A105,_events!$A$2:$A$171,0))))</f>
        <v/>
      </c>
      <c r="E105" s="96" t="str">
        <f aca="false">IF($A105="","",INDEX(_events!$E$2:$E$171,MATCH($A105,_events!$A$2:$A$171,0)))</f>
        <v/>
      </c>
      <c r="F105" s="96" t="str">
        <f aca="false">IF($A105="","",INDEX(_events!$F$2:$F$171,MATCH($A105,_events!$A$2:$A$171,0)))</f>
        <v/>
      </c>
      <c r="G105" s="96" t="str">
        <f aca="false">IF($A105="","",INDEX(_events!$G$2:$G$171,MATCH($A105,_events!$A$2:$A$171,0)))</f>
        <v/>
      </c>
      <c r="H105" s="96" t="str">
        <f aca="false">IF($A105="","",INDEX(_events!$H$2:$H$171,MATCH($A105,_events!$A$2:$A$171,0)))</f>
        <v/>
      </c>
      <c r="I105" s="96" t="str">
        <f aca="false">IF($A105="","",INDEX(_events!$I$2:$I$171,MATCH($A105,_events!$A$2:$A$171,0)))</f>
        <v/>
      </c>
      <c r="J105" s="96" t="str">
        <f aca="false">IF($A105="","",INDEX(_events!$J$2:$J$171,MATCH($A105,_events!$A$2:$A$171,0)))</f>
        <v/>
      </c>
      <c r="K105" s="96" t="str">
        <f aca="false">IF($A105="","",INDEX(_events!$K$2:$K$171,MATCH($A105,_events!$A$2:$A$171,0)))</f>
        <v/>
      </c>
    </row>
    <row r="106" customFormat="false" ht="15" hidden="false" customHeight="false" outlineLevel="0" collapsed="false">
      <c r="A106" s="94" t="str">
        <f aca="false">IFERROR(SMALL(_events!$A$2:$A$171,101),"")</f>
        <v/>
      </c>
      <c r="B106" s="95" t="str">
        <f aca="false">IF($A106="","",INT($A106))</f>
        <v/>
      </c>
      <c r="C106" s="96" t="str">
        <f aca="false">IF($A106="","",INDEX(_events!$C$2:$C$171,MATCH($A106,_events!$A$2:$A$171,0)))</f>
        <v/>
      </c>
      <c r="D106" s="97" t="str">
        <f aca="false">IF($A106="","",HYPERLINK("#'"&amp;INDEX(_events!$D$2:$D$171,MATCH($A106,_events!$A$2:$A$171,0))&amp;"'!A1",INDEX(_events!$D$2:$D$171,MATCH($A106,_events!$A$2:$A$171,0))))</f>
        <v/>
      </c>
      <c r="E106" s="96" t="str">
        <f aca="false">IF($A106="","",INDEX(_events!$E$2:$E$171,MATCH($A106,_events!$A$2:$A$171,0)))</f>
        <v/>
      </c>
      <c r="F106" s="96" t="str">
        <f aca="false">IF($A106="","",INDEX(_events!$F$2:$F$171,MATCH($A106,_events!$A$2:$A$171,0)))</f>
        <v/>
      </c>
      <c r="G106" s="96" t="str">
        <f aca="false">IF($A106="","",INDEX(_events!$G$2:$G$171,MATCH($A106,_events!$A$2:$A$171,0)))</f>
        <v/>
      </c>
      <c r="H106" s="96" t="str">
        <f aca="false">IF($A106="","",INDEX(_events!$H$2:$H$171,MATCH($A106,_events!$A$2:$A$171,0)))</f>
        <v/>
      </c>
      <c r="I106" s="96" t="str">
        <f aca="false">IF($A106="","",INDEX(_events!$I$2:$I$171,MATCH($A106,_events!$A$2:$A$171,0)))</f>
        <v/>
      </c>
      <c r="J106" s="96" t="str">
        <f aca="false">IF($A106="","",INDEX(_events!$J$2:$J$171,MATCH($A106,_events!$A$2:$A$171,0)))</f>
        <v/>
      </c>
      <c r="K106" s="96" t="str">
        <f aca="false">IF($A106="","",INDEX(_events!$K$2:$K$171,MATCH($A106,_events!$A$2:$A$171,0)))</f>
        <v/>
      </c>
    </row>
    <row r="107" customFormat="false" ht="15" hidden="false" customHeight="false" outlineLevel="0" collapsed="false">
      <c r="A107" s="94" t="str">
        <f aca="false">IFERROR(SMALL(_events!$A$2:$A$171,102),"")</f>
        <v/>
      </c>
      <c r="B107" s="95" t="str">
        <f aca="false">IF($A107="","",INT($A107))</f>
        <v/>
      </c>
      <c r="C107" s="96" t="str">
        <f aca="false">IF($A107="","",INDEX(_events!$C$2:$C$171,MATCH($A107,_events!$A$2:$A$171,0)))</f>
        <v/>
      </c>
      <c r="D107" s="97" t="str">
        <f aca="false">IF($A107="","",HYPERLINK("#'"&amp;INDEX(_events!$D$2:$D$171,MATCH($A107,_events!$A$2:$A$171,0))&amp;"'!A1",INDEX(_events!$D$2:$D$171,MATCH($A107,_events!$A$2:$A$171,0))))</f>
        <v/>
      </c>
      <c r="E107" s="96" t="str">
        <f aca="false">IF($A107="","",INDEX(_events!$E$2:$E$171,MATCH($A107,_events!$A$2:$A$171,0)))</f>
        <v/>
      </c>
      <c r="F107" s="96" t="str">
        <f aca="false">IF($A107="","",INDEX(_events!$F$2:$F$171,MATCH($A107,_events!$A$2:$A$171,0)))</f>
        <v/>
      </c>
      <c r="G107" s="96" t="str">
        <f aca="false">IF($A107="","",INDEX(_events!$G$2:$G$171,MATCH($A107,_events!$A$2:$A$171,0)))</f>
        <v/>
      </c>
      <c r="H107" s="96" t="str">
        <f aca="false">IF($A107="","",INDEX(_events!$H$2:$H$171,MATCH($A107,_events!$A$2:$A$171,0)))</f>
        <v/>
      </c>
      <c r="I107" s="96" t="str">
        <f aca="false">IF($A107="","",INDEX(_events!$I$2:$I$171,MATCH($A107,_events!$A$2:$A$171,0)))</f>
        <v/>
      </c>
      <c r="J107" s="96" t="str">
        <f aca="false">IF($A107="","",INDEX(_events!$J$2:$J$171,MATCH($A107,_events!$A$2:$A$171,0)))</f>
        <v/>
      </c>
      <c r="K107" s="96" t="str">
        <f aca="false">IF($A107="","",INDEX(_events!$K$2:$K$171,MATCH($A107,_events!$A$2:$A$171,0)))</f>
        <v/>
      </c>
    </row>
    <row r="108" customFormat="false" ht="15" hidden="false" customHeight="false" outlineLevel="0" collapsed="false">
      <c r="A108" s="94" t="str">
        <f aca="false">IFERROR(SMALL(_events!$A$2:$A$171,103),"")</f>
        <v/>
      </c>
      <c r="B108" s="95" t="str">
        <f aca="false">IF($A108="","",INT($A108))</f>
        <v/>
      </c>
      <c r="C108" s="96" t="str">
        <f aca="false">IF($A108="","",INDEX(_events!$C$2:$C$171,MATCH($A108,_events!$A$2:$A$171,0)))</f>
        <v/>
      </c>
      <c r="D108" s="97" t="str">
        <f aca="false">IF($A108="","",HYPERLINK("#'"&amp;INDEX(_events!$D$2:$D$171,MATCH($A108,_events!$A$2:$A$171,0))&amp;"'!A1",INDEX(_events!$D$2:$D$171,MATCH($A108,_events!$A$2:$A$171,0))))</f>
        <v/>
      </c>
      <c r="E108" s="96" t="str">
        <f aca="false">IF($A108="","",INDEX(_events!$E$2:$E$171,MATCH($A108,_events!$A$2:$A$171,0)))</f>
        <v/>
      </c>
      <c r="F108" s="96" t="str">
        <f aca="false">IF($A108="","",INDEX(_events!$F$2:$F$171,MATCH($A108,_events!$A$2:$A$171,0)))</f>
        <v/>
      </c>
      <c r="G108" s="96" t="str">
        <f aca="false">IF($A108="","",INDEX(_events!$G$2:$G$171,MATCH($A108,_events!$A$2:$A$171,0)))</f>
        <v/>
      </c>
      <c r="H108" s="96" t="str">
        <f aca="false">IF($A108="","",INDEX(_events!$H$2:$H$171,MATCH($A108,_events!$A$2:$A$171,0)))</f>
        <v/>
      </c>
      <c r="I108" s="96" t="str">
        <f aca="false">IF($A108="","",INDEX(_events!$I$2:$I$171,MATCH($A108,_events!$A$2:$A$171,0)))</f>
        <v/>
      </c>
      <c r="J108" s="96" t="str">
        <f aca="false">IF($A108="","",INDEX(_events!$J$2:$J$171,MATCH($A108,_events!$A$2:$A$171,0)))</f>
        <v/>
      </c>
      <c r="K108" s="96" t="str">
        <f aca="false">IF($A108="","",INDEX(_events!$K$2:$K$171,MATCH($A108,_events!$A$2:$A$171,0)))</f>
        <v/>
      </c>
    </row>
    <row r="109" customFormat="false" ht="15" hidden="false" customHeight="false" outlineLevel="0" collapsed="false">
      <c r="A109" s="94" t="str">
        <f aca="false">IFERROR(SMALL(_events!$A$2:$A$171,104),"")</f>
        <v/>
      </c>
      <c r="B109" s="95" t="str">
        <f aca="false">IF($A109="","",INT($A109))</f>
        <v/>
      </c>
      <c r="C109" s="96" t="str">
        <f aca="false">IF($A109="","",INDEX(_events!$C$2:$C$171,MATCH($A109,_events!$A$2:$A$171,0)))</f>
        <v/>
      </c>
      <c r="D109" s="97" t="str">
        <f aca="false">IF($A109="","",HYPERLINK("#'"&amp;INDEX(_events!$D$2:$D$171,MATCH($A109,_events!$A$2:$A$171,0))&amp;"'!A1",INDEX(_events!$D$2:$D$171,MATCH($A109,_events!$A$2:$A$171,0))))</f>
        <v/>
      </c>
      <c r="E109" s="96" t="str">
        <f aca="false">IF($A109="","",INDEX(_events!$E$2:$E$171,MATCH($A109,_events!$A$2:$A$171,0)))</f>
        <v/>
      </c>
      <c r="F109" s="96" t="str">
        <f aca="false">IF($A109="","",INDEX(_events!$F$2:$F$171,MATCH($A109,_events!$A$2:$A$171,0)))</f>
        <v/>
      </c>
      <c r="G109" s="96" t="str">
        <f aca="false">IF($A109="","",INDEX(_events!$G$2:$G$171,MATCH($A109,_events!$A$2:$A$171,0)))</f>
        <v/>
      </c>
      <c r="H109" s="96" t="str">
        <f aca="false">IF($A109="","",INDEX(_events!$H$2:$H$171,MATCH($A109,_events!$A$2:$A$171,0)))</f>
        <v/>
      </c>
      <c r="I109" s="96" t="str">
        <f aca="false">IF($A109="","",INDEX(_events!$I$2:$I$171,MATCH($A109,_events!$A$2:$A$171,0)))</f>
        <v/>
      </c>
      <c r="J109" s="96" t="str">
        <f aca="false">IF($A109="","",INDEX(_events!$J$2:$J$171,MATCH($A109,_events!$A$2:$A$171,0)))</f>
        <v/>
      </c>
      <c r="K109" s="96" t="str">
        <f aca="false">IF($A109="","",INDEX(_events!$K$2:$K$171,MATCH($A109,_events!$A$2:$A$171,0)))</f>
        <v/>
      </c>
    </row>
    <row r="110" customFormat="false" ht="15" hidden="false" customHeight="false" outlineLevel="0" collapsed="false">
      <c r="A110" s="94" t="str">
        <f aca="false">IFERROR(SMALL(_events!$A$2:$A$171,105),"")</f>
        <v/>
      </c>
      <c r="B110" s="95" t="str">
        <f aca="false">IF($A110="","",INT($A110))</f>
        <v/>
      </c>
      <c r="C110" s="96" t="str">
        <f aca="false">IF($A110="","",INDEX(_events!$C$2:$C$171,MATCH($A110,_events!$A$2:$A$171,0)))</f>
        <v/>
      </c>
      <c r="D110" s="97" t="str">
        <f aca="false">IF($A110="","",HYPERLINK("#'"&amp;INDEX(_events!$D$2:$D$171,MATCH($A110,_events!$A$2:$A$171,0))&amp;"'!A1",INDEX(_events!$D$2:$D$171,MATCH($A110,_events!$A$2:$A$171,0))))</f>
        <v/>
      </c>
      <c r="E110" s="96" t="str">
        <f aca="false">IF($A110="","",INDEX(_events!$E$2:$E$171,MATCH($A110,_events!$A$2:$A$171,0)))</f>
        <v/>
      </c>
      <c r="F110" s="96" t="str">
        <f aca="false">IF($A110="","",INDEX(_events!$F$2:$F$171,MATCH($A110,_events!$A$2:$A$171,0)))</f>
        <v/>
      </c>
      <c r="G110" s="96" t="str">
        <f aca="false">IF($A110="","",INDEX(_events!$G$2:$G$171,MATCH($A110,_events!$A$2:$A$171,0)))</f>
        <v/>
      </c>
      <c r="H110" s="96" t="str">
        <f aca="false">IF($A110="","",INDEX(_events!$H$2:$H$171,MATCH($A110,_events!$A$2:$A$171,0)))</f>
        <v/>
      </c>
      <c r="I110" s="96" t="str">
        <f aca="false">IF($A110="","",INDEX(_events!$I$2:$I$171,MATCH($A110,_events!$A$2:$A$171,0)))</f>
        <v/>
      </c>
      <c r="J110" s="96" t="str">
        <f aca="false">IF($A110="","",INDEX(_events!$J$2:$J$171,MATCH($A110,_events!$A$2:$A$171,0)))</f>
        <v/>
      </c>
      <c r="K110" s="96" t="str">
        <f aca="false">IF($A110="","",INDEX(_events!$K$2:$K$171,MATCH($A110,_events!$A$2:$A$171,0)))</f>
        <v/>
      </c>
    </row>
    <row r="111" customFormat="false" ht="15" hidden="false" customHeight="false" outlineLevel="0" collapsed="false">
      <c r="A111" s="94" t="str">
        <f aca="false">IFERROR(SMALL(_events!$A$2:$A$171,106),"")</f>
        <v/>
      </c>
      <c r="B111" s="95" t="str">
        <f aca="false">IF($A111="","",INT($A111))</f>
        <v/>
      </c>
      <c r="C111" s="96" t="str">
        <f aca="false">IF($A111="","",INDEX(_events!$C$2:$C$171,MATCH($A111,_events!$A$2:$A$171,0)))</f>
        <v/>
      </c>
      <c r="D111" s="97" t="str">
        <f aca="false">IF($A111="","",HYPERLINK("#'"&amp;INDEX(_events!$D$2:$D$171,MATCH($A111,_events!$A$2:$A$171,0))&amp;"'!A1",INDEX(_events!$D$2:$D$171,MATCH($A111,_events!$A$2:$A$171,0))))</f>
        <v/>
      </c>
      <c r="E111" s="96" t="str">
        <f aca="false">IF($A111="","",INDEX(_events!$E$2:$E$171,MATCH($A111,_events!$A$2:$A$171,0)))</f>
        <v/>
      </c>
      <c r="F111" s="96" t="str">
        <f aca="false">IF($A111="","",INDEX(_events!$F$2:$F$171,MATCH($A111,_events!$A$2:$A$171,0)))</f>
        <v/>
      </c>
      <c r="G111" s="96" t="str">
        <f aca="false">IF($A111="","",INDEX(_events!$G$2:$G$171,MATCH($A111,_events!$A$2:$A$171,0)))</f>
        <v/>
      </c>
      <c r="H111" s="96" t="str">
        <f aca="false">IF($A111="","",INDEX(_events!$H$2:$H$171,MATCH($A111,_events!$A$2:$A$171,0)))</f>
        <v/>
      </c>
      <c r="I111" s="96" t="str">
        <f aca="false">IF($A111="","",INDEX(_events!$I$2:$I$171,MATCH($A111,_events!$A$2:$A$171,0)))</f>
        <v/>
      </c>
      <c r="J111" s="96" t="str">
        <f aca="false">IF($A111="","",INDEX(_events!$J$2:$J$171,MATCH($A111,_events!$A$2:$A$171,0)))</f>
        <v/>
      </c>
      <c r="K111" s="96" t="str">
        <f aca="false">IF($A111="","",INDEX(_events!$K$2:$K$171,MATCH($A111,_events!$A$2:$A$171,0)))</f>
        <v/>
      </c>
    </row>
    <row r="112" customFormat="false" ht="15" hidden="false" customHeight="false" outlineLevel="0" collapsed="false">
      <c r="A112" s="94" t="str">
        <f aca="false">IFERROR(SMALL(_events!$A$2:$A$171,107),"")</f>
        <v/>
      </c>
      <c r="B112" s="95" t="str">
        <f aca="false">IF($A112="","",INT($A112))</f>
        <v/>
      </c>
      <c r="C112" s="96" t="str">
        <f aca="false">IF($A112="","",INDEX(_events!$C$2:$C$171,MATCH($A112,_events!$A$2:$A$171,0)))</f>
        <v/>
      </c>
      <c r="D112" s="97" t="str">
        <f aca="false">IF($A112="","",HYPERLINK("#'"&amp;INDEX(_events!$D$2:$D$171,MATCH($A112,_events!$A$2:$A$171,0))&amp;"'!A1",INDEX(_events!$D$2:$D$171,MATCH($A112,_events!$A$2:$A$171,0))))</f>
        <v/>
      </c>
      <c r="E112" s="96" t="str">
        <f aca="false">IF($A112="","",INDEX(_events!$E$2:$E$171,MATCH($A112,_events!$A$2:$A$171,0)))</f>
        <v/>
      </c>
      <c r="F112" s="96" t="str">
        <f aca="false">IF($A112="","",INDEX(_events!$F$2:$F$171,MATCH($A112,_events!$A$2:$A$171,0)))</f>
        <v/>
      </c>
      <c r="G112" s="96" t="str">
        <f aca="false">IF($A112="","",INDEX(_events!$G$2:$G$171,MATCH($A112,_events!$A$2:$A$171,0)))</f>
        <v/>
      </c>
      <c r="H112" s="96" t="str">
        <f aca="false">IF($A112="","",INDEX(_events!$H$2:$H$171,MATCH($A112,_events!$A$2:$A$171,0)))</f>
        <v/>
      </c>
      <c r="I112" s="96" t="str">
        <f aca="false">IF($A112="","",INDEX(_events!$I$2:$I$171,MATCH($A112,_events!$A$2:$A$171,0)))</f>
        <v/>
      </c>
      <c r="J112" s="96" t="str">
        <f aca="false">IF($A112="","",INDEX(_events!$J$2:$J$171,MATCH($A112,_events!$A$2:$A$171,0)))</f>
        <v/>
      </c>
      <c r="K112" s="96" t="str">
        <f aca="false">IF($A112="","",INDEX(_events!$K$2:$K$171,MATCH($A112,_events!$A$2:$A$171,0)))</f>
        <v/>
      </c>
    </row>
    <row r="113" customFormat="false" ht="15" hidden="false" customHeight="false" outlineLevel="0" collapsed="false">
      <c r="A113" s="94" t="str">
        <f aca="false">IFERROR(SMALL(_events!$A$2:$A$171,108),"")</f>
        <v/>
      </c>
      <c r="B113" s="95" t="str">
        <f aca="false">IF($A113="","",INT($A113))</f>
        <v/>
      </c>
      <c r="C113" s="96" t="str">
        <f aca="false">IF($A113="","",INDEX(_events!$C$2:$C$171,MATCH($A113,_events!$A$2:$A$171,0)))</f>
        <v/>
      </c>
      <c r="D113" s="97" t="str">
        <f aca="false">IF($A113="","",HYPERLINK("#'"&amp;INDEX(_events!$D$2:$D$171,MATCH($A113,_events!$A$2:$A$171,0))&amp;"'!A1",INDEX(_events!$D$2:$D$171,MATCH($A113,_events!$A$2:$A$171,0))))</f>
        <v/>
      </c>
      <c r="E113" s="96" t="str">
        <f aca="false">IF($A113="","",INDEX(_events!$E$2:$E$171,MATCH($A113,_events!$A$2:$A$171,0)))</f>
        <v/>
      </c>
      <c r="F113" s="96" t="str">
        <f aca="false">IF($A113="","",INDEX(_events!$F$2:$F$171,MATCH($A113,_events!$A$2:$A$171,0)))</f>
        <v/>
      </c>
      <c r="G113" s="96" t="str">
        <f aca="false">IF($A113="","",INDEX(_events!$G$2:$G$171,MATCH($A113,_events!$A$2:$A$171,0)))</f>
        <v/>
      </c>
      <c r="H113" s="96" t="str">
        <f aca="false">IF($A113="","",INDEX(_events!$H$2:$H$171,MATCH($A113,_events!$A$2:$A$171,0)))</f>
        <v/>
      </c>
      <c r="I113" s="96" t="str">
        <f aca="false">IF($A113="","",INDEX(_events!$I$2:$I$171,MATCH($A113,_events!$A$2:$A$171,0)))</f>
        <v/>
      </c>
      <c r="J113" s="96" t="str">
        <f aca="false">IF($A113="","",INDEX(_events!$J$2:$J$171,MATCH($A113,_events!$A$2:$A$171,0)))</f>
        <v/>
      </c>
      <c r="K113" s="96" t="str">
        <f aca="false">IF($A113="","",INDEX(_events!$K$2:$K$171,MATCH($A113,_events!$A$2:$A$171,0)))</f>
        <v/>
      </c>
    </row>
    <row r="114" customFormat="false" ht="15" hidden="false" customHeight="false" outlineLevel="0" collapsed="false">
      <c r="A114" s="94" t="str">
        <f aca="false">IFERROR(SMALL(_events!$A$2:$A$171,109),"")</f>
        <v/>
      </c>
      <c r="B114" s="95" t="str">
        <f aca="false">IF($A114="","",INT($A114))</f>
        <v/>
      </c>
      <c r="C114" s="96" t="str">
        <f aca="false">IF($A114="","",INDEX(_events!$C$2:$C$171,MATCH($A114,_events!$A$2:$A$171,0)))</f>
        <v/>
      </c>
      <c r="D114" s="97" t="str">
        <f aca="false">IF($A114="","",HYPERLINK("#'"&amp;INDEX(_events!$D$2:$D$171,MATCH($A114,_events!$A$2:$A$171,0))&amp;"'!A1",INDEX(_events!$D$2:$D$171,MATCH($A114,_events!$A$2:$A$171,0))))</f>
        <v/>
      </c>
      <c r="E114" s="96" t="str">
        <f aca="false">IF($A114="","",INDEX(_events!$E$2:$E$171,MATCH($A114,_events!$A$2:$A$171,0)))</f>
        <v/>
      </c>
      <c r="F114" s="96" t="str">
        <f aca="false">IF($A114="","",INDEX(_events!$F$2:$F$171,MATCH($A114,_events!$A$2:$A$171,0)))</f>
        <v/>
      </c>
      <c r="G114" s="96" t="str">
        <f aca="false">IF($A114="","",INDEX(_events!$G$2:$G$171,MATCH($A114,_events!$A$2:$A$171,0)))</f>
        <v/>
      </c>
      <c r="H114" s="96" t="str">
        <f aca="false">IF($A114="","",INDEX(_events!$H$2:$H$171,MATCH($A114,_events!$A$2:$A$171,0)))</f>
        <v/>
      </c>
      <c r="I114" s="96" t="str">
        <f aca="false">IF($A114="","",INDEX(_events!$I$2:$I$171,MATCH($A114,_events!$A$2:$A$171,0)))</f>
        <v/>
      </c>
      <c r="J114" s="96" t="str">
        <f aca="false">IF($A114="","",INDEX(_events!$J$2:$J$171,MATCH($A114,_events!$A$2:$A$171,0)))</f>
        <v/>
      </c>
      <c r="K114" s="96" t="str">
        <f aca="false">IF($A114="","",INDEX(_events!$K$2:$K$171,MATCH($A114,_events!$A$2:$A$171,0)))</f>
        <v/>
      </c>
    </row>
    <row r="115" customFormat="false" ht="15" hidden="false" customHeight="false" outlineLevel="0" collapsed="false">
      <c r="A115" s="94" t="str">
        <f aca="false">IFERROR(SMALL(_events!$A$2:$A$171,110),"")</f>
        <v/>
      </c>
      <c r="B115" s="95" t="str">
        <f aca="false">IF($A115="","",INT($A115))</f>
        <v/>
      </c>
      <c r="C115" s="96" t="str">
        <f aca="false">IF($A115="","",INDEX(_events!$C$2:$C$171,MATCH($A115,_events!$A$2:$A$171,0)))</f>
        <v/>
      </c>
      <c r="D115" s="97" t="str">
        <f aca="false">IF($A115="","",HYPERLINK("#'"&amp;INDEX(_events!$D$2:$D$171,MATCH($A115,_events!$A$2:$A$171,0))&amp;"'!A1",INDEX(_events!$D$2:$D$171,MATCH($A115,_events!$A$2:$A$171,0))))</f>
        <v/>
      </c>
      <c r="E115" s="96" t="str">
        <f aca="false">IF($A115="","",INDEX(_events!$E$2:$E$171,MATCH($A115,_events!$A$2:$A$171,0)))</f>
        <v/>
      </c>
      <c r="F115" s="96" t="str">
        <f aca="false">IF($A115="","",INDEX(_events!$F$2:$F$171,MATCH($A115,_events!$A$2:$A$171,0)))</f>
        <v/>
      </c>
      <c r="G115" s="96" t="str">
        <f aca="false">IF($A115="","",INDEX(_events!$G$2:$G$171,MATCH($A115,_events!$A$2:$A$171,0)))</f>
        <v/>
      </c>
      <c r="H115" s="96" t="str">
        <f aca="false">IF($A115="","",INDEX(_events!$H$2:$H$171,MATCH($A115,_events!$A$2:$A$171,0)))</f>
        <v/>
      </c>
      <c r="I115" s="96" t="str">
        <f aca="false">IF($A115="","",INDEX(_events!$I$2:$I$171,MATCH($A115,_events!$A$2:$A$171,0)))</f>
        <v/>
      </c>
      <c r="J115" s="96" t="str">
        <f aca="false">IF($A115="","",INDEX(_events!$J$2:$J$171,MATCH($A115,_events!$A$2:$A$171,0)))</f>
        <v/>
      </c>
      <c r="K115" s="96" t="str">
        <f aca="false">IF($A115="","",INDEX(_events!$K$2:$K$171,MATCH($A115,_events!$A$2:$A$171,0)))</f>
        <v/>
      </c>
    </row>
    <row r="116" customFormat="false" ht="15" hidden="false" customHeight="false" outlineLevel="0" collapsed="false">
      <c r="A116" s="94" t="str">
        <f aca="false">IFERROR(SMALL(_events!$A$2:$A$171,111),"")</f>
        <v/>
      </c>
      <c r="B116" s="95" t="str">
        <f aca="false">IF($A116="","",INT($A116))</f>
        <v/>
      </c>
      <c r="C116" s="96" t="str">
        <f aca="false">IF($A116="","",INDEX(_events!$C$2:$C$171,MATCH($A116,_events!$A$2:$A$171,0)))</f>
        <v/>
      </c>
      <c r="D116" s="97" t="str">
        <f aca="false">IF($A116="","",HYPERLINK("#'"&amp;INDEX(_events!$D$2:$D$171,MATCH($A116,_events!$A$2:$A$171,0))&amp;"'!A1",INDEX(_events!$D$2:$D$171,MATCH($A116,_events!$A$2:$A$171,0))))</f>
        <v/>
      </c>
      <c r="E116" s="96" t="str">
        <f aca="false">IF($A116="","",INDEX(_events!$E$2:$E$171,MATCH($A116,_events!$A$2:$A$171,0)))</f>
        <v/>
      </c>
      <c r="F116" s="96" t="str">
        <f aca="false">IF($A116="","",INDEX(_events!$F$2:$F$171,MATCH($A116,_events!$A$2:$A$171,0)))</f>
        <v/>
      </c>
      <c r="G116" s="96" t="str">
        <f aca="false">IF($A116="","",INDEX(_events!$G$2:$G$171,MATCH($A116,_events!$A$2:$A$171,0)))</f>
        <v/>
      </c>
      <c r="H116" s="96" t="str">
        <f aca="false">IF($A116="","",INDEX(_events!$H$2:$H$171,MATCH($A116,_events!$A$2:$A$171,0)))</f>
        <v/>
      </c>
      <c r="I116" s="96" t="str">
        <f aca="false">IF($A116="","",INDEX(_events!$I$2:$I$171,MATCH($A116,_events!$A$2:$A$171,0)))</f>
        <v/>
      </c>
      <c r="J116" s="96" t="str">
        <f aca="false">IF($A116="","",INDEX(_events!$J$2:$J$171,MATCH($A116,_events!$A$2:$A$171,0)))</f>
        <v/>
      </c>
      <c r="K116" s="96" t="str">
        <f aca="false">IF($A116="","",INDEX(_events!$K$2:$K$171,MATCH($A116,_events!$A$2:$A$171,0)))</f>
        <v/>
      </c>
    </row>
    <row r="117" customFormat="false" ht="15" hidden="false" customHeight="false" outlineLevel="0" collapsed="false">
      <c r="A117" s="94" t="str">
        <f aca="false">IFERROR(SMALL(_events!$A$2:$A$171,112),"")</f>
        <v/>
      </c>
      <c r="B117" s="95" t="str">
        <f aca="false">IF($A117="","",INT($A117))</f>
        <v/>
      </c>
      <c r="C117" s="96" t="str">
        <f aca="false">IF($A117="","",INDEX(_events!$C$2:$C$171,MATCH($A117,_events!$A$2:$A$171,0)))</f>
        <v/>
      </c>
      <c r="D117" s="97" t="str">
        <f aca="false">IF($A117="","",HYPERLINK("#'"&amp;INDEX(_events!$D$2:$D$171,MATCH($A117,_events!$A$2:$A$171,0))&amp;"'!A1",INDEX(_events!$D$2:$D$171,MATCH($A117,_events!$A$2:$A$171,0))))</f>
        <v/>
      </c>
      <c r="E117" s="96" t="str">
        <f aca="false">IF($A117="","",INDEX(_events!$E$2:$E$171,MATCH($A117,_events!$A$2:$A$171,0)))</f>
        <v/>
      </c>
      <c r="F117" s="96" t="str">
        <f aca="false">IF($A117="","",INDEX(_events!$F$2:$F$171,MATCH($A117,_events!$A$2:$A$171,0)))</f>
        <v/>
      </c>
      <c r="G117" s="96" t="str">
        <f aca="false">IF($A117="","",INDEX(_events!$G$2:$G$171,MATCH($A117,_events!$A$2:$A$171,0)))</f>
        <v/>
      </c>
      <c r="H117" s="96" t="str">
        <f aca="false">IF($A117="","",INDEX(_events!$H$2:$H$171,MATCH($A117,_events!$A$2:$A$171,0)))</f>
        <v/>
      </c>
      <c r="I117" s="96" t="str">
        <f aca="false">IF($A117="","",INDEX(_events!$I$2:$I$171,MATCH($A117,_events!$A$2:$A$171,0)))</f>
        <v/>
      </c>
      <c r="J117" s="96" t="str">
        <f aca="false">IF($A117="","",INDEX(_events!$J$2:$J$171,MATCH($A117,_events!$A$2:$A$171,0)))</f>
        <v/>
      </c>
      <c r="K117" s="96" t="str">
        <f aca="false">IF($A117="","",INDEX(_events!$K$2:$K$171,MATCH($A117,_events!$A$2:$A$171,0)))</f>
        <v/>
      </c>
    </row>
    <row r="118" customFormat="false" ht="15" hidden="false" customHeight="false" outlineLevel="0" collapsed="false">
      <c r="A118" s="94" t="str">
        <f aca="false">IFERROR(SMALL(_events!$A$2:$A$171,113),"")</f>
        <v/>
      </c>
      <c r="B118" s="95" t="str">
        <f aca="false">IF($A118="","",INT($A118))</f>
        <v/>
      </c>
      <c r="C118" s="96" t="str">
        <f aca="false">IF($A118="","",INDEX(_events!$C$2:$C$171,MATCH($A118,_events!$A$2:$A$171,0)))</f>
        <v/>
      </c>
      <c r="D118" s="97" t="str">
        <f aca="false">IF($A118="","",HYPERLINK("#'"&amp;INDEX(_events!$D$2:$D$171,MATCH($A118,_events!$A$2:$A$171,0))&amp;"'!A1",INDEX(_events!$D$2:$D$171,MATCH($A118,_events!$A$2:$A$171,0))))</f>
        <v/>
      </c>
      <c r="E118" s="96" t="str">
        <f aca="false">IF($A118="","",INDEX(_events!$E$2:$E$171,MATCH($A118,_events!$A$2:$A$171,0)))</f>
        <v/>
      </c>
      <c r="F118" s="96" t="str">
        <f aca="false">IF($A118="","",INDEX(_events!$F$2:$F$171,MATCH($A118,_events!$A$2:$A$171,0)))</f>
        <v/>
      </c>
      <c r="G118" s="96" t="str">
        <f aca="false">IF($A118="","",INDEX(_events!$G$2:$G$171,MATCH($A118,_events!$A$2:$A$171,0)))</f>
        <v/>
      </c>
      <c r="H118" s="96" t="str">
        <f aca="false">IF($A118="","",INDEX(_events!$H$2:$H$171,MATCH($A118,_events!$A$2:$A$171,0)))</f>
        <v/>
      </c>
      <c r="I118" s="96" t="str">
        <f aca="false">IF($A118="","",INDEX(_events!$I$2:$I$171,MATCH($A118,_events!$A$2:$A$171,0)))</f>
        <v/>
      </c>
      <c r="J118" s="96" t="str">
        <f aca="false">IF($A118="","",INDEX(_events!$J$2:$J$171,MATCH($A118,_events!$A$2:$A$171,0)))</f>
        <v/>
      </c>
      <c r="K118" s="96" t="str">
        <f aca="false">IF($A118="","",INDEX(_events!$K$2:$K$171,MATCH($A118,_events!$A$2:$A$171,0)))</f>
        <v/>
      </c>
    </row>
    <row r="119" customFormat="false" ht="15" hidden="false" customHeight="false" outlineLevel="0" collapsed="false">
      <c r="A119" s="94" t="str">
        <f aca="false">IFERROR(SMALL(_events!$A$2:$A$171,114),"")</f>
        <v/>
      </c>
      <c r="B119" s="95" t="str">
        <f aca="false">IF($A119="","",INT($A119))</f>
        <v/>
      </c>
      <c r="C119" s="96" t="str">
        <f aca="false">IF($A119="","",INDEX(_events!$C$2:$C$171,MATCH($A119,_events!$A$2:$A$171,0)))</f>
        <v/>
      </c>
      <c r="D119" s="97" t="str">
        <f aca="false">IF($A119="","",HYPERLINK("#'"&amp;INDEX(_events!$D$2:$D$171,MATCH($A119,_events!$A$2:$A$171,0))&amp;"'!A1",INDEX(_events!$D$2:$D$171,MATCH($A119,_events!$A$2:$A$171,0))))</f>
        <v/>
      </c>
      <c r="E119" s="96" t="str">
        <f aca="false">IF($A119="","",INDEX(_events!$E$2:$E$171,MATCH($A119,_events!$A$2:$A$171,0)))</f>
        <v/>
      </c>
      <c r="F119" s="96" t="str">
        <f aca="false">IF($A119="","",INDEX(_events!$F$2:$F$171,MATCH($A119,_events!$A$2:$A$171,0)))</f>
        <v/>
      </c>
      <c r="G119" s="96" t="str">
        <f aca="false">IF($A119="","",INDEX(_events!$G$2:$G$171,MATCH($A119,_events!$A$2:$A$171,0)))</f>
        <v/>
      </c>
      <c r="H119" s="96" t="str">
        <f aca="false">IF($A119="","",INDEX(_events!$H$2:$H$171,MATCH($A119,_events!$A$2:$A$171,0)))</f>
        <v/>
      </c>
      <c r="I119" s="96" t="str">
        <f aca="false">IF($A119="","",INDEX(_events!$I$2:$I$171,MATCH($A119,_events!$A$2:$A$171,0)))</f>
        <v/>
      </c>
      <c r="J119" s="96" t="str">
        <f aca="false">IF($A119="","",INDEX(_events!$J$2:$J$171,MATCH($A119,_events!$A$2:$A$171,0)))</f>
        <v/>
      </c>
      <c r="K119" s="96" t="str">
        <f aca="false">IF($A119="","",INDEX(_events!$K$2:$K$171,MATCH($A119,_events!$A$2:$A$171,0)))</f>
        <v/>
      </c>
    </row>
    <row r="120" customFormat="false" ht="15" hidden="false" customHeight="false" outlineLevel="0" collapsed="false">
      <c r="A120" s="94" t="str">
        <f aca="false">IFERROR(SMALL(_events!$A$2:$A$171,115),"")</f>
        <v/>
      </c>
      <c r="B120" s="95" t="str">
        <f aca="false">IF($A120="","",INT($A120))</f>
        <v/>
      </c>
      <c r="C120" s="96" t="str">
        <f aca="false">IF($A120="","",INDEX(_events!$C$2:$C$171,MATCH($A120,_events!$A$2:$A$171,0)))</f>
        <v/>
      </c>
      <c r="D120" s="97" t="str">
        <f aca="false">IF($A120="","",HYPERLINK("#'"&amp;INDEX(_events!$D$2:$D$171,MATCH($A120,_events!$A$2:$A$171,0))&amp;"'!A1",INDEX(_events!$D$2:$D$171,MATCH($A120,_events!$A$2:$A$171,0))))</f>
        <v/>
      </c>
      <c r="E120" s="96" t="str">
        <f aca="false">IF($A120="","",INDEX(_events!$E$2:$E$171,MATCH($A120,_events!$A$2:$A$171,0)))</f>
        <v/>
      </c>
      <c r="F120" s="96" t="str">
        <f aca="false">IF($A120="","",INDEX(_events!$F$2:$F$171,MATCH($A120,_events!$A$2:$A$171,0)))</f>
        <v/>
      </c>
      <c r="G120" s="96" t="str">
        <f aca="false">IF($A120="","",INDEX(_events!$G$2:$G$171,MATCH($A120,_events!$A$2:$A$171,0)))</f>
        <v/>
      </c>
      <c r="H120" s="96" t="str">
        <f aca="false">IF($A120="","",INDEX(_events!$H$2:$H$171,MATCH($A120,_events!$A$2:$A$171,0)))</f>
        <v/>
      </c>
      <c r="I120" s="96" t="str">
        <f aca="false">IF($A120="","",INDEX(_events!$I$2:$I$171,MATCH($A120,_events!$A$2:$A$171,0)))</f>
        <v/>
      </c>
      <c r="J120" s="96" t="str">
        <f aca="false">IF($A120="","",INDEX(_events!$J$2:$J$171,MATCH($A120,_events!$A$2:$A$171,0)))</f>
        <v/>
      </c>
      <c r="K120" s="96" t="str">
        <f aca="false">IF($A120="","",INDEX(_events!$K$2:$K$171,MATCH($A120,_events!$A$2:$A$171,0)))</f>
        <v/>
      </c>
    </row>
    <row r="121" customFormat="false" ht="15" hidden="false" customHeight="false" outlineLevel="0" collapsed="false">
      <c r="A121" s="94" t="str">
        <f aca="false">IFERROR(SMALL(_events!$A$2:$A$171,116),"")</f>
        <v/>
      </c>
      <c r="B121" s="95" t="str">
        <f aca="false">IF($A121="","",INT($A121))</f>
        <v/>
      </c>
      <c r="C121" s="96" t="str">
        <f aca="false">IF($A121="","",INDEX(_events!$C$2:$C$171,MATCH($A121,_events!$A$2:$A$171,0)))</f>
        <v/>
      </c>
      <c r="D121" s="97" t="str">
        <f aca="false">IF($A121="","",HYPERLINK("#'"&amp;INDEX(_events!$D$2:$D$171,MATCH($A121,_events!$A$2:$A$171,0))&amp;"'!A1",INDEX(_events!$D$2:$D$171,MATCH($A121,_events!$A$2:$A$171,0))))</f>
        <v/>
      </c>
      <c r="E121" s="96" t="str">
        <f aca="false">IF($A121="","",INDEX(_events!$E$2:$E$171,MATCH($A121,_events!$A$2:$A$171,0)))</f>
        <v/>
      </c>
      <c r="F121" s="96" t="str">
        <f aca="false">IF($A121="","",INDEX(_events!$F$2:$F$171,MATCH($A121,_events!$A$2:$A$171,0)))</f>
        <v/>
      </c>
      <c r="G121" s="96" t="str">
        <f aca="false">IF($A121="","",INDEX(_events!$G$2:$G$171,MATCH($A121,_events!$A$2:$A$171,0)))</f>
        <v/>
      </c>
      <c r="H121" s="96" t="str">
        <f aca="false">IF($A121="","",INDEX(_events!$H$2:$H$171,MATCH($A121,_events!$A$2:$A$171,0)))</f>
        <v/>
      </c>
      <c r="I121" s="96" t="str">
        <f aca="false">IF($A121="","",INDEX(_events!$I$2:$I$171,MATCH($A121,_events!$A$2:$A$171,0)))</f>
        <v/>
      </c>
      <c r="J121" s="96" t="str">
        <f aca="false">IF($A121="","",INDEX(_events!$J$2:$J$171,MATCH($A121,_events!$A$2:$A$171,0)))</f>
        <v/>
      </c>
      <c r="K121" s="96" t="str">
        <f aca="false">IF($A121="","",INDEX(_events!$K$2:$K$171,MATCH($A121,_events!$A$2:$A$171,0)))</f>
        <v/>
      </c>
    </row>
    <row r="122" customFormat="false" ht="15" hidden="false" customHeight="false" outlineLevel="0" collapsed="false">
      <c r="A122" s="94" t="str">
        <f aca="false">IFERROR(SMALL(_events!$A$2:$A$171,117),"")</f>
        <v/>
      </c>
      <c r="B122" s="95" t="str">
        <f aca="false">IF($A122="","",INT($A122))</f>
        <v/>
      </c>
      <c r="C122" s="96" t="str">
        <f aca="false">IF($A122="","",INDEX(_events!$C$2:$C$171,MATCH($A122,_events!$A$2:$A$171,0)))</f>
        <v/>
      </c>
      <c r="D122" s="97" t="str">
        <f aca="false">IF($A122="","",HYPERLINK("#'"&amp;INDEX(_events!$D$2:$D$171,MATCH($A122,_events!$A$2:$A$171,0))&amp;"'!A1",INDEX(_events!$D$2:$D$171,MATCH($A122,_events!$A$2:$A$171,0))))</f>
        <v/>
      </c>
      <c r="E122" s="96" t="str">
        <f aca="false">IF($A122="","",INDEX(_events!$E$2:$E$171,MATCH($A122,_events!$A$2:$A$171,0)))</f>
        <v/>
      </c>
      <c r="F122" s="96" t="str">
        <f aca="false">IF($A122="","",INDEX(_events!$F$2:$F$171,MATCH($A122,_events!$A$2:$A$171,0)))</f>
        <v/>
      </c>
      <c r="G122" s="96" t="str">
        <f aca="false">IF($A122="","",INDEX(_events!$G$2:$G$171,MATCH($A122,_events!$A$2:$A$171,0)))</f>
        <v/>
      </c>
      <c r="H122" s="96" t="str">
        <f aca="false">IF($A122="","",INDEX(_events!$H$2:$H$171,MATCH($A122,_events!$A$2:$A$171,0)))</f>
        <v/>
      </c>
      <c r="I122" s="96" t="str">
        <f aca="false">IF($A122="","",INDEX(_events!$I$2:$I$171,MATCH($A122,_events!$A$2:$A$171,0)))</f>
        <v/>
      </c>
      <c r="J122" s="96" t="str">
        <f aca="false">IF($A122="","",INDEX(_events!$J$2:$J$171,MATCH($A122,_events!$A$2:$A$171,0)))</f>
        <v/>
      </c>
      <c r="K122" s="96" t="str">
        <f aca="false">IF($A122="","",INDEX(_events!$K$2:$K$171,MATCH($A122,_events!$A$2:$A$171,0)))</f>
        <v/>
      </c>
    </row>
    <row r="123" customFormat="false" ht="15" hidden="false" customHeight="false" outlineLevel="0" collapsed="false">
      <c r="A123" s="94" t="str">
        <f aca="false">IFERROR(SMALL(_events!$A$2:$A$171,118),"")</f>
        <v/>
      </c>
      <c r="B123" s="95" t="str">
        <f aca="false">IF($A123="","",INT($A123))</f>
        <v/>
      </c>
      <c r="C123" s="96" t="str">
        <f aca="false">IF($A123="","",INDEX(_events!$C$2:$C$171,MATCH($A123,_events!$A$2:$A$171,0)))</f>
        <v/>
      </c>
      <c r="D123" s="97" t="str">
        <f aca="false">IF($A123="","",HYPERLINK("#'"&amp;INDEX(_events!$D$2:$D$171,MATCH($A123,_events!$A$2:$A$171,0))&amp;"'!A1",INDEX(_events!$D$2:$D$171,MATCH($A123,_events!$A$2:$A$171,0))))</f>
        <v/>
      </c>
      <c r="E123" s="96" t="str">
        <f aca="false">IF($A123="","",INDEX(_events!$E$2:$E$171,MATCH($A123,_events!$A$2:$A$171,0)))</f>
        <v/>
      </c>
      <c r="F123" s="96" t="str">
        <f aca="false">IF($A123="","",INDEX(_events!$F$2:$F$171,MATCH($A123,_events!$A$2:$A$171,0)))</f>
        <v/>
      </c>
      <c r="G123" s="96" t="str">
        <f aca="false">IF($A123="","",INDEX(_events!$G$2:$G$171,MATCH($A123,_events!$A$2:$A$171,0)))</f>
        <v/>
      </c>
      <c r="H123" s="96" t="str">
        <f aca="false">IF($A123="","",INDEX(_events!$H$2:$H$171,MATCH($A123,_events!$A$2:$A$171,0)))</f>
        <v/>
      </c>
      <c r="I123" s="96" t="str">
        <f aca="false">IF($A123="","",INDEX(_events!$I$2:$I$171,MATCH($A123,_events!$A$2:$A$171,0)))</f>
        <v/>
      </c>
      <c r="J123" s="96" t="str">
        <f aca="false">IF($A123="","",INDEX(_events!$J$2:$J$171,MATCH($A123,_events!$A$2:$A$171,0)))</f>
        <v/>
      </c>
      <c r="K123" s="96" t="str">
        <f aca="false">IF($A123="","",INDEX(_events!$K$2:$K$171,MATCH($A123,_events!$A$2:$A$171,0)))</f>
        <v/>
      </c>
    </row>
    <row r="124" customFormat="false" ht="15" hidden="false" customHeight="false" outlineLevel="0" collapsed="false">
      <c r="A124" s="94" t="str">
        <f aca="false">IFERROR(SMALL(_events!$A$2:$A$171,119),"")</f>
        <v/>
      </c>
      <c r="B124" s="95" t="str">
        <f aca="false">IF($A124="","",INT($A124))</f>
        <v/>
      </c>
      <c r="C124" s="96" t="str">
        <f aca="false">IF($A124="","",INDEX(_events!$C$2:$C$171,MATCH($A124,_events!$A$2:$A$171,0)))</f>
        <v/>
      </c>
      <c r="D124" s="97" t="str">
        <f aca="false">IF($A124="","",HYPERLINK("#'"&amp;INDEX(_events!$D$2:$D$171,MATCH($A124,_events!$A$2:$A$171,0))&amp;"'!A1",INDEX(_events!$D$2:$D$171,MATCH($A124,_events!$A$2:$A$171,0))))</f>
        <v/>
      </c>
      <c r="E124" s="96" t="str">
        <f aca="false">IF($A124="","",INDEX(_events!$E$2:$E$171,MATCH($A124,_events!$A$2:$A$171,0)))</f>
        <v/>
      </c>
      <c r="F124" s="96" t="str">
        <f aca="false">IF($A124="","",INDEX(_events!$F$2:$F$171,MATCH($A124,_events!$A$2:$A$171,0)))</f>
        <v/>
      </c>
      <c r="G124" s="96" t="str">
        <f aca="false">IF($A124="","",INDEX(_events!$G$2:$G$171,MATCH($A124,_events!$A$2:$A$171,0)))</f>
        <v/>
      </c>
      <c r="H124" s="96" t="str">
        <f aca="false">IF($A124="","",INDEX(_events!$H$2:$H$171,MATCH($A124,_events!$A$2:$A$171,0)))</f>
        <v/>
      </c>
      <c r="I124" s="96" t="str">
        <f aca="false">IF($A124="","",INDEX(_events!$I$2:$I$171,MATCH($A124,_events!$A$2:$A$171,0)))</f>
        <v/>
      </c>
      <c r="J124" s="96" t="str">
        <f aca="false">IF($A124="","",INDEX(_events!$J$2:$J$171,MATCH($A124,_events!$A$2:$A$171,0)))</f>
        <v/>
      </c>
      <c r="K124" s="96" t="str">
        <f aca="false">IF($A124="","",INDEX(_events!$K$2:$K$171,MATCH($A124,_events!$A$2:$A$171,0)))</f>
        <v/>
      </c>
    </row>
    <row r="125" customFormat="false" ht="15" hidden="false" customHeight="false" outlineLevel="0" collapsed="false">
      <c r="A125" s="94" t="str">
        <f aca="false">IFERROR(SMALL(_events!$A$2:$A$171,120),"")</f>
        <v/>
      </c>
      <c r="B125" s="95" t="str">
        <f aca="false">IF($A125="","",INT($A125))</f>
        <v/>
      </c>
      <c r="C125" s="96" t="str">
        <f aca="false">IF($A125="","",INDEX(_events!$C$2:$C$171,MATCH($A125,_events!$A$2:$A$171,0)))</f>
        <v/>
      </c>
      <c r="D125" s="97" t="str">
        <f aca="false">IF($A125="","",HYPERLINK("#'"&amp;INDEX(_events!$D$2:$D$171,MATCH($A125,_events!$A$2:$A$171,0))&amp;"'!A1",INDEX(_events!$D$2:$D$171,MATCH($A125,_events!$A$2:$A$171,0))))</f>
        <v/>
      </c>
      <c r="E125" s="96" t="str">
        <f aca="false">IF($A125="","",INDEX(_events!$E$2:$E$171,MATCH($A125,_events!$A$2:$A$171,0)))</f>
        <v/>
      </c>
      <c r="F125" s="96" t="str">
        <f aca="false">IF($A125="","",INDEX(_events!$F$2:$F$171,MATCH($A125,_events!$A$2:$A$171,0)))</f>
        <v/>
      </c>
      <c r="G125" s="96" t="str">
        <f aca="false">IF($A125="","",INDEX(_events!$G$2:$G$171,MATCH($A125,_events!$A$2:$A$171,0)))</f>
        <v/>
      </c>
      <c r="H125" s="96" t="str">
        <f aca="false">IF($A125="","",INDEX(_events!$H$2:$H$171,MATCH($A125,_events!$A$2:$A$171,0)))</f>
        <v/>
      </c>
      <c r="I125" s="96" t="str">
        <f aca="false">IF($A125="","",INDEX(_events!$I$2:$I$171,MATCH($A125,_events!$A$2:$A$171,0)))</f>
        <v/>
      </c>
      <c r="J125" s="96" t="str">
        <f aca="false">IF($A125="","",INDEX(_events!$J$2:$J$171,MATCH($A125,_events!$A$2:$A$171,0)))</f>
        <v/>
      </c>
      <c r="K125" s="96" t="str">
        <f aca="false">IF($A125="","",INDEX(_events!$K$2:$K$171,MATCH($A125,_events!$A$2:$A$171,0)))</f>
        <v/>
      </c>
    </row>
    <row r="126" customFormat="false" ht="15" hidden="false" customHeight="false" outlineLevel="0" collapsed="false">
      <c r="A126" s="94" t="str">
        <f aca="false">IFERROR(SMALL(_events!$A$2:$A$171,121),"")</f>
        <v/>
      </c>
      <c r="B126" s="95" t="str">
        <f aca="false">IF($A126="","",INT($A126))</f>
        <v/>
      </c>
      <c r="C126" s="96" t="str">
        <f aca="false">IF($A126="","",INDEX(_events!$C$2:$C$171,MATCH($A126,_events!$A$2:$A$171,0)))</f>
        <v/>
      </c>
      <c r="D126" s="97" t="str">
        <f aca="false">IF($A126="","",HYPERLINK("#'"&amp;INDEX(_events!$D$2:$D$171,MATCH($A126,_events!$A$2:$A$171,0))&amp;"'!A1",INDEX(_events!$D$2:$D$171,MATCH($A126,_events!$A$2:$A$171,0))))</f>
        <v/>
      </c>
      <c r="E126" s="96" t="str">
        <f aca="false">IF($A126="","",INDEX(_events!$E$2:$E$171,MATCH($A126,_events!$A$2:$A$171,0)))</f>
        <v/>
      </c>
      <c r="F126" s="96" t="str">
        <f aca="false">IF($A126="","",INDEX(_events!$F$2:$F$171,MATCH($A126,_events!$A$2:$A$171,0)))</f>
        <v/>
      </c>
      <c r="G126" s="96" t="str">
        <f aca="false">IF($A126="","",INDEX(_events!$G$2:$G$171,MATCH($A126,_events!$A$2:$A$171,0)))</f>
        <v/>
      </c>
      <c r="H126" s="96" t="str">
        <f aca="false">IF($A126="","",INDEX(_events!$H$2:$H$171,MATCH($A126,_events!$A$2:$A$171,0)))</f>
        <v/>
      </c>
      <c r="I126" s="96" t="str">
        <f aca="false">IF($A126="","",INDEX(_events!$I$2:$I$171,MATCH($A126,_events!$A$2:$A$171,0)))</f>
        <v/>
      </c>
      <c r="J126" s="96" t="str">
        <f aca="false">IF($A126="","",INDEX(_events!$J$2:$J$171,MATCH($A126,_events!$A$2:$A$171,0)))</f>
        <v/>
      </c>
      <c r="K126" s="96" t="str">
        <f aca="false">IF($A126="","",INDEX(_events!$K$2:$K$171,MATCH($A126,_events!$A$2:$A$171,0)))</f>
        <v/>
      </c>
    </row>
    <row r="127" customFormat="false" ht="15" hidden="false" customHeight="false" outlineLevel="0" collapsed="false">
      <c r="A127" s="94" t="str">
        <f aca="false">IFERROR(SMALL(_events!$A$2:$A$171,122),"")</f>
        <v/>
      </c>
      <c r="B127" s="95" t="str">
        <f aca="false">IF($A127="","",INT($A127))</f>
        <v/>
      </c>
      <c r="C127" s="96" t="str">
        <f aca="false">IF($A127="","",INDEX(_events!$C$2:$C$171,MATCH($A127,_events!$A$2:$A$171,0)))</f>
        <v/>
      </c>
      <c r="D127" s="97" t="str">
        <f aca="false">IF($A127="","",HYPERLINK("#'"&amp;INDEX(_events!$D$2:$D$171,MATCH($A127,_events!$A$2:$A$171,0))&amp;"'!A1",INDEX(_events!$D$2:$D$171,MATCH($A127,_events!$A$2:$A$171,0))))</f>
        <v/>
      </c>
      <c r="E127" s="96" t="str">
        <f aca="false">IF($A127="","",INDEX(_events!$E$2:$E$171,MATCH($A127,_events!$A$2:$A$171,0)))</f>
        <v/>
      </c>
      <c r="F127" s="96" t="str">
        <f aca="false">IF($A127="","",INDEX(_events!$F$2:$F$171,MATCH($A127,_events!$A$2:$A$171,0)))</f>
        <v/>
      </c>
      <c r="G127" s="96" t="str">
        <f aca="false">IF($A127="","",INDEX(_events!$G$2:$G$171,MATCH($A127,_events!$A$2:$A$171,0)))</f>
        <v/>
      </c>
      <c r="H127" s="96" t="str">
        <f aca="false">IF($A127="","",INDEX(_events!$H$2:$H$171,MATCH($A127,_events!$A$2:$A$171,0)))</f>
        <v/>
      </c>
      <c r="I127" s="96" t="str">
        <f aca="false">IF($A127="","",INDEX(_events!$I$2:$I$171,MATCH($A127,_events!$A$2:$A$171,0)))</f>
        <v/>
      </c>
      <c r="J127" s="96" t="str">
        <f aca="false">IF($A127="","",INDEX(_events!$J$2:$J$171,MATCH($A127,_events!$A$2:$A$171,0)))</f>
        <v/>
      </c>
      <c r="K127" s="96" t="str">
        <f aca="false">IF($A127="","",INDEX(_events!$K$2:$K$171,MATCH($A127,_events!$A$2:$A$171,0)))</f>
        <v/>
      </c>
    </row>
    <row r="128" customFormat="false" ht="15" hidden="false" customHeight="false" outlineLevel="0" collapsed="false">
      <c r="A128" s="94" t="str">
        <f aca="false">IFERROR(SMALL(_events!$A$2:$A$171,123),"")</f>
        <v/>
      </c>
      <c r="B128" s="95" t="str">
        <f aca="false">IF($A128="","",INT($A128))</f>
        <v/>
      </c>
      <c r="C128" s="96" t="str">
        <f aca="false">IF($A128="","",INDEX(_events!$C$2:$C$171,MATCH($A128,_events!$A$2:$A$171,0)))</f>
        <v/>
      </c>
      <c r="D128" s="97" t="str">
        <f aca="false">IF($A128="","",HYPERLINK("#'"&amp;INDEX(_events!$D$2:$D$171,MATCH($A128,_events!$A$2:$A$171,0))&amp;"'!A1",INDEX(_events!$D$2:$D$171,MATCH($A128,_events!$A$2:$A$171,0))))</f>
        <v/>
      </c>
      <c r="E128" s="96" t="str">
        <f aca="false">IF($A128="","",INDEX(_events!$E$2:$E$171,MATCH($A128,_events!$A$2:$A$171,0)))</f>
        <v/>
      </c>
      <c r="F128" s="96" t="str">
        <f aca="false">IF($A128="","",INDEX(_events!$F$2:$F$171,MATCH($A128,_events!$A$2:$A$171,0)))</f>
        <v/>
      </c>
      <c r="G128" s="96" t="str">
        <f aca="false">IF($A128="","",INDEX(_events!$G$2:$G$171,MATCH($A128,_events!$A$2:$A$171,0)))</f>
        <v/>
      </c>
      <c r="H128" s="96" t="str">
        <f aca="false">IF($A128="","",INDEX(_events!$H$2:$H$171,MATCH($A128,_events!$A$2:$A$171,0)))</f>
        <v/>
      </c>
      <c r="I128" s="96" t="str">
        <f aca="false">IF($A128="","",INDEX(_events!$I$2:$I$171,MATCH($A128,_events!$A$2:$A$171,0)))</f>
        <v/>
      </c>
      <c r="J128" s="96" t="str">
        <f aca="false">IF($A128="","",INDEX(_events!$J$2:$J$171,MATCH($A128,_events!$A$2:$A$171,0)))</f>
        <v/>
      </c>
      <c r="K128" s="96" t="str">
        <f aca="false">IF($A128="","",INDEX(_events!$K$2:$K$171,MATCH($A128,_events!$A$2:$A$171,0)))</f>
        <v/>
      </c>
    </row>
    <row r="129" customFormat="false" ht="15" hidden="false" customHeight="false" outlineLevel="0" collapsed="false">
      <c r="A129" s="94" t="str">
        <f aca="false">IFERROR(SMALL(_events!$A$2:$A$171,124),"")</f>
        <v/>
      </c>
      <c r="B129" s="95" t="str">
        <f aca="false">IF($A129="","",INT($A129))</f>
        <v/>
      </c>
      <c r="C129" s="96" t="str">
        <f aca="false">IF($A129="","",INDEX(_events!$C$2:$C$171,MATCH($A129,_events!$A$2:$A$171,0)))</f>
        <v/>
      </c>
      <c r="D129" s="97" t="str">
        <f aca="false">IF($A129="","",HYPERLINK("#'"&amp;INDEX(_events!$D$2:$D$171,MATCH($A129,_events!$A$2:$A$171,0))&amp;"'!A1",INDEX(_events!$D$2:$D$171,MATCH($A129,_events!$A$2:$A$171,0))))</f>
        <v/>
      </c>
      <c r="E129" s="96" t="str">
        <f aca="false">IF($A129="","",INDEX(_events!$E$2:$E$171,MATCH($A129,_events!$A$2:$A$171,0)))</f>
        <v/>
      </c>
      <c r="F129" s="96" t="str">
        <f aca="false">IF($A129="","",INDEX(_events!$F$2:$F$171,MATCH($A129,_events!$A$2:$A$171,0)))</f>
        <v/>
      </c>
      <c r="G129" s="96" t="str">
        <f aca="false">IF($A129="","",INDEX(_events!$G$2:$G$171,MATCH($A129,_events!$A$2:$A$171,0)))</f>
        <v/>
      </c>
      <c r="H129" s="96" t="str">
        <f aca="false">IF($A129="","",INDEX(_events!$H$2:$H$171,MATCH($A129,_events!$A$2:$A$171,0)))</f>
        <v/>
      </c>
      <c r="I129" s="96" t="str">
        <f aca="false">IF($A129="","",INDEX(_events!$I$2:$I$171,MATCH($A129,_events!$A$2:$A$171,0)))</f>
        <v/>
      </c>
      <c r="J129" s="96" t="str">
        <f aca="false">IF($A129="","",INDEX(_events!$J$2:$J$171,MATCH($A129,_events!$A$2:$A$171,0)))</f>
        <v/>
      </c>
      <c r="K129" s="96" t="str">
        <f aca="false">IF($A129="","",INDEX(_events!$K$2:$K$171,MATCH($A129,_events!$A$2:$A$171,0)))</f>
        <v/>
      </c>
    </row>
    <row r="130" customFormat="false" ht="15" hidden="false" customHeight="false" outlineLevel="0" collapsed="false">
      <c r="A130" s="94" t="str">
        <f aca="false">IFERROR(SMALL(_events!$A$2:$A$171,125),"")</f>
        <v/>
      </c>
      <c r="B130" s="95" t="str">
        <f aca="false">IF($A130="","",INT($A130))</f>
        <v/>
      </c>
      <c r="C130" s="96" t="str">
        <f aca="false">IF($A130="","",INDEX(_events!$C$2:$C$171,MATCH($A130,_events!$A$2:$A$171,0)))</f>
        <v/>
      </c>
      <c r="D130" s="97" t="str">
        <f aca="false">IF($A130="","",HYPERLINK("#'"&amp;INDEX(_events!$D$2:$D$171,MATCH($A130,_events!$A$2:$A$171,0))&amp;"'!A1",INDEX(_events!$D$2:$D$171,MATCH($A130,_events!$A$2:$A$171,0))))</f>
        <v/>
      </c>
      <c r="E130" s="96" t="str">
        <f aca="false">IF($A130="","",INDEX(_events!$E$2:$E$171,MATCH($A130,_events!$A$2:$A$171,0)))</f>
        <v/>
      </c>
      <c r="F130" s="96" t="str">
        <f aca="false">IF($A130="","",INDEX(_events!$F$2:$F$171,MATCH($A130,_events!$A$2:$A$171,0)))</f>
        <v/>
      </c>
      <c r="G130" s="96" t="str">
        <f aca="false">IF($A130="","",INDEX(_events!$G$2:$G$171,MATCH($A130,_events!$A$2:$A$171,0)))</f>
        <v/>
      </c>
      <c r="H130" s="96" t="str">
        <f aca="false">IF($A130="","",INDEX(_events!$H$2:$H$171,MATCH($A130,_events!$A$2:$A$171,0)))</f>
        <v/>
      </c>
      <c r="I130" s="96" t="str">
        <f aca="false">IF($A130="","",INDEX(_events!$I$2:$I$171,MATCH($A130,_events!$A$2:$A$171,0)))</f>
        <v/>
      </c>
      <c r="J130" s="96" t="str">
        <f aca="false">IF($A130="","",INDEX(_events!$J$2:$J$171,MATCH($A130,_events!$A$2:$A$171,0)))</f>
        <v/>
      </c>
      <c r="K130" s="96" t="str">
        <f aca="false">IF($A130="","",INDEX(_events!$K$2:$K$171,MATCH($A130,_events!$A$2:$A$171,0)))</f>
        <v/>
      </c>
    </row>
    <row r="131" customFormat="false" ht="15" hidden="false" customHeight="false" outlineLevel="0" collapsed="false">
      <c r="A131" s="94" t="str">
        <f aca="false">IFERROR(SMALL(_events!$A$2:$A$171,126),"")</f>
        <v/>
      </c>
      <c r="B131" s="95" t="str">
        <f aca="false">IF($A131="","",INT($A131))</f>
        <v/>
      </c>
      <c r="C131" s="96" t="str">
        <f aca="false">IF($A131="","",INDEX(_events!$C$2:$C$171,MATCH($A131,_events!$A$2:$A$171,0)))</f>
        <v/>
      </c>
      <c r="D131" s="97" t="str">
        <f aca="false">IF($A131="","",HYPERLINK("#'"&amp;INDEX(_events!$D$2:$D$171,MATCH($A131,_events!$A$2:$A$171,0))&amp;"'!A1",INDEX(_events!$D$2:$D$171,MATCH($A131,_events!$A$2:$A$171,0))))</f>
        <v/>
      </c>
      <c r="E131" s="96" t="str">
        <f aca="false">IF($A131="","",INDEX(_events!$E$2:$E$171,MATCH($A131,_events!$A$2:$A$171,0)))</f>
        <v/>
      </c>
      <c r="F131" s="96" t="str">
        <f aca="false">IF($A131="","",INDEX(_events!$F$2:$F$171,MATCH($A131,_events!$A$2:$A$171,0)))</f>
        <v/>
      </c>
      <c r="G131" s="96" t="str">
        <f aca="false">IF($A131="","",INDEX(_events!$G$2:$G$171,MATCH($A131,_events!$A$2:$A$171,0)))</f>
        <v/>
      </c>
      <c r="H131" s="96" t="str">
        <f aca="false">IF($A131="","",INDEX(_events!$H$2:$H$171,MATCH($A131,_events!$A$2:$A$171,0)))</f>
        <v/>
      </c>
      <c r="I131" s="96" t="str">
        <f aca="false">IF($A131="","",INDEX(_events!$I$2:$I$171,MATCH($A131,_events!$A$2:$A$171,0)))</f>
        <v/>
      </c>
      <c r="J131" s="96" t="str">
        <f aca="false">IF($A131="","",INDEX(_events!$J$2:$J$171,MATCH($A131,_events!$A$2:$A$171,0)))</f>
        <v/>
      </c>
      <c r="K131" s="96" t="str">
        <f aca="false">IF($A131="","",INDEX(_events!$K$2:$K$171,MATCH($A131,_events!$A$2:$A$171,0)))</f>
        <v/>
      </c>
    </row>
    <row r="132" customFormat="false" ht="15" hidden="false" customHeight="false" outlineLevel="0" collapsed="false">
      <c r="A132" s="94" t="str">
        <f aca="false">IFERROR(SMALL(_events!$A$2:$A$171,127),"")</f>
        <v/>
      </c>
      <c r="B132" s="95" t="str">
        <f aca="false">IF($A132="","",INT($A132))</f>
        <v/>
      </c>
      <c r="C132" s="96" t="str">
        <f aca="false">IF($A132="","",INDEX(_events!$C$2:$C$171,MATCH($A132,_events!$A$2:$A$171,0)))</f>
        <v/>
      </c>
      <c r="D132" s="97" t="str">
        <f aca="false">IF($A132="","",HYPERLINK("#'"&amp;INDEX(_events!$D$2:$D$171,MATCH($A132,_events!$A$2:$A$171,0))&amp;"'!A1",INDEX(_events!$D$2:$D$171,MATCH($A132,_events!$A$2:$A$171,0))))</f>
        <v/>
      </c>
      <c r="E132" s="96" t="str">
        <f aca="false">IF($A132="","",INDEX(_events!$E$2:$E$171,MATCH($A132,_events!$A$2:$A$171,0)))</f>
        <v/>
      </c>
      <c r="F132" s="96" t="str">
        <f aca="false">IF($A132="","",INDEX(_events!$F$2:$F$171,MATCH($A132,_events!$A$2:$A$171,0)))</f>
        <v/>
      </c>
      <c r="G132" s="96" t="str">
        <f aca="false">IF($A132="","",INDEX(_events!$G$2:$G$171,MATCH($A132,_events!$A$2:$A$171,0)))</f>
        <v/>
      </c>
      <c r="H132" s="96" t="str">
        <f aca="false">IF($A132="","",INDEX(_events!$H$2:$H$171,MATCH($A132,_events!$A$2:$A$171,0)))</f>
        <v/>
      </c>
      <c r="I132" s="96" t="str">
        <f aca="false">IF($A132="","",INDEX(_events!$I$2:$I$171,MATCH($A132,_events!$A$2:$A$171,0)))</f>
        <v/>
      </c>
      <c r="J132" s="96" t="str">
        <f aca="false">IF($A132="","",INDEX(_events!$J$2:$J$171,MATCH($A132,_events!$A$2:$A$171,0)))</f>
        <v/>
      </c>
      <c r="K132" s="96" t="str">
        <f aca="false">IF($A132="","",INDEX(_events!$K$2:$K$171,MATCH($A132,_events!$A$2:$A$171,0)))</f>
        <v/>
      </c>
    </row>
    <row r="133" customFormat="false" ht="15" hidden="false" customHeight="false" outlineLevel="0" collapsed="false">
      <c r="A133" s="94" t="str">
        <f aca="false">IFERROR(SMALL(_events!$A$2:$A$171,128),"")</f>
        <v/>
      </c>
      <c r="B133" s="95" t="str">
        <f aca="false">IF($A133="","",INT($A133))</f>
        <v/>
      </c>
      <c r="C133" s="96" t="str">
        <f aca="false">IF($A133="","",INDEX(_events!$C$2:$C$171,MATCH($A133,_events!$A$2:$A$171,0)))</f>
        <v/>
      </c>
      <c r="D133" s="97" t="str">
        <f aca="false">IF($A133="","",HYPERLINK("#'"&amp;INDEX(_events!$D$2:$D$171,MATCH($A133,_events!$A$2:$A$171,0))&amp;"'!A1",INDEX(_events!$D$2:$D$171,MATCH($A133,_events!$A$2:$A$171,0))))</f>
        <v/>
      </c>
      <c r="E133" s="96" t="str">
        <f aca="false">IF($A133="","",INDEX(_events!$E$2:$E$171,MATCH($A133,_events!$A$2:$A$171,0)))</f>
        <v/>
      </c>
      <c r="F133" s="96" t="str">
        <f aca="false">IF($A133="","",INDEX(_events!$F$2:$F$171,MATCH($A133,_events!$A$2:$A$171,0)))</f>
        <v/>
      </c>
      <c r="G133" s="96" t="str">
        <f aca="false">IF($A133="","",INDEX(_events!$G$2:$G$171,MATCH($A133,_events!$A$2:$A$171,0)))</f>
        <v/>
      </c>
      <c r="H133" s="96" t="str">
        <f aca="false">IF($A133="","",INDEX(_events!$H$2:$H$171,MATCH($A133,_events!$A$2:$A$171,0)))</f>
        <v/>
      </c>
      <c r="I133" s="96" t="str">
        <f aca="false">IF($A133="","",INDEX(_events!$I$2:$I$171,MATCH($A133,_events!$A$2:$A$171,0)))</f>
        <v/>
      </c>
      <c r="J133" s="96" t="str">
        <f aca="false">IF($A133="","",INDEX(_events!$J$2:$J$171,MATCH($A133,_events!$A$2:$A$171,0)))</f>
        <v/>
      </c>
      <c r="K133" s="96" t="str">
        <f aca="false">IF($A133="","",INDEX(_events!$K$2:$K$171,MATCH($A133,_events!$A$2:$A$171,0)))</f>
        <v/>
      </c>
    </row>
    <row r="134" customFormat="false" ht="15" hidden="false" customHeight="false" outlineLevel="0" collapsed="false">
      <c r="A134" s="94" t="str">
        <f aca="false">IFERROR(SMALL(_events!$A$2:$A$171,129),"")</f>
        <v/>
      </c>
      <c r="B134" s="95" t="str">
        <f aca="false">IF($A134="","",INT($A134))</f>
        <v/>
      </c>
      <c r="C134" s="96" t="str">
        <f aca="false">IF($A134="","",INDEX(_events!$C$2:$C$171,MATCH($A134,_events!$A$2:$A$171,0)))</f>
        <v/>
      </c>
      <c r="D134" s="97" t="str">
        <f aca="false">IF($A134="","",HYPERLINK("#'"&amp;INDEX(_events!$D$2:$D$171,MATCH($A134,_events!$A$2:$A$171,0))&amp;"'!A1",INDEX(_events!$D$2:$D$171,MATCH($A134,_events!$A$2:$A$171,0))))</f>
        <v/>
      </c>
      <c r="E134" s="96" t="str">
        <f aca="false">IF($A134="","",INDEX(_events!$E$2:$E$171,MATCH($A134,_events!$A$2:$A$171,0)))</f>
        <v/>
      </c>
      <c r="F134" s="96" t="str">
        <f aca="false">IF($A134="","",INDEX(_events!$F$2:$F$171,MATCH($A134,_events!$A$2:$A$171,0)))</f>
        <v/>
      </c>
      <c r="G134" s="96" t="str">
        <f aca="false">IF($A134="","",INDEX(_events!$G$2:$G$171,MATCH($A134,_events!$A$2:$A$171,0)))</f>
        <v/>
      </c>
      <c r="H134" s="96" t="str">
        <f aca="false">IF($A134="","",INDEX(_events!$H$2:$H$171,MATCH($A134,_events!$A$2:$A$171,0)))</f>
        <v/>
      </c>
      <c r="I134" s="96" t="str">
        <f aca="false">IF($A134="","",INDEX(_events!$I$2:$I$171,MATCH($A134,_events!$A$2:$A$171,0)))</f>
        <v/>
      </c>
      <c r="J134" s="96" t="str">
        <f aca="false">IF($A134="","",INDEX(_events!$J$2:$J$171,MATCH($A134,_events!$A$2:$A$171,0)))</f>
        <v/>
      </c>
      <c r="K134" s="96" t="str">
        <f aca="false">IF($A134="","",INDEX(_events!$K$2:$K$171,MATCH($A134,_events!$A$2:$A$171,0)))</f>
        <v/>
      </c>
    </row>
    <row r="135" customFormat="false" ht="15" hidden="false" customHeight="false" outlineLevel="0" collapsed="false">
      <c r="A135" s="94" t="str">
        <f aca="false">IFERROR(SMALL(_events!$A$2:$A$171,130),"")</f>
        <v/>
      </c>
      <c r="B135" s="95" t="str">
        <f aca="false">IF($A135="","",INT($A135))</f>
        <v/>
      </c>
      <c r="C135" s="96" t="str">
        <f aca="false">IF($A135="","",INDEX(_events!$C$2:$C$171,MATCH($A135,_events!$A$2:$A$171,0)))</f>
        <v/>
      </c>
      <c r="D135" s="97" t="str">
        <f aca="false">IF($A135="","",HYPERLINK("#'"&amp;INDEX(_events!$D$2:$D$171,MATCH($A135,_events!$A$2:$A$171,0))&amp;"'!A1",INDEX(_events!$D$2:$D$171,MATCH($A135,_events!$A$2:$A$171,0))))</f>
        <v/>
      </c>
      <c r="E135" s="96" t="str">
        <f aca="false">IF($A135="","",INDEX(_events!$E$2:$E$171,MATCH($A135,_events!$A$2:$A$171,0)))</f>
        <v/>
      </c>
      <c r="F135" s="96" t="str">
        <f aca="false">IF($A135="","",INDEX(_events!$F$2:$F$171,MATCH($A135,_events!$A$2:$A$171,0)))</f>
        <v/>
      </c>
      <c r="G135" s="96" t="str">
        <f aca="false">IF($A135="","",INDEX(_events!$G$2:$G$171,MATCH($A135,_events!$A$2:$A$171,0)))</f>
        <v/>
      </c>
      <c r="H135" s="96" t="str">
        <f aca="false">IF($A135="","",INDEX(_events!$H$2:$H$171,MATCH($A135,_events!$A$2:$A$171,0)))</f>
        <v/>
      </c>
      <c r="I135" s="96" t="str">
        <f aca="false">IF($A135="","",INDEX(_events!$I$2:$I$171,MATCH($A135,_events!$A$2:$A$171,0)))</f>
        <v/>
      </c>
      <c r="J135" s="96" t="str">
        <f aca="false">IF($A135="","",INDEX(_events!$J$2:$J$171,MATCH($A135,_events!$A$2:$A$171,0)))</f>
        <v/>
      </c>
      <c r="K135" s="96" t="str">
        <f aca="false">IF($A135="","",INDEX(_events!$K$2:$K$171,MATCH($A135,_events!$A$2:$A$171,0)))</f>
        <v/>
      </c>
    </row>
    <row r="136" customFormat="false" ht="15" hidden="false" customHeight="false" outlineLevel="0" collapsed="false">
      <c r="A136" s="94" t="str">
        <f aca="false">IFERROR(SMALL(_events!$A$2:$A$171,131),"")</f>
        <v/>
      </c>
      <c r="B136" s="95" t="str">
        <f aca="false">IF($A136="","",INT($A136))</f>
        <v/>
      </c>
      <c r="C136" s="96" t="str">
        <f aca="false">IF($A136="","",INDEX(_events!$C$2:$C$171,MATCH($A136,_events!$A$2:$A$171,0)))</f>
        <v/>
      </c>
      <c r="D136" s="97" t="str">
        <f aca="false">IF($A136="","",HYPERLINK("#'"&amp;INDEX(_events!$D$2:$D$171,MATCH($A136,_events!$A$2:$A$171,0))&amp;"'!A1",INDEX(_events!$D$2:$D$171,MATCH($A136,_events!$A$2:$A$171,0))))</f>
        <v/>
      </c>
      <c r="E136" s="96" t="str">
        <f aca="false">IF($A136="","",INDEX(_events!$E$2:$E$171,MATCH($A136,_events!$A$2:$A$171,0)))</f>
        <v/>
      </c>
      <c r="F136" s="96" t="str">
        <f aca="false">IF($A136="","",INDEX(_events!$F$2:$F$171,MATCH($A136,_events!$A$2:$A$171,0)))</f>
        <v/>
      </c>
      <c r="G136" s="96" t="str">
        <f aca="false">IF($A136="","",INDEX(_events!$G$2:$G$171,MATCH($A136,_events!$A$2:$A$171,0)))</f>
        <v/>
      </c>
      <c r="H136" s="96" t="str">
        <f aca="false">IF($A136="","",INDEX(_events!$H$2:$H$171,MATCH($A136,_events!$A$2:$A$171,0)))</f>
        <v/>
      </c>
      <c r="I136" s="96" t="str">
        <f aca="false">IF($A136="","",INDEX(_events!$I$2:$I$171,MATCH($A136,_events!$A$2:$A$171,0)))</f>
        <v/>
      </c>
      <c r="J136" s="96" t="str">
        <f aca="false">IF($A136="","",INDEX(_events!$J$2:$J$171,MATCH($A136,_events!$A$2:$A$171,0)))</f>
        <v/>
      </c>
      <c r="K136" s="96" t="str">
        <f aca="false">IF($A136="","",INDEX(_events!$K$2:$K$171,MATCH($A136,_events!$A$2:$A$171,0)))</f>
        <v/>
      </c>
    </row>
    <row r="137" customFormat="false" ht="15" hidden="false" customHeight="false" outlineLevel="0" collapsed="false">
      <c r="A137" s="94" t="str">
        <f aca="false">IFERROR(SMALL(_events!$A$2:$A$171,132),"")</f>
        <v/>
      </c>
      <c r="B137" s="95" t="str">
        <f aca="false">IF($A137="","",INT($A137))</f>
        <v/>
      </c>
      <c r="C137" s="96" t="str">
        <f aca="false">IF($A137="","",INDEX(_events!$C$2:$C$171,MATCH($A137,_events!$A$2:$A$171,0)))</f>
        <v/>
      </c>
      <c r="D137" s="97" t="str">
        <f aca="false">IF($A137="","",HYPERLINK("#'"&amp;INDEX(_events!$D$2:$D$171,MATCH($A137,_events!$A$2:$A$171,0))&amp;"'!A1",INDEX(_events!$D$2:$D$171,MATCH($A137,_events!$A$2:$A$171,0))))</f>
        <v/>
      </c>
      <c r="E137" s="96" t="str">
        <f aca="false">IF($A137="","",INDEX(_events!$E$2:$E$171,MATCH($A137,_events!$A$2:$A$171,0)))</f>
        <v/>
      </c>
      <c r="F137" s="96" t="str">
        <f aca="false">IF($A137="","",INDEX(_events!$F$2:$F$171,MATCH($A137,_events!$A$2:$A$171,0)))</f>
        <v/>
      </c>
      <c r="G137" s="96" t="str">
        <f aca="false">IF($A137="","",INDEX(_events!$G$2:$G$171,MATCH($A137,_events!$A$2:$A$171,0)))</f>
        <v/>
      </c>
      <c r="H137" s="96" t="str">
        <f aca="false">IF($A137="","",INDEX(_events!$H$2:$H$171,MATCH($A137,_events!$A$2:$A$171,0)))</f>
        <v/>
      </c>
      <c r="I137" s="96" t="str">
        <f aca="false">IF($A137="","",INDEX(_events!$I$2:$I$171,MATCH($A137,_events!$A$2:$A$171,0)))</f>
        <v/>
      </c>
      <c r="J137" s="96" t="str">
        <f aca="false">IF($A137="","",INDEX(_events!$J$2:$J$171,MATCH($A137,_events!$A$2:$A$171,0)))</f>
        <v/>
      </c>
      <c r="K137" s="96" t="str">
        <f aca="false">IF($A137="","",INDEX(_events!$K$2:$K$171,MATCH($A137,_events!$A$2:$A$171,0)))</f>
        <v/>
      </c>
    </row>
    <row r="138" customFormat="false" ht="15" hidden="false" customHeight="false" outlineLevel="0" collapsed="false">
      <c r="A138" s="94" t="str">
        <f aca="false">IFERROR(SMALL(_events!$A$2:$A$171,133),"")</f>
        <v/>
      </c>
      <c r="B138" s="95" t="str">
        <f aca="false">IF($A138="","",INT($A138))</f>
        <v/>
      </c>
      <c r="C138" s="96" t="str">
        <f aca="false">IF($A138="","",INDEX(_events!$C$2:$C$171,MATCH($A138,_events!$A$2:$A$171,0)))</f>
        <v/>
      </c>
      <c r="D138" s="97" t="str">
        <f aca="false">IF($A138="","",HYPERLINK("#'"&amp;INDEX(_events!$D$2:$D$171,MATCH($A138,_events!$A$2:$A$171,0))&amp;"'!A1",INDEX(_events!$D$2:$D$171,MATCH($A138,_events!$A$2:$A$171,0))))</f>
        <v/>
      </c>
      <c r="E138" s="96" t="str">
        <f aca="false">IF($A138="","",INDEX(_events!$E$2:$E$171,MATCH($A138,_events!$A$2:$A$171,0)))</f>
        <v/>
      </c>
      <c r="F138" s="96" t="str">
        <f aca="false">IF($A138="","",INDEX(_events!$F$2:$F$171,MATCH($A138,_events!$A$2:$A$171,0)))</f>
        <v/>
      </c>
      <c r="G138" s="96" t="str">
        <f aca="false">IF($A138="","",INDEX(_events!$G$2:$G$171,MATCH($A138,_events!$A$2:$A$171,0)))</f>
        <v/>
      </c>
      <c r="H138" s="96" t="str">
        <f aca="false">IF($A138="","",INDEX(_events!$H$2:$H$171,MATCH($A138,_events!$A$2:$A$171,0)))</f>
        <v/>
      </c>
      <c r="I138" s="96" t="str">
        <f aca="false">IF($A138="","",INDEX(_events!$I$2:$I$171,MATCH($A138,_events!$A$2:$A$171,0)))</f>
        <v/>
      </c>
      <c r="J138" s="96" t="str">
        <f aca="false">IF($A138="","",INDEX(_events!$J$2:$J$171,MATCH($A138,_events!$A$2:$A$171,0)))</f>
        <v/>
      </c>
      <c r="K138" s="96" t="str">
        <f aca="false">IF($A138="","",INDEX(_events!$K$2:$K$171,MATCH($A138,_events!$A$2:$A$171,0)))</f>
        <v/>
      </c>
    </row>
    <row r="139" customFormat="false" ht="15" hidden="false" customHeight="false" outlineLevel="0" collapsed="false">
      <c r="A139" s="94" t="str">
        <f aca="false">IFERROR(SMALL(_events!$A$2:$A$171,134),"")</f>
        <v/>
      </c>
      <c r="B139" s="95" t="str">
        <f aca="false">IF($A139="","",INT($A139))</f>
        <v/>
      </c>
      <c r="C139" s="96" t="str">
        <f aca="false">IF($A139="","",INDEX(_events!$C$2:$C$171,MATCH($A139,_events!$A$2:$A$171,0)))</f>
        <v/>
      </c>
      <c r="D139" s="97" t="str">
        <f aca="false">IF($A139="","",HYPERLINK("#'"&amp;INDEX(_events!$D$2:$D$171,MATCH($A139,_events!$A$2:$A$171,0))&amp;"'!A1",INDEX(_events!$D$2:$D$171,MATCH($A139,_events!$A$2:$A$171,0))))</f>
        <v/>
      </c>
      <c r="E139" s="96" t="str">
        <f aca="false">IF($A139="","",INDEX(_events!$E$2:$E$171,MATCH($A139,_events!$A$2:$A$171,0)))</f>
        <v/>
      </c>
      <c r="F139" s="96" t="str">
        <f aca="false">IF($A139="","",INDEX(_events!$F$2:$F$171,MATCH($A139,_events!$A$2:$A$171,0)))</f>
        <v/>
      </c>
      <c r="G139" s="96" t="str">
        <f aca="false">IF($A139="","",INDEX(_events!$G$2:$G$171,MATCH($A139,_events!$A$2:$A$171,0)))</f>
        <v/>
      </c>
      <c r="H139" s="96" t="str">
        <f aca="false">IF($A139="","",INDEX(_events!$H$2:$H$171,MATCH($A139,_events!$A$2:$A$171,0)))</f>
        <v/>
      </c>
      <c r="I139" s="96" t="str">
        <f aca="false">IF($A139="","",INDEX(_events!$I$2:$I$171,MATCH($A139,_events!$A$2:$A$171,0)))</f>
        <v/>
      </c>
      <c r="J139" s="96" t="str">
        <f aca="false">IF($A139="","",INDEX(_events!$J$2:$J$171,MATCH($A139,_events!$A$2:$A$171,0)))</f>
        <v/>
      </c>
      <c r="K139" s="96" t="str">
        <f aca="false">IF($A139="","",INDEX(_events!$K$2:$K$171,MATCH($A139,_events!$A$2:$A$171,0)))</f>
        <v/>
      </c>
    </row>
    <row r="140" customFormat="false" ht="15" hidden="false" customHeight="false" outlineLevel="0" collapsed="false">
      <c r="A140" s="94" t="str">
        <f aca="false">IFERROR(SMALL(_events!$A$2:$A$171,135),"")</f>
        <v/>
      </c>
      <c r="B140" s="95" t="str">
        <f aca="false">IF($A140="","",INT($A140))</f>
        <v/>
      </c>
      <c r="C140" s="96" t="str">
        <f aca="false">IF($A140="","",INDEX(_events!$C$2:$C$171,MATCH($A140,_events!$A$2:$A$171,0)))</f>
        <v/>
      </c>
      <c r="D140" s="97" t="str">
        <f aca="false">IF($A140="","",HYPERLINK("#'"&amp;INDEX(_events!$D$2:$D$171,MATCH($A140,_events!$A$2:$A$171,0))&amp;"'!A1",INDEX(_events!$D$2:$D$171,MATCH($A140,_events!$A$2:$A$171,0))))</f>
        <v/>
      </c>
      <c r="E140" s="96" t="str">
        <f aca="false">IF($A140="","",INDEX(_events!$E$2:$E$171,MATCH($A140,_events!$A$2:$A$171,0)))</f>
        <v/>
      </c>
      <c r="F140" s="96" t="str">
        <f aca="false">IF($A140="","",INDEX(_events!$F$2:$F$171,MATCH($A140,_events!$A$2:$A$171,0)))</f>
        <v/>
      </c>
      <c r="G140" s="96" t="str">
        <f aca="false">IF($A140="","",INDEX(_events!$G$2:$G$171,MATCH($A140,_events!$A$2:$A$171,0)))</f>
        <v/>
      </c>
      <c r="H140" s="96" t="str">
        <f aca="false">IF($A140="","",INDEX(_events!$H$2:$H$171,MATCH($A140,_events!$A$2:$A$171,0)))</f>
        <v/>
      </c>
      <c r="I140" s="96" t="str">
        <f aca="false">IF($A140="","",INDEX(_events!$I$2:$I$171,MATCH($A140,_events!$A$2:$A$171,0)))</f>
        <v/>
      </c>
      <c r="J140" s="96" t="str">
        <f aca="false">IF($A140="","",INDEX(_events!$J$2:$J$171,MATCH($A140,_events!$A$2:$A$171,0)))</f>
        <v/>
      </c>
      <c r="K140" s="96" t="str">
        <f aca="false">IF($A140="","",INDEX(_events!$K$2:$K$171,MATCH($A140,_events!$A$2:$A$171,0)))</f>
        <v/>
      </c>
    </row>
    <row r="141" customFormat="false" ht="15" hidden="false" customHeight="false" outlineLevel="0" collapsed="false">
      <c r="A141" s="94" t="str">
        <f aca="false">IFERROR(SMALL(_events!$A$2:$A$171,136),"")</f>
        <v/>
      </c>
      <c r="B141" s="95" t="str">
        <f aca="false">IF($A141="","",INT($A141))</f>
        <v/>
      </c>
      <c r="C141" s="96" t="str">
        <f aca="false">IF($A141="","",INDEX(_events!$C$2:$C$171,MATCH($A141,_events!$A$2:$A$171,0)))</f>
        <v/>
      </c>
      <c r="D141" s="97" t="str">
        <f aca="false">IF($A141="","",HYPERLINK("#'"&amp;INDEX(_events!$D$2:$D$171,MATCH($A141,_events!$A$2:$A$171,0))&amp;"'!A1",INDEX(_events!$D$2:$D$171,MATCH($A141,_events!$A$2:$A$171,0))))</f>
        <v/>
      </c>
      <c r="E141" s="96" t="str">
        <f aca="false">IF($A141="","",INDEX(_events!$E$2:$E$171,MATCH($A141,_events!$A$2:$A$171,0)))</f>
        <v/>
      </c>
      <c r="F141" s="96" t="str">
        <f aca="false">IF($A141="","",INDEX(_events!$F$2:$F$171,MATCH($A141,_events!$A$2:$A$171,0)))</f>
        <v/>
      </c>
      <c r="G141" s="96" t="str">
        <f aca="false">IF($A141="","",INDEX(_events!$G$2:$G$171,MATCH($A141,_events!$A$2:$A$171,0)))</f>
        <v/>
      </c>
      <c r="H141" s="96" t="str">
        <f aca="false">IF($A141="","",INDEX(_events!$H$2:$H$171,MATCH($A141,_events!$A$2:$A$171,0)))</f>
        <v/>
      </c>
      <c r="I141" s="96" t="str">
        <f aca="false">IF($A141="","",INDEX(_events!$I$2:$I$171,MATCH($A141,_events!$A$2:$A$171,0)))</f>
        <v/>
      </c>
      <c r="J141" s="96" t="str">
        <f aca="false">IF($A141="","",INDEX(_events!$J$2:$J$171,MATCH($A141,_events!$A$2:$A$171,0)))</f>
        <v/>
      </c>
      <c r="K141" s="96" t="str">
        <f aca="false">IF($A141="","",INDEX(_events!$K$2:$K$171,MATCH($A141,_events!$A$2:$A$171,0)))</f>
        <v/>
      </c>
    </row>
    <row r="142" customFormat="false" ht="15" hidden="false" customHeight="false" outlineLevel="0" collapsed="false">
      <c r="A142" s="94" t="str">
        <f aca="false">IFERROR(SMALL(_events!$A$2:$A$171,137),"")</f>
        <v/>
      </c>
      <c r="B142" s="95" t="str">
        <f aca="false">IF($A142="","",INT($A142))</f>
        <v/>
      </c>
      <c r="C142" s="96" t="str">
        <f aca="false">IF($A142="","",INDEX(_events!$C$2:$C$171,MATCH($A142,_events!$A$2:$A$171,0)))</f>
        <v/>
      </c>
      <c r="D142" s="97" t="str">
        <f aca="false">IF($A142="","",HYPERLINK("#'"&amp;INDEX(_events!$D$2:$D$171,MATCH($A142,_events!$A$2:$A$171,0))&amp;"'!A1",INDEX(_events!$D$2:$D$171,MATCH($A142,_events!$A$2:$A$171,0))))</f>
        <v/>
      </c>
      <c r="E142" s="96" t="str">
        <f aca="false">IF($A142="","",INDEX(_events!$E$2:$E$171,MATCH($A142,_events!$A$2:$A$171,0)))</f>
        <v/>
      </c>
      <c r="F142" s="96" t="str">
        <f aca="false">IF($A142="","",INDEX(_events!$F$2:$F$171,MATCH($A142,_events!$A$2:$A$171,0)))</f>
        <v/>
      </c>
      <c r="G142" s="96" t="str">
        <f aca="false">IF($A142="","",INDEX(_events!$G$2:$G$171,MATCH($A142,_events!$A$2:$A$171,0)))</f>
        <v/>
      </c>
      <c r="H142" s="96" t="str">
        <f aca="false">IF($A142="","",INDEX(_events!$H$2:$H$171,MATCH($A142,_events!$A$2:$A$171,0)))</f>
        <v/>
      </c>
      <c r="I142" s="96" t="str">
        <f aca="false">IF($A142="","",INDEX(_events!$I$2:$I$171,MATCH($A142,_events!$A$2:$A$171,0)))</f>
        <v/>
      </c>
      <c r="J142" s="96" t="str">
        <f aca="false">IF($A142="","",INDEX(_events!$J$2:$J$171,MATCH($A142,_events!$A$2:$A$171,0)))</f>
        <v/>
      </c>
      <c r="K142" s="96" t="str">
        <f aca="false">IF($A142="","",INDEX(_events!$K$2:$K$171,MATCH($A142,_events!$A$2:$A$171,0)))</f>
        <v/>
      </c>
    </row>
    <row r="143" customFormat="false" ht="15" hidden="false" customHeight="false" outlineLevel="0" collapsed="false">
      <c r="A143" s="94" t="str">
        <f aca="false">IFERROR(SMALL(_events!$A$2:$A$171,138),"")</f>
        <v/>
      </c>
      <c r="B143" s="95" t="str">
        <f aca="false">IF($A143="","",INT($A143))</f>
        <v/>
      </c>
      <c r="C143" s="96" t="str">
        <f aca="false">IF($A143="","",INDEX(_events!$C$2:$C$171,MATCH($A143,_events!$A$2:$A$171,0)))</f>
        <v/>
      </c>
      <c r="D143" s="97" t="str">
        <f aca="false">IF($A143="","",HYPERLINK("#'"&amp;INDEX(_events!$D$2:$D$171,MATCH($A143,_events!$A$2:$A$171,0))&amp;"'!A1",INDEX(_events!$D$2:$D$171,MATCH($A143,_events!$A$2:$A$171,0))))</f>
        <v/>
      </c>
      <c r="E143" s="96" t="str">
        <f aca="false">IF($A143="","",INDEX(_events!$E$2:$E$171,MATCH($A143,_events!$A$2:$A$171,0)))</f>
        <v/>
      </c>
      <c r="F143" s="96" t="str">
        <f aca="false">IF($A143="","",INDEX(_events!$F$2:$F$171,MATCH($A143,_events!$A$2:$A$171,0)))</f>
        <v/>
      </c>
      <c r="G143" s="96" t="str">
        <f aca="false">IF($A143="","",INDEX(_events!$G$2:$G$171,MATCH($A143,_events!$A$2:$A$171,0)))</f>
        <v/>
      </c>
      <c r="H143" s="96" t="str">
        <f aca="false">IF($A143="","",INDEX(_events!$H$2:$H$171,MATCH($A143,_events!$A$2:$A$171,0)))</f>
        <v/>
      </c>
      <c r="I143" s="96" t="str">
        <f aca="false">IF($A143="","",INDEX(_events!$I$2:$I$171,MATCH($A143,_events!$A$2:$A$171,0)))</f>
        <v/>
      </c>
      <c r="J143" s="96" t="str">
        <f aca="false">IF($A143="","",INDEX(_events!$J$2:$J$171,MATCH($A143,_events!$A$2:$A$171,0)))</f>
        <v/>
      </c>
      <c r="K143" s="96" t="str">
        <f aca="false">IF($A143="","",INDEX(_events!$K$2:$K$171,MATCH($A143,_events!$A$2:$A$171,0)))</f>
        <v/>
      </c>
    </row>
    <row r="144" customFormat="false" ht="15" hidden="false" customHeight="false" outlineLevel="0" collapsed="false">
      <c r="A144" s="94" t="str">
        <f aca="false">IFERROR(SMALL(_events!$A$2:$A$171,139),"")</f>
        <v/>
      </c>
      <c r="B144" s="95" t="str">
        <f aca="false">IF($A144="","",INT($A144))</f>
        <v/>
      </c>
      <c r="C144" s="96" t="str">
        <f aca="false">IF($A144="","",INDEX(_events!$C$2:$C$171,MATCH($A144,_events!$A$2:$A$171,0)))</f>
        <v/>
      </c>
      <c r="D144" s="97" t="str">
        <f aca="false">IF($A144="","",HYPERLINK("#'"&amp;INDEX(_events!$D$2:$D$171,MATCH($A144,_events!$A$2:$A$171,0))&amp;"'!A1",INDEX(_events!$D$2:$D$171,MATCH($A144,_events!$A$2:$A$171,0))))</f>
        <v/>
      </c>
      <c r="E144" s="96" t="str">
        <f aca="false">IF($A144="","",INDEX(_events!$E$2:$E$171,MATCH($A144,_events!$A$2:$A$171,0)))</f>
        <v/>
      </c>
      <c r="F144" s="96" t="str">
        <f aca="false">IF($A144="","",INDEX(_events!$F$2:$F$171,MATCH($A144,_events!$A$2:$A$171,0)))</f>
        <v/>
      </c>
      <c r="G144" s="96" t="str">
        <f aca="false">IF($A144="","",INDEX(_events!$G$2:$G$171,MATCH($A144,_events!$A$2:$A$171,0)))</f>
        <v/>
      </c>
      <c r="H144" s="96" t="str">
        <f aca="false">IF($A144="","",INDEX(_events!$H$2:$H$171,MATCH($A144,_events!$A$2:$A$171,0)))</f>
        <v/>
      </c>
      <c r="I144" s="96" t="str">
        <f aca="false">IF($A144="","",INDEX(_events!$I$2:$I$171,MATCH($A144,_events!$A$2:$A$171,0)))</f>
        <v/>
      </c>
      <c r="J144" s="96" t="str">
        <f aca="false">IF($A144="","",INDEX(_events!$J$2:$J$171,MATCH($A144,_events!$A$2:$A$171,0)))</f>
        <v/>
      </c>
      <c r="K144" s="96" t="str">
        <f aca="false">IF($A144="","",INDEX(_events!$K$2:$K$171,MATCH($A144,_events!$A$2:$A$171,0)))</f>
        <v/>
      </c>
    </row>
    <row r="145" customFormat="false" ht="15" hidden="false" customHeight="false" outlineLevel="0" collapsed="false">
      <c r="A145" s="94" t="str">
        <f aca="false">IFERROR(SMALL(_events!$A$2:$A$171,140),"")</f>
        <v/>
      </c>
      <c r="B145" s="95" t="str">
        <f aca="false">IF($A145="","",INT($A145))</f>
        <v/>
      </c>
      <c r="C145" s="96" t="str">
        <f aca="false">IF($A145="","",INDEX(_events!$C$2:$C$171,MATCH($A145,_events!$A$2:$A$171,0)))</f>
        <v/>
      </c>
      <c r="D145" s="97" t="str">
        <f aca="false">IF($A145="","",HYPERLINK("#'"&amp;INDEX(_events!$D$2:$D$171,MATCH($A145,_events!$A$2:$A$171,0))&amp;"'!A1",INDEX(_events!$D$2:$D$171,MATCH($A145,_events!$A$2:$A$171,0))))</f>
        <v/>
      </c>
      <c r="E145" s="96" t="str">
        <f aca="false">IF($A145="","",INDEX(_events!$E$2:$E$171,MATCH($A145,_events!$A$2:$A$171,0)))</f>
        <v/>
      </c>
      <c r="F145" s="96" t="str">
        <f aca="false">IF($A145="","",INDEX(_events!$F$2:$F$171,MATCH($A145,_events!$A$2:$A$171,0)))</f>
        <v/>
      </c>
      <c r="G145" s="96" t="str">
        <f aca="false">IF($A145="","",INDEX(_events!$G$2:$G$171,MATCH($A145,_events!$A$2:$A$171,0)))</f>
        <v/>
      </c>
      <c r="H145" s="96" t="str">
        <f aca="false">IF($A145="","",INDEX(_events!$H$2:$H$171,MATCH($A145,_events!$A$2:$A$171,0)))</f>
        <v/>
      </c>
      <c r="I145" s="96" t="str">
        <f aca="false">IF($A145="","",INDEX(_events!$I$2:$I$171,MATCH($A145,_events!$A$2:$A$171,0)))</f>
        <v/>
      </c>
      <c r="J145" s="96" t="str">
        <f aca="false">IF($A145="","",INDEX(_events!$J$2:$J$171,MATCH($A145,_events!$A$2:$A$171,0)))</f>
        <v/>
      </c>
      <c r="K145" s="96" t="str">
        <f aca="false">IF($A145="","",INDEX(_events!$K$2:$K$171,MATCH($A145,_events!$A$2:$A$171,0)))</f>
        <v/>
      </c>
    </row>
    <row r="146" customFormat="false" ht="15" hidden="false" customHeight="false" outlineLevel="0" collapsed="false">
      <c r="A146" s="94" t="str">
        <f aca="false">IFERROR(SMALL(_events!$A$2:$A$171,141),"")</f>
        <v/>
      </c>
      <c r="B146" s="95" t="str">
        <f aca="false">IF($A146="","",INT($A146))</f>
        <v/>
      </c>
      <c r="C146" s="96" t="str">
        <f aca="false">IF($A146="","",INDEX(_events!$C$2:$C$171,MATCH($A146,_events!$A$2:$A$171,0)))</f>
        <v/>
      </c>
      <c r="D146" s="97" t="str">
        <f aca="false">IF($A146="","",HYPERLINK("#'"&amp;INDEX(_events!$D$2:$D$171,MATCH($A146,_events!$A$2:$A$171,0))&amp;"'!A1",INDEX(_events!$D$2:$D$171,MATCH($A146,_events!$A$2:$A$171,0))))</f>
        <v/>
      </c>
      <c r="E146" s="96" t="str">
        <f aca="false">IF($A146="","",INDEX(_events!$E$2:$E$171,MATCH($A146,_events!$A$2:$A$171,0)))</f>
        <v/>
      </c>
      <c r="F146" s="96" t="str">
        <f aca="false">IF($A146="","",INDEX(_events!$F$2:$F$171,MATCH($A146,_events!$A$2:$A$171,0)))</f>
        <v/>
      </c>
      <c r="G146" s="96" t="str">
        <f aca="false">IF($A146="","",INDEX(_events!$G$2:$G$171,MATCH($A146,_events!$A$2:$A$171,0)))</f>
        <v/>
      </c>
      <c r="H146" s="96" t="str">
        <f aca="false">IF($A146="","",INDEX(_events!$H$2:$H$171,MATCH($A146,_events!$A$2:$A$171,0)))</f>
        <v/>
      </c>
      <c r="I146" s="96" t="str">
        <f aca="false">IF($A146="","",INDEX(_events!$I$2:$I$171,MATCH($A146,_events!$A$2:$A$171,0)))</f>
        <v/>
      </c>
      <c r="J146" s="96" t="str">
        <f aca="false">IF($A146="","",INDEX(_events!$J$2:$J$171,MATCH($A146,_events!$A$2:$A$171,0)))</f>
        <v/>
      </c>
      <c r="K146" s="96" t="str">
        <f aca="false">IF($A146="","",INDEX(_events!$K$2:$K$171,MATCH($A146,_events!$A$2:$A$171,0)))</f>
        <v/>
      </c>
    </row>
    <row r="147" customFormat="false" ht="15" hidden="false" customHeight="false" outlineLevel="0" collapsed="false">
      <c r="A147" s="94" t="str">
        <f aca="false">IFERROR(SMALL(_events!$A$2:$A$171,142),"")</f>
        <v/>
      </c>
      <c r="B147" s="95" t="str">
        <f aca="false">IF($A147="","",INT($A147))</f>
        <v/>
      </c>
      <c r="C147" s="96" t="str">
        <f aca="false">IF($A147="","",INDEX(_events!$C$2:$C$171,MATCH($A147,_events!$A$2:$A$171,0)))</f>
        <v/>
      </c>
      <c r="D147" s="97" t="str">
        <f aca="false">IF($A147="","",HYPERLINK("#'"&amp;INDEX(_events!$D$2:$D$171,MATCH($A147,_events!$A$2:$A$171,0))&amp;"'!A1",INDEX(_events!$D$2:$D$171,MATCH($A147,_events!$A$2:$A$171,0))))</f>
        <v/>
      </c>
      <c r="E147" s="96" t="str">
        <f aca="false">IF($A147="","",INDEX(_events!$E$2:$E$171,MATCH($A147,_events!$A$2:$A$171,0)))</f>
        <v/>
      </c>
      <c r="F147" s="96" t="str">
        <f aca="false">IF($A147="","",INDEX(_events!$F$2:$F$171,MATCH($A147,_events!$A$2:$A$171,0)))</f>
        <v/>
      </c>
      <c r="G147" s="96" t="str">
        <f aca="false">IF($A147="","",INDEX(_events!$G$2:$G$171,MATCH($A147,_events!$A$2:$A$171,0)))</f>
        <v/>
      </c>
      <c r="H147" s="96" t="str">
        <f aca="false">IF($A147="","",INDEX(_events!$H$2:$H$171,MATCH($A147,_events!$A$2:$A$171,0)))</f>
        <v/>
      </c>
      <c r="I147" s="96" t="str">
        <f aca="false">IF($A147="","",INDEX(_events!$I$2:$I$171,MATCH($A147,_events!$A$2:$A$171,0)))</f>
        <v/>
      </c>
      <c r="J147" s="96" t="str">
        <f aca="false">IF($A147="","",INDEX(_events!$J$2:$J$171,MATCH($A147,_events!$A$2:$A$171,0)))</f>
        <v/>
      </c>
      <c r="K147" s="96" t="str">
        <f aca="false">IF($A147="","",INDEX(_events!$K$2:$K$171,MATCH($A147,_events!$A$2:$A$171,0)))</f>
        <v/>
      </c>
    </row>
    <row r="148" customFormat="false" ht="15" hidden="false" customHeight="false" outlineLevel="0" collapsed="false">
      <c r="A148" s="94" t="str">
        <f aca="false">IFERROR(SMALL(_events!$A$2:$A$171,143),"")</f>
        <v/>
      </c>
      <c r="B148" s="95" t="str">
        <f aca="false">IF($A148="","",INT($A148))</f>
        <v/>
      </c>
      <c r="C148" s="96" t="str">
        <f aca="false">IF($A148="","",INDEX(_events!$C$2:$C$171,MATCH($A148,_events!$A$2:$A$171,0)))</f>
        <v/>
      </c>
      <c r="D148" s="97" t="str">
        <f aca="false">IF($A148="","",HYPERLINK("#'"&amp;INDEX(_events!$D$2:$D$171,MATCH($A148,_events!$A$2:$A$171,0))&amp;"'!A1",INDEX(_events!$D$2:$D$171,MATCH($A148,_events!$A$2:$A$171,0))))</f>
        <v/>
      </c>
      <c r="E148" s="96" t="str">
        <f aca="false">IF($A148="","",INDEX(_events!$E$2:$E$171,MATCH($A148,_events!$A$2:$A$171,0)))</f>
        <v/>
      </c>
      <c r="F148" s="96" t="str">
        <f aca="false">IF($A148="","",INDEX(_events!$F$2:$F$171,MATCH($A148,_events!$A$2:$A$171,0)))</f>
        <v/>
      </c>
      <c r="G148" s="96" t="str">
        <f aca="false">IF($A148="","",INDEX(_events!$G$2:$G$171,MATCH($A148,_events!$A$2:$A$171,0)))</f>
        <v/>
      </c>
      <c r="H148" s="96" t="str">
        <f aca="false">IF($A148="","",INDEX(_events!$H$2:$H$171,MATCH($A148,_events!$A$2:$A$171,0)))</f>
        <v/>
      </c>
      <c r="I148" s="96" t="str">
        <f aca="false">IF($A148="","",INDEX(_events!$I$2:$I$171,MATCH($A148,_events!$A$2:$A$171,0)))</f>
        <v/>
      </c>
      <c r="J148" s="96" t="str">
        <f aca="false">IF($A148="","",INDEX(_events!$J$2:$J$171,MATCH($A148,_events!$A$2:$A$171,0)))</f>
        <v/>
      </c>
      <c r="K148" s="96" t="str">
        <f aca="false">IF($A148="","",INDEX(_events!$K$2:$K$171,MATCH($A148,_events!$A$2:$A$171,0)))</f>
        <v/>
      </c>
    </row>
    <row r="149" customFormat="false" ht="15" hidden="false" customHeight="false" outlineLevel="0" collapsed="false">
      <c r="A149" s="94" t="str">
        <f aca="false">IFERROR(SMALL(_events!$A$2:$A$171,144),"")</f>
        <v/>
      </c>
      <c r="B149" s="95" t="str">
        <f aca="false">IF($A149="","",INT($A149))</f>
        <v/>
      </c>
      <c r="C149" s="96" t="str">
        <f aca="false">IF($A149="","",INDEX(_events!$C$2:$C$171,MATCH($A149,_events!$A$2:$A$171,0)))</f>
        <v/>
      </c>
      <c r="D149" s="97" t="str">
        <f aca="false">IF($A149="","",HYPERLINK("#'"&amp;INDEX(_events!$D$2:$D$171,MATCH($A149,_events!$A$2:$A$171,0))&amp;"'!A1",INDEX(_events!$D$2:$D$171,MATCH($A149,_events!$A$2:$A$171,0))))</f>
        <v/>
      </c>
      <c r="E149" s="96" t="str">
        <f aca="false">IF($A149="","",INDEX(_events!$E$2:$E$171,MATCH($A149,_events!$A$2:$A$171,0)))</f>
        <v/>
      </c>
      <c r="F149" s="96" t="str">
        <f aca="false">IF($A149="","",INDEX(_events!$F$2:$F$171,MATCH($A149,_events!$A$2:$A$171,0)))</f>
        <v/>
      </c>
      <c r="G149" s="96" t="str">
        <f aca="false">IF($A149="","",INDEX(_events!$G$2:$G$171,MATCH($A149,_events!$A$2:$A$171,0)))</f>
        <v/>
      </c>
      <c r="H149" s="96" t="str">
        <f aca="false">IF($A149="","",INDEX(_events!$H$2:$H$171,MATCH($A149,_events!$A$2:$A$171,0)))</f>
        <v/>
      </c>
      <c r="I149" s="96" t="str">
        <f aca="false">IF($A149="","",INDEX(_events!$I$2:$I$171,MATCH($A149,_events!$A$2:$A$171,0)))</f>
        <v/>
      </c>
      <c r="J149" s="96" t="str">
        <f aca="false">IF($A149="","",INDEX(_events!$J$2:$J$171,MATCH($A149,_events!$A$2:$A$171,0)))</f>
        <v/>
      </c>
      <c r="K149" s="96" t="str">
        <f aca="false">IF($A149="","",INDEX(_events!$K$2:$K$171,MATCH($A149,_events!$A$2:$A$171,0)))</f>
        <v/>
      </c>
    </row>
    <row r="150" customFormat="false" ht="15" hidden="false" customHeight="false" outlineLevel="0" collapsed="false">
      <c r="A150" s="94" t="str">
        <f aca="false">IFERROR(SMALL(_events!$A$2:$A$171,145),"")</f>
        <v/>
      </c>
      <c r="B150" s="95" t="str">
        <f aca="false">IF($A150="","",INT($A150))</f>
        <v/>
      </c>
      <c r="C150" s="96" t="str">
        <f aca="false">IF($A150="","",INDEX(_events!$C$2:$C$171,MATCH($A150,_events!$A$2:$A$171,0)))</f>
        <v/>
      </c>
      <c r="D150" s="97" t="str">
        <f aca="false">IF($A150="","",HYPERLINK("#'"&amp;INDEX(_events!$D$2:$D$171,MATCH($A150,_events!$A$2:$A$171,0))&amp;"'!A1",INDEX(_events!$D$2:$D$171,MATCH($A150,_events!$A$2:$A$171,0))))</f>
        <v/>
      </c>
      <c r="E150" s="96" t="str">
        <f aca="false">IF($A150="","",INDEX(_events!$E$2:$E$171,MATCH($A150,_events!$A$2:$A$171,0)))</f>
        <v/>
      </c>
      <c r="F150" s="96" t="str">
        <f aca="false">IF($A150="","",INDEX(_events!$F$2:$F$171,MATCH($A150,_events!$A$2:$A$171,0)))</f>
        <v/>
      </c>
      <c r="G150" s="96" t="str">
        <f aca="false">IF($A150="","",INDEX(_events!$G$2:$G$171,MATCH($A150,_events!$A$2:$A$171,0)))</f>
        <v/>
      </c>
      <c r="H150" s="96" t="str">
        <f aca="false">IF($A150="","",INDEX(_events!$H$2:$H$171,MATCH($A150,_events!$A$2:$A$171,0)))</f>
        <v/>
      </c>
      <c r="I150" s="96" t="str">
        <f aca="false">IF($A150="","",INDEX(_events!$I$2:$I$171,MATCH($A150,_events!$A$2:$A$171,0)))</f>
        <v/>
      </c>
      <c r="J150" s="96" t="str">
        <f aca="false">IF($A150="","",INDEX(_events!$J$2:$J$171,MATCH($A150,_events!$A$2:$A$171,0)))</f>
        <v/>
      </c>
      <c r="K150" s="96" t="str">
        <f aca="false">IF($A150="","",INDEX(_events!$K$2:$K$171,MATCH($A150,_events!$A$2:$A$171,0)))</f>
        <v/>
      </c>
    </row>
    <row r="151" customFormat="false" ht="15" hidden="false" customHeight="false" outlineLevel="0" collapsed="false">
      <c r="A151" s="94" t="str">
        <f aca="false">IFERROR(SMALL(_events!$A$2:$A$171,146),"")</f>
        <v/>
      </c>
      <c r="B151" s="95" t="str">
        <f aca="false">IF($A151="","",INT($A151))</f>
        <v/>
      </c>
      <c r="C151" s="96" t="str">
        <f aca="false">IF($A151="","",INDEX(_events!$C$2:$C$171,MATCH($A151,_events!$A$2:$A$171,0)))</f>
        <v/>
      </c>
      <c r="D151" s="97" t="str">
        <f aca="false">IF($A151="","",HYPERLINK("#'"&amp;INDEX(_events!$D$2:$D$171,MATCH($A151,_events!$A$2:$A$171,0))&amp;"'!A1",INDEX(_events!$D$2:$D$171,MATCH($A151,_events!$A$2:$A$171,0))))</f>
        <v/>
      </c>
      <c r="E151" s="96" t="str">
        <f aca="false">IF($A151="","",INDEX(_events!$E$2:$E$171,MATCH($A151,_events!$A$2:$A$171,0)))</f>
        <v/>
      </c>
      <c r="F151" s="96" t="str">
        <f aca="false">IF($A151="","",INDEX(_events!$F$2:$F$171,MATCH($A151,_events!$A$2:$A$171,0)))</f>
        <v/>
      </c>
      <c r="G151" s="96" t="str">
        <f aca="false">IF($A151="","",INDEX(_events!$G$2:$G$171,MATCH($A151,_events!$A$2:$A$171,0)))</f>
        <v/>
      </c>
      <c r="H151" s="96" t="str">
        <f aca="false">IF($A151="","",INDEX(_events!$H$2:$H$171,MATCH($A151,_events!$A$2:$A$171,0)))</f>
        <v/>
      </c>
      <c r="I151" s="96" t="str">
        <f aca="false">IF($A151="","",INDEX(_events!$I$2:$I$171,MATCH($A151,_events!$A$2:$A$171,0)))</f>
        <v/>
      </c>
      <c r="J151" s="96" t="str">
        <f aca="false">IF($A151="","",INDEX(_events!$J$2:$J$171,MATCH($A151,_events!$A$2:$A$171,0)))</f>
        <v/>
      </c>
      <c r="K151" s="96" t="str">
        <f aca="false">IF($A151="","",INDEX(_events!$K$2:$K$171,MATCH($A151,_events!$A$2:$A$171,0)))</f>
        <v/>
      </c>
    </row>
    <row r="152" customFormat="false" ht="15" hidden="false" customHeight="false" outlineLevel="0" collapsed="false">
      <c r="A152" s="94" t="str">
        <f aca="false">IFERROR(SMALL(_events!$A$2:$A$171,147),"")</f>
        <v/>
      </c>
      <c r="B152" s="95" t="str">
        <f aca="false">IF($A152="","",INT($A152))</f>
        <v/>
      </c>
      <c r="C152" s="96" t="str">
        <f aca="false">IF($A152="","",INDEX(_events!$C$2:$C$171,MATCH($A152,_events!$A$2:$A$171,0)))</f>
        <v/>
      </c>
      <c r="D152" s="97" t="str">
        <f aca="false">IF($A152="","",HYPERLINK("#'"&amp;INDEX(_events!$D$2:$D$171,MATCH($A152,_events!$A$2:$A$171,0))&amp;"'!A1",INDEX(_events!$D$2:$D$171,MATCH($A152,_events!$A$2:$A$171,0))))</f>
        <v/>
      </c>
      <c r="E152" s="96" t="str">
        <f aca="false">IF($A152="","",INDEX(_events!$E$2:$E$171,MATCH($A152,_events!$A$2:$A$171,0)))</f>
        <v/>
      </c>
      <c r="F152" s="96" t="str">
        <f aca="false">IF($A152="","",INDEX(_events!$F$2:$F$171,MATCH($A152,_events!$A$2:$A$171,0)))</f>
        <v/>
      </c>
      <c r="G152" s="96" t="str">
        <f aca="false">IF($A152="","",INDEX(_events!$G$2:$G$171,MATCH($A152,_events!$A$2:$A$171,0)))</f>
        <v/>
      </c>
      <c r="H152" s="96" t="str">
        <f aca="false">IF($A152="","",INDEX(_events!$H$2:$H$171,MATCH($A152,_events!$A$2:$A$171,0)))</f>
        <v/>
      </c>
      <c r="I152" s="96" t="str">
        <f aca="false">IF($A152="","",INDEX(_events!$I$2:$I$171,MATCH($A152,_events!$A$2:$A$171,0)))</f>
        <v/>
      </c>
      <c r="J152" s="96" t="str">
        <f aca="false">IF($A152="","",INDEX(_events!$J$2:$J$171,MATCH($A152,_events!$A$2:$A$171,0)))</f>
        <v/>
      </c>
      <c r="K152" s="96" t="str">
        <f aca="false">IF($A152="","",INDEX(_events!$K$2:$K$171,MATCH($A152,_events!$A$2:$A$171,0)))</f>
        <v/>
      </c>
    </row>
    <row r="153" customFormat="false" ht="15" hidden="false" customHeight="false" outlineLevel="0" collapsed="false">
      <c r="A153" s="94" t="str">
        <f aca="false">IFERROR(SMALL(_events!$A$2:$A$171,148),"")</f>
        <v/>
      </c>
      <c r="B153" s="95" t="str">
        <f aca="false">IF($A153="","",INT($A153))</f>
        <v/>
      </c>
      <c r="C153" s="96" t="str">
        <f aca="false">IF($A153="","",INDEX(_events!$C$2:$C$171,MATCH($A153,_events!$A$2:$A$171,0)))</f>
        <v/>
      </c>
      <c r="D153" s="97" t="str">
        <f aca="false">IF($A153="","",HYPERLINK("#'"&amp;INDEX(_events!$D$2:$D$171,MATCH($A153,_events!$A$2:$A$171,0))&amp;"'!A1",INDEX(_events!$D$2:$D$171,MATCH($A153,_events!$A$2:$A$171,0))))</f>
        <v/>
      </c>
      <c r="E153" s="96" t="str">
        <f aca="false">IF($A153="","",INDEX(_events!$E$2:$E$171,MATCH($A153,_events!$A$2:$A$171,0)))</f>
        <v/>
      </c>
      <c r="F153" s="96" t="str">
        <f aca="false">IF($A153="","",INDEX(_events!$F$2:$F$171,MATCH($A153,_events!$A$2:$A$171,0)))</f>
        <v/>
      </c>
      <c r="G153" s="96" t="str">
        <f aca="false">IF($A153="","",INDEX(_events!$G$2:$G$171,MATCH($A153,_events!$A$2:$A$171,0)))</f>
        <v/>
      </c>
      <c r="H153" s="96" t="str">
        <f aca="false">IF($A153="","",INDEX(_events!$H$2:$H$171,MATCH($A153,_events!$A$2:$A$171,0)))</f>
        <v/>
      </c>
      <c r="I153" s="96" t="str">
        <f aca="false">IF($A153="","",INDEX(_events!$I$2:$I$171,MATCH($A153,_events!$A$2:$A$171,0)))</f>
        <v/>
      </c>
      <c r="J153" s="96" t="str">
        <f aca="false">IF($A153="","",INDEX(_events!$J$2:$J$171,MATCH($A153,_events!$A$2:$A$171,0)))</f>
        <v/>
      </c>
      <c r="K153" s="96" t="str">
        <f aca="false">IF($A153="","",INDEX(_events!$K$2:$K$171,MATCH($A153,_events!$A$2:$A$171,0)))</f>
        <v/>
      </c>
    </row>
    <row r="154" customFormat="false" ht="15" hidden="false" customHeight="false" outlineLevel="0" collapsed="false">
      <c r="A154" s="94" t="str">
        <f aca="false">IFERROR(SMALL(_events!$A$2:$A$171,149),"")</f>
        <v/>
      </c>
      <c r="B154" s="95" t="str">
        <f aca="false">IF($A154="","",INT($A154))</f>
        <v/>
      </c>
      <c r="C154" s="96" t="str">
        <f aca="false">IF($A154="","",INDEX(_events!$C$2:$C$171,MATCH($A154,_events!$A$2:$A$171,0)))</f>
        <v/>
      </c>
      <c r="D154" s="97" t="str">
        <f aca="false">IF($A154="","",HYPERLINK("#'"&amp;INDEX(_events!$D$2:$D$171,MATCH($A154,_events!$A$2:$A$171,0))&amp;"'!A1",INDEX(_events!$D$2:$D$171,MATCH($A154,_events!$A$2:$A$171,0))))</f>
        <v/>
      </c>
      <c r="E154" s="96" t="str">
        <f aca="false">IF($A154="","",INDEX(_events!$E$2:$E$171,MATCH($A154,_events!$A$2:$A$171,0)))</f>
        <v/>
      </c>
      <c r="F154" s="96" t="str">
        <f aca="false">IF($A154="","",INDEX(_events!$F$2:$F$171,MATCH($A154,_events!$A$2:$A$171,0)))</f>
        <v/>
      </c>
      <c r="G154" s="96" t="str">
        <f aca="false">IF($A154="","",INDEX(_events!$G$2:$G$171,MATCH($A154,_events!$A$2:$A$171,0)))</f>
        <v/>
      </c>
      <c r="H154" s="96" t="str">
        <f aca="false">IF($A154="","",INDEX(_events!$H$2:$H$171,MATCH($A154,_events!$A$2:$A$171,0)))</f>
        <v/>
      </c>
      <c r="I154" s="96" t="str">
        <f aca="false">IF($A154="","",INDEX(_events!$I$2:$I$171,MATCH($A154,_events!$A$2:$A$171,0)))</f>
        <v/>
      </c>
      <c r="J154" s="96" t="str">
        <f aca="false">IF($A154="","",INDEX(_events!$J$2:$J$171,MATCH($A154,_events!$A$2:$A$171,0)))</f>
        <v/>
      </c>
      <c r="K154" s="96" t="str">
        <f aca="false">IF($A154="","",INDEX(_events!$K$2:$K$171,MATCH($A154,_events!$A$2:$A$171,0)))</f>
        <v/>
      </c>
    </row>
    <row r="155" customFormat="false" ht="15" hidden="false" customHeight="false" outlineLevel="0" collapsed="false">
      <c r="A155" s="94" t="str">
        <f aca="false">IFERROR(SMALL(_events!$A$2:$A$171,150),"")</f>
        <v/>
      </c>
      <c r="B155" s="95" t="str">
        <f aca="false">IF($A155="","",INT($A155))</f>
        <v/>
      </c>
      <c r="C155" s="96" t="str">
        <f aca="false">IF($A155="","",INDEX(_events!$C$2:$C$171,MATCH($A155,_events!$A$2:$A$171,0)))</f>
        <v/>
      </c>
      <c r="D155" s="97" t="str">
        <f aca="false">IF($A155="","",HYPERLINK("#'"&amp;INDEX(_events!$D$2:$D$171,MATCH($A155,_events!$A$2:$A$171,0))&amp;"'!A1",INDEX(_events!$D$2:$D$171,MATCH($A155,_events!$A$2:$A$171,0))))</f>
        <v/>
      </c>
      <c r="E155" s="96" t="str">
        <f aca="false">IF($A155="","",INDEX(_events!$E$2:$E$171,MATCH($A155,_events!$A$2:$A$171,0)))</f>
        <v/>
      </c>
      <c r="F155" s="96" t="str">
        <f aca="false">IF($A155="","",INDEX(_events!$F$2:$F$171,MATCH($A155,_events!$A$2:$A$171,0)))</f>
        <v/>
      </c>
      <c r="G155" s="96" t="str">
        <f aca="false">IF($A155="","",INDEX(_events!$G$2:$G$171,MATCH($A155,_events!$A$2:$A$171,0)))</f>
        <v/>
      </c>
      <c r="H155" s="96" t="str">
        <f aca="false">IF($A155="","",INDEX(_events!$H$2:$H$171,MATCH($A155,_events!$A$2:$A$171,0)))</f>
        <v/>
      </c>
      <c r="I155" s="96" t="str">
        <f aca="false">IF($A155="","",INDEX(_events!$I$2:$I$171,MATCH($A155,_events!$A$2:$A$171,0)))</f>
        <v/>
      </c>
      <c r="J155" s="96" t="str">
        <f aca="false">IF($A155="","",INDEX(_events!$J$2:$J$171,MATCH($A155,_events!$A$2:$A$171,0)))</f>
        <v/>
      </c>
      <c r="K155" s="96" t="str">
        <f aca="false">IF($A155="","",INDEX(_events!$K$2:$K$171,MATCH($A155,_events!$A$2:$A$171,0)))</f>
        <v/>
      </c>
    </row>
    <row r="156" customFormat="false" ht="15" hidden="false" customHeight="false" outlineLevel="0" collapsed="false">
      <c r="A156" s="94" t="str">
        <f aca="false">IFERROR(SMALL(_events!$A$2:$A$171,151),"")</f>
        <v/>
      </c>
      <c r="B156" s="95" t="str">
        <f aca="false">IF($A156="","",INT($A156))</f>
        <v/>
      </c>
      <c r="C156" s="96" t="str">
        <f aca="false">IF($A156="","",INDEX(_events!$C$2:$C$171,MATCH($A156,_events!$A$2:$A$171,0)))</f>
        <v/>
      </c>
      <c r="D156" s="97" t="str">
        <f aca="false">IF($A156="","",HYPERLINK("#'"&amp;INDEX(_events!$D$2:$D$171,MATCH($A156,_events!$A$2:$A$171,0))&amp;"'!A1",INDEX(_events!$D$2:$D$171,MATCH($A156,_events!$A$2:$A$171,0))))</f>
        <v/>
      </c>
      <c r="E156" s="96" t="str">
        <f aca="false">IF($A156="","",INDEX(_events!$E$2:$E$171,MATCH($A156,_events!$A$2:$A$171,0)))</f>
        <v/>
      </c>
      <c r="F156" s="96" t="str">
        <f aca="false">IF($A156="","",INDEX(_events!$F$2:$F$171,MATCH($A156,_events!$A$2:$A$171,0)))</f>
        <v/>
      </c>
      <c r="G156" s="96" t="str">
        <f aca="false">IF($A156="","",INDEX(_events!$G$2:$G$171,MATCH($A156,_events!$A$2:$A$171,0)))</f>
        <v/>
      </c>
      <c r="H156" s="96" t="str">
        <f aca="false">IF($A156="","",INDEX(_events!$H$2:$H$171,MATCH($A156,_events!$A$2:$A$171,0)))</f>
        <v/>
      </c>
      <c r="I156" s="96" t="str">
        <f aca="false">IF($A156="","",INDEX(_events!$I$2:$I$171,MATCH($A156,_events!$A$2:$A$171,0)))</f>
        <v/>
      </c>
      <c r="J156" s="96" t="str">
        <f aca="false">IF($A156="","",INDEX(_events!$J$2:$J$171,MATCH($A156,_events!$A$2:$A$171,0)))</f>
        <v/>
      </c>
      <c r="K156" s="96" t="str">
        <f aca="false">IF($A156="","",INDEX(_events!$K$2:$K$171,MATCH($A156,_events!$A$2:$A$171,0)))</f>
        <v/>
      </c>
    </row>
    <row r="157" customFormat="false" ht="15" hidden="false" customHeight="false" outlineLevel="0" collapsed="false">
      <c r="A157" s="94" t="str">
        <f aca="false">IFERROR(SMALL(_events!$A$2:$A$171,152),"")</f>
        <v/>
      </c>
      <c r="B157" s="95" t="str">
        <f aca="false">IF($A157="","",INT($A157))</f>
        <v/>
      </c>
      <c r="C157" s="96" t="str">
        <f aca="false">IF($A157="","",INDEX(_events!$C$2:$C$171,MATCH($A157,_events!$A$2:$A$171,0)))</f>
        <v/>
      </c>
      <c r="D157" s="97" t="str">
        <f aca="false">IF($A157="","",HYPERLINK("#'"&amp;INDEX(_events!$D$2:$D$171,MATCH($A157,_events!$A$2:$A$171,0))&amp;"'!A1",INDEX(_events!$D$2:$D$171,MATCH($A157,_events!$A$2:$A$171,0))))</f>
        <v/>
      </c>
      <c r="E157" s="96" t="str">
        <f aca="false">IF($A157="","",INDEX(_events!$E$2:$E$171,MATCH($A157,_events!$A$2:$A$171,0)))</f>
        <v/>
      </c>
      <c r="F157" s="96" t="str">
        <f aca="false">IF($A157="","",INDEX(_events!$F$2:$F$171,MATCH($A157,_events!$A$2:$A$171,0)))</f>
        <v/>
      </c>
      <c r="G157" s="96" t="str">
        <f aca="false">IF($A157="","",INDEX(_events!$G$2:$G$171,MATCH($A157,_events!$A$2:$A$171,0)))</f>
        <v/>
      </c>
      <c r="H157" s="96" t="str">
        <f aca="false">IF($A157="","",INDEX(_events!$H$2:$H$171,MATCH($A157,_events!$A$2:$A$171,0)))</f>
        <v/>
      </c>
      <c r="I157" s="96" t="str">
        <f aca="false">IF($A157="","",INDEX(_events!$I$2:$I$171,MATCH($A157,_events!$A$2:$A$171,0)))</f>
        <v/>
      </c>
      <c r="J157" s="96" t="str">
        <f aca="false">IF($A157="","",INDEX(_events!$J$2:$J$171,MATCH($A157,_events!$A$2:$A$171,0)))</f>
        <v/>
      </c>
      <c r="K157" s="96" t="str">
        <f aca="false">IF($A157="","",INDEX(_events!$K$2:$K$171,MATCH($A157,_events!$A$2:$A$171,0)))</f>
        <v/>
      </c>
    </row>
    <row r="158" customFormat="false" ht="15" hidden="false" customHeight="false" outlineLevel="0" collapsed="false">
      <c r="A158" s="94" t="str">
        <f aca="false">IFERROR(SMALL(_events!$A$2:$A$171,153),"")</f>
        <v/>
      </c>
      <c r="B158" s="95" t="str">
        <f aca="false">IF($A158="","",INT($A158))</f>
        <v/>
      </c>
      <c r="C158" s="96" t="str">
        <f aca="false">IF($A158="","",INDEX(_events!$C$2:$C$171,MATCH($A158,_events!$A$2:$A$171,0)))</f>
        <v/>
      </c>
      <c r="D158" s="97" t="str">
        <f aca="false">IF($A158="","",HYPERLINK("#'"&amp;INDEX(_events!$D$2:$D$171,MATCH($A158,_events!$A$2:$A$171,0))&amp;"'!A1",INDEX(_events!$D$2:$D$171,MATCH($A158,_events!$A$2:$A$171,0))))</f>
        <v/>
      </c>
      <c r="E158" s="96" t="str">
        <f aca="false">IF($A158="","",INDEX(_events!$E$2:$E$171,MATCH($A158,_events!$A$2:$A$171,0)))</f>
        <v/>
      </c>
      <c r="F158" s="96" t="str">
        <f aca="false">IF($A158="","",INDEX(_events!$F$2:$F$171,MATCH($A158,_events!$A$2:$A$171,0)))</f>
        <v/>
      </c>
      <c r="G158" s="96" t="str">
        <f aca="false">IF($A158="","",INDEX(_events!$G$2:$G$171,MATCH($A158,_events!$A$2:$A$171,0)))</f>
        <v/>
      </c>
      <c r="H158" s="96" t="str">
        <f aca="false">IF($A158="","",INDEX(_events!$H$2:$H$171,MATCH($A158,_events!$A$2:$A$171,0)))</f>
        <v/>
      </c>
      <c r="I158" s="96" t="str">
        <f aca="false">IF($A158="","",INDEX(_events!$I$2:$I$171,MATCH($A158,_events!$A$2:$A$171,0)))</f>
        <v/>
      </c>
      <c r="J158" s="96" t="str">
        <f aca="false">IF($A158="","",INDEX(_events!$J$2:$J$171,MATCH($A158,_events!$A$2:$A$171,0)))</f>
        <v/>
      </c>
      <c r="K158" s="96" t="str">
        <f aca="false">IF($A158="","",INDEX(_events!$K$2:$K$171,MATCH($A158,_events!$A$2:$A$171,0)))</f>
        <v/>
      </c>
    </row>
    <row r="159" customFormat="false" ht="15" hidden="false" customHeight="false" outlineLevel="0" collapsed="false">
      <c r="A159" s="94" t="str">
        <f aca="false">IFERROR(SMALL(_events!$A$2:$A$171,154),"")</f>
        <v/>
      </c>
      <c r="B159" s="95" t="str">
        <f aca="false">IF($A159="","",INT($A159))</f>
        <v/>
      </c>
      <c r="C159" s="96" t="str">
        <f aca="false">IF($A159="","",INDEX(_events!$C$2:$C$171,MATCH($A159,_events!$A$2:$A$171,0)))</f>
        <v/>
      </c>
      <c r="D159" s="97" t="str">
        <f aca="false">IF($A159="","",HYPERLINK("#'"&amp;INDEX(_events!$D$2:$D$171,MATCH($A159,_events!$A$2:$A$171,0))&amp;"'!A1",INDEX(_events!$D$2:$D$171,MATCH($A159,_events!$A$2:$A$171,0))))</f>
        <v/>
      </c>
      <c r="E159" s="96" t="str">
        <f aca="false">IF($A159="","",INDEX(_events!$E$2:$E$171,MATCH($A159,_events!$A$2:$A$171,0)))</f>
        <v/>
      </c>
      <c r="F159" s="96" t="str">
        <f aca="false">IF($A159="","",INDEX(_events!$F$2:$F$171,MATCH($A159,_events!$A$2:$A$171,0)))</f>
        <v/>
      </c>
      <c r="G159" s="96" t="str">
        <f aca="false">IF($A159="","",INDEX(_events!$G$2:$G$171,MATCH($A159,_events!$A$2:$A$171,0)))</f>
        <v/>
      </c>
      <c r="H159" s="96" t="str">
        <f aca="false">IF($A159="","",INDEX(_events!$H$2:$H$171,MATCH($A159,_events!$A$2:$A$171,0)))</f>
        <v/>
      </c>
      <c r="I159" s="96" t="str">
        <f aca="false">IF($A159="","",INDEX(_events!$I$2:$I$171,MATCH($A159,_events!$A$2:$A$171,0)))</f>
        <v/>
      </c>
      <c r="J159" s="96" t="str">
        <f aca="false">IF($A159="","",INDEX(_events!$J$2:$J$171,MATCH($A159,_events!$A$2:$A$171,0)))</f>
        <v/>
      </c>
      <c r="K159" s="96" t="str">
        <f aca="false">IF($A159="","",INDEX(_events!$K$2:$K$171,MATCH($A159,_events!$A$2:$A$171,0)))</f>
        <v/>
      </c>
    </row>
    <row r="160" customFormat="false" ht="15" hidden="false" customHeight="false" outlineLevel="0" collapsed="false">
      <c r="A160" s="94" t="str">
        <f aca="false">IFERROR(SMALL(_events!$A$2:$A$171,155),"")</f>
        <v/>
      </c>
      <c r="B160" s="95" t="str">
        <f aca="false">IF($A160="","",INT($A160))</f>
        <v/>
      </c>
      <c r="C160" s="96" t="str">
        <f aca="false">IF($A160="","",INDEX(_events!$C$2:$C$171,MATCH($A160,_events!$A$2:$A$171,0)))</f>
        <v/>
      </c>
      <c r="D160" s="97" t="str">
        <f aca="false">IF($A160="","",HYPERLINK("#'"&amp;INDEX(_events!$D$2:$D$171,MATCH($A160,_events!$A$2:$A$171,0))&amp;"'!A1",INDEX(_events!$D$2:$D$171,MATCH($A160,_events!$A$2:$A$171,0))))</f>
        <v/>
      </c>
      <c r="E160" s="96" t="str">
        <f aca="false">IF($A160="","",INDEX(_events!$E$2:$E$171,MATCH($A160,_events!$A$2:$A$171,0)))</f>
        <v/>
      </c>
      <c r="F160" s="96" t="str">
        <f aca="false">IF($A160="","",INDEX(_events!$F$2:$F$171,MATCH($A160,_events!$A$2:$A$171,0)))</f>
        <v/>
      </c>
      <c r="G160" s="96" t="str">
        <f aca="false">IF($A160="","",INDEX(_events!$G$2:$G$171,MATCH($A160,_events!$A$2:$A$171,0)))</f>
        <v/>
      </c>
      <c r="H160" s="96" t="str">
        <f aca="false">IF($A160="","",INDEX(_events!$H$2:$H$171,MATCH($A160,_events!$A$2:$A$171,0)))</f>
        <v/>
      </c>
      <c r="I160" s="96" t="str">
        <f aca="false">IF($A160="","",INDEX(_events!$I$2:$I$171,MATCH($A160,_events!$A$2:$A$171,0)))</f>
        <v/>
      </c>
      <c r="J160" s="96" t="str">
        <f aca="false">IF($A160="","",INDEX(_events!$J$2:$J$171,MATCH($A160,_events!$A$2:$A$171,0)))</f>
        <v/>
      </c>
      <c r="K160" s="96" t="str">
        <f aca="false">IF($A160="","",INDEX(_events!$K$2:$K$171,MATCH($A160,_events!$A$2:$A$171,0)))</f>
        <v/>
      </c>
    </row>
    <row r="161" customFormat="false" ht="15" hidden="false" customHeight="false" outlineLevel="0" collapsed="false">
      <c r="A161" s="94" t="str">
        <f aca="false">IFERROR(SMALL(_events!$A$2:$A$171,156),"")</f>
        <v/>
      </c>
      <c r="B161" s="95" t="str">
        <f aca="false">IF($A161="","",INT($A161))</f>
        <v/>
      </c>
      <c r="C161" s="96" t="str">
        <f aca="false">IF($A161="","",INDEX(_events!$C$2:$C$171,MATCH($A161,_events!$A$2:$A$171,0)))</f>
        <v/>
      </c>
      <c r="D161" s="97" t="str">
        <f aca="false">IF($A161="","",HYPERLINK("#'"&amp;INDEX(_events!$D$2:$D$171,MATCH($A161,_events!$A$2:$A$171,0))&amp;"'!A1",INDEX(_events!$D$2:$D$171,MATCH($A161,_events!$A$2:$A$171,0))))</f>
        <v/>
      </c>
      <c r="E161" s="96" t="str">
        <f aca="false">IF($A161="","",INDEX(_events!$E$2:$E$171,MATCH($A161,_events!$A$2:$A$171,0)))</f>
        <v/>
      </c>
      <c r="F161" s="96" t="str">
        <f aca="false">IF($A161="","",INDEX(_events!$F$2:$F$171,MATCH($A161,_events!$A$2:$A$171,0)))</f>
        <v/>
      </c>
      <c r="G161" s="96" t="str">
        <f aca="false">IF($A161="","",INDEX(_events!$G$2:$G$171,MATCH($A161,_events!$A$2:$A$171,0)))</f>
        <v/>
      </c>
      <c r="H161" s="96" t="str">
        <f aca="false">IF($A161="","",INDEX(_events!$H$2:$H$171,MATCH($A161,_events!$A$2:$A$171,0)))</f>
        <v/>
      </c>
      <c r="I161" s="96" t="str">
        <f aca="false">IF($A161="","",INDEX(_events!$I$2:$I$171,MATCH($A161,_events!$A$2:$A$171,0)))</f>
        <v/>
      </c>
      <c r="J161" s="96" t="str">
        <f aca="false">IF($A161="","",INDEX(_events!$J$2:$J$171,MATCH($A161,_events!$A$2:$A$171,0)))</f>
        <v/>
      </c>
      <c r="K161" s="96" t="str">
        <f aca="false">IF($A161="","",INDEX(_events!$K$2:$K$171,MATCH($A161,_events!$A$2:$A$171,0)))</f>
        <v/>
      </c>
    </row>
    <row r="162" customFormat="false" ht="15" hidden="false" customHeight="false" outlineLevel="0" collapsed="false">
      <c r="A162" s="94" t="str">
        <f aca="false">IFERROR(SMALL(_events!$A$2:$A$171,157),"")</f>
        <v/>
      </c>
      <c r="B162" s="95" t="str">
        <f aca="false">IF($A162="","",INT($A162))</f>
        <v/>
      </c>
      <c r="C162" s="96" t="str">
        <f aca="false">IF($A162="","",INDEX(_events!$C$2:$C$171,MATCH($A162,_events!$A$2:$A$171,0)))</f>
        <v/>
      </c>
      <c r="D162" s="97" t="str">
        <f aca="false">IF($A162="","",HYPERLINK("#'"&amp;INDEX(_events!$D$2:$D$171,MATCH($A162,_events!$A$2:$A$171,0))&amp;"'!A1",INDEX(_events!$D$2:$D$171,MATCH($A162,_events!$A$2:$A$171,0))))</f>
        <v/>
      </c>
      <c r="E162" s="96" t="str">
        <f aca="false">IF($A162="","",INDEX(_events!$E$2:$E$171,MATCH($A162,_events!$A$2:$A$171,0)))</f>
        <v/>
      </c>
      <c r="F162" s="96" t="str">
        <f aca="false">IF($A162="","",INDEX(_events!$F$2:$F$171,MATCH($A162,_events!$A$2:$A$171,0)))</f>
        <v/>
      </c>
      <c r="G162" s="96" t="str">
        <f aca="false">IF($A162="","",INDEX(_events!$G$2:$G$171,MATCH($A162,_events!$A$2:$A$171,0)))</f>
        <v/>
      </c>
      <c r="H162" s="96" t="str">
        <f aca="false">IF($A162="","",INDEX(_events!$H$2:$H$171,MATCH($A162,_events!$A$2:$A$171,0)))</f>
        <v/>
      </c>
      <c r="I162" s="96" t="str">
        <f aca="false">IF($A162="","",INDEX(_events!$I$2:$I$171,MATCH($A162,_events!$A$2:$A$171,0)))</f>
        <v/>
      </c>
      <c r="J162" s="96" t="str">
        <f aca="false">IF($A162="","",INDEX(_events!$J$2:$J$171,MATCH($A162,_events!$A$2:$A$171,0)))</f>
        <v/>
      </c>
      <c r="K162" s="96" t="str">
        <f aca="false">IF($A162="","",INDEX(_events!$K$2:$K$171,MATCH($A162,_events!$A$2:$A$171,0)))</f>
        <v/>
      </c>
    </row>
    <row r="163" customFormat="false" ht="15" hidden="false" customHeight="false" outlineLevel="0" collapsed="false">
      <c r="A163" s="94" t="str">
        <f aca="false">IFERROR(SMALL(_events!$A$2:$A$171,158),"")</f>
        <v/>
      </c>
      <c r="B163" s="95" t="str">
        <f aca="false">IF($A163="","",INT($A163))</f>
        <v/>
      </c>
      <c r="C163" s="96" t="str">
        <f aca="false">IF($A163="","",INDEX(_events!$C$2:$C$171,MATCH($A163,_events!$A$2:$A$171,0)))</f>
        <v/>
      </c>
      <c r="D163" s="97" t="str">
        <f aca="false">IF($A163="","",HYPERLINK("#'"&amp;INDEX(_events!$D$2:$D$171,MATCH($A163,_events!$A$2:$A$171,0))&amp;"'!A1",INDEX(_events!$D$2:$D$171,MATCH($A163,_events!$A$2:$A$171,0))))</f>
        <v/>
      </c>
      <c r="E163" s="96" t="str">
        <f aca="false">IF($A163="","",INDEX(_events!$E$2:$E$171,MATCH($A163,_events!$A$2:$A$171,0)))</f>
        <v/>
      </c>
      <c r="F163" s="96" t="str">
        <f aca="false">IF($A163="","",INDEX(_events!$F$2:$F$171,MATCH($A163,_events!$A$2:$A$171,0)))</f>
        <v/>
      </c>
      <c r="G163" s="96" t="str">
        <f aca="false">IF($A163="","",INDEX(_events!$G$2:$G$171,MATCH($A163,_events!$A$2:$A$171,0)))</f>
        <v/>
      </c>
      <c r="H163" s="96" t="str">
        <f aca="false">IF($A163="","",INDEX(_events!$H$2:$H$171,MATCH($A163,_events!$A$2:$A$171,0)))</f>
        <v/>
      </c>
      <c r="I163" s="96" t="str">
        <f aca="false">IF($A163="","",INDEX(_events!$I$2:$I$171,MATCH($A163,_events!$A$2:$A$171,0)))</f>
        <v/>
      </c>
      <c r="J163" s="96" t="str">
        <f aca="false">IF($A163="","",INDEX(_events!$J$2:$J$171,MATCH($A163,_events!$A$2:$A$171,0)))</f>
        <v/>
      </c>
      <c r="K163" s="96" t="str">
        <f aca="false">IF($A163="","",INDEX(_events!$K$2:$K$171,MATCH($A163,_events!$A$2:$A$171,0)))</f>
        <v/>
      </c>
    </row>
    <row r="164" customFormat="false" ht="15" hidden="false" customHeight="false" outlineLevel="0" collapsed="false">
      <c r="A164" s="94" t="str">
        <f aca="false">IFERROR(SMALL(_events!$A$2:$A$171,159),"")</f>
        <v/>
      </c>
      <c r="B164" s="95" t="str">
        <f aca="false">IF($A164="","",INT($A164))</f>
        <v/>
      </c>
      <c r="C164" s="96" t="str">
        <f aca="false">IF($A164="","",INDEX(_events!$C$2:$C$171,MATCH($A164,_events!$A$2:$A$171,0)))</f>
        <v/>
      </c>
      <c r="D164" s="97" t="str">
        <f aca="false">IF($A164="","",HYPERLINK("#'"&amp;INDEX(_events!$D$2:$D$171,MATCH($A164,_events!$A$2:$A$171,0))&amp;"'!A1",INDEX(_events!$D$2:$D$171,MATCH($A164,_events!$A$2:$A$171,0))))</f>
        <v/>
      </c>
      <c r="E164" s="96" t="str">
        <f aca="false">IF($A164="","",INDEX(_events!$E$2:$E$171,MATCH($A164,_events!$A$2:$A$171,0)))</f>
        <v/>
      </c>
      <c r="F164" s="96" t="str">
        <f aca="false">IF($A164="","",INDEX(_events!$F$2:$F$171,MATCH($A164,_events!$A$2:$A$171,0)))</f>
        <v/>
      </c>
      <c r="G164" s="96" t="str">
        <f aca="false">IF($A164="","",INDEX(_events!$G$2:$G$171,MATCH($A164,_events!$A$2:$A$171,0)))</f>
        <v/>
      </c>
      <c r="H164" s="96" t="str">
        <f aca="false">IF($A164="","",INDEX(_events!$H$2:$H$171,MATCH($A164,_events!$A$2:$A$171,0)))</f>
        <v/>
      </c>
      <c r="I164" s="96" t="str">
        <f aca="false">IF($A164="","",INDEX(_events!$I$2:$I$171,MATCH($A164,_events!$A$2:$A$171,0)))</f>
        <v/>
      </c>
      <c r="J164" s="96" t="str">
        <f aca="false">IF($A164="","",INDEX(_events!$J$2:$J$171,MATCH($A164,_events!$A$2:$A$171,0)))</f>
        <v/>
      </c>
      <c r="K164" s="96" t="str">
        <f aca="false">IF($A164="","",INDEX(_events!$K$2:$K$171,MATCH($A164,_events!$A$2:$A$171,0)))</f>
        <v/>
      </c>
    </row>
    <row r="165" customFormat="false" ht="15" hidden="false" customHeight="false" outlineLevel="0" collapsed="false">
      <c r="A165" s="94" t="str">
        <f aca="false">IFERROR(SMALL(_events!$A$2:$A$171,160),"")</f>
        <v/>
      </c>
      <c r="B165" s="95" t="str">
        <f aca="false">IF($A165="","",INT($A165))</f>
        <v/>
      </c>
      <c r="C165" s="96" t="str">
        <f aca="false">IF($A165="","",INDEX(_events!$C$2:$C$171,MATCH($A165,_events!$A$2:$A$171,0)))</f>
        <v/>
      </c>
      <c r="D165" s="97" t="str">
        <f aca="false">IF($A165="","",HYPERLINK("#'"&amp;INDEX(_events!$D$2:$D$171,MATCH($A165,_events!$A$2:$A$171,0))&amp;"'!A1",INDEX(_events!$D$2:$D$171,MATCH($A165,_events!$A$2:$A$171,0))))</f>
        <v/>
      </c>
      <c r="E165" s="96" t="str">
        <f aca="false">IF($A165="","",INDEX(_events!$E$2:$E$171,MATCH($A165,_events!$A$2:$A$171,0)))</f>
        <v/>
      </c>
      <c r="F165" s="96" t="str">
        <f aca="false">IF($A165="","",INDEX(_events!$F$2:$F$171,MATCH($A165,_events!$A$2:$A$171,0)))</f>
        <v/>
      </c>
      <c r="G165" s="96" t="str">
        <f aca="false">IF($A165="","",INDEX(_events!$G$2:$G$171,MATCH($A165,_events!$A$2:$A$171,0)))</f>
        <v/>
      </c>
      <c r="H165" s="96" t="str">
        <f aca="false">IF($A165="","",INDEX(_events!$H$2:$H$171,MATCH($A165,_events!$A$2:$A$171,0)))</f>
        <v/>
      </c>
      <c r="I165" s="96" t="str">
        <f aca="false">IF($A165="","",INDEX(_events!$I$2:$I$171,MATCH($A165,_events!$A$2:$A$171,0)))</f>
        <v/>
      </c>
      <c r="J165" s="96" t="str">
        <f aca="false">IF($A165="","",INDEX(_events!$J$2:$J$171,MATCH($A165,_events!$A$2:$A$171,0)))</f>
        <v/>
      </c>
      <c r="K165" s="96" t="str">
        <f aca="false">IF($A165="","",INDEX(_events!$K$2:$K$171,MATCH($A165,_events!$A$2:$A$171,0)))</f>
        <v/>
      </c>
    </row>
    <row r="166" customFormat="false" ht="15" hidden="false" customHeight="false" outlineLevel="0" collapsed="false">
      <c r="A166" s="94" t="str">
        <f aca="false">IFERROR(SMALL(_events!$A$2:$A$171,161),"")</f>
        <v/>
      </c>
      <c r="B166" s="95" t="str">
        <f aca="false">IF($A166="","",INT($A166))</f>
        <v/>
      </c>
      <c r="C166" s="96" t="str">
        <f aca="false">IF($A166="","",INDEX(_events!$C$2:$C$171,MATCH($A166,_events!$A$2:$A$171,0)))</f>
        <v/>
      </c>
      <c r="D166" s="97" t="str">
        <f aca="false">IF($A166="","",HYPERLINK("#'"&amp;INDEX(_events!$D$2:$D$171,MATCH($A166,_events!$A$2:$A$171,0))&amp;"'!A1",INDEX(_events!$D$2:$D$171,MATCH($A166,_events!$A$2:$A$171,0))))</f>
        <v/>
      </c>
      <c r="E166" s="96" t="str">
        <f aca="false">IF($A166="","",INDEX(_events!$E$2:$E$171,MATCH($A166,_events!$A$2:$A$171,0)))</f>
        <v/>
      </c>
      <c r="F166" s="96" t="str">
        <f aca="false">IF($A166="","",INDEX(_events!$F$2:$F$171,MATCH($A166,_events!$A$2:$A$171,0)))</f>
        <v/>
      </c>
      <c r="G166" s="96" t="str">
        <f aca="false">IF($A166="","",INDEX(_events!$G$2:$G$171,MATCH($A166,_events!$A$2:$A$171,0)))</f>
        <v/>
      </c>
      <c r="H166" s="96" t="str">
        <f aca="false">IF($A166="","",INDEX(_events!$H$2:$H$171,MATCH($A166,_events!$A$2:$A$171,0)))</f>
        <v/>
      </c>
      <c r="I166" s="96" t="str">
        <f aca="false">IF($A166="","",INDEX(_events!$I$2:$I$171,MATCH($A166,_events!$A$2:$A$171,0)))</f>
        <v/>
      </c>
      <c r="J166" s="96" t="str">
        <f aca="false">IF($A166="","",INDEX(_events!$J$2:$J$171,MATCH($A166,_events!$A$2:$A$171,0)))</f>
        <v/>
      </c>
      <c r="K166" s="96" t="str">
        <f aca="false">IF($A166="","",INDEX(_events!$K$2:$K$171,MATCH($A166,_events!$A$2:$A$171,0)))</f>
        <v/>
      </c>
    </row>
    <row r="167" customFormat="false" ht="15" hidden="false" customHeight="false" outlineLevel="0" collapsed="false">
      <c r="A167" s="94" t="str">
        <f aca="false">IFERROR(SMALL(_events!$A$2:$A$171,162),"")</f>
        <v/>
      </c>
      <c r="B167" s="95" t="str">
        <f aca="false">IF($A167="","",INT($A167))</f>
        <v/>
      </c>
      <c r="C167" s="96" t="str">
        <f aca="false">IF($A167="","",INDEX(_events!$C$2:$C$171,MATCH($A167,_events!$A$2:$A$171,0)))</f>
        <v/>
      </c>
      <c r="D167" s="97" t="str">
        <f aca="false">IF($A167="","",HYPERLINK("#'"&amp;INDEX(_events!$D$2:$D$171,MATCH($A167,_events!$A$2:$A$171,0))&amp;"'!A1",INDEX(_events!$D$2:$D$171,MATCH($A167,_events!$A$2:$A$171,0))))</f>
        <v/>
      </c>
      <c r="E167" s="96" t="str">
        <f aca="false">IF($A167="","",INDEX(_events!$E$2:$E$171,MATCH($A167,_events!$A$2:$A$171,0)))</f>
        <v/>
      </c>
      <c r="F167" s="96" t="str">
        <f aca="false">IF($A167="","",INDEX(_events!$F$2:$F$171,MATCH($A167,_events!$A$2:$A$171,0)))</f>
        <v/>
      </c>
      <c r="G167" s="96" t="str">
        <f aca="false">IF($A167="","",INDEX(_events!$G$2:$G$171,MATCH($A167,_events!$A$2:$A$171,0)))</f>
        <v/>
      </c>
      <c r="H167" s="96" t="str">
        <f aca="false">IF($A167="","",INDEX(_events!$H$2:$H$171,MATCH($A167,_events!$A$2:$A$171,0)))</f>
        <v/>
      </c>
      <c r="I167" s="96" t="str">
        <f aca="false">IF($A167="","",INDEX(_events!$I$2:$I$171,MATCH($A167,_events!$A$2:$A$171,0)))</f>
        <v/>
      </c>
      <c r="J167" s="96" t="str">
        <f aca="false">IF($A167="","",INDEX(_events!$J$2:$J$171,MATCH($A167,_events!$A$2:$A$171,0)))</f>
        <v/>
      </c>
      <c r="K167" s="96" t="str">
        <f aca="false">IF($A167="","",INDEX(_events!$K$2:$K$171,MATCH($A167,_events!$A$2:$A$171,0)))</f>
        <v/>
      </c>
    </row>
    <row r="168" customFormat="false" ht="15" hidden="false" customHeight="false" outlineLevel="0" collapsed="false">
      <c r="A168" s="94" t="str">
        <f aca="false">IFERROR(SMALL(_events!$A$2:$A$171,163),"")</f>
        <v/>
      </c>
      <c r="B168" s="95" t="str">
        <f aca="false">IF($A168="","",INT($A168))</f>
        <v/>
      </c>
      <c r="C168" s="96" t="str">
        <f aca="false">IF($A168="","",INDEX(_events!$C$2:$C$171,MATCH($A168,_events!$A$2:$A$171,0)))</f>
        <v/>
      </c>
      <c r="D168" s="97" t="str">
        <f aca="false">IF($A168="","",HYPERLINK("#'"&amp;INDEX(_events!$D$2:$D$171,MATCH($A168,_events!$A$2:$A$171,0))&amp;"'!A1",INDEX(_events!$D$2:$D$171,MATCH($A168,_events!$A$2:$A$171,0))))</f>
        <v/>
      </c>
      <c r="E168" s="96" t="str">
        <f aca="false">IF($A168="","",INDEX(_events!$E$2:$E$171,MATCH($A168,_events!$A$2:$A$171,0)))</f>
        <v/>
      </c>
      <c r="F168" s="96" t="str">
        <f aca="false">IF($A168="","",INDEX(_events!$F$2:$F$171,MATCH($A168,_events!$A$2:$A$171,0)))</f>
        <v/>
      </c>
      <c r="G168" s="96" t="str">
        <f aca="false">IF($A168="","",INDEX(_events!$G$2:$G$171,MATCH($A168,_events!$A$2:$A$171,0)))</f>
        <v/>
      </c>
      <c r="H168" s="96" t="str">
        <f aca="false">IF($A168="","",INDEX(_events!$H$2:$H$171,MATCH($A168,_events!$A$2:$A$171,0)))</f>
        <v/>
      </c>
      <c r="I168" s="96" t="str">
        <f aca="false">IF($A168="","",INDEX(_events!$I$2:$I$171,MATCH($A168,_events!$A$2:$A$171,0)))</f>
        <v/>
      </c>
      <c r="J168" s="96" t="str">
        <f aca="false">IF($A168="","",INDEX(_events!$J$2:$J$171,MATCH($A168,_events!$A$2:$A$171,0)))</f>
        <v/>
      </c>
      <c r="K168" s="96" t="str">
        <f aca="false">IF($A168="","",INDEX(_events!$K$2:$K$171,MATCH($A168,_events!$A$2:$A$171,0)))</f>
        <v/>
      </c>
    </row>
    <row r="169" customFormat="false" ht="15" hidden="false" customHeight="false" outlineLevel="0" collapsed="false">
      <c r="A169" s="94" t="str">
        <f aca="false">IFERROR(SMALL(_events!$A$2:$A$171,164),"")</f>
        <v/>
      </c>
      <c r="B169" s="95" t="str">
        <f aca="false">IF($A169="","",INT($A169))</f>
        <v/>
      </c>
      <c r="C169" s="96" t="str">
        <f aca="false">IF($A169="","",INDEX(_events!$C$2:$C$171,MATCH($A169,_events!$A$2:$A$171,0)))</f>
        <v/>
      </c>
      <c r="D169" s="97" t="str">
        <f aca="false">IF($A169="","",HYPERLINK("#'"&amp;INDEX(_events!$D$2:$D$171,MATCH($A169,_events!$A$2:$A$171,0))&amp;"'!A1",INDEX(_events!$D$2:$D$171,MATCH($A169,_events!$A$2:$A$171,0))))</f>
        <v/>
      </c>
      <c r="E169" s="96" t="str">
        <f aca="false">IF($A169="","",INDEX(_events!$E$2:$E$171,MATCH($A169,_events!$A$2:$A$171,0)))</f>
        <v/>
      </c>
      <c r="F169" s="96" t="str">
        <f aca="false">IF($A169="","",INDEX(_events!$F$2:$F$171,MATCH($A169,_events!$A$2:$A$171,0)))</f>
        <v/>
      </c>
      <c r="G169" s="96" t="str">
        <f aca="false">IF($A169="","",INDEX(_events!$G$2:$G$171,MATCH($A169,_events!$A$2:$A$171,0)))</f>
        <v/>
      </c>
      <c r="H169" s="96" t="str">
        <f aca="false">IF($A169="","",INDEX(_events!$H$2:$H$171,MATCH($A169,_events!$A$2:$A$171,0)))</f>
        <v/>
      </c>
      <c r="I169" s="96" t="str">
        <f aca="false">IF($A169="","",INDEX(_events!$I$2:$I$171,MATCH($A169,_events!$A$2:$A$171,0)))</f>
        <v/>
      </c>
      <c r="J169" s="96" t="str">
        <f aca="false">IF($A169="","",INDEX(_events!$J$2:$J$171,MATCH($A169,_events!$A$2:$A$171,0)))</f>
        <v/>
      </c>
      <c r="K169" s="96" t="str">
        <f aca="false">IF($A169="","",INDEX(_events!$K$2:$K$171,MATCH($A169,_events!$A$2:$A$171,0)))</f>
        <v/>
      </c>
    </row>
    <row r="170" customFormat="false" ht="15" hidden="false" customHeight="false" outlineLevel="0" collapsed="false">
      <c r="A170" s="94" t="str">
        <f aca="false">IFERROR(SMALL(_events!$A$2:$A$171,165),"")</f>
        <v/>
      </c>
      <c r="B170" s="95" t="str">
        <f aca="false">IF($A170="","",INT($A170))</f>
        <v/>
      </c>
      <c r="C170" s="96" t="str">
        <f aca="false">IF($A170="","",INDEX(_events!$C$2:$C$171,MATCH($A170,_events!$A$2:$A$171,0)))</f>
        <v/>
      </c>
      <c r="D170" s="97" t="str">
        <f aca="false">IF($A170="","",HYPERLINK("#'"&amp;INDEX(_events!$D$2:$D$171,MATCH($A170,_events!$A$2:$A$171,0))&amp;"'!A1",INDEX(_events!$D$2:$D$171,MATCH($A170,_events!$A$2:$A$171,0))))</f>
        <v/>
      </c>
      <c r="E170" s="96" t="str">
        <f aca="false">IF($A170="","",INDEX(_events!$E$2:$E$171,MATCH($A170,_events!$A$2:$A$171,0)))</f>
        <v/>
      </c>
      <c r="F170" s="96" t="str">
        <f aca="false">IF($A170="","",INDEX(_events!$F$2:$F$171,MATCH($A170,_events!$A$2:$A$171,0)))</f>
        <v/>
      </c>
      <c r="G170" s="96" t="str">
        <f aca="false">IF($A170="","",INDEX(_events!$G$2:$G$171,MATCH($A170,_events!$A$2:$A$171,0)))</f>
        <v/>
      </c>
      <c r="H170" s="96" t="str">
        <f aca="false">IF($A170="","",INDEX(_events!$H$2:$H$171,MATCH($A170,_events!$A$2:$A$171,0)))</f>
        <v/>
      </c>
      <c r="I170" s="96" t="str">
        <f aca="false">IF($A170="","",INDEX(_events!$I$2:$I$171,MATCH($A170,_events!$A$2:$A$171,0)))</f>
        <v/>
      </c>
      <c r="J170" s="96" t="str">
        <f aca="false">IF($A170="","",INDEX(_events!$J$2:$J$171,MATCH($A170,_events!$A$2:$A$171,0)))</f>
        <v/>
      </c>
      <c r="K170" s="96" t="str">
        <f aca="false">IF($A170="","",INDEX(_events!$K$2:$K$171,MATCH($A170,_events!$A$2:$A$171,0)))</f>
        <v/>
      </c>
    </row>
    <row r="171" customFormat="false" ht="15" hidden="false" customHeight="false" outlineLevel="0" collapsed="false">
      <c r="A171" s="94" t="str">
        <f aca="false">IFERROR(SMALL(_events!$A$2:$A$171,166),"")</f>
        <v/>
      </c>
      <c r="B171" s="95" t="str">
        <f aca="false">IF($A171="","",INT($A171))</f>
        <v/>
      </c>
      <c r="C171" s="96" t="str">
        <f aca="false">IF($A171="","",INDEX(_events!$C$2:$C$171,MATCH($A171,_events!$A$2:$A$171,0)))</f>
        <v/>
      </c>
      <c r="D171" s="97" t="str">
        <f aca="false">IF($A171="","",HYPERLINK("#'"&amp;INDEX(_events!$D$2:$D$171,MATCH($A171,_events!$A$2:$A$171,0))&amp;"'!A1",INDEX(_events!$D$2:$D$171,MATCH($A171,_events!$A$2:$A$171,0))))</f>
        <v/>
      </c>
      <c r="E171" s="96" t="str">
        <f aca="false">IF($A171="","",INDEX(_events!$E$2:$E$171,MATCH($A171,_events!$A$2:$A$171,0)))</f>
        <v/>
      </c>
      <c r="F171" s="96" t="str">
        <f aca="false">IF($A171="","",INDEX(_events!$F$2:$F$171,MATCH($A171,_events!$A$2:$A$171,0)))</f>
        <v/>
      </c>
      <c r="G171" s="96" t="str">
        <f aca="false">IF($A171="","",INDEX(_events!$G$2:$G$171,MATCH($A171,_events!$A$2:$A$171,0)))</f>
        <v/>
      </c>
      <c r="H171" s="96" t="str">
        <f aca="false">IF($A171="","",INDEX(_events!$H$2:$H$171,MATCH($A171,_events!$A$2:$A$171,0)))</f>
        <v/>
      </c>
      <c r="I171" s="96" t="str">
        <f aca="false">IF($A171="","",INDEX(_events!$I$2:$I$171,MATCH($A171,_events!$A$2:$A$171,0)))</f>
        <v/>
      </c>
      <c r="J171" s="96" t="str">
        <f aca="false">IF($A171="","",INDEX(_events!$J$2:$J$171,MATCH($A171,_events!$A$2:$A$171,0)))</f>
        <v/>
      </c>
      <c r="K171" s="96" t="str">
        <f aca="false">IF($A171="","",INDEX(_events!$K$2:$K$171,MATCH($A171,_events!$A$2:$A$171,0)))</f>
        <v/>
      </c>
    </row>
    <row r="172" customFormat="false" ht="15" hidden="false" customHeight="false" outlineLevel="0" collapsed="false">
      <c r="A172" s="94" t="str">
        <f aca="false">IFERROR(SMALL(_events!$A$2:$A$171,167),"")</f>
        <v/>
      </c>
      <c r="B172" s="95" t="str">
        <f aca="false">IF($A172="","",INT($A172))</f>
        <v/>
      </c>
      <c r="C172" s="96" t="str">
        <f aca="false">IF($A172="","",INDEX(_events!$C$2:$C$171,MATCH($A172,_events!$A$2:$A$171,0)))</f>
        <v/>
      </c>
      <c r="D172" s="97" t="str">
        <f aca="false">IF($A172="","",HYPERLINK("#'"&amp;INDEX(_events!$D$2:$D$171,MATCH($A172,_events!$A$2:$A$171,0))&amp;"'!A1",INDEX(_events!$D$2:$D$171,MATCH($A172,_events!$A$2:$A$171,0))))</f>
        <v/>
      </c>
      <c r="E172" s="96" t="str">
        <f aca="false">IF($A172="","",INDEX(_events!$E$2:$E$171,MATCH($A172,_events!$A$2:$A$171,0)))</f>
        <v/>
      </c>
      <c r="F172" s="96" t="str">
        <f aca="false">IF($A172="","",INDEX(_events!$F$2:$F$171,MATCH($A172,_events!$A$2:$A$171,0)))</f>
        <v/>
      </c>
      <c r="G172" s="96" t="str">
        <f aca="false">IF($A172="","",INDEX(_events!$G$2:$G$171,MATCH($A172,_events!$A$2:$A$171,0)))</f>
        <v/>
      </c>
      <c r="H172" s="96" t="str">
        <f aca="false">IF($A172="","",INDEX(_events!$H$2:$H$171,MATCH($A172,_events!$A$2:$A$171,0)))</f>
        <v/>
      </c>
      <c r="I172" s="96" t="str">
        <f aca="false">IF($A172="","",INDEX(_events!$I$2:$I$171,MATCH($A172,_events!$A$2:$A$171,0)))</f>
        <v/>
      </c>
      <c r="J172" s="96" t="str">
        <f aca="false">IF($A172="","",INDEX(_events!$J$2:$J$171,MATCH($A172,_events!$A$2:$A$171,0)))</f>
        <v/>
      </c>
      <c r="K172" s="96" t="str">
        <f aca="false">IF($A172="","",INDEX(_events!$K$2:$K$171,MATCH($A172,_events!$A$2:$A$171,0)))</f>
        <v/>
      </c>
    </row>
    <row r="173" customFormat="false" ht="15" hidden="false" customHeight="false" outlineLevel="0" collapsed="false">
      <c r="A173" s="94" t="str">
        <f aca="false">IFERROR(SMALL(_events!$A$2:$A$171,168),"")</f>
        <v/>
      </c>
      <c r="B173" s="95" t="str">
        <f aca="false">IF($A173="","",INT($A173))</f>
        <v/>
      </c>
      <c r="C173" s="96" t="str">
        <f aca="false">IF($A173="","",INDEX(_events!$C$2:$C$171,MATCH($A173,_events!$A$2:$A$171,0)))</f>
        <v/>
      </c>
      <c r="D173" s="97" t="str">
        <f aca="false">IF($A173="","",HYPERLINK("#'"&amp;INDEX(_events!$D$2:$D$171,MATCH($A173,_events!$A$2:$A$171,0))&amp;"'!A1",INDEX(_events!$D$2:$D$171,MATCH($A173,_events!$A$2:$A$171,0))))</f>
        <v/>
      </c>
      <c r="E173" s="96" t="str">
        <f aca="false">IF($A173="","",INDEX(_events!$E$2:$E$171,MATCH($A173,_events!$A$2:$A$171,0)))</f>
        <v/>
      </c>
      <c r="F173" s="96" t="str">
        <f aca="false">IF($A173="","",INDEX(_events!$F$2:$F$171,MATCH($A173,_events!$A$2:$A$171,0)))</f>
        <v/>
      </c>
      <c r="G173" s="96" t="str">
        <f aca="false">IF($A173="","",INDEX(_events!$G$2:$G$171,MATCH($A173,_events!$A$2:$A$171,0)))</f>
        <v/>
      </c>
      <c r="H173" s="96" t="str">
        <f aca="false">IF($A173="","",INDEX(_events!$H$2:$H$171,MATCH($A173,_events!$A$2:$A$171,0)))</f>
        <v/>
      </c>
      <c r="I173" s="96" t="str">
        <f aca="false">IF($A173="","",INDEX(_events!$I$2:$I$171,MATCH($A173,_events!$A$2:$A$171,0)))</f>
        <v/>
      </c>
      <c r="J173" s="96" t="str">
        <f aca="false">IF($A173="","",INDEX(_events!$J$2:$J$171,MATCH($A173,_events!$A$2:$A$171,0)))</f>
        <v/>
      </c>
      <c r="K173" s="96" t="str">
        <f aca="false">IF($A173="","",INDEX(_events!$K$2:$K$171,MATCH($A173,_events!$A$2:$A$171,0)))</f>
        <v/>
      </c>
    </row>
    <row r="174" customFormat="false" ht="15" hidden="false" customHeight="false" outlineLevel="0" collapsed="false">
      <c r="A174" s="94" t="str">
        <f aca="false">IFERROR(SMALL(_events!$A$2:$A$171,169),"")</f>
        <v/>
      </c>
      <c r="B174" s="95" t="str">
        <f aca="false">IF($A174="","",INT($A174))</f>
        <v/>
      </c>
      <c r="C174" s="96" t="str">
        <f aca="false">IF($A174="","",INDEX(_events!$C$2:$C$171,MATCH($A174,_events!$A$2:$A$171,0)))</f>
        <v/>
      </c>
      <c r="D174" s="97" t="str">
        <f aca="false">IF($A174="","",HYPERLINK("#'"&amp;INDEX(_events!$D$2:$D$171,MATCH($A174,_events!$A$2:$A$171,0))&amp;"'!A1",INDEX(_events!$D$2:$D$171,MATCH($A174,_events!$A$2:$A$171,0))))</f>
        <v/>
      </c>
      <c r="E174" s="96" t="str">
        <f aca="false">IF($A174="","",INDEX(_events!$E$2:$E$171,MATCH($A174,_events!$A$2:$A$171,0)))</f>
        <v/>
      </c>
      <c r="F174" s="96" t="str">
        <f aca="false">IF($A174="","",INDEX(_events!$F$2:$F$171,MATCH($A174,_events!$A$2:$A$171,0)))</f>
        <v/>
      </c>
      <c r="G174" s="96" t="str">
        <f aca="false">IF($A174="","",INDEX(_events!$G$2:$G$171,MATCH($A174,_events!$A$2:$A$171,0)))</f>
        <v/>
      </c>
      <c r="H174" s="96" t="str">
        <f aca="false">IF($A174="","",INDEX(_events!$H$2:$H$171,MATCH($A174,_events!$A$2:$A$171,0)))</f>
        <v/>
      </c>
      <c r="I174" s="96" t="str">
        <f aca="false">IF($A174="","",INDEX(_events!$I$2:$I$171,MATCH($A174,_events!$A$2:$A$171,0)))</f>
        <v/>
      </c>
      <c r="J174" s="96" t="str">
        <f aca="false">IF($A174="","",INDEX(_events!$J$2:$J$171,MATCH($A174,_events!$A$2:$A$171,0)))</f>
        <v/>
      </c>
      <c r="K174" s="96" t="str">
        <f aca="false">IF($A174="","",INDEX(_events!$K$2:$K$171,MATCH($A174,_events!$A$2:$A$171,0)))</f>
        <v/>
      </c>
    </row>
    <row r="175" customFormat="false" ht="15" hidden="false" customHeight="false" outlineLevel="0" collapsed="false">
      <c r="A175" s="94" t="str">
        <f aca="false">IFERROR(SMALL(_events!$A$2:$A$171,170),"")</f>
        <v/>
      </c>
      <c r="B175" s="95" t="str">
        <f aca="false">IF($A175="","",INT($A175))</f>
        <v/>
      </c>
      <c r="C175" s="96" t="str">
        <f aca="false">IF($A175="","",INDEX(_events!$C$2:$C$171,MATCH($A175,_events!$A$2:$A$171,0)))</f>
        <v/>
      </c>
      <c r="D175" s="97" t="str">
        <f aca="false">IF($A175="","",HYPERLINK("#'"&amp;INDEX(_events!$D$2:$D$171,MATCH($A175,_events!$A$2:$A$171,0))&amp;"'!A1",INDEX(_events!$D$2:$D$171,MATCH($A175,_events!$A$2:$A$171,0))))</f>
        <v/>
      </c>
      <c r="E175" s="96" t="str">
        <f aca="false">IF($A175="","",INDEX(_events!$E$2:$E$171,MATCH($A175,_events!$A$2:$A$171,0)))</f>
        <v/>
      </c>
      <c r="F175" s="96" t="str">
        <f aca="false">IF($A175="","",INDEX(_events!$F$2:$F$171,MATCH($A175,_events!$A$2:$A$171,0)))</f>
        <v/>
      </c>
      <c r="G175" s="96" t="str">
        <f aca="false">IF($A175="","",INDEX(_events!$G$2:$G$171,MATCH($A175,_events!$A$2:$A$171,0)))</f>
        <v/>
      </c>
      <c r="H175" s="96" t="str">
        <f aca="false">IF($A175="","",INDEX(_events!$H$2:$H$171,MATCH($A175,_events!$A$2:$A$171,0)))</f>
        <v/>
      </c>
      <c r="I175" s="96" t="str">
        <f aca="false">IF($A175="","",INDEX(_events!$I$2:$I$171,MATCH($A175,_events!$A$2:$A$171,0)))</f>
        <v/>
      </c>
      <c r="J175" s="96" t="str">
        <f aca="false">IF($A175="","",INDEX(_events!$J$2:$J$171,MATCH($A175,_events!$A$2:$A$171,0)))</f>
        <v/>
      </c>
      <c r="K175" s="96" t="str">
        <f aca="false">IF($A175="","",INDEX(_events!$K$2:$K$171,MATCH($A175,_events!$A$2:$A$171,0)))</f>
        <v/>
      </c>
    </row>
    <row r="176" customFormat="false" ht="15" hidden="false" customHeight="false" outlineLevel="0" collapsed="false">
      <c r="A176" s="94" t="str">
        <f aca="false">IFERROR(SMALL(_events!$A$2:$A$171,171),"")</f>
        <v/>
      </c>
      <c r="B176" s="95" t="str">
        <f aca="false">IF($A176="","",INT($A176))</f>
        <v/>
      </c>
      <c r="C176" s="96" t="str">
        <f aca="false">IF($A176="","",INDEX(_events!$C$2:$C$171,MATCH($A176,_events!$A$2:$A$171,0)))</f>
        <v/>
      </c>
      <c r="D176" s="97" t="str">
        <f aca="false">IF($A176="","",HYPERLINK("#'"&amp;INDEX(_events!$D$2:$D$171,MATCH($A176,_events!$A$2:$A$171,0))&amp;"'!A1",INDEX(_events!$D$2:$D$171,MATCH($A176,_events!$A$2:$A$171,0))))</f>
        <v/>
      </c>
      <c r="E176" s="96" t="str">
        <f aca="false">IF($A176="","",INDEX(_events!$E$2:$E$171,MATCH($A176,_events!$A$2:$A$171,0)))</f>
        <v/>
      </c>
      <c r="F176" s="96" t="str">
        <f aca="false">IF($A176="","",INDEX(_events!$F$2:$F$171,MATCH($A176,_events!$A$2:$A$171,0)))</f>
        <v/>
      </c>
      <c r="G176" s="96" t="str">
        <f aca="false">IF($A176="","",INDEX(_events!$G$2:$G$171,MATCH($A176,_events!$A$2:$A$171,0)))</f>
        <v/>
      </c>
      <c r="H176" s="96" t="str">
        <f aca="false">IF($A176="","",INDEX(_events!$H$2:$H$171,MATCH($A176,_events!$A$2:$A$171,0)))</f>
        <v/>
      </c>
      <c r="I176" s="96" t="str">
        <f aca="false">IF($A176="","",INDEX(_events!$I$2:$I$171,MATCH($A176,_events!$A$2:$A$171,0)))</f>
        <v/>
      </c>
      <c r="J176" s="96" t="str">
        <f aca="false">IF($A176="","",INDEX(_events!$J$2:$J$171,MATCH($A176,_events!$A$2:$A$171,0)))</f>
        <v/>
      </c>
      <c r="K176" s="96" t="str">
        <f aca="false">IF($A176="","",INDEX(_events!$K$2:$K$171,MATCH($A176,_events!$A$2:$A$171,0)))</f>
        <v/>
      </c>
    </row>
    <row r="177" customFormat="false" ht="15" hidden="false" customHeight="false" outlineLevel="0" collapsed="false">
      <c r="A177" s="94" t="str">
        <f aca="false">IFERROR(SMALL(_events!$A$2:$A$171,172),"")</f>
        <v/>
      </c>
      <c r="B177" s="95" t="str">
        <f aca="false">IF($A177="","",INT($A177))</f>
        <v/>
      </c>
      <c r="C177" s="96" t="str">
        <f aca="false">IF($A177="","",INDEX(_events!$C$2:$C$171,MATCH($A177,_events!$A$2:$A$171,0)))</f>
        <v/>
      </c>
      <c r="D177" s="97" t="str">
        <f aca="false">IF($A177="","",HYPERLINK("#'"&amp;INDEX(_events!$D$2:$D$171,MATCH($A177,_events!$A$2:$A$171,0))&amp;"'!A1",INDEX(_events!$D$2:$D$171,MATCH($A177,_events!$A$2:$A$171,0))))</f>
        <v/>
      </c>
      <c r="E177" s="96" t="str">
        <f aca="false">IF($A177="","",INDEX(_events!$E$2:$E$171,MATCH($A177,_events!$A$2:$A$171,0)))</f>
        <v/>
      </c>
      <c r="F177" s="96" t="str">
        <f aca="false">IF($A177="","",INDEX(_events!$F$2:$F$171,MATCH($A177,_events!$A$2:$A$171,0)))</f>
        <v/>
      </c>
      <c r="G177" s="96" t="str">
        <f aca="false">IF($A177="","",INDEX(_events!$G$2:$G$171,MATCH($A177,_events!$A$2:$A$171,0)))</f>
        <v/>
      </c>
      <c r="H177" s="96" t="str">
        <f aca="false">IF($A177="","",INDEX(_events!$H$2:$H$171,MATCH($A177,_events!$A$2:$A$171,0)))</f>
        <v/>
      </c>
      <c r="I177" s="96" t="str">
        <f aca="false">IF($A177="","",INDEX(_events!$I$2:$I$171,MATCH($A177,_events!$A$2:$A$171,0)))</f>
        <v/>
      </c>
      <c r="J177" s="96" t="str">
        <f aca="false">IF($A177="","",INDEX(_events!$J$2:$J$171,MATCH($A177,_events!$A$2:$A$171,0)))</f>
        <v/>
      </c>
      <c r="K177" s="96" t="str">
        <f aca="false">IF($A177="","",INDEX(_events!$K$2:$K$171,MATCH($A177,_events!$A$2:$A$171,0)))</f>
        <v/>
      </c>
    </row>
    <row r="178" customFormat="false" ht="15" hidden="false" customHeight="false" outlineLevel="0" collapsed="false">
      <c r="A178" s="94" t="str">
        <f aca="false">IFERROR(SMALL(_events!$A$2:$A$171,173),"")</f>
        <v/>
      </c>
      <c r="B178" s="95" t="str">
        <f aca="false">IF($A178="","",INT($A178))</f>
        <v/>
      </c>
      <c r="C178" s="96" t="str">
        <f aca="false">IF($A178="","",INDEX(_events!$C$2:$C$171,MATCH($A178,_events!$A$2:$A$171,0)))</f>
        <v/>
      </c>
      <c r="D178" s="97" t="str">
        <f aca="false">IF($A178="","",HYPERLINK("#'"&amp;INDEX(_events!$D$2:$D$171,MATCH($A178,_events!$A$2:$A$171,0))&amp;"'!A1",INDEX(_events!$D$2:$D$171,MATCH($A178,_events!$A$2:$A$171,0))))</f>
        <v/>
      </c>
      <c r="E178" s="96" t="str">
        <f aca="false">IF($A178="","",INDEX(_events!$E$2:$E$171,MATCH($A178,_events!$A$2:$A$171,0)))</f>
        <v/>
      </c>
      <c r="F178" s="96" t="str">
        <f aca="false">IF($A178="","",INDEX(_events!$F$2:$F$171,MATCH($A178,_events!$A$2:$A$171,0)))</f>
        <v/>
      </c>
      <c r="G178" s="96" t="str">
        <f aca="false">IF($A178="","",INDEX(_events!$G$2:$G$171,MATCH($A178,_events!$A$2:$A$171,0)))</f>
        <v/>
      </c>
      <c r="H178" s="96" t="str">
        <f aca="false">IF($A178="","",INDEX(_events!$H$2:$H$171,MATCH($A178,_events!$A$2:$A$171,0)))</f>
        <v/>
      </c>
      <c r="I178" s="96" t="str">
        <f aca="false">IF($A178="","",INDEX(_events!$I$2:$I$171,MATCH($A178,_events!$A$2:$A$171,0)))</f>
        <v/>
      </c>
      <c r="J178" s="96" t="str">
        <f aca="false">IF($A178="","",INDEX(_events!$J$2:$J$171,MATCH($A178,_events!$A$2:$A$171,0)))</f>
        <v/>
      </c>
      <c r="K178" s="96" t="str">
        <f aca="false">IF($A178="","",INDEX(_events!$K$2:$K$171,MATCH($A178,_events!$A$2:$A$171,0)))</f>
        <v/>
      </c>
    </row>
    <row r="179" customFormat="false" ht="15" hidden="false" customHeight="false" outlineLevel="0" collapsed="false">
      <c r="A179" s="94" t="str">
        <f aca="false">IFERROR(SMALL(_events!$A$2:$A$171,174),"")</f>
        <v/>
      </c>
      <c r="B179" s="95" t="str">
        <f aca="false">IF($A179="","",INT($A179))</f>
        <v/>
      </c>
      <c r="C179" s="96" t="str">
        <f aca="false">IF($A179="","",INDEX(_events!$C$2:$C$171,MATCH($A179,_events!$A$2:$A$171,0)))</f>
        <v/>
      </c>
      <c r="D179" s="97" t="str">
        <f aca="false">IF($A179="","",HYPERLINK("#'"&amp;INDEX(_events!$D$2:$D$171,MATCH($A179,_events!$A$2:$A$171,0))&amp;"'!A1",INDEX(_events!$D$2:$D$171,MATCH($A179,_events!$A$2:$A$171,0))))</f>
        <v/>
      </c>
      <c r="E179" s="96" t="str">
        <f aca="false">IF($A179="","",INDEX(_events!$E$2:$E$171,MATCH($A179,_events!$A$2:$A$171,0)))</f>
        <v/>
      </c>
      <c r="F179" s="96" t="str">
        <f aca="false">IF($A179="","",INDEX(_events!$F$2:$F$171,MATCH($A179,_events!$A$2:$A$171,0)))</f>
        <v/>
      </c>
      <c r="G179" s="96" t="str">
        <f aca="false">IF($A179="","",INDEX(_events!$G$2:$G$171,MATCH($A179,_events!$A$2:$A$171,0)))</f>
        <v/>
      </c>
      <c r="H179" s="96" t="str">
        <f aca="false">IF($A179="","",INDEX(_events!$H$2:$H$171,MATCH($A179,_events!$A$2:$A$171,0)))</f>
        <v/>
      </c>
      <c r="I179" s="96" t="str">
        <f aca="false">IF($A179="","",INDEX(_events!$I$2:$I$171,MATCH($A179,_events!$A$2:$A$171,0)))</f>
        <v/>
      </c>
      <c r="J179" s="96" t="str">
        <f aca="false">IF($A179="","",INDEX(_events!$J$2:$J$171,MATCH($A179,_events!$A$2:$A$171,0)))</f>
        <v/>
      </c>
      <c r="K179" s="96" t="str">
        <f aca="false">IF($A179="","",INDEX(_events!$K$2:$K$171,MATCH($A179,_events!$A$2:$A$171,0)))</f>
        <v/>
      </c>
    </row>
    <row r="180" customFormat="false" ht="15" hidden="false" customHeight="false" outlineLevel="0" collapsed="false">
      <c r="A180" s="94" t="str">
        <f aca="false">IFERROR(SMALL(_events!$A$2:$A$171,175),"")</f>
        <v/>
      </c>
      <c r="B180" s="95" t="str">
        <f aca="false">IF($A180="","",INT($A180))</f>
        <v/>
      </c>
      <c r="C180" s="96" t="str">
        <f aca="false">IF($A180="","",INDEX(_events!$C$2:$C$171,MATCH($A180,_events!$A$2:$A$171,0)))</f>
        <v/>
      </c>
      <c r="D180" s="97" t="str">
        <f aca="false">IF($A180="","",HYPERLINK("#'"&amp;INDEX(_events!$D$2:$D$171,MATCH($A180,_events!$A$2:$A$171,0))&amp;"'!A1",INDEX(_events!$D$2:$D$171,MATCH($A180,_events!$A$2:$A$171,0))))</f>
        <v/>
      </c>
      <c r="E180" s="96" t="str">
        <f aca="false">IF($A180="","",INDEX(_events!$E$2:$E$171,MATCH($A180,_events!$A$2:$A$171,0)))</f>
        <v/>
      </c>
      <c r="F180" s="96" t="str">
        <f aca="false">IF($A180="","",INDEX(_events!$F$2:$F$171,MATCH($A180,_events!$A$2:$A$171,0)))</f>
        <v/>
      </c>
      <c r="G180" s="96" t="str">
        <f aca="false">IF($A180="","",INDEX(_events!$G$2:$G$171,MATCH($A180,_events!$A$2:$A$171,0)))</f>
        <v/>
      </c>
      <c r="H180" s="96" t="str">
        <f aca="false">IF($A180="","",INDEX(_events!$H$2:$H$171,MATCH($A180,_events!$A$2:$A$171,0)))</f>
        <v/>
      </c>
      <c r="I180" s="96" t="str">
        <f aca="false">IF($A180="","",INDEX(_events!$I$2:$I$171,MATCH($A180,_events!$A$2:$A$171,0)))</f>
        <v/>
      </c>
      <c r="J180" s="96" t="str">
        <f aca="false">IF($A180="","",INDEX(_events!$J$2:$J$171,MATCH($A180,_events!$A$2:$A$171,0)))</f>
        <v/>
      </c>
      <c r="K180" s="96" t="str">
        <f aca="false">IF($A180="","",INDEX(_events!$K$2:$K$171,MATCH($A180,_events!$A$2:$A$171,0)))</f>
        <v/>
      </c>
    </row>
    <row r="181" customFormat="false" ht="15" hidden="false" customHeight="false" outlineLevel="0" collapsed="false">
      <c r="A181" s="94" t="str">
        <f aca="false">IFERROR(SMALL(_events!$A$2:$A$171,176),"")</f>
        <v/>
      </c>
      <c r="B181" s="95" t="str">
        <f aca="false">IF($A181="","",INT($A181))</f>
        <v/>
      </c>
      <c r="C181" s="96" t="str">
        <f aca="false">IF($A181="","",INDEX(_events!$C$2:$C$171,MATCH($A181,_events!$A$2:$A$171,0)))</f>
        <v/>
      </c>
      <c r="D181" s="97" t="str">
        <f aca="false">IF($A181="","",HYPERLINK("#'"&amp;INDEX(_events!$D$2:$D$171,MATCH($A181,_events!$A$2:$A$171,0))&amp;"'!A1",INDEX(_events!$D$2:$D$171,MATCH($A181,_events!$A$2:$A$171,0))))</f>
        <v/>
      </c>
      <c r="E181" s="96" t="str">
        <f aca="false">IF($A181="","",INDEX(_events!$E$2:$E$171,MATCH($A181,_events!$A$2:$A$171,0)))</f>
        <v/>
      </c>
      <c r="F181" s="96" t="str">
        <f aca="false">IF($A181="","",INDEX(_events!$F$2:$F$171,MATCH($A181,_events!$A$2:$A$171,0)))</f>
        <v/>
      </c>
      <c r="G181" s="96" t="str">
        <f aca="false">IF($A181="","",INDEX(_events!$G$2:$G$171,MATCH($A181,_events!$A$2:$A$171,0)))</f>
        <v/>
      </c>
      <c r="H181" s="96" t="str">
        <f aca="false">IF($A181="","",INDEX(_events!$H$2:$H$171,MATCH($A181,_events!$A$2:$A$171,0)))</f>
        <v/>
      </c>
      <c r="I181" s="96" t="str">
        <f aca="false">IF($A181="","",INDEX(_events!$I$2:$I$171,MATCH($A181,_events!$A$2:$A$171,0)))</f>
        <v/>
      </c>
      <c r="J181" s="96" t="str">
        <f aca="false">IF($A181="","",INDEX(_events!$J$2:$J$171,MATCH($A181,_events!$A$2:$A$171,0)))</f>
        <v/>
      </c>
      <c r="K181" s="96" t="str">
        <f aca="false">IF($A181="","",INDEX(_events!$K$2:$K$171,MATCH($A181,_events!$A$2:$A$171,0)))</f>
        <v/>
      </c>
    </row>
    <row r="182" customFormat="false" ht="15" hidden="false" customHeight="false" outlineLevel="0" collapsed="false">
      <c r="A182" s="94" t="str">
        <f aca="false">IFERROR(SMALL(_events!$A$2:$A$171,177),"")</f>
        <v/>
      </c>
      <c r="B182" s="95" t="str">
        <f aca="false">IF($A182="","",INT($A182))</f>
        <v/>
      </c>
      <c r="C182" s="96" t="str">
        <f aca="false">IF($A182="","",INDEX(_events!$C$2:$C$171,MATCH($A182,_events!$A$2:$A$171,0)))</f>
        <v/>
      </c>
      <c r="D182" s="97" t="str">
        <f aca="false">IF($A182="","",HYPERLINK("#'"&amp;INDEX(_events!$D$2:$D$171,MATCH($A182,_events!$A$2:$A$171,0))&amp;"'!A1",INDEX(_events!$D$2:$D$171,MATCH($A182,_events!$A$2:$A$171,0))))</f>
        <v/>
      </c>
      <c r="E182" s="96" t="str">
        <f aca="false">IF($A182="","",INDEX(_events!$E$2:$E$171,MATCH($A182,_events!$A$2:$A$171,0)))</f>
        <v/>
      </c>
      <c r="F182" s="96" t="str">
        <f aca="false">IF($A182="","",INDEX(_events!$F$2:$F$171,MATCH($A182,_events!$A$2:$A$171,0)))</f>
        <v/>
      </c>
      <c r="G182" s="96" t="str">
        <f aca="false">IF($A182="","",INDEX(_events!$G$2:$G$171,MATCH($A182,_events!$A$2:$A$171,0)))</f>
        <v/>
      </c>
      <c r="H182" s="96" t="str">
        <f aca="false">IF($A182="","",INDEX(_events!$H$2:$H$171,MATCH($A182,_events!$A$2:$A$171,0)))</f>
        <v/>
      </c>
      <c r="I182" s="96" t="str">
        <f aca="false">IF($A182="","",INDEX(_events!$I$2:$I$171,MATCH($A182,_events!$A$2:$A$171,0)))</f>
        <v/>
      </c>
      <c r="J182" s="96" t="str">
        <f aca="false">IF($A182="","",INDEX(_events!$J$2:$J$171,MATCH($A182,_events!$A$2:$A$171,0)))</f>
        <v/>
      </c>
      <c r="K182" s="96" t="str">
        <f aca="false">IF($A182="","",INDEX(_events!$K$2:$K$171,MATCH($A182,_events!$A$2:$A$171,0)))</f>
        <v/>
      </c>
    </row>
    <row r="183" customFormat="false" ht="15" hidden="false" customHeight="false" outlineLevel="0" collapsed="false">
      <c r="A183" s="94" t="str">
        <f aca="false">IFERROR(SMALL(_events!$A$2:$A$171,178),"")</f>
        <v/>
      </c>
      <c r="B183" s="95" t="str">
        <f aca="false">IF($A183="","",INT($A183))</f>
        <v/>
      </c>
      <c r="C183" s="96" t="str">
        <f aca="false">IF($A183="","",INDEX(_events!$C$2:$C$171,MATCH($A183,_events!$A$2:$A$171,0)))</f>
        <v/>
      </c>
      <c r="D183" s="97" t="str">
        <f aca="false">IF($A183="","",HYPERLINK("#'"&amp;INDEX(_events!$D$2:$D$171,MATCH($A183,_events!$A$2:$A$171,0))&amp;"'!A1",INDEX(_events!$D$2:$D$171,MATCH($A183,_events!$A$2:$A$171,0))))</f>
        <v/>
      </c>
      <c r="E183" s="96" t="str">
        <f aca="false">IF($A183="","",INDEX(_events!$E$2:$E$171,MATCH($A183,_events!$A$2:$A$171,0)))</f>
        <v/>
      </c>
      <c r="F183" s="96" t="str">
        <f aca="false">IF($A183="","",INDEX(_events!$F$2:$F$171,MATCH($A183,_events!$A$2:$A$171,0)))</f>
        <v/>
      </c>
      <c r="G183" s="96" t="str">
        <f aca="false">IF($A183="","",INDEX(_events!$G$2:$G$171,MATCH($A183,_events!$A$2:$A$171,0)))</f>
        <v/>
      </c>
      <c r="H183" s="96" t="str">
        <f aca="false">IF($A183="","",INDEX(_events!$H$2:$H$171,MATCH($A183,_events!$A$2:$A$171,0)))</f>
        <v/>
      </c>
      <c r="I183" s="96" t="str">
        <f aca="false">IF($A183="","",INDEX(_events!$I$2:$I$171,MATCH($A183,_events!$A$2:$A$171,0)))</f>
        <v/>
      </c>
      <c r="J183" s="96" t="str">
        <f aca="false">IF($A183="","",INDEX(_events!$J$2:$J$171,MATCH($A183,_events!$A$2:$A$171,0)))</f>
        <v/>
      </c>
      <c r="K183" s="96" t="str">
        <f aca="false">IF($A183="","",INDEX(_events!$K$2:$K$171,MATCH($A183,_events!$A$2:$A$171,0)))</f>
        <v/>
      </c>
    </row>
    <row r="184" customFormat="false" ht="15" hidden="false" customHeight="false" outlineLevel="0" collapsed="false">
      <c r="A184" s="94" t="str">
        <f aca="false">IFERROR(SMALL(_events!$A$2:$A$171,179),"")</f>
        <v/>
      </c>
      <c r="B184" s="95" t="str">
        <f aca="false">IF($A184="","",INT($A184))</f>
        <v/>
      </c>
      <c r="C184" s="96" t="str">
        <f aca="false">IF($A184="","",INDEX(_events!$C$2:$C$171,MATCH($A184,_events!$A$2:$A$171,0)))</f>
        <v/>
      </c>
      <c r="D184" s="97" t="str">
        <f aca="false">IF($A184="","",HYPERLINK("#'"&amp;INDEX(_events!$D$2:$D$171,MATCH($A184,_events!$A$2:$A$171,0))&amp;"'!A1",INDEX(_events!$D$2:$D$171,MATCH($A184,_events!$A$2:$A$171,0))))</f>
        <v/>
      </c>
      <c r="E184" s="96" t="str">
        <f aca="false">IF($A184="","",INDEX(_events!$E$2:$E$171,MATCH($A184,_events!$A$2:$A$171,0)))</f>
        <v/>
      </c>
      <c r="F184" s="96" t="str">
        <f aca="false">IF($A184="","",INDEX(_events!$F$2:$F$171,MATCH($A184,_events!$A$2:$A$171,0)))</f>
        <v/>
      </c>
      <c r="G184" s="96" t="str">
        <f aca="false">IF($A184="","",INDEX(_events!$G$2:$G$171,MATCH($A184,_events!$A$2:$A$171,0)))</f>
        <v/>
      </c>
      <c r="H184" s="96" t="str">
        <f aca="false">IF($A184="","",INDEX(_events!$H$2:$H$171,MATCH($A184,_events!$A$2:$A$171,0)))</f>
        <v/>
      </c>
      <c r="I184" s="96" t="str">
        <f aca="false">IF($A184="","",INDEX(_events!$I$2:$I$171,MATCH($A184,_events!$A$2:$A$171,0)))</f>
        <v/>
      </c>
      <c r="J184" s="96" t="str">
        <f aca="false">IF($A184="","",INDEX(_events!$J$2:$J$171,MATCH($A184,_events!$A$2:$A$171,0)))</f>
        <v/>
      </c>
      <c r="K184" s="96" t="str">
        <f aca="false">IF($A184="","",INDEX(_events!$K$2:$K$171,MATCH($A184,_events!$A$2:$A$171,0)))</f>
        <v/>
      </c>
    </row>
    <row r="185" customFormat="false" ht="15" hidden="false" customHeight="false" outlineLevel="0" collapsed="false">
      <c r="A185" s="94" t="str">
        <f aca="false">IFERROR(SMALL(_events!$A$2:$A$171,180),"")</f>
        <v/>
      </c>
      <c r="B185" s="95" t="str">
        <f aca="false">IF($A185="","",INT($A185))</f>
        <v/>
      </c>
      <c r="C185" s="96" t="str">
        <f aca="false">IF($A185="","",INDEX(_events!$C$2:$C$171,MATCH($A185,_events!$A$2:$A$171,0)))</f>
        <v/>
      </c>
      <c r="D185" s="97" t="str">
        <f aca="false">IF($A185="","",HYPERLINK("#'"&amp;INDEX(_events!$D$2:$D$171,MATCH($A185,_events!$A$2:$A$171,0))&amp;"'!A1",INDEX(_events!$D$2:$D$171,MATCH($A185,_events!$A$2:$A$171,0))))</f>
        <v/>
      </c>
      <c r="E185" s="96" t="str">
        <f aca="false">IF($A185="","",INDEX(_events!$E$2:$E$171,MATCH($A185,_events!$A$2:$A$171,0)))</f>
        <v/>
      </c>
      <c r="F185" s="96" t="str">
        <f aca="false">IF($A185="","",INDEX(_events!$F$2:$F$171,MATCH($A185,_events!$A$2:$A$171,0)))</f>
        <v/>
      </c>
      <c r="G185" s="96" t="str">
        <f aca="false">IF($A185="","",INDEX(_events!$G$2:$G$171,MATCH($A185,_events!$A$2:$A$171,0)))</f>
        <v/>
      </c>
      <c r="H185" s="96" t="str">
        <f aca="false">IF($A185="","",INDEX(_events!$H$2:$H$171,MATCH($A185,_events!$A$2:$A$171,0)))</f>
        <v/>
      </c>
      <c r="I185" s="96" t="str">
        <f aca="false">IF($A185="","",INDEX(_events!$I$2:$I$171,MATCH($A185,_events!$A$2:$A$171,0)))</f>
        <v/>
      </c>
      <c r="J185" s="96" t="str">
        <f aca="false">IF($A185="","",INDEX(_events!$J$2:$J$171,MATCH($A185,_events!$A$2:$A$171,0)))</f>
        <v/>
      </c>
      <c r="K185" s="96" t="str">
        <f aca="false">IF($A185="","",INDEX(_events!$K$2:$K$171,MATCH($A185,_events!$A$2:$A$171,0)))</f>
        <v/>
      </c>
    </row>
    <row r="186" customFormat="false" ht="15" hidden="false" customHeight="false" outlineLevel="0" collapsed="false">
      <c r="A186" s="94" t="str">
        <f aca="false">IFERROR(SMALL(_events!$A$2:$A$171,181),"")</f>
        <v/>
      </c>
      <c r="B186" s="95" t="str">
        <f aca="false">IF($A186="","",INT($A186))</f>
        <v/>
      </c>
      <c r="C186" s="96" t="str">
        <f aca="false">IF($A186="","",INDEX(_events!$C$2:$C$171,MATCH($A186,_events!$A$2:$A$171,0)))</f>
        <v/>
      </c>
      <c r="D186" s="97" t="str">
        <f aca="false">IF($A186="","",HYPERLINK("#'"&amp;INDEX(_events!$D$2:$D$171,MATCH($A186,_events!$A$2:$A$171,0))&amp;"'!A1",INDEX(_events!$D$2:$D$171,MATCH($A186,_events!$A$2:$A$171,0))))</f>
        <v/>
      </c>
      <c r="E186" s="96" t="str">
        <f aca="false">IF($A186="","",INDEX(_events!$E$2:$E$171,MATCH($A186,_events!$A$2:$A$171,0)))</f>
        <v/>
      </c>
      <c r="F186" s="96" t="str">
        <f aca="false">IF($A186="","",INDEX(_events!$F$2:$F$171,MATCH($A186,_events!$A$2:$A$171,0)))</f>
        <v/>
      </c>
      <c r="G186" s="96" t="str">
        <f aca="false">IF($A186="","",INDEX(_events!$G$2:$G$171,MATCH($A186,_events!$A$2:$A$171,0)))</f>
        <v/>
      </c>
      <c r="H186" s="96" t="str">
        <f aca="false">IF($A186="","",INDEX(_events!$H$2:$H$171,MATCH($A186,_events!$A$2:$A$171,0)))</f>
        <v/>
      </c>
      <c r="I186" s="96" t="str">
        <f aca="false">IF($A186="","",INDEX(_events!$I$2:$I$171,MATCH($A186,_events!$A$2:$A$171,0)))</f>
        <v/>
      </c>
      <c r="J186" s="96" t="str">
        <f aca="false">IF($A186="","",INDEX(_events!$J$2:$J$171,MATCH($A186,_events!$A$2:$A$171,0)))</f>
        <v/>
      </c>
      <c r="K186" s="96" t="str">
        <f aca="false">IF($A186="","",INDEX(_events!$K$2:$K$171,MATCH($A186,_events!$A$2:$A$171,0)))</f>
        <v/>
      </c>
    </row>
    <row r="187" customFormat="false" ht="15" hidden="false" customHeight="false" outlineLevel="0" collapsed="false">
      <c r="A187" s="94" t="str">
        <f aca="false">IFERROR(SMALL(_events!$A$2:$A$171,182),"")</f>
        <v/>
      </c>
      <c r="B187" s="95" t="str">
        <f aca="false">IF($A187="","",INT($A187))</f>
        <v/>
      </c>
      <c r="C187" s="96" t="str">
        <f aca="false">IF($A187="","",INDEX(_events!$C$2:$C$171,MATCH($A187,_events!$A$2:$A$171,0)))</f>
        <v/>
      </c>
      <c r="D187" s="97" t="str">
        <f aca="false">IF($A187="","",HYPERLINK("#'"&amp;INDEX(_events!$D$2:$D$171,MATCH($A187,_events!$A$2:$A$171,0))&amp;"'!A1",INDEX(_events!$D$2:$D$171,MATCH($A187,_events!$A$2:$A$171,0))))</f>
        <v/>
      </c>
      <c r="E187" s="96" t="str">
        <f aca="false">IF($A187="","",INDEX(_events!$E$2:$E$171,MATCH($A187,_events!$A$2:$A$171,0)))</f>
        <v/>
      </c>
      <c r="F187" s="96" t="str">
        <f aca="false">IF($A187="","",INDEX(_events!$F$2:$F$171,MATCH($A187,_events!$A$2:$A$171,0)))</f>
        <v/>
      </c>
      <c r="G187" s="96" t="str">
        <f aca="false">IF($A187="","",INDEX(_events!$G$2:$G$171,MATCH($A187,_events!$A$2:$A$171,0)))</f>
        <v/>
      </c>
      <c r="H187" s="96" t="str">
        <f aca="false">IF($A187="","",INDEX(_events!$H$2:$H$171,MATCH($A187,_events!$A$2:$A$171,0)))</f>
        <v/>
      </c>
      <c r="I187" s="96" t="str">
        <f aca="false">IF($A187="","",INDEX(_events!$I$2:$I$171,MATCH($A187,_events!$A$2:$A$171,0)))</f>
        <v/>
      </c>
      <c r="J187" s="96" t="str">
        <f aca="false">IF($A187="","",INDEX(_events!$J$2:$J$171,MATCH($A187,_events!$A$2:$A$171,0)))</f>
        <v/>
      </c>
      <c r="K187" s="96" t="str">
        <f aca="false">IF($A187="","",INDEX(_events!$K$2:$K$171,MATCH($A187,_events!$A$2:$A$171,0)))</f>
        <v/>
      </c>
    </row>
    <row r="188" customFormat="false" ht="15" hidden="false" customHeight="false" outlineLevel="0" collapsed="false">
      <c r="A188" s="94" t="str">
        <f aca="false">IFERROR(SMALL(_events!$A$2:$A$171,183),"")</f>
        <v/>
      </c>
      <c r="B188" s="95" t="str">
        <f aca="false">IF($A188="","",INT($A188))</f>
        <v/>
      </c>
      <c r="C188" s="96" t="str">
        <f aca="false">IF($A188="","",INDEX(_events!$C$2:$C$171,MATCH($A188,_events!$A$2:$A$171,0)))</f>
        <v/>
      </c>
      <c r="D188" s="97" t="str">
        <f aca="false">IF($A188="","",HYPERLINK("#'"&amp;INDEX(_events!$D$2:$D$171,MATCH($A188,_events!$A$2:$A$171,0))&amp;"'!A1",INDEX(_events!$D$2:$D$171,MATCH($A188,_events!$A$2:$A$171,0))))</f>
        <v/>
      </c>
      <c r="E188" s="96" t="str">
        <f aca="false">IF($A188="","",INDEX(_events!$E$2:$E$171,MATCH($A188,_events!$A$2:$A$171,0)))</f>
        <v/>
      </c>
      <c r="F188" s="96" t="str">
        <f aca="false">IF($A188="","",INDEX(_events!$F$2:$F$171,MATCH($A188,_events!$A$2:$A$171,0)))</f>
        <v/>
      </c>
      <c r="G188" s="96" t="str">
        <f aca="false">IF($A188="","",INDEX(_events!$G$2:$G$171,MATCH($A188,_events!$A$2:$A$171,0)))</f>
        <v/>
      </c>
      <c r="H188" s="96" t="str">
        <f aca="false">IF($A188="","",INDEX(_events!$H$2:$H$171,MATCH($A188,_events!$A$2:$A$171,0)))</f>
        <v/>
      </c>
      <c r="I188" s="96" t="str">
        <f aca="false">IF($A188="","",INDEX(_events!$I$2:$I$171,MATCH($A188,_events!$A$2:$A$171,0)))</f>
        <v/>
      </c>
      <c r="J188" s="96" t="str">
        <f aca="false">IF($A188="","",INDEX(_events!$J$2:$J$171,MATCH($A188,_events!$A$2:$A$171,0)))</f>
        <v/>
      </c>
      <c r="K188" s="96" t="str">
        <f aca="false">IF($A188="","",INDEX(_events!$K$2:$K$171,MATCH($A188,_events!$A$2:$A$171,0)))</f>
        <v/>
      </c>
    </row>
    <row r="189" customFormat="false" ht="15" hidden="false" customHeight="false" outlineLevel="0" collapsed="false">
      <c r="A189" s="94" t="str">
        <f aca="false">IFERROR(SMALL(_events!$A$2:$A$171,184),"")</f>
        <v/>
      </c>
      <c r="B189" s="95" t="str">
        <f aca="false">IF($A189="","",INT($A189))</f>
        <v/>
      </c>
      <c r="C189" s="96" t="str">
        <f aca="false">IF($A189="","",INDEX(_events!$C$2:$C$171,MATCH($A189,_events!$A$2:$A$171,0)))</f>
        <v/>
      </c>
      <c r="D189" s="97" t="str">
        <f aca="false">IF($A189="","",HYPERLINK("#'"&amp;INDEX(_events!$D$2:$D$171,MATCH($A189,_events!$A$2:$A$171,0))&amp;"'!A1",INDEX(_events!$D$2:$D$171,MATCH($A189,_events!$A$2:$A$171,0))))</f>
        <v/>
      </c>
      <c r="E189" s="96" t="str">
        <f aca="false">IF($A189="","",INDEX(_events!$E$2:$E$171,MATCH($A189,_events!$A$2:$A$171,0)))</f>
        <v/>
      </c>
      <c r="F189" s="96" t="str">
        <f aca="false">IF($A189="","",INDEX(_events!$F$2:$F$171,MATCH($A189,_events!$A$2:$A$171,0)))</f>
        <v/>
      </c>
      <c r="G189" s="96" t="str">
        <f aca="false">IF($A189="","",INDEX(_events!$G$2:$G$171,MATCH($A189,_events!$A$2:$A$171,0)))</f>
        <v/>
      </c>
      <c r="H189" s="96" t="str">
        <f aca="false">IF($A189="","",INDEX(_events!$H$2:$H$171,MATCH($A189,_events!$A$2:$A$171,0)))</f>
        <v/>
      </c>
      <c r="I189" s="96" t="str">
        <f aca="false">IF($A189="","",INDEX(_events!$I$2:$I$171,MATCH($A189,_events!$A$2:$A$171,0)))</f>
        <v/>
      </c>
      <c r="J189" s="96" t="str">
        <f aca="false">IF($A189="","",INDEX(_events!$J$2:$J$171,MATCH($A189,_events!$A$2:$A$171,0)))</f>
        <v/>
      </c>
      <c r="K189" s="96" t="str">
        <f aca="false">IF($A189="","",INDEX(_events!$K$2:$K$171,MATCH($A189,_events!$A$2:$A$171,0)))</f>
        <v/>
      </c>
    </row>
    <row r="190" customFormat="false" ht="15" hidden="false" customHeight="false" outlineLevel="0" collapsed="false">
      <c r="A190" s="94" t="str">
        <f aca="false">IFERROR(SMALL(_events!$A$2:$A$171,185),"")</f>
        <v/>
      </c>
      <c r="B190" s="95" t="str">
        <f aca="false">IF($A190="","",INT($A190))</f>
        <v/>
      </c>
      <c r="C190" s="96" t="str">
        <f aca="false">IF($A190="","",INDEX(_events!$C$2:$C$171,MATCH($A190,_events!$A$2:$A$171,0)))</f>
        <v/>
      </c>
      <c r="D190" s="97" t="str">
        <f aca="false">IF($A190="","",HYPERLINK("#'"&amp;INDEX(_events!$D$2:$D$171,MATCH($A190,_events!$A$2:$A$171,0))&amp;"'!A1",INDEX(_events!$D$2:$D$171,MATCH($A190,_events!$A$2:$A$171,0))))</f>
        <v/>
      </c>
      <c r="E190" s="96" t="str">
        <f aca="false">IF($A190="","",INDEX(_events!$E$2:$E$171,MATCH($A190,_events!$A$2:$A$171,0)))</f>
        <v/>
      </c>
      <c r="F190" s="96" t="str">
        <f aca="false">IF($A190="","",INDEX(_events!$F$2:$F$171,MATCH($A190,_events!$A$2:$A$171,0)))</f>
        <v/>
      </c>
      <c r="G190" s="96" t="str">
        <f aca="false">IF($A190="","",INDEX(_events!$G$2:$G$171,MATCH($A190,_events!$A$2:$A$171,0)))</f>
        <v/>
      </c>
      <c r="H190" s="96" t="str">
        <f aca="false">IF($A190="","",INDEX(_events!$H$2:$H$171,MATCH($A190,_events!$A$2:$A$171,0)))</f>
        <v/>
      </c>
      <c r="I190" s="96" t="str">
        <f aca="false">IF($A190="","",INDEX(_events!$I$2:$I$171,MATCH($A190,_events!$A$2:$A$171,0)))</f>
        <v/>
      </c>
      <c r="J190" s="96" t="str">
        <f aca="false">IF($A190="","",INDEX(_events!$J$2:$J$171,MATCH($A190,_events!$A$2:$A$171,0)))</f>
        <v/>
      </c>
      <c r="K190" s="96" t="str">
        <f aca="false">IF($A190="","",INDEX(_events!$K$2:$K$171,MATCH($A190,_events!$A$2:$A$171,0)))</f>
        <v/>
      </c>
    </row>
    <row r="191" customFormat="false" ht="15" hidden="false" customHeight="false" outlineLevel="0" collapsed="false">
      <c r="A191" s="94" t="str">
        <f aca="false">IFERROR(SMALL(_events!$A$2:$A$171,186),"")</f>
        <v/>
      </c>
      <c r="B191" s="95" t="str">
        <f aca="false">IF($A191="","",INT($A191))</f>
        <v/>
      </c>
      <c r="C191" s="96" t="str">
        <f aca="false">IF($A191="","",INDEX(_events!$C$2:$C$171,MATCH($A191,_events!$A$2:$A$171,0)))</f>
        <v/>
      </c>
      <c r="D191" s="97" t="str">
        <f aca="false">IF($A191="","",HYPERLINK("#'"&amp;INDEX(_events!$D$2:$D$171,MATCH($A191,_events!$A$2:$A$171,0))&amp;"'!A1",INDEX(_events!$D$2:$D$171,MATCH($A191,_events!$A$2:$A$171,0))))</f>
        <v/>
      </c>
      <c r="E191" s="96" t="str">
        <f aca="false">IF($A191="","",INDEX(_events!$E$2:$E$171,MATCH($A191,_events!$A$2:$A$171,0)))</f>
        <v/>
      </c>
      <c r="F191" s="96" t="str">
        <f aca="false">IF($A191="","",INDEX(_events!$F$2:$F$171,MATCH($A191,_events!$A$2:$A$171,0)))</f>
        <v/>
      </c>
      <c r="G191" s="96" t="str">
        <f aca="false">IF($A191="","",INDEX(_events!$G$2:$G$171,MATCH($A191,_events!$A$2:$A$171,0)))</f>
        <v/>
      </c>
      <c r="H191" s="96" t="str">
        <f aca="false">IF($A191="","",INDEX(_events!$H$2:$H$171,MATCH($A191,_events!$A$2:$A$171,0)))</f>
        <v/>
      </c>
      <c r="I191" s="96" t="str">
        <f aca="false">IF($A191="","",INDEX(_events!$I$2:$I$171,MATCH($A191,_events!$A$2:$A$171,0)))</f>
        <v/>
      </c>
      <c r="J191" s="96" t="str">
        <f aca="false">IF($A191="","",INDEX(_events!$J$2:$J$171,MATCH($A191,_events!$A$2:$A$171,0)))</f>
        <v/>
      </c>
      <c r="K191" s="96" t="str">
        <f aca="false">IF($A191="","",INDEX(_events!$K$2:$K$171,MATCH($A191,_events!$A$2:$A$171,0)))</f>
        <v/>
      </c>
    </row>
    <row r="192" customFormat="false" ht="15" hidden="false" customHeight="false" outlineLevel="0" collapsed="false">
      <c r="A192" s="94" t="str">
        <f aca="false">IFERROR(SMALL(_events!$A$2:$A$171,187),"")</f>
        <v/>
      </c>
      <c r="B192" s="95" t="str">
        <f aca="false">IF($A192="","",INT($A192))</f>
        <v/>
      </c>
      <c r="C192" s="96" t="str">
        <f aca="false">IF($A192="","",INDEX(_events!$C$2:$C$171,MATCH($A192,_events!$A$2:$A$171,0)))</f>
        <v/>
      </c>
      <c r="D192" s="97" t="str">
        <f aca="false">IF($A192="","",HYPERLINK("#'"&amp;INDEX(_events!$D$2:$D$171,MATCH($A192,_events!$A$2:$A$171,0))&amp;"'!A1",INDEX(_events!$D$2:$D$171,MATCH($A192,_events!$A$2:$A$171,0))))</f>
        <v/>
      </c>
      <c r="E192" s="96" t="str">
        <f aca="false">IF($A192="","",INDEX(_events!$E$2:$E$171,MATCH($A192,_events!$A$2:$A$171,0)))</f>
        <v/>
      </c>
      <c r="F192" s="96" t="str">
        <f aca="false">IF($A192="","",INDEX(_events!$F$2:$F$171,MATCH($A192,_events!$A$2:$A$171,0)))</f>
        <v/>
      </c>
      <c r="G192" s="96" t="str">
        <f aca="false">IF($A192="","",INDEX(_events!$G$2:$G$171,MATCH($A192,_events!$A$2:$A$171,0)))</f>
        <v/>
      </c>
      <c r="H192" s="96" t="str">
        <f aca="false">IF($A192="","",INDEX(_events!$H$2:$H$171,MATCH($A192,_events!$A$2:$A$171,0)))</f>
        <v/>
      </c>
      <c r="I192" s="96" t="str">
        <f aca="false">IF($A192="","",INDEX(_events!$I$2:$I$171,MATCH($A192,_events!$A$2:$A$171,0)))</f>
        <v/>
      </c>
      <c r="J192" s="96" t="str">
        <f aca="false">IF($A192="","",INDEX(_events!$J$2:$J$171,MATCH($A192,_events!$A$2:$A$171,0)))</f>
        <v/>
      </c>
      <c r="K192" s="96" t="str">
        <f aca="false">IF($A192="","",INDEX(_events!$K$2:$K$171,MATCH($A192,_events!$A$2:$A$171,0)))</f>
        <v/>
      </c>
    </row>
    <row r="193" customFormat="false" ht="15" hidden="false" customHeight="false" outlineLevel="0" collapsed="false">
      <c r="A193" s="94" t="str">
        <f aca="false">IFERROR(SMALL(_events!$A$2:$A$171,188),"")</f>
        <v/>
      </c>
      <c r="B193" s="95" t="str">
        <f aca="false">IF($A193="","",INT($A193))</f>
        <v/>
      </c>
      <c r="C193" s="96" t="str">
        <f aca="false">IF($A193="","",INDEX(_events!$C$2:$C$171,MATCH($A193,_events!$A$2:$A$171,0)))</f>
        <v/>
      </c>
      <c r="D193" s="97" t="str">
        <f aca="false">IF($A193="","",HYPERLINK("#'"&amp;INDEX(_events!$D$2:$D$171,MATCH($A193,_events!$A$2:$A$171,0))&amp;"'!A1",INDEX(_events!$D$2:$D$171,MATCH($A193,_events!$A$2:$A$171,0))))</f>
        <v/>
      </c>
      <c r="E193" s="96" t="str">
        <f aca="false">IF($A193="","",INDEX(_events!$E$2:$E$171,MATCH($A193,_events!$A$2:$A$171,0)))</f>
        <v/>
      </c>
      <c r="F193" s="96" t="str">
        <f aca="false">IF($A193="","",INDEX(_events!$F$2:$F$171,MATCH($A193,_events!$A$2:$A$171,0)))</f>
        <v/>
      </c>
      <c r="G193" s="96" t="str">
        <f aca="false">IF($A193="","",INDEX(_events!$G$2:$G$171,MATCH($A193,_events!$A$2:$A$171,0)))</f>
        <v/>
      </c>
      <c r="H193" s="96" t="str">
        <f aca="false">IF($A193="","",INDEX(_events!$H$2:$H$171,MATCH($A193,_events!$A$2:$A$171,0)))</f>
        <v/>
      </c>
      <c r="I193" s="96" t="str">
        <f aca="false">IF($A193="","",INDEX(_events!$I$2:$I$171,MATCH($A193,_events!$A$2:$A$171,0)))</f>
        <v/>
      </c>
      <c r="J193" s="96" t="str">
        <f aca="false">IF($A193="","",INDEX(_events!$J$2:$J$171,MATCH($A193,_events!$A$2:$A$171,0)))</f>
        <v/>
      </c>
      <c r="K193" s="96" t="str">
        <f aca="false">IF($A193="","",INDEX(_events!$K$2:$K$171,MATCH($A193,_events!$A$2:$A$171,0)))</f>
        <v/>
      </c>
    </row>
    <row r="194" customFormat="false" ht="15" hidden="false" customHeight="false" outlineLevel="0" collapsed="false">
      <c r="A194" s="94" t="str">
        <f aca="false">IFERROR(SMALL(_events!$A$2:$A$171,189),"")</f>
        <v/>
      </c>
      <c r="B194" s="95" t="str">
        <f aca="false">IF($A194="","",INT($A194))</f>
        <v/>
      </c>
      <c r="C194" s="96" t="str">
        <f aca="false">IF($A194="","",INDEX(_events!$C$2:$C$171,MATCH($A194,_events!$A$2:$A$171,0)))</f>
        <v/>
      </c>
      <c r="D194" s="97" t="str">
        <f aca="false">IF($A194="","",HYPERLINK("#'"&amp;INDEX(_events!$D$2:$D$171,MATCH($A194,_events!$A$2:$A$171,0))&amp;"'!A1",INDEX(_events!$D$2:$D$171,MATCH($A194,_events!$A$2:$A$171,0))))</f>
        <v/>
      </c>
      <c r="E194" s="96" t="str">
        <f aca="false">IF($A194="","",INDEX(_events!$E$2:$E$171,MATCH($A194,_events!$A$2:$A$171,0)))</f>
        <v/>
      </c>
      <c r="F194" s="96" t="str">
        <f aca="false">IF($A194="","",INDEX(_events!$F$2:$F$171,MATCH($A194,_events!$A$2:$A$171,0)))</f>
        <v/>
      </c>
      <c r="G194" s="96" t="str">
        <f aca="false">IF($A194="","",INDEX(_events!$G$2:$G$171,MATCH($A194,_events!$A$2:$A$171,0)))</f>
        <v/>
      </c>
      <c r="H194" s="96" t="str">
        <f aca="false">IF($A194="","",INDEX(_events!$H$2:$H$171,MATCH($A194,_events!$A$2:$A$171,0)))</f>
        <v/>
      </c>
      <c r="I194" s="96" t="str">
        <f aca="false">IF($A194="","",INDEX(_events!$I$2:$I$171,MATCH($A194,_events!$A$2:$A$171,0)))</f>
        <v/>
      </c>
      <c r="J194" s="96" t="str">
        <f aca="false">IF($A194="","",INDEX(_events!$J$2:$J$171,MATCH($A194,_events!$A$2:$A$171,0)))</f>
        <v/>
      </c>
      <c r="K194" s="96" t="str">
        <f aca="false">IF($A194="","",INDEX(_events!$K$2:$K$171,MATCH($A194,_events!$A$2:$A$171,0)))</f>
        <v/>
      </c>
    </row>
    <row r="195" customFormat="false" ht="15" hidden="false" customHeight="false" outlineLevel="0" collapsed="false">
      <c r="A195" s="94" t="str">
        <f aca="false">IFERROR(SMALL(_events!$A$2:$A$171,190),"")</f>
        <v/>
      </c>
      <c r="B195" s="95" t="str">
        <f aca="false">IF($A195="","",INT($A195))</f>
        <v/>
      </c>
      <c r="C195" s="96" t="str">
        <f aca="false">IF($A195="","",INDEX(_events!$C$2:$C$171,MATCH($A195,_events!$A$2:$A$171,0)))</f>
        <v/>
      </c>
      <c r="D195" s="97" t="str">
        <f aca="false">IF($A195="","",HYPERLINK("#'"&amp;INDEX(_events!$D$2:$D$171,MATCH($A195,_events!$A$2:$A$171,0))&amp;"'!A1",INDEX(_events!$D$2:$D$171,MATCH($A195,_events!$A$2:$A$171,0))))</f>
        <v/>
      </c>
      <c r="E195" s="96" t="str">
        <f aca="false">IF($A195="","",INDEX(_events!$E$2:$E$171,MATCH($A195,_events!$A$2:$A$171,0)))</f>
        <v/>
      </c>
      <c r="F195" s="96" t="str">
        <f aca="false">IF($A195="","",INDEX(_events!$F$2:$F$171,MATCH($A195,_events!$A$2:$A$171,0)))</f>
        <v/>
      </c>
      <c r="G195" s="96" t="str">
        <f aca="false">IF($A195="","",INDEX(_events!$G$2:$G$171,MATCH($A195,_events!$A$2:$A$171,0)))</f>
        <v/>
      </c>
      <c r="H195" s="96" t="str">
        <f aca="false">IF($A195="","",INDEX(_events!$H$2:$H$171,MATCH($A195,_events!$A$2:$A$171,0)))</f>
        <v/>
      </c>
      <c r="I195" s="96" t="str">
        <f aca="false">IF($A195="","",INDEX(_events!$I$2:$I$171,MATCH($A195,_events!$A$2:$A$171,0)))</f>
        <v/>
      </c>
      <c r="J195" s="96" t="str">
        <f aca="false">IF($A195="","",INDEX(_events!$J$2:$J$171,MATCH($A195,_events!$A$2:$A$171,0)))</f>
        <v/>
      </c>
      <c r="K195" s="96" t="str">
        <f aca="false">IF($A195="","",INDEX(_events!$K$2:$K$171,MATCH($A195,_events!$A$2:$A$171,0)))</f>
        <v/>
      </c>
    </row>
    <row r="196" customFormat="false" ht="15" hidden="false" customHeight="false" outlineLevel="0" collapsed="false">
      <c r="A196" s="94" t="str">
        <f aca="false">IFERROR(SMALL(_events!$A$2:$A$171,191),"")</f>
        <v/>
      </c>
      <c r="B196" s="95" t="str">
        <f aca="false">IF($A196="","",INT($A196))</f>
        <v/>
      </c>
      <c r="C196" s="96" t="str">
        <f aca="false">IF($A196="","",INDEX(_events!$C$2:$C$171,MATCH($A196,_events!$A$2:$A$171,0)))</f>
        <v/>
      </c>
      <c r="D196" s="97" t="str">
        <f aca="false">IF($A196="","",HYPERLINK("#'"&amp;INDEX(_events!$D$2:$D$171,MATCH($A196,_events!$A$2:$A$171,0))&amp;"'!A1",INDEX(_events!$D$2:$D$171,MATCH($A196,_events!$A$2:$A$171,0))))</f>
        <v/>
      </c>
      <c r="E196" s="96" t="str">
        <f aca="false">IF($A196="","",INDEX(_events!$E$2:$E$171,MATCH($A196,_events!$A$2:$A$171,0)))</f>
        <v/>
      </c>
      <c r="F196" s="96" t="str">
        <f aca="false">IF($A196="","",INDEX(_events!$F$2:$F$171,MATCH($A196,_events!$A$2:$A$171,0)))</f>
        <v/>
      </c>
      <c r="G196" s="96" t="str">
        <f aca="false">IF($A196="","",INDEX(_events!$G$2:$G$171,MATCH($A196,_events!$A$2:$A$171,0)))</f>
        <v/>
      </c>
      <c r="H196" s="96" t="str">
        <f aca="false">IF($A196="","",INDEX(_events!$H$2:$H$171,MATCH($A196,_events!$A$2:$A$171,0)))</f>
        <v/>
      </c>
      <c r="I196" s="96" t="str">
        <f aca="false">IF($A196="","",INDEX(_events!$I$2:$I$171,MATCH($A196,_events!$A$2:$A$171,0)))</f>
        <v/>
      </c>
      <c r="J196" s="96" t="str">
        <f aca="false">IF($A196="","",INDEX(_events!$J$2:$J$171,MATCH($A196,_events!$A$2:$A$171,0)))</f>
        <v/>
      </c>
      <c r="K196" s="96" t="str">
        <f aca="false">IF($A196="","",INDEX(_events!$K$2:$K$171,MATCH($A196,_events!$A$2:$A$171,0)))</f>
        <v/>
      </c>
    </row>
    <row r="197" customFormat="false" ht="15" hidden="false" customHeight="false" outlineLevel="0" collapsed="false">
      <c r="A197" s="94" t="str">
        <f aca="false">IFERROR(SMALL(_events!$A$2:$A$171,192),"")</f>
        <v/>
      </c>
      <c r="B197" s="95" t="str">
        <f aca="false">IF($A197="","",INT($A197))</f>
        <v/>
      </c>
      <c r="C197" s="96" t="str">
        <f aca="false">IF($A197="","",INDEX(_events!$C$2:$C$171,MATCH($A197,_events!$A$2:$A$171,0)))</f>
        <v/>
      </c>
      <c r="D197" s="97" t="str">
        <f aca="false">IF($A197="","",HYPERLINK("#'"&amp;INDEX(_events!$D$2:$D$171,MATCH($A197,_events!$A$2:$A$171,0))&amp;"'!A1",INDEX(_events!$D$2:$D$171,MATCH($A197,_events!$A$2:$A$171,0))))</f>
        <v/>
      </c>
      <c r="E197" s="96" t="str">
        <f aca="false">IF($A197="","",INDEX(_events!$E$2:$E$171,MATCH($A197,_events!$A$2:$A$171,0)))</f>
        <v/>
      </c>
      <c r="F197" s="96" t="str">
        <f aca="false">IF($A197="","",INDEX(_events!$F$2:$F$171,MATCH($A197,_events!$A$2:$A$171,0)))</f>
        <v/>
      </c>
      <c r="G197" s="96" t="str">
        <f aca="false">IF($A197="","",INDEX(_events!$G$2:$G$171,MATCH($A197,_events!$A$2:$A$171,0)))</f>
        <v/>
      </c>
      <c r="H197" s="96" t="str">
        <f aca="false">IF($A197="","",INDEX(_events!$H$2:$H$171,MATCH($A197,_events!$A$2:$A$171,0)))</f>
        <v/>
      </c>
      <c r="I197" s="96" t="str">
        <f aca="false">IF($A197="","",INDEX(_events!$I$2:$I$171,MATCH($A197,_events!$A$2:$A$171,0)))</f>
        <v/>
      </c>
      <c r="J197" s="96" t="str">
        <f aca="false">IF($A197="","",INDEX(_events!$J$2:$J$171,MATCH($A197,_events!$A$2:$A$171,0)))</f>
        <v/>
      </c>
      <c r="K197" s="96" t="str">
        <f aca="false">IF($A197="","",INDEX(_events!$K$2:$K$171,MATCH($A197,_events!$A$2:$A$171,0)))</f>
        <v/>
      </c>
    </row>
    <row r="198" customFormat="false" ht="15" hidden="false" customHeight="false" outlineLevel="0" collapsed="false">
      <c r="A198" s="94" t="str">
        <f aca="false">IFERROR(SMALL(_events!$A$2:$A$171,193),"")</f>
        <v/>
      </c>
      <c r="B198" s="95" t="str">
        <f aca="false">IF($A198="","",INT($A198))</f>
        <v/>
      </c>
      <c r="C198" s="96" t="str">
        <f aca="false">IF($A198="","",INDEX(_events!$C$2:$C$171,MATCH($A198,_events!$A$2:$A$171,0)))</f>
        <v/>
      </c>
      <c r="D198" s="97" t="str">
        <f aca="false">IF($A198="","",HYPERLINK("#'"&amp;INDEX(_events!$D$2:$D$171,MATCH($A198,_events!$A$2:$A$171,0))&amp;"'!A1",INDEX(_events!$D$2:$D$171,MATCH($A198,_events!$A$2:$A$171,0))))</f>
        <v/>
      </c>
      <c r="E198" s="96" t="str">
        <f aca="false">IF($A198="","",INDEX(_events!$E$2:$E$171,MATCH($A198,_events!$A$2:$A$171,0)))</f>
        <v/>
      </c>
      <c r="F198" s="96" t="str">
        <f aca="false">IF($A198="","",INDEX(_events!$F$2:$F$171,MATCH($A198,_events!$A$2:$A$171,0)))</f>
        <v/>
      </c>
      <c r="G198" s="96" t="str">
        <f aca="false">IF($A198="","",INDEX(_events!$G$2:$G$171,MATCH($A198,_events!$A$2:$A$171,0)))</f>
        <v/>
      </c>
      <c r="H198" s="96" t="str">
        <f aca="false">IF($A198="","",INDEX(_events!$H$2:$H$171,MATCH($A198,_events!$A$2:$A$171,0)))</f>
        <v/>
      </c>
      <c r="I198" s="96" t="str">
        <f aca="false">IF($A198="","",INDEX(_events!$I$2:$I$171,MATCH($A198,_events!$A$2:$A$171,0)))</f>
        <v/>
      </c>
      <c r="J198" s="96" t="str">
        <f aca="false">IF($A198="","",INDEX(_events!$J$2:$J$171,MATCH($A198,_events!$A$2:$A$171,0)))</f>
        <v/>
      </c>
      <c r="K198" s="96" t="str">
        <f aca="false">IF($A198="","",INDEX(_events!$K$2:$K$171,MATCH($A198,_events!$A$2:$A$171,0)))</f>
        <v/>
      </c>
    </row>
    <row r="199" customFormat="false" ht="15" hidden="false" customHeight="false" outlineLevel="0" collapsed="false">
      <c r="A199" s="94" t="str">
        <f aca="false">IFERROR(SMALL(_events!$A$2:$A$171,194),"")</f>
        <v/>
      </c>
      <c r="B199" s="95" t="str">
        <f aca="false">IF($A199="","",INT($A199))</f>
        <v/>
      </c>
      <c r="C199" s="96" t="str">
        <f aca="false">IF($A199="","",INDEX(_events!$C$2:$C$171,MATCH($A199,_events!$A$2:$A$171,0)))</f>
        <v/>
      </c>
      <c r="D199" s="97" t="str">
        <f aca="false">IF($A199="","",HYPERLINK("#'"&amp;INDEX(_events!$D$2:$D$171,MATCH($A199,_events!$A$2:$A$171,0))&amp;"'!A1",INDEX(_events!$D$2:$D$171,MATCH($A199,_events!$A$2:$A$171,0))))</f>
        <v/>
      </c>
      <c r="E199" s="96" t="str">
        <f aca="false">IF($A199="","",INDEX(_events!$E$2:$E$171,MATCH($A199,_events!$A$2:$A$171,0)))</f>
        <v/>
      </c>
      <c r="F199" s="96" t="str">
        <f aca="false">IF($A199="","",INDEX(_events!$F$2:$F$171,MATCH($A199,_events!$A$2:$A$171,0)))</f>
        <v/>
      </c>
      <c r="G199" s="96" t="str">
        <f aca="false">IF($A199="","",INDEX(_events!$G$2:$G$171,MATCH($A199,_events!$A$2:$A$171,0)))</f>
        <v/>
      </c>
      <c r="H199" s="96" t="str">
        <f aca="false">IF($A199="","",INDEX(_events!$H$2:$H$171,MATCH($A199,_events!$A$2:$A$171,0)))</f>
        <v/>
      </c>
      <c r="I199" s="96" t="str">
        <f aca="false">IF($A199="","",INDEX(_events!$I$2:$I$171,MATCH($A199,_events!$A$2:$A$171,0)))</f>
        <v/>
      </c>
      <c r="J199" s="96" t="str">
        <f aca="false">IF($A199="","",INDEX(_events!$J$2:$J$171,MATCH($A199,_events!$A$2:$A$171,0)))</f>
        <v/>
      </c>
      <c r="K199" s="96" t="str">
        <f aca="false">IF($A199="","",INDEX(_events!$K$2:$K$171,MATCH($A199,_events!$A$2:$A$171,0)))</f>
        <v/>
      </c>
    </row>
    <row r="200" customFormat="false" ht="15" hidden="false" customHeight="false" outlineLevel="0" collapsed="false">
      <c r="A200" s="94" t="str">
        <f aca="false">IFERROR(SMALL(_events!$A$2:$A$171,195),"")</f>
        <v/>
      </c>
      <c r="B200" s="95" t="str">
        <f aca="false">IF($A200="","",INT($A200))</f>
        <v/>
      </c>
      <c r="C200" s="96" t="str">
        <f aca="false">IF($A200="","",INDEX(_events!$C$2:$C$171,MATCH($A200,_events!$A$2:$A$171,0)))</f>
        <v/>
      </c>
      <c r="D200" s="97" t="str">
        <f aca="false">IF($A200="","",HYPERLINK("#'"&amp;INDEX(_events!$D$2:$D$171,MATCH($A200,_events!$A$2:$A$171,0))&amp;"'!A1",INDEX(_events!$D$2:$D$171,MATCH($A200,_events!$A$2:$A$171,0))))</f>
        <v/>
      </c>
      <c r="E200" s="96" t="str">
        <f aca="false">IF($A200="","",INDEX(_events!$E$2:$E$171,MATCH($A200,_events!$A$2:$A$171,0)))</f>
        <v/>
      </c>
      <c r="F200" s="96" t="str">
        <f aca="false">IF($A200="","",INDEX(_events!$F$2:$F$171,MATCH($A200,_events!$A$2:$A$171,0)))</f>
        <v/>
      </c>
      <c r="G200" s="96" t="str">
        <f aca="false">IF($A200="","",INDEX(_events!$G$2:$G$171,MATCH($A200,_events!$A$2:$A$171,0)))</f>
        <v/>
      </c>
      <c r="H200" s="96" t="str">
        <f aca="false">IF($A200="","",INDEX(_events!$H$2:$H$171,MATCH($A200,_events!$A$2:$A$171,0)))</f>
        <v/>
      </c>
      <c r="I200" s="96" t="str">
        <f aca="false">IF($A200="","",INDEX(_events!$I$2:$I$171,MATCH($A200,_events!$A$2:$A$171,0)))</f>
        <v/>
      </c>
      <c r="J200" s="96" t="str">
        <f aca="false">IF($A200="","",INDEX(_events!$J$2:$J$171,MATCH($A200,_events!$A$2:$A$171,0)))</f>
        <v/>
      </c>
      <c r="K200" s="96" t="str">
        <f aca="false">IF($A200="","",INDEX(_events!$K$2:$K$171,MATCH($A200,_events!$A$2:$A$171,0)))</f>
        <v/>
      </c>
    </row>
    <row r="201" customFormat="false" ht="15" hidden="false" customHeight="false" outlineLevel="0" collapsed="false">
      <c r="A201" s="94" t="str">
        <f aca="false">IFERROR(SMALL(_events!$A$2:$A$171,196),"")</f>
        <v/>
      </c>
      <c r="B201" s="95" t="str">
        <f aca="false">IF($A201="","",INT($A201))</f>
        <v/>
      </c>
      <c r="C201" s="96" t="str">
        <f aca="false">IF($A201="","",INDEX(_events!$C$2:$C$171,MATCH($A201,_events!$A$2:$A$171,0)))</f>
        <v/>
      </c>
      <c r="D201" s="97" t="str">
        <f aca="false">IF($A201="","",HYPERLINK("#'"&amp;INDEX(_events!$D$2:$D$171,MATCH($A201,_events!$A$2:$A$171,0))&amp;"'!A1",INDEX(_events!$D$2:$D$171,MATCH($A201,_events!$A$2:$A$171,0))))</f>
        <v/>
      </c>
      <c r="E201" s="96" t="str">
        <f aca="false">IF($A201="","",INDEX(_events!$E$2:$E$171,MATCH($A201,_events!$A$2:$A$171,0)))</f>
        <v/>
      </c>
      <c r="F201" s="96" t="str">
        <f aca="false">IF($A201="","",INDEX(_events!$F$2:$F$171,MATCH($A201,_events!$A$2:$A$171,0)))</f>
        <v/>
      </c>
      <c r="G201" s="96" t="str">
        <f aca="false">IF($A201="","",INDEX(_events!$G$2:$G$171,MATCH($A201,_events!$A$2:$A$171,0)))</f>
        <v/>
      </c>
      <c r="H201" s="96" t="str">
        <f aca="false">IF($A201="","",INDEX(_events!$H$2:$H$171,MATCH($A201,_events!$A$2:$A$171,0)))</f>
        <v/>
      </c>
      <c r="I201" s="96" t="str">
        <f aca="false">IF($A201="","",INDEX(_events!$I$2:$I$171,MATCH($A201,_events!$A$2:$A$171,0)))</f>
        <v/>
      </c>
      <c r="J201" s="96" t="str">
        <f aca="false">IF($A201="","",INDEX(_events!$J$2:$J$171,MATCH($A201,_events!$A$2:$A$171,0)))</f>
        <v/>
      </c>
      <c r="K201" s="96" t="str">
        <f aca="false">IF($A201="","",INDEX(_events!$K$2:$K$171,MATCH($A201,_events!$A$2:$A$171,0)))</f>
        <v/>
      </c>
    </row>
    <row r="202" customFormat="false" ht="15" hidden="false" customHeight="false" outlineLevel="0" collapsed="false">
      <c r="A202" s="94" t="str">
        <f aca="false">IFERROR(SMALL(_events!$A$2:$A$171,197),"")</f>
        <v/>
      </c>
      <c r="B202" s="95" t="str">
        <f aca="false">IF($A202="","",INT($A202))</f>
        <v/>
      </c>
      <c r="C202" s="96" t="str">
        <f aca="false">IF($A202="","",INDEX(_events!$C$2:$C$171,MATCH($A202,_events!$A$2:$A$171,0)))</f>
        <v/>
      </c>
      <c r="D202" s="97" t="str">
        <f aca="false">IF($A202="","",HYPERLINK("#'"&amp;INDEX(_events!$D$2:$D$171,MATCH($A202,_events!$A$2:$A$171,0))&amp;"'!A1",INDEX(_events!$D$2:$D$171,MATCH($A202,_events!$A$2:$A$171,0))))</f>
        <v/>
      </c>
      <c r="E202" s="96" t="str">
        <f aca="false">IF($A202="","",INDEX(_events!$E$2:$E$171,MATCH($A202,_events!$A$2:$A$171,0)))</f>
        <v/>
      </c>
      <c r="F202" s="96" t="str">
        <f aca="false">IF($A202="","",INDEX(_events!$F$2:$F$171,MATCH($A202,_events!$A$2:$A$171,0)))</f>
        <v/>
      </c>
      <c r="G202" s="96" t="str">
        <f aca="false">IF($A202="","",INDEX(_events!$G$2:$G$171,MATCH($A202,_events!$A$2:$A$171,0)))</f>
        <v/>
      </c>
      <c r="H202" s="96" t="str">
        <f aca="false">IF($A202="","",INDEX(_events!$H$2:$H$171,MATCH($A202,_events!$A$2:$A$171,0)))</f>
        <v/>
      </c>
      <c r="I202" s="96" t="str">
        <f aca="false">IF($A202="","",INDEX(_events!$I$2:$I$171,MATCH($A202,_events!$A$2:$A$171,0)))</f>
        <v/>
      </c>
      <c r="J202" s="96" t="str">
        <f aca="false">IF($A202="","",INDEX(_events!$J$2:$J$171,MATCH($A202,_events!$A$2:$A$171,0)))</f>
        <v/>
      </c>
      <c r="K202" s="96" t="str">
        <f aca="false">IF($A202="","",INDEX(_events!$K$2:$K$171,MATCH($A202,_events!$A$2:$A$171,0)))</f>
        <v/>
      </c>
    </row>
    <row r="203" customFormat="false" ht="15" hidden="false" customHeight="false" outlineLevel="0" collapsed="false">
      <c r="A203" s="94" t="str">
        <f aca="false">IFERROR(SMALL(_events!$A$2:$A$171,198),"")</f>
        <v/>
      </c>
      <c r="B203" s="95" t="str">
        <f aca="false">IF($A203="","",INT($A203))</f>
        <v/>
      </c>
      <c r="C203" s="96" t="str">
        <f aca="false">IF($A203="","",INDEX(_events!$C$2:$C$171,MATCH($A203,_events!$A$2:$A$171,0)))</f>
        <v/>
      </c>
      <c r="D203" s="97" t="str">
        <f aca="false">IF($A203="","",HYPERLINK("#'"&amp;INDEX(_events!$D$2:$D$171,MATCH($A203,_events!$A$2:$A$171,0))&amp;"'!A1",INDEX(_events!$D$2:$D$171,MATCH($A203,_events!$A$2:$A$171,0))))</f>
        <v/>
      </c>
      <c r="E203" s="96" t="str">
        <f aca="false">IF($A203="","",INDEX(_events!$E$2:$E$171,MATCH($A203,_events!$A$2:$A$171,0)))</f>
        <v/>
      </c>
      <c r="F203" s="96" t="str">
        <f aca="false">IF($A203="","",INDEX(_events!$F$2:$F$171,MATCH($A203,_events!$A$2:$A$171,0)))</f>
        <v/>
      </c>
      <c r="G203" s="96" t="str">
        <f aca="false">IF($A203="","",INDEX(_events!$G$2:$G$171,MATCH($A203,_events!$A$2:$A$171,0)))</f>
        <v/>
      </c>
      <c r="H203" s="96" t="str">
        <f aca="false">IF($A203="","",INDEX(_events!$H$2:$H$171,MATCH($A203,_events!$A$2:$A$171,0)))</f>
        <v/>
      </c>
      <c r="I203" s="96" t="str">
        <f aca="false">IF($A203="","",INDEX(_events!$I$2:$I$171,MATCH($A203,_events!$A$2:$A$171,0)))</f>
        <v/>
      </c>
      <c r="J203" s="96" t="str">
        <f aca="false">IF($A203="","",INDEX(_events!$J$2:$J$171,MATCH($A203,_events!$A$2:$A$171,0)))</f>
        <v/>
      </c>
      <c r="K203" s="96" t="str">
        <f aca="false">IF($A203="","",INDEX(_events!$K$2:$K$171,MATCH($A203,_events!$A$2:$A$171,0)))</f>
        <v/>
      </c>
    </row>
    <row r="204" customFormat="false" ht="15" hidden="false" customHeight="false" outlineLevel="0" collapsed="false">
      <c r="A204" s="94" t="str">
        <f aca="false">IFERROR(SMALL(_events!$A$2:$A$171,199),"")</f>
        <v/>
      </c>
      <c r="B204" s="95" t="str">
        <f aca="false">IF($A204="","",INT($A204))</f>
        <v/>
      </c>
      <c r="C204" s="96" t="str">
        <f aca="false">IF($A204="","",INDEX(_events!$C$2:$C$171,MATCH($A204,_events!$A$2:$A$171,0)))</f>
        <v/>
      </c>
      <c r="D204" s="97" t="str">
        <f aca="false">IF($A204="","",HYPERLINK("#'"&amp;INDEX(_events!$D$2:$D$171,MATCH($A204,_events!$A$2:$A$171,0))&amp;"'!A1",INDEX(_events!$D$2:$D$171,MATCH($A204,_events!$A$2:$A$171,0))))</f>
        <v/>
      </c>
      <c r="E204" s="96" t="str">
        <f aca="false">IF($A204="","",INDEX(_events!$E$2:$E$171,MATCH($A204,_events!$A$2:$A$171,0)))</f>
        <v/>
      </c>
      <c r="F204" s="96" t="str">
        <f aca="false">IF($A204="","",INDEX(_events!$F$2:$F$171,MATCH($A204,_events!$A$2:$A$171,0)))</f>
        <v/>
      </c>
      <c r="G204" s="96" t="str">
        <f aca="false">IF($A204="","",INDEX(_events!$G$2:$G$171,MATCH($A204,_events!$A$2:$A$171,0)))</f>
        <v/>
      </c>
      <c r="H204" s="96" t="str">
        <f aca="false">IF($A204="","",INDEX(_events!$H$2:$H$171,MATCH($A204,_events!$A$2:$A$171,0)))</f>
        <v/>
      </c>
      <c r="I204" s="96" t="str">
        <f aca="false">IF($A204="","",INDEX(_events!$I$2:$I$171,MATCH($A204,_events!$A$2:$A$171,0)))</f>
        <v/>
      </c>
      <c r="J204" s="96" t="str">
        <f aca="false">IF($A204="","",INDEX(_events!$J$2:$J$171,MATCH($A204,_events!$A$2:$A$171,0)))</f>
        <v/>
      </c>
      <c r="K204" s="96" t="str">
        <f aca="false">IF($A204="","",INDEX(_events!$K$2:$K$171,MATCH($A204,_events!$A$2:$A$171,0)))</f>
        <v/>
      </c>
    </row>
    <row r="205" customFormat="false" ht="15" hidden="false" customHeight="false" outlineLevel="0" collapsed="false">
      <c r="A205" s="94" t="str">
        <f aca="false">IFERROR(SMALL(_events!$A$2:$A$171,200),"")</f>
        <v/>
      </c>
      <c r="B205" s="95" t="str">
        <f aca="false">IF($A205="","",INT($A205))</f>
        <v/>
      </c>
      <c r="C205" s="96" t="str">
        <f aca="false">IF($A205="","",INDEX(_events!$C$2:$C$171,MATCH($A205,_events!$A$2:$A$171,0)))</f>
        <v/>
      </c>
      <c r="D205" s="97" t="str">
        <f aca="false">IF($A205="","",HYPERLINK("#'"&amp;INDEX(_events!$D$2:$D$171,MATCH($A205,_events!$A$2:$A$171,0))&amp;"'!A1",INDEX(_events!$D$2:$D$171,MATCH($A205,_events!$A$2:$A$171,0))))</f>
        <v/>
      </c>
      <c r="E205" s="96" t="str">
        <f aca="false">IF($A205="","",INDEX(_events!$E$2:$E$171,MATCH($A205,_events!$A$2:$A$171,0)))</f>
        <v/>
      </c>
      <c r="F205" s="96" t="str">
        <f aca="false">IF($A205="","",INDEX(_events!$F$2:$F$171,MATCH($A205,_events!$A$2:$A$171,0)))</f>
        <v/>
      </c>
      <c r="G205" s="96" t="str">
        <f aca="false">IF($A205="","",INDEX(_events!$G$2:$G$171,MATCH($A205,_events!$A$2:$A$171,0)))</f>
        <v/>
      </c>
      <c r="H205" s="96" t="str">
        <f aca="false">IF($A205="","",INDEX(_events!$H$2:$H$171,MATCH($A205,_events!$A$2:$A$171,0)))</f>
        <v/>
      </c>
      <c r="I205" s="96" t="str">
        <f aca="false">IF($A205="","",INDEX(_events!$I$2:$I$171,MATCH($A205,_events!$A$2:$A$171,0)))</f>
        <v/>
      </c>
      <c r="J205" s="96" t="str">
        <f aca="false">IF($A205="","",INDEX(_events!$J$2:$J$171,MATCH($A205,_events!$A$2:$A$171,0)))</f>
        <v/>
      </c>
      <c r="K205" s="96" t="str">
        <f aca="false">IF($A205="","",INDEX(_events!$K$2:$K$171,MATCH($A205,_events!$A$2:$A$171,0)))</f>
        <v/>
      </c>
    </row>
    <row r="206" customFormat="false" ht="15" hidden="false" customHeight="false" outlineLevel="0" collapsed="false">
      <c r="A206" s="94" t="str">
        <f aca="false">IFERROR(SMALL(_events!$A$2:$A$171,201),"")</f>
        <v/>
      </c>
      <c r="B206" s="95" t="str">
        <f aca="false">IF($A206="","",INT($A206))</f>
        <v/>
      </c>
      <c r="C206" s="96" t="str">
        <f aca="false">IF($A206="","",INDEX(_events!$C$2:$C$171,MATCH($A206,_events!$A$2:$A$171,0)))</f>
        <v/>
      </c>
      <c r="D206" s="97" t="str">
        <f aca="false">IF($A206="","",HYPERLINK("#'"&amp;INDEX(_events!$D$2:$D$171,MATCH($A206,_events!$A$2:$A$171,0))&amp;"'!A1",INDEX(_events!$D$2:$D$171,MATCH($A206,_events!$A$2:$A$171,0))))</f>
        <v/>
      </c>
      <c r="E206" s="96" t="str">
        <f aca="false">IF($A206="","",INDEX(_events!$E$2:$E$171,MATCH($A206,_events!$A$2:$A$171,0)))</f>
        <v/>
      </c>
      <c r="F206" s="96" t="str">
        <f aca="false">IF($A206="","",INDEX(_events!$F$2:$F$171,MATCH($A206,_events!$A$2:$A$171,0)))</f>
        <v/>
      </c>
      <c r="G206" s="96" t="str">
        <f aca="false">IF($A206="","",INDEX(_events!$G$2:$G$171,MATCH($A206,_events!$A$2:$A$171,0)))</f>
        <v/>
      </c>
      <c r="H206" s="96" t="str">
        <f aca="false">IF($A206="","",INDEX(_events!$H$2:$H$171,MATCH($A206,_events!$A$2:$A$171,0)))</f>
        <v/>
      </c>
      <c r="I206" s="96" t="str">
        <f aca="false">IF($A206="","",INDEX(_events!$I$2:$I$171,MATCH($A206,_events!$A$2:$A$171,0)))</f>
        <v/>
      </c>
      <c r="J206" s="96" t="str">
        <f aca="false">IF($A206="","",INDEX(_events!$J$2:$J$171,MATCH($A206,_events!$A$2:$A$171,0)))</f>
        <v/>
      </c>
      <c r="K206" s="96" t="str">
        <f aca="false">IF($A206="","",INDEX(_events!$K$2:$K$171,MATCH($A206,_events!$A$2:$A$171,0)))</f>
        <v/>
      </c>
    </row>
    <row r="207" customFormat="false" ht="15" hidden="false" customHeight="false" outlineLevel="0" collapsed="false">
      <c r="A207" s="94" t="str">
        <f aca="false">IFERROR(SMALL(_events!$A$2:$A$171,202),"")</f>
        <v/>
      </c>
      <c r="B207" s="95" t="str">
        <f aca="false">IF($A207="","",INT($A207))</f>
        <v/>
      </c>
      <c r="C207" s="96" t="str">
        <f aca="false">IF($A207="","",INDEX(_events!$C$2:$C$171,MATCH($A207,_events!$A$2:$A$171,0)))</f>
        <v/>
      </c>
      <c r="D207" s="97" t="str">
        <f aca="false">IF($A207="","",HYPERLINK("#'"&amp;INDEX(_events!$D$2:$D$171,MATCH($A207,_events!$A$2:$A$171,0))&amp;"'!A1",INDEX(_events!$D$2:$D$171,MATCH($A207,_events!$A$2:$A$171,0))))</f>
        <v/>
      </c>
      <c r="E207" s="96" t="str">
        <f aca="false">IF($A207="","",INDEX(_events!$E$2:$E$171,MATCH($A207,_events!$A$2:$A$171,0)))</f>
        <v/>
      </c>
      <c r="F207" s="96" t="str">
        <f aca="false">IF($A207="","",INDEX(_events!$F$2:$F$171,MATCH($A207,_events!$A$2:$A$171,0)))</f>
        <v/>
      </c>
      <c r="G207" s="96" t="str">
        <f aca="false">IF($A207="","",INDEX(_events!$G$2:$G$171,MATCH($A207,_events!$A$2:$A$171,0)))</f>
        <v/>
      </c>
      <c r="H207" s="96" t="str">
        <f aca="false">IF($A207="","",INDEX(_events!$H$2:$H$171,MATCH($A207,_events!$A$2:$A$171,0)))</f>
        <v/>
      </c>
      <c r="I207" s="96" t="str">
        <f aca="false">IF($A207="","",INDEX(_events!$I$2:$I$171,MATCH($A207,_events!$A$2:$A$171,0)))</f>
        <v/>
      </c>
      <c r="J207" s="96" t="str">
        <f aca="false">IF($A207="","",INDEX(_events!$J$2:$J$171,MATCH($A207,_events!$A$2:$A$171,0)))</f>
        <v/>
      </c>
      <c r="K207" s="96" t="str">
        <f aca="false">IF($A207="","",INDEX(_events!$K$2:$K$171,MATCH($A207,_events!$A$2:$A$171,0)))</f>
        <v/>
      </c>
    </row>
    <row r="208" customFormat="false" ht="15" hidden="false" customHeight="false" outlineLevel="0" collapsed="false">
      <c r="A208" s="94" t="str">
        <f aca="false">IFERROR(SMALL(_events!$A$2:$A$171,203),"")</f>
        <v/>
      </c>
      <c r="B208" s="95" t="str">
        <f aca="false">IF($A208="","",INT($A208))</f>
        <v/>
      </c>
      <c r="C208" s="96" t="str">
        <f aca="false">IF($A208="","",INDEX(_events!$C$2:$C$171,MATCH($A208,_events!$A$2:$A$171,0)))</f>
        <v/>
      </c>
      <c r="D208" s="97" t="str">
        <f aca="false">IF($A208="","",HYPERLINK("#'"&amp;INDEX(_events!$D$2:$D$171,MATCH($A208,_events!$A$2:$A$171,0))&amp;"'!A1",INDEX(_events!$D$2:$D$171,MATCH($A208,_events!$A$2:$A$171,0))))</f>
        <v/>
      </c>
      <c r="E208" s="96" t="str">
        <f aca="false">IF($A208="","",INDEX(_events!$E$2:$E$171,MATCH($A208,_events!$A$2:$A$171,0)))</f>
        <v/>
      </c>
      <c r="F208" s="96" t="str">
        <f aca="false">IF($A208="","",INDEX(_events!$F$2:$F$171,MATCH($A208,_events!$A$2:$A$171,0)))</f>
        <v/>
      </c>
      <c r="G208" s="96" t="str">
        <f aca="false">IF($A208="","",INDEX(_events!$G$2:$G$171,MATCH($A208,_events!$A$2:$A$171,0)))</f>
        <v/>
      </c>
      <c r="H208" s="96" t="str">
        <f aca="false">IF($A208="","",INDEX(_events!$H$2:$H$171,MATCH($A208,_events!$A$2:$A$171,0)))</f>
        <v/>
      </c>
      <c r="I208" s="96" t="str">
        <f aca="false">IF($A208="","",INDEX(_events!$I$2:$I$171,MATCH($A208,_events!$A$2:$A$171,0)))</f>
        <v/>
      </c>
      <c r="J208" s="96" t="str">
        <f aca="false">IF($A208="","",INDEX(_events!$J$2:$J$171,MATCH($A208,_events!$A$2:$A$171,0)))</f>
        <v/>
      </c>
      <c r="K208" s="96" t="str">
        <f aca="false">IF($A208="","",INDEX(_events!$K$2:$K$171,MATCH($A208,_events!$A$2:$A$171,0)))</f>
        <v/>
      </c>
    </row>
    <row r="209" customFormat="false" ht="15" hidden="false" customHeight="false" outlineLevel="0" collapsed="false">
      <c r="A209" s="94" t="str">
        <f aca="false">IFERROR(SMALL(_events!$A$2:$A$171,204),"")</f>
        <v/>
      </c>
      <c r="B209" s="95" t="str">
        <f aca="false">IF($A209="","",INT($A209))</f>
        <v/>
      </c>
      <c r="C209" s="96" t="str">
        <f aca="false">IF($A209="","",INDEX(_events!$C$2:$C$171,MATCH($A209,_events!$A$2:$A$171,0)))</f>
        <v/>
      </c>
      <c r="D209" s="97" t="str">
        <f aca="false">IF($A209="","",HYPERLINK("#'"&amp;INDEX(_events!$D$2:$D$171,MATCH($A209,_events!$A$2:$A$171,0))&amp;"'!A1",INDEX(_events!$D$2:$D$171,MATCH($A209,_events!$A$2:$A$171,0))))</f>
        <v/>
      </c>
      <c r="E209" s="96" t="str">
        <f aca="false">IF($A209="","",INDEX(_events!$E$2:$E$171,MATCH($A209,_events!$A$2:$A$171,0)))</f>
        <v/>
      </c>
      <c r="F209" s="96" t="str">
        <f aca="false">IF($A209="","",INDEX(_events!$F$2:$F$171,MATCH($A209,_events!$A$2:$A$171,0)))</f>
        <v/>
      </c>
      <c r="G209" s="96" t="str">
        <f aca="false">IF($A209="","",INDEX(_events!$G$2:$G$171,MATCH($A209,_events!$A$2:$A$171,0)))</f>
        <v/>
      </c>
      <c r="H209" s="96" t="str">
        <f aca="false">IF($A209="","",INDEX(_events!$H$2:$H$171,MATCH($A209,_events!$A$2:$A$171,0)))</f>
        <v/>
      </c>
      <c r="I209" s="96" t="str">
        <f aca="false">IF($A209="","",INDEX(_events!$I$2:$I$171,MATCH($A209,_events!$A$2:$A$171,0)))</f>
        <v/>
      </c>
      <c r="J209" s="96" t="str">
        <f aca="false">IF($A209="","",INDEX(_events!$J$2:$J$171,MATCH($A209,_events!$A$2:$A$171,0)))</f>
        <v/>
      </c>
      <c r="K209" s="96" t="str">
        <f aca="false">IF($A209="","",INDEX(_events!$K$2:$K$171,MATCH($A209,_events!$A$2:$A$171,0)))</f>
        <v/>
      </c>
    </row>
    <row r="210" customFormat="false" ht="15" hidden="false" customHeight="false" outlineLevel="0" collapsed="false">
      <c r="A210" s="94" t="str">
        <f aca="false">IFERROR(SMALL(_events!$A$2:$A$171,205),"")</f>
        <v/>
      </c>
      <c r="B210" s="95" t="str">
        <f aca="false">IF($A210="","",INT($A210))</f>
        <v/>
      </c>
      <c r="C210" s="96" t="str">
        <f aca="false">IF($A210="","",INDEX(_events!$C$2:$C$171,MATCH($A210,_events!$A$2:$A$171,0)))</f>
        <v/>
      </c>
      <c r="D210" s="97" t="str">
        <f aca="false">IF($A210="","",HYPERLINK("#'"&amp;INDEX(_events!$D$2:$D$171,MATCH($A210,_events!$A$2:$A$171,0))&amp;"'!A1",INDEX(_events!$D$2:$D$171,MATCH($A210,_events!$A$2:$A$171,0))))</f>
        <v/>
      </c>
      <c r="E210" s="96" t="str">
        <f aca="false">IF($A210="","",INDEX(_events!$E$2:$E$171,MATCH($A210,_events!$A$2:$A$171,0)))</f>
        <v/>
      </c>
      <c r="F210" s="96" t="str">
        <f aca="false">IF($A210="","",INDEX(_events!$F$2:$F$171,MATCH($A210,_events!$A$2:$A$171,0)))</f>
        <v/>
      </c>
      <c r="G210" s="96" t="str">
        <f aca="false">IF($A210="","",INDEX(_events!$G$2:$G$171,MATCH($A210,_events!$A$2:$A$171,0)))</f>
        <v/>
      </c>
      <c r="H210" s="96" t="str">
        <f aca="false">IF($A210="","",INDEX(_events!$H$2:$H$171,MATCH($A210,_events!$A$2:$A$171,0)))</f>
        <v/>
      </c>
      <c r="I210" s="96" t="str">
        <f aca="false">IF($A210="","",INDEX(_events!$I$2:$I$171,MATCH($A210,_events!$A$2:$A$171,0)))</f>
        <v/>
      </c>
      <c r="J210" s="96" t="str">
        <f aca="false">IF($A210="","",INDEX(_events!$J$2:$J$171,MATCH($A210,_events!$A$2:$A$171,0)))</f>
        <v/>
      </c>
      <c r="K210" s="96" t="str">
        <f aca="false">IF($A210="","",INDEX(_events!$K$2:$K$171,MATCH($A210,_events!$A$2:$A$171,0)))</f>
        <v/>
      </c>
    </row>
    <row r="211" customFormat="false" ht="15" hidden="false" customHeight="false" outlineLevel="0" collapsed="false">
      <c r="A211" s="94" t="str">
        <f aca="false">IFERROR(SMALL(_events!$A$2:$A$171,206),"")</f>
        <v/>
      </c>
      <c r="B211" s="95" t="str">
        <f aca="false">IF($A211="","",INT($A211))</f>
        <v/>
      </c>
      <c r="C211" s="96" t="str">
        <f aca="false">IF($A211="","",INDEX(_events!$C$2:$C$171,MATCH($A211,_events!$A$2:$A$171,0)))</f>
        <v/>
      </c>
      <c r="D211" s="97" t="str">
        <f aca="false">IF($A211="","",HYPERLINK("#'"&amp;INDEX(_events!$D$2:$D$171,MATCH($A211,_events!$A$2:$A$171,0))&amp;"'!A1",INDEX(_events!$D$2:$D$171,MATCH($A211,_events!$A$2:$A$171,0))))</f>
        <v/>
      </c>
      <c r="E211" s="96" t="str">
        <f aca="false">IF($A211="","",INDEX(_events!$E$2:$E$171,MATCH($A211,_events!$A$2:$A$171,0)))</f>
        <v/>
      </c>
      <c r="F211" s="96" t="str">
        <f aca="false">IF($A211="","",INDEX(_events!$F$2:$F$171,MATCH($A211,_events!$A$2:$A$171,0)))</f>
        <v/>
      </c>
      <c r="G211" s="96" t="str">
        <f aca="false">IF($A211="","",INDEX(_events!$G$2:$G$171,MATCH($A211,_events!$A$2:$A$171,0)))</f>
        <v/>
      </c>
      <c r="H211" s="96" t="str">
        <f aca="false">IF($A211="","",INDEX(_events!$H$2:$H$171,MATCH($A211,_events!$A$2:$A$171,0)))</f>
        <v/>
      </c>
      <c r="I211" s="96" t="str">
        <f aca="false">IF($A211="","",INDEX(_events!$I$2:$I$171,MATCH($A211,_events!$A$2:$A$171,0)))</f>
        <v/>
      </c>
      <c r="J211" s="96" t="str">
        <f aca="false">IF($A211="","",INDEX(_events!$J$2:$J$171,MATCH($A211,_events!$A$2:$A$171,0)))</f>
        <v/>
      </c>
      <c r="K211" s="96" t="str">
        <f aca="false">IF($A211="","",INDEX(_events!$K$2:$K$171,MATCH($A211,_events!$A$2:$A$171,0)))</f>
        <v/>
      </c>
    </row>
    <row r="212" customFormat="false" ht="15" hidden="false" customHeight="false" outlineLevel="0" collapsed="false">
      <c r="A212" s="94" t="str">
        <f aca="false">IFERROR(SMALL(_events!$A$2:$A$171,207),"")</f>
        <v/>
      </c>
      <c r="B212" s="95" t="str">
        <f aca="false">IF($A212="","",INT($A212))</f>
        <v/>
      </c>
      <c r="C212" s="96" t="str">
        <f aca="false">IF($A212="","",INDEX(_events!$C$2:$C$171,MATCH($A212,_events!$A$2:$A$171,0)))</f>
        <v/>
      </c>
      <c r="D212" s="97" t="str">
        <f aca="false">IF($A212="","",HYPERLINK("#'"&amp;INDEX(_events!$D$2:$D$171,MATCH($A212,_events!$A$2:$A$171,0))&amp;"'!A1",INDEX(_events!$D$2:$D$171,MATCH($A212,_events!$A$2:$A$171,0))))</f>
        <v/>
      </c>
      <c r="E212" s="96" t="str">
        <f aca="false">IF($A212="","",INDEX(_events!$E$2:$E$171,MATCH($A212,_events!$A$2:$A$171,0)))</f>
        <v/>
      </c>
      <c r="F212" s="96" t="str">
        <f aca="false">IF($A212="","",INDEX(_events!$F$2:$F$171,MATCH($A212,_events!$A$2:$A$171,0)))</f>
        <v/>
      </c>
      <c r="G212" s="96" t="str">
        <f aca="false">IF($A212="","",INDEX(_events!$G$2:$G$171,MATCH($A212,_events!$A$2:$A$171,0)))</f>
        <v/>
      </c>
      <c r="H212" s="96" t="str">
        <f aca="false">IF($A212="","",INDEX(_events!$H$2:$H$171,MATCH($A212,_events!$A$2:$A$171,0)))</f>
        <v/>
      </c>
      <c r="I212" s="96" t="str">
        <f aca="false">IF($A212="","",INDEX(_events!$I$2:$I$171,MATCH($A212,_events!$A$2:$A$171,0)))</f>
        <v/>
      </c>
      <c r="J212" s="96" t="str">
        <f aca="false">IF($A212="","",INDEX(_events!$J$2:$J$171,MATCH($A212,_events!$A$2:$A$171,0)))</f>
        <v/>
      </c>
      <c r="K212" s="96" t="str">
        <f aca="false">IF($A212="","",INDEX(_events!$K$2:$K$171,MATCH($A212,_events!$A$2:$A$171,0)))</f>
        <v/>
      </c>
    </row>
    <row r="213" customFormat="false" ht="15" hidden="false" customHeight="false" outlineLevel="0" collapsed="false">
      <c r="A213" s="94" t="str">
        <f aca="false">IFERROR(SMALL(_events!$A$2:$A$171,208),"")</f>
        <v/>
      </c>
      <c r="B213" s="95" t="str">
        <f aca="false">IF($A213="","",INT($A213))</f>
        <v/>
      </c>
      <c r="C213" s="96" t="str">
        <f aca="false">IF($A213="","",INDEX(_events!$C$2:$C$171,MATCH($A213,_events!$A$2:$A$171,0)))</f>
        <v/>
      </c>
      <c r="D213" s="97" t="str">
        <f aca="false">IF($A213="","",HYPERLINK("#'"&amp;INDEX(_events!$D$2:$D$171,MATCH($A213,_events!$A$2:$A$171,0))&amp;"'!A1",INDEX(_events!$D$2:$D$171,MATCH($A213,_events!$A$2:$A$171,0))))</f>
        <v/>
      </c>
      <c r="E213" s="96" t="str">
        <f aca="false">IF($A213="","",INDEX(_events!$E$2:$E$171,MATCH($A213,_events!$A$2:$A$171,0)))</f>
        <v/>
      </c>
      <c r="F213" s="96" t="str">
        <f aca="false">IF($A213="","",INDEX(_events!$F$2:$F$171,MATCH($A213,_events!$A$2:$A$171,0)))</f>
        <v/>
      </c>
      <c r="G213" s="96" t="str">
        <f aca="false">IF($A213="","",INDEX(_events!$G$2:$G$171,MATCH($A213,_events!$A$2:$A$171,0)))</f>
        <v/>
      </c>
      <c r="H213" s="96" t="str">
        <f aca="false">IF($A213="","",INDEX(_events!$H$2:$H$171,MATCH($A213,_events!$A$2:$A$171,0)))</f>
        <v/>
      </c>
      <c r="I213" s="96" t="str">
        <f aca="false">IF($A213="","",INDEX(_events!$I$2:$I$171,MATCH($A213,_events!$A$2:$A$171,0)))</f>
        <v/>
      </c>
      <c r="J213" s="96" t="str">
        <f aca="false">IF($A213="","",INDEX(_events!$J$2:$J$171,MATCH($A213,_events!$A$2:$A$171,0)))</f>
        <v/>
      </c>
      <c r="K213" s="96" t="str">
        <f aca="false">IF($A213="","",INDEX(_events!$K$2:$K$171,MATCH($A213,_events!$A$2:$A$171,0)))</f>
        <v/>
      </c>
    </row>
    <row r="214" customFormat="false" ht="15" hidden="false" customHeight="false" outlineLevel="0" collapsed="false">
      <c r="A214" s="94" t="str">
        <f aca="false">IFERROR(SMALL(_events!$A$2:$A$171,209),"")</f>
        <v/>
      </c>
      <c r="B214" s="95" t="str">
        <f aca="false">IF($A214="","",INT($A214))</f>
        <v/>
      </c>
      <c r="C214" s="96" t="str">
        <f aca="false">IF($A214="","",INDEX(_events!$C$2:$C$171,MATCH($A214,_events!$A$2:$A$171,0)))</f>
        <v/>
      </c>
      <c r="D214" s="97" t="str">
        <f aca="false">IF($A214="","",HYPERLINK("#'"&amp;INDEX(_events!$D$2:$D$171,MATCH($A214,_events!$A$2:$A$171,0))&amp;"'!A1",INDEX(_events!$D$2:$D$171,MATCH($A214,_events!$A$2:$A$171,0))))</f>
        <v/>
      </c>
      <c r="E214" s="96" t="str">
        <f aca="false">IF($A214="","",INDEX(_events!$E$2:$E$171,MATCH($A214,_events!$A$2:$A$171,0)))</f>
        <v/>
      </c>
      <c r="F214" s="96" t="str">
        <f aca="false">IF($A214="","",INDEX(_events!$F$2:$F$171,MATCH($A214,_events!$A$2:$A$171,0)))</f>
        <v/>
      </c>
      <c r="G214" s="96" t="str">
        <f aca="false">IF($A214="","",INDEX(_events!$G$2:$G$171,MATCH($A214,_events!$A$2:$A$171,0)))</f>
        <v/>
      </c>
      <c r="H214" s="96" t="str">
        <f aca="false">IF($A214="","",INDEX(_events!$H$2:$H$171,MATCH($A214,_events!$A$2:$A$171,0)))</f>
        <v/>
      </c>
      <c r="I214" s="96" t="str">
        <f aca="false">IF($A214="","",INDEX(_events!$I$2:$I$171,MATCH($A214,_events!$A$2:$A$171,0)))</f>
        <v/>
      </c>
      <c r="J214" s="96" t="str">
        <f aca="false">IF($A214="","",INDEX(_events!$J$2:$J$171,MATCH($A214,_events!$A$2:$A$171,0)))</f>
        <v/>
      </c>
      <c r="K214" s="96" t="str">
        <f aca="false">IF($A214="","",INDEX(_events!$K$2:$K$171,MATCH($A214,_events!$A$2:$A$171,0)))</f>
        <v/>
      </c>
    </row>
    <row r="215" customFormat="false" ht="15" hidden="false" customHeight="false" outlineLevel="0" collapsed="false">
      <c r="A215" s="94" t="str">
        <f aca="false">IFERROR(SMALL(_events!$A$2:$A$171,210),"")</f>
        <v/>
      </c>
      <c r="B215" s="95" t="str">
        <f aca="false">IF($A215="","",INT($A215))</f>
        <v/>
      </c>
      <c r="C215" s="96" t="str">
        <f aca="false">IF($A215="","",INDEX(_events!$C$2:$C$171,MATCH($A215,_events!$A$2:$A$171,0)))</f>
        <v/>
      </c>
      <c r="D215" s="97" t="str">
        <f aca="false">IF($A215="","",HYPERLINK("#'"&amp;INDEX(_events!$D$2:$D$171,MATCH($A215,_events!$A$2:$A$171,0))&amp;"'!A1",INDEX(_events!$D$2:$D$171,MATCH($A215,_events!$A$2:$A$171,0))))</f>
        <v/>
      </c>
      <c r="E215" s="96" t="str">
        <f aca="false">IF($A215="","",INDEX(_events!$E$2:$E$171,MATCH($A215,_events!$A$2:$A$171,0)))</f>
        <v/>
      </c>
      <c r="F215" s="96" t="str">
        <f aca="false">IF($A215="","",INDEX(_events!$F$2:$F$171,MATCH($A215,_events!$A$2:$A$171,0)))</f>
        <v/>
      </c>
      <c r="G215" s="96" t="str">
        <f aca="false">IF($A215="","",INDEX(_events!$G$2:$G$171,MATCH($A215,_events!$A$2:$A$171,0)))</f>
        <v/>
      </c>
      <c r="H215" s="96" t="str">
        <f aca="false">IF($A215="","",INDEX(_events!$H$2:$H$171,MATCH($A215,_events!$A$2:$A$171,0)))</f>
        <v/>
      </c>
      <c r="I215" s="96" t="str">
        <f aca="false">IF($A215="","",INDEX(_events!$I$2:$I$171,MATCH($A215,_events!$A$2:$A$171,0)))</f>
        <v/>
      </c>
      <c r="J215" s="96" t="str">
        <f aca="false">IF($A215="","",INDEX(_events!$J$2:$J$171,MATCH($A215,_events!$A$2:$A$171,0)))</f>
        <v/>
      </c>
      <c r="K215" s="96" t="str">
        <f aca="false">IF($A215="","",INDEX(_events!$K$2:$K$171,MATCH($A215,_events!$A$2:$A$171,0)))</f>
        <v/>
      </c>
    </row>
    <row r="216" customFormat="false" ht="15" hidden="false" customHeight="false" outlineLevel="0" collapsed="false">
      <c r="A216" s="94" t="str">
        <f aca="false">IFERROR(SMALL(_events!$A$2:$A$171,211),"")</f>
        <v/>
      </c>
      <c r="B216" s="95" t="str">
        <f aca="false">IF($A216="","",INT($A216))</f>
        <v/>
      </c>
      <c r="C216" s="96" t="str">
        <f aca="false">IF($A216="","",INDEX(_events!$C$2:$C$171,MATCH($A216,_events!$A$2:$A$171,0)))</f>
        <v/>
      </c>
      <c r="D216" s="97" t="str">
        <f aca="false">IF($A216="","",HYPERLINK("#'"&amp;INDEX(_events!$D$2:$D$171,MATCH($A216,_events!$A$2:$A$171,0))&amp;"'!A1",INDEX(_events!$D$2:$D$171,MATCH($A216,_events!$A$2:$A$171,0))))</f>
        <v/>
      </c>
      <c r="E216" s="96" t="str">
        <f aca="false">IF($A216="","",INDEX(_events!$E$2:$E$171,MATCH($A216,_events!$A$2:$A$171,0)))</f>
        <v/>
      </c>
      <c r="F216" s="96" t="str">
        <f aca="false">IF($A216="","",INDEX(_events!$F$2:$F$171,MATCH($A216,_events!$A$2:$A$171,0)))</f>
        <v/>
      </c>
      <c r="G216" s="96" t="str">
        <f aca="false">IF($A216="","",INDEX(_events!$G$2:$G$171,MATCH($A216,_events!$A$2:$A$171,0)))</f>
        <v/>
      </c>
      <c r="H216" s="96" t="str">
        <f aca="false">IF($A216="","",INDEX(_events!$H$2:$H$171,MATCH($A216,_events!$A$2:$A$171,0)))</f>
        <v/>
      </c>
      <c r="I216" s="96" t="str">
        <f aca="false">IF($A216="","",INDEX(_events!$I$2:$I$171,MATCH($A216,_events!$A$2:$A$171,0)))</f>
        <v/>
      </c>
      <c r="J216" s="96" t="str">
        <f aca="false">IF($A216="","",INDEX(_events!$J$2:$J$171,MATCH($A216,_events!$A$2:$A$171,0)))</f>
        <v/>
      </c>
      <c r="K216" s="96" t="str">
        <f aca="false">IF($A216="","",INDEX(_events!$K$2:$K$171,MATCH($A216,_events!$A$2:$A$171,0)))</f>
        <v/>
      </c>
    </row>
    <row r="217" customFormat="false" ht="15" hidden="false" customHeight="false" outlineLevel="0" collapsed="false">
      <c r="A217" s="94" t="str">
        <f aca="false">IFERROR(SMALL(_events!$A$2:$A$171,212),"")</f>
        <v/>
      </c>
      <c r="B217" s="95" t="str">
        <f aca="false">IF($A217="","",INT($A217))</f>
        <v/>
      </c>
      <c r="C217" s="96" t="str">
        <f aca="false">IF($A217="","",INDEX(_events!$C$2:$C$171,MATCH($A217,_events!$A$2:$A$171,0)))</f>
        <v/>
      </c>
      <c r="D217" s="97" t="str">
        <f aca="false">IF($A217="","",HYPERLINK("#'"&amp;INDEX(_events!$D$2:$D$171,MATCH($A217,_events!$A$2:$A$171,0))&amp;"'!A1",INDEX(_events!$D$2:$D$171,MATCH($A217,_events!$A$2:$A$171,0))))</f>
        <v/>
      </c>
      <c r="E217" s="96" t="str">
        <f aca="false">IF($A217="","",INDEX(_events!$E$2:$E$171,MATCH($A217,_events!$A$2:$A$171,0)))</f>
        <v/>
      </c>
      <c r="F217" s="96" t="str">
        <f aca="false">IF($A217="","",INDEX(_events!$F$2:$F$171,MATCH($A217,_events!$A$2:$A$171,0)))</f>
        <v/>
      </c>
      <c r="G217" s="96" t="str">
        <f aca="false">IF($A217="","",INDEX(_events!$G$2:$G$171,MATCH($A217,_events!$A$2:$A$171,0)))</f>
        <v/>
      </c>
      <c r="H217" s="96" t="str">
        <f aca="false">IF($A217="","",INDEX(_events!$H$2:$H$171,MATCH($A217,_events!$A$2:$A$171,0)))</f>
        <v/>
      </c>
      <c r="I217" s="96" t="str">
        <f aca="false">IF($A217="","",INDEX(_events!$I$2:$I$171,MATCH($A217,_events!$A$2:$A$171,0)))</f>
        <v/>
      </c>
      <c r="J217" s="96" t="str">
        <f aca="false">IF($A217="","",INDEX(_events!$J$2:$J$171,MATCH($A217,_events!$A$2:$A$171,0)))</f>
        <v/>
      </c>
      <c r="K217" s="96" t="str">
        <f aca="false">IF($A217="","",INDEX(_events!$K$2:$K$171,MATCH($A217,_events!$A$2:$A$171,0)))</f>
        <v/>
      </c>
    </row>
    <row r="218" customFormat="false" ht="15" hidden="false" customHeight="false" outlineLevel="0" collapsed="false">
      <c r="A218" s="94" t="str">
        <f aca="false">IFERROR(SMALL(_events!$A$2:$A$171,213),"")</f>
        <v/>
      </c>
      <c r="B218" s="95" t="str">
        <f aca="false">IF($A218="","",INT($A218))</f>
        <v/>
      </c>
      <c r="C218" s="96" t="str">
        <f aca="false">IF($A218="","",INDEX(_events!$C$2:$C$171,MATCH($A218,_events!$A$2:$A$171,0)))</f>
        <v/>
      </c>
      <c r="D218" s="97" t="str">
        <f aca="false">IF($A218="","",HYPERLINK("#'"&amp;INDEX(_events!$D$2:$D$171,MATCH($A218,_events!$A$2:$A$171,0))&amp;"'!A1",INDEX(_events!$D$2:$D$171,MATCH($A218,_events!$A$2:$A$171,0))))</f>
        <v/>
      </c>
      <c r="E218" s="96" t="str">
        <f aca="false">IF($A218="","",INDEX(_events!$E$2:$E$171,MATCH($A218,_events!$A$2:$A$171,0)))</f>
        <v/>
      </c>
      <c r="F218" s="96" t="str">
        <f aca="false">IF($A218="","",INDEX(_events!$F$2:$F$171,MATCH($A218,_events!$A$2:$A$171,0)))</f>
        <v/>
      </c>
      <c r="G218" s="96" t="str">
        <f aca="false">IF($A218="","",INDEX(_events!$G$2:$G$171,MATCH($A218,_events!$A$2:$A$171,0)))</f>
        <v/>
      </c>
      <c r="H218" s="96" t="str">
        <f aca="false">IF($A218="","",INDEX(_events!$H$2:$H$171,MATCH($A218,_events!$A$2:$A$171,0)))</f>
        <v/>
      </c>
      <c r="I218" s="96" t="str">
        <f aca="false">IF($A218="","",INDEX(_events!$I$2:$I$171,MATCH($A218,_events!$A$2:$A$171,0)))</f>
        <v/>
      </c>
      <c r="J218" s="96" t="str">
        <f aca="false">IF($A218="","",INDEX(_events!$J$2:$J$171,MATCH($A218,_events!$A$2:$A$171,0)))</f>
        <v/>
      </c>
      <c r="K218" s="96" t="str">
        <f aca="false">IF($A218="","",INDEX(_events!$K$2:$K$171,MATCH($A218,_events!$A$2:$A$171,0)))</f>
        <v/>
      </c>
    </row>
    <row r="219" customFormat="false" ht="15" hidden="false" customHeight="false" outlineLevel="0" collapsed="false">
      <c r="A219" s="94" t="str">
        <f aca="false">IFERROR(SMALL(_events!$A$2:$A$171,214),"")</f>
        <v/>
      </c>
      <c r="B219" s="95" t="str">
        <f aca="false">IF($A219="","",INT($A219))</f>
        <v/>
      </c>
      <c r="C219" s="96" t="str">
        <f aca="false">IF($A219="","",INDEX(_events!$C$2:$C$171,MATCH($A219,_events!$A$2:$A$171,0)))</f>
        <v/>
      </c>
      <c r="D219" s="97" t="str">
        <f aca="false">IF($A219="","",HYPERLINK("#'"&amp;INDEX(_events!$D$2:$D$171,MATCH($A219,_events!$A$2:$A$171,0))&amp;"'!A1",INDEX(_events!$D$2:$D$171,MATCH($A219,_events!$A$2:$A$171,0))))</f>
        <v/>
      </c>
      <c r="E219" s="96" t="str">
        <f aca="false">IF($A219="","",INDEX(_events!$E$2:$E$171,MATCH($A219,_events!$A$2:$A$171,0)))</f>
        <v/>
      </c>
      <c r="F219" s="96" t="str">
        <f aca="false">IF($A219="","",INDEX(_events!$F$2:$F$171,MATCH($A219,_events!$A$2:$A$171,0)))</f>
        <v/>
      </c>
      <c r="G219" s="96" t="str">
        <f aca="false">IF($A219="","",INDEX(_events!$G$2:$G$171,MATCH($A219,_events!$A$2:$A$171,0)))</f>
        <v/>
      </c>
      <c r="H219" s="96" t="str">
        <f aca="false">IF($A219="","",INDEX(_events!$H$2:$H$171,MATCH($A219,_events!$A$2:$A$171,0)))</f>
        <v/>
      </c>
      <c r="I219" s="96" t="str">
        <f aca="false">IF($A219="","",INDEX(_events!$I$2:$I$171,MATCH($A219,_events!$A$2:$A$171,0)))</f>
        <v/>
      </c>
      <c r="J219" s="96" t="str">
        <f aca="false">IF($A219="","",INDEX(_events!$J$2:$J$171,MATCH($A219,_events!$A$2:$A$171,0)))</f>
        <v/>
      </c>
      <c r="K219" s="96" t="str">
        <f aca="false">IF($A219="","",INDEX(_events!$K$2:$K$171,MATCH($A219,_events!$A$2:$A$171,0)))</f>
        <v/>
      </c>
    </row>
    <row r="220" customFormat="false" ht="15" hidden="false" customHeight="false" outlineLevel="0" collapsed="false">
      <c r="A220" s="94" t="str">
        <f aca="false">IFERROR(SMALL(_events!$A$2:$A$171,215),"")</f>
        <v/>
      </c>
      <c r="B220" s="95" t="str">
        <f aca="false">IF($A220="","",INT($A220))</f>
        <v/>
      </c>
      <c r="C220" s="96" t="str">
        <f aca="false">IF($A220="","",INDEX(_events!$C$2:$C$171,MATCH($A220,_events!$A$2:$A$171,0)))</f>
        <v/>
      </c>
      <c r="D220" s="97" t="str">
        <f aca="false">IF($A220="","",HYPERLINK("#'"&amp;INDEX(_events!$D$2:$D$171,MATCH($A220,_events!$A$2:$A$171,0))&amp;"'!A1",INDEX(_events!$D$2:$D$171,MATCH($A220,_events!$A$2:$A$171,0))))</f>
        <v/>
      </c>
      <c r="E220" s="96" t="str">
        <f aca="false">IF($A220="","",INDEX(_events!$E$2:$E$171,MATCH($A220,_events!$A$2:$A$171,0)))</f>
        <v/>
      </c>
      <c r="F220" s="96" t="str">
        <f aca="false">IF($A220="","",INDEX(_events!$F$2:$F$171,MATCH($A220,_events!$A$2:$A$171,0)))</f>
        <v/>
      </c>
      <c r="G220" s="96" t="str">
        <f aca="false">IF($A220="","",INDEX(_events!$G$2:$G$171,MATCH($A220,_events!$A$2:$A$171,0)))</f>
        <v/>
      </c>
      <c r="H220" s="96" t="str">
        <f aca="false">IF($A220="","",INDEX(_events!$H$2:$H$171,MATCH($A220,_events!$A$2:$A$171,0)))</f>
        <v/>
      </c>
      <c r="I220" s="96" t="str">
        <f aca="false">IF($A220="","",INDEX(_events!$I$2:$I$171,MATCH($A220,_events!$A$2:$A$171,0)))</f>
        <v/>
      </c>
      <c r="J220" s="96" t="str">
        <f aca="false">IF($A220="","",INDEX(_events!$J$2:$J$171,MATCH($A220,_events!$A$2:$A$171,0)))</f>
        <v/>
      </c>
      <c r="K220" s="96" t="str">
        <f aca="false">IF($A220="","",INDEX(_events!$K$2:$K$171,MATCH($A220,_events!$A$2:$A$171,0)))</f>
        <v/>
      </c>
    </row>
    <row r="221" customFormat="false" ht="15" hidden="false" customHeight="false" outlineLevel="0" collapsed="false">
      <c r="A221" s="94" t="str">
        <f aca="false">IFERROR(SMALL(_events!$A$2:$A$171,216),"")</f>
        <v/>
      </c>
      <c r="B221" s="95" t="str">
        <f aca="false">IF($A221="","",INT($A221))</f>
        <v/>
      </c>
      <c r="C221" s="96" t="str">
        <f aca="false">IF($A221="","",INDEX(_events!$C$2:$C$171,MATCH($A221,_events!$A$2:$A$171,0)))</f>
        <v/>
      </c>
      <c r="D221" s="97" t="str">
        <f aca="false">IF($A221="","",HYPERLINK("#'"&amp;INDEX(_events!$D$2:$D$171,MATCH($A221,_events!$A$2:$A$171,0))&amp;"'!A1",INDEX(_events!$D$2:$D$171,MATCH($A221,_events!$A$2:$A$171,0))))</f>
        <v/>
      </c>
      <c r="E221" s="96" t="str">
        <f aca="false">IF($A221="","",INDEX(_events!$E$2:$E$171,MATCH($A221,_events!$A$2:$A$171,0)))</f>
        <v/>
      </c>
      <c r="F221" s="96" t="str">
        <f aca="false">IF($A221="","",INDEX(_events!$F$2:$F$171,MATCH($A221,_events!$A$2:$A$171,0)))</f>
        <v/>
      </c>
      <c r="G221" s="96" t="str">
        <f aca="false">IF($A221="","",INDEX(_events!$G$2:$G$171,MATCH($A221,_events!$A$2:$A$171,0)))</f>
        <v/>
      </c>
      <c r="H221" s="96" t="str">
        <f aca="false">IF($A221="","",INDEX(_events!$H$2:$H$171,MATCH($A221,_events!$A$2:$A$171,0)))</f>
        <v/>
      </c>
      <c r="I221" s="96" t="str">
        <f aca="false">IF($A221="","",INDEX(_events!$I$2:$I$171,MATCH($A221,_events!$A$2:$A$171,0)))</f>
        <v/>
      </c>
      <c r="J221" s="96" t="str">
        <f aca="false">IF($A221="","",INDEX(_events!$J$2:$J$171,MATCH($A221,_events!$A$2:$A$171,0)))</f>
        <v/>
      </c>
      <c r="K221" s="96" t="str">
        <f aca="false">IF($A221="","",INDEX(_events!$K$2:$K$171,MATCH($A221,_events!$A$2:$A$171,0)))</f>
        <v/>
      </c>
    </row>
    <row r="222" customFormat="false" ht="15" hidden="false" customHeight="false" outlineLevel="0" collapsed="false">
      <c r="A222" s="94" t="str">
        <f aca="false">IFERROR(SMALL(_events!$A$2:$A$171,217),"")</f>
        <v/>
      </c>
      <c r="B222" s="95" t="str">
        <f aca="false">IF($A222="","",INT($A222))</f>
        <v/>
      </c>
      <c r="C222" s="96" t="str">
        <f aca="false">IF($A222="","",INDEX(_events!$C$2:$C$171,MATCH($A222,_events!$A$2:$A$171,0)))</f>
        <v/>
      </c>
      <c r="D222" s="97" t="str">
        <f aca="false">IF($A222="","",HYPERLINK("#'"&amp;INDEX(_events!$D$2:$D$171,MATCH($A222,_events!$A$2:$A$171,0))&amp;"'!A1",INDEX(_events!$D$2:$D$171,MATCH($A222,_events!$A$2:$A$171,0))))</f>
        <v/>
      </c>
      <c r="E222" s="96" t="str">
        <f aca="false">IF($A222="","",INDEX(_events!$E$2:$E$171,MATCH($A222,_events!$A$2:$A$171,0)))</f>
        <v/>
      </c>
      <c r="F222" s="96" t="str">
        <f aca="false">IF($A222="","",INDEX(_events!$F$2:$F$171,MATCH($A222,_events!$A$2:$A$171,0)))</f>
        <v/>
      </c>
      <c r="G222" s="96" t="str">
        <f aca="false">IF($A222="","",INDEX(_events!$G$2:$G$171,MATCH($A222,_events!$A$2:$A$171,0)))</f>
        <v/>
      </c>
      <c r="H222" s="96" t="str">
        <f aca="false">IF($A222="","",INDEX(_events!$H$2:$H$171,MATCH($A222,_events!$A$2:$A$171,0)))</f>
        <v/>
      </c>
      <c r="I222" s="96" t="str">
        <f aca="false">IF($A222="","",INDEX(_events!$I$2:$I$171,MATCH($A222,_events!$A$2:$A$171,0)))</f>
        <v/>
      </c>
      <c r="J222" s="96" t="str">
        <f aca="false">IF($A222="","",INDEX(_events!$J$2:$J$171,MATCH($A222,_events!$A$2:$A$171,0)))</f>
        <v/>
      </c>
      <c r="K222" s="96" t="str">
        <f aca="false">IF($A222="","",INDEX(_events!$K$2:$K$171,MATCH($A222,_events!$A$2:$A$171,0)))</f>
        <v/>
      </c>
    </row>
    <row r="223" customFormat="false" ht="15" hidden="false" customHeight="false" outlineLevel="0" collapsed="false">
      <c r="A223" s="94" t="str">
        <f aca="false">IFERROR(SMALL(_events!$A$2:$A$171,218),"")</f>
        <v/>
      </c>
      <c r="B223" s="95" t="str">
        <f aca="false">IF($A223="","",INT($A223))</f>
        <v/>
      </c>
      <c r="C223" s="96" t="str">
        <f aca="false">IF($A223="","",INDEX(_events!$C$2:$C$171,MATCH($A223,_events!$A$2:$A$171,0)))</f>
        <v/>
      </c>
      <c r="D223" s="97" t="str">
        <f aca="false">IF($A223="","",HYPERLINK("#'"&amp;INDEX(_events!$D$2:$D$171,MATCH($A223,_events!$A$2:$A$171,0))&amp;"'!A1",INDEX(_events!$D$2:$D$171,MATCH($A223,_events!$A$2:$A$171,0))))</f>
        <v/>
      </c>
      <c r="E223" s="96" t="str">
        <f aca="false">IF($A223="","",INDEX(_events!$E$2:$E$171,MATCH($A223,_events!$A$2:$A$171,0)))</f>
        <v/>
      </c>
      <c r="F223" s="96" t="str">
        <f aca="false">IF($A223="","",INDEX(_events!$F$2:$F$171,MATCH($A223,_events!$A$2:$A$171,0)))</f>
        <v/>
      </c>
      <c r="G223" s="96" t="str">
        <f aca="false">IF($A223="","",INDEX(_events!$G$2:$G$171,MATCH($A223,_events!$A$2:$A$171,0)))</f>
        <v/>
      </c>
      <c r="H223" s="96" t="str">
        <f aca="false">IF($A223="","",INDEX(_events!$H$2:$H$171,MATCH($A223,_events!$A$2:$A$171,0)))</f>
        <v/>
      </c>
      <c r="I223" s="96" t="str">
        <f aca="false">IF($A223="","",INDEX(_events!$I$2:$I$171,MATCH($A223,_events!$A$2:$A$171,0)))</f>
        <v/>
      </c>
      <c r="J223" s="96" t="str">
        <f aca="false">IF($A223="","",INDEX(_events!$J$2:$J$171,MATCH($A223,_events!$A$2:$A$171,0)))</f>
        <v/>
      </c>
      <c r="K223" s="96" t="str">
        <f aca="false">IF($A223="","",INDEX(_events!$K$2:$K$171,MATCH($A223,_events!$A$2:$A$171,0)))</f>
        <v/>
      </c>
    </row>
    <row r="224" customFormat="false" ht="15" hidden="false" customHeight="false" outlineLevel="0" collapsed="false">
      <c r="A224" s="94" t="str">
        <f aca="false">IFERROR(SMALL(_events!$A$2:$A$171,219),"")</f>
        <v/>
      </c>
      <c r="B224" s="95" t="str">
        <f aca="false">IF($A224="","",INT($A224))</f>
        <v/>
      </c>
      <c r="C224" s="96" t="str">
        <f aca="false">IF($A224="","",INDEX(_events!$C$2:$C$171,MATCH($A224,_events!$A$2:$A$171,0)))</f>
        <v/>
      </c>
      <c r="D224" s="97" t="str">
        <f aca="false">IF($A224="","",HYPERLINK("#'"&amp;INDEX(_events!$D$2:$D$171,MATCH($A224,_events!$A$2:$A$171,0))&amp;"'!A1",INDEX(_events!$D$2:$D$171,MATCH($A224,_events!$A$2:$A$171,0))))</f>
        <v/>
      </c>
      <c r="E224" s="96" t="str">
        <f aca="false">IF($A224="","",INDEX(_events!$E$2:$E$171,MATCH($A224,_events!$A$2:$A$171,0)))</f>
        <v/>
      </c>
      <c r="F224" s="96" t="str">
        <f aca="false">IF($A224="","",INDEX(_events!$F$2:$F$171,MATCH($A224,_events!$A$2:$A$171,0)))</f>
        <v/>
      </c>
      <c r="G224" s="96" t="str">
        <f aca="false">IF($A224="","",INDEX(_events!$G$2:$G$171,MATCH($A224,_events!$A$2:$A$171,0)))</f>
        <v/>
      </c>
      <c r="H224" s="96" t="str">
        <f aca="false">IF($A224="","",INDEX(_events!$H$2:$H$171,MATCH($A224,_events!$A$2:$A$171,0)))</f>
        <v/>
      </c>
      <c r="I224" s="96" t="str">
        <f aca="false">IF($A224="","",INDEX(_events!$I$2:$I$171,MATCH($A224,_events!$A$2:$A$171,0)))</f>
        <v/>
      </c>
      <c r="J224" s="96" t="str">
        <f aca="false">IF($A224="","",INDEX(_events!$J$2:$J$171,MATCH($A224,_events!$A$2:$A$171,0)))</f>
        <v/>
      </c>
      <c r="K224" s="96" t="str">
        <f aca="false">IF($A224="","",INDEX(_events!$K$2:$K$171,MATCH($A224,_events!$A$2:$A$171,0)))</f>
        <v/>
      </c>
    </row>
    <row r="225" customFormat="false" ht="15" hidden="false" customHeight="false" outlineLevel="0" collapsed="false">
      <c r="A225" s="94" t="str">
        <f aca="false">IFERROR(SMALL(_events!$A$2:$A$171,220),"")</f>
        <v/>
      </c>
      <c r="B225" s="95" t="str">
        <f aca="false">IF($A225="","",INT($A225))</f>
        <v/>
      </c>
      <c r="C225" s="96" t="str">
        <f aca="false">IF($A225="","",INDEX(_events!$C$2:$C$171,MATCH($A225,_events!$A$2:$A$171,0)))</f>
        <v/>
      </c>
      <c r="D225" s="97" t="str">
        <f aca="false">IF($A225="","",HYPERLINK("#'"&amp;INDEX(_events!$D$2:$D$171,MATCH($A225,_events!$A$2:$A$171,0))&amp;"'!A1",INDEX(_events!$D$2:$D$171,MATCH($A225,_events!$A$2:$A$171,0))))</f>
        <v/>
      </c>
      <c r="E225" s="96" t="str">
        <f aca="false">IF($A225="","",INDEX(_events!$E$2:$E$171,MATCH($A225,_events!$A$2:$A$171,0)))</f>
        <v/>
      </c>
      <c r="F225" s="96" t="str">
        <f aca="false">IF($A225="","",INDEX(_events!$F$2:$F$171,MATCH($A225,_events!$A$2:$A$171,0)))</f>
        <v/>
      </c>
      <c r="G225" s="96" t="str">
        <f aca="false">IF($A225="","",INDEX(_events!$G$2:$G$171,MATCH($A225,_events!$A$2:$A$171,0)))</f>
        <v/>
      </c>
      <c r="H225" s="96" t="str">
        <f aca="false">IF($A225="","",INDEX(_events!$H$2:$H$171,MATCH($A225,_events!$A$2:$A$171,0)))</f>
        <v/>
      </c>
      <c r="I225" s="96" t="str">
        <f aca="false">IF($A225="","",INDEX(_events!$I$2:$I$171,MATCH($A225,_events!$A$2:$A$171,0)))</f>
        <v/>
      </c>
      <c r="J225" s="96" t="str">
        <f aca="false">IF($A225="","",INDEX(_events!$J$2:$J$171,MATCH($A225,_events!$A$2:$A$171,0)))</f>
        <v/>
      </c>
      <c r="K225" s="96" t="str">
        <f aca="false">IF($A225="","",INDEX(_events!$K$2:$K$171,MATCH($A225,_events!$A$2:$A$171,0)))</f>
        <v/>
      </c>
    </row>
    <row r="226" customFormat="false" ht="15" hidden="false" customHeight="false" outlineLevel="0" collapsed="false">
      <c r="A226" s="94" t="str">
        <f aca="false">IFERROR(SMALL(_events!$A$2:$A$171,221),"")</f>
        <v/>
      </c>
      <c r="B226" s="95" t="str">
        <f aca="false">IF($A226="","",INT($A226))</f>
        <v/>
      </c>
      <c r="C226" s="96" t="str">
        <f aca="false">IF($A226="","",INDEX(_events!$C$2:$C$171,MATCH($A226,_events!$A$2:$A$171,0)))</f>
        <v/>
      </c>
      <c r="D226" s="97" t="str">
        <f aca="false">IF($A226="","",HYPERLINK("#'"&amp;INDEX(_events!$D$2:$D$171,MATCH($A226,_events!$A$2:$A$171,0))&amp;"'!A1",INDEX(_events!$D$2:$D$171,MATCH($A226,_events!$A$2:$A$171,0))))</f>
        <v/>
      </c>
      <c r="E226" s="96" t="str">
        <f aca="false">IF($A226="","",INDEX(_events!$E$2:$E$171,MATCH($A226,_events!$A$2:$A$171,0)))</f>
        <v/>
      </c>
      <c r="F226" s="96" t="str">
        <f aca="false">IF($A226="","",INDEX(_events!$F$2:$F$171,MATCH($A226,_events!$A$2:$A$171,0)))</f>
        <v/>
      </c>
      <c r="G226" s="96" t="str">
        <f aca="false">IF($A226="","",INDEX(_events!$G$2:$G$171,MATCH($A226,_events!$A$2:$A$171,0)))</f>
        <v/>
      </c>
      <c r="H226" s="96" t="str">
        <f aca="false">IF($A226="","",INDEX(_events!$H$2:$H$171,MATCH($A226,_events!$A$2:$A$171,0)))</f>
        <v/>
      </c>
      <c r="I226" s="96" t="str">
        <f aca="false">IF($A226="","",INDEX(_events!$I$2:$I$171,MATCH($A226,_events!$A$2:$A$171,0)))</f>
        <v/>
      </c>
      <c r="J226" s="96" t="str">
        <f aca="false">IF($A226="","",INDEX(_events!$J$2:$J$171,MATCH($A226,_events!$A$2:$A$171,0)))</f>
        <v/>
      </c>
      <c r="K226" s="96" t="str">
        <f aca="false">IF($A226="","",INDEX(_events!$K$2:$K$171,MATCH($A226,_events!$A$2:$A$171,0)))</f>
        <v/>
      </c>
    </row>
    <row r="227" customFormat="false" ht="15" hidden="false" customHeight="false" outlineLevel="0" collapsed="false">
      <c r="A227" s="94" t="str">
        <f aca="false">IFERROR(SMALL(_events!$A$2:$A$171,222),"")</f>
        <v/>
      </c>
      <c r="B227" s="95" t="str">
        <f aca="false">IF($A227="","",INT($A227))</f>
        <v/>
      </c>
      <c r="C227" s="96" t="str">
        <f aca="false">IF($A227="","",INDEX(_events!$C$2:$C$171,MATCH($A227,_events!$A$2:$A$171,0)))</f>
        <v/>
      </c>
      <c r="D227" s="97" t="str">
        <f aca="false">IF($A227="","",HYPERLINK("#'"&amp;INDEX(_events!$D$2:$D$171,MATCH($A227,_events!$A$2:$A$171,0))&amp;"'!A1",INDEX(_events!$D$2:$D$171,MATCH($A227,_events!$A$2:$A$171,0))))</f>
        <v/>
      </c>
      <c r="E227" s="96" t="str">
        <f aca="false">IF($A227="","",INDEX(_events!$E$2:$E$171,MATCH($A227,_events!$A$2:$A$171,0)))</f>
        <v/>
      </c>
      <c r="F227" s="96" t="str">
        <f aca="false">IF($A227="","",INDEX(_events!$F$2:$F$171,MATCH($A227,_events!$A$2:$A$171,0)))</f>
        <v/>
      </c>
      <c r="G227" s="96" t="str">
        <f aca="false">IF($A227="","",INDEX(_events!$G$2:$G$171,MATCH($A227,_events!$A$2:$A$171,0)))</f>
        <v/>
      </c>
      <c r="H227" s="96" t="str">
        <f aca="false">IF($A227="","",INDEX(_events!$H$2:$H$171,MATCH($A227,_events!$A$2:$A$171,0)))</f>
        <v/>
      </c>
      <c r="I227" s="96" t="str">
        <f aca="false">IF($A227="","",INDEX(_events!$I$2:$I$171,MATCH($A227,_events!$A$2:$A$171,0)))</f>
        <v/>
      </c>
      <c r="J227" s="96" t="str">
        <f aca="false">IF($A227="","",INDEX(_events!$J$2:$J$171,MATCH($A227,_events!$A$2:$A$171,0)))</f>
        <v/>
      </c>
      <c r="K227" s="96" t="str">
        <f aca="false">IF($A227="","",INDEX(_events!$K$2:$K$171,MATCH($A227,_events!$A$2:$A$171,0)))</f>
        <v/>
      </c>
    </row>
    <row r="228" customFormat="false" ht="15" hidden="false" customHeight="false" outlineLevel="0" collapsed="false">
      <c r="A228" s="94" t="str">
        <f aca="false">IFERROR(SMALL(_events!$A$2:$A$171,223),"")</f>
        <v/>
      </c>
      <c r="B228" s="95" t="str">
        <f aca="false">IF($A228="","",INT($A228))</f>
        <v/>
      </c>
      <c r="C228" s="96" t="str">
        <f aca="false">IF($A228="","",INDEX(_events!$C$2:$C$171,MATCH($A228,_events!$A$2:$A$171,0)))</f>
        <v/>
      </c>
      <c r="D228" s="97" t="str">
        <f aca="false">IF($A228="","",HYPERLINK("#'"&amp;INDEX(_events!$D$2:$D$171,MATCH($A228,_events!$A$2:$A$171,0))&amp;"'!A1",INDEX(_events!$D$2:$D$171,MATCH($A228,_events!$A$2:$A$171,0))))</f>
        <v/>
      </c>
      <c r="E228" s="96" t="str">
        <f aca="false">IF($A228="","",INDEX(_events!$E$2:$E$171,MATCH($A228,_events!$A$2:$A$171,0)))</f>
        <v/>
      </c>
      <c r="F228" s="96" t="str">
        <f aca="false">IF($A228="","",INDEX(_events!$F$2:$F$171,MATCH($A228,_events!$A$2:$A$171,0)))</f>
        <v/>
      </c>
      <c r="G228" s="96" t="str">
        <f aca="false">IF($A228="","",INDEX(_events!$G$2:$G$171,MATCH($A228,_events!$A$2:$A$171,0)))</f>
        <v/>
      </c>
      <c r="H228" s="96" t="str">
        <f aca="false">IF($A228="","",INDEX(_events!$H$2:$H$171,MATCH($A228,_events!$A$2:$A$171,0)))</f>
        <v/>
      </c>
      <c r="I228" s="96" t="str">
        <f aca="false">IF($A228="","",INDEX(_events!$I$2:$I$171,MATCH($A228,_events!$A$2:$A$171,0)))</f>
        <v/>
      </c>
      <c r="J228" s="96" t="str">
        <f aca="false">IF($A228="","",INDEX(_events!$J$2:$J$171,MATCH($A228,_events!$A$2:$A$171,0)))</f>
        <v/>
      </c>
      <c r="K228" s="96" t="str">
        <f aca="false">IF($A228="","",INDEX(_events!$K$2:$K$171,MATCH($A228,_events!$A$2:$A$171,0)))</f>
        <v/>
      </c>
    </row>
    <row r="229" customFormat="false" ht="15" hidden="false" customHeight="false" outlineLevel="0" collapsed="false">
      <c r="A229" s="94" t="str">
        <f aca="false">IFERROR(SMALL(_events!$A$2:$A$171,224),"")</f>
        <v/>
      </c>
      <c r="B229" s="95" t="str">
        <f aca="false">IF($A229="","",INT($A229))</f>
        <v/>
      </c>
      <c r="C229" s="96" t="str">
        <f aca="false">IF($A229="","",INDEX(_events!$C$2:$C$171,MATCH($A229,_events!$A$2:$A$171,0)))</f>
        <v/>
      </c>
      <c r="D229" s="97" t="str">
        <f aca="false">IF($A229="","",HYPERLINK("#'"&amp;INDEX(_events!$D$2:$D$171,MATCH($A229,_events!$A$2:$A$171,0))&amp;"'!A1",INDEX(_events!$D$2:$D$171,MATCH($A229,_events!$A$2:$A$171,0))))</f>
        <v/>
      </c>
      <c r="E229" s="96" t="str">
        <f aca="false">IF($A229="","",INDEX(_events!$E$2:$E$171,MATCH($A229,_events!$A$2:$A$171,0)))</f>
        <v/>
      </c>
      <c r="F229" s="96" t="str">
        <f aca="false">IF($A229="","",INDEX(_events!$F$2:$F$171,MATCH($A229,_events!$A$2:$A$171,0)))</f>
        <v/>
      </c>
      <c r="G229" s="96" t="str">
        <f aca="false">IF($A229="","",INDEX(_events!$G$2:$G$171,MATCH($A229,_events!$A$2:$A$171,0)))</f>
        <v/>
      </c>
      <c r="H229" s="96" t="str">
        <f aca="false">IF($A229="","",INDEX(_events!$H$2:$H$171,MATCH($A229,_events!$A$2:$A$171,0)))</f>
        <v/>
      </c>
      <c r="I229" s="96" t="str">
        <f aca="false">IF($A229="","",INDEX(_events!$I$2:$I$171,MATCH($A229,_events!$A$2:$A$171,0)))</f>
        <v/>
      </c>
      <c r="J229" s="96" t="str">
        <f aca="false">IF($A229="","",INDEX(_events!$J$2:$J$171,MATCH($A229,_events!$A$2:$A$171,0)))</f>
        <v/>
      </c>
      <c r="K229" s="96" t="str">
        <f aca="false">IF($A229="","",INDEX(_events!$K$2:$K$171,MATCH($A229,_events!$A$2:$A$171,0)))</f>
        <v/>
      </c>
    </row>
    <row r="230" customFormat="false" ht="15" hidden="false" customHeight="false" outlineLevel="0" collapsed="false">
      <c r="A230" s="94" t="str">
        <f aca="false">IFERROR(SMALL(_events!$A$2:$A$171,225),"")</f>
        <v/>
      </c>
      <c r="B230" s="95" t="str">
        <f aca="false">IF($A230="","",INT($A230))</f>
        <v/>
      </c>
      <c r="C230" s="96" t="str">
        <f aca="false">IF($A230="","",INDEX(_events!$C$2:$C$171,MATCH($A230,_events!$A$2:$A$171,0)))</f>
        <v/>
      </c>
      <c r="D230" s="97" t="str">
        <f aca="false">IF($A230="","",HYPERLINK("#'"&amp;INDEX(_events!$D$2:$D$171,MATCH($A230,_events!$A$2:$A$171,0))&amp;"'!A1",INDEX(_events!$D$2:$D$171,MATCH($A230,_events!$A$2:$A$171,0))))</f>
        <v/>
      </c>
      <c r="E230" s="96" t="str">
        <f aca="false">IF($A230="","",INDEX(_events!$E$2:$E$171,MATCH($A230,_events!$A$2:$A$171,0)))</f>
        <v/>
      </c>
      <c r="F230" s="96" t="str">
        <f aca="false">IF($A230="","",INDEX(_events!$F$2:$F$171,MATCH($A230,_events!$A$2:$A$171,0)))</f>
        <v/>
      </c>
      <c r="G230" s="96" t="str">
        <f aca="false">IF($A230="","",INDEX(_events!$G$2:$G$171,MATCH($A230,_events!$A$2:$A$171,0)))</f>
        <v/>
      </c>
      <c r="H230" s="96" t="str">
        <f aca="false">IF($A230="","",INDEX(_events!$H$2:$H$171,MATCH($A230,_events!$A$2:$A$171,0)))</f>
        <v/>
      </c>
      <c r="I230" s="96" t="str">
        <f aca="false">IF($A230="","",INDEX(_events!$I$2:$I$171,MATCH($A230,_events!$A$2:$A$171,0)))</f>
        <v/>
      </c>
      <c r="J230" s="96" t="str">
        <f aca="false">IF($A230="","",INDEX(_events!$J$2:$J$171,MATCH($A230,_events!$A$2:$A$171,0)))</f>
        <v/>
      </c>
      <c r="K230" s="96" t="str">
        <f aca="false">IF($A230="","",INDEX(_events!$K$2:$K$171,MATCH($A230,_events!$A$2:$A$171,0)))</f>
        <v/>
      </c>
    </row>
    <row r="231" customFormat="false" ht="15" hidden="false" customHeight="false" outlineLevel="0" collapsed="false">
      <c r="A231" s="94" t="str">
        <f aca="false">IFERROR(SMALL(_events!$A$2:$A$171,226),"")</f>
        <v/>
      </c>
      <c r="B231" s="95" t="str">
        <f aca="false">IF($A231="","",INT($A231))</f>
        <v/>
      </c>
      <c r="C231" s="96" t="str">
        <f aca="false">IF($A231="","",INDEX(_events!$C$2:$C$171,MATCH($A231,_events!$A$2:$A$171,0)))</f>
        <v/>
      </c>
      <c r="D231" s="97" t="str">
        <f aca="false">IF($A231="","",HYPERLINK("#'"&amp;INDEX(_events!$D$2:$D$171,MATCH($A231,_events!$A$2:$A$171,0))&amp;"'!A1",INDEX(_events!$D$2:$D$171,MATCH($A231,_events!$A$2:$A$171,0))))</f>
        <v/>
      </c>
      <c r="E231" s="96" t="str">
        <f aca="false">IF($A231="","",INDEX(_events!$E$2:$E$171,MATCH($A231,_events!$A$2:$A$171,0)))</f>
        <v/>
      </c>
      <c r="F231" s="96" t="str">
        <f aca="false">IF($A231="","",INDEX(_events!$F$2:$F$171,MATCH($A231,_events!$A$2:$A$171,0)))</f>
        <v/>
      </c>
      <c r="G231" s="96" t="str">
        <f aca="false">IF($A231="","",INDEX(_events!$G$2:$G$171,MATCH($A231,_events!$A$2:$A$171,0)))</f>
        <v/>
      </c>
      <c r="H231" s="96" t="str">
        <f aca="false">IF($A231="","",INDEX(_events!$H$2:$H$171,MATCH($A231,_events!$A$2:$A$171,0)))</f>
        <v/>
      </c>
      <c r="I231" s="96" t="str">
        <f aca="false">IF($A231="","",INDEX(_events!$I$2:$I$171,MATCH($A231,_events!$A$2:$A$171,0)))</f>
        <v/>
      </c>
      <c r="J231" s="96" t="str">
        <f aca="false">IF($A231="","",INDEX(_events!$J$2:$J$171,MATCH($A231,_events!$A$2:$A$171,0)))</f>
        <v/>
      </c>
      <c r="K231" s="96" t="str">
        <f aca="false">IF($A231="","",INDEX(_events!$K$2:$K$171,MATCH($A231,_events!$A$2:$A$171,0)))</f>
        <v/>
      </c>
    </row>
    <row r="232" customFormat="false" ht="15" hidden="false" customHeight="false" outlineLevel="0" collapsed="false">
      <c r="A232" s="94" t="str">
        <f aca="false">IFERROR(SMALL(_events!$A$2:$A$171,227),"")</f>
        <v/>
      </c>
      <c r="B232" s="95" t="str">
        <f aca="false">IF($A232="","",INT($A232))</f>
        <v/>
      </c>
      <c r="C232" s="96" t="str">
        <f aca="false">IF($A232="","",INDEX(_events!$C$2:$C$171,MATCH($A232,_events!$A$2:$A$171,0)))</f>
        <v/>
      </c>
      <c r="D232" s="97" t="str">
        <f aca="false">IF($A232="","",HYPERLINK("#'"&amp;INDEX(_events!$D$2:$D$171,MATCH($A232,_events!$A$2:$A$171,0))&amp;"'!A1",INDEX(_events!$D$2:$D$171,MATCH($A232,_events!$A$2:$A$171,0))))</f>
        <v/>
      </c>
      <c r="E232" s="96" t="str">
        <f aca="false">IF($A232="","",INDEX(_events!$E$2:$E$171,MATCH($A232,_events!$A$2:$A$171,0)))</f>
        <v/>
      </c>
      <c r="F232" s="96" t="str">
        <f aca="false">IF($A232="","",INDEX(_events!$F$2:$F$171,MATCH($A232,_events!$A$2:$A$171,0)))</f>
        <v/>
      </c>
      <c r="G232" s="96" t="str">
        <f aca="false">IF($A232="","",INDEX(_events!$G$2:$G$171,MATCH($A232,_events!$A$2:$A$171,0)))</f>
        <v/>
      </c>
      <c r="H232" s="96" t="str">
        <f aca="false">IF($A232="","",INDEX(_events!$H$2:$H$171,MATCH($A232,_events!$A$2:$A$171,0)))</f>
        <v/>
      </c>
      <c r="I232" s="96" t="str">
        <f aca="false">IF($A232="","",INDEX(_events!$I$2:$I$171,MATCH($A232,_events!$A$2:$A$171,0)))</f>
        <v/>
      </c>
      <c r="J232" s="96" t="str">
        <f aca="false">IF($A232="","",INDEX(_events!$J$2:$J$171,MATCH($A232,_events!$A$2:$A$171,0)))</f>
        <v/>
      </c>
      <c r="K232" s="96" t="str">
        <f aca="false">IF($A232="","",INDEX(_events!$K$2:$K$171,MATCH($A232,_events!$A$2:$A$171,0)))</f>
        <v/>
      </c>
    </row>
    <row r="233" customFormat="false" ht="15" hidden="false" customHeight="false" outlineLevel="0" collapsed="false">
      <c r="A233" s="94" t="str">
        <f aca="false">IFERROR(SMALL(_events!$A$2:$A$171,228),"")</f>
        <v/>
      </c>
      <c r="B233" s="95" t="str">
        <f aca="false">IF($A233="","",INT($A233))</f>
        <v/>
      </c>
      <c r="C233" s="96" t="str">
        <f aca="false">IF($A233="","",INDEX(_events!$C$2:$C$171,MATCH($A233,_events!$A$2:$A$171,0)))</f>
        <v/>
      </c>
      <c r="D233" s="97" t="str">
        <f aca="false">IF($A233="","",HYPERLINK("#'"&amp;INDEX(_events!$D$2:$D$171,MATCH($A233,_events!$A$2:$A$171,0))&amp;"'!A1",INDEX(_events!$D$2:$D$171,MATCH($A233,_events!$A$2:$A$171,0))))</f>
        <v/>
      </c>
      <c r="E233" s="96" t="str">
        <f aca="false">IF($A233="","",INDEX(_events!$E$2:$E$171,MATCH($A233,_events!$A$2:$A$171,0)))</f>
        <v/>
      </c>
      <c r="F233" s="96" t="str">
        <f aca="false">IF($A233="","",INDEX(_events!$F$2:$F$171,MATCH($A233,_events!$A$2:$A$171,0)))</f>
        <v/>
      </c>
      <c r="G233" s="96" t="str">
        <f aca="false">IF($A233="","",INDEX(_events!$G$2:$G$171,MATCH($A233,_events!$A$2:$A$171,0)))</f>
        <v/>
      </c>
      <c r="H233" s="96" t="str">
        <f aca="false">IF($A233="","",INDEX(_events!$H$2:$H$171,MATCH($A233,_events!$A$2:$A$171,0)))</f>
        <v/>
      </c>
      <c r="I233" s="96" t="str">
        <f aca="false">IF($A233="","",INDEX(_events!$I$2:$I$171,MATCH($A233,_events!$A$2:$A$171,0)))</f>
        <v/>
      </c>
      <c r="J233" s="96" t="str">
        <f aca="false">IF($A233="","",INDEX(_events!$J$2:$J$171,MATCH($A233,_events!$A$2:$A$171,0)))</f>
        <v/>
      </c>
      <c r="K233" s="96" t="str">
        <f aca="false">IF($A233="","",INDEX(_events!$K$2:$K$171,MATCH($A233,_events!$A$2:$A$171,0)))</f>
        <v/>
      </c>
    </row>
    <row r="234" customFormat="false" ht="15" hidden="false" customHeight="false" outlineLevel="0" collapsed="false">
      <c r="A234" s="94" t="str">
        <f aca="false">IFERROR(SMALL(_events!$A$2:$A$171,229),"")</f>
        <v/>
      </c>
      <c r="B234" s="95" t="str">
        <f aca="false">IF($A234="","",INT($A234))</f>
        <v/>
      </c>
      <c r="C234" s="96" t="str">
        <f aca="false">IF($A234="","",INDEX(_events!$C$2:$C$171,MATCH($A234,_events!$A$2:$A$171,0)))</f>
        <v/>
      </c>
      <c r="D234" s="97" t="str">
        <f aca="false">IF($A234="","",HYPERLINK("#'"&amp;INDEX(_events!$D$2:$D$171,MATCH($A234,_events!$A$2:$A$171,0))&amp;"'!A1",INDEX(_events!$D$2:$D$171,MATCH($A234,_events!$A$2:$A$171,0))))</f>
        <v/>
      </c>
      <c r="E234" s="96" t="str">
        <f aca="false">IF($A234="","",INDEX(_events!$E$2:$E$171,MATCH($A234,_events!$A$2:$A$171,0)))</f>
        <v/>
      </c>
      <c r="F234" s="96" t="str">
        <f aca="false">IF($A234="","",INDEX(_events!$F$2:$F$171,MATCH($A234,_events!$A$2:$A$171,0)))</f>
        <v/>
      </c>
      <c r="G234" s="96" t="str">
        <f aca="false">IF($A234="","",INDEX(_events!$G$2:$G$171,MATCH($A234,_events!$A$2:$A$171,0)))</f>
        <v/>
      </c>
      <c r="H234" s="96" t="str">
        <f aca="false">IF($A234="","",INDEX(_events!$H$2:$H$171,MATCH($A234,_events!$A$2:$A$171,0)))</f>
        <v/>
      </c>
      <c r="I234" s="96" t="str">
        <f aca="false">IF($A234="","",INDEX(_events!$I$2:$I$171,MATCH($A234,_events!$A$2:$A$171,0)))</f>
        <v/>
      </c>
      <c r="J234" s="96" t="str">
        <f aca="false">IF($A234="","",INDEX(_events!$J$2:$J$171,MATCH($A234,_events!$A$2:$A$171,0)))</f>
        <v/>
      </c>
      <c r="K234" s="96" t="str">
        <f aca="false">IF($A234="","",INDEX(_events!$K$2:$K$171,MATCH($A234,_events!$A$2:$A$171,0)))</f>
        <v/>
      </c>
    </row>
    <row r="235" customFormat="false" ht="15" hidden="false" customHeight="false" outlineLevel="0" collapsed="false">
      <c r="A235" s="94" t="str">
        <f aca="false">IFERROR(SMALL(_events!$A$2:$A$171,230),"")</f>
        <v/>
      </c>
      <c r="B235" s="95" t="str">
        <f aca="false">IF($A235="","",INT($A235))</f>
        <v/>
      </c>
      <c r="C235" s="96" t="str">
        <f aca="false">IF($A235="","",INDEX(_events!$C$2:$C$171,MATCH($A235,_events!$A$2:$A$171,0)))</f>
        <v/>
      </c>
      <c r="D235" s="97" t="str">
        <f aca="false">IF($A235="","",HYPERLINK("#'"&amp;INDEX(_events!$D$2:$D$171,MATCH($A235,_events!$A$2:$A$171,0))&amp;"'!A1",INDEX(_events!$D$2:$D$171,MATCH($A235,_events!$A$2:$A$171,0))))</f>
        <v/>
      </c>
      <c r="E235" s="96" t="str">
        <f aca="false">IF($A235="","",INDEX(_events!$E$2:$E$171,MATCH($A235,_events!$A$2:$A$171,0)))</f>
        <v/>
      </c>
      <c r="F235" s="96" t="str">
        <f aca="false">IF($A235="","",INDEX(_events!$F$2:$F$171,MATCH($A235,_events!$A$2:$A$171,0)))</f>
        <v/>
      </c>
      <c r="G235" s="96" t="str">
        <f aca="false">IF($A235="","",INDEX(_events!$G$2:$G$171,MATCH($A235,_events!$A$2:$A$171,0)))</f>
        <v/>
      </c>
      <c r="H235" s="96" t="str">
        <f aca="false">IF($A235="","",INDEX(_events!$H$2:$H$171,MATCH($A235,_events!$A$2:$A$171,0)))</f>
        <v/>
      </c>
      <c r="I235" s="96" t="str">
        <f aca="false">IF($A235="","",INDEX(_events!$I$2:$I$171,MATCH($A235,_events!$A$2:$A$171,0)))</f>
        <v/>
      </c>
      <c r="J235" s="96" t="str">
        <f aca="false">IF($A235="","",INDEX(_events!$J$2:$J$171,MATCH($A235,_events!$A$2:$A$171,0)))</f>
        <v/>
      </c>
      <c r="K235" s="96" t="str">
        <f aca="false">IF($A235="","",INDEX(_events!$K$2:$K$171,MATCH($A235,_events!$A$2:$A$171,0)))</f>
        <v/>
      </c>
    </row>
    <row r="236" customFormat="false" ht="15" hidden="false" customHeight="false" outlineLevel="0" collapsed="false">
      <c r="A236" s="94" t="str">
        <f aca="false">IFERROR(SMALL(_events!$A$2:$A$171,231),"")</f>
        <v/>
      </c>
      <c r="B236" s="95" t="str">
        <f aca="false">IF($A236="","",INT($A236))</f>
        <v/>
      </c>
      <c r="C236" s="96" t="str">
        <f aca="false">IF($A236="","",INDEX(_events!$C$2:$C$171,MATCH($A236,_events!$A$2:$A$171,0)))</f>
        <v/>
      </c>
      <c r="D236" s="97" t="str">
        <f aca="false">IF($A236="","",HYPERLINK("#'"&amp;INDEX(_events!$D$2:$D$171,MATCH($A236,_events!$A$2:$A$171,0))&amp;"'!A1",INDEX(_events!$D$2:$D$171,MATCH($A236,_events!$A$2:$A$171,0))))</f>
        <v/>
      </c>
      <c r="E236" s="96" t="str">
        <f aca="false">IF($A236="","",INDEX(_events!$E$2:$E$171,MATCH($A236,_events!$A$2:$A$171,0)))</f>
        <v/>
      </c>
      <c r="F236" s="96" t="str">
        <f aca="false">IF($A236="","",INDEX(_events!$F$2:$F$171,MATCH($A236,_events!$A$2:$A$171,0)))</f>
        <v/>
      </c>
      <c r="G236" s="96" t="str">
        <f aca="false">IF($A236="","",INDEX(_events!$G$2:$G$171,MATCH($A236,_events!$A$2:$A$171,0)))</f>
        <v/>
      </c>
      <c r="H236" s="96" t="str">
        <f aca="false">IF($A236="","",INDEX(_events!$H$2:$H$171,MATCH($A236,_events!$A$2:$A$171,0)))</f>
        <v/>
      </c>
      <c r="I236" s="96" t="str">
        <f aca="false">IF($A236="","",INDEX(_events!$I$2:$I$171,MATCH($A236,_events!$A$2:$A$171,0)))</f>
        <v/>
      </c>
      <c r="J236" s="96" t="str">
        <f aca="false">IF($A236="","",INDEX(_events!$J$2:$J$171,MATCH($A236,_events!$A$2:$A$171,0)))</f>
        <v/>
      </c>
      <c r="K236" s="96" t="str">
        <f aca="false">IF($A236="","",INDEX(_events!$K$2:$K$171,MATCH($A236,_events!$A$2:$A$171,0)))</f>
        <v/>
      </c>
    </row>
    <row r="237" customFormat="false" ht="15" hidden="false" customHeight="false" outlineLevel="0" collapsed="false">
      <c r="A237" s="94" t="str">
        <f aca="false">IFERROR(SMALL(_events!$A$2:$A$171,232),"")</f>
        <v/>
      </c>
      <c r="B237" s="95" t="str">
        <f aca="false">IF($A237="","",INT($A237))</f>
        <v/>
      </c>
      <c r="C237" s="96" t="str">
        <f aca="false">IF($A237="","",INDEX(_events!$C$2:$C$171,MATCH($A237,_events!$A$2:$A$171,0)))</f>
        <v/>
      </c>
      <c r="D237" s="97" t="str">
        <f aca="false">IF($A237="","",HYPERLINK("#'"&amp;INDEX(_events!$D$2:$D$171,MATCH($A237,_events!$A$2:$A$171,0))&amp;"'!A1",INDEX(_events!$D$2:$D$171,MATCH($A237,_events!$A$2:$A$171,0))))</f>
        <v/>
      </c>
      <c r="E237" s="96" t="str">
        <f aca="false">IF($A237="","",INDEX(_events!$E$2:$E$171,MATCH($A237,_events!$A$2:$A$171,0)))</f>
        <v/>
      </c>
      <c r="F237" s="96" t="str">
        <f aca="false">IF($A237="","",INDEX(_events!$F$2:$F$171,MATCH($A237,_events!$A$2:$A$171,0)))</f>
        <v/>
      </c>
      <c r="G237" s="96" t="str">
        <f aca="false">IF($A237="","",INDEX(_events!$G$2:$G$171,MATCH($A237,_events!$A$2:$A$171,0)))</f>
        <v/>
      </c>
      <c r="H237" s="96" t="str">
        <f aca="false">IF($A237="","",INDEX(_events!$H$2:$H$171,MATCH($A237,_events!$A$2:$A$171,0)))</f>
        <v/>
      </c>
      <c r="I237" s="96" t="str">
        <f aca="false">IF($A237="","",INDEX(_events!$I$2:$I$171,MATCH($A237,_events!$A$2:$A$171,0)))</f>
        <v/>
      </c>
      <c r="J237" s="96" t="str">
        <f aca="false">IF($A237="","",INDEX(_events!$J$2:$J$171,MATCH($A237,_events!$A$2:$A$171,0)))</f>
        <v/>
      </c>
      <c r="K237" s="96" t="str">
        <f aca="false">IF($A237="","",INDEX(_events!$K$2:$K$171,MATCH($A237,_events!$A$2:$A$171,0)))</f>
        <v/>
      </c>
    </row>
    <row r="238" customFormat="false" ht="15" hidden="false" customHeight="false" outlineLevel="0" collapsed="false">
      <c r="A238" s="94" t="str">
        <f aca="false">IFERROR(SMALL(_events!$A$2:$A$171,233),"")</f>
        <v/>
      </c>
      <c r="B238" s="95" t="str">
        <f aca="false">IF($A238="","",INT($A238))</f>
        <v/>
      </c>
      <c r="C238" s="96" t="str">
        <f aca="false">IF($A238="","",INDEX(_events!$C$2:$C$171,MATCH($A238,_events!$A$2:$A$171,0)))</f>
        <v/>
      </c>
      <c r="D238" s="97" t="str">
        <f aca="false">IF($A238="","",HYPERLINK("#'"&amp;INDEX(_events!$D$2:$D$171,MATCH($A238,_events!$A$2:$A$171,0))&amp;"'!A1",INDEX(_events!$D$2:$D$171,MATCH($A238,_events!$A$2:$A$171,0))))</f>
        <v/>
      </c>
      <c r="E238" s="96" t="str">
        <f aca="false">IF($A238="","",INDEX(_events!$E$2:$E$171,MATCH($A238,_events!$A$2:$A$171,0)))</f>
        <v/>
      </c>
      <c r="F238" s="96" t="str">
        <f aca="false">IF($A238="","",INDEX(_events!$F$2:$F$171,MATCH($A238,_events!$A$2:$A$171,0)))</f>
        <v/>
      </c>
      <c r="G238" s="96" t="str">
        <f aca="false">IF($A238="","",INDEX(_events!$G$2:$G$171,MATCH($A238,_events!$A$2:$A$171,0)))</f>
        <v/>
      </c>
      <c r="H238" s="96" t="str">
        <f aca="false">IF($A238="","",INDEX(_events!$H$2:$H$171,MATCH($A238,_events!$A$2:$A$171,0)))</f>
        <v/>
      </c>
      <c r="I238" s="96" t="str">
        <f aca="false">IF($A238="","",INDEX(_events!$I$2:$I$171,MATCH($A238,_events!$A$2:$A$171,0)))</f>
        <v/>
      </c>
      <c r="J238" s="96" t="str">
        <f aca="false">IF($A238="","",INDEX(_events!$J$2:$J$171,MATCH($A238,_events!$A$2:$A$171,0)))</f>
        <v/>
      </c>
      <c r="K238" s="96" t="str">
        <f aca="false">IF($A238="","",INDEX(_events!$K$2:$K$171,MATCH($A238,_events!$A$2:$A$171,0)))</f>
        <v/>
      </c>
    </row>
    <row r="239" customFormat="false" ht="15" hidden="false" customHeight="false" outlineLevel="0" collapsed="false">
      <c r="A239" s="94" t="str">
        <f aca="false">IFERROR(SMALL(_events!$A$2:$A$171,234),"")</f>
        <v/>
      </c>
      <c r="B239" s="95" t="str">
        <f aca="false">IF($A239="","",INT($A239))</f>
        <v/>
      </c>
      <c r="C239" s="96" t="str">
        <f aca="false">IF($A239="","",INDEX(_events!$C$2:$C$171,MATCH($A239,_events!$A$2:$A$171,0)))</f>
        <v/>
      </c>
      <c r="D239" s="97" t="str">
        <f aca="false">IF($A239="","",HYPERLINK("#'"&amp;INDEX(_events!$D$2:$D$171,MATCH($A239,_events!$A$2:$A$171,0))&amp;"'!A1",INDEX(_events!$D$2:$D$171,MATCH($A239,_events!$A$2:$A$171,0))))</f>
        <v/>
      </c>
      <c r="E239" s="96" t="str">
        <f aca="false">IF($A239="","",INDEX(_events!$E$2:$E$171,MATCH($A239,_events!$A$2:$A$171,0)))</f>
        <v/>
      </c>
      <c r="F239" s="96" t="str">
        <f aca="false">IF($A239="","",INDEX(_events!$F$2:$F$171,MATCH($A239,_events!$A$2:$A$171,0)))</f>
        <v/>
      </c>
      <c r="G239" s="96" t="str">
        <f aca="false">IF($A239="","",INDEX(_events!$G$2:$G$171,MATCH($A239,_events!$A$2:$A$171,0)))</f>
        <v/>
      </c>
      <c r="H239" s="96" t="str">
        <f aca="false">IF($A239="","",INDEX(_events!$H$2:$H$171,MATCH($A239,_events!$A$2:$A$171,0)))</f>
        <v/>
      </c>
      <c r="I239" s="96" t="str">
        <f aca="false">IF($A239="","",INDEX(_events!$I$2:$I$171,MATCH($A239,_events!$A$2:$A$171,0)))</f>
        <v/>
      </c>
      <c r="J239" s="96" t="str">
        <f aca="false">IF($A239="","",INDEX(_events!$J$2:$J$171,MATCH($A239,_events!$A$2:$A$171,0)))</f>
        <v/>
      </c>
      <c r="K239" s="96" t="str">
        <f aca="false">IF($A239="","",INDEX(_events!$K$2:$K$171,MATCH($A239,_events!$A$2:$A$171,0)))</f>
        <v/>
      </c>
    </row>
    <row r="240" customFormat="false" ht="15" hidden="false" customHeight="false" outlineLevel="0" collapsed="false">
      <c r="A240" s="94" t="str">
        <f aca="false">IFERROR(SMALL(_events!$A$2:$A$171,235),"")</f>
        <v/>
      </c>
      <c r="B240" s="95" t="str">
        <f aca="false">IF($A240="","",INT($A240))</f>
        <v/>
      </c>
      <c r="C240" s="96" t="str">
        <f aca="false">IF($A240="","",INDEX(_events!$C$2:$C$171,MATCH($A240,_events!$A$2:$A$171,0)))</f>
        <v/>
      </c>
      <c r="D240" s="97" t="str">
        <f aca="false">IF($A240="","",HYPERLINK("#'"&amp;INDEX(_events!$D$2:$D$171,MATCH($A240,_events!$A$2:$A$171,0))&amp;"'!A1",INDEX(_events!$D$2:$D$171,MATCH($A240,_events!$A$2:$A$171,0))))</f>
        <v/>
      </c>
      <c r="E240" s="96" t="str">
        <f aca="false">IF($A240="","",INDEX(_events!$E$2:$E$171,MATCH($A240,_events!$A$2:$A$171,0)))</f>
        <v/>
      </c>
      <c r="F240" s="96" t="str">
        <f aca="false">IF($A240="","",INDEX(_events!$F$2:$F$171,MATCH($A240,_events!$A$2:$A$171,0)))</f>
        <v/>
      </c>
      <c r="G240" s="96" t="str">
        <f aca="false">IF($A240="","",INDEX(_events!$G$2:$G$171,MATCH($A240,_events!$A$2:$A$171,0)))</f>
        <v/>
      </c>
      <c r="H240" s="96" t="str">
        <f aca="false">IF($A240="","",INDEX(_events!$H$2:$H$171,MATCH($A240,_events!$A$2:$A$171,0)))</f>
        <v/>
      </c>
      <c r="I240" s="96" t="str">
        <f aca="false">IF($A240="","",INDEX(_events!$I$2:$I$171,MATCH($A240,_events!$A$2:$A$171,0)))</f>
        <v/>
      </c>
      <c r="J240" s="96" t="str">
        <f aca="false">IF($A240="","",INDEX(_events!$J$2:$J$171,MATCH($A240,_events!$A$2:$A$171,0)))</f>
        <v/>
      </c>
      <c r="K240" s="96" t="str">
        <f aca="false">IF($A240="","",INDEX(_events!$K$2:$K$171,MATCH($A240,_events!$A$2:$A$171,0)))</f>
        <v/>
      </c>
    </row>
    <row r="241" customFormat="false" ht="15" hidden="false" customHeight="false" outlineLevel="0" collapsed="false">
      <c r="A241" s="94" t="str">
        <f aca="false">IFERROR(SMALL(_events!$A$2:$A$171,236),"")</f>
        <v/>
      </c>
      <c r="B241" s="95" t="str">
        <f aca="false">IF($A241="","",INT($A241))</f>
        <v/>
      </c>
      <c r="C241" s="96" t="str">
        <f aca="false">IF($A241="","",INDEX(_events!$C$2:$C$171,MATCH($A241,_events!$A$2:$A$171,0)))</f>
        <v/>
      </c>
      <c r="D241" s="97" t="str">
        <f aca="false">IF($A241="","",HYPERLINK("#'"&amp;INDEX(_events!$D$2:$D$171,MATCH($A241,_events!$A$2:$A$171,0))&amp;"'!A1",INDEX(_events!$D$2:$D$171,MATCH($A241,_events!$A$2:$A$171,0))))</f>
        <v/>
      </c>
      <c r="E241" s="96" t="str">
        <f aca="false">IF($A241="","",INDEX(_events!$E$2:$E$171,MATCH($A241,_events!$A$2:$A$171,0)))</f>
        <v/>
      </c>
      <c r="F241" s="96" t="str">
        <f aca="false">IF($A241="","",INDEX(_events!$F$2:$F$171,MATCH($A241,_events!$A$2:$A$171,0)))</f>
        <v/>
      </c>
      <c r="G241" s="96" t="str">
        <f aca="false">IF($A241="","",INDEX(_events!$G$2:$G$171,MATCH($A241,_events!$A$2:$A$171,0)))</f>
        <v/>
      </c>
      <c r="H241" s="96" t="str">
        <f aca="false">IF($A241="","",INDEX(_events!$H$2:$H$171,MATCH($A241,_events!$A$2:$A$171,0)))</f>
        <v/>
      </c>
      <c r="I241" s="96" t="str">
        <f aca="false">IF($A241="","",INDEX(_events!$I$2:$I$171,MATCH($A241,_events!$A$2:$A$171,0)))</f>
        <v/>
      </c>
      <c r="J241" s="96" t="str">
        <f aca="false">IF($A241="","",INDEX(_events!$J$2:$J$171,MATCH($A241,_events!$A$2:$A$171,0)))</f>
        <v/>
      </c>
      <c r="K241" s="96" t="str">
        <f aca="false">IF($A241="","",INDEX(_events!$K$2:$K$171,MATCH($A241,_events!$A$2:$A$171,0)))</f>
        <v/>
      </c>
    </row>
    <row r="242" customFormat="false" ht="15" hidden="false" customHeight="false" outlineLevel="0" collapsed="false">
      <c r="A242" s="94" t="str">
        <f aca="false">IFERROR(SMALL(_events!$A$2:$A$171,237),"")</f>
        <v/>
      </c>
      <c r="B242" s="95" t="str">
        <f aca="false">IF($A242="","",INT($A242))</f>
        <v/>
      </c>
      <c r="C242" s="96" t="str">
        <f aca="false">IF($A242="","",INDEX(_events!$C$2:$C$171,MATCH($A242,_events!$A$2:$A$171,0)))</f>
        <v/>
      </c>
      <c r="D242" s="97" t="str">
        <f aca="false">IF($A242="","",HYPERLINK("#'"&amp;INDEX(_events!$D$2:$D$171,MATCH($A242,_events!$A$2:$A$171,0))&amp;"'!A1",INDEX(_events!$D$2:$D$171,MATCH($A242,_events!$A$2:$A$171,0))))</f>
        <v/>
      </c>
      <c r="E242" s="96" t="str">
        <f aca="false">IF($A242="","",INDEX(_events!$E$2:$E$171,MATCH($A242,_events!$A$2:$A$171,0)))</f>
        <v/>
      </c>
      <c r="F242" s="96" t="str">
        <f aca="false">IF($A242="","",INDEX(_events!$F$2:$F$171,MATCH($A242,_events!$A$2:$A$171,0)))</f>
        <v/>
      </c>
      <c r="G242" s="96" t="str">
        <f aca="false">IF($A242="","",INDEX(_events!$G$2:$G$171,MATCH($A242,_events!$A$2:$A$171,0)))</f>
        <v/>
      </c>
      <c r="H242" s="96" t="str">
        <f aca="false">IF($A242="","",INDEX(_events!$H$2:$H$171,MATCH($A242,_events!$A$2:$A$171,0)))</f>
        <v/>
      </c>
      <c r="I242" s="96" t="str">
        <f aca="false">IF($A242="","",INDEX(_events!$I$2:$I$171,MATCH($A242,_events!$A$2:$A$171,0)))</f>
        <v/>
      </c>
      <c r="J242" s="96" t="str">
        <f aca="false">IF($A242="","",INDEX(_events!$J$2:$J$171,MATCH($A242,_events!$A$2:$A$171,0)))</f>
        <v/>
      </c>
      <c r="K242" s="96" t="str">
        <f aca="false">IF($A242="","",INDEX(_events!$K$2:$K$171,MATCH($A242,_events!$A$2:$A$171,0)))</f>
        <v/>
      </c>
    </row>
    <row r="243" customFormat="false" ht="15" hidden="false" customHeight="false" outlineLevel="0" collapsed="false">
      <c r="A243" s="94" t="str">
        <f aca="false">IFERROR(SMALL(_events!$A$2:$A$171,238),"")</f>
        <v/>
      </c>
      <c r="B243" s="95" t="str">
        <f aca="false">IF($A243="","",INT($A243))</f>
        <v/>
      </c>
      <c r="C243" s="96" t="str">
        <f aca="false">IF($A243="","",INDEX(_events!$C$2:$C$171,MATCH($A243,_events!$A$2:$A$171,0)))</f>
        <v/>
      </c>
      <c r="D243" s="97" t="str">
        <f aca="false">IF($A243="","",HYPERLINK("#'"&amp;INDEX(_events!$D$2:$D$171,MATCH($A243,_events!$A$2:$A$171,0))&amp;"'!A1",INDEX(_events!$D$2:$D$171,MATCH($A243,_events!$A$2:$A$171,0))))</f>
        <v/>
      </c>
      <c r="E243" s="96" t="str">
        <f aca="false">IF($A243="","",INDEX(_events!$E$2:$E$171,MATCH($A243,_events!$A$2:$A$171,0)))</f>
        <v/>
      </c>
      <c r="F243" s="96" t="str">
        <f aca="false">IF($A243="","",INDEX(_events!$F$2:$F$171,MATCH($A243,_events!$A$2:$A$171,0)))</f>
        <v/>
      </c>
      <c r="G243" s="96" t="str">
        <f aca="false">IF($A243="","",INDEX(_events!$G$2:$G$171,MATCH($A243,_events!$A$2:$A$171,0)))</f>
        <v/>
      </c>
      <c r="H243" s="96" t="str">
        <f aca="false">IF($A243="","",INDEX(_events!$H$2:$H$171,MATCH($A243,_events!$A$2:$A$171,0)))</f>
        <v/>
      </c>
      <c r="I243" s="96" t="str">
        <f aca="false">IF($A243="","",INDEX(_events!$I$2:$I$171,MATCH($A243,_events!$A$2:$A$171,0)))</f>
        <v/>
      </c>
      <c r="J243" s="96" t="str">
        <f aca="false">IF($A243="","",INDEX(_events!$J$2:$J$171,MATCH($A243,_events!$A$2:$A$171,0)))</f>
        <v/>
      </c>
      <c r="K243" s="96" t="str">
        <f aca="false">IF($A243="","",INDEX(_events!$K$2:$K$171,MATCH($A243,_events!$A$2:$A$171,0)))</f>
        <v/>
      </c>
    </row>
    <row r="244" customFormat="false" ht="15" hidden="false" customHeight="false" outlineLevel="0" collapsed="false">
      <c r="A244" s="94" t="str">
        <f aca="false">IFERROR(SMALL(_events!$A$2:$A$171,239),"")</f>
        <v/>
      </c>
      <c r="B244" s="95" t="str">
        <f aca="false">IF($A244="","",INT($A244))</f>
        <v/>
      </c>
      <c r="C244" s="96" t="str">
        <f aca="false">IF($A244="","",INDEX(_events!$C$2:$C$171,MATCH($A244,_events!$A$2:$A$171,0)))</f>
        <v/>
      </c>
      <c r="D244" s="97" t="str">
        <f aca="false">IF($A244="","",HYPERLINK("#'"&amp;INDEX(_events!$D$2:$D$171,MATCH($A244,_events!$A$2:$A$171,0))&amp;"'!A1",INDEX(_events!$D$2:$D$171,MATCH($A244,_events!$A$2:$A$171,0))))</f>
        <v/>
      </c>
      <c r="E244" s="96" t="str">
        <f aca="false">IF($A244="","",INDEX(_events!$E$2:$E$171,MATCH($A244,_events!$A$2:$A$171,0)))</f>
        <v/>
      </c>
      <c r="F244" s="96" t="str">
        <f aca="false">IF($A244="","",INDEX(_events!$F$2:$F$171,MATCH($A244,_events!$A$2:$A$171,0)))</f>
        <v/>
      </c>
      <c r="G244" s="96" t="str">
        <f aca="false">IF($A244="","",INDEX(_events!$G$2:$G$171,MATCH($A244,_events!$A$2:$A$171,0)))</f>
        <v/>
      </c>
      <c r="H244" s="96" t="str">
        <f aca="false">IF($A244="","",INDEX(_events!$H$2:$H$171,MATCH($A244,_events!$A$2:$A$171,0)))</f>
        <v/>
      </c>
      <c r="I244" s="96" t="str">
        <f aca="false">IF($A244="","",INDEX(_events!$I$2:$I$171,MATCH($A244,_events!$A$2:$A$171,0)))</f>
        <v/>
      </c>
      <c r="J244" s="96" t="str">
        <f aca="false">IF($A244="","",INDEX(_events!$J$2:$J$171,MATCH($A244,_events!$A$2:$A$171,0)))</f>
        <v/>
      </c>
      <c r="K244" s="96" t="str">
        <f aca="false">IF($A244="","",INDEX(_events!$K$2:$K$171,MATCH($A244,_events!$A$2:$A$171,0)))</f>
        <v/>
      </c>
    </row>
    <row r="245" customFormat="false" ht="15" hidden="false" customHeight="false" outlineLevel="0" collapsed="false">
      <c r="A245" s="94" t="str">
        <f aca="false">IFERROR(SMALL(_events!$A$2:$A$171,240),"")</f>
        <v/>
      </c>
      <c r="B245" s="95" t="str">
        <f aca="false">IF($A245="","",INT($A245))</f>
        <v/>
      </c>
      <c r="C245" s="96" t="str">
        <f aca="false">IF($A245="","",INDEX(_events!$C$2:$C$171,MATCH($A245,_events!$A$2:$A$171,0)))</f>
        <v/>
      </c>
      <c r="D245" s="97" t="str">
        <f aca="false">IF($A245="","",HYPERLINK("#'"&amp;INDEX(_events!$D$2:$D$171,MATCH($A245,_events!$A$2:$A$171,0))&amp;"'!A1",INDEX(_events!$D$2:$D$171,MATCH($A245,_events!$A$2:$A$171,0))))</f>
        <v/>
      </c>
      <c r="E245" s="96" t="str">
        <f aca="false">IF($A245="","",INDEX(_events!$E$2:$E$171,MATCH($A245,_events!$A$2:$A$171,0)))</f>
        <v/>
      </c>
      <c r="F245" s="96" t="str">
        <f aca="false">IF($A245="","",INDEX(_events!$F$2:$F$171,MATCH($A245,_events!$A$2:$A$171,0)))</f>
        <v/>
      </c>
      <c r="G245" s="96" t="str">
        <f aca="false">IF($A245="","",INDEX(_events!$G$2:$G$171,MATCH($A245,_events!$A$2:$A$171,0)))</f>
        <v/>
      </c>
      <c r="H245" s="96" t="str">
        <f aca="false">IF($A245="","",INDEX(_events!$H$2:$H$171,MATCH($A245,_events!$A$2:$A$171,0)))</f>
        <v/>
      </c>
      <c r="I245" s="96" t="str">
        <f aca="false">IF($A245="","",INDEX(_events!$I$2:$I$171,MATCH($A245,_events!$A$2:$A$171,0)))</f>
        <v/>
      </c>
      <c r="J245" s="96" t="str">
        <f aca="false">IF($A245="","",INDEX(_events!$J$2:$J$171,MATCH($A245,_events!$A$2:$A$171,0)))</f>
        <v/>
      </c>
      <c r="K245" s="96" t="str">
        <f aca="false">IF($A245="","",INDEX(_events!$K$2:$K$171,MATCH($A245,_events!$A$2:$A$171,0)))</f>
        <v/>
      </c>
    </row>
    <row r="246" customFormat="false" ht="15" hidden="false" customHeight="false" outlineLevel="0" collapsed="false">
      <c r="A246" s="94" t="str">
        <f aca="false">IFERROR(SMALL(_events!$A$2:$A$171,241),"")</f>
        <v/>
      </c>
      <c r="B246" s="95" t="str">
        <f aca="false">IF($A246="","",INT($A246))</f>
        <v/>
      </c>
      <c r="C246" s="96" t="str">
        <f aca="false">IF($A246="","",INDEX(_events!$C$2:$C$171,MATCH($A246,_events!$A$2:$A$171,0)))</f>
        <v/>
      </c>
      <c r="D246" s="97" t="str">
        <f aca="false">IF($A246="","",HYPERLINK("#'"&amp;INDEX(_events!$D$2:$D$171,MATCH($A246,_events!$A$2:$A$171,0))&amp;"'!A1",INDEX(_events!$D$2:$D$171,MATCH($A246,_events!$A$2:$A$171,0))))</f>
        <v/>
      </c>
      <c r="E246" s="96" t="str">
        <f aca="false">IF($A246="","",INDEX(_events!$E$2:$E$171,MATCH($A246,_events!$A$2:$A$171,0)))</f>
        <v/>
      </c>
      <c r="F246" s="96" t="str">
        <f aca="false">IF($A246="","",INDEX(_events!$F$2:$F$171,MATCH($A246,_events!$A$2:$A$171,0)))</f>
        <v/>
      </c>
      <c r="G246" s="96" t="str">
        <f aca="false">IF($A246="","",INDEX(_events!$G$2:$G$171,MATCH($A246,_events!$A$2:$A$171,0)))</f>
        <v/>
      </c>
      <c r="H246" s="96" t="str">
        <f aca="false">IF($A246="","",INDEX(_events!$H$2:$H$171,MATCH($A246,_events!$A$2:$A$171,0)))</f>
        <v/>
      </c>
      <c r="I246" s="96" t="str">
        <f aca="false">IF($A246="","",INDEX(_events!$I$2:$I$171,MATCH($A246,_events!$A$2:$A$171,0)))</f>
        <v/>
      </c>
      <c r="J246" s="96" t="str">
        <f aca="false">IF($A246="","",INDEX(_events!$J$2:$J$171,MATCH($A246,_events!$A$2:$A$171,0)))</f>
        <v/>
      </c>
      <c r="K246" s="96" t="str">
        <f aca="false">IF($A246="","",INDEX(_events!$K$2:$K$171,MATCH($A246,_events!$A$2:$A$171,0)))</f>
        <v/>
      </c>
    </row>
    <row r="247" customFormat="false" ht="15" hidden="false" customHeight="false" outlineLevel="0" collapsed="false">
      <c r="A247" s="94" t="str">
        <f aca="false">IFERROR(SMALL(_events!$A$2:$A$171,242),"")</f>
        <v/>
      </c>
      <c r="B247" s="95" t="str">
        <f aca="false">IF($A247="","",INT($A247))</f>
        <v/>
      </c>
      <c r="C247" s="96" t="str">
        <f aca="false">IF($A247="","",INDEX(_events!$C$2:$C$171,MATCH($A247,_events!$A$2:$A$171,0)))</f>
        <v/>
      </c>
      <c r="D247" s="97" t="str">
        <f aca="false">IF($A247="","",HYPERLINK("#'"&amp;INDEX(_events!$D$2:$D$171,MATCH($A247,_events!$A$2:$A$171,0))&amp;"'!A1",INDEX(_events!$D$2:$D$171,MATCH($A247,_events!$A$2:$A$171,0))))</f>
        <v/>
      </c>
      <c r="E247" s="96" t="str">
        <f aca="false">IF($A247="","",INDEX(_events!$E$2:$E$171,MATCH($A247,_events!$A$2:$A$171,0)))</f>
        <v/>
      </c>
      <c r="F247" s="96" t="str">
        <f aca="false">IF($A247="","",INDEX(_events!$F$2:$F$171,MATCH($A247,_events!$A$2:$A$171,0)))</f>
        <v/>
      </c>
      <c r="G247" s="96" t="str">
        <f aca="false">IF($A247="","",INDEX(_events!$G$2:$G$171,MATCH($A247,_events!$A$2:$A$171,0)))</f>
        <v/>
      </c>
      <c r="H247" s="96" t="str">
        <f aca="false">IF($A247="","",INDEX(_events!$H$2:$H$171,MATCH($A247,_events!$A$2:$A$171,0)))</f>
        <v/>
      </c>
      <c r="I247" s="96" t="str">
        <f aca="false">IF($A247="","",INDEX(_events!$I$2:$I$171,MATCH($A247,_events!$A$2:$A$171,0)))</f>
        <v/>
      </c>
      <c r="J247" s="96" t="str">
        <f aca="false">IF($A247="","",INDEX(_events!$J$2:$J$171,MATCH($A247,_events!$A$2:$A$171,0)))</f>
        <v/>
      </c>
      <c r="K247" s="96" t="str">
        <f aca="false">IF($A247="","",INDEX(_events!$K$2:$K$171,MATCH($A247,_events!$A$2:$A$171,0)))</f>
        <v/>
      </c>
    </row>
    <row r="248" customFormat="false" ht="15" hidden="false" customHeight="false" outlineLevel="0" collapsed="false">
      <c r="A248" s="94" t="str">
        <f aca="false">IFERROR(SMALL(_events!$A$2:$A$171,243),"")</f>
        <v/>
      </c>
      <c r="B248" s="95" t="str">
        <f aca="false">IF($A248="","",INT($A248))</f>
        <v/>
      </c>
      <c r="C248" s="96" t="str">
        <f aca="false">IF($A248="","",INDEX(_events!$C$2:$C$171,MATCH($A248,_events!$A$2:$A$171,0)))</f>
        <v/>
      </c>
      <c r="D248" s="97" t="str">
        <f aca="false">IF($A248="","",HYPERLINK("#'"&amp;INDEX(_events!$D$2:$D$171,MATCH($A248,_events!$A$2:$A$171,0))&amp;"'!A1",INDEX(_events!$D$2:$D$171,MATCH($A248,_events!$A$2:$A$171,0))))</f>
        <v/>
      </c>
      <c r="E248" s="96" t="str">
        <f aca="false">IF($A248="","",INDEX(_events!$E$2:$E$171,MATCH($A248,_events!$A$2:$A$171,0)))</f>
        <v/>
      </c>
      <c r="F248" s="96" t="str">
        <f aca="false">IF($A248="","",INDEX(_events!$F$2:$F$171,MATCH($A248,_events!$A$2:$A$171,0)))</f>
        <v/>
      </c>
      <c r="G248" s="96" t="str">
        <f aca="false">IF($A248="","",INDEX(_events!$G$2:$G$171,MATCH($A248,_events!$A$2:$A$171,0)))</f>
        <v/>
      </c>
      <c r="H248" s="96" t="str">
        <f aca="false">IF($A248="","",INDEX(_events!$H$2:$H$171,MATCH($A248,_events!$A$2:$A$171,0)))</f>
        <v/>
      </c>
      <c r="I248" s="96" t="str">
        <f aca="false">IF($A248="","",INDEX(_events!$I$2:$I$171,MATCH($A248,_events!$A$2:$A$171,0)))</f>
        <v/>
      </c>
      <c r="J248" s="96" t="str">
        <f aca="false">IF($A248="","",INDEX(_events!$J$2:$J$171,MATCH($A248,_events!$A$2:$A$171,0)))</f>
        <v/>
      </c>
      <c r="K248" s="96" t="str">
        <f aca="false">IF($A248="","",INDEX(_events!$K$2:$K$171,MATCH($A248,_events!$A$2:$A$171,0)))</f>
        <v/>
      </c>
    </row>
    <row r="249" customFormat="false" ht="15" hidden="false" customHeight="false" outlineLevel="0" collapsed="false">
      <c r="A249" s="94" t="str">
        <f aca="false">IFERROR(SMALL(_events!$A$2:$A$171,244),"")</f>
        <v/>
      </c>
      <c r="B249" s="95" t="str">
        <f aca="false">IF($A249="","",INT($A249))</f>
        <v/>
      </c>
      <c r="C249" s="96" t="str">
        <f aca="false">IF($A249="","",INDEX(_events!$C$2:$C$171,MATCH($A249,_events!$A$2:$A$171,0)))</f>
        <v/>
      </c>
      <c r="D249" s="97" t="str">
        <f aca="false">IF($A249="","",HYPERLINK("#'"&amp;INDEX(_events!$D$2:$D$171,MATCH($A249,_events!$A$2:$A$171,0))&amp;"'!A1",INDEX(_events!$D$2:$D$171,MATCH($A249,_events!$A$2:$A$171,0))))</f>
        <v/>
      </c>
      <c r="E249" s="96" t="str">
        <f aca="false">IF($A249="","",INDEX(_events!$E$2:$E$171,MATCH($A249,_events!$A$2:$A$171,0)))</f>
        <v/>
      </c>
      <c r="F249" s="96" t="str">
        <f aca="false">IF($A249="","",INDEX(_events!$F$2:$F$171,MATCH($A249,_events!$A$2:$A$171,0)))</f>
        <v/>
      </c>
      <c r="G249" s="96" t="str">
        <f aca="false">IF($A249="","",INDEX(_events!$G$2:$G$171,MATCH($A249,_events!$A$2:$A$171,0)))</f>
        <v/>
      </c>
      <c r="H249" s="96" t="str">
        <f aca="false">IF($A249="","",INDEX(_events!$H$2:$H$171,MATCH($A249,_events!$A$2:$A$171,0)))</f>
        <v/>
      </c>
      <c r="I249" s="96" t="str">
        <f aca="false">IF($A249="","",INDEX(_events!$I$2:$I$171,MATCH($A249,_events!$A$2:$A$171,0)))</f>
        <v/>
      </c>
      <c r="J249" s="96" t="str">
        <f aca="false">IF($A249="","",INDEX(_events!$J$2:$J$171,MATCH($A249,_events!$A$2:$A$171,0)))</f>
        <v/>
      </c>
      <c r="K249" s="96" t="str">
        <f aca="false">IF($A249="","",INDEX(_events!$K$2:$K$171,MATCH($A249,_events!$A$2:$A$171,0)))</f>
        <v/>
      </c>
    </row>
    <row r="250" customFormat="false" ht="15" hidden="false" customHeight="false" outlineLevel="0" collapsed="false">
      <c r="A250" s="94" t="str">
        <f aca="false">IFERROR(SMALL(_events!$A$2:$A$171,245),"")</f>
        <v/>
      </c>
      <c r="B250" s="95" t="str">
        <f aca="false">IF($A250="","",INT($A250))</f>
        <v/>
      </c>
      <c r="C250" s="96" t="str">
        <f aca="false">IF($A250="","",INDEX(_events!$C$2:$C$171,MATCH($A250,_events!$A$2:$A$171,0)))</f>
        <v/>
      </c>
      <c r="D250" s="97" t="str">
        <f aca="false">IF($A250="","",HYPERLINK("#'"&amp;INDEX(_events!$D$2:$D$171,MATCH($A250,_events!$A$2:$A$171,0))&amp;"'!A1",INDEX(_events!$D$2:$D$171,MATCH($A250,_events!$A$2:$A$171,0))))</f>
        <v/>
      </c>
      <c r="E250" s="96" t="str">
        <f aca="false">IF($A250="","",INDEX(_events!$E$2:$E$171,MATCH($A250,_events!$A$2:$A$171,0)))</f>
        <v/>
      </c>
      <c r="F250" s="96" t="str">
        <f aca="false">IF($A250="","",INDEX(_events!$F$2:$F$171,MATCH($A250,_events!$A$2:$A$171,0)))</f>
        <v/>
      </c>
      <c r="G250" s="96" t="str">
        <f aca="false">IF($A250="","",INDEX(_events!$G$2:$G$171,MATCH($A250,_events!$A$2:$A$171,0)))</f>
        <v/>
      </c>
      <c r="H250" s="96" t="str">
        <f aca="false">IF($A250="","",INDEX(_events!$H$2:$H$171,MATCH($A250,_events!$A$2:$A$171,0)))</f>
        <v/>
      </c>
      <c r="I250" s="96" t="str">
        <f aca="false">IF($A250="","",INDEX(_events!$I$2:$I$171,MATCH($A250,_events!$A$2:$A$171,0)))</f>
        <v/>
      </c>
      <c r="J250" s="96" t="str">
        <f aca="false">IF($A250="","",INDEX(_events!$J$2:$J$171,MATCH($A250,_events!$A$2:$A$171,0)))</f>
        <v/>
      </c>
      <c r="K250" s="96" t="str">
        <f aca="false">IF($A250="","",INDEX(_events!$K$2:$K$171,MATCH($A250,_events!$A$2:$A$171,0)))</f>
        <v/>
      </c>
    </row>
    <row r="251" customFormat="false" ht="15" hidden="false" customHeight="false" outlineLevel="0" collapsed="false">
      <c r="A251" s="94" t="str">
        <f aca="false">IFERROR(SMALL(_events!$A$2:$A$171,246),"")</f>
        <v/>
      </c>
      <c r="B251" s="95" t="str">
        <f aca="false">IF($A251="","",INT($A251))</f>
        <v/>
      </c>
      <c r="C251" s="96" t="str">
        <f aca="false">IF($A251="","",INDEX(_events!$C$2:$C$171,MATCH($A251,_events!$A$2:$A$171,0)))</f>
        <v/>
      </c>
      <c r="D251" s="97" t="str">
        <f aca="false">IF($A251="","",HYPERLINK("#'"&amp;INDEX(_events!$D$2:$D$171,MATCH($A251,_events!$A$2:$A$171,0))&amp;"'!A1",INDEX(_events!$D$2:$D$171,MATCH($A251,_events!$A$2:$A$171,0))))</f>
        <v/>
      </c>
      <c r="E251" s="96" t="str">
        <f aca="false">IF($A251="","",INDEX(_events!$E$2:$E$171,MATCH($A251,_events!$A$2:$A$171,0)))</f>
        <v/>
      </c>
      <c r="F251" s="96" t="str">
        <f aca="false">IF($A251="","",INDEX(_events!$F$2:$F$171,MATCH($A251,_events!$A$2:$A$171,0)))</f>
        <v/>
      </c>
      <c r="G251" s="96" t="str">
        <f aca="false">IF($A251="","",INDEX(_events!$G$2:$G$171,MATCH($A251,_events!$A$2:$A$171,0)))</f>
        <v/>
      </c>
      <c r="H251" s="96" t="str">
        <f aca="false">IF($A251="","",INDEX(_events!$H$2:$H$171,MATCH($A251,_events!$A$2:$A$171,0)))</f>
        <v/>
      </c>
      <c r="I251" s="96" t="str">
        <f aca="false">IF($A251="","",INDEX(_events!$I$2:$I$171,MATCH($A251,_events!$A$2:$A$171,0)))</f>
        <v/>
      </c>
      <c r="J251" s="96" t="str">
        <f aca="false">IF($A251="","",INDEX(_events!$J$2:$J$171,MATCH($A251,_events!$A$2:$A$171,0)))</f>
        <v/>
      </c>
      <c r="K251" s="96" t="str">
        <f aca="false">IF($A251="","",INDEX(_events!$K$2:$K$171,MATCH($A251,_events!$A$2:$A$171,0)))</f>
        <v/>
      </c>
    </row>
    <row r="252" customFormat="false" ht="15" hidden="false" customHeight="false" outlineLevel="0" collapsed="false">
      <c r="A252" s="94" t="str">
        <f aca="false">IFERROR(SMALL(_events!$A$2:$A$171,247),"")</f>
        <v/>
      </c>
      <c r="B252" s="95" t="str">
        <f aca="false">IF($A252="","",INT($A252))</f>
        <v/>
      </c>
      <c r="C252" s="96" t="str">
        <f aca="false">IF($A252="","",INDEX(_events!$C$2:$C$171,MATCH($A252,_events!$A$2:$A$171,0)))</f>
        <v/>
      </c>
      <c r="D252" s="97" t="str">
        <f aca="false">IF($A252="","",HYPERLINK("#'"&amp;INDEX(_events!$D$2:$D$171,MATCH($A252,_events!$A$2:$A$171,0))&amp;"'!A1",INDEX(_events!$D$2:$D$171,MATCH($A252,_events!$A$2:$A$171,0))))</f>
        <v/>
      </c>
      <c r="E252" s="96" t="str">
        <f aca="false">IF($A252="","",INDEX(_events!$E$2:$E$171,MATCH($A252,_events!$A$2:$A$171,0)))</f>
        <v/>
      </c>
      <c r="F252" s="96" t="str">
        <f aca="false">IF($A252="","",INDEX(_events!$F$2:$F$171,MATCH($A252,_events!$A$2:$A$171,0)))</f>
        <v/>
      </c>
      <c r="G252" s="96" t="str">
        <f aca="false">IF($A252="","",INDEX(_events!$G$2:$G$171,MATCH($A252,_events!$A$2:$A$171,0)))</f>
        <v/>
      </c>
      <c r="H252" s="96" t="str">
        <f aca="false">IF($A252="","",INDEX(_events!$H$2:$H$171,MATCH($A252,_events!$A$2:$A$171,0)))</f>
        <v/>
      </c>
      <c r="I252" s="96" t="str">
        <f aca="false">IF($A252="","",INDEX(_events!$I$2:$I$171,MATCH($A252,_events!$A$2:$A$171,0)))</f>
        <v/>
      </c>
      <c r="J252" s="96" t="str">
        <f aca="false">IF($A252="","",INDEX(_events!$J$2:$J$171,MATCH($A252,_events!$A$2:$A$171,0)))</f>
        <v/>
      </c>
      <c r="K252" s="96" t="str">
        <f aca="false">IF($A252="","",INDEX(_events!$K$2:$K$171,MATCH($A252,_events!$A$2:$A$171,0)))</f>
        <v/>
      </c>
    </row>
    <row r="253" customFormat="false" ht="15" hidden="false" customHeight="false" outlineLevel="0" collapsed="false">
      <c r="A253" s="94" t="str">
        <f aca="false">IFERROR(SMALL(_events!$A$2:$A$171,248),"")</f>
        <v/>
      </c>
      <c r="B253" s="95" t="str">
        <f aca="false">IF($A253="","",INT($A253))</f>
        <v/>
      </c>
      <c r="C253" s="96" t="str">
        <f aca="false">IF($A253="","",INDEX(_events!$C$2:$C$171,MATCH($A253,_events!$A$2:$A$171,0)))</f>
        <v/>
      </c>
      <c r="D253" s="97" t="str">
        <f aca="false">IF($A253="","",HYPERLINK("#'"&amp;INDEX(_events!$D$2:$D$171,MATCH($A253,_events!$A$2:$A$171,0))&amp;"'!A1",INDEX(_events!$D$2:$D$171,MATCH($A253,_events!$A$2:$A$171,0))))</f>
        <v/>
      </c>
      <c r="E253" s="96" t="str">
        <f aca="false">IF($A253="","",INDEX(_events!$E$2:$E$171,MATCH($A253,_events!$A$2:$A$171,0)))</f>
        <v/>
      </c>
      <c r="F253" s="96" t="str">
        <f aca="false">IF($A253="","",INDEX(_events!$F$2:$F$171,MATCH($A253,_events!$A$2:$A$171,0)))</f>
        <v/>
      </c>
      <c r="G253" s="96" t="str">
        <f aca="false">IF($A253="","",INDEX(_events!$G$2:$G$171,MATCH($A253,_events!$A$2:$A$171,0)))</f>
        <v/>
      </c>
      <c r="H253" s="96" t="str">
        <f aca="false">IF($A253="","",INDEX(_events!$H$2:$H$171,MATCH($A253,_events!$A$2:$A$171,0)))</f>
        <v/>
      </c>
      <c r="I253" s="96" t="str">
        <f aca="false">IF($A253="","",INDEX(_events!$I$2:$I$171,MATCH($A253,_events!$A$2:$A$171,0)))</f>
        <v/>
      </c>
      <c r="J253" s="96" t="str">
        <f aca="false">IF($A253="","",INDEX(_events!$J$2:$J$171,MATCH($A253,_events!$A$2:$A$171,0)))</f>
        <v/>
      </c>
      <c r="K253" s="96" t="str">
        <f aca="false">IF($A253="","",INDEX(_events!$K$2:$K$171,MATCH($A253,_events!$A$2:$A$171,0)))</f>
        <v/>
      </c>
    </row>
    <row r="254" customFormat="false" ht="15" hidden="false" customHeight="false" outlineLevel="0" collapsed="false">
      <c r="A254" s="94" t="str">
        <f aca="false">IFERROR(SMALL(_events!$A$2:$A$171,249),"")</f>
        <v/>
      </c>
      <c r="B254" s="95" t="str">
        <f aca="false">IF($A254="","",INT($A254))</f>
        <v/>
      </c>
      <c r="C254" s="96" t="str">
        <f aca="false">IF($A254="","",INDEX(_events!$C$2:$C$171,MATCH($A254,_events!$A$2:$A$171,0)))</f>
        <v/>
      </c>
      <c r="D254" s="97" t="str">
        <f aca="false">IF($A254="","",HYPERLINK("#'"&amp;INDEX(_events!$D$2:$D$171,MATCH($A254,_events!$A$2:$A$171,0))&amp;"'!A1",INDEX(_events!$D$2:$D$171,MATCH($A254,_events!$A$2:$A$171,0))))</f>
        <v/>
      </c>
      <c r="E254" s="96" t="str">
        <f aca="false">IF($A254="","",INDEX(_events!$E$2:$E$171,MATCH($A254,_events!$A$2:$A$171,0)))</f>
        <v/>
      </c>
      <c r="F254" s="96" t="str">
        <f aca="false">IF($A254="","",INDEX(_events!$F$2:$F$171,MATCH($A254,_events!$A$2:$A$171,0)))</f>
        <v/>
      </c>
      <c r="G254" s="96" t="str">
        <f aca="false">IF($A254="","",INDEX(_events!$G$2:$G$171,MATCH($A254,_events!$A$2:$A$171,0)))</f>
        <v/>
      </c>
      <c r="H254" s="96" t="str">
        <f aca="false">IF($A254="","",INDEX(_events!$H$2:$H$171,MATCH($A254,_events!$A$2:$A$171,0)))</f>
        <v/>
      </c>
      <c r="I254" s="96" t="str">
        <f aca="false">IF($A254="","",INDEX(_events!$I$2:$I$171,MATCH($A254,_events!$A$2:$A$171,0)))</f>
        <v/>
      </c>
      <c r="J254" s="96" t="str">
        <f aca="false">IF($A254="","",INDEX(_events!$J$2:$J$171,MATCH($A254,_events!$A$2:$A$171,0)))</f>
        <v/>
      </c>
      <c r="K254" s="96" t="str">
        <f aca="false">IF($A254="","",INDEX(_events!$K$2:$K$171,MATCH($A254,_events!$A$2:$A$171,0)))</f>
        <v/>
      </c>
    </row>
    <row r="255" customFormat="false" ht="15" hidden="false" customHeight="false" outlineLevel="0" collapsed="false">
      <c r="A255" s="94" t="str">
        <f aca="false">IFERROR(SMALL(_events!$A$2:$A$171,250),"")</f>
        <v/>
      </c>
      <c r="B255" s="95" t="str">
        <f aca="false">IF($A255="","",INT($A255))</f>
        <v/>
      </c>
      <c r="C255" s="96" t="str">
        <f aca="false">IF($A255="","",INDEX(_events!$C$2:$C$171,MATCH($A255,_events!$A$2:$A$171,0)))</f>
        <v/>
      </c>
      <c r="D255" s="97" t="str">
        <f aca="false">IF($A255="","",HYPERLINK("#'"&amp;INDEX(_events!$D$2:$D$171,MATCH($A255,_events!$A$2:$A$171,0))&amp;"'!A1",INDEX(_events!$D$2:$D$171,MATCH($A255,_events!$A$2:$A$171,0))))</f>
        <v/>
      </c>
      <c r="E255" s="96" t="str">
        <f aca="false">IF($A255="","",INDEX(_events!$E$2:$E$171,MATCH($A255,_events!$A$2:$A$171,0)))</f>
        <v/>
      </c>
      <c r="F255" s="96" t="str">
        <f aca="false">IF($A255="","",INDEX(_events!$F$2:$F$171,MATCH($A255,_events!$A$2:$A$171,0)))</f>
        <v/>
      </c>
      <c r="G255" s="96" t="str">
        <f aca="false">IF($A255="","",INDEX(_events!$G$2:$G$171,MATCH($A255,_events!$A$2:$A$171,0)))</f>
        <v/>
      </c>
      <c r="H255" s="96" t="str">
        <f aca="false">IF($A255="","",INDEX(_events!$H$2:$H$171,MATCH($A255,_events!$A$2:$A$171,0)))</f>
        <v/>
      </c>
      <c r="I255" s="96" t="str">
        <f aca="false">IF($A255="","",INDEX(_events!$I$2:$I$171,MATCH($A255,_events!$A$2:$A$171,0)))</f>
        <v/>
      </c>
      <c r="J255" s="96" t="str">
        <f aca="false">IF($A255="","",INDEX(_events!$J$2:$J$171,MATCH($A255,_events!$A$2:$A$171,0)))</f>
        <v/>
      </c>
      <c r="K255" s="96" t="str">
        <f aca="false">IF($A255="","",INDEX(_events!$K$2:$K$171,MATCH($A255,_events!$A$2:$A$171,0)))</f>
        <v/>
      </c>
    </row>
  </sheetData>
  <sheetProtection sheet="true" formatColumns="false" formatRows="false" sort="false" autoFilter="false"/>
  <autoFilter ref="A5:K255"/>
  <conditionalFormatting sqref="B6:K255">
    <cfRule type="expression" priority="2" aboveAverage="0" equalAverage="0" bottom="0" percent="0" rank="0" text="" dxfId="28">
      <formula>$A6=""</formula>
    </cfRule>
    <cfRule type="expression" priority="3" aboveAverage="0" equalAverage="0" bottom="0" percent="0" rank="0" text="" dxfId="29">
      <formula>AND($A6&lt;&gt;"",MOD(INT(($B6-(ASOF-WEEKDAY(ASOF,3)))/7),2)=1)</formula>
    </cfRule>
  </conditionalFormatting>
  <conditionalFormatting sqref="J6:J255">
    <cfRule type="expression" priority="4" aboveAverage="0" equalAverage="0" bottom="0" percent="0" rank="0" text="" dxfId="30">
      <formula>J6="นัดแล้ว"</formula>
    </cfRule>
  </conditionalFormatting>
  <conditionalFormatting sqref="C6:C255">
    <cfRule type="expression" priority="5" aboveAverage="0" equalAverage="0" bottom="0" percent="0" rank="0" text="" dxfId="31">
      <formula>ISNUMBER(SEARCH("COD",C6))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5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8" min="7" style="0" width="7"/>
    <col collapsed="false" customWidth="true" hidden="false" outlineLevel="0" max="9" min="9" style="0" width="15"/>
    <col collapsed="false" customWidth="true" hidden="false" outlineLevel="0" max="13" min="10" style="0" width="7"/>
    <col collapsed="false" customWidth="true" hidden="false" outlineLevel="0" max="20" min="14" style="0" width="9"/>
    <col collapsed="false" customWidth="true" hidden="false" outlineLevel="0" max="23" min="21" style="0" width="7"/>
    <col collapsed="false" customWidth="true" hidden="false" outlineLevel="0" max="24" min="24" style="0" width="14"/>
    <col collapsed="false" customWidth="true" hidden="true" outlineLevel="0" max="26" min="26" style="0" width="4"/>
    <col collapsed="false" customWidth="true" hidden="false" outlineLevel="0" max="27" min="27" style="0" width="10"/>
    <col collapsed="false" customWidth="true" hidden="false" outlineLevel="0" max="28" min="28" style="0" width="5"/>
    <col collapsed="false" customWidth="true" hidden="false" outlineLevel="0" max="29" min="29" style="0" width="52"/>
    <col collapsed="false" customWidth="true" hidden="false" outlineLevel="0" max="30" min="30" style="0" width="5"/>
  </cols>
  <sheetData>
    <row r="1" customFormat="false" ht="18.65" hidden="false" customHeight="false" outlineLevel="0" collapsed="false">
      <c r="A1" s="37" t="s">
        <v>576</v>
      </c>
    </row>
    <row r="2" customFormat="false" ht="15" hidden="false" customHeight="false" outlineLevel="0" collapsed="false">
      <c r="A2" s="38" t="s">
        <v>577</v>
      </c>
    </row>
    <row r="3" customFormat="false" ht="15" hidden="false" customHeight="false" outlineLevel="0" collapsed="false">
      <c r="A3" s="64" t="s">
        <v>578</v>
      </c>
    </row>
    <row r="5" customFormat="false" ht="15" hidden="false" customHeight="false" outlineLevel="0" collapsed="false">
      <c r="N5" s="43" t="s">
        <v>579</v>
      </c>
      <c r="O5" s="43"/>
      <c r="P5" s="43"/>
      <c r="Q5" s="43"/>
      <c r="R5" s="43"/>
      <c r="S5" s="43"/>
      <c r="T5" s="43"/>
      <c r="Z5" s="39" t="s">
        <v>580</v>
      </c>
    </row>
    <row r="6" customFormat="false" ht="45.75" hidden="false" customHeight="true" outlineLevel="0" collapsed="false">
      <c r="A6" s="98" t="s">
        <v>581</v>
      </c>
      <c r="B6" s="98" t="s">
        <v>35</v>
      </c>
      <c r="C6" s="98" t="s">
        <v>582</v>
      </c>
      <c r="D6" s="98" t="s">
        <v>583</v>
      </c>
      <c r="E6" s="98" t="s">
        <v>584</v>
      </c>
      <c r="F6" s="98" t="s">
        <v>585</v>
      </c>
      <c r="G6" s="98" t="s">
        <v>586</v>
      </c>
      <c r="H6" s="98" t="s">
        <v>587</v>
      </c>
      <c r="I6" s="98" t="s">
        <v>588</v>
      </c>
      <c r="J6" s="45" t="s">
        <v>527</v>
      </c>
      <c r="K6" s="45" t="s">
        <v>589</v>
      </c>
      <c r="L6" s="98" t="s">
        <v>590</v>
      </c>
      <c r="M6" s="98" t="s">
        <v>591</v>
      </c>
      <c r="N6" s="45" t="s">
        <v>592</v>
      </c>
      <c r="O6" s="45" t="s">
        <v>593</v>
      </c>
      <c r="P6" s="45" t="s">
        <v>594</v>
      </c>
      <c r="Q6" s="45" t="s">
        <v>595</v>
      </c>
      <c r="R6" s="45" t="s">
        <v>596</v>
      </c>
      <c r="S6" s="45" t="s">
        <v>597</v>
      </c>
      <c r="T6" s="45" t="s">
        <v>598</v>
      </c>
      <c r="U6" s="45" t="s">
        <v>599</v>
      </c>
      <c r="V6" s="45" t="s">
        <v>600</v>
      </c>
      <c r="W6" s="45" t="s">
        <v>601</v>
      </c>
      <c r="X6" s="98" t="s">
        <v>602</v>
      </c>
      <c r="Z6" s="99" t="s">
        <v>603</v>
      </c>
      <c r="AA6" s="100" t="s">
        <v>584</v>
      </c>
      <c r="AB6" s="100" t="s">
        <v>604</v>
      </c>
      <c r="AC6" s="100" t="s">
        <v>605</v>
      </c>
      <c r="AD6" s="99" t="s">
        <v>606</v>
      </c>
    </row>
    <row r="7" customFormat="false" ht="19.5" hidden="false" customHeight="true" outlineLevel="0" collapsed="false">
      <c r="A7" s="101" t="s">
        <v>607</v>
      </c>
      <c r="B7" s="102" t="s">
        <v>608</v>
      </c>
      <c r="C7" s="103" t="n">
        <f aca="false">COUNTIFS($A$8:$A$11,"P9-001",$E$8:$E$11,"?*")</f>
        <v>2</v>
      </c>
      <c r="D7" s="104" t="str">
        <f aca="false">IF(COUNTIFS($A$8:$A$11,"P9-001",$E$8:$E$11,"?*")=0,"ประมาณการ, ยังไม่สำรวจ — กรอกจุดจริงด้านล่าง (% 2.1–2.3 จะคิดรายจุดอัตโนมัติ)",SUBSTITUTE(IF(COUNTIFS($A$8:$A$11,"P9-001",$E$8:$E$11,"หลังคาลอนคู่")&gt;0,"ลอนคู่ "&amp;COUNTIFS($A$8:$A$11,"P9-001",$E$8:$E$11,"หลังคาลอนคู่")&amp;" จุด ("&amp;SUMIFS($F$8:$F$11,$A$8:$A$11,"P9-001",$E$8:$E$11,"หลังคาลอนคู่")&amp;" แผง), ","")&amp;IF(COUNTIFS($A$8:$A$11,"P9-001",$E$8:$E$11,"หลังคาเมทัลชีท")&gt;0,"เมทัลชีท "&amp;COUNTIFS($A$8:$A$11,"P9-001",$E$8:$E$11,"หลังคาเมทัลชีท")&amp;" จุด ("&amp;SUMIFS($F$8:$F$11,$A$8:$A$11,"P9-001",$E$8:$E$11,"หลังคาเมทัลชีท")&amp;" แผง), ","")&amp;IF(COUNTIFS($A$8:$A$11,"P9-001",$E$8:$E$11,"หลังคา")&gt;0,"หลังคา(ไม่ระบุวัสดุ) "&amp;COUNTIFS($A$8:$A$11,"P9-001",$E$8:$E$11,"หลังคา")&amp;" จุด ("&amp;SUMIFS($F$8:$F$11,$A$8:$A$11,"P9-001",$E$8:$E$11,"หลังคา")&amp;" แผง), ","")&amp;IF(COUNTIFS($A$8:$A$11,"P9-001",$E$8:$E$11,"ถังน้ำใส")&gt;0,"ถังน้ำใส "&amp;COUNTIFS($A$8:$A$11,"P9-001",$E$8:$E$11,"ถังน้ำใส")&amp;" จุด ("&amp;SUMIFS($F$8:$F$11,$A$8:$A$11,"P9-001",$E$8:$E$11,"ถังน้ำใส")&amp;" แผง), ","")&amp;IF(COUNTIFS($A$8:$A$11,"P9-001",$E$8:$E$11,"ถังดินกลบ")&gt;0,"ถังดินกลบ "&amp;COUNTIFS($A$8:$A$11,"P9-001",$E$8:$E$11,"ถังดินกลบ")&amp;" จุด ("&amp;SUMIFS($F$8:$F$11,$A$8:$A$11,"P9-001",$E$8:$E$11,"ถังดินกลบ")&amp;" แผง), ","")&amp;IF(COUNTIFS($A$8:$A$11,"P9-001",$E$8:$E$11,"Carport")&gt;0,"Carport "&amp;COUNTIFS($A$8:$A$11,"P9-001",$E$8:$E$11,"Carport")&amp;" จุด ("&amp;SUMIFS($F$8:$F$11,$A$8:$A$11,"P9-001",$E$8:$E$11,"Carport")&amp;" แผง), ","")&amp;"|",", |",""))</f>
        <v>ลอนคู่ 2 จุด (264 แผง)</v>
      </c>
      <c r="E7" s="104"/>
      <c r="F7" s="105" t="n">
        <f aca="false">SUMIF($A$8:$A$11,"P9-001",$F$8:$F$11)</f>
        <v>264</v>
      </c>
      <c r="G7" s="106"/>
      <c r="H7" s="106"/>
      <c r="I7" s="107" t="str">
        <f aca="false">IF(COUNTIFS($A$8:$A$11,"P9-001",$I$8:$I$11,"ติด:*")&gt;0,"บันได "&amp;COUNTIFS($A$8:$A$11,"P9-001",$I$8:$I$11,"ติด:*")&amp;" จุด","")</f>
        <v>บันได 2 จุด</v>
      </c>
      <c r="J7" s="108" t="n">
        <f aca="false">SUMIF($A$8:$A$11,"P9-001",$J$8:$J$11)</f>
        <v>150.48</v>
      </c>
      <c r="K7" s="106"/>
      <c r="L7" s="106"/>
      <c r="M7" s="106"/>
      <c r="N7" s="106" t="str">
        <f aca="false">IF(C7=0,"",COUNTIFS($A$8:$A$11,"P9-001",$N$8:$N$11,"Y")&amp;"/"&amp;C7)</f>
        <v>0/2</v>
      </c>
      <c r="O7" s="106" t="str">
        <f aca="false">IF(C7=0,"",COUNTIFS($A$8:$A$11,"P9-001",$O$8:$O$11,"Y")&amp;"/"&amp;C7)</f>
        <v>0/2</v>
      </c>
      <c r="P7" s="106" t="str">
        <f aca="false">IF(C7=0,"",COUNTIFS($A$8:$A$11,"P9-001",$P$8:$P$11,"Y")&amp;"/"&amp;C7)</f>
        <v>0/2</v>
      </c>
      <c r="Q7" s="106" t="str">
        <f aca="false">IF(C7=0,"",COUNTIFS($A$8:$A$11,"P9-001",$Q$8:$Q$11,"Y")&amp;"/"&amp;C7)</f>
        <v>0/2</v>
      </c>
      <c r="R7" s="106" t="str">
        <f aca="false">IF(C7=0,"",COUNTIFS($A$8:$A$11,"P9-001",$R$8:$R$11,"Y")&amp;"/"&amp;C7)</f>
        <v>0/2</v>
      </c>
      <c r="S7" s="106" t="str">
        <f aca="false">IF(C7=0,"",COUNTIFS($A$8:$A$11,"P9-001",$S$8:$S$11,"Y")&amp;"/"&amp;C7)</f>
        <v>0/2</v>
      </c>
      <c r="T7" s="106" t="str">
        <f aca="false">IF(C7=0,"",COUNTIFS($A$8:$A$11,"P9-001",$T$8:$T$11,"Y")&amp;"/"&amp;C7)</f>
        <v>0/2</v>
      </c>
      <c r="U7" s="106" t="str">
        <f aca="false">IF(C7=0,"",COUNTIFS($A$8:$A$11,"P9-001",$U$8:$U$11,"Y")&amp;"/"&amp;C7)</f>
        <v>0/2</v>
      </c>
      <c r="V7" s="106" t="str">
        <f aca="false">IF(C7=0,"",COUNTIFS($A$8:$A$11,"P9-001",$V$8:$V$11,"Y")&amp;"/"&amp;C7)</f>
        <v>0/2</v>
      </c>
      <c r="W7" s="109" t="n">
        <f aca="false">SUMPRODUCT($L$8:$L$11,$W$8:$W$11)</f>
        <v>0</v>
      </c>
      <c r="X7" s="106"/>
      <c r="Z7" s="55" t="str">
        <f aca="false">AA7&amp;"|"&amp;AB7</f>
        <v>หลังคาลอนคู่|1</v>
      </c>
      <c r="AA7" s="110" t="s">
        <v>609</v>
      </c>
      <c r="AB7" s="55" t="n">
        <v>1</v>
      </c>
      <c r="AC7" s="55" t="s">
        <v>610</v>
      </c>
      <c r="AD7" s="111" t="n">
        <v>5</v>
      </c>
    </row>
    <row r="8" customFormat="false" ht="15" hidden="false" customHeight="false" outlineLevel="1" collapsed="false">
      <c r="A8" s="112" t="s">
        <v>42</v>
      </c>
      <c r="C8" s="113" t="s">
        <v>611</v>
      </c>
      <c r="D8" s="114" t="s">
        <v>612</v>
      </c>
      <c r="E8" s="115" t="s">
        <v>609</v>
      </c>
      <c r="F8" s="116" t="n">
        <v>145</v>
      </c>
      <c r="G8" s="117" t="n">
        <v>6</v>
      </c>
      <c r="H8" s="113"/>
      <c r="I8" s="118" t="str">
        <f aca="false">IF(E8="","",IF(AND(LEFT(E8,6)&lt;&gt;"หลังคา",E8&lt;&gt;"ถังน้ำใส"),"–",IF(H8="Y","มีแล้ว",IF(N(G8)=0,"⚠ กรอกความสูง",IF(G8&lt;LADDER_MIN,"ไม่ต้อง",IF(G8&lt;=8,"ติด: แผ่น 1 ช่วงเดียว","ติด: แผ่น 2 มีชานพัก"))))))</f>
        <v>ติด: แผ่น 1 ช่วงเดียว</v>
      </c>
      <c r="J8" s="119" t="n">
        <f aca="false">IF(N(F8)&gt;0,F8*0.57,0)</f>
        <v>82.65</v>
      </c>
      <c r="K8" s="120" t="n">
        <f aca="false">IF(E8="",0,J8*IFERROR(VLOOKUP(E8,MOUNT_EFFORT,2,0),1))</f>
        <v>90.915</v>
      </c>
      <c r="L8" s="121" t="n">
        <f aca="false">IF(K8=0,0,K8/SUMIF($A$7:$A$137,A8,$K$7:$K$137))</f>
        <v>0.549242424242424</v>
      </c>
      <c r="M8" s="121" t="n">
        <f aca="false">IF(E8="",0,J8/SUMIFS($J$7:$J$137,$A$7:$A$137,A8,$E$7:$E$137,"?*"))</f>
        <v>0.549242424242424</v>
      </c>
      <c r="N8" s="113"/>
      <c r="O8" s="113"/>
      <c r="P8" s="113"/>
      <c r="Q8" s="113"/>
      <c r="R8" s="113"/>
      <c r="S8" s="113"/>
      <c r="T8" s="113"/>
      <c r="U8" s="113"/>
      <c r="V8" s="113"/>
      <c r="W8" s="121" t="n">
        <f aca="false">IF(E8="",0,((N8="Y")*IFERROR(VLOOKUP(E8&amp;"|1",MOUNT_TBL,5,0),0)+(O8="Y")*IFERROR(VLOOKUP(E8&amp;"|2",MOUNT_TBL,5,0),0)+(P8="Y")*IFERROR(VLOOKUP(E8&amp;"|3",MOUNT_TBL,5,0),0)+(Q8="Y")*IFERROR(VLOOKUP(E8&amp;"|4",MOUNT_TBL,5,0),0)+(R8="Y")*IFERROR(VLOOKUP(E8&amp;"|5",MOUNT_TBL,5,0),0)+(S8="Y")*IFERROR(VLOOKUP(E8&amp;"|6",MOUNT_TBL,5,0),0)+(T8="Y")*IFERROR(VLOOKUP(E8&amp;"|7",MOUNT_TBL,5,0),0))/100)</f>
        <v>0</v>
      </c>
      <c r="X8" s="114" t="s">
        <v>613</v>
      </c>
      <c r="Z8" s="55" t="str">
        <f aca="false">AA8&amp;"|"&amp;AB8</f>
        <v>หลังคาลอนคู่|2</v>
      </c>
      <c r="AA8" s="55" t="s">
        <v>609</v>
      </c>
      <c r="AB8" s="55" t="n">
        <v>2</v>
      </c>
      <c r="AC8" s="55" t="s">
        <v>614</v>
      </c>
      <c r="AD8" s="111" t="n">
        <v>15</v>
      </c>
    </row>
    <row r="9" customFormat="false" ht="15" hidden="false" customHeight="false" outlineLevel="1" collapsed="false">
      <c r="A9" s="112" t="s">
        <v>42</v>
      </c>
      <c r="C9" s="113" t="s">
        <v>615</v>
      </c>
      <c r="D9" s="114" t="s">
        <v>616</v>
      </c>
      <c r="E9" s="115" t="s">
        <v>609</v>
      </c>
      <c r="F9" s="116" t="n">
        <v>119</v>
      </c>
      <c r="G9" s="117" t="n">
        <v>4</v>
      </c>
      <c r="H9" s="113"/>
      <c r="I9" s="118" t="str">
        <f aca="false">IF(E9="","",IF(AND(LEFT(E9,6)&lt;&gt;"หลังคา",E9&lt;&gt;"ถังน้ำใส"),"–",IF(H9="Y","มีแล้ว",IF(N(G9)=0,"⚠ กรอกความสูง",IF(G9&lt;LADDER_MIN,"ไม่ต้อง",IF(G9&lt;=8,"ติด: แผ่น 1 ช่วงเดียว","ติด: แผ่น 2 มีชานพัก"))))))</f>
        <v>ติด: แผ่น 1 ช่วงเดียว</v>
      </c>
      <c r="J9" s="119" t="n">
        <f aca="false">IF(N(F9)&gt;0,F9*0.57,0)</f>
        <v>67.83</v>
      </c>
      <c r="K9" s="120" t="n">
        <f aca="false">IF(E9="",0,J9*IFERROR(VLOOKUP(E9,MOUNT_EFFORT,2,0),1))</f>
        <v>74.613</v>
      </c>
      <c r="L9" s="121" t="n">
        <f aca="false">IF(K9=0,0,K9/SUMIF($A$7:$A$137,A9,$K$7:$K$137))</f>
        <v>0.450757575757576</v>
      </c>
      <c r="M9" s="121" t="n">
        <f aca="false">IF(E9="",0,J9/SUMIFS($J$7:$J$137,$A$7:$A$137,A9,$E$7:$E$137,"?*"))</f>
        <v>0.450757575757576</v>
      </c>
      <c r="N9" s="113"/>
      <c r="O9" s="113"/>
      <c r="P9" s="113"/>
      <c r="Q9" s="113"/>
      <c r="R9" s="113"/>
      <c r="S9" s="113"/>
      <c r="T9" s="113"/>
      <c r="U9" s="113"/>
      <c r="V9" s="113"/>
      <c r="W9" s="121" t="n">
        <f aca="false">IF(E9="",0,((N9="Y")*IFERROR(VLOOKUP(E9&amp;"|1",MOUNT_TBL,5,0),0)+(O9="Y")*IFERROR(VLOOKUP(E9&amp;"|2",MOUNT_TBL,5,0),0)+(P9="Y")*IFERROR(VLOOKUP(E9&amp;"|3",MOUNT_TBL,5,0),0)+(Q9="Y")*IFERROR(VLOOKUP(E9&amp;"|4",MOUNT_TBL,5,0),0)+(R9="Y")*IFERROR(VLOOKUP(E9&amp;"|5",MOUNT_TBL,5,0),0)+(S9="Y")*IFERROR(VLOOKUP(E9&amp;"|6",MOUNT_TBL,5,0),0)+(T9="Y")*IFERROR(VLOOKUP(E9&amp;"|7",MOUNT_TBL,5,0),0))/100)</f>
        <v>0</v>
      </c>
      <c r="X9" s="114" t="s">
        <v>613</v>
      </c>
      <c r="Z9" s="55" t="str">
        <f aca="false">AA9&amp;"|"&amp;AB9</f>
        <v>หลังคาลอนคู่|3</v>
      </c>
      <c r="AA9" s="55" t="s">
        <v>609</v>
      </c>
      <c r="AB9" s="55" t="n">
        <v>3</v>
      </c>
      <c r="AC9" s="61" t="s">
        <v>617</v>
      </c>
      <c r="AD9" s="111" t="n">
        <v>25</v>
      </c>
    </row>
    <row r="10" customFormat="false" ht="15" hidden="false" customHeight="false" outlineLevel="1" collapsed="false">
      <c r="A10" s="112" t="s">
        <v>42</v>
      </c>
      <c r="C10" s="113"/>
      <c r="D10" s="60"/>
      <c r="E10" s="115"/>
      <c r="F10" s="116"/>
      <c r="G10" s="117"/>
      <c r="H10" s="113"/>
      <c r="I10" s="118" t="str">
        <f aca="false">IF(E10="","",IF(AND(LEFT(E10,6)&lt;&gt;"หลังคา",E10&lt;&gt;"ถังน้ำใส"),"–",IF(H10="Y","มีแล้ว",IF(N(G10)=0,"⚠ กรอกความสูง",IF(G10&lt;LADDER_MIN,"ไม่ต้อง",IF(G10&lt;=8,"ติด: แผ่น 1 ช่วงเดียว","ติด: แผ่น 2 มีชานพัก"))))))</f>
        <v/>
      </c>
      <c r="J10" s="119" t="n">
        <f aca="false">IF(N(F10)&gt;0,F10*0.57,0)</f>
        <v>0</v>
      </c>
      <c r="K10" s="120" t="n">
        <f aca="false">IF(E10="",0,J10*IFERROR(VLOOKUP(E10,MOUNT_EFFORT,2,0),1))</f>
        <v>0</v>
      </c>
      <c r="L10" s="121" t="n">
        <f aca="false">IF(K10=0,0,K10/SUMIF($A$7:$A$137,A10,$K$7:$K$137))</f>
        <v>0</v>
      </c>
      <c r="M10" s="121" t="n">
        <f aca="false">IF(E10="",0,J10/SUMIFS($J$7:$J$137,$A$7:$A$137,A10,$E$7:$E$137,"?*"))</f>
        <v>0</v>
      </c>
      <c r="N10" s="113"/>
      <c r="O10" s="113"/>
      <c r="P10" s="113"/>
      <c r="Q10" s="113"/>
      <c r="R10" s="113"/>
      <c r="S10" s="113"/>
      <c r="T10" s="113"/>
      <c r="U10" s="113"/>
      <c r="V10" s="113"/>
      <c r="W10" s="121" t="n">
        <f aca="false">IF(E10="",0,((N10="Y")*IFERROR(VLOOKUP(E10&amp;"|1",MOUNT_TBL,5,0),0)+(O10="Y")*IFERROR(VLOOKUP(E10&amp;"|2",MOUNT_TBL,5,0),0)+(P10="Y")*IFERROR(VLOOKUP(E10&amp;"|3",MOUNT_TBL,5,0),0)+(Q10="Y")*IFERROR(VLOOKUP(E10&amp;"|4",MOUNT_TBL,5,0),0)+(R10="Y")*IFERROR(VLOOKUP(E10&amp;"|5",MOUNT_TBL,5,0),0)+(S10="Y")*IFERROR(VLOOKUP(E10&amp;"|6",MOUNT_TBL,5,0),0)+(T10="Y")*IFERROR(VLOOKUP(E10&amp;"|7",MOUNT_TBL,5,0),0))/100)</f>
        <v>0</v>
      </c>
      <c r="X10" s="60"/>
      <c r="Z10" s="55" t="str">
        <f aca="false">AA10&amp;"|"&amp;AB10</f>
        <v>หลังคาลอนคู่|4</v>
      </c>
      <c r="AA10" s="55" t="s">
        <v>609</v>
      </c>
      <c r="AB10" s="55" t="n">
        <v>4</v>
      </c>
      <c r="AC10" s="61" t="s">
        <v>618</v>
      </c>
      <c r="AD10" s="111" t="n">
        <v>25</v>
      </c>
    </row>
    <row r="11" customFormat="false" ht="15" hidden="false" customHeight="false" outlineLevel="1" collapsed="false">
      <c r="A11" s="112" t="s">
        <v>42</v>
      </c>
      <c r="C11" s="113"/>
      <c r="D11" s="60"/>
      <c r="E11" s="115"/>
      <c r="F11" s="116"/>
      <c r="G11" s="117"/>
      <c r="H11" s="113"/>
      <c r="I11" s="118" t="str">
        <f aca="false">IF(E11="","",IF(AND(LEFT(E11,6)&lt;&gt;"หลังคา",E11&lt;&gt;"ถังน้ำใส"),"–",IF(H11="Y","มีแล้ว",IF(N(G11)=0,"⚠ กรอกความสูง",IF(G11&lt;LADDER_MIN,"ไม่ต้อง",IF(G11&lt;=8,"ติด: แผ่น 1 ช่วงเดียว","ติด: แผ่น 2 มีชานพัก"))))))</f>
        <v/>
      </c>
      <c r="J11" s="119" t="n">
        <f aca="false">IF(N(F11)&gt;0,F11*0.57,0)</f>
        <v>0</v>
      </c>
      <c r="K11" s="120" t="n">
        <f aca="false">IF(E11="",0,J11*IFERROR(VLOOKUP(E11,MOUNT_EFFORT,2,0),1))</f>
        <v>0</v>
      </c>
      <c r="L11" s="121" t="n">
        <f aca="false">IF(K11=0,0,K11/SUMIF($A$7:$A$137,A11,$K$7:$K$137))</f>
        <v>0</v>
      </c>
      <c r="M11" s="121" t="n">
        <f aca="false">IF(E11="",0,J11/SUMIFS($J$7:$J$137,$A$7:$A$137,A11,$E$7:$E$137,"?*"))</f>
        <v>0</v>
      </c>
      <c r="N11" s="113"/>
      <c r="O11" s="113"/>
      <c r="P11" s="113"/>
      <c r="Q11" s="113"/>
      <c r="R11" s="113"/>
      <c r="S11" s="113"/>
      <c r="T11" s="113"/>
      <c r="U11" s="113"/>
      <c r="V11" s="113"/>
      <c r="W11" s="121" t="n">
        <f aca="false">IF(E11="",0,((N11="Y")*IFERROR(VLOOKUP(E11&amp;"|1",MOUNT_TBL,5,0),0)+(O11="Y")*IFERROR(VLOOKUP(E11&amp;"|2",MOUNT_TBL,5,0),0)+(P11="Y")*IFERROR(VLOOKUP(E11&amp;"|3",MOUNT_TBL,5,0),0)+(Q11="Y")*IFERROR(VLOOKUP(E11&amp;"|4",MOUNT_TBL,5,0),0)+(R11="Y")*IFERROR(VLOOKUP(E11&amp;"|5",MOUNT_TBL,5,0),0)+(S11="Y")*IFERROR(VLOOKUP(E11&amp;"|6",MOUNT_TBL,5,0),0)+(T11="Y")*IFERROR(VLOOKUP(E11&amp;"|7",MOUNT_TBL,5,0),0))/100)</f>
        <v>0</v>
      </c>
      <c r="X11" s="60"/>
      <c r="Z11" s="55" t="str">
        <f aca="false">AA11&amp;"|"&amp;AB11</f>
        <v>หลังคาลอนคู่|5</v>
      </c>
      <c r="AA11" s="55" t="s">
        <v>609</v>
      </c>
      <c r="AB11" s="55" t="n">
        <v>5</v>
      </c>
      <c r="AC11" s="61" t="s">
        <v>619</v>
      </c>
      <c r="AD11" s="111" t="n">
        <v>15</v>
      </c>
    </row>
    <row r="12" customFormat="false" ht="19.5" hidden="false" customHeight="true" outlineLevel="0" collapsed="false">
      <c r="A12" s="101" t="s">
        <v>620</v>
      </c>
      <c r="B12" s="102" t="s">
        <v>621</v>
      </c>
      <c r="C12" s="103" t="n">
        <f aca="false">COUNTIFS($A$13:$A$16,"P9-002",$E$13:$E$16,"?*")</f>
        <v>2</v>
      </c>
      <c r="D12" s="104" t="str">
        <f aca="false">IF(COUNTIFS($A$13:$A$16,"P9-002",$E$13:$E$16,"?*")=0,"ประมาณการ, ยังไม่สำรวจ — กรอกจุดจริงด้านล่าง (% 2.1–2.3 จะคิดรายจุดอัตโนมัติ)",SUBSTITUTE(IF(COUNTIFS($A$13:$A$16,"P9-002",$E$13:$E$16,"หลังคาลอนคู่")&gt;0,"ลอนคู่ "&amp;COUNTIFS($A$13:$A$16,"P9-002",$E$13:$E$16,"หลังคาลอนคู่")&amp;" จุด ("&amp;SUMIFS($F$13:$F$16,$A$13:$A$16,"P9-002",$E$13:$E$16,"หลังคาลอนคู่")&amp;" แผง), ","")&amp;IF(COUNTIFS($A$13:$A$16,"P9-002",$E$13:$E$16,"หลังคาเมทัลชีท")&gt;0,"เมทัลชีท "&amp;COUNTIFS($A$13:$A$16,"P9-002",$E$13:$E$16,"หลังคาเมทัลชีท")&amp;" จุด ("&amp;SUMIFS($F$13:$F$16,$A$13:$A$16,"P9-002",$E$13:$E$16,"หลังคาเมทัลชีท")&amp;" แผง), ","")&amp;IF(COUNTIFS($A$13:$A$16,"P9-002",$E$13:$E$16,"หลังคา")&gt;0,"หลังคา(ไม่ระบุวัสดุ) "&amp;COUNTIFS($A$13:$A$16,"P9-002",$E$13:$E$16,"หลังคา")&amp;" จุด ("&amp;SUMIFS($F$13:$F$16,$A$13:$A$16,"P9-002",$E$13:$E$16,"หลังคา")&amp;" แผง), ","")&amp;IF(COUNTIFS($A$13:$A$16,"P9-002",$E$13:$E$16,"ถังน้ำใส")&gt;0,"ถังน้ำใส "&amp;COUNTIFS($A$13:$A$16,"P9-002",$E$13:$E$16,"ถังน้ำใส")&amp;" จุด ("&amp;SUMIFS($F$13:$F$16,$A$13:$A$16,"P9-002",$E$13:$E$16,"ถังน้ำใส")&amp;" แผง), ","")&amp;IF(COUNTIFS($A$13:$A$16,"P9-002",$E$13:$E$16,"ถังดินกลบ")&gt;0,"ถังดินกลบ "&amp;COUNTIFS($A$13:$A$16,"P9-002",$E$13:$E$16,"ถังดินกลบ")&amp;" จุด ("&amp;SUMIFS($F$13:$F$16,$A$13:$A$16,"P9-002",$E$13:$E$16,"ถังดินกลบ")&amp;" แผง), ","")&amp;IF(COUNTIFS($A$13:$A$16,"P9-002",$E$13:$E$16,"Carport")&gt;0,"Carport "&amp;COUNTIFS($A$13:$A$16,"P9-002",$E$13:$E$16,"Carport")&amp;" จุด ("&amp;SUMIFS($F$13:$F$16,$A$13:$A$16,"P9-002",$E$13:$E$16,"Carport")&amp;" แผง), ","")&amp;"|",", |",""))</f>
        <v>ลอนคู่ 2 จุด (492 แผง)</v>
      </c>
      <c r="E12" s="104"/>
      <c r="F12" s="105" t="n">
        <f aca="false">SUMIF($A$13:$A$16,"P9-002",$F$13:$F$16)</f>
        <v>492</v>
      </c>
      <c r="G12" s="106"/>
      <c r="H12" s="106"/>
      <c r="I12" s="107" t="str">
        <f aca="false">IF(COUNTIFS($A$13:$A$16,"P9-002",$I$13:$I$16,"ติด:*")&gt;0,"บันได "&amp;COUNTIFS($A$13:$A$16,"P9-002",$I$13:$I$16,"ติด:*")&amp;" จุด","")</f>
        <v>บันได 2 จุด</v>
      </c>
      <c r="J12" s="108" t="n">
        <f aca="false">SUMIF($A$13:$A$16,"P9-002",$J$13:$J$16)</f>
        <v>280.44</v>
      </c>
      <c r="K12" s="106"/>
      <c r="L12" s="106"/>
      <c r="M12" s="106"/>
      <c r="N12" s="106" t="str">
        <f aca="false">IF(C12=0,"",COUNTIFS($A$13:$A$16,"P9-002",$N$13:$N$16,"Y")&amp;"/"&amp;C12)</f>
        <v>0/2</v>
      </c>
      <c r="O12" s="106" t="str">
        <f aca="false">IF(C12=0,"",COUNTIFS($A$13:$A$16,"P9-002",$O$13:$O$16,"Y")&amp;"/"&amp;C12)</f>
        <v>0/2</v>
      </c>
      <c r="P12" s="106" t="str">
        <f aca="false">IF(C12=0,"",COUNTIFS($A$13:$A$16,"P9-002",$P$13:$P$16,"Y")&amp;"/"&amp;C12)</f>
        <v>0/2</v>
      </c>
      <c r="Q12" s="106" t="str">
        <f aca="false">IF(C12=0,"",COUNTIFS($A$13:$A$16,"P9-002",$Q$13:$Q$16,"Y")&amp;"/"&amp;C12)</f>
        <v>0/2</v>
      </c>
      <c r="R12" s="106" t="str">
        <f aca="false">IF(C12=0,"",COUNTIFS($A$13:$A$16,"P9-002",$R$13:$R$16,"Y")&amp;"/"&amp;C12)</f>
        <v>0/2</v>
      </c>
      <c r="S12" s="106" t="str">
        <f aca="false">IF(C12=0,"",COUNTIFS($A$13:$A$16,"P9-002",$S$13:$S$16,"Y")&amp;"/"&amp;C12)</f>
        <v>0/2</v>
      </c>
      <c r="T12" s="106" t="str">
        <f aca="false">IF(C12=0,"",COUNTIFS($A$13:$A$16,"P9-002",$T$13:$T$16,"Y")&amp;"/"&amp;C12)</f>
        <v>0/2</v>
      </c>
      <c r="U12" s="106" t="str">
        <f aca="false">IF(C12=0,"",COUNTIFS($A$13:$A$16,"P9-002",$U$13:$U$16,"Y")&amp;"/"&amp;C12)</f>
        <v>0/2</v>
      </c>
      <c r="V12" s="106" t="str">
        <f aca="false">IF(C12=0,"",COUNTIFS($A$13:$A$16,"P9-002",$V$13:$V$16,"Y")&amp;"/"&amp;C12)</f>
        <v>0/2</v>
      </c>
      <c r="W12" s="109" t="n">
        <f aca="false">SUMPRODUCT($L$13:$L$16,$W$13:$W$16)</f>
        <v>0</v>
      </c>
      <c r="X12" s="106"/>
      <c r="Z12" s="55" t="str">
        <f aca="false">AA12&amp;"|"&amp;AB12</f>
        <v>หลังคาลอนคู่|6</v>
      </c>
      <c r="AA12" s="55" t="s">
        <v>609</v>
      </c>
      <c r="AB12" s="55" t="n">
        <v>6</v>
      </c>
      <c r="AC12" s="55" t="s">
        <v>622</v>
      </c>
      <c r="AD12" s="111" t="n">
        <v>5</v>
      </c>
    </row>
    <row r="13" customFormat="false" ht="15" hidden="false" customHeight="false" outlineLevel="1" collapsed="false">
      <c r="A13" s="112" t="s">
        <v>46</v>
      </c>
      <c r="C13" s="113" t="s">
        <v>611</v>
      </c>
      <c r="D13" s="114" t="s">
        <v>612</v>
      </c>
      <c r="E13" s="115" t="s">
        <v>609</v>
      </c>
      <c r="F13" s="116" t="n">
        <v>271</v>
      </c>
      <c r="G13" s="117" t="n">
        <v>6</v>
      </c>
      <c r="H13" s="113"/>
      <c r="I13" s="118" t="str">
        <f aca="false">IF(E13="","",IF(AND(LEFT(E13,6)&lt;&gt;"หลังคา",E13&lt;&gt;"ถังน้ำใส"),"–",IF(H13="Y","มีแล้ว",IF(N(G13)=0,"⚠ กรอกความสูง",IF(G13&lt;LADDER_MIN,"ไม่ต้อง",IF(G13&lt;=8,"ติด: แผ่น 1 ช่วงเดียว","ติด: แผ่น 2 มีชานพัก"))))))</f>
        <v>ติด: แผ่น 1 ช่วงเดียว</v>
      </c>
      <c r="J13" s="119" t="n">
        <f aca="false">IF(N(F13)&gt;0,F13*0.57,0)</f>
        <v>154.47</v>
      </c>
      <c r="K13" s="120" t="n">
        <f aca="false">IF(E13="",0,J13*IFERROR(VLOOKUP(E13,MOUNT_EFFORT,2,0),1))</f>
        <v>169.917</v>
      </c>
      <c r="L13" s="121" t="n">
        <f aca="false">IF(K13=0,0,K13/SUMIF($A$7:$A$137,A13,$K$7:$K$137))</f>
        <v>0.550813008130081</v>
      </c>
      <c r="M13" s="121" t="n">
        <f aca="false">IF(E13="",0,J13/SUMIFS($J$7:$J$137,$A$7:$A$137,A13,$E$7:$E$137,"?*"))</f>
        <v>0.550813008130081</v>
      </c>
      <c r="N13" s="113"/>
      <c r="O13" s="113"/>
      <c r="P13" s="113"/>
      <c r="Q13" s="113"/>
      <c r="R13" s="113"/>
      <c r="S13" s="113"/>
      <c r="T13" s="113"/>
      <c r="U13" s="113"/>
      <c r="V13" s="113"/>
      <c r="W13" s="121" t="n">
        <f aca="false">IF(E13="",0,((N13="Y")*IFERROR(VLOOKUP(E13&amp;"|1",MOUNT_TBL,5,0),0)+(O13="Y")*IFERROR(VLOOKUP(E13&amp;"|2",MOUNT_TBL,5,0),0)+(P13="Y")*IFERROR(VLOOKUP(E13&amp;"|3",MOUNT_TBL,5,0),0)+(Q13="Y")*IFERROR(VLOOKUP(E13&amp;"|4",MOUNT_TBL,5,0),0)+(R13="Y")*IFERROR(VLOOKUP(E13&amp;"|5",MOUNT_TBL,5,0),0)+(S13="Y")*IFERROR(VLOOKUP(E13&amp;"|6",MOUNT_TBL,5,0),0)+(T13="Y")*IFERROR(VLOOKUP(E13&amp;"|7",MOUNT_TBL,5,0),0))/100)</f>
        <v>0</v>
      </c>
      <c r="X13" s="114" t="s">
        <v>613</v>
      </c>
      <c r="Z13" s="55" t="str">
        <f aca="false">AA13&amp;"|"&amp;AB13</f>
        <v>หลังคาลอนคู่|7</v>
      </c>
      <c r="AA13" s="55" t="s">
        <v>609</v>
      </c>
      <c r="AB13" s="55" t="n">
        <v>7</v>
      </c>
      <c r="AC13" s="61" t="s">
        <v>623</v>
      </c>
      <c r="AD13" s="111" t="n">
        <v>10</v>
      </c>
    </row>
    <row r="14" customFormat="false" ht="15" hidden="false" customHeight="false" outlineLevel="1" collapsed="false">
      <c r="A14" s="112" t="s">
        <v>46</v>
      </c>
      <c r="C14" s="113" t="s">
        <v>615</v>
      </c>
      <c r="D14" s="114" t="s">
        <v>616</v>
      </c>
      <c r="E14" s="115" t="s">
        <v>609</v>
      </c>
      <c r="F14" s="116" t="n">
        <v>221</v>
      </c>
      <c r="G14" s="117" t="n">
        <v>4</v>
      </c>
      <c r="H14" s="113"/>
      <c r="I14" s="118" t="str">
        <f aca="false">IF(E14="","",IF(AND(LEFT(E14,6)&lt;&gt;"หลังคา",E14&lt;&gt;"ถังน้ำใส"),"–",IF(H14="Y","มีแล้ว",IF(N(G14)=0,"⚠ กรอกความสูง",IF(G14&lt;LADDER_MIN,"ไม่ต้อง",IF(G14&lt;=8,"ติด: แผ่น 1 ช่วงเดียว","ติด: แผ่น 2 มีชานพัก"))))))</f>
        <v>ติด: แผ่น 1 ช่วงเดียว</v>
      </c>
      <c r="J14" s="119" t="n">
        <f aca="false">IF(N(F14)&gt;0,F14*0.57,0)</f>
        <v>125.97</v>
      </c>
      <c r="K14" s="120" t="n">
        <f aca="false">IF(E14="",0,J14*IFERROR(VLOOKUP(E14,MOUNT_EFFORT,2,0),1))</f>
        <v>138.567</v>
      </c>
      <c r="L14" s="121" t="n">
        <f aca="false">IF(K14=0,0,K14/SUMIF($A$7:$A$137,A14,$K$7:$K$137))</f>
        <v>0.449186991869919</v>
      </c>
      <c r="M14" s="121" t="n">
        <f aca="false">IF(E14="",0,J14/SUMIFS($J$7:$J$137,$A$7:$A$137,A14,$E$7:$E$137,"?*"))</f>
        <v>0.449186991869919</v>
      </c>
      <c r="N14" s="113"/>
      <c r="O14" s="113"/>
      <c r="P14" s="113"/>
      <c r="Q14" s="113"/>
      <c r="R14" s="113"/>
      <c r="S14" s="113"/>
      <c r="T14" s="113"/>
      <c r="U14" s="113"/>
      <c r="V14" s="113"/>
      <c r="W14" s="121" t="n">
        <f aca="false">IF(E14="",0,((N14="Y")*IFERROR(VLOOKUP(E14&amp;"|1",MOUNT_TBL,5,0),0)+(O14="Y")*IFERROR(VLOOKUP(E14&amp;"|2",MOUNT_TBL,5,0),0)+(P14="Y")*IFERROR(VLOOKUP(E14&amp;"|3",MOUNT_TBL,5,0),0)+(Q14="Y")*IFERROR(VLOOKUP(E14&amp;"|4",MOUNT_TBL,5,0),0)+(R14="Y")*IFERROR(VLOOKUP(E14&amp;"|5",MOUNT_TBL,5,0),0)+(S14="Y")*IFERROR(VLOOKUP(E14&amp;"|6",MOUNT_TBL,5,0),0)+(T14="Y")*IFERROR(VLOOKUP(E14&amp;"|7",MOUNT_TBL,5,0),0))/100)</f>
        <v>0</v>
      </c>
      <c r="X14" s="114" t="s">
        <v>613</v>
      </c>
      <c r="Z14" s="55" t="str">
        <f aca="false">AA14&amp;"|"&amp;AB14</f>
        <v>หลังคาเมทัลชีท|1</v>
      </c>
      <c r="AA14" s="110" t="s">
        <v>624</v>
      </c>
      <c r="AB14" s="55" t="n">
        <v>1</v>
      </c>
      <c r="AC14" s="55" t="s">
        <v>625</v>
      </c>
      <c r="AD14" s="111" t="n">
        <v>5</v>
      </c>
    </row>
    <row r="15" customFormat="false" ht="15" hidden="false" customHeight="false" outlineLevel="1" collapsed="false">
      <c r="A15" s="112" t="s">
        <v>46</v>
      </c>
      <c r="C15" s="113"/>
      <c r="D15" s="60"/>
      <c r="E15" s="115"/>
      <c r="F15" s="116"/>
      <c r="G15" s="117"/>
      <c r="H15" s="113"/>
      <c r="I15" s="118" t="str">
        <f aca="false">IF(E15="","",IF(AND(LEFT(E15,6)&lt;&gt;"หลังคา",E15&lt;&gt;"ถังน้ำใส"),"–",IF(H15="Y","มีแล้ว",IF(N(G15)=0,"⚠ กรอกความสูง",IF(G15&lt;LADDER_MIN,"ไม่ต้อง",IF(G15&lt;=8,"ติด: แผ่น 1 ช่วงเดียว","ติด: แผ่น 2 มีชานพัก"))))))</f>
        <v/>
      </c>
      <c r="J15" s="119" t="n">
        <f aca="false">IF(N(F15)&gt;0,F15*0.57,0)</f>
        <v>0</v>
      </c>
      <c r="K15" s="120" t="n">
        <f aca="false">IF(E15="",0,J15*IFERROR(VLOOKUP(E15,MOUNT_EFFORT,2,0),1))</f>
        <v>0</v>
      </c>
      <c r="L15" s="121" t="n">
        <f aca="false">IF(K15=0,0,K15/SUMIF($A$7:$A$137,A15,$K$7:$K$137))</f>
        <v>0</v>
      </c>
      <c r="M15" s="121" t="n">
        <f aca="false">IF(E15="",0,J15/SUMIFS($J$7:$J$137,$A$7:$A$137,A15,$E$7:$E$137,"?*"))</f>
        <v>0</v>
      </c>
      <c r="N15" s="113"/>
      <c r="O15" s="113"/>
      <c r="P15" s="113"/>
      <c r="Q15" s="113"/>
      <c r="R15" s="113"/>
      <c r="S15" s="113"/>
      <c r="T15" s="113"/>
      <c r="U15" s="113"/>
      <c r="V15" s="113"/>
      <c r="W15" s="121" t="n">
        <f aca="false">IF(E15="",0,((N15="Y")*IFERROR(VLOOKUP(E15&amp;"|1",MOUNT_TBL,5,0),0)+(O15="Y")*IFERROR(VLOOKUP(E15&amp;"|2",MOUNT_TBL,5,0),0)+(P15="Y")*IFERROR(VLOOKUP(E15&amp;"|3",MOUNT_TBL,5,0),0)+(Q15="Y")*IFERROR(VLOOKUP(E15&amp;"|4",MOUNT_TBL,5,0),0)+(R15="Y")*IFERROR(VLOOKUP(E15&amp;"|5",MOUNT_TBL,5,0),0)+(S15="Y")*IFERROR(VLOOKUP(E15&amp;"|6",MOUNT_TBL,5,0),0)+(T15="Y")*IFERROR(VLOOKUP(E15&amp;"|7",MOUNT_TBL,5,0),0))/100)</f>
        <v>0</v>
      </c>
      <c r="X15" s="60"/>
      <c r="Z15" s="55" t="str">
        <f aca="false">AA15&amp;"|"&amp;AB15</f>
        <v>หลังคาเมทัลชีท|2</v>
      </c>
      <c r="AA15" s="55" t="s">
        <v>624</v>
      </c>
      <c r="AB15" s="55" t="n">
        <v>2</v>
      </c>
      <c r="AC15" s="55" t="s">
        <v>614</v>
      </c>
      <c r="AD15" s="111" t="n">
        <v>15</v>
      </c>
    </row>
    <row r="16" customFormat="false" ht="15" hidden="false" customHeight="false" outlineLevel="1" collapsed="false">
      <c r="A16" s="112" t="s">
        <v>46</v>
      </c>
      <c r="C16" s="113"/>
      <c r="D16" s="60"/>
      <c r="E16" s="115"/>
      <c r="F16" s="116"/>
      <c r="G16" s="117"/>
      <c r="H16" s="113"/>
      <c r="I16" s="118" t="str">
        <f aca="false">IF(E16="","",IF(AND(LEFT(E16,6)&lt;&gt;"หลังคา",E16&lt;&gt;"ถังน้ำใส"),"–",IF(H16="Y","มีแล้ว",IF(N(G16)=0,"⚠ กรอกความสูง",IF(G16&lt;LADDER_MIN,"ไม่ต้อง",IF(G16&lt;=8,"ติด: แผ่น 1 ช่วงเดียว","ติด: แผ่น 2 มีชานพัก"))))))</f>
        <v/>
      </c>
      <c r="J16" s="119" t="n">
        <f aca="false">IF(N(F16)&gt;0,F16*0.57,0)</f>
        <v>0</v>
      </c>
      <c r="K16" s="120" t="n">
        <f aca="false">IF(E16="",0,J16*IFERROR(VLOOKUP(E16,MOUNT_EFFORT,2,0),1))</f>
        <v>0</v>
      </c>
      <c r="L16" s="121" t="n">
        <f aca="false">IF(K16=0,0,K16/SUMIF($A$7:$A$137,A16,$K$7:$K$137))</f>
        <v>0</v>
      </c>
      <c r="M16" s="121" t="n">
        <f aca="false">IF(E16="",0,J16/SUMIFS($J$7:$J$137,$A$7:$A$137,A16,$E$7:$E$137,"?*"))</f>
        <v>0</v>
      </c>
      <c r="N16" s="113"/>
      <c r="O16" s="113"/>
      <c r="P16" s="113"/>
      <c r="Q16" s="113"/>
      <c r="R16" s="113"/>
      <c r="S16" s="113"/>
      <c r="T16" s="113"/>
      <c r="U16" s="113"/>
      <c r="V16" s="113"/>
      <c r="W16" s="121" t="n">
        <f aca="false">IF(E16="",0,((N16="Y")*IFERROR(VLOOKUP(E16&amp;"|1",MOUNT_TBL,5,0),0)+(O16="Y")*IFERROR(VLOOKUP(E16&amp;"|2",MOUNT_TBL,5,0),0)+(P16="Y")*IFERROR(VLOOKUP(E16&amp;"|3",MOUNT_TBL,5,0),0)+(Q16="Y")*IFERROR(VLOOKUP(E16&amp;"|4",MOUNT_TBL,5,0),0)+(R16="Y")*IFERROR(VLOOKUP(E16&amp;"|5",MOUNT_TBL,5,0),0)+(S16="Y")*IFERROR(VLOOKUP(E16&amp;"|6",MOUNT_TBL,5,0),0)+(T16="Y")*IFERROR(VLOOKUP(E16&amp;"|7",MOUNT_TBL,5,0),0))/100)</f>
        <v>0</v>
      </c>
      <c r="X16" s="60"/>
      <c r="Z16" s="55" t="str">
        <f aca="false">AA16&amp;"|"&amp;AB16</f>
        <v>หลังคาเมทัลชีท|3</v>
      </c>
      <c r="AA16" s="55" t="s">
        <v>624</v>
      </c>
      <c r="AB16" s="55" t="n">
        <v>3</v>
      </c>
      <c r="AC16" s="61" t="s">
        <v>626</v>
      </c>
      <c r="AD16" s="111" t="n">
        <v>20</v>
      </c>
    </row>
    <row r="17" customFormat="false" ht="19.5" hidden="false" customHeight="true" outlineLevel="0" collapsed="false">
      <c r="A17" s="101" t="s">
        <v>627</v>
      </c>
      <c r="B17" s="102" t="s">
        <v>628</v>
      </c>
      <c r="C17" s="103" t="n">
        <f aca="false">COUNTIFS($A$18:$A$21,"P9-003",$E$18:$E$21,"?*")</f>
        <v>2</v>
      </c>
      <c r="D17" s="104" t="str">
        <f aca="false">IF(COUNTIFS($A$18:$A$21,"P9-003",$E$18:$E$21,"?*")=0,"ประมาณการ, ยังไม่สำรวจ — กรอกจุดจริงด้านล่าง (% 2.1–2.3 จะคิดรายจุดอัตโนมัติ)",SUBSTITUTE(IF(COUNTIFS($A$18:$A$21,"P9-003",$E$18:$E$21,"หลังคาลอนคู่")&gt;0,"ลอนคู่ "&amp;COUNTIFS($A$18:$A$21,"P9-003",$E$18:$E$21,"หลังคาลอนคู่")&amp;" จุด ("&amp;SUMIFS($F$18:$F$21,$A$18:$A$21,"P9-003",$E$18:$E$21,"หลังคาลอนคู่")&amp;" แผง), ","")&amp;IF(COUNTIFS($A$18:$A$21,"P9-003",$E$18:$E$21,"หลังคาเมทัลชีท")&gt;0,"เมทัลชีท "&amp;COUNTIFS($A$18:$A$21,"P9-003",$E$18:$E$21,"หลังคาเมทัลชีท")&amp;" จุด ("&amp;SUMIFS($F$18:$F$21,$A$18:$A$21,"P9-003",$E$18:$E$21,"หลังคาเมทัลชีท")&amp;" แผง), ","")&amp;IF(COUNTIFS($A$18:$A$21,"P9-003",$E$18:$E$21,"หลังคา")&gt;0,"หลังคา(ไม่ระบุวัสดุ) "&amp;COUNTIFS($A$18:$A$21,"P9-003",$E$18:$E$21,"หลังคา")&amp;" จุด ("&amp;SUMIFS($F$18:$F$21,$A$18:$A$21,"P9-003",$E$18:$E$21,"หลังคา")&amp;" แผง), ","")&amp;IF(COUNTIFS($A$18:$A$21,"P9-003",$E$18:$E$21,"ถังน้ำใส")&gt;0,"ถังน้ำใส "&amp;COUNTIFS($A$18:$A$21,"P9-003",$E$18:$E$21,"ถังน้ำใส")&amp;" จุด ("&amp;SUMIFS($F$18:$F$21,$A$18:$A$21,"P9-003",$E$18:$E$21,"ถังน้ำใส")&amp;" แผง), ","")&amp;IF(COUNTIFS($A$18:$A$21,"P9-003",$E$18:$E$21,"ถังดินกลบ")&gt;0,"ถังดินกลบ "&amp;COUNTIFS($A$18:$A$21,"P9-003",$E$18:$E$21,"ถังดินกลบ")&amp;" จุด ("&amp;SUMIFS($F$18:$F$21,$A$18:$A$21,"P9-003",$E$18:$E$21,"ถังดินกลบ")&amp;" แผง), ","")&amp;IF(COUNTIFS($A$18:$A$21,"P9-003",$E$18:$E$21,"Carport")&gt;0,"Carport "&amp;COUNTIFS($A$18:$A$21,"P9-003",$E$18:$E$21,"Carport")&amp;" จุด ("&amp;SUMIFS($F$18:$F$21,$A$18:$A$21,"P9-003",$E$18:$E$21,"Carport")&amp;" แผง), ","")&amp;"|",", |",""))</f>
        <v>ลอนคู่ 2 จุด (264 แผง)</v>
      </c>
      <c r="E17" s="104"/>
      <c r="F17" s="105" t="n">
        <f aca="false">SUMIF($A$18:$A$21,"P9-003",$F$18:$F$21)</f>
        <v>264</v>
      </c>
      <c r="G17" s="106"/>
      <c r="H17" s="106"/>
      <c r="I17" s="107" t="str">
        <f aca="false">IF(COUNTIFS($A$18:$A$21,"P9-003",$I$18:$I$21,"ติด:*")&gt;0,"บันได "&amp;COUNTIFS($A$18:$A$21,"P9-003",$I$18:$I$21,"ติด:*")&amp;" จุด","")</f>
        <v>บันได 2 จุด</v>
      </c>
      <c r="J17" s="108" t="n">
        <f aca="false">SUMIF($A$18:$A$21,"P9-003",$J$18:$J$21)</f>
        <v>150.48</v>
      </c>
      <c r="K17" s="106"/>
      <c r="L17" s="106"/>
      <c r="M17" s="106"/>
      <c r="N17" s="106" t="str">
        <f aca="false">IF(C17=0,"",COUNTIFS($A$18:$A$21,"P9-003",$N$18:$N$21,"Y")&amp;"/"&amp;C17)</f>
        <v>0/2</v>
      </c>
      <c r="O17" s="106" t="str">
        <f aca="false">IF(C17=0,"",COUNTIFS($A$18:$A$21,"P9-003",$O$18:$O$21,"Y")&amp;"/"&amp;C17)</f>
        <v>0/2</v>
      </c>
      <c r="P17" s="106" t="str">
        <f aca="false">IF(C17=0,"",COUNTIFS($A$18:$A$21,"P9-003",$P$18:$P$21,"Y")&amp;"/"&amp;C17)</f>
        <v>0/2</v>
      </c>
      <c r="Q17" s="106" t="str">
        <f aca="false">IF(C17=0,"",COUNTIFS($A$18:$A$21,"P9-003",$Q$18:$Q$21,"Y")&amp;"/"&amp;C17)</f>
        <v>0/2</v>
      </c>
      <c r="R17" s="106" t="str">
        <f aca="false">IF(C17=0,"",COUNTIFS($A$18:$A$21,"P9-003",$R$18:$R$21,"Y")&amp;"/"&amp;C17)</f>
        <v>0/2</v>
      </c>
      <c r="S17" s="106" t="str">
        <f aca="false">IF(C17=0,"",COUNTIFS($A$18:$A$21,"P9-003",$S$18:$S$21,"Y")&amp;"/"&amp;C17)</f>
        <v>0/2</v>
      </c>
      <c r="T17" s="106" t="str">
        <f aca="false">IF(C17=0,"",COUNTIFS($A$18:$A$21,"P9-003",$T$18:$T$21,"Y")&amp;"/"&amp;C17)</f>
        <v>0/2</v>
      </c>
      <c r="U17" s="106" t="str">
        <f aca="false">IF(C17=0,"",COUNTIFS($A$18:$A$21,"P9-003",$U$18:$U$21,"Y")&amp;"/"&amp;C17)</f>
        <v>0/2</v>
      </c>
      <c r="V17" s="106" t="str">
        <f aca="false">IF(C17=0,"",COUNTIFS($A$18:$A$21,"P9-003",$V$18:$V$21,"Y")&amp;"/"&amp;C17)</f>
        <v>0/2</v>
      </c>
      <c r="W17" s="109" t="n">
        <f aca="false">SUMPRODUCT($L$18:$L$21,$W$18:$W$21)</f>
        <v>0</v>
      </c>
      <c r="X17" s="106"/>
      <c r="Z17" s="55" t="str">
        <f aca="false">AA17&amp;"|"&amp;AB17</f>
        <v>หลังคาเมทัลชีท|4</v>
      </c>
      <c r="AA17" s="55" t="s">
        <v>624</v>
      </c>
      <c r="AB17" s="55" t="n">
        <v>4</v>
      </c>
      <c r="AC17" s="61" t="s">
        <v>629</v>
      </c>
      <c r="AD17" s="111" t="n">
        <v>30</v>
      </c>
    </row>
    <row r="18" customFormat="false" ht="15" hidden="false" customHeight="false" outlineLevel="1" collapsed="false">
      <c r="A18" s="112" t="s">
        <v>50</v>
      </c>
      <c r="C18" s="113" t="s">
        <v>611</v>
      </c>
      <c r="D18" s="114" t="s">
        <v>612</v>
      </c>
      <c r="E18" s="115" t="s">
        <v>609</v>
      </c>
      <c r="F18" s="116" t="n">
        <v>145</v>
      </c>
      <c r="G18" s="117" t="n">
        <v>6</v>
      </c>
      <c r="H18" s="113"/>
      <c r="I18" s="118" t="str">
        <f aca="false">IF(E18="","",IF(AND(LEFT(E18,6)&lt;&gt;"หลังคา",E18&lt;&gt;"ถังน้ำใส"),"–",IF(H18="Y","มีแล้ว",IF(N(G18)=0,"⚠ กรอกความสูง",IF(G18&lt;LADDER_MIN,"ไม่ต้อง",IF(G18&lt;=8,"ติด: แผ่น 1 ช่วงเดียว","ติด: แผ่น 2 มีชานพัก"))))))</f>
        <v>ติด: แผ่น 1 ช่วงเดียว</v>
      </c>
      <c r="J18" s="119" t="n">
        <f aca="false">IF(N(F18)&gt;0,F18*0.57,0)</f>
        <v>82.65</v>
      </c>
      <c r="K18" s="120" t="n">
        <f aca="false">IF(E18="",0,J18*IFERROR(VLOOKUP(E18,MOUNT_EFFORT,2,0),1))</f>
        <v>90.915</v>
      </c>
      <c r="L18" s="121" t="n">
        <f aca="false">IF(K18=0,0,K18/SUMIF($A$7:$A$137,A18,$K$7:$K$137))</f>
        <v>0.549242424242424</v>
      </c>
      <c r="M18" s="121" t="n">
        <f aca="false">IF(E18="",0,J18/SUMIFS($J$7:$J$137,$A$7:$A$137,A18,$E$7:$E$137,"?*"))</f>
        <v>0.549242424242424</v>
      </c>
      <c r="N18" s="113"/>
      <c r="O18" s="113"/>
      <c r="P18" s="113"/>
      <c r="Q18" s="113"/>
      <c r="R18" s="113"/>
      <c r="S18" s="113"/>
      <c r="T18" s="113"/>
      <c r="U18" s="113"/>
      <c r="V18" s="113"/>
      <c r="W18" s="121" t="n">
        <f aca="false">IF(E18="",0,((N18="Y")*IFERROR(VLOOKUP(E18&amp;"|1",MOUNT_TBL,5,0),0)+(O18="Y")*IFERROR(VLOOKUP(E18&amp;"|2",MOUNT_TBL,5,0),0)+(P18="Y")*IFERROR(VLOOKUP(E18&amp;"|3",MOUNT_TBL,5,0),0)+(Q18="Y")*IFERROR(VLOOKUP(E18&amp;"|4",MOUNT_TBL,5,0),0)+(R18="Y")*IFERROR(VLOOKUP(E18&amp;"|5",MOUNT_TBL,5,0),0)+(S18="Y")*IFERROR(VLOOKUP(E18&amp;"|6",MOUNT_TBL,5,0),0)+(T18="Y")*IFERROR(VLOOKUP(E18&amp;"|7",MOUNT_TBL,5,0),0))/100)</f>
        <v>0</v>
      </c>
      <c r="X18" s="114" t="s">
        <v>613</v>
      </c>
      <c r="Z18" s="55" t="str">
        <f aca="false">AA18&amp;"|"&amp;AB18</f>
        <v>หลังคาเมทัลชีท|5</v>
      </c>
      <c r="AA18" s="55" t="s">
        <v>624</v>
      </c>
      <c r="AB18" s="55" t="n">
        <v>5</v>
      </c>
      <c r="AC18" s="61" t="s">
        <v>619</v>
      </c>
      <c r="AD18" s="111" t="n">
        <v>15</v>
      </c>
    </row>
    <row r="19" customFormat="false" ht="15" hidden="false" customHeight="false" outlineLevel="1" collapsed="false">
      <c r="A19" s="112" t="s">
        <v>50</v>
      </c>
      <c r="C19" s="113" t="s">
        <v>615</v>
      </c>
      <c r="D19" s="114" t="s">
        <v>616</v>
      </c>
      <c r="E19" s="115" t="s">
        <v>609</v>
      </c>
      <c r="F19" s="116" t="n">
        <v>119</v>
      </c>
      <c r="G19" s="117" t="n">
        <v>4</v>
      </c>
      <c r="H19" s="113"/>
      <c r="I19" s="118" t="str">
        <f aca="false">IF(E19="","",IF(AND(LEFT(E19,6)&lt;&gt;"หลังคา",E19&lt;&gt;"ถังน้ำใส"),"–",IF(H19="Y","มีแล้ว",IF(N(G19)=0,"⚠ กรอกความสูง",IF(G19&lt;LADDER_MIN,"ไม่ต้อง",IF(G19&lt;=8,"ติด: แผ่น 1 ช่วงเดียว","ติด: แผ่น 2 มีชานพัก"))))))</f>
        <v>ติด: แผ่น 1 ช่วงเดียว</v>
      </c>
      <c r="J19" s="119" t="n">
        <f aca="false">IF(N(F19)&gt;0,F19*0.57,0)</f>
        <v>67.83</v>
      </c>
      <c r="K19" s="120" t="n">
        <f aca="false">IF(E19="",0,J19*IFERROR(VLOOKUP(E19,MOUNT_EFFORT,2,0),1))</f>
        <v>74.613</v>
      </c>
      <c r="L19" s="121" t="n">
        <f aca="false">IF(K19=0,0,K19/SUMIF($A$7:$A$137,A19,$K$7:$K$137))</f>
        <v>0.450757575757576</v>
      </c>
      <c r="M19" s="121" t="n">
        <f aca="false">IF(E19="",0,J19/SUMIFS($J$7:$J$137,$A$7:$A$137,A19,$E$7:$E$137,"?*"))</f>
        <v>0.450757575757576</v>
      </c>
      <c r="N19" s="113"/>
      <c r="O19" s="113"/>
      <c r="P19" s="113"/>
      <c r="Q19" s="113"/>
      <c r="R19" s="113"/>
      <c r="S19" s="113"/>
      <c r="T19" s="113"/>
      <c r="U19" s="113"/>
      <c r="V19" s="113"/>
      <c r="W19" s="121" t="n">
        <f aca="false">IF(E19="",0,((N19="Y")*IFERROR(VLOOKUP(E19&amp;"|1",MOUNT_TBL,5,0),0)+(O19="Y")*IFERROR(VLOOKUP(E19&amp;"|2",MOUNT_TBL,5,0),0)+(P19="Y")*IFERROR(VLOOKUP(E19&amp;"|3",MOUNT_TBL,5,0),0)+(Q19="Y")*IFERROR(VLOOKUP(E19&amp;"|4",MOUNT_TBL,5,0),0)+(R19="Y")*IFERROR(VLOOKUP(E19&amp;"|5",MOUNT_TBL,5,0),0)+(S19="Y")*IFERROR(VLOOKUP(E19&amp;"|6",MOUNT_TBL,5,0),0)+(T19="Y")*IFERROR(VLOOKUP(E19&amp;"|7",MOUNT_TBL,5,0),0))/100)</f>
        <v>0</v>
      </c>
      <c r="X19" s="114" t="s">
        <v>613</v>
      </c>
      <c r="Z19" s="55" t="str">
        <f aca="false">AA19&amp;"|"&amp;AB19</f>
        <v>หลังคาเมทัลชีท|6</v>
      </c>
      <c r="AA19" s="55" t="s">
        <v>624</v>
      </c>
      <c r="AB19" s="55" t="n">
        <v>6</v>
      </c>
      <c r="AC19" s="55" t="s">
        <v>622</v>
      </c>
      <c r="AD19" s="111" t="n">
        <v>5</v>
      </c>
    </row>
    <row r="20" customFormat="false" ht="15" hidden="false" customHeight="false" outlineLevel="1" collapsed="false">
      <c r="A20" s="112" t="s">
        <v>50</v>
      </c>
      <c r="C20" s="113"/>
      <c r="D20" s="60"/>
      <c r="E20" s="115"/>
      <c r="F20" s="116"/>
      <c r="G20" s="117"/>
      <c r="H20" s="113"/>
      <c r="I20" s="118" t="str">
        <f aca="false">IF(E20="","",IF(AND(LEFT(E20,6)&lt;&gt;"หลังคา",E20&lt;&gt;"ถังน้ำใส"),"–",IF(H20="Y","มีแล้ว",IF(N(G20)=0,"⚠ กรอกความสูง",IF(G20&lt;LADDER_MIN,"ไม่ต้อง",IF(G20&lt;=8,"ติด: แผ่น 1 ช่วงเดียว","ติด: แผ่น 2 มีชานพัก"))))))</f>
        <v/>
      </c>
      <c r="J20" s="119" t="n">
        <f aca="false">IF(N(F20)&gt;0,F20*0.57,0)</f>
        <v>0</v>
      </c>
      <c r="K20" s="120" t="n">
        <f aca="false">IF(E20="",0,J20*IFERROR(VLOOKUP(E20,MOUNT_EFFORT,2,0),1))</f>
        <v>0</v>
      </c>
      <c r="L20" s="121" t="n">
        <f aca="false">IF(K20=0,0,K20/SUMIF($A$7:$A$137,A20,$K$7:$K$137))</f>
        <v>0</v>
      </c>
      <c r="M20" s="121" t="n">
        <f aca="false">IF(E20="",0,J20/SUMIFS($J$7:$J$137,$A$7:$A$137,A20,$E$7:$E$137,"?*"))</f>
        <v>0</v>
      </c>
      <c r="N20" s="113"/>
      <c r="O20" s="113"/>
      <c r="P20" s="113"/>
      <c r="Q20" s="113"/>
      <c r="R20" s="113"/>
      <c r="S20" s="113"/>
      <c r="T20" s="113"/>
      <c r="U20" s="113"/>
      <c r="V20" s="113"/>
      <c r="W20" s="121" t="n">
        <f aca="false">IF(E20="",0,((N20="Y")*IFERROR(VLOOKUP(E20&amp;"|1",MOUNT_TBL,5,0),0)+(O20="Y")*IFERROR(VLOOKUP(E20&amp;"|2",MOUNT_TBL,5,0),0)+(P20="Y")*IFERROR(VLOOKUP(E20&amp;"|3",MOUNT_TBL,5,0),0)+(Q20="Y")*IFERROR(VLOOKUP(E20&amp;"|4",MOUNT_TBL,5,0),0)+(R20="Y")*IFERROR(VLOOKUP(E20&amp;"|5",MOUNT_TBL,5,0),0)+(S20="Y")*IFERROR(VLOOKUP(E20&amp;"|6",MOUNT_TBL,5,0),0)+(T20="Y")*IFERROR(VLOOKUP(E20&amp;"|7",MOUNT_TBL,5,0),0))/100)</f>
        <v>0</v>
      </c>
      <c r="X20" s="60"/>
      <c r="Z20" s="55" t="str">
        <f aca="false">AA20&amp;"|"&amp;AB20</f>
        <v>หลังคาเมทัลชีท|7</v>
      </c>
      <c r="AA20" s="55" t="s">
        <v>624</v>
      </c>
      <c r="AB20" s="55" t="n">
        <v>7</v>
      </c>
      <c r="AC20" s="61" t="s">
        <v>630</v>
      </c>
      <c r="AD20" s="111" t="n">
        <v>10</v>
      </c>
    </row>
    <row r="21" customFormat="false" ht="15" hidden="false" customHeight="false" outlineLevel="1" collapsed="false">
      <c r="A21" s="112" t="s">
        <v>50</v>
      </c>
      <c r="C21" s="113"/>
      <c r="D21" s="60"/>
      <c r="E21" s="115"/>
      <c r="F21" s="116"/>
      <c r="G21" s="117"/>
      <c r="H21" s="113"/>
      <c r="I21" s="118" t="str">
        <f aca="false">IF(E21="","",IF(AND(LEFT(E21,6)&lt;&gt;"หลังคา",E21&lt;&gt;"ถังน้ำใส"),"–",IF(H21="Y","มีแล้ว",IF(N(G21)=0,"⚠ กรอกความสูง",IF(G21&lt;LADDER_MIN,"ไม่ต้อง",IF(G21&lt;=8,"ติด: แผ่น 1 ช่วงเดียว","ติด: แผ่น 2 มีชานพัก"))))))</f>
        <v/>
      </c>
      <c r="J21" s="119" t="n">
        <f aca="false">IF(N(F21)&gt;0,F21*0.57,0)</f>
        <v>0</v>
      </c>
      <c r="K21" s="120" t="n">
        <f aca="false">IF(E21="",0,J21*IFERROR(VLOOKUP(E21,MOUNT_EFFORT,2,0),1))</f>
        <v>0</v>
      </c>
      <c r="L21" s="121" t="n">
        <f aca="false">IF(K21=0,0,K21/SUMIF($A$7:$A$137,A21,$K$7:$K$137))</f>
        <v>0</v>
      </c>
      <c r="M21" s="121" t="n">
        <f aca="false">IF(E21="",0,J21/SUMIFS($J$7:$J$137,$A$7:$A$137,A21,$E$7:$E$137,"?*"))</f>
        <v>0</v>
      </c>
      <c r="N21" s="113"/>
      <c r="O21" s="113"/>
      <c r="P21" s="113"/>
      <c r="Q21" s="113"/>
      <c r="R21" s="113"/>
      <c r="S21" s="113"/>
      <c r="T21" s="113"/>
      <c r="U21" s="113"/>
      <c r="V21" s="113"/>
      <c r="W21" s="121" t="n">
        <f aca="false">IF(E21="",0,((N21="Y")*IFERROR(VLOOKUP(E21&amp;"|1",MOUNT_TBL,5,0),0)+(O21="Y")*IFERROR(VLOOKUP(E21&amp;"|2",MOUNT_TBL,5,0),0)+(P21="Y")*IFERROR(VLOOKUP(E21&amp;"|3",MOUNT_TBL,5,0),0)+(Q21="Y")*IFERROR(VLOOKUP(E21&amp;"|4",MOUNT_TBL,5,0),0)+(R21="Y")*IFERROR(VLOOKUP(E21&amp;"|5",MOUNT_TBL,5,0),0)+(S21="Y")*IFERROR(VLOOKUP(E21&amp;"|6",MOUNT_TBL,5,0),0)+(T21="Y")*IFERROR(VLOOKUP(E21&amp;"|7",MOUNT_TBL,5,0),0))/100)</f>
        <v>0</v>
      </c>
      <c r="X21" s="60"/>
      <c r="Z21" s="55" t="str">
        <f aca="false">AA21&amp;"|"&amp;AB21</f>
        <v>หลังคา|1</v>
      </c>
      <c r="AA21" s="110" t="s">
        <v>631</v>
      </c>
      <c r="AB21" s="55" t="n">
        <v>1</v>
      </c>
      <c r="AC21" s="55" t="s">
        <v>632</v>
      </c>
      <c r="AD21" s="111" t="n">
        <v>5</v>
      </c>
    </row>
    <row r="22" customFormat="false" ht="19.5" hidden="false" customHeight="true" outlineLevel="0" collapsed="false">
      <c r="A22" s="101" t="s">
        <v>633</v>
      </c>
      <c r="B22" s="102" t="s">
        <v>634</v>
      </c>
      <c r="C22" s="103" t="n">
        <f aca="false">COUNTIFS($A$23:$A$26,"P9-004",$E$23:$E$26,"?*")</f>
        <v>2</v>
      </c>
      <c r="D22" s="104" t="str">
        <f aca="false">IF(COUNTIFS($A$23:$A$26,"P9-004",$E$23:$E$26,"?*")=0,"ประมาณการ, ยังไม่สำรวจ — กรอกจุดจริงด้านล่าง (% 2.1–2.3 จะคิดรายจุดอัตโนมัติ)",SUBSTITUTE(IF(COUNTIFS($A$23:$A$26,"P9-004",$E$23:$E$26,"หลังคาลอนคู่")&gt;0,"ลอนคู่ "&amp;COUNTIFS($A$23:$A$26,"P9-004",$E$23:$E$26,"หลังคาลอนคู่")&amp;" จุด ("&amp;SUMIFS($F$23:$F$26,$A$23:$A$26,"P9-004",$E$23:$E$26,"หลังคาลอนคู่")&amp;" แผง), ","")&amp;IF(COUNTIFS($A$23:$A$26,"P9-004",$E$23:$E$26,"หลังคาเมทัลชีท")&gt;0,"เมทัลชีท "&amp;COUNTIFS($A$23:$A$26,"P9-004",$E$23:$E$26,"หลังคาเมทัลชีท")&amp;" จุด ("&amp;SUMIFS($F$23:$F$26,$A$23:$A$26,"P9-004",$E$23:$E$26,"หลังคาเมทัลชีท")&amp;" แผง), ","")&amp;IF(COUNTIFS($A$23:$A$26,"P9-004",$E$23:$E$26,"หลังคา")&gt;0,"หลังคา(ไม่ระบุวัสดุ) "&amp;COUNTIFS($A$23:$A$26,"P9-004",$E$23:$E$26,"หลังคา")&amp;" จุด ("&amp;SUMIFS($F$23:$F$26,$A$23:$A$26,"P9-004",$E$23:$E$26,"หลังคา")&amp;" แผง), ","")&amp;IF(COUNTIFS($A$23:$A$26,"P9-004",$E$23:$E$26,"ถังน้ำใส")&gt;0,"ถังน้ำใส "&amp;COUNTIFS($A$23:$A$26,"P9-004",$E$23:$E$26,"ถังน้ำใส")&amp;" จุด ("&amp;SUMIFS($F$23:$F$26,$A$23:$A$26,"P9-004",$E$23:$E$26,"ถังน้ำใส")&amp;" แผง), ","")&amp;IF(COUNTIFS($A$23:$A$26,"P9-004",$E$23:$E$26,"ถังดินกลบ")&gt;0,"ถังดินกลบ "&amp;COUNTIFS($A$23:$A$26,"P9-004",$E$23:$E$26,"ถังดินกลบ")&amp;" จุด ("&amp;SUMIFS($F$23:$F$26,$A$23:$A$26,"P9-004",$E$23:$E$26,"ถังดินกลบ")&amp;" แผง), ","")&amp;IF(COUNTIFS($A$23:$A$26,"P9-004",$E$23:$E$26,"Carport")&gt;0,"Carport "&amp;COUNTIFS($A$23:$A$26,"P9-004",$E$23:$E$26,"Carport")&amp;" จุด ("&amp;SUMIFS($F$23:$F$26,$A$23:$A$26,"P9-004",$E$23:$E$26,"Carport")&amp;" แผง), ","")&amp;"|",", |",""))</f>
        <v>ลอนคู่ 2 จุด (492 แผง)</v>
      </c>
      <c r="E22" s="104"/>
      <c r="F22" s="105" t="n">
        <f aca="false">SUMIF($A$23:$A$26,"P9-004",$F$23:$F$26)</f>
        <v>492</v>
      </c>
      <c r="G22" s="106"/>
      <c r="H22" s="106"/>
      <c r="I22" s="107" t="str">
        <f aca="false">IF(COUNTIFS($A$23:$A$26,"P9-004",$I$23:$I$26,"ติด:*")&gt;0,"บันได "&amp;COUNTIFS($A$23:$A$26,"P9-004",$I$23:$I$26,"ติด:*")&amp;" จุด","")</f>
        <v>บันได 2 จุด</v>
      </c>
      <c r="J22" s="108" t="n">
        <f aca="false">SUMIF($A$23:$A$26,"P9-004",$J$23:$J$26)</f>
        <v>280.44</v>
      </c>
      <c r="K22" s="106"/>
      <c r="L22" s="106"/>
      <c r="M22" s="106"/>
      <c r="N22" s="106" t="str">
        <f aca="false">IF(C22=0,"",COUNTIFS($A$23:$A$26,"P9-004",$N$23:$N$26,"Y")&amp;"/"&amp;C22)</f>
        <v>0/2</v>
      </c>
      <c r="O22" s="106" t="str">
        <f aca="false">IF(C22=0,"",COUNTIFS($A$23:$A$26,"P9-004",$O$23:$O$26,"Y")&amp;"/"&amp;C22)</f>
        <v>0/2</v>
      </c>
      <c r="P22" s="106" t="str">
        <f aca="false">IF(C22=0,"",COUNTIFS($A$23:$A$26,"P9-004",$P$23:$P$26,"Y")&amp;"/"&amp;C22)</f>
        <v>0/2</v>
      </c>
      <c r="Q22" s="106" t="str">
        <f aca="false">IF(C22=0,"",COUNTIFS($A$23:$A$26,"P9-004",$Q$23:$Q$26,"Y")&amp;"/"&amp;C22)</f>
        <v>0/2</v>
      </c>
      <c r="R22" s="106" t="str">
        <f aca="false">IF(C22=0,"",COUNTIFS($A$23:$A$26,"P9-004",$R$23:$R$26,"Y")&amp;"/"&amp;C22)</f>
        <v>0/2</v>
      </c>
      <c r="S22" s="106" t="str">
        <f aca="false">IF(C22=0,"",COUNTIFS($A$23:$A$26,"P9-004",$S$23:$S$26,"Y")&amp;"/"&amp;C22)</f>
        <v>0/2</v>
      </c>
      <c r="T22" s="106" t="str">
        <f aca="false">IF(C22=0,"",COUNTIFS($A$23:$A$26,"P9-004",$T$23:$T$26,"Y")&amp;"/"&amp;C22)</f>
        <v>0/2</v>
      </c>
      <c r="U22" s="106" t="str">
        <f aca="false">IF(C22=0,"",COUNTIFS($A$23:$A$26,"P9-004",$U$23:$U$26,"Y")&amp;"/"&amp;C22)</f>
        <v>0/2</v>
      </c>
      <c r="V22" s="106" t="str">
        <f aca="false">IF(C22=0,"",COUNTIFS($A$23:$A$26,"P9-004",$V$23:$V$26,"Y")&amp;"/"&amp;C22)</f>
        <v>0/2</v>
      </c>
      <c r="W22" s="109" t="n">
        <f aca="false">SUMPRODUCT($L$23:$L$26,$W$23:$W$26)</f>
        <v>0</v>
      </c>
      <c r="X22" s="106"/>
      <c r="Z22" s="55" t="str">
        <f aca="false">AA22&amp;"|"&amp;AB22</f>
        <v>หลังคา|2</v>
      </c>
      <c r="AA22" s="55" t="s">
        <v>631</v>
      </c>
      <c r="AB22" s="55" t="n">
        <v>2</v>
      </c>
      <c r="AC22" s="55" t="s">
        <v>614</v>
      </c>
      <c r="AD22" s="111" t="n">
        <v>15</v>
      </c>
    </row>
    <row r="23" customFormat="false" ht="15" hidden="false" customHeight="false" outlineLevel="1" collapsed="false">
      <c r="A23" s="112" t="s">
        <v>54</v>
      </c>
      <c r="C23" s="113" t="s">
        <v>611</v>
      </c>
      <c r="D23" s="114" t="s">
        <v>612</v>
      </c>
      <c r="E23" s="115" t="s">
        <v>609</v>
      </c>
      <c r="F23" s="116" t="n">
        <v>271</v>
      </c>
      <c r="G23" s="117" t="n">
        <v>6</v>
      </c>
      <c r="H23" s="113"/>
      <c r="I23" s="118" t="str">
        <f aca="false">IF(E23="","",IF(AND(LEFT(E23,6)&lt;&gt;"หลังคา",E23&lt;&gt;"ถังน้ำใส"),"–",IF(H23="Y","มีแล้ว",IF(N(G23)=0,"⚠ กรอกความสูง",IF(G23&lt;LADDER_MIN,"ไม่ต้อง",IF(G23&lt;=8,"ติด: แผ่น 1 ช่วงเดียว","ติด: แผ่น 2 มีชานพัก"))))))</f>
        <v>ติด: แผ่น 1 ช่วงเดียว</v>
      </c>
      <c r="J23" s="119" t="n">
        <f aca="false">IF(N(F23)&gt;0,F23*0.57,0)</f>
        <v>154.47</v>
      </c>
      <c r="K23" s="120" t="n">
        <f aca="false">IF(E23="",0,J23*IFERROR(VLOOKUP(E23,MOUNT_EFFORT,2,0),1))</f>
        <v>169.917</v>
      </c>
      <c r="L23" s="121" t="n">
        <f aca="false">IF(K23=0,0,K23/SUMIF($A$7:$A$137,A23,$K$7:$K$137))</f>
        <v>0.550813008130081</v>
      </c>
      <c r="M23" s="121" t="n">
        <f aca="false">IF(E23="",0,J23/SUMIFS($J$7:$J$137,$A$7:$A$137,A23,$E$7:$E$137,"?*"))</f>
        <v>0.550813008130081</v>
      </c>
      <c r="N23" s="113"/>
      <c r="O23" s="113"/>
      <c r="P23" s="113"/>
      <c r="Q23" s="113"/>
      <c r="R23" s="113"/>
      <c r="S23" s="113"/>
      <c r="T23" s="113"/>
      <c r="U23" s="113"/>
      <c r="V23" s="113"/>
      <c r="W23" s="121" t="n">
        <f aca="false">IF(E23="",0,((N23="Y")*IFERROR(VLOOKUP(E23&amp;"|1",MOUNT_TBL,5,0),0)+(O23="Y")*IFERROR(VLOOKUP(E23&amp;"|2",MOUNT_TBL,5,0),0)+(P23="Y")*IFERROR(VLOOKUP(E23&amp;"|3",MOUNT_TBL,5,0),0)+(Q23="Y")*IFERROR(VLOOKUP(E23&amp;"|4",MOUNT_TBL,5,0),0)+(R23="Y")*IFERROR(VLOOKUP(E23&amp;"|5",MOUNT_TBL,5,0),0)+(S23="Y")*IFERROR(VLOOKUP(E23&amp;"|6",MOUNT_TBL,5,0),0)+(T23="Y")*IFERROR(VLOOKUP(E23&amp;"|7",MOUNT_TBL,5,0),0))/100)</f>
        <v>0</v>
      </c>
      <c r="X23" s="114" t="s">
        <v>613</v>
      </c>
      <c r="Z23" s="55" t="str">
        <f aca="false">AA23&amp;"|"&amp;AB23</f>
        <v>หลังคา|3</v>
      </c>
      <c r="AA23" s="55" t="s">
        <v>631</v>
      </c>
      <c r="AB23" s="55" t="n">
        <v>3</v>
      </c>
      <c r="AC23" s="55" t="s">
        <v>635</v>
      </c>
      <c r="AD23" s="111" t="n">
        <v>25</v>
      </c>
    </row>
    <row r="24" customFormat="false" ht="15" hidden="false" customHeight="false" outlineLevel="1" collapsed="false">
      <c r="A24" s="112" t="s">
        <v>54</v>
      </c>
      <c r="C24" s="113" t="s">
        <v>615</v>
      </c>
      <c r="D24" s="114" t="s">
        <v>616</v>
      </c>
      <c r="E24" s="115" t="s">
        <v>609</v>
      </c>
      <c r="F24" s="116" t="n">
        <v>221</v>
      </c>
      <c r="G24" s="117" t="n">
        <v>4</v>
      </c>
      <c r="H24" s="113"/>
      <c r="I24" s="118" t="str">
        <f aca="false">IF(E24="","",IF(AND(LEFT(E24,6)&lt;&gt;"หลังคา",E24&lt;&gt;"ถังน้ำใส"),"–",IF(H24="Y","มีแล้ว",IF(N(G24)=0,"⚠ กรอกความสูง",IF(G24&lt;LADDER_MIN,"ไม่ต้อง",IF(G24&lt;=8,"ติด: แผ่น 1 ช่วงเดียว","ติด: แผ่น 2 มีชานพัก"))))))</f>
        <v>ติด: แผ่น 1 ช่วงเดียว</v>
      </c>
      <c r="J24" s="119" t="n">
        <f aca="false">IF(N(F24)&gt;0,F24*0.57,0)</f>
        <v>125.97</v>
      </c>
      <c r="K24" s="120" t="n">
        <f aca="false">IF(E24="",0,J24*IFERROR(VLOOKUP(E24,MOUNT_EFFORT,2,0),1))</f>
        <v>138.567</v>
      </c>
      <c r="L24" s="121" t="n">
        <f aca="false">IF(K24=0,0,K24/SUMIF($A$7:$A$137,A24,$K$7:$K$137))</f>
        <v>0.449186991869919</v>
      </c>
      <c r="M24" s="121" t="n">
        <f aca="false">IF(E24="",0,J24/SUMIFS($J$7:$J$137,$A$7:$A$137,A24,$E$7:$E$137,"?*"))</f>
        <v>0.449186991869919</v>
      </c>
      <c r="N24" s="113"/>
      <c r="O24" s="113"/>
      <c r="P24" s="113"/>
      <c r="Q24" s="113"/>
      <c r="R24" s="113"/>
      <c r="S24" s="113"/>
      <c r="T24" s="113"/>
      <c r="U24" s="113"/>
      <c r="V24" s="113"/>
      <c r="W24" s="121" t="n">
        <f aca="false">IF(E24="",0,((N24="Y")*IFERROR(VLOOKUP(E24&amp;"|1",MOUNT_TBL,5,0),0)+(O24="Y")*IFERROR(VLOOKUP(E24&amp;"|2",MOUNT_TBL,5,0),0)+(P24="Y")*IFERROR(VLOOKUP(E24&amp;"|3",MOUNT_TBL,5,0),0)+(Q24="Y")*IFERROR(VLOOKUP(E24&amp;"|4",MOUNT_TBL,5,0),0)+(R24="Y")*IFERROR(VLOOKUP(E24&amp;"|5",MOUNT_TBL,5,0),0)+(S24="Y")*IFERROR(VLOOKUP(E24&amp;"|6",MOUNT_TBL,5,0),0)+(T24="Y")*IFERROR(VLOOKUP(E24&amp;"|7",MOUNT_TBL,5,0),0))/100)</f>
        <v>0</v>
      </c>
      <c r="X24" s="114" t="s">
        <v>613</v>
      </c>
      <c r="Z24" s="55" t="str">
        <f aca="false">AA24&amp;"|"&amp;AB24</f>
        <v>หลังคา|4</v>
      </c>
      <c r="AA24" s="55" t="s">
        <v>631</v>
      </c>
      <c r="AB24" s="55" t="n">
        <v>4</v>
      </c>
      <c r="AC24" s="61" t="s">
        <v>618</v>
      </c>
      <c r="AD24" s="111" t="n">
        <v>25</v>
      </c>
    </row>
    <row r="25" customFormat="false" ht="15" hidden="false" customHeight="false" outlineLevel="1" collapsed="false">
      <c r="A25" s="112" t="s">
        <v>54</v>
      </c>
      <c r="C25" s="113"/>
      <c r="D25" s="60"/>
      <c r="E25" s="115"/>
      <c r="F25" s="116"/>
      <c r="G25" s="117"/>
      <c r="H25" s="113"/>
      <c r="I25" s="118" t="str">
        <f aca="false">IF(E25="","",IF(AND(LEFT(E25,6)&lt;&gt;"หลังคา",E25&lt;&gt;"ถังน้ำใส"),"–",IF(H25="Y","มีแล้ว",IF(N(G25)=0,"⚠ กรอกความสูง",IF(G25&lt;LADDER_MIN,"ไม่ต้อง",IF(G25&lt;=8,"ติด: แผ่น 1 ช่วงเดียว","ติด: แผ่น 2 มีชานพัก"))))))</f>
        <v/>
      </c>
      <c r="J25" s="119" t="n">
        <f aca="false">IF(N(F25)&gt;0,F25*0.57,0)</f>
        <v>0</v>
      </c>
      <c r="K25" s="120" t="n">
        <f aca="false">IF(E25="",0,J25*IFERROR(VLOOKUP(E25,MOUNT_EFFORT,2,0),1))</f>
        <v>0</v>
      </c>
      <c r="L25" s="121" t="n">
        <f aca="false">IF(K25=0,0,K25/SUMIF($A$7:$A$137,A25,$K$7:$K$137))</f>
        <v>0</v>
      </c>
      <c r="M25" s="121" t="n">
        <f aca="false">IF(E25="",0,J25/SUMIFS($J$7:$J$137,$A$7:$A$137,A25,$E$7:$E$137,"?*"))</f>
        <v>0</v>
      </c>
      <c r="N25" s="113"/>
      <c r="O25" s="113"/>
      <c r="P25" s="113"/>
      <c r="Q25" s="113"/>
      <c r="R25" s="113"/>
      <c r="S25" s="113"/>
      <c r="T25" s="113"/>
      <c r="U25" s="113"/>
      <c r="V25" s="113"/>
      <c r="W25" s="121" t="n">
        <f aca="false">IF(E25="",0,((N25="Y")*IFERROR(VLOOKUP(E25&amp;"|1",MOUNT_TBL,5,0),0)+(O25="Y")*IFERROR(VLOOKUP(E25&amp;"|2",MOUNT_TBL,5,0),0)+(P25="Y")*IFERROR(VLOOKUP(E25&amp;"|3",MOUNT_TBL,5,0),0)+(Q25="Y")*IFERROR(VLOOKUP(E25&amp;"|4",MOUNT_TBL,5,0),0)+(R25="Y")*IFERROR(VLOOKUP(E25&amp;"|5",MOUNT_TBL,5,0),0)+(S25="Y")*IFERROR(VLOOKUP(E25&amp;"|6",MOUNT_TBL,5,0),0)+(T25="Y")*IFERROR(VLOOKUP(E25&amp;"|7",MOUNT_TBL,5,0),0))/100)</f>
        <v>0</v>
      </c>
      <c r="X25" s="60"/>
      <c r="Z25" s="55" t="str">
        <f aca="false">AA25&amp;"|"&amp;AB25</f>
        <v>หลังคา|5</v>
      </c>
      <c r="AA25" s="55" t="s">
        <v>631</v>
      </c>
      <c r="AB25" s="55" t="n">
        <v>5</v>
      </c>
      <c r="AC25" s="61" t="s">
        <v>619</v>
      </c>
      <c r="AD25" s="111" t="n">
        <v>15</v>
      </c>
    </row>
    <row r="26" customFormat="false" ht="15" hidden="false" customHeight="false" outlineLevel="1" collapsed="false">
      <c r="A26" s="112" t="s">
        <v>54</v>
      </c>
      <c r="C26" s="113"/>
      <c r="D26" s="60"/>
      <c r="E26" s="115"/>
      <c r="F26" s="116"/>
      <c r="G26" s="117"/>
      <c r="H26" s="113"/>
      <c r="I26" s="118" t="str">
        <f aca="false">IF(E26="","",IF(AND(LEFT(E26,6)&lt;&gt;"หลังคา",E26&lt;&gt;"ถังน้ำใส"),"–",IF(H26="Y","มีแล้ว",IF(N(G26)=0,"⚠ กรอกความสูง",IF(G26&lt;LADDER_MIN,"ไม่ต้อง",IF(G26&lt;=8,"ติด: แผ่น 1 ช่วงเดียว","ติด: แผ่น 2 มีชานพัก"))))))</f>
        <v/>
      </c>
      <c r="J26" s="119" t="n">
        <f aca="false">IF(N(F26)&gt;0,F26*0.57,0)</f>
        <v>0</v>
      </c>
      <c r="K26" s="120" t="n">
        <f aca="false">IF(E26="",0,J26*IFERROR(VLOOKUP(E26,MOUNT_EFFORT,2,0),1))</f>
        <v>0</v>
      </c>
      <c r="L26" s="121" t="n">
        <f aca="false">IF(K26=0,0,K26/SUMIF($A$7:$A$137,A26,$K$7:$K$137))</f>
        <v>0</v>
      </c>
      <c r="M26" s="121" t="n">
        <f aca="false">IF(E26="",0,J26/SUMIFS($J$7:$J$137,$A$7:$A$137,A26,$E$7:$E$137,"?*"))</f>
        <v>0</v>
      </c>
      <c r="N26" s="113"/>
      <c r="O26" s="113"/>
      <c r="P26" s="113"/>
      <c r="Q26" s="113"/>
      <c r="R26" s="113"/>
      <c r="S26" s="113"/>
      <c r="T26" s="113"/>
      <c r="U26" s="113"/>
      <c r="V26" s="113"/>
      <c r="W26" s="121" t="n">
        <f aca="false">IF(E26="",0,((N26="Y")*IFERROR(VLOOKUP(E26&amp;"|1",MOUNT_TBL,5,0),0)+(O26="Y")*IFERROR(VLOOKUP(E26&amp;"|2",MOUNT_TBL,5,0),0)+(P26="Y")*IFERROR(VLOOKUP(E26&amp;"|3",MOUNT_TBL,5,0),0)+(Q26="Y")*IFERROR(VLOOKUP(E26&amp;"|4",MOUNT_TBL,5,0),0)+(R26="Y")*IFERROR(VLOOKUP(E26&amp;"|5",MOUNT_TBL,5,0),0)+(S26="Y")*IFERROR(VLOOKUP(E26&amp;"|6",MOUNT_TBL,5,0),0)+(T26="Y")*IFERROR(VLOOKUP(E26&amp;"|7",MOUNT_TBL,5,0),0))/100)</f>
        <v>0</v>
      </c>
      <c r="X26" s="60"/>
      <c r="Z26" s="55" t="str">
        <f aca="false">AA26&amp;"|"&amp;AB26</f>
        <v>หลังคา|6</v>
      </c>
      <c r="AA26" s="55" t="s">
        <v>631</v>
      </c>
      <c r="AB26" s="55" t="n">
        <v>6</v>
      </c>
      <c r="AC26" s="55" t="s">
        <v>622</v>
      </c>
      <c r="AD26" s="111" t="n">
        <v>5</v>
      </c>
    </row>
    <row r="27" customFormat="false" ht="19.5" hidden="false" customHeight="true" outlineLevel="0" collapsed="false">
      <c r="A27" s="101" t="s">
        <v>636</v>
      </c>
      <c r="B27" s="102" t="s">
        <v>637</v>
      </c>
      <c r="C27" s="103" t="n">
        <f aca="false">COUNTIFS($A$28:$A$31,"P9-005",$E$28:$E$31,"?*")</f>
        <v>2</v>
      </c>
      <c r="D27" s="104" t="str">
        <f aca="false">IF(COUNTIFS($A$28:$A$31,"P9-005",$E$28:$E$31,"?*")=0,"ประมาณการ, ยังไม่สำรวจ — กรอกจุดจริงด้านล่าง (% 2.1–2.3 จะคิดรายจุดอัตโนมัติ)",SUBSTITUTE(IF(COUNTIFS($A$28:$A$31,"P9-005",$E$28:$E$31,"หลังคาลอนคู่")&gt;0,"ลอนคู่ "&amp;COUNTIFS($A$28:$A$31,"P9-005",$E$28:$E$31,"หลังคาลอนคู่")&amp;" จุด ("&amp;SUMIFS($F$28:$F$31,$A$28:$A$31,"P9-005",$E$28:$E$31,"หลังคาลอนคู่")&amp;" แผง), ","")&amp;IF(COUNTIFS($A$28:$A$31,"P9-005",$E$28:$E$31,"หลังคาเมทัลชีท")&gt;0,"เมทัลชีท "&amp;COUNTIFS($A$28:$A$31,"P9-005",$E$28:$E$31,"หลังคาเมทัลชีท")&amp;" จุด ("&amp;SUMIFS($F$28:$F$31,$A$28:$A$31,"P9-005",$E$28:$E$31,"หลังคาเมทัลชีท")&amp;" แผง), ","")&amp;IF(COUNTIFS($A$28:$A$31,"P9-005",$E$28:$E$31,"หลังคา")&gt;0,"หลังคา(ไม่ระบุวัสดุ) "&amp;COUNTIFS($A$28:$A$31,"P9-005",$E$28:$E$31,"หลังคา")&amp;" จุด ("&amp;SUMIFS($F$28:$F$31,$A$28:$A$31,"P9-005",$E$28:$E$31,"หลังคา")&amp;" แผง), ","")&amp;IF(COUNTIFS($A$28:$A$31,"P9-005",$E$28:$E$31,"ถังน้ำใส")&gt;0,"ถังน้ำใส "&amp;COUNTIFS($A$28:$A$31,"P9-005",$E$28:$E$31,"ถังน้ำใส")&amp;" จุด ("&amp;SUMIFS($F$28:$F$31,$A$28:$A$31,"P9-005",$E$28:$E$31,"ถังน้ำใส")&amp;" แผง), ","")&amp;IF(COUNTIFS($A$28:$A$31,"P9-005",$E$28:$E$31,"ถังดินกลบ")&gt;0,"ถังดินกลบ "&amp;COUNTIFS($A$28:$A$31,"P9-005",$E$28:$E$31,"ถังดินกลบ")&amp;" จุด ("&amp;SUMIFS($F$28:$F$31,$A$28:$A$31,"P9-005",$E$28:$E$31,"ถังดินกลบ")&amp;" แผง), ","")&amp;IF(COUNTIFS($A$28:$A$31,"P9-005",$E$28:$E$31,"Carport")&gt;0,"Carport "&amp;COUNTIFS($A$28:$A$31,"P9-005",$E$28:$E$31,"Carport")&amp;" จุด ("&amp;SUMIFS($F$28:$F$31,$A$28:$A$31,"P9-005",$E$28:$E$31,"Carport")&amp;" แผง), ","")&amp;"|",", |",""))</f>
        <v>เมทัลชีท 2 จุด (264 แผง)</v>
      </c>
      <c r="E27" s="104"/>
      <c r="F27" s="105" t="n">
        <f aca="false">SUMIF($A$28:$A$31,"P9-005",$F$28:$F$31)</f>
        <v>264</v>
      </c>
      <c r="G27" s="106"/>
      <c r="H27" s="106"/>
      <c r="I27" s="107" t="str">
        <f aca="false">IF(COUNTIFS($A$28:$A$31,"P9-005",$I$28:$I$31,"ติด:*")&gt;0,"บันได "&amp;COUNTIFS($A$28:$A$31,"P9-005",$I$28:$I$31,"ติด:*")&amp;" จุด","")</f>
        <v>บันได 2 จุด</v>
      </c>
      <c r="J27" s="108" t="n">
        <f aca="false">SUMIF($A$28:$A$31,"P9-005",$J$28:$J$31)</f>
        <v>150.48</v>
      </c>
      <c r="K27" s="106"/>
      <c r="L27" s="106"/>
      <c r="M27" s="106"/>
      <c r="N27" s="106" t="str">
        <f aca="false">IF(C27=0,"",COUNTIFS($A$28:$A$31,"P9-005",$N$28:$N$31,"Y")&amp;"/"&amp;C27)</f>
        <v>0/2</v>
      </c>
      <c r="O27" s="106" t="str">
        <f aca="false">IF(C27=0,"",COUNTIFS($A$28:$A$31,"P9-005",$O$28:$O$31,"Y")&amp;"/"&amp;C27)</f>
        <v>0/2</v>
      </c>
      <c r="P27" s="106" t="str">
        <f aca="false">IF(C27=0,"",COUNTIFS($A$28:$A$31,"P9-005",$P$28:$P$31,"Y")&amp;"/"&amp;C27)</f>
        <v>0/2</v>
      </c>
      <c r="Q27" s="106" t="str">
        <f aca="false">IF(C27=0,"",COUNTIFS($A$28:$A$31,"P9-005",$Q$28:$Q$31,"Y")&amp;"/"&amp;C27)</f>
        <v>0/2</v>
      </c>
      <c r="R27" s="106" t="str">
        <f aca="false">IF(C27=0,"",COUNTIFS($A$28:$A$31,"P9-005",$R$28:$R$31,"Y")&amp;"/"&amp;C27)</f>
        <v>0/2</v>
      </c>
      <c r="S27" s="106" t="str">
        <f aca="false">IF(C27=0,"",COUNTIFS($A$28:$A$31,"P9-005",$S$28:$S$31,"Y")&amp;"/"&amp;C27)</f>
        <v>0/2</v>
      </c>
      <c r="T27" s="106" t="str">
        <f aca="false">IF(C27=0,"",COUNTIFS($A$28:$A$31,"P9-005",$T$28:$T$31,"Y")&amp;"/"&amp;C27)</f>
        <v>0/2</v>
      </c>
      <c r="U27" s="106" t="str">
        <f aca="false">IF(C27=0,"",COUNTIFS($A$28:$A$31,"P9-005",$U$28:$U$31,"Y")&amp;"/"&amp;C27)</f>
        <v>0/2</v>
      </c>
      <c r="V27" s="106" t="str">
        <f aca="false">IF(C27=0,"",COUNTIFS($A$28:$A$31,"P9-005",$V$28:$V$31,"Y")&amp;"/"&amp;C27)</f>
        <v>0/2</v>
      </c>
      <c r="W27" s="109" t="n">
        <f aca="false">SUMPRODUCT($L$28:$L$31,$W$28:$W$31)</f>
        <v>0</v>
      </c>
      <c r="X27" s="106"/>
      <c r="Z27" s="55" t="str">
        <f aca="false">AA27&amp;"|"&amp;AB27</f>
        <v>หลังคา|7</v>
      </c>
      <c r="AA27" s="55" t="s">
        <v>631</v>
      </c>
      <c r="AB27" s="55" t="n">
        <v>7</v>
      </c>
      <c r="AC27" s="61" t="s">
        <v>638</v>
      </c>
      <c r="AD27" s="111" t="n">
        <v>10</v>
      </c>
    </row>
    <row r="28" customFormat="false" ht="15" hidden="false" customHeight="false" outlineLevel="1" collapsed="false">
      <c r="A28" s="112" t="s">
        <v>58</v>
      </c>
      <c r="C28" s="113" t="s">
        <v>611</v>
      </c>
      <c r="D28" s="114" t="s">
        <v>639</v>
      </c>
      <c r="E28" s="115" t="s">
        <v>624</v>
      </c>
      <c r="F28" s="116" t="n">
        <v>145</v>
      </c>
      <c r="G28" s="117" t="n">
        <v>7</v>
      </c>
      <c r="H28" s="113"/>
      <c r="I28" s="118" t="str">
        <f aca="false">IF(E28="","",IF(AND(LEFT(E28,6)&lt;&gt;"หลังคา",E28&lt;&gt;"ถังน้ำใส"),"–",IF(H28="Y","มีแล้ว",IF(N(G28)=0,"⚠ กรอกความสูง",IF(G28&lt;LADDER_MIN,"ไม่ต้อง",IF(G28&lt;=8,"ติด: แผ่น 1 ช่วงเดียว","ติด: แผ่น 2 มีชานพัก"))))))</f>
        <v>ติด: แผ่น 1 ช่วงเดียว</v>
      </c>
      <c r="J28" s="119" t="n">
        <f aca="false">IF(N(F28)&gt;0,F28*0.57,0)</f>
        <v>82.65</v>
      </c>
      <c r="K28" s="120" t="n">
        <f aca="false">IF(E28="",0,J28*IFERROR(VLOOKUP(E28,MOUNT_EFFORT,2,0),1))</f>
        <v>74.385</v>
      </c>
      <c r="L28" s="121" t="n">
        <f aca="false">IF(K28=0,0,K28/SUMIF($A$7:$A$137,A28,$K$7:$K$137))</f>
        <v>0.549242424242424</v>
      </c>
      <c r="M28" s="121" t="n">
        <f aca="false">IF(E28="",0,J28/SUMIFS($J$7:$J$137,$A$7:$A$137,A28,$E$7:$E$137,"?*"))</f>
        <v>0.549242424242424</v>
      </c>
      <c r="N28" s="113"/>
      <c r="O28" s="113"/>
      <c r="P28" s="113"/>
      <c r="Q28" s="113"/>
      <c r="R28" s="113"/>
      <c r="S28" s="113"/>
      <c r="T28" s="113"/>
      <c r="U28" s="113"/>
      <c r="V28" s="113"/>
      <c r="W28" s="121" t="n">
        <f aca="false">IF(E28="",0,((N28="Y")*IFERROR(VLOOKUP(E28&amp;"|1",MOUNT_TBL,5,0),0)+(O28="Y")*IFERROR(VLOOKUP(E28&amp;"|2",MOUNT_TBL,5,0),0)+(P28="Y")*IFERROR(VLOOKUP(E28&amp;"|3",MOUNT_TBL,5,0),0)+(Q28="Y")*IFERROR(VLOOKUP(E28&amp;"|4",MOUNT_TBL,5,0),0)+(R28="Y")*IFERROR(VLOOKUP(E28&amp;"|5",MOUNT_TBL,5,0),0)+(S28="Y")*IFERROR(VLOOKUP(E28&amp;"|6",MOUNT_TBL,5,0),0)+(T28="Y")*IFERROR(VLOOKUP(E28&amp;"|7",MOUNT_TBL,5,0),0))/100)</f>
        <v>0</v>
      </c>
      <c r="X28" s="114" t="s">
        <v>613</v>
      </c>
      <c r="Z28" s="55" t="str">
        <f aca="false">AA28&amp;"|"&amp;AB28</f>
        <v>ถังน้ำใส|1</v>
      </c>
      <c r="AA28" s="110" t="s">
        <v>640</v>
      </c>
      <c r="AB28" s="55" t="n">
        <v>1</v>
      </c>
      <c r="AC28" s="55" t="s">
        <v>641</v>
      </c>
      <c r="AD28" s="111" t="n">
        <v>5</v>
      </c>
    </row>
    <row r="29" customFormat="false" ht="15" hidden="false" customHeight="false" outlineLevel="1" collapsed="false">
      <c r="A29" s="112" t="s">
        <v>58</v>
      </c>
      <c r="C29" s="113" t="s">
        <v>615</v>
      </c>
      <c r="D29" s="114" t="s">
        <v>642</v>
      </c>
      <c r="E29" s="115" t="s">
        <v>624</v>
      </c>
      <c r="F29" s="116" t="n">
        <v>119</v>
      </c>
      <c r="G29" s="117" t="n">
        <v>9.5</v>
      </c>
      <c r="H29" s="113"/>
      <c r="I29" s="118" t="str">
        <f aca="false">IF(E29="","",IF(AND(LEFT(E29,6)&lt;&gt;"หลังคา",E29&lt;&gt;"ถังน้ำใส"),"–",IF(H29="Y","มีแล้ว",IF(N(G29)=0,"⚠ กรอกความสูง",IF(G29&lt;LADDER_MIN,"ไม่ต้อง",IF(G29&lt;=8,"ติด: แผ่น 1 ช่วงเดียว","ติด: แผ่น 2 มีชานพัก"))))))</f>
        <v>ติด: แผ่น 2 มีชานพัก</v>
      </c>
      <c r="J29" s="119" t="n">
        <f aca="false">IF(N(F29)&gt;0,F29*0.57,0)</f>
        <v>67.83</v>
      </c>
      <c r="K29" s="120" t="n">
        <f aca="false">IF(E29="",0,J29*IFERROR(VLOOKUP(E29,MOUNT_EFFORT,2,0),1))</f>
        <v>61.047</v>
      </c>
      <c r="L29" s="121" t="n">
        <f aca="false">IF(K29=0,0,K29/SUMIF($A$7:$A$137,A29,$K$7:$K$137))</f>
        <v>0.450757575757576</v>
      </c>
      <c r="M29" s="121" t="n">
        <f aca="false">IF(E29="",0,J29/SUMIFS($J$7:$J$137,$A$7:$A$137,A29,$E$7:$E$137,"?*"))</f>
        <v>0.450757575757576</v>
      </c>
      <c r="N29" s="113"/>
      <c r="O29" s="113"/>
      <c r="P29" s="113"/>
      <c r="Q29" s="113"/>
      <c r="R29" s="113"/>
      <c r="S29" s="113"/>
      <c r="T29" s="113"/>
      <c r="U29" s="113"/>
      <c r="V29" s="113"/>
      <c r="W29" s="121" t="n">
        <f aca="false">IF(E29="",0,((N29="Y")*IFERROR(VLOOKUP(E29&amp;"|1",MOUNT_TBL,5,0),0)+(O29="Y")*IFERROR(VLOOKUP(E29&amp;"|2",MOUNT_TBL,5,0),0)+(P29="Y")*IFERROR(VLOOKUP(E29&amp;"|3",MOUNT_TBL,5,0),0)+(Q29="Y")*IFERROR(VLOOKUP(E29&amp;"|4",MOUNT_TBL,5,0),0)+(R29="Y")*IFERROR(VLOOKUP(E29&amp;"|5",MOUNT_TBL,5,0),0)+(S29="Y")*IFERROR(VLOOKUP(E29&amp;"|6",MOUNT_TBL,5,0),0)+(T29="Y")*IFERROR(VLOOKUP(E29&amp;"|7",MOUNT_TBL,5,0),0))/100)</f>
        <v>0</v>
      </c>
      <c r="X29" s="114" t="s">
        <v>613</v>
      </c>
      <c r="Z29" s="55" t="str">
        <f aca="false">AA29&amp;"|"&amp;AB29</f>
        <v>ถังน้ำใส|2</v>
      </c>
      <c r="AA29" s="55" t="s">
        <v>640</v>
      </c>
      <c r="AB29" s="55" t="n">
        <v>2</v>
      </c>
      <c r="AC29" s="55" t="s">
        <v>643</v>
      </c>
      <c r="AD29" s="111" t="n">
        <v>10</v>
      </c>
    </row>
    <row r="30" customFormat="false" ht="15" hidden="false" customHeight="false" outlineLevel="1" collapsed="false">
      <c r="A30" s="112" t="s">
        <v>58</v>
      </c>
      <c r="C30" s="113"/>
      <c r="D30" s="60"/>
      <c r="E30" s="115"/>
      <c r="F30" s="116"/>
      <c r="G30" s="117"/>
      <c r="H30" s="113"/>
      <c r="I30" s="118" t="str">
        <f aca="false">IF(E30="","",IF(AND(LEFT(E30,6)&lt;&gt;"หลังคา",E30&lt;&gt;"ถังน้ำใส"),"–",IF(H30="Y","มีแล้ว",IF(N(G30)=0,"⚠ กรอกความสูง",IF(G30&lt;LADDER_MIN,"ไม่ต้อง",IF(G30&lt;=8,"ติด: แผ่น 1 ช่วงเดียว","ติด: แผ่น 2 มีชานพัก"))))))</f>
        <v/>
      </c>
      <c r="J30" s="119" t="n">
        <f aca="false">IF(N(F30)&gt;0,F30*0.57,0)</f>
        <v>0</v>
      </c>
      <c r="K30" s="120" t="n">
        <f aca="false">IF(E30="",0,J30*IFERROR(VLOOKUP(E30,MOUNT_EFFORT,2,0),1))</f>
        <v>0</v>
      </c>
      <c r="L30" s="121" t="n">
        <f aca="false">IF(K30=0,0,K30/SUMIF($A$7:$A$137,A30,$K$7:$K$137))</f>
        <v>0</v>
      </c>
      <c r="M30" s="121" t="n">
        <f aca="false">IF(E30="",0,J30/SUMIFS($J$7:$J$137,$A$7:$A$137,A30,$E$7:$E$137,"?*"))</f>
        <v>0</v>
      </c>
      <c r="N30" s="113"/>
      <c r="O30" s="113"/>
      <c r="P30" s="113"/>
      <c r="Q30" s="113"/>
      <c r="R30" s="113"/>
      <c r="S30" s="113"/>
      <c r="T30" s="113"/>
      <c r="U30" s="113"/>
      <c r="V30" s="113"/>
      <c r="W30" s="121" t="n">
        <f aca="false">IF(E30="",0,((N30="Y")*IFERROR(VLOOKUP(E30&amp;"|1",MOUNT_TBL,5,0),0)+(O30="Y")*IFERROR(VLOOKUP(E30&amp;"|2",MOUNT_TBL,5,0),0)+(P30="Y")*IFERROR(VLOOKUP(E30&amp;"|3",MOUNT_TBL,5,0),0)+(Q30="Y")*IFERROR(VLOOKUP(E30&amp;"|4",MOUNT_TBL,5,0),0)+(R30="Y")*IFERROR(VLOOKUP(E30&amp;"|5",MOUNT_TBL,5,0),0)+(S30="Y")*IFERROR(VLOOKUP(E30&amp;"|6",MOUNT_TBL,5,0),0)+(T30="Y")*IFERROR(VLOOKUP(E30&amp;"|7",MOUNT_TBL,5,0),0))/100)</f>
        <v>0</v>
      </c>
      <c r="X30" s="60"/>
      <c r="Z30" s="55" t="str">
        <f aca="false">AA30&amp;"|"&amp;AB30</f>
        <v>ถังน้ำใส|3</v>
      </c>
      <c r="AA30" s="55" t="s">
        <v>640</v>
      </c>
      <c r="AB30" s="55" t="n">
        <v>3</v>
      </c>
      <c r="AC30" s="55" t="s">
        <v>644</v>
      </c>
      <c r="AD30" s="111" t="n">
        <v>30</v>
      </c>
    </row>
    <row r="31" customFormat="false" ht="15" hidden="false" customHeight="false" outlineLevel="1" collapsed="false">
      <c r="A31" s="112" t="s">
        <v>58</v>
      </c>
      <c r="C31" s="113"/>
      <c r="D31" s="60"/>
      <c r="E31" s="115"/>
      <c r="F31" s="116"/>
      <c r="G31" s="117"/>
      <c r="H31" s="113"/>
      <c r="I31" s="118" t="str">
        <f aca="false">IF(E31="","",IF(AND(LEFT(E31,6)&lt;&gt;"หลังคา",E31&lt;&gt;"ถังน้ำใส"),"–",IF(H31="Y","มีแล้ว",IF(N(G31)=0,"⚠ กรอกความสูง",IF(G31&lt;LADDER_MIN,"ไม่ต้อง",IF(G31&lt;=8,"ติด: แผ่น 1 ช่วงเดียว","ติด: แผ่น 2 มีชานพัก"))))))</f>
        <v/>
      </c>
      <c r="J31" s="119" t="n">
        <f aca="false">IF(N(F31)&gt;0,F31*0.57,0)</f>
        <v>0</v>
      </c>
      <c r="K31" s="120" t="n">
        <f aca="false">IF(E31="",0,J31*IFERROR(VLOOKUP(E31,MOUNT_EFFORT,2,0),1))</f>
        <v>0</v>
      </c>
      <c r="L31" s="121" t="n">
        <f aca="false">IF(K31=0,0,K31/SUMIF($A$7:$A$137,A31,$K$7:$K$137))</f>
        <v>0</v>
      </c>
      <c r="M31" s="121" t="n">
        <f aca="false">IF(E31="",0,J31/SUMIFS($J$7:$J$137,$A$7:$A$137,A31,$E$7:$E$137,"?*"))</f>
        <v>0</v>
      </c>
      <c r="N31" s="113"/>
      <c r="O31" s="113"/>
      <c r="P31" s="113"/>
      <c r="Q31" s="113"/>
      <c r="R31" s="113"/>
      <c r="S31" s="113"/>
      <c r="T31" s="113"/>
      <c r="U31" s="113"/>
      <c r="V31" s="113"/>
      <c r="W31" s="121" t="n">
        <f aca="false">IF(E31="",0,((N31="Y")*IFERROR(VLOOKUP(E31&amp;"|1",MOUNT_TBL,5,0),0)+(O31="Y")*IFERROR(VLOOKUP(E31&amp;"|2",MOUNT_TBL,5,0),0)+(P31="Y")*IFERROR(VLOOKUP(E31&amp;"|3",MOUNT_TBL,5,0),0)+(Q31="Y")*IFERROR(VLOOKUP(E31&amp;"|4",MOUNT_TBL,5,0),0)+(R31="Y")*IFERROR(VLOOKUP(E31&amp;"|5",MOUNT_TBL,5,0),0)+(S31="Y")*IFERROR(VLOOKUP(E31&amp;"|6",MOUNT_TBL,5,0),0)+(T31="Y")*IFERROR(VLOOKUP(E31&amp;"|7",MOUNT_TBL,5,0),0))/100)</f>
        <v>0</v>
      </c>
      <c r="X31" s="60"/>
      <c r="Z31" s="55" t="str">
        <f aca="false">AA31&amp;"|"&amp;AB31</f>
        <v>ถังน้ำใส|4</v>
      </c>
      <c r="AA31" s="55" t="s">
        <v>640</v>
      </c>
      <c r="AB31" s="55" t="n">
        <v>4</v>
      </c>
      <c r="AC31" s="55" t="s">
        <v>645</v>
      </c>
      <c r="AD31" s="111" t="n">
        <v>30</v>
      </c>
    </row>
    <row r="32" customFormat="false" ht="19.5" hidden="false" customHeight="true" outlineLevel="0" collapsed="false">
      <c r="A32" s="101" t="s">
        <v>646</v>
      </c>
      <c r="B32" s="102" t="s">
        <v>647</v>
      </c>
      <c r="C32" s="103" t="n">
        <f aca="false">COUNTIFS($A$33:$A$36,"P9-006",$E$33:$E$36,"?*")</f>
        <v>2</v>
      </c>
      <c r="D32" s="104" t="str">
        <f aca="false">IF(COUNTIFS($A$33:$A$36,"P9-006",$E$33:$E$36,"?*")=0,"ประมาณการ, ยังไม่สำรวจ — กรอกจุดจริงด้านล่าง (% 2.1–2.3 จะคิดรายจุดอัตโนมัติ)",SUBSTITUTE(IF(COUNTIFS($A$33:$A$36,"P9-006",$E$33:$E$36,"หลังคาลอนคู่")&gt;0,"ลอนคู่ "&amp;COUNTIFS($A$33:$A$36,"P9-006",$E$33:$E$36,"หลังคาลอนคู่")&amp;" จุด ("&amp;SUMIFS($F$33:$F$36,$A$33:$A$36,"P9-006",$E$33:$E$36,"หลังคาลอนคู่")&amp;" แผง), ","")&amp;IF(COUNTIFS($A$33:$A$36,"P9-006",$E$33:$E$36,"หลังคาเมทัลชีท")&gt;0,"เมทัลชีท "&amp;COUNTIFS($A$33:$A$36,"P9-006",$E$33:$E$36,"หลังคาเมทัลชีท")&amp;" จุด ("&amp;SUMIFS($F$33:$F$36,$A$33:$A$36,"P9-006",$E$33:$E$36,"หลังคาเมทัลชีท")&amp;" แผง), ","")&amp;IF(COUNTIFS($A$33:$A$36,"P9-006",$E$33:$E$36,"หลังคา")&gt;0,"หลังคา(ไม่ระบุวัสดุ) "&amp;COUNTIFS($A$33:$A$36,"P9-006",$E$33:$E$36,"หลังคา")&amp;" จุด ("&amp;SUMIFS($F$33:$F$36,$A$33:$A$36,"P9-006",$E$33:$E$36,"หลังคา")&amp;" แผง), ","")&amp;IF(COUNTIFS($A$33:$A$36,"P9-006",$E$33:$E$36,"ถังน้ำใส")&gt;0,"ถังน้ำใส "&amp;COUNTIFS($A$33:$A$36,"P9-006",$E$33:$E$36,"ถังน้ำใส")&amp;" จุด ("&amp;SUMIFS($F$33:$F$36,$A$33:$A$36,"P9-006",$E$33:$E$36,"ถังน้ำใส")&amp;" แผง), ","")&amp;IF(COUNTIFS($A$33:$A$36,"P9-006",$E$33:$E$36,"ถังดินกลบ")&gt;0,"ถังดินกลบ "&amp;COUNTIFS($A$33:$A$36,"P9-006",$E$33:$E$36,"ถังดินกลบ")&amp;" จุด ("&amp;SUMIFS($F$33:$F$36,$A$33:$A$36,"P9-006",$E$33:$E$36,"ถังดินกลบ")&amp;" แผง), ","")&amp;IF(COUNTIFS($A$33:$A$36,"P9-006",$E$33:$E$36,"Carport")&gt;0,"Carport "&amp;COUNTIFS($A$33:$A$36,"P9-006",$E$33:$E$36,"Carport")&amp;" จุด ("&amp;SUMIFS($F$33:$F$36,$A$33:$A$36,"P9-006",$E$33:$E$36,"Carport")&amp;" แผง), ","")&amp;"|",", |",""))</f>
        <v>เมทัลชีท 2 จุด (492 แผง)</v>
      </c>
      <c r="E32" s="104"/>
      <c r="F32" s="105" t="n">
        <f aca="false">SUMIF($A$33:$A$36,"P9-006",$F$33:$F$36)</f>
        <v>492</v>
      </c>
      <c r="G32" s="106"/>
      <c r="H32" s="106"/>
      <c r="I32" s="107" t="str">
        <f aca="false">IF(COUNTIFS($A$33:$A$36,"P9-006",$I$33:$I$36,"ติด:*")&gt;0,"บันได "&amp;COUNTIFS($A$33:$A$36,"P9-006",$I$33:$I$36,"ติด:*")&amp;" จุด","")</f>
        <v>บันได 2 จุด</v>
      </c>
      <c r="J32" s="108" t="n">
        <f aca="false">SUMIF($A$33:$A$36,"P9-006",$J$33:$J$36)</f>
        <v>280.44</v>
      </c>
      <c r="K32" s="106"/>
      <c r="L32" s="106"/>
      <c r="M32" s="106"/>
      <c r="N32" s="106" t="str">
        <f aca="false">IF(C32=0,"",COUNTIFS($A$33:$A$36,"P9-006",$N$33:$N$36,"Y")&amp;"/"&amp;C32)</f>
        <v>0/2</v>
      </c>
      <c r="O32" s="106" t="str">
        <f aca="false">IF(C32=0,"",COUNTIFS($A$33:$A$36,"P9-006",$O$33:$O$36,"Y")&amp;"/"&amp;C32)</f>
        <v>0/2</v>
      </c>
      <c r="P32" s="106" t="str">
        <f aca="false">IF(C32=0,"",COUNTIFS($A$33:$A$36,"P9-006",$P$33:$P$36,"Y")&amp;"/"&amp;C32)</f>
        <v>0/2</v>
      </c>
      <c r="Q32" s="106" t="str">
        <f aca="false">IF(C32=0,"",COUNTIFS($A$33:$A$36,"P9-006",$Q$33:$Q$36,"Y")&amp;"/"&amp;C32)</f>
        <v>0/2</v>
      </c>
      <c r="R32" s="106" t="str">
        <f aca="false">IF(C32=0,"",COUNTIFS($A$33:$A$36,"P9-006",$R$33:$R$36,"Y")&amp;"/"&amp;C32)</f>
        <v>0/2</v>
      </c>
      <c r="S32" s="106" t="str">
        <f aca="false">IF(C32=0,"",COUNTIFS($A$33:$A$36,"P9-006",$S$33:$S$36,"Y")&amp;"/"&amp;C32)</f>
        <v>0/2</v>
      </c>
      <c r="T32" s="106" t="str">
        <f aca="false">IF(C32=0,"",COUNTIFS($A$33:$A$36,"P9-006",$T$33:$T$36,"Y")&amp;"/"&amp;C32)</f>
        <v>0/2</v>
      </c>
      <c r="U32" s="106" t="str">
        <f aca="false">IF(C32=0,"",COUNTIFS($A$33:$A$36,"P9-006",$U$33:$U$36,"Y")&amp;"/"&amp;C32)</f>
        <v>0/2</v>
      </c>
      <c r="V32" s="106" t="str">
        <f aca="false">IF(C32=0,"",COUNTIFS($A$33:$A$36,"P9-006",$V$33:$V$36,"Y")&amp;"/"&amp;C32)</f>
        <v>0/2</v>
      </c>
      <c r="W32" s="109" t="n">
        <f aca="false">SUMPRODUCT($L$33:$L$36,$W$33:$W$36)</f>
        <v>0</v>
      </c>
      <c r="X32" s="106"/>
      <c r="Z32" s="55" t="str">
        <f aca="false">AA32&amp;"|"&amp;AB32</f>
        <v>ถังน้ำใส|5</v>
      </c>
      <c r="AA32" s="55" t="s">
        <v>640</v>
      </c>
      <c r="AB32" s="55" t="n">
        <v>5</v>
      </c>
      <c r="AC32" s="61" t="s">
        <v>648</v>
      </c>
      <c r="AD32" s="111" t="n">
        <v>10</v>
      </c>
    </row>
    <row r="33" customFormat="false" ht="15" hidden="false" customHeight="false" outlineLevel="1" collapsed="false">
      <c r="A33" s="112" t="s">
        <v>62</v>
      </c>
      <c r="C33" s="113" t="s">
        <v>611</v>
      </c>
      <c r="D33" s="114" t="s">
        <v>639</v>
      </c>
      <c r="E33" s="115" t="s">
        <v>624</v>
      </c>
      <c r="F33" s="116" t="n">
        <v>271</v>
      </c>
      <c r="G33" s="117" t="n">
        <v>7</v>
      </c>
      <c r="H33" s="113"/>
      <c r="I33" s="118" t="str">
        <f aca="false">IF(E33="","",IF(AND(LEFT(E33,6)&lt;&gt;"หลังคา",E33&lt;&gt;"ถังน้ำใส"),"–",IF(H33="Y","มีแล้ว",IF(N(G33)=0,"⚠ กรอกความสูง",IF(G33&lt;LADDER_MIN,"ไม่ต้อง",IF(G33&lt;=8,"ติด: แผ่น 1 ช่วงเดียว","ติด: แผ่น 2 มีชานพัก"))))))</f>
        <v>ติด: แผ่น 1 ช่วงเดียว</v>
      </c>
      <c r="J33" s="119" t="n">
        <f aca="false">IF(N(F33)&gt;0,F33*0.57,0)</f>
        <v>154.47</v>
      </c>
      <c r="K33" s="120" t="n">
        <f aca="false">IF(E33="",0,J33*IFERROR(VLOOKUP(E33,MOUNT_EFFORT,2,0),1))</f>
        <v>139.023</v>
      </c>
      <c r="L33" s="121" t="n">
        <f aca="false">IF(K33=0,0,K33/SUMIF($A$7:$A$137,A33,$K$7:$K$137))</f>
        <v>0.550813008130081</v>
      </c>
      <c r="M33" s="121" t="n">
        <f aca="false">IF(E33="",0,J33/SUMIFS($J$7:$J$137,$A$7:$A$137,A33,$E$7:$E$137,"?*"))</f>
        <v>0.550813008130081</v>
      </c>
      <c r="N33" s="113"/>
      <c r="O33" s="113"/>
      <c r="P33" s="113"/>
      <c r="Q33" s="113"/>
      <c r="R33" s="113"/>
      <c r="S33" s="113"/>
      <c r="T33" s="113"/>
      <c r="U33" s="113"/>
      <c r="V33" s="113"/>
      <c r="W33" s="121" t="n">
        <f aca="false">IF(E33="",0,((N33="Y")*IFERROR(VLOOKUP(E33&amp;"|1",MOUNT_TBL,5,0),0)+(O33="Y")*IFERROR(VLOOKUP(E33&amp;"|2",MOUNT_TBL,5,0),0)+(P33="Y")*IFERROR(VLOOKUP(E33&amp;"|3",MOUNT_TBL,5,0),0)+(Q33="Y")*IFERROR(VLOOKUP(E33&amp;"|4",MOUNT_TBL,5,0),0)+(R33="Y")*IFERROR(VLOOKUP(E33&amp;"|5",MOUNT_TBL,5,0),0)+(S33="Y")*IFERROR(VLOOKUP(E33&amp;"|6",MOUNT_TBL,5,0),0)+(T33="Y")*IFERROR(VLOOKUP(E33&amp;"|7",MOUNT_TBL,5,0),0))/100)</f>
        <v>0</v>
      </c>
      <c r="X33" s="114" t="s">
        <v>613</v>
      </c>
      <c r="Z33" s="55" t="str">
        <f aca="false">AA33&amp;"|"&amp;AB33</f>
        <v>ถังน้ำใส|6</v>
      </c>
      <c r="AA33" s="55" t="s">
        <v>640</v>
      </c>
      <c r="AB33" s="55" t="n">
        <v>6</v>
      </c>
      <c r="AC33" s="55" t="s">
        <v>649</v>
      </c>
      <c r="AD33" s="111" t="n">
        <v>5</v>
      </c>
    </row>
    <row r="34" customFormat="false" ht="15" hidden="false" customHeight="false" outlineLevel="1" collapsed="false">
      <c r="A34" s="112" t="s">
        <v>62</v>
      </c>
      <c r="C34" s="113" t="s">
        <v>615</v>
      </c>
      <c r="D34" s="114" t="s">
        <v>642</v>
      </c>
      <c r="E34" s="115" t="s">
        <v>624</v>
      </c>
      <c r="F34" s="116" t="n">
        <v>221</v>
      </c>
      <c r="G34" s="117" t="n">
        <v>9.5</v>
      </c>
      <c r="H34" s="113"/>
      <c r="I34" s="118" t="str">
        <f aca="false">IF(E34="","",IF(AND(LEFT(E34,6)&lt;&gt;"หลังคา",E34&lt;&gt;"ถังน้ำใส"),"–",IF(H34="Y","มีแล้ว",IF(N(G34)=0,"⚠ กรอกความสูง",IF(G34&lt;LADDER_MIN,"ไม่ต้อง",IF(G34&lt;=8,"ติด: แผ่น 1 ช่วงเดียว","ติด: แผ่น 2 มีชานพัก"))))))</f>
        <v>ติด: แผ่น 2 มีชานพัก</v>
      </c>
      <c r="J34" s="119" t="n">
        <f aca="false">IF(N(F34)&gt;0,F34*0.57,0)</f>
        <v>125.97</v>
      </c>
      <c r="K34" s="120" t="n">
        <f aca="false">IF(E34="",0,J34*IFERROR(VLOOKUP(E34,MOUNT_EFFORT,2,0),1))</f>
        <v>113.373</v>
      </c>
      <c r="L34" s="121" t="n">
        <f aca="false">IF(K34=0,0,K34/SUMIF($A$7:$A$137,A34,$K$7:$K$137))</f>
        <v>0.449186991869919</v>
      </c>
      <c r="M34" s="121" t="n">
        <f aca="false">IF(E34="",0,J34/SUMIFS($J$7:$J$137,$A$7:$A$137,A34,$E$7:$E$137,"?*"))</f>
        <v>0.449186991869919</v>
      </c>
      <c r="N34" s="113"/>
      <c r="O34" s="113"/>
      <c r="P34" s="113"/>
      <c r="Q34" s="113"/>
      <c r="R34" s="113"/>
      <c r="S34" s="113"/>
      <c r="T34" s="113"/>
      <c r="U34" s="113"/>
      <c r="V34" s="113"/>
      <c r="W34" s="121" t="n">
        <f aca="false">IF(E34="",0,((N34="Y")*IFERROR(VLOOKUP(E34&amp;"|1",MOUNT_TBL,5,0),0)+(O34="Y")*IFERROR(VLOOKUP(E34&amp;"|2",MOUNT_TBL,5,0),0)+(P34="Y")*IFERROR(VLOOKUP(E34&amp;"|3",MOUNT_TBL,5,0),0)+(Q34="Y")*IFERROR(VLOOKUP(E34&amp;"|4",MOUNT_TBL,5,0),0)+(R34="Y")*IFERROR(VLOOKUP(E34&amp;"|5",MOUNT_TBL,5,0),0)+(S34="Y")*IFERROR(VLOOKUP(E34&amp;"|6",MOUNT_TBL,5,0),0)+(T34="Y")*IFERROR(VLOOKUP(E34&amp;"|7",MOUNT_TBL,5,0),0))/100)</f>
        <v>0</v>
      </c>
      <c r="X34" s="114" t="s">
        <v>613</v>
      </c>
      <c r="Z34" s="55" t="str">
        <f aca="false">AA34&amp;"|"&amp;AB34</f>
        <v>ถังน้ำใส|7</v>
      </c>
      <c r="AA34" s="55" t="s">
        <v>640</v>
      </c>
      <c r="AB34" s="55" t="n">
        <v>7</v>
      </c>
      <c r="AC34" s="61" t="s">
        <v>650</v>
      </c>
      <c r="AD34" s="111" t="n">
        <v>10</v>
      </c>
    </row>
    <row r="35" customFormat="false" ht="15" hidden="false" customHeight="false" outlineLevel="1" collapsed="false">
      <c r="A35" s="112" t="s">
        <v>62</v>
      </c>
      <c r="C35" s="113"/>
      <c r="D35" s="60"/>
      <c r="E35" s="115"/>
      <c r="F35" s="116"/>
      <c r="G35" s="117"/>
      <c r="H35" s="113"/>
      <c r="I35" s="118" t="str">
        <f aca="false">IF(E35="","",IF(AND(LEFT(E35,6)&lt;&gt;"หลังคา",E35&lt;&gt;"ถังน้ำใส"),"–",IF(H35="Y","มีแล้ว",IF(N(G35)=0,"⚠ กรอกความสูง",IF(G35&lt;LADDER_MIN,"ไม่ต้อง",IF(G35&lt;=8,"ติด: แผ่น 1 ช่วงเดียว","ติด: แผ่น 2 มีชานพัก"))))))</f>
        <v/>
      </c>
      <c r="J35" s="119" t="n">
        <f aca="false">IF(N(F35)&gt;0,F35*0.57,0)</f>
        <v>0</v>
      </c>
      <c r="K35" s="120" t="n">
        <f aca="false">IF(E35="",0,J35*IFERROR(VLOOKUP(E35,MOUNT_EFFORT,2,0),1))</f>
        <v>0</v>
      </c>
      <c r="L35" s="121" t="n">
        <f aca="false">IF(K35=0,0,K35/SUMIF($A$7:$A$137,A35,$K$7:$K$137))</f>
        <v>0</v>
      </c>
      <c r="M35" s="121" t="n">
        <f aca="false">IF(E35="",0,J35/SUMIFS($J$7:$J$137,$A$7:$A$137,A35,$E$7:$E$137,"?*"))</f>
        <v>0</v>
      </c>
      <c r="N35" s="113"/>
      <c r="O35" s="113"/>
      <c r="P35" s="113"/>
      <c r="Q35" s="113"/>
      <c r="R35" s="113"/>
      <c r="S35" s="113"/>
      <c r="T35" s="113"/>
      <c r="U35" s="113"/>
      <c r="V35" s="113"/>
      <c r="W35" s="121" t="n">
        <f aca="false">IF(E35="",0,((N35="Y")*IFERROR(VLOOKUP(E35&amp;"|1",MOUNT_TBL,5,0),0)+(O35="Y")*IFERROR(VLOOKUP(E35&amp;"|2",MOUNT_TBL,5,0),0)+(P35="Y")*IFERROR(VLOOKUP(E35&amp;"|3",MOUNT_TBL,5,0),0)+(Q35="Y")*IFERROR(VLOOKUP(E35&amp;"|4",MOUNT_TBL,5,0),0)+(R35="Y")*IFERROR(VLOOKUP(E35&amp;"|5",MOUNT_TBL,5,0),0)+(S35="Y")*IFERROR(VLOOKUP(E35&amp;"|6",MOUNT_TBL,5,0),0)+(T35="Y")*IFERROR(VLOOKUP(E35&amp;"|7",MOUNT_TBL,5,0),0))/100)</f>
        <v>0</v>
      </c>
      <c r="X35" s="60"/>
      <c r="Z35" s="55" t="str">
        <f aca="false">AA35&amp;"|"&amp;AB35</f>
        <v>ถังดินกลบ|1</v>
      </c>
      <c r="AA35" s="110" t="s">
        <v>651</v>
      </c>
      <c r="AB35" s="55" t="n">
        <v>1</v>
      </c>
      <c r="AC35" s="55" t="s">
        <v>652</v>
      </c>
      <c r="AD35" s="111" t="n">
        <v>10</v>
      </c>
    </row>
    <row r="36" customFormat="false" ht="15" hidden="false" customHeight="false" outlineLevel="1" collapsed="false">
      <c r="A36" s="112" t="s">
        <v>62</v>
      </c>
      <c r="C36" s="113"/>
      <c r="D36" s="60"/>
      <c r="E36" s="115"/>
      <c r="F36" s="116"/>
      <c r="G36" s="117"/>
      <c r="H36" s="113"/>
      <c r="I36" s="118" t="str">
        <f aca="false">IF(E36="","",IF(AND(LEFT(E36,6)&lt;&gt;"หลังคา",E36&lt;&gt;"ถังน้ำใส"),"–",IF(H36="Y","มีแล้ว",IF(N(G36)=0,"⚠ กรอกความสูง",IF(G36&lt;LADDER_MIN,"ไม่ต้อง",IF(G36&lt;=8,"ติด: แผ่น 1 ช่วงเดียว","ติด: แผ่น 2 มีชานพัก"))))))</f>
        <v/>
      </c>
      <c r="J36" s="119" t="n">
        <f aca="false">IF(N(F36)&gt;0,F36*0.57,0)</f>
        <v>0</v>
      </c>
      <c r="K36" s="120" t="n">
        <f aca="false">IF(E36="",0,J36*IFERROR(VLOOKUP(E36,MOUNT_EFFORT,2,0),1))</f>
        <v>0</v>
      </c>
      <c r="L36" s="121" t="n">
        <f aca="false">IF(K36=0,0,K36/SUMIF($A$7:$A$137,A36,$K$7:$K$137))</f>
        <v>0</v>
      </c>
      <c r="M36" s="121" t="n">
        <f aca="false">IF(E36="",0,J36/SUMIFS($J$7:$J$137,$A$7:$A$137,A36,$E$7:$E$137,"?*"))</f>
        <v>0</v>
      </c>
      <c r="N36" s="113"/>
      <c r="O36" s="113"/>
      <c r="P36" s="113"/>
      <c r="Q36" s="113"/>
      <c r="R36" s="113"/>
      <c r="S36" s="113"/>
      <c r="T36" s="113"/>
      <c r="U36" s="113"/>
      <c r="V36" s="113"/>
      <c r="W36" s="121" t="n">
        <f aca="false">IF(E36="",0,((N36="Y")*IFERROR(VLOOKUP(E36&amp;"|1",MOUNT_TBL,5,0),0)+(O36="Y")*IFERROR(VLOOKUP(E36&amp;"|2",MOUNT_TBL,5,0),0)+(P36="Y")*IFERROR(VLOOKUP(E36&amp;"|3",MOUNT_TBL,5,0),0)+(Q36="Y")*IFERROR(VLOOKUP(E36&amp;"|4",MOUNT_TBL,5,0),0)+(R36="Y")*IFERROR(VLOOKUP(E36&amp;"|5",MOUNT_TBL,5,0),0)+(S36="Y")*IFERROR(VLOOKUP(E36&amp;"|6",MOUNT_TBL,5,0),0)+(T36="Y")*IFERROR(VLOOKUP(E36&amp;"|7",MOUNT_TBL,5,0),0))/100)</f>
        <v>0</v>
      </c>
      <c r="X36" s="60"/>
      <c r="Z36" s="55" t="str">
        <f aca="false">AA36&amp;"|"&amp;AB36</f>
        <v>ถังดินกลบ|2</v>
      </c>
      <c r="AA36" s="55" t="s">
        <v>651</v>
      </c>
      <c r="AB36" s="55" t="n">
        <v>2</v>
      </c>
      <c r="AC36" s="55" t="s">
        <v>653</v>
      </c>
      <c r="AD36" s="111" t="n">
        <v>5</v>
      </c>
    </row>
    <row r="37" customFormat="false" ht="19.5" hidden="false" customHeight="true" outlineLevel="0" collapsed="false">
      <c r="A37" s="101" t="s">
        <v>654</v>
      </c>
      <c r="B37" s="102" t="s">
        <v>655</v>
      </c>
      <c r="C37" s="103" t="n">
        <f aca="false">COUNTIFS($A$38:$A$41,"P9-007",$E$38:$E$41,"?*")</f>
        <v>2</v>
      </c>
      <c r="D37" s="104" t="str">
        <f aca="false">IF(COUNTIFS($A$38:$A$41,"P9-007",$E$38:$E$41,"?*")=0,"ประมาณการ, ยังไม่สำรวจ — กรอกจุดจริงด้านล่าง (% 2.1–2.3 จะคิดรายจุดอัตโนมัติ)",SUBSTITUTE(IF(COUNTIFS($A$38:$A$41,"P9-007",$E$38:$E$41,"หลังคาลอนคู่")&gt;0,"ลอนคู่ "&amp;COUNTIFS($A$38:$A$41,"P9-007",$E$38:$E$41,"หลังคาลอนคู่")&amp;" จุด ("&amp;SUMIFS($F$38:$F$41,$A$38:$A$41,"P9-007",$E$38:$E$41,"หลังคาลอนคู่")&amp;" แผง), ","")&amp;IF(COUNTIFS($A$38:$A$41,"P9-007",$E$38:$E$41,"หลังคาเมทัลชีท")&gt;0,"เมทัลชีท "&amp;COUNTIFS($A$38:$A$41,"P9-007",$E$38:$E$41,"หลังคาเมทัลชีท")&amp;" จุด ("&amp;SUMIFS($F$38:$F$41,$A$38:$A$41,"P9-007",$E$38:$E$41,"หลังคาเมทัลชีท")&amp;" แผง), ","")&amp;IF(COUNTIFS($A$38:$A$41,"P9-007",$E$38:$E$41,"หลังคา")&gt;0,"หลังคา(ไม่ระบุวัสดุ) "&amp;COUNTIFS($A$38:$A$41,"P9-007",$E$38:$E$41,"หลังคา")&amp;" จุด ("&amp;SUMIFS($F$38:$F$41,$A$38:$A$41,"P9-007",$E$38:$E$41,"หลังคา")&amp;" แผง), ","")&amp;IF(COUNTIFS($A$38:$A$41,"P9-007",$E$38:$E$41,"ถังน้ำใส")&gt;0,"ถังน้ำใส "&amp;COUNTIFS($A$38:$A$41,"P9-007",$E$38:$E$41,"ถังน้ำใส")&amp;" จุด ("&amp;SUMIFS($F$38:$F$41,$A$38:$A$41,"P9-007",$E$38:$E$41,"ถังน้ำใส")&amp;" แผง), ","")&amp;IF(COUNTIFS($A$38:$A$41,"P9-007",$E$38:$E$41,"ถังดินกลบ")&gt;0,"ถังดินกลบ "&amp;COUNTIFS($A$38:$A$41,"P9-007",$E$38:$E$41,"ถังดินกลบ")&amp;" จุด ("&amp;SUMIFS($F$38:$F$41,$A$38:$A$41,"P9-007",$E$38:$E$41,"ถังดินกลบ")&amp;" แผง), ","")&amp;IF(COUNTIFS($A$38:$A$41,"P9-007",$E$38:$E$41,"Carport")&gt;0,"Carport "&amp;COUNTIFS($A$38:$A$41,"P9-007",$E$38:$E$41,"Carport")&amp;" จุด ("&amp;SUMIFS($F$38:$F$41,$A$38:$A$41,"P9-007",$E$38:$E$41,"Carport")&amp;" แผง), ","")&amp;"|",", |",""))</f>
        <v>เมทัลชีท 2 จุด (264 แผง)</v>
      </c>
      <c r="E37" s="104"/>
      <c r="F37" s="105" t="n">
        <f aca="false">SUMIF($A$38:$A$41,"P9-007",$F$38:$F$41)</f>
        <v>264</v>
      </c>
      <c r="G37" s="106"/>
      <c r="H37" s="106"/>
      <c r="I37" s="107" t="str">
        <f aca="false">IF(COUNTIFS($A$38:$A$41,"P9-007",$I$38:$I$41,"ติด:*")&gt;0,"บันได "&amp;COUNTIFS($A$38:$A$41,"P9-007",$I$38:$I$41,"ติด:*")&amp;" จุด","")</f>
        <v>บันได 2 จุด</v>
      </c>
      <c r="J37" s="108" t="n">
        <f aca="false">SUMIF($A$38:$A$41,"P9-007",$J$38:$J$41)</f>
        <v>150.48</v>
      </c>
      <c r="K37" s="106"/>
      <c r="L37" s="106"/>
      <c r="M37" s="106"/>
      <c r="N37" s="106" t="str">
        <f aca="false">IF(C37=0,"",COUNTIFS($A$38:$A$41,"P9-007",$N$38:$N$41,"Y")&amp;"/"&amp;C37)</f>
        <v>0/2</v>
      </c>
      <c r="O37" s="106" t="str">
        <f aca="false">IF(C37=0,"",COUNTIFS($A$38:$A$41,"P9-007",$O$38:$O$41,"Y")&amp;"/"&amp;C37)</f>
        <v>0/2</v>
      </c>
      <c r="P37" s="106" t="str">
        <f aca="false">IF(C37=0,"",COUNTIFS($A$38:$A$41,"P9-007",$P$38:$P$41,"Y")&amp;"/"&amp;C37)</f>
        <v>0/2</v>
      </c>
      <c r="Q37" s="106" t="str">
        <f aca="false">IF(C37=0,"",COUNTIFS($A$38:$A$41,"P9-007",$Q$38:$Q$41,"Y")&amp;"/"&amp;C37)</f>
        <v>0/2</v>
      </c>
      <c r="R37" s="106" t="str">
        <f aca="false">IF(C37=0,"",COUNTIFS($A$38:$A$41,"P9-007",$R$38:$R$41,"Y")&amp;"/"&amp;C37)</f>
        <v>0/2</v>
      </c>
      <c r="S37" s="106" t="str">
        <f aca="false">IF(C37=0,"",COUNTIFS($A$38:$A$41,"P9-007",$S$38:$S$41,"Y")&amp;"/"&amp;C37)</f>
        <v>0/2</v>
      </c>
      <c r="T37" s="106" t="str">
        <f aca="false">IF(C37=0,"",COUNTIFS($A$38:$A$41,"P9-007",$T$38:$T$41,"Y")&amp;"/"&amp;C37)</f>
        <v>0/2</v>
      </c>
      <c r="U37" s="106" t="str">
        <f aca="false">IF(C37=0,"",COUNTIFS($A$38:$A$41,"P9-007",$U$38:$U$41,"Y")&amp;"/"&amp;C37)</f>
        <v>0/2</v>
      </c>
      <c r="V37" s="106" t="str">
        <f aca="false">IF(C37=0,"",COUNTIFS($A$38:$A$41,"P9-007",$V$38:$V$41,"Y")&amp;"/"&amp;C37)</f>
        <v>0/2</v>
      </c>
      <c r="W37" s="109" t="n">
        <f aca="false">SUMPRODUCT($L$38:$L$41,$W$38:$W$41)</f>
        <v>0</v>
      </c>
      <c r="X37" s="106"/>
      <c r="Z37" s="55" t="str">
        <f aca="false">AA37&amp;"|"&amp;AB37</f>
        <v>ถังดินกลบ|3</v>
      </c>
      <c r="AA37" s="55" t="s">
        <v>651</v>
      </c>
      <c r="AB37" s="55" t="n">
        <v>3</v>
      </c>
      <c r="AC37" s="55" t="s">
        <v>656</v>
      </c>
      <c r="AD37" s="111" t="n">
        <v>40</v>
      </c>
    </row>
    <row r="38" customFormat="false" ht="15" hidden="false" customHeight="false" outlineLevel="1" collapsed="false">
      <c r="A38" s="112" t="s">
        <v>66</v>
      </c>
      <c r="C38" s="113" t="s">
        <v>611</v>
      </c>
      <c r="D38" s="114" t="s">
        <v>639</v>
      </c>
      <c r="E38" s="115" t="s">
        <v>624</v>
      </c>
      <c r="F38" s="116" t="n">
        <v>145</v>
      </c>
      <c r="G38" s="117" t="n">
        <v>7</v>
      </c>
      <c r="H38" s="113"/>
      <c r="I38" s="118" t="str">
        <f aca="false">IF(E38="","",IF(AND(LEFT(E38,6)&lt;&gt;"หลังคา",E38&lt;&gt;"ถังน้ำใส"),"–",IF(H38="Y","มีแล้ว",IF(N(G38)=0,"⚠ กรอกความสูง",IF(G38&lt;LADDER_MIN,"ไม่ต้อง",IF(G38&lt;=8,"ติด: แผ่น 1 ช่วงเดียว","ติด: แผ่น 2 มีชานพัก"))))))</f>
        <v>ติด: แผ่น 1 ช่วงเดียว</v>
      </c>
      <c r="J38" s="119" t="n">
        <f aca="false">IF(N(F38)&gt;0,F38*0.57,0)</f>
        <v>82.65</v>
      </c>
      <c r="K38" s="120" t="n">
        <f aca="false">IF(E38="",0,J38*IFERROR(VLOOKUP(E38,MOUNT_EFFORT,2,0),1))</f>
        <v>74.385</v>
      </c>
      <c r="L38" s="121" t="n">
        <f aca="false">IF(K38=0,0,K38/SUMIF($A$7:$A$137,A38,$K$7:$K$137))</f>
        <v>0.549242424242424</v>
      </c>
      <c r="M38" s="121" t="n">
        <f aca="false">IF(E38="",0,J38/SUMIFS($J$7:$J$137,$A$7:$A$137,A38,$E$7:$E$137,"?*"))</f>
        <v>0.549242424242424</v>
      </c>
      <c r="N38" s="113"/>
      <c r="O38" s="113"/>
      <c r="P38" s="113"/>
      <c r="Q38" s="113"/>
      <c r="R38" s="113"/>
      <c r="S38" s="113"/>
      <c r="T38" s="113"/>
      <c r="U38" s="113"/>
      <c r="V38" s="113"/>
      <c r="W38" s="121" t="n">
        <f aca="false">IF(E38="",0,((N38="Y")*IFERROR(VLOOKUP(E38&amp;"|1",MOUNT_TBL,5,0),0)+(O38="Y")*IFERROR(VLOOKUP(E38&amp;"|2",MOUNT_TBL,5,0),0)+(P38="Y")*IFERROR(VLOOKUP(E38&amp;"|3",MOUNT_TBL,5,0),0)+(Q38="Y")*IFERROR(VLOOKUP(E38&amp;"|4",MOUNT_TBL,5,0),0)+(R38="Y")*IFERROR(VLOOKUP(E38&amp;"|5",MOUNT_TBL,5,0),0)+(S38="Y")*IFERROR(VLOOKUP(E38&amp;"|6",MOUNT_TBL,5,0),0)+(T38="Y")*IFERROR(VLOOKUP(E38&amp;"|7",MOUNT_TBL,5,0),0))/100)</f>
        <v>0</v>
      </c>
      <c r="X38" s="114" t="s">
        <v>613</v>
      </c>
      <c r="Z38" s="55" t="str">
        <f aca="false">AA38&amp;"|"&amp;AB38</f>
        <v>ถังดินกลบ|4</v>
      </c>
      <c r="AA38" s="55" t="s">
        <v>651</v>
      </c>
      <c r="AB38" s="55" t="n">
        <v>4</v>
      </c>
      <c r="AC38" s="55" t="s">
        <v>657</v>
      </c>
      <c r="AD38" s="111" t="n">
        <v>20</v>
      </c>
    </row>
    <row r="39" customFormat="false" ht="15" hidden="false" customHeight="false" outlineLevel="1" collapsed="false">
      <c r="A39" s="112" t="s">
        <v>66</v>
      </c>
      <c r="C39" s="113" t="s">
        <v>615</v>
      </c>
      <c r="D39" s="114" t="s">
        <v>642</v>
      </c>
      <c r="E39" s="115" t="s">
        <v>624</v>
      </c>
      <c r="F39" s="116" t="n">
        <v>119</v>
      </c>
      <c r="G39" s="117" t="n">
        <v>9.5</v>
      </c>
      <c r="H39" s="113"/>
      <c r="I39" s="118" t="str">
        <f aca="false">IF(E39="","",IF(AND(LEFT(E39,6)&lt;&gt;"หลังคา",E39&lt;&gt;"ถังน้ำใส"),"–",IF(H39="Y","มีแล้ว",IF(N(G39)=0,"⚠ กรอกความสูง",IF(G39&lt;LADDER_MIN,"ไม่ต้อง",IF(G39&lt;=8,"ติด: แผ่น 1 ช่วงเดียว","ติด: แผ่น 2 มีชานพัก"))))))</f>
        <v>ติด: แผ่น 2 มีชานพัก</v>
      </c>
      <c r="J39" s="119" t="n">
        <f aca="false">IF(N(F39)&gt;0,F39*0.57,0)</f>
        <v>67.83</v>
      </c>
      <c r="K39" s="120" t="n">
        <f aca="false">IF(E39="",0,J39*IFERROR(VLOOKUP(E39,MOUNT_EFFORT,2,0),1))</f>
        <v>61.047</v>
      </c>
      <c r="L39" s="121" t="n">
        <f aca="false">IF(K39=0,0,K39/SUMIF($A$7:$A$137,A39,$K$7:$K$137))</f>
        <v>0.450757575757576</v>
      </c>
      <c r="M39" s="121" t="n">
        <f aca="false">IF(E39="",0,J39/SUMIFS($J$7:$J$137,$A$7:$A$137,A39,$E$7:$E$137,"?*"))</f>
        <v>0.450757575757576</v>
      </c>
      <c r="N39" s="113"/>
      <c r="O39" s="113"/>
      <c r="P39" s="113"/>
      <c r="Q39" s="113"/>
      <c r="R39" s="113"/>
      <c r="S39" s="113"/>
      <c r="T39" s="113"/>
      <c r="U39" s="113"/>
      <c r="V39" s="113"/>
      <c r="W39" s="121" t="n">
        <f aca="false">IF(E39="",0,((N39="Y")*IFERROR(VLOOKUP(E39&amp;"|1",MOUNT_TBL,5,0),0)+(O39="Y")*IFERROR(VLOOKUP(E39&amp;"|2",MOUNT_TBL,5,0),0)+(P39="Y")*IFERROR(VLOOKUP(E39&amp;"|3",MOUNT_TBL,5,0),0)+(Q39="Y")*IFERROR(VLOOKUP(E39&amp;"|4",MOUNT_TBL,5,0),0)+(R39="Y")*IFERROR(VLOOKUP(E39&amp;"|5",MOUNT_TBL,5,0),0)+(S39="Y")*IFERROR(VLOOKUP(E39&amp;"|6",MOUNT_TBL,5,0),0)+(T39="Y")*IFERROR(VLOOKUP(E39&amp;"|7",MOUNT_TBL,5,0),0))/100)</f>
        <v>0</v>
      </c>
      <c r="X39" s="114" t="s">
        <v>613</v>
      </c>
      <c r="Z39" s="55" t="str">
        <f aca="false">AA39&amp;"|"&amp;AB39</f>
        <v>ถังดินกลบ|5</v>
      </c>
      <c r="AA39" s="55" t="s">
        <v>651</v>
      </c>
      <c r="AB39" s="55" t="n">
        <v>5</v>
      </c>
      <c r="AC39" s="55" t="s">
        <v>658</v>
      </c>
      <c r="AD39" s="111" t="n">
        <v>10</v>
      </c>
    </row>
    <row r="40" customFormat="false" ht="15" hidden="false" customHeight="false" outlineLevel="1" collapsed="false">
      <c r="A40" s="112" t="s">
        <v>66</v>
      </c>
      <c r="C40" s="113"/>
      <c r="D40" s="60"/>
      <c r="E40" s="115"/>
      <c r="F40" s="116"/>
      <c r="G40" s="117"/>
      <c r="H40" s="113"/>
      <c r="I40" s="118" t="str">
        <f aca="false">IF(E40="","",IF(AND(LEFT(E40,6)&lt;&gt;"หลังคา",E40&lt;&gt;"ถังน้ำใส"),"–",IF(H40="Y","มีแล้ว",IF(N(G40)=0,"⚠ กรอกความสูง",IF(G40&lt;LADDER_MIN,"ไม่ต้อง",IF(G40&lt;=8,"ติด: แผ่น 1 ช่วงเดียว","ติด: แผ่น 2 มีชานพัก"))))))</f>
        <v/>
      </c>
      <c r="J40" s="119" t="n">
        <f aca="false">IF(N(F40)&gt;0,F40*0.57,0)</f>
        <v>0</v>
      </c>
      <c r="K40" s="120" t="n">
        <f aca="false">IF(E40="",0,J40*IFERROR(VLOOKUP(E40,MOUNT_EFFORT,2,0),1))</f>
        <v>0</v>
      </c>
      <c r="L40" s="121" t="n">
        <f aca="false">IF(K40=0,0,K40/SUMIF($A$7:$A$137,A40,$K$7:$K$137))</f>
        <v>0</v>
      </c>
      <c r="M40" s="121" t="n">
        <f aca="false">IF(E40="",0,J40/SUMIFS($J$7:$J$137,$A$7:$A$137,A40,$E$7:$E$137,"?*"))</f>
        <v>0</v>
      </c>
      <c r="N40" s="113"/>
      <c r="O40" s="113"/>
      <c r="P40" s="113"/>
      <c r="Q40" s="113"/>
      <c r="R40" s="113"/>
      <c r="S40" s="113"/>
      <c r="T40" s="113"/>
      <c r="U40" s="113"/>
      <c r="V40" s="113"/>
      <c r="W40" s="121" t="n">
        <f aca="false">IF(E40="",0,((N40="Y")*IFERROR(VLOOKUP(E40&amp;"|1",MOUNT_TBL,5,0),0)+(O40="Y")*IFERROR(VLOOKUP(E40&amp;"|2",MOUNT_TBL,5,0),0)+(P40="Y")*IFERROR(VLOOKUP(E40&amp;"|3",MOUNT_TBL,5,0),0)+(Q40="Y")*IFERROR(VLOOKUP(E40&amp;"|4",MOUNT_TBL,5,0),0)+(R40="Y")*IFERROR(VLOOKUP(E40&amp;"|5",MOUNT_TBL,5,0),0)+(S40="Y")*IFERROR(VLOOKUP(E40&amp;"|6",MOUNT_TBL,5,0),0)+(T40="Y")*IFERROR(VLOOKUP(E40&amp;"|7",MOUNT_TBL,5,0),0))/100)</f>
        <v>0</v>
      </c>
      <c r="X40" s="60"/>
      <c r="Z40" s="55" t="str">
        <f aca="false">AA40&amp;"|"&amp;AB40</f>
        <v>ถังดินกลบ|6</v>
      </c>
      <c r="AA40" s="55" t="s">
        <v>651</v>
      </c>
      <c r="AB40" s="55" t="n">
        <v>6</v>
      </c>
      <c r="AC40" s="55" t="s">
        <v>659</v>
      </c>
      <c r="AD40" s="111" t="n">
        <v>5</v>
      </c>
    </row>
    <row r="41" customFormat="false" ht="15" hidden="false" customHeight="false" outlineLevel="1" collapsed="false">
      <c r="A41" s="112" t="s">
        <v>66</v>
      </c>
      <c r="C41" s="113"/>
      <c r="D41" s="60"/>
      <c r="E41" s="115"/>
      <c r="F41" s="116"/>
      <c r="G41" s="117"/>
      <c r="H41" s="113"/>
      <c r="I41" s="118" t="str">
        <f aca="false">IF(E41="","",IF(AND(LEFT(E41,6)&lt;&gt;"หลังคา",E41&lt;&gt;"ถังน้ำใส"),"–",IF(H41="Y","มีแล้ว",IF(N(G41)=0,"⚠ กรอกความสูง",IF(G41&lt;LADDER_MIN,"ไม่ต้อง",IF(G41&lt;=8,"ติด: แผ่น 1 ช่วงเดียว","ติด: แผ่น 2 มีชานพัก"))))))</f>
        <v/>
      </c>
      <c r="J41" s="119" t="n">
        <f aca="false">IF(N(F41)&gt;0,F41*0.57,0)</f>
        <v>0</v>
      </c>
      <c r="K41" s="120" t="n">
        <f aca="false">IF(E41="",0,J41*IFERROR(VLOOKUP(E41,MOUNT_EFFORT,2,0),1))</f>
        <v>0</v>
      </c>
      <c r="L41" s="121" t="n">
        <f aca="false">IF(K41=0,0,K41/SUMIF($A$7:$A$137,A41,$K$7:$K$137))</f>
        <v>0</v>
      </c>
      <c r="M41" s="121" t="n">
        <f aca="false">IF(E41="",0,J41/SUMIFS($J$7:$J$137,$A$7:$A$137,A41,$E$7:$E$137,"?*"))</f>
        <v>0</v>
      </c>
      <c r="N41" s="113"/>
      <c r="O41" s="113"/>
      <c r="P41" s="113"/>
      <c r="Q41" s="113"/>
      <c r="R41" s="113"/>
      <c r="S41" s="113"/>
      <c r="T41" s="113"/>
      <c r="U41" s="113"/>
      <c r="V41" s="113"/>
      <c r="W41" s="121" t="n">
        <f aca="false">IF(E41="",0,((N41="Y")*IFERROR(VLOOKUP(E41&amp;"|1",MOUNT_TBL,5,0),0)+(O41="Y")*IFERROR(VLOOKUP(E41&amp;"|2",MOUNT_TBL,5,0),0)+(P41="Y")*IFERROR(VLOOKUP(E41&amp;"|3",MOUNT_TBL,5,0),0)+(Q41="Y")*IFERROR(VLOOKUP(E41&amp;"|4",MOUNT_TBL,5,0),0)+(R41="Y")*IFERROR(VLOOKUP(E41&amp;"|5",MOUNT_TBL,5,0),0)+(S41="Y")*IFERROR(VLOOKUP(E41&amp;"|6",MOUNT_TBL,5,0),0)+(T41="Y")*IFERROR(VLOOKUP(E41&amp;"|7",MOUNT_TBL,5,0),0))/100)</f>
        <v>0</v>
      </c>
      <c r="X41" s="60"/>
      <c r="Z41" s="55" t="str">
        <f aca="false">AA41&amp;"|"&amp;AB41</f>
        <v>ถังดินกลบ|7</v>
      </c>
      <c r="AA41" s="55" t="s">
        <v>651</v>
      </c>
      <c r="AB41" s="55" t="n">
        <v>7</v>
      </c>
      <c r="AC41" s="61" t="s">
        <v>660</v>
      </c>
      <c r="AD41" s="111" t="n">
        <v>10</v>
      </c>
    </row>
    <row r="42" customFormat="false" ht="19.5" hidden="false" customHeight="true" outlineLevel="0" collapsed="false">
      <c r="A42" s="101" t="s">
        <v>661</v>
      </c>
      <c r="B42" s="102" t="s">
        <v>662</v>
      </c>
      <c r="C42" s="103" t="n">
        <f aca="false">COUNTIFS($A$43:$A$46,"P9-008",$E$43:$E$46,"?*")</f>
        <v>2</v>
      </c>
      <c r="D42" s="104" t="str">
        <f aca="false">IF(COUNTIFS($A$43:$A$46,"P9-008",$E$43:$E$46,"?*")=0,"ประมาณการ, ยังไม่สำรวจ — กรอกจุดจริงด้านล่าง (% 2.1–2.3 จะคิดรายจุดอัตโนมัติ)",SUBSTITUTE(IF(COUNTIFS($A$43:$A$46,"P9-008",$E$43:$E$46,"หลังคาลอนคู่")&gt;0,"ลอนคู่ "&amp;COUNTIFS($A$43:$A$46,"P9-008",$E$43:$E$46,"หลังคาลอนคู่")&amp;" จุด ("&amp;SUMIFS($F$43:$F$46,$A$43:$A$46,"P9-008",$E$43:$E$46,"หลังคาลอนคู่")&amp;" แผง), ","")&amp;IF(COUNTIFS($A$43:$A$46,"P9-008",$E$43:$E$46,"หลังคาเมทัลชีท")&gt;0,"เมทัลชีท "&amp;COUNTIFS($A$43:$A$46,"P9-008",$E$43:$E$46,"หลังคาเมทัลชีท")&amp;" จุด ("&amp;SUMIFS($F$43:$F$46,$A$43:$A$46,"P9-008",$E$43:$E$46,"หลังคาเมทัลชีท")&amp;" แผง), ","")&amp;IF(COUNTIFS($A$43:$A$46,"P9-008",$E$43:$E$46,"หลังคา")&gt;0,"หลังคา(ไม่ระบุวัสดุ) "&amp;COUNTIFS($A$43:$A$46,"P9-008",$E$43:$E$46,"หลังคา")&amp;" จุด ("&amp;SUMIFS($F$43:$F$46,$A$43:$A$46,"P9-008",$E$43:$E$46,"หลังคา")&amp;" แผง), ","")&amp;IF(COUNTIFS($A$43:$A$46,"P9-008",$E$43:$E$46,"ถังน้ำใส")&gt;0,"ถังน้ำใส "&amp;COUNTIFS($A$43:$A$46,"P9-008",$E$43:$E$46,"ถังน้ำใส")&amp;" จุด ("&amp;SUMIFS($F$43:$F$46,$A$43:$A$46,"P9-008",$E$43:$E$46,"ถังน้ำใส")&amp;" แผง), ","")&amp;IF(COUNTIFS($A$43:$A$46,"P9-008",$E$43:$E$46,"ถังดินกลบ")&gt;0,"ถังดินกลบ "&amp;COUNTIFS($A$43:$A$46,"P9-008",$E$43:$E$46,"ถังดินกลบ")&amp;" จุด ("&amp;SUMIFS($F$43:$F$46,$A$43:$A$46,"P9-008",$E$43:$E$46,"ถังดินกลบ")&amp;" แผง), ","")&amp;IF(COUNTIFS($A$43:$A$46,"P9-008",$E$43:$E$46,"Carport")&gt;0,"Carport "&amp;COUNTIFS($A$43:$A$46,"P9-008",$E$43:$E$46,"Carport")&amp;" จุด ("&amp;SUMIFS($F$43:$F$46,$A$43:$A$46,"P9-008",$E$43:$E$46,"Carport")&amp;" แผง), ","")&amp;"|",", |",""))</f>
        <v>เมทัลชีท 2 จุด (492 แผง)</v>
      </c>
      <c r="E42" s="104"/>
      <c r="F42" s="105" t="n">
        <f aca="false">SUMIF($A$43:$A$46,"P9-008",$F$43:$F$46)</f>
        <v>492</v>
      </c>
      <c r="G42" s="106"/>
      <c r="H42" s="106"/>
      <c r="I42" s="107" t="str">
        <f aca="false">IF(COUNTIFS($A$43:$A$46,"P9-008",$I$43:$I$46,"ติด:*")&gt;0,"บันได "&amp;COUNTIFS($A$43:$A$46,"P9-008",$I$43:$I$46,"ติด:*")&amp;" จุด","")</f>
        <v>บันได 2 จุด</v>
      </c>
      <c r="J42" s="108" t="n">
        <f aca="false">SUMIF($A$43:$A$46,"P9-008",$J$43:$J$46)</f>
        <v>280.44</v>
      </c>
      <c r="K42" s="106"/>
      <c r="L42" s="106"/>
      <c r="M42" s="106"/>
      <c r="N42" s="106" t="str">
        <f aca="false">IF(C42=0,"",COUNTIFS($A$43:$A$46,"P9-008",$N$43:$N$46,"Y")&amp;"/"&amp;C42)</f>
        <v>0/2</v>
      </c>
      <c r="O42" s="106" t="str">
        <f aca="false">IF(C42=0,"",COUNTIFS($A$43:$A$46,"P9-008",$O$43:$O$46,"Y")&amp;"/"&amp;C42)</f>
        <v>0/2</v>
      </c>
      <c r="P42" s="106" t="str">
        <f aca="false">IF(C42=0,"",COUNTIFS($A$43:$A$46,"P9-008",$P$43:$P$46,"Y")&amp;"/"&amp;C42)</f>
        <v>0/2</v>
      </c>
      <c r="Q42" s="106" t="str">
        <f aca="false">IF(C42=0,"",COUNTIFS($A$43:$A$46,"P9-008",$Q$43:$Q$46,"Y")&amp;"/"&amp;C42)</f>
        <v>0/2</v>
      </c>
      <c r="R42" s="106" t="str">
        <f aca="false">IF(C42=0,"",COUNTIFS($A$43:$A$46,"P9-008",$R$43:$R$46,"Y")&amp;"/"&amp;C42)</f>
        <v>0/2</v>
      </c>
      <c r="S42" s="106" t="str">
        <f aca="false">IF(C42=0,"",COUNTIFS($A$43:$A$46,"P9-008",$S$43:$S$46,"Y")&amp;"/"&amp;C42)</f>
        <v>0/2</v>
      </c>
      <c r="T42" s="106" t="str">
        <f aca="false">IF(C42=0,"",COUNTIFS($A$43:$A$46,"P9-008",$T$43:$T$46,"Y")&amp;"/"&amp;C42)</f>
        <v>0/2</v>
      </c>
      <c r="U42" s="106" t="str">
        <f aca="false">IF(C42=0,"",COUNTIFS($A$43:$A$46,"P9-008",$U$43:$U$46,"Y")&amp;"/"&amp;C42)</f>
        <v>0/2</v>
      </c>
      <c r="V42" s="106" t="str">
        <f aca="false">IF(C42=0,"",COUNTIFS($A$43:$A$46,"P9-008",$V$43:$V$46,"Y")&amp;"/"&amp;C42)</f>
        <v>0/2</v>
      </c>
      <c r="W42" s="109" t="n">
        <f aca="false">SUMPRODUCT($L$43:$L$46,$W$43:$W$46)</f>
        <v>0</v>
      </c>
      <c r="X42" s="106"/>
      <c r="Z42" s="55" t="str">
        <f aca="false">AA42&amp;"|"&amp;AB42</f>
        <v>Carport|1</v>
      </c>
      <c r="AA42" s="122" t="s">
        <v>663</v>
      </c>
      <c r="AB42" s="55" t="n">
        <v>1</v>
      </c>
      <c r="AC42" s="55" t="s">
        <v>664</v>
      </c>
      <c r="AD42" s="111" t="n">
        <v>5</v>
      </c>
    </row>
    <row r="43" customFormat="false" ht="15" hidden="false" customHeight="false" outlineLevel="1" collapsed="false">
      <c r="A43" s="112" t="s">
        <v>70</v>
      </c>
      <c r="C43" s="113" t="s">
        <v>611</v>
      </c>
      <c r="D43" s="114" t="s">
        <v>639</v>
      </c>
      <c r="E43" s="115" t="s">
        <v>624</v>
      </c>
      <c r="F43" s="116" t="n">
        <v>271</v>
      </c>
      <c r="G43" s="117" t="n">
        <v>7</v>
      </c>
      <c r="H43" s="113"/>
      <c r="I43" s="118" t="str">
        <f aca="false">IF(E43="","",IF(AND(LEFT(E43,6)&lt;&gt;"หลังคา",E43&lt;&gt;"ถังน้ำใส"),"–",IF(H43="Y","มีแล้ว",IF(N(G43)=0,"⚠ กรอกความสูง",IF(G43&lt;LADDER_MIN,"ไม่ต้อง",IF(G43&lt;=8,"ติด: แผ่น 1 ช่วงเดียว","ติด: แผ่น 2 มีชานพัก"))))))</f>
        <v>ติด: แผ่น 1 ช่วงเดียว</v>
      </c>
      <c r="J43" s="119" t="n">
        <f aca="false">IF(N(F43)&gt;0,F43*0.57,0)</f>
        <v>154.47</v>
      </c>
      <c r="K43" s="120" t="n">
        <f aca="false">IF(E43="",0,J43*IFERROR(VLOOKUP(E43,MOUNT_EFFORT,2,0),1))</f>
        <v>139.023</v>
      </c>
      <c r="L43" s="121" t="n">
        <f aca="false">IF(K43=0,0,K43/SUMIF($A$7:$A$137,A43,$K$7:$K$137))</f>
        <v>0.550813008130081</v>
      </c>
      <c r="M43" s="121" t="n">
        <f aca="false">IF(E43="",0,J43/SUMIFS($J$7:$J$137,$A$7:$A$137,A43,$E$7:$E$137,"?*"))</f>
        <v>0.550813008130081</v>
      </c>
      <c r="N43" s="113"/>
      <c r="O43" s="113"/>
      <c r="P43" s="113"/>
      <c r="Q43" s="113"/>
      <c r="R43" s="113"/>
      <c r="S43" s="113"/>
      <c r="T43" s="113"/>
      <c r="U43" s="113"/>
      <c r="V43" s="113"/>
      <c r="W43" s="121" t="n">
        <f aca="false">IF(E43="",0,((N43="Y")*IFERROR(VLOOKUP(E43&amp;"|1",MOUNT_TBL,5,0),0)+(O43="Y")*IFERROR(VLOOKUP(E43&amp;"|2",MOUNT_TBL,5,0),0)+(P43="Y")*IFERROR(VLOOKUP(E43&amp;"|3",MOUNT_TBL,5,0),0)+(Q43="Y")*IFERROR(VLOOKUP(E43&amp;"|4",MOUNT_TBL,5,0),0)+(R43="Y")*IFERROR(VLOOKUP(E43&amp;"|5",MOUNT_TBL,5,0),0)+(S43="Y")*IFERROR(VLOOKUP(E43&amp;"|6",MOUNT_TBL,5,0),0)+(T43="Y")*IFERROR(VLOOKUP(E43&amp;"|7",MOUNT_TBL,5,0),0))/100)</f>
        <v>0</v>
      </c>
      <c r="X43" s="114" t="s">
        <v>613</v>
      </c>
      <c r="Z43" s="55" t="str">
        <f aca="false">AA43&amp;"|"&amp;AB43</f>
        <v>Carport|2</v>
      </c>
      <c r="AA43" s="61" t="s">
        <v>663</v>
      </c>
      <c r="AB43" s="55" t="n">
        <v>2</v>
      </c>
      <c r="AC43" s="55" t="s">
        <v>665</v>
      </c>
      <c r="AD43" s="111" t="n">
        <v>5</v>
      </c>
    </row>
    <row r="44" customFormat="false" ht="15" hidden="false" customHeight="false" outlineLevel="1" collapsed="false">
      <c r="A44" s="112" t="s">
        <v>70</v>
      </c>
      <c r="C44" s="113" t="s">
        <v>615</v>
      </c>
      <c r="D44" s="114" t="s">
        <v>642</v>
      </c>
      <c r="E44" s="115" t="s">
        <v>624</v>
      </c>
      <c r="F44" s="116" t="n">
        <v>221</v>
      </c>
      <c r="G44" s="117" t="n">
        <v>9.5</v>
      </c>
      <c r="H44" s="113"/>
      <c r="I44" s="118" t="str">
        <f aca="false">IF(E44="","",IF(AND(LEFT(E44,6)&lt;&gt;"หลังคา",E44&lt;&gt;"ถังน้ำใส"),"–",IF(H44="Y","มีแล้ว",IF(N(G44)=0,"⚠ กรอกความสูง",IF(G44&lt;LADDER_MIN,"ไม่ต้อง",IF(G44&lt;=8,"ติด: แผ่น 1 ช่วงเดียว","ติด: แผ่น 2 มีชานพัก"))))))</f>
        <v>ติด: แผ่น 2 มีชานพัก</v>
      </c>
      <c r="J44" s="119" t="n">
        <f aca="false">IF(N(F44)&gt;0,F44*0.57,0)</f>
        <v>125.97</v>
      </c>
      <c r="K44" s="120" t="n">
        <f aca="false">IF(E44="",0,J44*IFERROR(VLOOKUP(E44,MOUNT_EFFORT,2,0),1))</f>
        <v>113.373</v>
      </c>
      <c r="L44" s="121" t="n">
        <f aca="false">IF(K44=0,0,K44/SUMIF($A$7:$A$137,A44,$K$7:$K$137))</f>
        <v>0.449186991869919</v>
      </c>
      <c r="M44" s="121" t="n">
        <f aca="false">IF(E44="",0,J44/SUMIFS($J$7:$J$137,$A$7:$A$137,A44,$E$7:$E$137,"?*"))</f>
        <v>0.449186991869919</v>
      </c>
      <c r="N44" s="113"/>
      <c r="O44" s="113"/>
      <c r="P44" s="113"/>
      <c r="Q44" s="113"/>
      <c r="R44" s="113"/>
      <c r="S44" s="113"/>
      <c r="T44" s="113"/>
      <c r="U44" s="113"/>
      <c r="V44" s="113"/>
      <c r="W44" s="121" t="n">
        <f aca="false">IF(E44="",0,((N44="Y")*IFERROR(VLOOKUP(E44&amp;"|1",MOUNT_TBL,5,0),0)+(O44="Y")*IFERROR(VLOOKUP(E44&amp;"|2",MOUNT_TBL,5,0),0)+(P44="Y")*IFERROR(VLOOKUP(E44&amp;"|3",MOUNT_TBL,5,0),0)+(Q44="Y")*IFERROR(VLOOKUP(E44&amp;"|4",MOUNT_TBL,5,0),0)+(R44="Y")*IFERROR(VLOOKUP(E44&amp;"|5",MOUNT_TBL,5,0),0)+(S44="Y")*IFERROR(VLOOKUP(E44&amp;"|6",MOUNT_TBL,5,0),0)+(T44="Y")*IFERROR(VLOOKUP(E44&amp;"|7",MOUNT_TBL,5,0),0))/100)</f>
        <v>0</v>
      </c>
      <c r="X44" s="114" t="s">
        <v>613</v>
      </c>
      <c r="Z44" s="55" t="str">
        <f aca="false">AA44&amp;"|"&amp;AB44</f>
        <v>Carport|3</v>
      </c>
      <c r="AA44" s="61" t="s">
        <v>663</v>
      </c>
      <c r="AB44" s="55" t="n">
        <v>3</v>
      </c>
      <c r="AC44" s="55" t="s">
        <v>666</v>
      </c>
      <c r="AD44" s="111" t="n">
        <v>25</v>
      </c>
    </row>
    <row r="45" customFormat="false" ht="15" hidden="false" customHeight="false" outlineLevel="1" collapsed="false">
      <c r="A45" s="112" t="s">
        <v>70</v>
      </c>
      <c r="C45" s="113"/>
      <c r="D45" s="60"/>
      <c r="E45" s="115"/>
      <c r="F45" s="116"/>
      <c r="G45" s="117"/>
      <c r="H45" s="113"/>
      <c r="I45" s="118" t="str">
        <f aca="false">IF(E45="","",IF(AND(LEFT(E45,6)&lt;&gt;"หลังคา",E45&lt;&gt;"ถังน้ำใส"),"–",IF(H45="Y","มีแล้ว",IF(N(G45)=0,"⚠ กรอกความสูง",IF(G45&lt;LADDER_MIN,"ไม่ต้อง",IF(G45&lt;=8,"ติด: แผ่น 1 ช่วงเดียว","ติด: แผ่น 2 มีชานพัก"))))))</f>
        <v/>
      </c>
      <c r="J45" s="119" t="n">
        <f aca="false">IF(N(F45)&gt;0,F45*0.57,0)</f>
        <v>0</v>
      </c>
      <c r="K45" s="120" t="n">
        <f aca="false">IF(E45="",0,J45*IFERROR(VLOOKUP(E45,MOUNT_EFFORT,2,0),1))</f>
        <v>0</v>
      </c>
      <c r="L45" s="121" t="n">
        <f aca="false">IF(K45=0,0,K45/SUMIF($A$7:$A$137,A45,$K$7:$K$137))</f>
        <v>0</v>
      </c>
      <c r="M45" s="121" t="n">
        <f aca="false">IF(E45="",0,J45/SUMIFS($J$7:$J$137,$A$7:$A$137,A45,$E$7:$E$137,"?*"))</f>
        <v>0</v>
      </c>
      <c r="N45" s="113"/>
      <c r="O45" s="113"/>
      <c r="P45" s="113"/>
      <c r="Q45" s="113"/>
      <c r="R45" s="113"/>
      <c r="S45" s="113"/>
      <c r="T45" s="113"/>
      <c r="U45" s="113"/>
      <c r="V45" s="113"/>
      <c r="W45" s="121" t="n">
        <f aca="false">IF(E45="",0,((N45="Y")*IFERROR(VLOOKUP(E45&amp;"|1",MOUNT_TBL,5,0),0)+(O45="Y")*IFERROR(VLOOKUP(E45&amp;"|2",MOUNT_TBL,5,0),0)+(P45="Y")*IFERROR(VLOOKUP(E45&amp;"|3",MOUNT_TBL,5,0),0)+(Q45="Y")*IFERROR(VLOOKUP(E45&amp;"|4",MOUNT_TBL,5,0),0)+(R45="Y")*IFERROR(VLOOKUP(E45&amp;"|5",MOUNT_TBL,5,0),0)+(S45="Y")*IFERROR(VLOOKUP(E45&amp;"|6",MOUNT_TBL,5,0),0)+(T45="Y")*IFERROR(VLOOKUP(E45&amp;"|7",MOUNT_TBL,5,0),0))/100)</f>
        <v>0</v>
      </c>
      <c r="X45" s="60"/>
      <c r="Z45" s="55" t="str">
        <f aca="false">AA45&amp;"|"&amp;AB45</f>
        <v>Carport|4</v>
      </c>
      <c r="AA45" s="61" t="s">
        <v>663</v>
      </c>
      <c r="AB45" s="55" t="n">
        <v>4</v>
      </c>
      <c r="AC45" s="55" t="s">
        <v>667</v>
      </c>
      <c r="AD45" s="111" t="n">
        <v>40</v>
      </c>
    </row>
    <row r="46" customFormat="false" ht="15" hidden="false" customHeight="false" outlineLevel="1" collapsed="false">
      <c r="A46" s="112" t="s">
        <v>70</v>
      </c>
      <c r="C46" s="113"/>
      <c r="D46" s="60"/>
      <c r="E46" s="115"/>
      <c r="F46" s="116"/>
      <c r="G46" s="117"/>
      <c r="H46" s="113"/>
      <c r="I46" s="118" t="str">
        <f aca="false">IF(E46="","",IF(AND(LEFT(E46,6)&lt;&gt;"หลังคา",E46&lt;&gt;"ถังน้ำใส"),"–",IF(H46="Y","มีแล้ว",IF(N(G46)=0,"⚠ กรอกความสูง",IF(G46&lt;LADDER_MIN,"ไม่ต้อง",IF(G46&lt;=8,"ติด: แผ่น 1 ช่วงเดียว","ติด: แผ่น 2 มีชานพัก"))))))</f>
        <v/>
      </c>
      <c r="J46" s="119" t="n">
        <f aca="false">IF(N(F46)&gt;0,F46*0.57,0)</f>
        <v>0</v>
      </c>
      <c r="K46" s="120" t="n">
        <f aca="false">IF(E46="",0,J46*IFERROR(VLOOKUP(E46,MOUNT_EFFORT,2,0),1))</f>
        <v>0</v>
      </c>
      <c r="L46" s="121" t="n">
        <f aca="false">IF(K46=0,0,K46/SUMIF($A$7:$A$137,A46,$K$7:$K$137))</f>
        <v>0</v>
      </c>
      <c r="M46" s="121" t="n">
        <f aca="false">IF(E46="",0,J46/SUMIFS($J$7:$J$137,$A$7:$A$137,A46,$E$7:$E$137,"?*"))</f>
        <v>0</v>
      </c>
      <c r="N46" s="113"/>
      <c r="O46" s="113"/>
      <c r="P46" s="113"/>
      <c r="Q46" s="113"/>
      <c r="R46" s="113"/>
      <c r="S46" s="113"/>
      <c r="T46" s="113"/>
      <c r="U46" s="113"/>
      <c r="V46" s="113"/>
      <c r="W46" s="121" t="n">
        <f aca="false">IF(E46="",0,((N46="Y")*IFERROR(VLOOKUP(E46&amp;"|1",MOUNT_TBL,5,0),0)+(O46="Y")*IFERROR(VLOOKUP(E46&amp;"|2",MOUNT_TBL,5,0),0)+(P46="Y")*IFERROR(VLOOKUP(E46&amp;"|3",MOUNT_TBL,5,0),0)+(Q46="Y")*IFERROR(VLOOKUP(E46&amp;"|4",MOUNT_TBL,5,0),0)+(R46="Y")*IFERROR(VLOOKUP(E46&amp;"|5",MOUNT_TBL,5,0),0)+(S46="Y")*IFERROR(VLOOKUP(E46&amp;"|6",MOUNT_TBL,5,0),0)+(T46="Y")*IFERROR(VLOOKUP(E46&amp;"|7",MOUNT_TBL,5,0),0))/100)</f>
        <v>0</v>
      </c>
      <c r="X46" s="60"/>
      <c r="Z46" s="55" t="str">
        <f aca="false">AA46&amp;"|"&amp;AB46</f>
        <v>Carport|5</v>
      </c>
      <c r="AA46" s="61" t="s">
        <v>663</v>
      </c>
      <c r="AB46" s="55" t="n">
        <v>5</v>
      </c>
      <c r="AC46" s="55" t="s">
        <v>668</v>
      </c>
      <c r="AD46" s="111" t="n">
        <v>10</v>
      </c>
    </row>
    <row r="47" customFormat="false" ht="19.5" hidden="false" customHeight="true" outlineLevel="0" collapsed="false">
      <c r="A47" s="101" t="s">
        <v>669</v>
      </c>
      <c r="B47" s="102" t="s">
        <v>670</v>
      </c>
      <c r="C47" s="103" t="n">
        <f aca="false">COUNTIFS($A$48:$A$51,"P9-009",$E$48:$E$51,"?*")</f>
        <v>1</v>
      </c>
      <c r="D47" s="104" t="str">
        <f aca="false">IF(COUNTIFS($A$48:$A$51,"P9-009",$E$48:$E$51,"?*")=0,"ประมาณการ, ยังไม่สำรวจ — กรอกจุดจริงด้านล่าง (% 2.1–2.3 จะคิดรายจุดอัตโนมัติ)",SUBSTITUTE(IF(COUNTIFS($A$48:$A$51,"P9-009",$E$48:$E$51,"หลังคาลอนคู่")&gt;0,"ลอนคู่ "&amp;COUNTIFS($A$48:$A$51,"P9-009",$E$48:$E$51,"หลังคาลอนคู่")&amp;" จุด ("&amp;SUMIFS($F$48:$F$51,$A$48:$A$51,"P9-009",$E$48:$E$51,"หลังคาลอนคู่")&amp;" แผง), ","")&amp;IF(COUNTIFS($A$48:$A$51,"P9-009",$E$48:$E$51,"หลังคาเมทัลชีท")&gt;0,"เมทัลชีท "&amp;COUNTIFS($A$48:$A$51,"P9-009",$E$48:$E$51,"หลังคาเมทัลชีท")&amp;" จุด ("&amp;SUMIFS($F$48:$F$51,$A$48:$A$51,"P9-009",$E$48:$E$51,"หลังคาเมทัลชีท")&amp;" แผง), ","")&amp;IF(COUNTIFS($A$48:$A$51,"P9-009",$E$48:$E$51,"หลังคา")&gt;0,"หลังคา(ไม่ระบุวัสดุ) "&amp;COUNTIFS($A$48:$A$51,"P9-009",$E$48:$E$51,"หลังคา")&amp;" จุด ("&amp;SUMIFS($F$48:$F$51,$A$48:$A$51,"P9-009",$E$48:$E$51,"หลังคา")&amp;" แผง), ","")&amp;IF(COUNTIFS($A$48:$A$51,"P9-009",$E$48:$E$51,"ถังน้ำใส")&gt;0,"ถังน้ำใส "&amp;COUNTIFS($A$48:$A$51,"P9-009",$E$48:$E$51,"ถังน้ำใส")&amp;" จุด ("&amp;SUMIFS($F$48:$F$51,$A$48:$A$51,"P9-009",$E$48:$E$51,"ถังน้ำใส")&amp;" แผง), ","")&amp;IF(COUNTIFS($A$48:$A$51,"P9-009",$E$48:$E$51,"ถังดินกลบ")&gt;0,"ถังดินกลบ "&amp;COUNTIFS($A$48:$A$51,"P9-009",$E$48:$E$51,"ถังดินกลบ")&amp;" จุด ("&amp;SUMIFS($F$48:$F$51,$A$48:$A$51,"P9-009",$E$48:$E$51,"ถังดินกลบ")&amp;" แผง), ","")&amp;IF(COUNTIFS($A$48:$A$51,"P9-009",$E$48:$E$51,"Carport")&gt;0,"Carport "&amp;COUNTIFS($A$48:$A$51,"P9-009",$E$48:$E$51,"Carport")&amp;" จุด ("&amp;SUMIFS($F$48:$F$51,$A$48:$A$51,"P9-009",$E$48:$E$51,"Carport")&amp;" แผง), ","")&amp;"|",", |",""))</f>
        <v>ถังน้ำใส 1 จุด (264 แผง)</v>
      </c>
      <c r="E47" s="104"/>
      <c r="F47" s="105" t="n">
        <f aca="false">SUMIF($A$48:$A$51,"P9-009",$F$48:$F$51)</f>
        <v>264</v>
      </c>
      <c r="G47" s="106"/>
      <c r="H47" s="106"/>
      <c r="I47" s="107" t="str">
        <f aca="false">IF(COUNTIFS($A$48:$A$51,"P9-009",$I$48:$I$51,"ติด:*")&gt;0,"บันได "&amp;COUNTIFS($A$48:$A$51,"P9-009",$I$48:$I$51,"ติด:*")&amp;" จุด","")</f>
        <v>บันได 1 จุด</v>
      </c>
      <c r="J47" s="108" t="n">
        <f aca="false">SUMIF($A$48:$A$51,"P9-009",$J$48:$J$51)</f>
        <v>150.48</v>
      </c>
      <c r="K47" s="106"/>
      <c r="L47" s="106"/>
      <c r="M47" s="106"/>
      <c r="N47" s="106" t="str">
        <f aca="false">IF(C47=0,"",COUNTIFS($A$48:$A$51,"P9-009",$N$48:$N$51,"Y")&amp;"/"&amp;C47)</f>
        <v>0/1</v>
      </c>
      <c r="O47" s="106" t="str">
        <f aca="false">IF(C47=0,"",COUNTIFS($A$48:$A$51,"P9-009",$O$48:$O$51,"Y")&amp;"/"&amp;C47)</f>
        <v>0/1</v>
      </c>
      <c r="P47" s="106" t="str">
        <f aca="false">IF(C47=0,"",COUNTIFS($A$48:$A$51,"P9-009",$P$48:$P$51,"Y")&amp;"/"&amp;C47)</f>
        <v>0/1</v>
      </c>
      <c r="Q47" s="106" t="str">
        <f aca="false">IF(C47=0,"",COUNTIFS($A$48:$A$51,"P9-009",$Q$48:$Q$51,"Y")&amp;"/"&amp;C47)</f>
        <v>0/1</v>
      </c>
      <c r="R47" s="106" t="str">
        <f aca="false">IF(C47=0,"",COUNTIFS($A$48:$A$51,"P9-009",$R$48:$R$51,"Y")&amp;"/"&amp;C47)</f>
        <v>0/1</v>
      </c>
      <c r="S47" s="106" t="str">
        <f aca="false">IF(C47=0,"",COUNTIFS($A$48:$A$51,"P9-009",$S$48:$S$51,"Y")&amp;"/"&amp;C47)</f>
        <v>0/1</v>
      </c>
      <c r="T47" s="106" t="str">
        <f aca="false">IF(C47=0,"",COUNTIFS($A$48:$A$51,"P9-009",$T$48:$T$51,"Y")&amp;"/"&amp;C47)</f>
        <v>0/1</v>
      </c>
      <c r="U47" s="106" t="str">
        <f aca="false">IF(C47=0,"",COUNTIFS($A$48:$A$51,"P9-009",$U$48:$U$51,"Y")&amp;"/"&amp;C47)</f>
        <v>0/1</v>
      </c>
      <c r="V47" s="106" t="str">
        <f aca="false">IF(C47=0,"",COUNTIFS($A$48:$A$51,"P9-009",$V$48:$V$51,"Y")&amp;"/"&amp;C47)</f>
        <v>0/1</v>
      </c>
      <c r="W47" s="109" t="n">
        <f aca="false">SUMPRODUCT($L$48:$L$51,$W$48:$W$51)</f>
        <v>0</v>
      </c>
      <c r="X47" s="106"/>
      <c r="Z47" s="55" t="str">
        <f aca="false">AA47&amp;"|"&amp;AB47</f>
        <v>Carport|6</v>
      </c>
      <c r="AA47" s="61" t="s">
        <v>663</v>
      </c>
      <c r="AB47" s="55" t="n">
        <v>6</v>
      </c>
      <c r="AC47" s="55" t="s">
        <v>671</v>
      </c>
      <c r="AD47" s="111" t="n">
        <v>5</v>
      </c>
    </row>
    <row r="48" customFormat="false" ht="15" hidden="false" customHeight="false" outlineLevel="1" collapsed="false">
      <c r="A48" s="112" t="s">
        <v>74</v>
      </c>
      <c r="C48" s="113" t="s">
        <v>672</v>
      </c>
      <c r="D48" s="114" t="s">
        <v>673</v>
      </c>
      <c r="E48" s="115" t="s">
        <v>640</v>
      </c>
      <c r="F48" s="116" t="n">
        <v>264</v>
      </c>
      <c r="G48" s="117" t="n">
        <v>5</v>
      </c>
      <c r="H48" s="113"/>
      <c r="I48" s="118" t="str">
        <f aca="false">IF(E48="","",IF(AND(LEFT(E48,6)&lt;&gt;"หลังคา",E48&lt;&gt;"ถังน้ำใส"),"–",IF(H48="Y","มีแล้ว",IF(N(G48)=0,"⚠ กรอกความสูง",IF(G48&lt;LADDER_MIN,"ไม่ต้อง",IF(G48&lt;=8,"ติด: แผ่น 1 ช่วงเดียว","ติด: แผ่น 2 มีชานพัก"))))))</f>
        <v>ติด: แผ่น 1 ช่วงเดียว</v>
      </c>
      <c r="J48" s="119" t="n">
        <f aca="false">IF(N(F48)&gt;0,F48*0.57,0)</f>
        <v>150.48</v>
      </c>
      <c r="K48" s="120" t="n">
        <f aca="false">IF(E48="",0,J48*IFERROR(VLOOKUP(E48,MOUNT_EFFORT,2,0),1))</f>
        <v>180.576</v>
      </c>
      <c r="L48" s="121" t="n">
        <f aca="false">IF(K48=0,0,K48/SUMIF($A$7:$A$137,A48,$K$7:$K$137))</f>
        <v>1</v>
      </c>
      <c r="M48" s="121" t="n">
        <f aca="false">IF(E48="",0,J48/SUMIFS($J$7:$J$137,$A$7:$A$137,A48,$E$7:$E$137,"?*"))</f>
        <v>1</v>
      </c>
      <c r="N48" s="113"/>
      <c r="O48" s="113"/>
      <c r="P48" s="113"/>
      <c r="Q48" s="113"/>
      <c r="R48" s="113"/>
      <c r="S48" s="113"/>
      <c r="T48" s="113"/>
      <c r="U48" s="113"/>
      <c r="V48" s="113"/>
      <c r="W48" s="121" t="n">
        <f aca="false">IF(E48="",0,((N48="Y")*IFERROR(VLOOKUP(E48&amp;"|1",MOUNT_TBL,5,0),0)+(O48="Y")*IFERROR(VLOOKUP(E48&amp;"|2",MOUNT_TBL,5,0),0)+(P48="Y")*IFERROR(VLOOKUP(E48&amp;"|3",MOUNT_TBL,5,0),0)+(Q48="Y")*IFERROR(VLOOKUP(E48&amp;"|4",MOUNT_TBL,5,0),0)+(R48="Y")*IFERROR(VLOOKUP(E48&amp;"|5",MOUNT_TBL,5,0),0)+(S48="Y")*IFERROR(VLOOKUP(E48&amp;"|6",MOUNT_TBL,5,0),0)+(T48="Y")*IFERROR(VLOOKUP(E48&amp;"|7",MOUNT_TBL,5,0),0))/100)</f>
        <v>0</v>
      </c>
      <c r="X48" s="114" t="s">
        <v>613</v>
      </c>
      <c r="Z48" s="55" t="str">
        <f aca="false">AA48&amp;"|"&amp;AB48</f>
        <v>Carport|7</v>
      </c>
      <c r="AA48" s="61" t="s">
        <v>663</v>
      </c>
      <c r="AB48" s="55" t="n">
        <v>7</v>
      </c>
      <c r="AC48" s="61" t="s">
        <v>674</v>
      </c>
      <c r="AD48" s="111" t="n">
        <v>10</v>
      </c>
    </row>
    <row r="49" customFormat="false" ht="15" hidden="false" customHeight="false" outlineLevel="1" collapsed="false">
      <c r="A49" s="112" t="s">
        <v>74</v>
      </c>
      <c r="C49" s="113"/>
      <c r="D49" s="60"/>
      <c r="E49" s="115"/>
      <c r="F49" s="116"/>
      <c r="G49" s="117"/>
      <c r="H49" s="113"/>
      <c r="I49" s="118" t="str">
        <f aca="false">IF(E49="","",IF(AND(LEFT(E49,6)&lt;&gt;"หลังคา",E49&lt;&gt;"ถังน้ำใส"),"–",IF(H49="Y","มีแล้ว",IF(N(G49)=0,"⚠ กรอกความสูง",IF(G49&lt;LADDER_MIN,"ไม่ต้อง",IF(G49&lt;=8,"ติด: แผ่น 1 ช่วงเดียว","ติด: แผ่น 2 มีชานพัก"))))))</f>
        <v/>
      </c>
      <c r="J49" s="119" t="n">
        <f aca="false">IF(N(F49)&gt;0,F49*0.57,0)</f>
        <v>0</v>
      </c>
      <c r="K49" s="120" t="n">
        <f aca="false">IF(E49="",0,J49*IFERROR(VLOOKUP(E49,MOUNT_EFFORT,2,0),1))</f>
        <v>0</v>
      </c>
      <c r="L49" s="121" t="n">
        <f aca="false">IF(K49=0,0,K49/SUMIF($A$7:$A$137,A49,$K$7:$K$137))</f>
        <v>0</v>
      </c>
      <c r="M49" s="121" t="n">
        <f aca="false">IF(E49="",0,J49/SUMIFS($J$7:$J$137,$A$7:$A$137,A49,$E$7:$E$137,"?*"))</f>
        <v>0</v>
      </c>
      <c r="N49" s="113"/>
      <c r="O49" s="113"/>
      <c r="P49" s="113"/>
      <c r="Q49" s="113"/>
      <c r="R49" s="113"/>
      <c r="S49" s="113"/>
      <c r="T49" s="113"/>
      <c r="U49" s="113"/>
      <c r="V49" s="113"/>
      <c r="W49" s="121" t="n">
        <f aca="false">IF(E49="",0,((N49="Y")*IFERROR(VLOOKUP(E49&amp;"|1",MOUNT_TBL,5,0),0)+(O49="Y")*IFERROR(VLOOKUP(E49&amp;"|2",MOUNT_TBL,5,0),0)+(P49="Y")*IFERROR(VLOOKUP(E49&amp;"|3",MOUNT_TBL,5,0),0)+(Q49="Y")*IFERROR(VLOOKUP(E49&amp;"|4",MOUNT_TBL,5,0),0)+(R49="Y")*IFERROR(VLOOKUP(E49&amp;"|5",MOUNT_TBL,5,0),0)+(S49="Y")*IFERROR(VLOOKUP(E49&amp;"|6",MOUNT_TBL,5,0),0)+(T49="Y")*IFERROR(VLOOKUP(E49&amp;"|7",MOUNT_TBL,5,0),0))/100)</f>
        <v>0</v>
      </c>
      <c r="X49" s="60"/>
    </row>
    <row r="50" customFormat="false" ht="15" hidden="false" customHeight="false" outlineLevel="1" collapsed="false">
      <c r="A50" s="112" t="s">
        <v>74</v>
      </c>
      <c r="C50" s="113"/>
      <c r="D50" s="60"/>
      <c r="E50" s="115"/>
      <c r="F50" s="116"/>
      <c r="G50" s="117"/>
      <c r="H50" s="113"/>
      <c r="I50" s="118" t="str">
        <f aca="false">IF(E50="","",IF(AND(LEFT(E50,6)&lt;&gt;"หลังคา",E50&lt;&gt;"ถังน้ำใส"),"–",IF(H50="Y","มีแล้ว",IF(N(G50)=0,"⚠ กรอกความสูง",IF(G50&lt;LADDER_MIN,"ไม่ต้อง",IF(G50&lt;=8,"ติด: แผ่น 1 ช่วงเดียว","ติด: แผ่น 2 มีชานพัก"))))))</f>
        <v/>
      </c>
      <c r="J50" s="119" t="n">
        <f aca="false">IF(N(F50)&gt;0,F50*0.57,0)</f>
        <v>0</v>
      </c>
      <c r="K50" s="120" t="n">
        <f aca="false">IF(E50="",0,J50*IFERROR(VLOOKUP(E50,MOUNT_EFFORT,2,0),1))</f>
        <v>0</v>
      </c>
      <c r="L50" s="121" t="n">
        <f aca="false">IF(K50=0,0,K50/SUMIF($A$7:$A$137,A50,$K$7:$K$137))</f>
        <v>0</v>
      </c>
      <c r="M50" s="121" t="n">
        <f aca="false">IF(E50="",0,J50/SUMIFS($J$7:$J$137,$A$7:$A$137,A50,$E$7:$E$137,"?*"))</f>
        <v>0</v>
      </c>
      <c r="N50" s="113"/>
      <c r="O50" s="113"/>
      <c r="P50" s="113"/>
      <c r="Q50" s="113"/>
      <c r="R50" s="113"/>
      <c r="S50" s="113"/>
      <c r="T50" s="113"/>
      <c r="U50" s="113"/>
      <c r="V50" s="113"/>
      <c r="W50" s="121" t="n">
        <f aca="false">IF(E50="",0,((N50="Y")*IFERROR(VLOOKUP(E50&amp;"|1",MOUNT_TBL,5,0),0)+(O50="Y")*IFERROR(VLOOKUP(E50&amp;"|2",MOUNT_TBL,5,0),0)+(P50="Y")*IFERROR(VLOOKUP(E50&amp;"|3",MOUNT_TBL,5,0),0)+(Q50="Y")*IFERROR(VLOOKUP(E50&amp;"|4",MOUNT_TBL,5,0),0)+(R50="Y")*IFERROR(VLOOKUP(E50&amp;"|5",MOUNT_TBL,5,0),0)+(S50="Y")*IFERROR(VLOOKUP(E50&amp;"|6",MOUNT_TBL,5,0),0)+(T50="Y")*IFERROR(VLOOKUP(E50&amp;"|7",MOUNT_TBL,5,0),0))/100)</f>
        <v>0</v>
      </c>
      <c r="X50" s="60"/>
      <c r="AA50" s="123" t="s">
        <v>584</v>
      </c>
      <c r="AB50" s="123" t="s">
        <v>675</v>
      </c>
      <c r="AC50" s="123" t="s">
        <v>676</v>
      </c>
    </row>
    <row r="51" customFormat="false" ht="45.75" hidden="false" customHeight="true" outlineLevel="1" collapsed="false">
      <c r="A51" s="112" t="s">
        <v>74</v>
      </c>
      <c r="C51" s="113"/>
      <c r="D51" s="60"/>
      <c r="E51" s="115"/>
      <c r="F51" s="116"/>
      <c r="G51" s="117"/>
      <c r="H51" s="113"/>
      <c r="I51" s="118" t="str">
        <f aca="false">IF(E51="","",IF(AND(LEFT(E51,6)&lt;&gt;"หลังคา",E51&lt;&gt;"ถังน้ำใส"),"–",IF(H51="Y","มีแล้ว",IF(N(G51)=0,"⚠ กรอกความสูง",IF(G51&lt;LADDER_MIN,"ไม่ต้อง",IF(G51&lt;=8,"ติด: แผ่น 1 ช่วงเดียว","ติด: แผ่น 2 มีชานพัก"))))))</f>
        <v/>
      </c>
      <c r="J51" s="119" t="n">
        <f aca="false">IF(N(F51)&gt;0,F51*0.57,0)</f>
        <v>0</v>
      </c>
      <c r="K51" s="120" t="n">
        <f aca="false">IF(E51="",0,J51*IFERROR(VLOOKUP(E51,MOUNT_EFFORT,2,0),1))</f>
        <v>0</v>
      </c>
      <c r="L51" s="121" t="n">
        <f aca="false">IF(K51=0,0,K51/SUMIF($A$7:$A$137,A51,$K$7:$K$137))</f>
        <v>0</v>
      </c>
      <c r="M51" s="121" t="n">
        <f aca="false">IF(E51="",0,J51/SUMIFS($J$7:$J$137,$A$7:$A$137,A51,$E$7:$E$137,"?*"))</f>
        <v>0</v>
      </c>
      <c r="N51" s="113"/>
      <c r="O51" s="113"/>
      <c r="P51" s="113"/>
      <c r="Q51" s="113"/>
      <c r="R51" s="113"/>
      <c r="S51" s="113"/>
      <c r="T51" s="113"/>
      <c r="U51" s="113"/>
      <c r="V51" s="113"/>
      <c r="W51" s="121" t="n">
        <f aca="false">IF(E51="",0,((N51="Y")*IFERROR(VLOOKUP(E51&amp;"|1",MOUNT_TBL,5,0),0)+(O51="Y")*IFERROR(VLOOKUP(E51&amp;"|2",MOUNT_TBL,5,0),0)+(P51="Y")*IFERROR(VLOOKUP(E51&amp;"|3",MOUNT_TBL,5,0),0)+(Q51="Y")*IFERROR(VLOOKUP(E51&amp;"|4",MOUNT_TBL,5,0),0)+(R51="Y")*IFERROR(VLOOKUP(E51&amp;"|5",MOUNT_TBL,5,0),0)+(S51="Y")*IFERROR(VLOOKUP(E51&amp;"|6",MOUNT_TBL,5,0),0)+(T51="Y")*IFERROR(VLOOKUP(E51&amp;"|7",MOUNT_TBL,5,0),0))/100)</f>
        <v>0</v>
      </c>
      <c r="X51" s="60"/>
      <c r="AA51" s="123" t="s">
        <v>609</v>
      </c>
      <c r="AB51" s="124" t="n">
        <v>1.1</v>
      </c>
      <c r="AC51" s="125" t="s">
        <v>677</v>
      </c>
    </row>
    <row r="52" customFormat="false" ht="19.5" hidden="false" customHeight="true" outlineLevel="0" collapsed="false">
      <c r="A52" s="101" t="s">
        <v>678</v>
      </c>
      <c r="B52" s="102" t="s">
        <v>679</v>
      </c>
      <c r="C52" s="103" t="n">
        <f aca="false">COUNTIFS($A$53:$A$56,"P9-010",$E$53:$E$56,"?*")</f>
        <v>1</v>
      </c>
      <c r="D52" s="104" t="str">
        <f aca="false">IF(COUNTIFS($A$53:$A$56,"P9-010",$E$53:$E$56,"?*")=0,"ประมาณการ, ยังไม่สำรวจ — กรอกจุดจริงด้านล่าง (% 2.1–2.3 จะคิดรายจุดอัตโนมัติ)",SUBSTITUTE(IF(COUNTIFS($A$53:$A$56,"P9-010",$E$53:$E$56,"หลังคาลอนคู่")&gt;0,"ลอนคู่ "&amp;COUNTIFS($A$53:$A$56,"P9-010",$E$53:$E$56,"หลังคาลอนคู่")&amp;" จุด ("&amp;SUMIFS($F$53:$F$56,$A$53:$A$56,"P9-010",$E$53:$E$56,"หลังคาลอนคู่")&amp;" แผง), ","")&amp;IF(COUNTIFS($A$53:$A$56,"P9-010",$E$53:$E$56,"หลังคาเมทัลชีท")&gt;0,"เมทัลชีท "&amp;COUNTIFS($A$53:$A$56,"P9-010",$E$53:$E$56,"หลังคาเมทัลชีท")&amp;" จุด ("&amp;SUMIFS($F$53:$F$56,$A$53:$A$56,"P9-010",$E$53:$E$56,"หลังคาเมทัลชีท")&amp;" แผง), ","")&amp;IF(COUNTIFS($A$53:$A$56,"P9-010",$E$53:$E$56,"หลังคา")&gt;0,"หลังคา(ไม่ระบุวัสดุ) "&amp;COUNTIFS($A$53:$A$56,"P9-010",$E$53:$E$56,"หลังคา")&amp;" จุด ("&amp;SUMIFS($F$53:$F$56,$A$53:$A$56,"P9-010",$E$53:$E$56,"หลังคา")&amp;" แผง), ","")&amp;IF(COUNTIFS($A$53:$A$56,"P9-010",$E$53:$E$56,"ถังน้ำใส")&gt;0,"ถังน้ำใส "&amp;COUNTIFS($A$53:$A$56,"P9-010",$E$53:$E$56,"ถังน้ำใส")&amp;" จุด ("&amp;SUMIFS($F$53:$F$56,$A$53:$A$56,"P9-010",$E$53:$E$56,"ถังน้ำใส")&amp;" แผง), ","")&amp;IF(COUNTIFS($A$53:$A$56,"P9-010",$E$53:$E$56,"ถังดินกลบ")&gt;0,"ถังดินกลบ "&amp;COUNTIFS($A$53:$A$56,"P9-010",$E$53:$E$56,"ถังดินกลบ")&amp;" จุด ("&amp;SUMIFS($F$53:$F$56,$A$53:$A$56,"P9-010",$E$53:$E$56,"ถังดินกลบ")&amp;" แผง), ","")&amp;IF(COUNTIFS($A$53:$A$56,"P9-010",$E$53:$E$56,"Carport")&gt;0,"Carport "&amp;COUNTIFS($A$53:$A$56,"P9-010",$E$53:$E$56,"Carport")&amp;" จุด ("&amp;SUMIFS($F$53:$F$56,$A$53:$A$56,"P9-010",$E$53:$E$56,"Carport")&amp;" แผง), ","")&amp;"|",", |",""))</f>
        <v>ถังน้ำใส 1 จุด (492 แผง)</v>
      </c>
      <c r="E52" s="104"/>
      <c r="F52" s="105" t="n">
        <f aca="false">SUMIF($A$53:$A$56,"P9-010",$F$53:$F$56)</f>
        <v>492</v>
      </c>
      <c r="G52" s="106"/>
      <c r="H52" s="106"/>
      <c r="I52" s="107" t="str">
        <f aca="false">IF(COUNTIFS($A$53:$A$56,"P9-010",$I$53:$I$56,"ติด:*")&gt;0,"บันได "&amp;COUNTIFS($A$53:$A$56,"P9-010",$I$53:$I$56,"ติด:*")&amp;" จุด","")</f>
        <v>บันได 1 จุด</v>
      </c>
      <c r="J52" s="108" t="n">
        <f aca="false">SUMIF($A$53:$A$56,"P9-010",$J$53:$J$56)</f>
        <v>280.44</v>
      </c>
      <c r="K52" s="106"/>
      <c r="L52" s="106"/>
      <c r="M52" s="106"/>
      <c r="N52" s="106" t="str">
        <f aca="false">IF(C52=0,"",COUNTIFS($A$53:$A$56,"P9-010",$N$53:$N$56,"Y")&amp;"/"&amp;C52)</f>
        <v>0/1</v>
      </c>
      <c r="O52" s="106" t="str">
        <f aca="false">IF(C52=0,"",COUNTIFS($A$53:$A$56,"P9-010",$O$53:$O$56,"Y")&amp;"/"&amp;C52)</f>
        <v>0/1</v>
      </c>
      <c r="P52" s="106" t="str">
        <f aca="false">IF(C52=0,"",COUNTIFS($A$53:$A$56,"P9-010",$P$53:$P$56,"Y")&amp;"/"&amp;C52)</f>
        <v>0/1</v>
      </c>
      <c r="Q52" s="106" t="str">
        <f aca="false">IF(C52=0,"",COUNTIFS($A$53:$A$56,"P9-010",$Q$53:$Q$56,"Y")&amp;"/"&amp;C52)</f>
        <v>0/1</v>
      </c>
      <c r="R52" s="106" t="str">
        <f aca="false">IF(C52=0,"",COUNTIFS($A$53:$A$56,"P9-010",$R$53:$R$56,"Y")&amp;"/"&amp;C52)</f>
        <v>0/1</v>
      </c>
      <c r="S52" s="106" t="str">
        <f aca="false">IF(C52=0,"",COUNTIFS($A$53:$A$56,"P9-010",$S$53:$S$56,"Y")&amp;"/"&amp;C52)</f>
        <v>0/1</v>
      </c>
      <c r="T52" s="106" t="str">
        <f aca="false">IF(C52=0,"",COUNTIFS($A$53:$A$56,"P9-010",$T$53:$T$56,"Y")&amp;"/"&amp;C52)</f>
        <v>0/1</v>
      </c>
      <c r="U52" s="106" t="str">
        <f aca="false">IF(C52=0,"",COUNTIFS($A$53:$A$56,"P9-010",$U$53:$U$56,"Y")&amp;"/"&amp;C52)</f>
        <v>0/1</v>
      </c>
      <c r="V52" s="106" t="str">
        <f aca="false">IF(C52=0,"",COUNTIFS($A$53:$A$56,"P9-010",$V$53:$V$56,"Y")&amp;"/"&amp;C52)</f>
        <v>0/1</v>
      </c>
      <c r="W52" s="109" t="n">
        <f aca="false">SUMPRODUCT($L$53:$L$56,$W$53:$W$56)</f>
        <v>0</v>
      </c>
      <c r="X52" s="106"/>
      <c r="AA52" s="123" t="s">
        <v>624</v>
      </c>
      <c r="AB52" s="124" t="n">
        <v>0.9</v>
      </c>
      <c r="AC52" s="126" t="s">
        <v>680</v>
      </c>
    </row>
    <row r="53" customFormat="false" ht="45.75" hidden="false" customHeight="true" outlineLevel="1" collapsed="false">
      <c r="A53" s="112" t="s">
        <v>78</v>
      </c>
      <c r="C53" s="113" t="s">
        <v>672</v>
      </c>
      <c r="D53" s="114" t="s">
        <v>673</v>
      </c>
      <c r="E53" s="115" t="s">
        <v>640</v>
      </c>
      <c r="F53" s="116" t="n">
        <v>492</v>
      </c>
      <c r="G53" s="117" t="n">
        <v>5</v>
      </c>
      <c r="H53" s="113"/>
      <c r="I53" s="118" t="str">
        <f aca="false">IF(E53="","",IF(AND(LEFT(E53,6)&lt;&gt;"หลังคา",E53&lt;&gt;"ถังน้ำใส"),"–",IF(H53="Y","มีแล้ว",IF(N(G53)=0,"⚠ กรอกความสูง",IF(G53&lt;LADDER_MIN,"ไม่ต้อง",IF(G53&lt;=8,"ติด: แผ่น 1 ช่วงเดียว","ติด: แผ่น 2 มีชานพัก"))))))</f>
        <v>ติด: แผ่น 1 ช่วงเดียว</v>
      </c>
      <c r="J53" s="119" t="n">
        <f aca="false">IF(N(F53)&gt;0,F53*0.57,0)</f>
        <v>280.44</v>
      </c>
      <c r="K53" s="120" t="n">
        <f aca="false">IF(E53="",0,J53*IFERROR(VLOOKUP(E53,MOUNT_EFFORT,2,0),1))</f>
        <v>336.528</v>
      </c>
      <c r="L53" s="121" t="n">
        <f aca="false">IF(K53=0,0,K53/SUMIF($A$7:$A$137,A53,$K$7:$K$137))</f>
        <v>1</v>
      </c>
      <c r="M53" s="121" t="n">
        <f aca="false">IF(E53="",0,J53/SUMIFS($J$7:$J$137,$A$7:$A$137,A53,$E$7:$E$137,"?*"))</f>
        <v>1</v>
      </c>
      <c r="N53" s="113"/>
      <c r="O53" s="113"/>
      <c r="P53" s="113"/>
      <c r="Q53" s="113"/>
      <c r="R53" s="113"/>
      <c r="S53" s="113"/>
      <c r="T53" s="113"/>
      <c r="U53" s="113"/>
      <c r="V53" s="113"/>
      <c r="W53" s="121" t="n">
        <f aca="false">IF(E53="",0,((N53="Y")*IFERROR(VLOOKUP(E53&amp;"|1",MOUNT_TBL,5,0),0)+(O53="Y")*IFERROR(VLOOKUP(E53&amp;"|2",MOUNT_TBL,5,0),0)+(P53="Y")*IFERROR(VLOOKUP(E53&amp;"|3",MOUNT_TBL,5,0),0)+(Q53="Y")*IFERROR(VLOOKUP(E53&amp;"|4",MOUNT_TBL,5,0),0)+(R53="Y")*IFERROR(VLOOKUP(E53&amp;"|5",MOUNT_TBL,5,0),0)+(S53="Y")*IFERROR(VLOOKUP(E53&amp;"|6",MOUNT_TBL,5,0),0)+(T53="Y")*IFERROR(VLOOKUP(E53&amp;"|7",MOUNT_TBL,5,0),0))/100)</f>
        <v>0</v>
      </c>
      <c r="X53" s="114" t="s">
        <v>613</v>
      </c>
      <c r="AA53" s="123" t="s">
        <v>631</v>
      </c>
      <c r="AB53" s="124" t="n">
        <v>1</v>
      </c>
      <c r="AC53" s="125" t="s">
        <v>681</v>
      </c>
    </row>
    <row r="54" customFormat="false" ht="45.75" hidden="false" customHeight="true" outlineLevel="1" collapsed="false">
      <c r="A54" s="112" t="s">
        <v>78</v>
      </c>
      <c r="C54" s="113"/>
      <c r="D54" s="60"/>
      <c r="E54" s="115"/>
      <c r="F54" s="116"/>
      <c r="G54" s="117"/>
      <c r="H54" s="113"/>
      <c r="I54" s="118" t="str">
        <f aca="false">IF(E54="","",IF(AND(LEFT(E54,6)&lt;&gt;"หลังคา",E54&lt;&gt;"ถังน้ำใส"),"–",IF(H54="Y","มีแล้ว",IF(N(G54)=0,"⚠ กรอกความสูง",IF(G54&lt;LADDER_MIN,"ไม่ต้อง",IF(G54&lt;=8,"ติด: แผ่น 1 ช่วงเดียว","ติด: แผ่น 2 มีชานพัก"))))))</f>
        <v/>
      </c>
      <c r="J54" s="119" t="n">
        <f aca="false">IF(N(F54)&gt;0,F54*0.57,0)</f>
        <v>0</v>
      </c>
      <c r="K54" s="120" t="n">
        <f aca="false">IF(E54="",0,J54*IFERROR(VLOOKUP(E54,MOUNT_EFFORT,2,0),1))</f>
        <v>0</v>
      </c>
      <c r="L54" s="121" t="n">
        <f aca="false">IF(K54=0,0,K54/SUMIF($A$7:$A$137,A54,$K$7:$K$137))</f>
        <v>0</v>
      </c>
      <c r="M54" s="121" t="n">
        <f aca="false">IF(E54="",0,J54/SUMIFS($J$7:$J$137,$A$7:$A$137,A54,$E$7:$E$137,"?*"))</f>
        <v>0</v>
      </c>
      <c r="N54" s="113"/>
      <c r="O54" s="113"/>
      <c r="P54" s="113"/>
      <c r="Q54" s="113"/>
      <c r="R54" s="113"/>
      <c r="S54" s="113"/>
      <c r="T54" s="113"/>
      <c r="U54" s="113"/>
      <c r="V54" s="113"/>
      <c r="W54" s="121" t="n">
        <f aca="false">IF(E54="",0,((N54="Y")*IFERROR(VLOOKUP(E54&amp;"|1",MOUNT_TBL,5,0),0)+(O54="Y")*IFERROR(VLOOKUP(E54&amp;"|2",MOUNT_TBL,5,0),0)+(P54="Y")*IFERROR(VLOOKUP(E54&amp;"|3",MOUNT_TBL,5,0),0)+(Q54="Y")*IFERROR(VLOOKUP(E54&amp;"|4",MOUNT_TBL,5,0),0)+(R54="Y")*IFERROR(VLOOKUP(E54&amp;"|5",MOUNT_TBL,5,0),0)+(S54="Y")*IFERROR(VLOOKUP(E54&amp;"|6",MOUNT_TBL,5,0),0)+(T54="Y")*IFERROR(VLOOKUP(E54&amp;"|7",MOUNT_TBL,5,0),0))/100)</f>
        <v>0</v>
      </c>
      <c r="X54" s="60"/>
      <c r="AA54" s="123" t="s">
        <v>640</v>
      </c>
      <c r="AB54" s="124" t="n">
        <v>1.2</v>
      </c>
      <c r="AC54" s="125" t="s">
        <v>682</v>
      </c>
    </row>
    <row r="55" customFormat="false" ht="45.75" hidden="false" customHeight="true" outlineLevel="1" collapsed="false">
      <c r="A55" s="112" t="s">
        <v>78</v>
      </c>
      <c r="C55" s="113"/>
      <c r="D55" s="60"/>
      <c r="E55" s="115"/>
      <c r="F55" s="116"/>
      <c r="G55" s="117"/>
      <c r="H55" s="113"/>
      <c r="I55" s="118" t="str">
        <f aca="false">IF(E55="","",IF(AND(LEFT(E55,6)&lt;&gt;"หลังคา",E55&lt;&gt;"ถังน้ำใส"),"–",IF(H55="Y","มีแล้ว",IF(N(G55)=0,"⚠ กรอกความสูง",IF(G55&lt;LADDER_MIN,"ไม่ต้อง",IF(G55&lt;=8,"ติด: แผ่น 1 ช่วงเดียว","ติด: แผ่น 2 มีชานพัก"))))))</f>
        <v/>
      </c>
      <c r="J55" s="119" t="n">
        <f aca="false">IF(N(F55)&gt;0,F55*0.57,0)</f>
        <v>0</v>
      </c>
      <c r="K55" s="120" t="n">
        <f aca="false">IF(E55="",0,J55*IFERROR(VLOOKUP(E55,MOUNT_EFFORT,2,0),1))</f>
        <v>0</v>
      </c>
      <c r="L55" s="121" t="n">
        <f aca="false">IF(K55=0,0,K55/SUMIF($A$7:$A$137,A55,$K$7:$K$137))</f>
        <v>0</v>
      </c>
      <c r="M55" s="121" t="n">
        <f aca="false">IF(E55="",0,J55/SUMIFS($J$7:$J$137,$A$7:$A$137,A55,$E$7:$E$137,"?*"))</f>
        <v>0</v>
      </c>
      <c r="N55" s="113"/>
      <c r="O55" s="113"/>
      <c r="P55" s="113"/>
      <c r="Q55" s="113"/>
      <c r="R55" s="113"/>
      <c r="S55" s="113"/>
      <c r="T55" s="113"/>
      <c r="U55" s="113"/>
      <c r="V55" s="113"/>
      <c r="W55" s="121" t="n">
        <f aca="false">IF(E55="",0,((N55="Y")*IFERROR(VLOOKUP(E55&amp;"|1",MOUNT_TBL,5,0),0)+(O55="Y")*IFERROR(VLOOKUP(E55&amp;"|2",MOUNT_TBL,5,0),0)+(P55="Y")*IFERROR(VLOOKUP(E55&amp;"|3",MOUNT_TBL,5,0),0)+(Q55="Y")*IFERROR(VLOOKUP(E55&amp;"|4",MOUNT_TBL,5,0),0)+(R55="Y")*IFERROR(VLOOKUP(E55&amp;"|5",MOUNT_TBL,5,0),0)+(S55="Y")*IFERROR(VLOOKUP(E55&amp;"|6",MOUNT_TBL,5,0),0)+(T55="Y")*IFERROR(VLOOKUP(E55&amp;"|7",MOUNT_TBL,5,0),0))/100)</f>
        <v>0</v>
      </c>
      <c r="X55" s="60"/>
      <c r="AA55" s="123" t="s">
        <v>651</v>
      </c>
      <c r="AB55" s="124" t="n">
        <v>1.6</v>
      </c>
      <c r="AC55" s="125" t="s">
        <v>683</v>
      </c>
    </row>
    <row r="56" customFormat="false" ht="45.75" hidden="false" customHeight="true" outlineLevel="1" collapsed="false">
      <c r="A56" s="112" t="s">
        <v>78</v>
      </c>
      <c r="C56" s="113"/>
      <c r="D56" s="60"/>
      <c r="E56" s="115"/>
      <c r="F56" s="116"/>
      <c r="G56" s="117"/>
      <c r="H56" s="113"/>
      <c r="I56" s="118" t="str">
        <f aca="false">IF(E56="","",IF(AND(LEFT(E56,6)&lt;&gt;"หลังคา",E56&lt;&gt;"ถังน้ำใส"),"–",IF(H56="Y","มีแล้ว",IF(N(G56)=0,"⚠ กรอกความสูง",IF(G56&lt;LADDER_MIN,"ไม่ต้อง",IF(G56&lt;=8,"ติด: แผ่น 1 ช่วงเดียว","ติด: แผ่น 2 มีชานพัก"))))))</f>
        <v/>
      </c>
      <c r="J56" s="119" t="n">
        <f aca="false">IF(N(F56)&gt;0,F56*0.57,0)</f>
        <v>0</v>
      </c>
      <c r="K56" s="120" t="n">
        <f aca="false">IF(E56="",0,J56*IFERROR(VLOOKUP(E56,MOUNT_EFFORT,2,0),1))</f>
        <v>0</v>
      </c>
      <c r="L56" s="121" t="n">
        <f aca="false">IF(K56=0,0,K56/SUMIF($A$7:$A$137,A56,$K$7:$K$137))</f>
        <v>0</v>
      </c>
      <c r="M56" s="121" t="n">
        <f aca="false">IF(E56="",0,J56/SUMIFS($J$7:$J$137,$A$7:$A$137,A56,$E$7:$E$137,"?*"))</f>
        <v>0</v>
      </c>
      <c r="N56" s="113"/>
      <c r="O56" s="113"/>
      <c r="P56" s="113"/>
      <c r="Q56" s="113"/>
      <c r="R56" s="113"/>
      <c r="S56" s="113"/>
      <c r="T56" s="113"/>
      <c r="U56" s="113"/>
      <c r="V56" s="113"/>
      <c r="W56" s="121" t="n">
        <f aca="false">IF(E56="",0,((N56="Y")*IFERROR(VLOOKUP(E56&amp;"|1",MOUNT_TBL,5,0),0)+(O56="Y")*IFERROR(VLOOKUP(E56&amp;"|2",MOUNT_TBL,5,0),0)+(P56="Y")*IFERROR(VLOOKUP(E56&amp;"|3",MOUNT_TBL,5,0),0)+(Q56="Y")*IFERROR(VLOOKUP(E56&amp;"|4",MOUNT_TBL,5,0),0)+(R56="Y")*IFERROR(VLOOKUP(E56&amp;"|5",MOUNT_TBL,5,0),0)+(S56="Y")*IFERROR(VLOOKUP(E56&amp;"|6",MOUNT_TBL,5,0),0)+(T56="Y")*IFERROR(VLOOKUP(E56&amp;"|7",MOUNT_TBL,5,0),0))/100)</f>
        <v>0</v>
      </c>
      <c r="X56" s="60"/>
      <c r="AA56" s="127" t="s">
        <v>663</v>
      </c>
      <c r="AB56" s="124" t="n">
        <v>3</v>
      </c>
      <c r="AC56" s="125" t="s">
        <v>684</v>
      </c>
    </row>
    <row r="57" customFormat="false" ht="19.5" hidden="false" customHeight="true" outlineLevel="0" collapsed="false">
      <c r="A57" s="101" t="s">
        <v>685</v>
      </c>
      <c r="B57" s="102" t="s">
        <v>686</v>
      </c>
      <c r="C57" s="103" t="n">
        <f aca="false">COUNTIFS($A$58:$A$61,"P9-011",$E$58:$E$61,"?*")</f>
        <v>1</v>
      </c>
      <c r="D57" s="104" t="str">
        <f aca="false">IF(COUNTIFS($A$58:$A$61,"P9-011",$E$58:$E$61,"?*")=0,"ประมาณการ, ยังไม่สำรวจ — กรอกจุดจริงด้านล่าง (% 2.1–2.3 จะคิดรายจุดอัตโนมัติ)",SUBSTITUTE(IF(COUNTIFS($A$58:$A$61,"P9-011",$E$58:$E$61,"หลังคาลอนคู่")&gt;0,"ลอนคู่ "&amp;COUNTIFS($A$58:$A$61,"P9-011",$E$58:$E$61,"หลังคาลอนคู่")&amp;" จุด ("&amp;SUMIFS($F$58:$F$61,$A$58:$A$61,"P9-011",$E$58:$E$61,"หลังคาลอนคู่")&amp;" แผง), ","")&amp;IF(COUNTIFS($A$58:$A$61,"P9-011",$E$58:$E$61,"หลังคาเมทัลชีท")&gt;0,"เมทัลชีท "&amp;COUNTIFS($A$58:$A$61,"P9-011",$E$58:$E$61,"หลังคาเมทัลชีท")&amp;" จุด ("&amp;SUMIFS($F$58:$F$61,$A$58:$A$61,"P9-011",$E$58:$E$61,"หลังคาเมทัลชีท")&amp;" แผง), ","")&amp;IF(COUNTIFS($A$58:$A$61,"P9-011",$E$58:$E$61,"หลังคา")&gt;0,"หลังคา(ไม่ระบุวัสดุ) "&amp;COUNTIFS($A$58:$A$61,"P9-011",$E$58:$E$61,"หลังคา")&amp;" จุด ("&amp;SUMIFS($F$58:$F$61,$A$58:$A$61,"P9-011",$E$58:$E$61,"หลังคา")&amp;" แผง), ","")&amp;IF(COUNTIFS($A$58:$A$61,"P9-011",$E$58:$E$61,"ถังน้ำใส")&gt;0,"ถังน้ำใส "&amp;COUNTIFS($A$58:$A$61,"P9-011",$E$58:$E$61,"ถังน้ำใส")&amp;" จุด ("&amp;SUMIFS($F$58:$F$61,$A$58:$A$61,"P9-011",$E$58:$E$61,"ถังน้ำใส")&amp;" แผง), ","")&amp;IF(COUNTIFS($A$58:$A$61,"P9-011",$E$58:$E$61,"ถังดินกลบ")&gt;0,"ถังดินกลบ "&amp;COUNTIFS($A$58:$A$61,"P9-011",$E$58:$E$61,"ถังดินกลบ")&amp;" จุด ("&amp;SUMIFS($F$58:$F$61,$A$58:$A$61,"P9-011",$E$58:$E$61,"ถังดินกลบ")&amp;" แผง), ","")&amp;IF(COUNTIFS($A$58:$A$61,"P9-011",$E$58:$E$61,"Carport")&gt;0,"Carport "&amp;COUNTIFS($A$58:$A$61,"P9-011",$E$58:$E$61,"Carport")&amp;" จุด ("&amp;SUMIFS($F$58:$F$61,$A$58:$A$61,"P9-011",$E$58:$E$61,"Carport")&amp;" แผง), ","")&amp;"|",", |",""))</f>
        <v>ถังน้ำใส 1 จุด (264 แผง)</v>
      </c>
      <c r="E57" s="104"/>
      <c r="F57" s="105" t="n">
        <f aca="false">SUMIF($A$58:$A$61,"P9-011",$F$58:$F$61)</f>
        <v>264</v>
      </c>
      <c r="G57" s="106"/>
      <c r="H57" s="106"/>
      <c r="I57" s="107" t="str">
        <f aca="false">IF(COUNTIFS($A$58:$A$61,"P9-011",$I$58:$I$61,"ติด:*")&gt;0,"บันได "&amp;COUNTIFS($A$58:$A$61,"P9-011",$I$58:$I$61,"ติด:*")&amp;" จุด","")</f>
        <v>บันได 1 จุด</v>
      </c>
      <c r="J57" s="108" t="n">
        <f aca="false">SUMIF($A$58:$A$61,"P9-011",$J$58:$J$61)</f>
        <v>150.48</v>
      </c>
      <c r="K57" s="106"/>
      <c r="L57" s="106"/>
      <c r="M57" s="106"/>
      <c r="N57" s="106" t="str">
        <f aca="false">IF(C57=0,"",COUNTIFS($A$58:$A$61,"P9-011",$N$58:$N$61,"Y")&amp;"/"&amp;C57)</f>
        <v>0/1</v>
      </c>
      <c r="O57" s="106" t="str">
        <f aca="false">IF(C57=0,"",COUNTIFS($A$58:$A$61,"P9-011",$O$58:$O$61,"Y")&amp;"/"&amp;C57)</f>
        <v>0/1</v>
      </c>
      <c r="P57" s="106" t="str">
        <f aca="false">IF(C57=0,"",COUNTIFS($A$58:$A$61,"P9-011",$P$58:$P$61,"Y")&amp;"/"&amp;C57)</f>
        <v>0/1</v>
      </c>
      <c r="Q57" s="106" t="str">
        <f aca="false">IF(C57=0,"",COUNTIFS($A$58:$A$61,"P9-011",$Q$58:$Q$61,"Y")&amp;"/"&amp;C57)</f>
        <v>0/1</v>
      </c>
      <c r="R57" s="106" t="str">
        <f aca="false">IF(C57=0,"",COUNTIFS($A$58:$A$61,"P9-011",$R$58:$R$61,"Y")&amp;"/"&amp;C57)</f>
        <v>0/1</v>
      </c>
      <c r="S57" s="106" t="str">
        <f aca="false">IF(C57=0,"",COUNTIFS($A$58:$A$61,"P9-011",$S$58:$S$61,"Y")&amp;"/"&amp;C57)</f>
        <v>0/1</v>
      </c>
      <c r="T57" s="106" t="str">
        <f aca="false">IF(C57=0,"",COUNTIFS($A$58:$A$61,"P9-011",$T$58:$T$61,"Y")&amp;"/"&amp;C57)</f>
        <v>0/1</v>
      </c>
      <c r="U57" s="106" t="str">
        <f aca="false">IF(C57=0,"",COUNTIFS($A$58:$A$61,"P9-011",$U$58:$U$61,"Y")&amp;"/"&amp;C57)</f>
        <v>0/1</v>
      </c>
      <c r="V57" s="106" t="str">
        <f aca="false">IF(C57=0,"",COUNTIFS($A$58:$A$61,"P9-011",$V$58:$V$61,"Y")&amp;"/"&amp;C57)</f>
        <v>0/1</v>
      </c>
      <c r="W57" s="109" t="n">
        <f aca="false">SUMPRODUCT($L$58:$L$61,$W$58:$W$61)</f>
        <v>0</v>
      </c>
      <c r="X57" s="106"/>
      <c r="AA57" s="128" t="s">
        <v>687</v>
      </c>
    </row>
    <row r="58" customFormat="false" ht="15" hidden="false" customHeight="false" outlineLevel="1" collapsed="false">
      <c r="A58" s="112" t="s">
        <v>82</v>
      </c>
      <c r="C58" s="113" t="s">
        <v>672</v>
      </c>
      <c r="D58" s="114" t="s">
        <v>673</v>
      </c>
      <c r="E58" s="115" t="s">
        <v>640</v>
      </c>
      <c r="F58" s="116" t="n">
        <v>264</v>
      </c>
      <c r="G58" s="117" t="n">
        <v>5</v>
      </c>
      <c r="H58" s="113"/>
      <c r="I58" s="118" t="str">
        <f aca="false">IF(E58="","",IF(AND(LEFT(E58,6)&lt;&gt;"หลังคา",E58&lt;&gt;"ถังน้ำใส"),"–",IF(H58="Y","มีแล้ว",IF(N(G58)=0,"⚠ กรอกความสูง",IF(G58&lt;LADDER_MIN,"ไม่ต้อง",IF(G58&lt;=8,"ติด: แผ่น 1 ช่วงเดียว","ติด: แผ่น 2 มีชานพัก"))))))</f>
        <v>ติด: แผ่น 1 ช่วงเดียว</v>
      </c>
      <c r="J58" s="119" t="n">
        <f aca="false">IF(N(F58)&gt;0,F58*0.57,0)</f>
        <v>150.48</v>
      </c>
      <c r="K58" s="120" t="n">
        <f aca="false">IF(E58="",0,J58*IFERROR(VLOOKUP(E58,MOUNT_EFFORT,2,0),1))</f>
        <v>180.576</v>
      </c>
      <c r="L58" s="121" t="n">
        <f aca="false">IF(K58=0,0,K58/SUMIF($A$7:$A$137,A58,$K$7:$K$137))</f>
        <v>1</v>
      </c>
      <c r="M58" s="121" t="n">
        <f aca="false">IF(E58="",0,J58/SUMIFS($J$7:$J$137,$A$7:$A$137,A58,$E$7:$E$137,"?*"))</f>
        <v>1</v>
      </c>
      <c r="N58" s="113"/>
      <c r="O58" s="113"/>
      <c r="P58" s="113"/>
      <c r="Q58" s="113"/>
      <c r="R58" s="113"/>
      <c r="S58" s="113"/>
      <c r="T58" s="113"/>
      <c r="U58" s="113"/>
      <c r="V58" s="113"/>
      <c r="W58" s="121" t="n">
        <f aca="false">IF(E58="",0,((N58="Y")*IFERROR(VLOOKUP(E58&amp;"|1",MOUNT_TBL,5,0),0)+(O58="Y")*IFERROR(VLOOKUP(E58&amp;"|2",MOUNT_TBL,5,0),0)+(P58="Y")*IFERROR(VLOOKUP(E58&amp;"|3",MOUNT_TBL,5,0),0)+(Q58="Y")*IFERROR(VLOOKUP(E58&amp;"|4",MOUNT_TBL,5,0),0)+(R58="Y")*IFERROR(VLOOKUP(E58&amp;"|5",MOUNT_TBL,5,0),0)+(S58="Y")*IFERROR(VLOOKUP(E58&amp;"|6",MOUNT_TBL,5,0),0)+(T58="Y")*IFERROR(VLOOKUP(E58&amp;"|7",MOUNT_TBL,5,0),0))/100)</f>
        <v>0</v>
      </c>
      <c r="X58" s="114" t="s">
        <v>613</v>
      </c>
    </row>
    <row r="59" customFormat="false" ht="15" hidden="false" customHeight="false" outlineLevel="1" collapsed="false">
      <c r="A59" s="112" t="s">
        <v>82</v>
      </c>
      <c r="C59" s="113"/>
      <c r="D59" s="60"/>
      <c r="E59" s="115"/>
      <c r="F59" s="116"/>
      <c r="G59" s="117"/>
      <c r="H59" s="113"/>
      <c r="I59" s="118" t="str">
        <f aca="false">IF(E59="","",IF(AND(LEFT(E59,6)&lt;&gt;"หลังคา",E59&lt;&gt;"ถังน้ำใส"),"–",IF(H59="Y","มีแล้ว",IF(N(G59)=0,"⚠ กรอกความสูง",IF(G59&lt;LADDER_MIN,"ไม่ต้อง",IF(G59&lt;=8,"ติด: แผ่น 1 ช่วงเดียว","ติด: แผ่น 2 มีชานพัก"))))))</f>
        <v/>
      </c>
      <c r="J59" s="119" t="n">
        <f aca="false">IF(N(F59)&gt;0,F59*0.57,0)</f>
        <v>0</v>
      </c>
      <c r="K59" s="120" t="n">
        <f aca="false">IF(E59="",0,J59*IFERROR(VLOOKUP(E59,MOUNT_EFFORT,2,0),1))</f>
        <v>0</v>
      </c>
      <c r="L59" s="121" t="n">
        <f aca="false">IF(K59=0,0,K59/SUMIF($A$7:$A$137,A59,$K$7:$K$137))</f>
        <v>0</v>
      </c>
      <c r="M59" s="121" t="n">
        <f aca="false">IF(E59="",0,J59/SUMIFS($J$7:$J$137,$A$7:$A$137,A59,$E$7:$E$137,"?*"))</f>
        <v>0</v>
      </c>
      <c r="N59" s="113"/>
      <c r="O59" s="113"/>
      <c r="P59" s="113"/>
      <c r="Q59" s="113"/>
      <c r="R59" s="113"/>
      <c r="S59" s="113"/>
      <c r="T59" s="113"/>
      <c r="U59" s="113"/>
      <c r="V59" s="113"/>
      <c r="W59" s="121" t="n">
        <f aca="false">IF(E59="",0,((N59="Y")*IFERROR(VLOOKUP(E59&amp;"|1",MOUNT_TBL,5,0),0)+(O59="Y")*IFERROR(VLOOKUP(E59&amp;"|2",MOUNT_TBL,5,0),0)+(P59="Y")*IFERROR(VLOOKUP(E59&amp;"|3",MOUNT_TBL,5,0),0)+(Q59="Y")*IFERROR(VLOOKUP(E59&amp;"|4",MOUNT_TBL,5,0),0)+(R59="Y")*IFERROR(VLOOKUP(E59&amp;"|5",MOUNT_TBL,5,0),0)+(S59="Y")*IFERROR(VLOOKUP(E59&amp;"|6",MOUNT_TBL,5,0),0)+(T59="Y")*IFERROR(VLOOKUP(E59&amp;"|7",MOUNT_TBL,5,0),0))/100)</f>
        <v>0</v>
      </c>
      <c r="X59" s="60"/>
      <c r="AA59" s="123" t="s">
        <v>688</v>
      </c>
      <c r="AB59" s="124" t="n">
        <v>3</v>
      </c>
      <c r="AC59" s="129" t="s">
        <v>689</v>
      </c>
    </row>
    <row r="60" customFormat="false" ht="79.5" hidden="false" customHeight="true" outlineLevel="1" collapsed="false">
      <c r="A60" s="112" t="s">
        <v>82</v>
      </c>
      <c r="C60" s="113"/>
      <c r="D60" s="60"/>
      <c r="E60" s="115"/>
      <c r="F60" s="116"/>
      <c r="G60" s="117"/>
      <c r="H60" s="113"/>
      <c r="I60" s="118" t="str">
        <f aca="false">IF(E60="","",IF(AND(LEFT(E60,6)&lt;&gt;"หลังคา",E60&lt;&gt;"ถังน้ำใส"),"–",IF(H60="Y","มีแล้ว",IF(N(G60)=0,"⚠ กรอกความสูง",IF(G60&lt;LADDER_MIN,"ไม่ต้อง",IF(G60&lt;=8,"ติด: แผ่น 1 ช่วงเดียว","ติด: แผ่น 2 มีชานพัก"))))))</f>
        <v/>
      </c>
      <c r="J60" s="119" t="n">
        <f aca="false">IF(N(F60)&gt;0,F60*0.57,0)</f>
        <v>0</v>
      </c>
      <c r="K60" s="120" t="n">
        <f aca="false">IF(E60="",0,J60*IFERROR(VLOOKUP(E60,MOUNT_EFFORT,2,0),1))</f>
        <v>0</v>
      </c>
      <c r="L60" s="121" t="n">
        <f aca="false">IF(K60=0,0,K60/SUMIF($A$7:$A$137,A60,$K$7:$K$137))</f>
        <v>0</v>
      </c>
      <c r="M60" s="121" t="n">
        <f aca="false">IF(E60="",0,J60/SUMIFS($J$7:$J$137,$A$7:$A$137,A60,$E$7:$E$137,"?*"))</f>
        <v>0</v>
      </c>
      <c r="N60" s="113"/>
      <c r="O60" s="113"/>
      <c r="P60" s="113"/>
      <c r="Q60" s="113"/>
      <c r="R60" s="113"/>
      <c r="S60" s="113"/>
      <c r="T60" s="113"/>
      <c r="U60" s="113"/>
      <c r="V60" s="113"/>
      <c r="W60" s="121" t="n">
        <f aca="false">IF(E60="",0,((N60="Y")*IFERROR(VLOOKUP(E60&amp;"|1",MOUNT_TBL,5,0),0)+(O60="Y")*IFERROR(VLOOKUP(E60&amp;"|2",MOUNT_TBL,5,0),0)+(P60="Y")*IFERROR(VLOOKUP(E60&amp;"|3",MOUNT_TBL,5,0),0)+(Q60="Y")*IFERROR(VLOOKUP(E60&amp;"|4",MOUNT_TBL,5,0),0)+(R60="Y")*IFERROR(VLOOKUP(E60&amp;"|5",MOUNT_TBL,5,0),0)+(S60="Y")*IFERROR(VLOOKUP(E60&amp;"|6",MOUNT_TBL,5,0),0)+(T60="Y")*IFERROR(VLOOKUP(E60&amp;"|7",MOUNT_TBL,5,0),0))/100)</f>
        <v>0</v>
      </c>
      <c r="X60" s="60"/>
      <c r="AC60" s="125" t="s">
        <v>690</v>
      </c>
    </row>
    <row r="61" customFormat="false" ht="15" hidden="false" customHeight="false" outlineLevel="1" collapsed="false">
      <c r="A61" s="112" t="s">
        <v>82</v>
      </c>
      <c r="C61" s="113"/>
      <c r="D61" s="60"/>
      <c r="E61" s="115"/>
      <c r="F61" s="116"/>
      <c r="G61" s="117"/>
      <c r="H61" s="113"/>
      <c r="I61" s="118" t="str">
        <f aca="false">IF(E61="","",IF(AND(LEFT(E61,6)&lt;&gt;"หลังคา",E61&lt;&gt;"ถังน้ำใส"),"–",IF(H61="Y","มีแล้ว",IF(N(G61)=0,"⚠ กรอกความสูง",IF(G61&lt;LADDER_MIN,"ไม่ต้อง",IF(G61&lt;=8,"ติด: แผ่น 1 ช่วงเดียว","ติด: แผ่น 2 มีชานพัก"))))))</f>
        <v/>
      </c>
      <c r="J61" s="119" t="n">
        <f aca="false">IF(N(F61)&gt;0,F61*0.57,0)</f>
        <v>0</v>
      </c>
      <c r="K61" s="120" t="n">
        <f aca="false">IF(E61="",0,J61*IFERROR(VLOOKUP(E61,MOUNT_EFFORT,2,0),1))</f>
        <v>0</v>
      </c>
      <c r="L61" s="121" t="n">
        <f aca="false">IF(K61=0,0,K61/SUMIF($A$7:$A$137,A61,$K$7:$K$137))</f>
        <v>0</v>
      </c>
      <c r="M61" s="121" t="n">
        <f aca="false">IF(E61="",0,J61/SUMIFS($J$7:$J$137,$A$7:$A$137,A61,$E$7:$E$137,"?*"))</f>
        <v>0</v>
      </c>
      <c r="N61" s="113"/>
      <c r="O61" s="113"/>
      <c r="P61" s="113"/>
      <c r="Q61" s="113"/>
      <c r="R61" s="113"/>
      <c r="S61" s="113"/>
      <c r="T61" s="113"/>
      <c r="U61" s="113"/>
      <c r="V61" s="113"/>
      <c r="W61" s="121" t="n">
        <f aca="false">IF(E61="",0,((N61="Y")*IFERROR(VLOOKUP(E61&amp;"|1",MOUNT_TBL,5,0),0)+(O61="Y")*IFERROR(VLOOKUP(E61&amp;"|2",MOUNT_TBL,5,0),0)+(P61="Y")*IFERROR(VLOOKUP(E61&amp;"|3",MOUNT_TBL,5,0),0)+(Q61="Y")*IFERROR(VLOOKUP(E61&amp;"|4",MOUNT_TBL,5,0),0)+(R61="Y")*IFERROR(VLOOKUP(E61&amp;"|5",MOUNT_TBL,5,0),0)+(S61="Y")*IFERROR(VLOOKUP(E61&amp;"|6",MOUNT_TBL,5,0),0)+(T61="Y")*IFERROR(VLOOKUP(E61&amp;"|7",MOUNT_TBL,5,0),0))/100)</f>
        <v>0</v>
      </c>
      <c r="X61" s="60"/>
    </row>
    <row r="62" customFormat="false" ht="19.5" hidden="false" customHeight="true" outlineLevel="0" collapsed="false">
      <c r="A62" s="101" t="s">
        <v>691</v>
      </c>
      <c r="B62" s="102" t="s">
        <v>692</v>
      </c>
      <c r="C62" s="103" t="n">
        <f aca="false">COUNTIFS($A$63:$A$66,"P9-012",$E$63:$E$66,"?*")</f>
        <v>1</v>
      </c>
      <c r="D62" s="104" t="str">
        <f aca="false">IF(COUNTIFS($A$63:$A$66,"P9-012",$E$63:$E$66,"?*")=0,"ประมาณการ, ยังไม่สำรวจ — กรอกจุดจริงด้านล่าง (% 2.1–2.3 จะคิดรายจุดอัตโนมัติ)",SUBSTITUTE(IF(COUNTIFS($A$63:$A$66,"P9-012",$E$63:$E$66,"หลังคาลอนคู่")&gt;0,"ลอนคู่ "&amp;COUNTIFS($A$63:$A$66,"P9-012",$E$63:$E$66,"หลังคาลอนคู่")&amp;" จุด ("&amp;SUMIFS($F$63:$F$66,$A$63:$A$66,"P9-012",$E$63:$E$66,"หลังคาลอนคู่")&amp;" แผง), ","")&amp;IF(COUNTIFS($A$63:$A$66,"P9-012",$E$63:$E$66,"หลังคาเมทัลชีท")&gt;0,"เมทัลชีท "&amp;COUNTIFS($A$63:$A$66,"P9-012",$E$63:$E$66,"หลังคาเมทัลชีท")&amp;" จุด ("&amp;SUMIFS($F$63:$F$66,$A$63:$A$66,"P9-012",$E$63:$E$66,"หลังคาเมทัลชีท")&amp;" แผง), ","")&amp;IF(COUNTIFS($A$63:$A$66,"P9-012",$E$63:$E$66,"หลังคา")&gt;0,"หลังคา(ไม่ระบุวัสดุ) "&amp;COUNTIFS($A$63:$A$66,"P9-012",$E$63:$E$66,"หลังคา")&amp;" จุด ("&amp;SUMIFS($F$63:$F$66,$A$63:$A$66,"P9-012",$E$63:$E$66,"หลังคา")&amp;" แผง), ","")&amp;IF(COUNTIFS($A$63:$A$66,"P9-012",$E$63:$E$66,"ถังน้ำใส")&gt;0,"ถังน้ำใส "&amp;COUNTIFS($A$63:$A$66,"P9-012",$E$63:$E$66,"ถังน้ำใส")&amp;" จุด ("&amp;SUMIFS($F$63:$F$66,$A$63:$A$66,"P9-012",$E$63:$E$66,"ถังน้ำใส")&amp;" แผง), ","")&amp;IF(COUNTIFS($A$63:$A$66,"P9-012",$E$63:$E$66,"ถังดินกลบ")&gt;0,"ถังดินกลบ "&amp;COUNTIFS($A$63:$A$66,"P9-012",$E$63:$E$66,"ถังดินกลบ")&amp;" จุด ("&amp;SUMIFS($F$63:$F$66,$A$63:$A$66,"P9-012",$E$63:$E$66,"ถังดินกลบ")&amp;" แผง), ","")&amp;IF(COUNTIFS($A$63:$A$66,"P9-012",$E$63:$E$66,"Carport")&gt;0,"Carport "&amp;COUNTIFS($A$63:$A$66,"P9-012",$E$63:$E$66,"Carport")&amp;" จุด ("&amp;SUMIFS($F$63:$F$66,$A$63:$A$66,"P9-012",$E$63:$E$66,"Carport")&amp;" แผง), ","")&amp;"|",", |",""))</f>
        <v>ถังน้ำใส 1 จุด (492 แผง)</v>
      </c>
      <c r="E62" s="104"/>
      <c r="F62" s="105" t="n">
        <f aca="false">SUMIF($A$63:$A$66,"P9-012",$F$63:$F$66)</f>
        <v>492</v>
      </c>
      <c r="G62" s="106"/>
      <c r="H62" s="106"/>
      <c r="I62" s="107" t="str">
        <f aca="false">IF(COUNTIFS($A$63:$A$66,"P9-012",$I$63:$I$66,"ติด:*")&gt;0,"บันได "&amp;COUNTIFS($A$63:$A$66,"P9-012",$I$63:$I$66,"ติด:*")&amp;" จุด","")</f>
        <v>บันได 1 จุด</v>
      </c>
      <c r="J62" s="108" t="n">
        <f aca="false">SUMIF($A$63:$A$66,"P9-012",$J$63:$J$66)</f>
        <v>280.44</v>
      </c>
      <c r="K62" s="106"/>
      <c r="L62" s="106"/>
      <c r="M62" s="106"/>
      <c r="N62" s="106" t="str">
        <f aca="false">IF(C62=0,"",COUNTIFS($A$63:$A$66,"P9-012",$N$63:$N$66,"Y")&amp;"/"&amp;C62)</f>
        <v>0/1</v>
      </c>
      <c r="O62" s="106" t="str">
        <f aca="false">IF(C62=0,"",COUNTIFS($A$63:$A$66,"P9-012",$O$63:$O$66,"Y")&amp;"/"&amp;C62)</f>
        <v>0/1</v>
      </c>
      <c r="P62" s="106" t="str">
        <f aca="false">IF(C62=0,"",COUNTIFS($A$63:$A$66,"P9-012",$P$63:$P$66,"Y")&amp;"/"&amp;C62)</f>
        <v>0/1</v>
      </c>
      <c r="Q62" s="106" t="str">
        <f aca="false">IF(C62=0,"",COUNTIFS($A$63:$A$66,"P9-012",$Q$63:$Q$66,"Y")&amp;"/"&amp;C62)</f>
        <v>0/1</v>
      </c>
      <c r="R62" s="106" t="str">
        <f aca="false">IF(C62=0,"",COUNTIFS($A$63:$A$66,"P9-012",$R$63:$R$66,"Y")&amp;"/"&amp;C62)</f>
        <v>0/1</v>
      </c>
      <c r="S62" s="106" t="str">
        <f aca="false">IF(C62=0,"",COUNTIFS($A$63:$A$66,"P9-012",$S$63:$S$66,"Y")&amp;"/"&amp;C62)</f>
        <v>0/1</v>
      </c>
      <c r="T62" s="106" t="str">
        <f aca="false">IF(C62=0,"",COUNTIFS($A$63:$A$66,"P9-012",$T$63:$T$66,"Y")&amp;"/"&amp;C62)</f>
        <v>0/1</v>
      </c>
      <c r="U62" s="106" t="str">
        <f aca="false">IF(C62=0,"",COUNTIFS($A$63:$A$66,"P9-012",$U$63:$U$66,"Y")&amp;"/"&amp;C62)</f>
        <v>0/1</v>
      </c>
      <c r="V62" s="106" t="str">
        <f aca="false">IF(C62=0,"",COUNTIFS($A$63:$A$66,"P9-012",$V$63:$V$66,"Y")&amp;"/"&amp;C62)</f>
        <v>0/1</v>
      </c>
      <c r="W62" s="109" t="n">
        <f aca="false">SUMPRODUCT($L$63:$L$66,$W$63:$W$66)</f>
        <v>0</v>
      </c>
      <c r="X62" s="106"/>
    </row>
    <row r="63" customFormat="false" ht="15" hidden="false" customHeight="false" outlineLevel="1" collapsed="false">
      <c r="A63" s="112" t="s">
        <v>86</v>
      </c>
      <c r="C63" s="113" t="s">
        <v>672</v>
      </c>
      <c r="D63" s="114" t="s">
        <v>673</v>
      </c>
      <c r="E63" s="115" t="s">
        <v>640</v>
      </c>
      <c r="F63" s="116" t="n">
        <v>492</v>
      </c>
      <c r="G63" s="117" t="n">
        <v>5</v>
      </c>
      <c r="H63" s="113"/>
      <c r="I63" s="118" t="str">
        <f aca="false">IF(E63="","",IF(AND(LEFT(E63,6)&lt;&gt;"หลังคา",E63&lt;&gt;"ถังน้ำใส"),"–",IF(H63="Y","มีแล้ว",IF(N(G63)=0,"⚠ กรอกความสูง",IF(G63&lt;LADDER_MIN,"ไม่ต้อง",IF(G63&lt;=8,"ติด: แผ่น 1 ช่วงเดียว","ติด: แผ่น 2 มีชานพัก"))))))</f>
        <v>ติด: แผ่น 1 ช่วงเดียว</v>
      </c>
      <c r="J63" s="119" t="n">
        <f aca="false">IF(N(F63)&gt;0,F63*0.57,0)</f>
        <v>280.44</v>
      </c>
      <c r="K63" s="120" t="n">
        <f aca="false">IF(E63="",0,J63*IFERROR(VLOOKUP(E63,MOUNT_EFFORT,2,0),1))</f>
        <v>336.528</v>
      </c>
      <c r="L63" s="121" t="n">
        <f aca="false">IF(K63=0,0,K63/SUMIF($A$7:$A$137,A63,$K$7:$K$137))</f>
        <v>1</v>
      </c>
      <c r="M63" s="121" t="n">
        <f aca="false">IF(E63="",0,J63/SUMIFS($J$7:$J$137,$A$7:$A$137,A63,$E$7:$E$137,"?*"))</f>
        <v>1</v>
      </c>
      <c r="N63" s="113"/>
      <c r="O63" s="113"/>
      <c r="P63" s="113"/>
      <c r="Q63" s="113"/>
      <c r="R63" s="113"/>
      <c r="S63" s="113"/>
      <c r="T63" s="113"/>
      <c r="U63" s="113"/>
      <c r="V63" s="113"/>
      <c r="W63" s="121" t="n">
        <f aca="false">IF(E63="",0,((N63="Y")*IFERROR(VLOOKUP(E63&amp;"|1",MOUNT_TBL,5,0),0)+(O63="Y")*IFERROR(VLOOKUP(E63&amp;"|2",MOUNT_TBL,5,0),0)+(P63="Y")*IFERROR(VLOOKUP(E63&amp;"|3",MOUNT_TBL,5,0),0)+(Q63="Y")*IFERROR(VLOOKUP(E63&amp;"|4",MOUNT_TBL,5,0),0)+(R63="Y")*IFERROR(VLOOKUP(E63&amp;"|5",MOUNT_TBL,5,0),0)+(S63="Y")*IFERROR(VLOOKUP(E63&amp;"|6",MOUNT_TBL,5,0),0)+(T63="Y")*IFERROR(VLOOKUP(E63&amp;"|7",MOUNT_TBL,5,0),0))/100)</f>
        <v>0</v>
      </c>
      <c r="X63" s="114" t="s">
        <v>613</v>
      </c>
    </row>
    <row r="64" customFormat="false" ht="15" hidden="false" customHeight="false" outlineLevel="1" collapsed="false">
      <c r="A64" s="112" t="s">
        <v>86</v>
      </c>
      <c r="C64" s="113"/>
      <c r="D64" s="60"/>
      <c r="E64" s="115"/>
      <c r="F64" s="116"/>
      <c r="G64" s="117"/>
      <c r="H64" s="113"/>
      <c r="I64" s="118" t="str">
        <f aca="false">IF(E64="","",IF(AND(LEFT(E64,6)&lt;&gt;"หลังคา",E64&lt;&gt;"ถังน้ำใส"),"–",IF(H64="Y","มีแล้ว",IF(N(G64)=0,"⚠ กรอกความสูง",IF(G64&lt;LADDER_MIN,"ไม่ต้อง",IF(G64&lt;=8,"ติด: แผ่น 1 ช่วงเดียว","ติด: แผ่น 2 มีชานพัก"))))))</f>
        <v/>
      </c>
      <c r="J64" s="119" t="n">
        <f aca="false">IF(N(F64)&gt;0,F64*0.57,0)</f>
        <v>0</v>
      </c>
      <c r="K64" s="120" t="n">
        <f aca="false">IF(E64="",0,J64*IFERROR(VLOOKUP(E64,MOUNT_EFFORT,2,0),1))</f>
        <v>0</v>
      </c>
      <c r="L64" s="121" t="n">
        <f aca="false">IF(K64=0,0,K64/SUMIF($A$7:$A$137,A64,$K$7:$K$137))</f>
        <v>0</v>
      </c>
      <c r="M64" s="121" t="n">
        <f aca="false">IF(E64="",0,J64/SUMIFS($J$7:$J$137,$A$7:$A$137,A64,$E$7:$E$137,"?*"))</f>
        <v>0</v>
      </c>
      <c r="N64" s="113"/>
      <c r="O64" s="113"/>
      <c r="P64" s="113"/>
      <c r="Q64" s="113"/>
      <c r="R64" s="113"/>
      <c r="S64" s="113"/>
      <c r="T64" s="113"/>
      <c r="U64" s="113"/>
      <c r="V64" s="113"/>
      <c r="W64" s="121" t="n">
        <f aca="false">IF(E64="",0,((N64="Y")*IFERROR(VLOOKUP(E64&amp;"|1",MOUNT_TBL,5,0),0)+(O64="Y")*IFERROR(VLOOKUP(E64&amp;"|2",MOUNT_TBL,5,0),0)+(P64="Y")*IFERROR(VLOOKUP(E64&amp;"|3",MOUNT_TBL,5,0),0)+(Q64="Y")*IFERROR(VLOOKUP(E64&amp;"|4",MOUNT_TBL,5,0),0)+(R64="Y")*IFERROR(VLOOKUP(E64&amp;"|5",MOUNT_TBL,5,0),0)+(S64="Y")*IFERROR(VLOOKUP(E64&amp;"|6",MOUNT_TBL,5,0),0)+(T64="Y")*IFERROR(VLOOKUP(E64&amp;"|7",MOUNT_TBL,5,0),0))/100)</f>
        <v>0</v>
      </c>
      <c r="X64" s="60"/>
    </row>
    <row r="65" customFormat="false" ht="15" hidden="false" customHeight="false" outlineLevel="1" collapsed="false">
      <c r="A65" s="112" t="s">
        <v>86</v>
      </c>
      <c r="C65" s="113"/>
      <c r="D65" s="60"/>
      <c r="E65" s="115"/>
      <c r="F65" s="116"/>
      <c r="G65" s="117"/>
      <c r="H65" s="113"/>
      <c r="I65" s="118" t="str">
        <f aca="false">IF(E65="","",IF(AND(LEFT(E65,6)&lt;&gt;"หลังคา",E65&lt;&gt;"ถังน้ำใส"),"–",IF(H65="Y","มีแล้ว",IF(N(G65)=0,"⚠ กรอกความสูง",IF(G65&lt;LADDER_MIN,"ไม่ต้อง",IF(G65&lt;=8,"ติด: แผ่น 1 ช่วงเดียว","ติด: แผ่น 2 มีชานพัก"))))))</f>
        <v/>
      </c>
      <c r="J65" s="119" t="n">
        <f aca="false">IF(N(F65)&gt;0,F65*0.57,0)</f>
        <v>0</v>
      </c>
      <c r="K65" s="120" t="n">
        <f aca="false">IF(E65="",0,J65*IFERROR(VLOOKUP(E65,MOUNT_EFFORT,2,0),1))</f>
        <v>0</v>
      </c>
      <c r="L65" s="121" t="n">
        <f aca="false">IF(K65=0,0,K65/SUMIF($A$7:$A$137,A65,$K$7:$K$137))</f>
        <v>0</v>
      </c>
      <c r="M65" s="121" t="n">
        <f aca="false">IF(E65="",0,J65/SUMIFS($J$7:$J$137,$A$7:$A$137,A65,$E$7:$E$137,"?*"))</f>
        <v>0</v>
      </c>
      <c r="N65" s="113"/>
      <c r="O65" s="113"/>
      <c r="P65" s="113"/>
      <c r="Q65" s="113"/>
      <c r="R65" s="113"/>
      <c r="S65" s="113"/>
      <c r="T65" s="113"/>
      <c r="U65" s="113"/>
      <c r="V65" s="113"/>
      <c r="W65" s="121" t="n">
        <f aca="false">IF(E65="",0,((N65="Y")*IFERROR(VLOOKUP(E65&amp;"|1",MOUNT_TBL,5,0),0)+(O65="Y")*IFERROR(VLOOKUP(E65&amp;"|2",MOUNT_TBL,5,0),0)+(P65="Y")*IFERROR(VLOOKUP(E65&amp;"|3",MOUNT_TBL,5,0),0)+(Q65="Y")*IFERROR(VLOOKUP(E65&amp;"|4",MOUNT_TBL,5,0),0)+(R65="Y")*IFERROR(VLOOKUP(E65&amp;"|5",MOUNT_TBL,5,0),0)+(S65="Y")*IFERROR(VLOOKUP(E65&amp;"|6",MOUNT_TBL,5,0),0)+(T65="Y")*IFERROR(VLOOKUP(E65&amp;"|7",MOUNT_TBL,5,0),0))/100)</f>
        <v>0</v>
      </c>
      <c r="X65" s="60"/>
    </row>
    <row r="66" customFormat="false" ht="15" hidden="false" customHeight="false" outlineLevel="1" collapsed="false">
      <c r="A66" s="112" t="s">
        <v>86</v>
      </c>
      <c r="C66" s="113"/>
      <c r="D66" s="60"/>
      <c r="E66" s="115"/>
      <c r="F66" s="116"/>
      <c r="G66" s="117"/>
      <c r="H66" s="113"/>
      <c r="I66" s="118" t="str">
        <f aca="false">IF(E66="","",IF(AND(LEFT(E66,6)&lt;&gt;"หลังคา",E66&lt;&gt;"ถังน้ำใส"),"–",IF(H66="Y","มีแล้ว",IF(N(G66)=0,"⚠ กรอกความสูง",IF(G66&lt;LADDER_MIN,"ไม่ต้อง",IF(G66&lt;=8,"ติด: แผ่น 1 ช่วงเดียว","ติด: แผ่น 2 มีชานพัก"))))))</f>
        <v/>
      </c>
      <c r="J66" s="119" t="n">
        <f aca="false">IF(N(F66)&gt;0,F66*0.57,0)</f>
        <v>0</v>
      </c>
      <c r="K66" s="120" t="n">
        <f aca="false">IF(E66="",0,J66*IFERROR(VLOOKUP(E66,MOUNT_EFFORT,2,0),1))</f>
        <v>0</v>
      </c>
      <c r="L66" s="121" t="n">
        <f aca="false">IF(K66=0,0,K66/SUMIF($A$7:$A$137,A66,$K$7:$K$137))</f>
        <v>0</v>
      </c>
      <c r="M66" s="121" t="n">
        <f aca="false">IF(E66="",0,J66/SUMIFS($J$7:$J$137,$A$7:$A$137,A66,$E$7:$E$137,"?*"))</f>
        <v>0</v>
      </c>
      <c r="N66" s="113"/>
      <c r="O66" s="113"/>
      <c r="P66" s="113"/>
      <c r="Q66" s="113"/>
      <c r="R66" s="113"/>
      <c r="S66" s="113"/>
      <c r="T66" s="113"/>
      <c r="U66" s="113"/>
      <c r="V66" s="113"/>
      <c r="W66" s="121" t="n">
        <f aca="false">IF(E66="",0,((N66="Y")*IFERROR(VLOOKUP(E66&amp;"|1",MOUNT_TBL,5,0),0)+(O66="Y")*IFERROR(VLOOKUP(E66&amp;"|2",MOUNT_TBL,5,0),0)+(P66="Y")*IFERROR(VLOOKUP(E66&amp;"|3",MOUNT_TBL,5,0),0)+(Q66="Y")*IFERROR(VLOOKUP(E66&amp;"|4",MOUNT_TBL,5,0),0)+(R66="Y")*IFERROR(VLOOKUP(E66&amp;"|5",MOUNT_TBL,5,0),0)+(S66="Y")*IFERROR(VLOOKUP(E66&amp;"|6",MOUNT_TBL,5,0),0)+(T66="Y")*IFERROR(VLOOKUP(E66&amp;"|7",MOUNT_TBL,5,0),0))/100)</f>
        <v>0</v>
      </c>
      <c r="X66" s="60"/>
    </row>
    <row r="67" customFormat="false" ht="19.5" hidden="false" customHeight="true" outlineLevel="0" collapsed="false">
      <c r="A67" s="101" t="s">
        <v>693</v>
      </c>
      <c r="B67" s="102" t="s">
        <v>694</v>
      </c>
      <c r="C67" s="103" t="n">
        <f aca="false">COUNTIFS($A$68:$A$71,"P9-013",$E$68:$E$71,"?*")</f>
        <v>1</v>
      </c>
      <c r="D67" s="104" t="str">
        <f aca="false">IF(COUNTIFS($A$68:$A$71,"P9-013",$E$68:$E$71,"?*")=0,"ประมาณการ, ยังไม่สำรวจ — กรอกจุดจริงด้านล่าง (% 2.1–2.3 จะคิดรายจุดอัตโนมัติ)",SUBSTITUTE(IF(COUNTIFS($A$68:$A$71,"P9-013",$E$68:$E$71,"หลังคาลอนคู่")&gt;0,"ลอนคู่ "&amp;COUNTIFS($A$68:$A$71,"P9-013",$E$68:$E$71,"หลังคาลอนคู่")&amp;" จุด ("&amp;SUMIFS($F$68:$F$71,$A$68:$A$71,"P9-013",$E$68:$E$71,"หลังคาลอนคู่")&amp;" แผง), ","")&amp;IF(COUNTIFS($A$68:$A$71,"P9-013",$E$68:$E$71,"หลังคาเมทัลชีท")&gt;0,"เมทัลชีท "&amp;COUNTIFS($A$68:$A$71,"P9-013",$E$68:$E$71,"หลังคาเมทัลชีท")&amp;" จุด ("&amp;SUMIFS($F$68:$F$71,$A$68:$A$71,"P9-013",$E$68:$E$71,"หลังคาเมทัลชีท")&amp;" แผง), ","")&amp;IF(COUNTIFS($A$68:$A$71,"P9-013",$E$68:$E$71,"หลังคา")&gt;0,"หลังคา(ไม่ระบุวัสดุ) "&amp;COUNTIFS($A$68:$A$71,"P9-013",$E$68:$E$71,"หลังคา")&amp;" จุด ("&amp;SUMIFS($F$68:$F$71,$A$68:$A$71,"P9-013",$E$68:$E$71,"หลังคา")&amp;" แผง), ","")&amp;IF(COUNTIFS($A$68:$A$71,"P9-013",$E$68:$E$71,"ถังน้ำใส")&gt;0,"ถังน้ำใส "&amp;COUNTIFS($A$68:$A$71,"P9-013",$E$68:$E$71,"ถังน้ำใส")&amp;" จุด ("&amp;SUMIFS($F$68:$F$71,$A$68:$A$71,"P9-013",$E$68:$E$71,"ถังน้ำใส")&amp;" แผง), ","")&amp;IF(COUNTIFS($A$68:$A$71,"P9-013",$E$68:$E$71,"ถังดินกลบ")&gt;0,"ถังดินกลบ "&amp;COUNTIFS($A$68:$A$71,"P9-013",$E$68:$E$71,"ถังดินกลบ")&amp;" จุด ("&amp;SUMIFS($F$68:$F$71,$A$68:$A$71,"P9-013",$E$68:$E$71,"ถังดินกลบ")&amp;" แผง), ","")&amp;IF(COUNTIFS($A$68:$A$71,"P9-013",$E$68:$E$71,"Carport")&gt;0,"Carport "&amp;COUNTIFS($A$68:$A$71,"P9-013",$E$68:$E$71,"Carport")&amp;" จุด ("&amp;SUMIFS($F$68:$F$71,$A$68:$A$71,"P9-013",$E$68:$E$71,"Carport")&amp;" แผง), ","")&amp;"|",", |",""))</f>
        <v>ถังดินกลบ 1 จุด (264 แผง)</v>
      </c>
      <c r="E67" s="104"/>
      <c r="F67" s="105" t="n">
        <f aca="false">SUMIF($A$68:$A$71,"P9-013",$F$68:$F$71)</f>
        <v>264</v>
      </c>
      <c r="G67" s="106"/>
      <c r="H67" s="106"/>
      <c r="I67" s="107" t="str">
        <f aca="false">IF(COUNTIFS($A$68:$A$71,"P9-013",$I$68:$I$71,"ติด:*")&gt;0,"บันได "&amp;COUNTIFS($A$68:$A$71,"P9-013",$I$68:$I$71,"ติด:*")&amp;" จุด","")</f>
        <v/>
      </c>
      <c r="J67" s="108" t="n">
        <f aca="false">SUMIF($A$68:$A$71,"P9-013",$J$68:$J$71)</f>
        <v>150.48</v>
      </c>
      <c r="K67" s="106"/>
      <c r="L67" s="106"/>
      <c r="M67" s="106"/>
      <c r="N67" s="106" t="str">
        <f aca="false">IF(C67=0,"",COUNTIFS($A$68:$A$71,"P9-013",$N$68:$N$71,"Y")&amp;"/"&amp;C67)</f>
        <v>0/1</v>
      </c>
      <c r="O67" s="106" t="str">
        <f aca="false">IF(C67=0,"",COUNTIFS($A$68:$A$71,"P9-013",$O$68:$O$71,"Y")&amp;"/"&amp;C67)</f>
        <v>0/1</v>
      </c>
      <c r="P67" s="106" t="str">
        <f aca="false">IF(C67=0,"",COUNTIFS($A$68:$A$71,"P9-013",$P$68:$P$71,"Y")&amp;"/"&amp;C67)</f>
        <v>0/1</v>
      </c>
      <c r="Q67" s="106" t="str">
        <f aca="false">IF(C67=0,"",COUNTIFS($A$68:$A$71,"P9-013",$Q$68:$Q$71,"Y")&amp;"/"&amp;C67)</f>
        <v>0/1</v>
      </c>
      <c r="R67" s="106" t="str">
        <f aca="false">IF(C67=0,"",COUNTIFS($A$68:$A$71,"P9-013",$R$68:$R$71,"Y")&amp;"/"&amp;C67)</f>
        <v>0/1</v>
      </c>
      <c r="S67" s="106" t="str">
        <f aca="false">IF(C67=0,"",COUNTIFS($A$68:$A$71,"P9-013",$S$68:$S$71,"Y")&amp;"/"&amp;C67)</f>
        <v>0/1</v>
      </c>
      <c r="T67" s="106" t="str">
        <f aca="false">IF(C67=0,"",COUNTIFS($A$68:$A$71,"P9-013",$T$68:$T$71,"Y")&amp;"/"&amp;C67)</f>
        <v>0/1</v>
      </c>
      <c r="U67" s="106" t="str">
        <f aca="false">IF(C67=0,"",COUNTIFS($A$68:$A$71,"P9-013",$U$68:$U$71,"Y")&amp;"/"&amp;C67)</f>
        <v>0/1</v>
      </c>
      <c r="V67" s="106" t="str">
        <f aca="false">IF(C67=0,"",COUNTIFS($A$68:$A$71,"P9-013",$V$68:$V$71,"Y")&amp;"/"&amp;C67)</f>
        <v>0/1</v>
      </c>
      <c r="W67" s="109" t="n">
        <f aca="false">SUMPRODUCT($L$68:$L$71,$W$68:$W$71)</f>
        <v>0</v>
      </c>
      <c r="X67" s="106"/>
    </row>
    <row r="68" customFormat="false" ht="15" hidden="false" customHeight="false" outlineLevel="1" collapsed="false">
      <c r="A68" s="112" t="s">
        <v>90</v>
      </c>
      <c r="C68" s="113" t="s">
        <v>695</v>
      </c>
      <c r="D68" s="114" t="s">
        <v>696</v>
      </c>
      <c r="E68" s="115" t="s">
        <v>651</v>
      </c>
      <c r="F68" s="116" t="n">
        <v>264</v>
      </c>
      <c r="G68" s="117" t="n">
        <v>1</v>
      </c>
      <c r="H68" s="113"/>
      <c r="I68" s="118" t="str">
        <f aca="false">IF(E68="","",IF(AND(LEFT(E68,6)&lt;&gt;"หลังคา",E68&lt;&gt;"ถังน้ำใส"),"–",IF(H68="Y","มีแล้ว",IF(N(G68)=0,"⚠ กรอกความสูง",IF(G68&lt;LADDER_MIN,"ไม่ต้อง",IF(G68&lt;=8,"ติด: แผ่น 1 ช่วงเดียว","ติด: แผ่น 2 มีชานพัก"))))))</f>
        <v>–</v>
      </c>
      <c r="J68" s="119" t="n">
        <f aca="false">IF(N(F68)&gt;0,F68*0.57,0)</f>
        <v>150.48</v>
      </c>
      <c r="K68" s="120" t="n">
        <f aca="false">IF(E68="",0,J68*IFERROR(VLOOKUP(E68,MOUNT_EFFORT,2,0),1))</f>
        <v>240.768</v>
      </c>
      <c r="L68" s="121" t="n">
        <f aca="false">IF(K68=0,0,K68/SUMIF($A$7:$A$137,A68,$K$7:$K$137))</f>
        <v>1</v>
      </c>
      <c r="M68" s="121" t="n">
        <f aca="false">IF(E68="",0,J68/SUMIFS($J$7:$J$137,$A$7:$A$137,A68,$E$7:$E$137,"?*"))</f>
        <v>1</v>
      </c>
      <c r="N68" s="113"/>
      <c r="O68" s="113"/>
      <c r="P68" s="113"/>
      <c r="Q68" s="113"/>
      <c r="R68" s="113"/>
      <c r="S68" s="113"/>
      <c r="T68" s="113"/>
      <c r="U68" s="113"/>
      <c r="V68" s="113"/>
      <c r="W68" s="121" t="n">
        <f aca="false">IF(E68="",0,((N68="Y")*IFERROR(VLOOKUP(E68&amp;"|1",MOUNT_TBL,5,0),0)+(O68="Y")*IFERROR(VLOOKUP(E68&amp;"|2",MOUNT_TBL,5,0),0)+(P68="Y")*IFERROR(VLOOKUP(E68&amp;"|3",MOUNT_TBL,5,0),0)+(Q68="Y")*IFERROR(VLOOKUP(E68&amp;"|4",MOUNT_TBL,5,0),0)+(R68="Y")*IFERROR(VLOOKUP(E68&amp;"|5",MOUNT_TBL,5,0),0)+(S68="Y")*IFERROR(VLOOKUP(E68&amp;"|6",MOUNT_TBL,5,0),0)+(T68="Y")*IFERROR(VLOOKUP(E68&amp;"|7",MOUNT_TBL,5,0),0))/100)</f>
        <v>0</v>
      </c>
      <c r="X68" s="114" t="s">
        <v>613</v>
      </c>
    </row>
    <row r="69" customFormat="false" ht="15" hidden="false" customHeight="false" outlineLevel="1" collapsed="false">
      <c r="A69" s="112" t="s">
        <v>90</v>
      </c>
      <c r="C69" s="113"/>
      <c r="D69" s="60"/>
      <c r="E69" s="115"/>
      <c r="F69" s="116"/>
      <c r="G69" s="117"/>
      <c r="H69" s="113"/>
      <c r="I69" s="118" t="str">
        <f aca="false">IF(E69="","",IF(AND(LEFT(E69,6)&lt;&gt;"หลังคา",E69&lt;&gt;"ถังน้ำใส"),"–",IF(H69="Y","มีแล้ว",IF(N(G69)=0,"⚠ กรอกความสูง",IF(G69&lt;LADDER_MIN,"ไม่ต้อง",IF(G69&lt;=8,"ติด: แผ่น 1 ช่วงเดียว","ติด: แผ่น 2 มีชานพัก"))))))</f>
        <v/>
      </c>
      <c r="J69" s="119" t="n">
        <f aca="false">IF(N(F69)&gt;0,F69*0.57,0)</f>
        <v>0</v>
      </c>
      <c r="K69" s="120" t="n">
        <f aca="false">IF(E69="",0,J69*IFERROR(VLOOKUP(E69,MOUNT_EFFORT,2,0),1))</f>
        <v>0</v>
      </c>
      <c r="L69" s="121" t="n">
        <f aca="false">IF(K69=0,0,K69/SUMIF($A$7:$A$137,A69,$K$7:$K$137))</f>
        <v>0</v>
      </c>
      <c r="M69" s="121" t="n">
        <f aca="false">IF(E69="",0,J69/SUMIFS($J$7:$J$137,$A$7:$A$137,A69,$E$7:$E$137,"?*"))</f>
        <v>0</v>
      </c>
      <c r="N69" s="113"/>
      <c r="O69" s="113"/>
      <c r="P69" s="113"/>
      <c r="Q69" s="113"/>
      <c r="R69" s="113"/>
      <c r="S69" s="113"/>
      <c r="T69" s="113"/>
      <c r="U69" s="113"/>
      <c r="V69" s="113"/>
      <c r="W69" s="121" t="n">
        <f aca="false">IF(E69="",0,((N69="Y")*IFERROR(VLOOKUP(E69&amp;"|1",MOUNT_TBL,5,0),0)+(O69="Y")*IFERROR(VLOOKUP(E69&amp;"|2",MOUNT_TBL,5,0),0)+(P69="Y")*IFERROR(VLOOKUP(E69&amp;"|3",MOUNT_TBL,5,0),0)+(Q69="Y")*IFERROR(VLOOKUP(E69&amp;"|4",MOUNT_TBL,5,0),0)+(R69="Y")*IFERROR(VLOOKUP(E69&amp;"|5",MOUNT_TBL,5,0),0)+(S69="Y")*IFERROR(VLOOKUP(E69&amp;"|6",MOUNT_TBL,5,0),0)+(T69="Y")*IFERROR(VLOOKUP(E69&amp;"|7",MOUNT_TBL,5,0),0))/100)</f>
        <v>0</v>
      </c>
      <c r="X69" s="60"/>
    </row>
    <row r="70" customFormat="false" ht="15" hidden="false" customHeight="false" outlineLevel="1" collapsed="false">
      <c r="A70" s="112" t="s">
        <v>90</v>
      </c>
      <c r="C70" s="113"/>
      <c r="D70" s="60"/>
      <c r="E70" s="115"/>
      <c r="F70" s="116"/>
      <c r="G70" s="117"/>
      <c r="H70" s="113"/>
      <c r="I70" s="118" t="str">
        <f aca="false">IF(E70="","",IF(AND(LEFT(E70,6)&lt;&gt;"หลังคา",E70&lt;&gt;"ถังน้ำใส"),"–",IF(H70="Y","มีแล้ว",IF(N(G70)=0,"⚠ กรอกความสูง",IF(G70&lt;LADDER_MIN,"ไม่ต้อง",IF(G70&lt;=8,"ติด: แผ่น 1 ช่วงเดียว","ติด: แผ่น 2 มีชานพัก"))))))</f>
        <v/>
      </c>
      <c r="J70" s="119" t="n">
        <f aca="false">IF(N(F70)&gt;0,F70*0.57,0)</f>
        <v>0</v>
      </c>
      <c r="K70" s="120" t="n">
        <f aca="false">IF(E70="",0,J70*IFERROR(VLOOKUP(E70,MOUNT_EFFORT,2,0),1))</f>
        <v>0</v>
      </c>
      <c r="L70" s="121" t="n">
        <f aca="false">IF(K70=0,0,K70/SUMIF($A$7:$A$137,A70,$K$7:$K$137))</f>
        <v>0</v>
      </c>
      <c r="M70" s="121" t="n">
        <f aca="false">IF(E70="",0,J70/SUMIFS($J$7:$J$137,$A$7:$A$137,A70,$E$7:$E$137,"?*"))</f>
        <v>0</v>
      </c>
      <c r="N70" s="113"/>
      <c r="O70" s="113"/>
      <c r="P70" s="113"/>
      <c r="Q70" s="113"/>
      <c r="R70" s="113"/>
      <c r="S70" s="113"/>
      <c r="T70" s="113"/>
      <c r="U70" s="113"/>
      <c r="V70" s="113"/>
      <c r="W70" s="121" t="n">
        <f aca="false">IF(E70="",0,((N70="Y")*IFERROR(VLOOKUP(E70&amp;"|1",MOUNT_TBL,5,0),0)+(O70="Y")*IFERROR(VLOOKUP(E70&amp;"|2",MOUNT_TBL,5,0),0)+(P70="Y")*IFERROR(VLOOKUP(E70&amp;"|3",MOUNT_TBL,5,0),0)+(Q70="Y")*IFERROR(VLOOKUP(E70&amp;"|4",MOUNT_TBL,5,0),0)+(R70="Y")*IFERROR(VLOOKUP(E70&amp;"|5",MOUNT_TBL,5,0),0)+(S70="Y")*IFERROR(VLOOKUP(E70&amp;"|6",MOUNT_TBL,5,0),0)+(T70="Y")*IFERROR(VLOOKUP(E70&amp;"|7",MOUNT_TBL,5,0),0))/100)</f>
        <v>0</v>
      </c>
      <c r="X70" s="60"/>
    </row>
    <row r="71" customFormat="false" ht="15" hidden="false" customHeight="false" outlineLevel="1" collapsed="false">
      <c r="A71" s="112" t="s">
        <v>90</v>
      </c>
      <c r="C71" s="113"/>
      <c r="D71" s="60"/>
      <c r="E71" s="115"/>
      <c r="F71" s="116"/>
      <c r="G71" s="117"/>
      <c r="H71" s="113"/>
      <c r="I71" s="118" t="str">
        <f aca="false">IF(E71="","",IF(AND(LEFT(E71,6)&lt;&gt;"หลังคา",E71&lt;&gt;"ถังน้ำใส"),"–",IF(H71="Y","มีแล้ว",IF(N(G71)=0,"⚠ กรอกความสูง",IF(G71&lt;LADDER_MIN,"ไม่ต้อง",IF(G71&lt;=8,"ติด: แผ่น 1 ช่วงเดียว","ติด: แผ่น 2 มีชานพัก"))))))</f>
        <v/>
      </c>
      <c r="J71" s="119" t="n">
        <f aca="false">IF(N(F71)&gt;0,F71*0.57,0)</f>
        <v>0</v>
      </c>
      <c r="K71" s="120" t="n">
        <f aca="false">IF(E71="",0,J71*IFERROR(VLOOKUP(E71,MOUNT_EFFORT,2,0),1))</f>
        <v>0</v>
      </c>
      <c r="L71" s="121" t="n">
        <f aca="false">IF(K71=0,0,K71/SUMIF($A$7:$A$137,A71,$K$7:$K$137))</f>
        <v>0</v>
      </c>
      <c r="M71" s="121" t="n">
        <f aca="false">IF(E71="",0,J71/SUMIFS($J$7:$J$137,$A$7:$A$137,A71,$E$7:$E$137,"?*"))</f>
        <v>0</v>
      </c>
      <c r="N71" s="113"/>
      <c r="O71" s="113"/>
      <c r="P71" s="113"/>
      <c r="Q71" s="113"/>
      <c r="R71" s="113"/>
      <c r="S71" s="113"/>
      <c r="T71" s="113"/>
      <c r="U71" s="113"/>
      <c r="V71" s="113"/>
      <c r="W71" s="121" t="n">
        <f aca="false">IF(E71="",0,((N71="Y")*IFERROR(VLOOKUP(E71&amp;"|1",MOUNT_TBL,5,0),0)+(O71="Y")*IFERROR(VLOOKUP(E71&amp;"|2",MOUNT_TBL,5,0),0)+(P71="Y")*IFERROR(VLOOKUP(E71&amp;"|3",MOUNT_TBL,5,0),0)+(Q71="Y")*IFERROR(VLOOKUP(E71&amp;"|4",MOUNT_TBL,5,0),0)+(R71="Y")*IFERROR(VLOOKUP(E71&amp;"|5",MOUNT_TBL,5,0),0)+(S71="Y")*IFERROR(VLOOKUP(E71&amp;"|6",MOUNT_TBL,5,0),0)+(T71="Y")*IFERROR(VLOOKUP(E71&amp;"|7",MOUNT_TBL,5,0),0))/100)</f>
        <v>0</v>
      </c>
      <c r="X71" s="60"/>
    </row>
    <row r="72" customFormat="false" ht="19.5" hidden="false" customHeight="true" outlineLevel="0" collapsed="false">
      <c r="A72" s="101" t="s">
        <v>697</v>
      </c>
      <c r="B72" s="102" t="s">
        <v>698</v>
      </c>
      <c r="C72" s="103" t="n">
        <f aca="false">COUNTIFS($A$73:$A$76,"P9-014",$E$73:$E$76,"?*")</f>
        <v>1</v>
      </c>
      <c r="D72" s="104" t="str">
        <f aca="false">IF(COUNTIFS($A$73:$A$76,"P9-014",$E$73:$E$76,"?*")=0,"ประมาณการ, ยังไม่สำรวจ — กรอกจุดจริงด้านล่าง (% 2.1–2.3 จะคิดรายจุดอัตโนมัติ)",SUBSTITUTE(IF(COUNTIFS($A$73:$A$76,"P9-014",$E$73:$E$76,"หลังคาลอนคู่")&gt;0,"ลอนคู่ "&amp;COUNTIFS($A$73:$A$76,"P9-014",$E$73:$E$76,"หลังคาลอนคู่")&amp;" จุด ("&amp;SUMIFS($F$73:$F$76,$A$73:$A$76,"P9-014",$E$73:$E$76,"หลังคาลอนคู่")&amp;" แผง), ","")&amp;IF(COUNTIFS($A$73:$A$76,"P9-014",$E$73:$E$76,"หลังคาเมทัลชีท")&gt;0,"เมทัลชีท "&amp;COUNTIFS($A$73:$A$76,"P9-014",$E$73:$E$76,"หลังคาเมทัลชีท")&amp;" จุด ("&amp;SUMIFS($F$73:$F$76,$A$73:$A$76,"P9-014",$E$73:$E$76,"หลังคาเมทัลชีท")&amp;" แผง), ","")&amp;IF(COUNTIFS($A$73:$A$76,"P9-014",$E$73:$E$76,"หลังคา")&gt;0,"หลังคา(ไม่ระบุวัสดุ) "&amp;COUNTIFS($A$73:$A$76,"P9-014",$E$73:$E$76,"หลังคา")&amp;" จุด ("&amp;SUMIFS($F$73:$F$76,$A$73:$A$76,"P9-014",$E$73:$E$76,"หลังคา")&amp;" แผง), ","")&amp;IF(COUNTIFS($A$73:$A$76,"P9-014",$E$73:$E$76,"ถังน้ำใส")&gt;0,"ถังน้ำใส "&amp;COUNTIFS($A$73:$A$76,"P9-014",$E$73:$E$76,"ถังน้ำใส")&amp;" จุด ("&amp;SUMIFS($F$73:$F$76,$A$73:$A$76,"P9-014",$E$73:$E$76,"ถังน้ำใส")&amp;" แผง), ","")&amp;IF(COUNTIFS($A$73:$A$76,"P9-014",$E$73:$E$76,"ถังดินกลบ")&gt;0,"ถังดินกลบ "&amp;COUNTIFS($A$73:$A$76,"P9-014",$E$73:$E$76,"ถังดินกลบ")&amp;" จุด ("&amp;SUMIFS($F$73:$F$76,$A$73:$A$76,"P9-014",$E$73:$E$76,"ถังดินกลบ")&amp;" แผง), ","")&amp;IF(COUNTIFS($A$73:$A$76,"P9-014",$E$73:$E$76,"Carport")&gt;0,"Carport "&amp;COUNTIFS($A$73:$A$76,"P9-014",$E$73:$E$76,"Carport")&amp;" จุด ("&amp;SUMIFS($F$73:$F$76,$A$73:$A$76,"P9-014",$E$73:$E$76,"Carport")&amp;" แผง), ","")&amp;"|",", |",""))</f>
        <v>ถังดินกลบ 1 จุด (492 แผง)</v>
      </c>
      <c r="E72" s="104"/>
      <c r="F72" s="105" t="n">
        <f aca="false">SUMIF($A$73:$A$76,"P9-014",$F$73:$F$76)</f>
        <v>492</v>
      </c>
      <c r="G72" s="106"/>
      <c r="H72" s="106"/>
      <c r="I72" s="107" t="str">
        <f aca="false">IF(COUNTIFS($A$73:$A$76,"P9-014",$I$73:$I$76,"ติด:*")&gt;0,"บันได "&amp;COUNTIFS($A$73:$A$76,"P9-014",$I$73:$I$76,"ติด:*")&amp;" จุด","")</f>
        <v/>
      </c>
      <c r="J72" s="108" t="n">
        <f aca="false">SUMIF($A$73:$A$76,"P9-014",$J$73:$J$76)</f>
        <v>280.44</v>
      </c>
      <c r="K72" s="106"/>
      <c r="L72" s="106"/>
      <c r="M72" s="106"/>
      <c r="N72" s="106" t="str">
        <f aca="false">IF(C72=0,"",COUNTIFS($A$73:$A$76,"P9-014",$N$73:$N$76,"Y")&amp;"/"&amp;C72)</f>
        <v>0/1</v>
      </c>
      <c r="O72" s="106" t="str">
        <f aca="false">IF(C72=0,"",COUNTIFS($A$73:$A$76,"P9-014",$O$73:$O$76,"Y")&amp;"/"&amp;C72)</f>
        <v>0/1</v>
      </c>
      <c r="P72" s="106" t="str">
        <f aca="false">IF(C72=0,"",COUNTIFS($A$73:$A$76,"P9-014",$P$73:$P$76,"Y")&amp;"/"&amp;C72)</f>
        <v>0/1</v>
      </c>
      <c r="Q72" s="106" t="str">
        <f aca="false">IF(C72=0,"",COUNTIFS($A$73:$A$76,"P9-014",$Q$73:$Q$76,"Y")&amp;"/"&amp;C72)</f>
        <v>0/1</v>
      </c>
      <c r="R72" s="106" t="str">
        <f aca="false">IF(C72=0,"",COUNTIFS($A$73:$A$76,"P9-014",$R$73:$R$76,"Y")&amp;"/"&amp;C72)</f>
        <v>0/1</v>
      </c>
      <c r="S72" s="106" t="str">
        <f aca="false">IF(C72=0,"",COUNTIFS($A$73:$A$76,"P9-014",$S$73:$S$76,"Y")&amp;"/"&amp;C72)</f>
        <v>0/1</v>
      </c>
      <c r="T72" s="106" t="str">
        <f aca="false">IF(C72=0,"",COUNTIFS($A$73:$A$76,"P9-014",$T$73:$T$76,"Y")&amp;"/"&amp;C72)</f>
        <v>0/1</v>
      </c>
      <c r="U72" s="106" t="str">
        <f aca="false">IF(C72=0,"",COUNTIFS($A$73:$A$76,"P9-014",$U$73:$U$76,"Y")&amp;"/"&amp;C72)</f>
        <v>0/1</v>
      </c>
      <c r="V72" s="106" t="str">
        <f aca="false">IF(C72=0,"",COUNTIFS($A$73:$A$76,"P9-014",$V$73:$V$76,"Y")&amp;"/"&amp;C72)</f>
        <v>0/1</v>
      </c>
      <c r="W72" s="109" t="n">
        <f aca="false">SUMPRODUCT($L$73:$L$76,$W$73:$W$76)</f>
        <v>0</v>
      </c>
      <c r="X72" s="106"/>
    </row>
    <row r="73" customFormat="false" ht="15" hidden="false" customHeight="false" outlineLevel="1" collapsed="false">
      <c r="A73" s="112" t="s">
        <v>94</v>
      </c>
      <c r="C73" s="113" t="s">
        <v>695</v>
      </c>
      <c r="D73" s="114" t="s">
        <v>696</v>
      </c>
      <c r="E73" s="115" t="s">
        <v>651</v>
      </c>
      <c r="F73" s="116" t="n">
        <v>492</v>
      </c>
      <c r="G73" s="117" t="n">
        <v>1</v>
      </c>
      <c r="H73" s="113"/>
      <c r="I73" s="118" t="str">
        <f aca="false">IF(E73="","",IF(AND(LEFT(E73,6)&lt;&gt;"หลังคา",E73&lt;&gt;"ถังน้ำใส"),"–",IF(H73="Y","มีแล้ว",IF(N(G73)=0,"⚠ กรอกความสูง",IF(G73&lt;LADDER_MIN,"ไม่ต้อง",IF(G73&lt;=8,"ติด: แผ่น 1 ช่วงเดียว","ติด: แผ่น 2 มีชานพัก"))))))</f>
        <v>–</v>
      </c>
      <c r="J73" s="119" t="n">
        <f aca="false">IF(N(F73)&gt;0,F73*0.57,0)</f>
        <v>280.44</v>
      </c>
      <c r="K73" s="120" t="n">
        <f aca="false">IF(E73="",0,J73*IFERROR(VLOOKUP(E73,MOUNT_EFFORT,2,0),1))</f>
        <v>448.704</v>
      </c>
      <c r="L73" s="121" t="n">
        <f aca="false">IF(K73=0,0,K73/SUMIF($A$7:$A$137,A73,$K$7:$K$137))</f>
        <v>1</v>
      </c>
      <c r="M73" s="121" t="n">
        <f aca="false">IF(E73="",0,J73/SUMIFS($J$7:$J$137,$A$7:$A$137,A73,$E$7:$E$137,"?*"))</f>
        <v>1</v>
      </c>
      <c r="N73" s="113"/>
      <c r="O73" s="113"/>
      <c r="P73" s="113"/>
      <c r="Q73" s="113"/>
      <c r="R73" s="113"/>
      <c r="S73" s="113"/>
      <c r="T73" s="113"/>
      <c r="U73" s="113"/>
      <c r="V73" s="113"/>
      <c r="W73" s="121" t="n">
        <f aca="false">IF(E73="",0,((N73="Y")*IFERROR(VLOOKUP(E73&amp;"|1",MOUNT_TBL,5,0),0)+(O73="Y")*IFERROR(VLOOKUP(E73&amp;"|2",MOUNT_TBL,5,0),0)+(P73="Y")*IFERROR(VLOOKUP(E73&amp;"|3",MOUNT_TBL,5,0),0)+(Q73="Y")*IFERROR(VLOOKUP(E73&amp;"|4",MOUNT_TBL,5,0),0)+(R73="Y")*IFERROR(VLOOKUP(E73&amp;"|5",MOUNT_TBL,5,0),0)+(S73="Y")*IFERROR(VLOOKUP(E73&amp;"|6",MOUNT_TBL,5,0),0)+(T73="Y")*IFERROR(VLOOKUP(E73&amp;"|7",MOUNT_TBL,5,0),0))/100)</f>
        <v>0</v>
      </c>
      <c r="X73" s="114" t="s">
        <v>613</v>
      </c>
    </row>
    <row r="74" customFormat="false" ht="15" hidden="false" customHeight="false" outlineLevel="1" collapsed="false">
      <c r="A74" s="112" t="s">
        <v>94</v>
      </c>
      <c r="C74" s="113"/>
      <c r="D74" s="60"/>
      <c r="E74" s="115"/>
      <c r="F74" s="116"/>
      <c r="G74" s="117"/>
      <c r="H74" s="113"/>
      <c r="I74" s="118" t="str">
        <f aca="false">IF(E74="","",IF(AND(LEFT(E74,6)&lt;&gt;"หลังคา",E74&lt;&gt;"ถังน้ำใส"),"–",IF(H74="Y","มีแล้ว",IF(N(G74)=0,"⚠ กรอกความสูง",IF(G74&lt;LADDER_MIN,"ไม่ต้อง",IF(G74&lt;=8,"ติด: แผ่น 1 ช่วงเดียว","ติด: แผ่น 2 มีชานพัก"))))))</f>
        <v/>
      </c>
      <c r="J74" s="119" t="n">
        <f aca="false">IF(N(F74)&gt;0,F74*0.57,0)</f>
        <v>0</v>
      </c>
      <c r="K74" s="120" t="n">
        <f aca="false">IF(E74="",0,J74*IFERROR(VLOOKUP(E74,MOUNT_EFFORT,2,0),1))</f>
        <v>0</v>
      </c>
      <c r="L74" s="121" t="n">
        <f aca="false">IF(K74=0,0,K74/SUMIF($A$7:$A$137,A74,$K$7:$K$137))</f>
        <v>0</v>
      </c>
      <c r="M74" s="121" t="n">
        <f aca="false">IF(E74="",0,J74/SUMIFS($J$7:$J$137,$A$7:$A$137,A74,$E$7:$E$137,"?*"))</f>
        <v>0</v>
      </c>
      <c r="N74" s="113"/>
      <c r="O74" s="113"/>
      <c r="P74" s="113"/>
      <c r="Q74" s="113"/>
      <c r="R74" s="113"/>
      <c r="S74" s="113"/>
      <c r="T74" s="113"/>
      <c r="U74" s="113"/>
      <c r="V74" s="113"/>
      <c r="W74" s="121" t="n">
        <f aca="false">IF(E74="",0,((N74="Y")*IFERROR(VLOOKUP(E74&amp;"|1",MOUNT_TBL,5,0),0)+(O74="Y")*IFERROR(VLOOKUP(E74&amp;"|2",MOUNT_TBL,5,0),0)+(P74="Y")*IFERROR(VLOOKUP(E74&amp;"|3",MOUNT_TBL,5,0),0)+(Q74="Y")*IFERROR(VLOOKUP(E74&amp;"|4",MOUNT_TBL,5,0),0)+(R74="Y")*IFERROR(VLOOKUP(E74&amp;"|5",MOUNT_TBL,5,0),0)+(S74="Y")*IFERROR(VLOOKUP(E74&amp;"|6",MOUNT_TBL,5,0),0)+(T74="Y")*IFERROR(VLOOKUP(E74&amp;"|7",MOUNT_TBL,5,0),0))/100)</f>
        <v>0</v>
      </c>
      <c r="X74" s="60"/>
    </row>
    <row r="75" customFormat="false" ht="15" hidden="false" customHeight="false" outlineLevel="1" collapsed="false">
      <c r="A75" s="112" t="s">
        <v>94</v>
      </c>
      <c r="C75" s="113"/>
      <c r="D75" s="60"/>
      <c r="E75" s="115"/>
      <c r="F75" s="116"/>
      <c r="G75" s="117"/>
      <c r="H75" s="113"/>
      <c r="I75" s="118" t="str">
        <f aca="false">IF(E75="","",IF(AND(LEFT(E75,6)&lt;&gt;"หลังคา",E75&lt;&gt;"ถังน้ำใส"),"–",IF(H75="Y","มีแล้ว",IF(N(G75)=0,"⚠ กรอกความสูง",IF(G75&lt;LADDER_MIN,"ไม่ต้อง",IF(G75&lt;=8,"ติด: แผ่น 1 ช่วงเดียว","ติด: แผ่น 2 มีชานพัก"))))))</f>
        <v/>
      </c>
      <c r="J75" s="119" t="n">
        <f aca="false">IF(N(F75)&gt;0,F75*0.57,0)</f>
        <v>0</v>
      </c>
      <c r="K75" s="120" t="n">
        <f aca="false">IF(E75="",0,J75*IFERROR(VLOOKUP(E75,MOUNT_EFFORT,2,0),1))</f>
        <v>0</v>
      </c>
      <c r="L75" s="121" t="n">
        <f aca="false">IF(K75=0,0,K75/SUMIF($A$7:$A$137,A75,$K$7:$K$137))</f>
        <v>0</v>
      </c>
      <c r="M75" s="121" t="n">
        <f aca="false">IF(E75="",0,J75/SUMIFS($J$7:$J$137,$A$7:$A$137,A75,$E$7:$E$137,"?*"))</f>
        <v>0</v>
      </c>
      <c r="N75" s="113"/>
      <c r="O75" s="113"/>
      <c r="P75" s="113"/>
      <c r="Q75" s="113"/>
      <c r="R75" s="113"/>
      <c r="S75" s="113"/>
      <c r="T75" s="113"/>
      <c r="U75" s="113"/>
      <c r="V75" s="113"/>
      <c r="W75" s="121" t="n">
        <f aca="false">IF(E75="",0,((N75="Y")*IFERROR(VLOOKUP(E75&amp;"|1",MOUNT_TBL,5,0),0)+(O75="Y")*IFERROR(VLOOKUP(E75&amp;"|2",MOUNT_TBL,5,0),0)+(P75="Y")*IFERROR(VLOOKUP(E75&amp;"|3",MOUNT_TBL,5,0),0)+(Q75="Y")*IFERROR(VLOOKUP(E75&amp;"|4",MOUNT_TBL,5,0),0)+(R75="Y")*IFERROR(VLOOKUP(E75&amp;"|5",MOUNT_TBL,5,0),0)+(S75="Y")*IFERROR(VLOOKUP(E75&amp;"|6",MOUNT_TBL,5,0),0)+(T75="Y")*IFERROR(VLOOKUP(E75&amp;"|7",MOUNT_TBL,5,0),0))/100)</f>
        <v>0</v>
      </c>
      <c r="X75" s="60"/>
    </row>
    <row r="76" customFormat="false" ht="15" hidden="false" customHeight="false" outlineLevel="1" collapsed="false">
      <c r="A76" s="112" t="s">
        <v>94</v>
      </c>
      <c r="C76" s="113"/>
      <c r="D76" s="60"/>
      <c r="E76" s="115"/>
      <c r="F76" s="116"/>
      <c r="G76" s="117"/>
      <c r="H76" s="113"/>
      <c r="I76" s="118" t="str">
        <f aca="false">IF(E76="","",IF(AND(LEFT(E76,6)&lt;&gt;"หลังคา",E76&lt;&gt;"ถังน้ำใส"),"–",IF(H76="Y","มีแล้ว",IF(N(G76)=0,"⚠ กรอกความสูง",IF(G76&lt;LADDER_MIN,"ไม่ต้อง",IF(G76&lt;=8,"ติด: แผ่น 1 ช่วงเดียว","ติด: แผ่น 2 มีชานพัก"))))))</f>
        <v/>
      </c>
      <c r="J76" s="119" t="n">
        <f aca="false">IF(N(F76)&gt;0,F76*0.57,0)</f>
        <v>0</v>
      </c>
      <c r="K76" s="120" t="n">
        <f aca="false">IF(E76="",0,J76*IFERROR(VLOOKUP(E76,MOUNT_EFFORT,2,0),1))</f>
        <v>0</v>
      </c>
      <c r="L76" s="121" t="n">
        <f aca="false">IF(K76=0,0,K76/SUMIF($A$7:$A$137,A76,$K$7:$K$137))</f>
        <v>0</v>
      </c>
      <c r="M76" s="121" t="n">
        <f aca="false">IF(E76="",0,J76/SUMIFS($J$7:$J$137,$A$7:$A$137,A76,$E$7:$E$137,"?*"))</f>
        <v>0</v>
      </c>
      <c r="N76" s="113"/>
      <c r="O76" s="113"/>
      <c r="P76" s="113"/>
      <c r="Q76" s="113"/>
      <c r="R76" s="113"/>
      <c r="S76" s="113"/>
      <c r="T76" s="113"/>
      <c r="U76" s="113"/>
      <c r="V76" s="113"/>
      <c r="W76" s="121" t="n">
        <f aca="false">IF(E76="",0,((N76="Y")*IFERROR(VLOOKUP(E76&amp;"|1",MOUNT_TBL,5,0),0)+(O76="Y")*IFERROR(VLOOKUP(E76&amp;"|2",MOUNT_TBL,5,0),0)+(P76="Y")*IFERROR(VLOOKUP(E76&amp;"|3",MOUNT_TBL,5,0),0)+(Q76="Y")*IFERROR(VLOOKUP(E76&amp;"|4",MOUNT_TBL,5,0),0)+(R76="Y")*IFERROR(VLOOKUP(E76&amp;"|5",MOUNT_TBL,5,0),0)+(S76="Y")*IFERROR(VLOOKUP(E76&amp;"|6",MOUNT_TBL,5,0),0)+(T76="Y")*IFERROR(VLOOKUP(E76&amp;"|7",MOUNT_TBL,5,0),0))/100)</f>
        <v>0</v>
      </c>
      <c r="X76" s="60"/>
    </row>
    <row r="77" customFormat="false" ht="19.5" hidden="false" customHeight="true" outlineLevel="0" collapsed="false">
      <c r="A77" s="101" t="s">
        <v>699</v>
      </c>
      <c r="B77" s="102" t="s">
        <v>700</v>
      </c>
      <c r="C77" s="103" t="n">
        <f aca="false">COUNTIFS($A$78:$A$81,"P9-015",$E$78:$E$81,"?*")</f>
        <v>1</v>
      </c>
      <c r="D77" s="104" t="str">
        <f aca="false">IF(COUNTIFS($A$78:$A$81,"P9-015",$E$78:$E$81,"?*")=0,"ประมาณการ, ยังไม่สำรวจ — กรอกจุดจริงด้านล่าง (% 2.1–2.3 จะคิดรายจุดอัตโนมัติ)",SUBSTITUTE(IF(COUNTIFS($A$78:$A$81,"P9-015",$E$78:$E$81,"หลังคาลอนคู่")&gt;0,"ลอนคู่ "&amp;COUNTIFS($A$78:$A$81,"P9-015",$E$78:$E$81,"หลังคาลอนคู่")&amp;" จุด ("&amp;SUMIFS($F$78:$F$81,$A$78:$A$81,"P9-015",$E$78:$E$81,"หลังคาลอนคู่")&amp;" แผง), ","")&amp;IF(COUNTIFS($A$78:$A$81,"P9-015",$E$78:$E$81,"หลังคาเมทัลชีท")&gt;0,"เมทัลชีท "&amp;COUNTIFS($A$78:$A$81,"P9-015",$E$78:$E$81,"หลังคาเมทัลชีท")&amp;" จุด ("&amp;SUMIFS($F$78:$F$81,$A$78:$A$81,"P9-015",$E$78:$E$81,"หลังคาเมทัลชีท")&amp;" แผง), ","")&amp;IF(COUNTIFS($A$78:$A$81,"P9-015",$E$78:$E$81,"หลังคา")&gt;0,"หลังคา(ไม่ระบุวัสดุ) "&amp;COUNTIFS($A$78:$A$81,"P9-015",$E$78:$E$81,"หลังคา")&amp;" จุด ("&amp;SUMIFS($F$78:$F$81,$A$78:$A$81,"P9-015",$E$78:$E$81,"หลังคา")&amp;" แผง), ","")&amp;IF(COUNTIFS($A$78:$A$81,"P9-015",$E$78:$E$81,"ถังน้ำใส")&gt;0,"ถังน้ำใส "&amp;COUNTIFS($A$78:$A$81,"P9-015",$E$78:$E$81,"ถังน้ำใส")&amp;" จุด ("&amp;SUMIFS($F$78:$F$81,$A$78:$A$81,"P9-015",$E$78:$E$81,"ถังน้ำใส")&amp;" แผง), ","")&amp;IF(COUNTIFS($A$78:$A$81,"P9-015",$E$78:$E$81,"ถังดินกลบ")&gt;0,"ถังดินกลบ "&amp;COUNTIFS($A$78:$A$81,"P9-015",$E$78:$E$81,"ถังดินกลบ")&amp;" จุด ("&amp;SUMIFS($F$78:$F$81,$A$78:$A$81,"P9-015",$E$78:$E$81,"ถังดินกลบ")&amp;" แผง), ","")&amp;IF(COUNTIFS($A$78:$A$81,"P9-015",$E$78:$E$81,"Carport")&gt;0,"Carport "&amp;COUNTIFS($A$78:$A$81,"P9-015",$E$78:$E$81,"Carport")&amp;" จุด ("&amp;SUMIFS($F$78:$F$81,$A$78:$A$81,"P9-015",$E$78:$E$81,"Carport")&amp;" แผง), ","")&amp;"|",", |",""))</f>
        <v>ถังดินกลบ 1 จุด (264 แผง)</v>
      </c>
      <c r="E77" s="104"/>
      <c r="F77" s="105" t="n">
        <f aca="false">SUMIF($A$78:$A$81,"P9-015",$F$78:$F$81)</f>
        <v>264</v>
      </c>
      <c r="G77" s="106"/>
      <c r="H77" s="106"/>
      <c r="I77" s="107" t="str">
        <f aca="false">IF(COUNTIFS($A$78:$A$81,"P9-015",$I$78:$I$81,"ติด:*")&gt;0,"บันได "&amp;COUNTIFS($A$78:$A$81,"P9-015",$I$78:$I$81,"ติด:*")&amp;" จุด","")</f>
        <v/>
      </c>
      <c r="J77" s="108" t="n">
        <f aca="false">SUMIF($A$78:$A$81,"P9-015",$J$78:$J$81)</f>
        <v>150.48</v>
      </c>
      <c r="K77" s="106"/>
      <c r="L77" s="106"/>
      <c r="M77" s="106"/>
      <c r="N77" s="106" t="str">
        <f aca="false">IF(C77=0,"",COUNTIFS($A$78:$A$81,"P9-015",$N$78:$N$81,"Y")&amp;"/"&amp;C77)</f>
        <v>0/1</v>
      </c>
      <c r="O77" s="106" t="str">
        <f aca="false">IF(C77=0,"",COUNTIFS($A$78:$A$81,"P9-015",$O$78:$O$81,"Y")&amp;"/"&amp;C77)</f>
        <v>0/1</v>
      </c>
      <c r="P77" s="106" t="str">
        <f aca="false">IF(C77=0,"",COUNTIFS($A$78:$A$81,"P9-015",$P$78:$P$81,"Y")&amp;"/"&amp;C77)</f>
        <v>0/1</v>
      </c>
      <c r="Q77" s="106" t="str">
        <f aca="false">IF(C77=0,"",COUNTIFS($A$78:$A$81,"P9-015",$Q$78:$Q$81,"Y")&amp;"/"&amp;C77)</f>
        <v>0/1</v>
      </c>
      <c r="R77" s="106" t="str">
        <f aca="false">IF(C77=0,"",COUNTIFS($A$78:$A$81,"P9-015",$R$78:$R$81,"Y")&amp;"/"&amp;C77)</f>
        <v>0/1</v>
      </c>
      <c r="S77" s="106" t="str">
        <f aca="false">IF(C77=0,"",COUNTIFS($A$78:$A$81,"P9-015",$S$78:$S$81,"Y")&amp;"/"&amp;C77)</f>
        <v>0/1</v>
      </c>
      <c r="T77" s="106" t="str">
        <f aca="false">IF(C77=0,"",COUNTIFS($A$78:$A$81,"P9-015",$T$78:$T$81,"Y")&amp;"/"&amp;C77)</f>
        <v>0/1</v>
      </c>
      <c r="U77" s="106" t="str">
        <f aca="false">IF(C77=0,"",COUNTIFS($A$78:$A$81,"P9-015",$U$78:$U$81,"Y")&amp;"/"&amp;C77)</f>
        <v>0/1</v>
      </c>
      <c r="V77" s="106" t="str">
        <f aca="false">IF(C77=0,"",COUNTIFS($A$78:$A$81,"P9-015",$V$78:$V$81,"Y")&amp;"/"&amp;C77)</f>
        <v>0/1</v>
      </c>
      <c r="W77" s="109" t="n">
        <f aca="false">SUMPRODUCT($L$78:$L$81,$W$78:$W$81)</f>
        <v>0</v>
      </c>
      <c r="X77" s="106"/>
    </row>
    <row r="78" customFormat="false" ht="15" hidden="false" customHeight="false" outlineLevel="1" collapsed="false">
      <c r="A78" s="112" t="s">
        <v>98</v>
      </c>
      <c r="C78" s="113" t="s">
        <v>695</v>
      </c>
      <c r="D78" s="114" t="s">
        <v>696</v>
      </c>
      <c r="E78" s="115" t="s">
        <v>651</v>
      </c>
      <c r="F78" s="116" t="n">
        <v>264</v>
      </c>
      <c r="G78" s="117" t="n">
        <v>1</v>
      </c>
      <c r="H78" s="113"/>
      <c r="I78" s="118" t="str">
        <f aca="false">IF(E78="","",IF(AND(LEFT(E78,6)&lt;&gt;"หลังคา",E78&lt;&gt;"ถังน้ำใส"),"–",IF(H78="Y","มีแล้ว",IF(N(G78)=0,"⚠ กรอกความสูง",IF(G78&lt;LADDER_MIN,"ไม่ต้อง",IF(G78&lt;=8,"ติด: แผ่น 1 ช่วงเดียว","ติด: แผ่น 2 มีชานพัก"))))))</f>
        <v>–</v>
      </c>
      <c r="J78" s="119" t="n">
        <f aca="false">IF(N(F78)&gt;0,F78*0.57,0)</f>
        <v>150.48</v>
      </c>
      <c r="K78" s="120" t="n">
        <f aca="false">IF(E78="",0,J78*IFERROR(VLOOKUP(E78,MOUNT_EFFORT,2,0),1))</f>
        <v>240.768</v>
      </c>
      <c r="L78" s="121" t="n">
        <f aca="false">IF(K78=0,0,K78/SUMIF($A$7:$A$137,A78,$K$7:$K$137))</f>
        <v>1</v>
      </c>
      <c r="M78" s="121" t="n">
        <f aca="false">IF(E78="",0,J78/SUMIFS($J$7:$J$137,$A$7:$A$137,A78,$E$7:$E$137,"?*"))</f>
        <v>1</v>
      </c>
      <c r="N78" s="113"/>
      <c r="O78" s="113"/>
      <c r="P78" s="113"/>
      <c r="Q78" s="113"/>
      <c r="R78" s="113"/>
      <c r="S78" s="113"/>
      <c r="T78" s="113"/>
      <c r="U78" s="113"/>
      <c r="V78" s="113"/>
      <c r="W78" s="121" t="n">
        <f aca="false">IF(E78="",0,((N78="Y")*IFERROR(VLOOKUP(E78&amp;"|1",MOUNT_TBL,5,0),0)+(O78="Y")*IFERROR(VLOOKUP(E78&amp;"|2",MOUNT_TBL,5,0),0)+(P78="Y")*IFERROR(VLOOKUP(E78&amp;"|3",MOUNT_TBL,5,0),0)+(Q78="Y")*IFERROR(VLOOKUP(E78&amp;"|4",MOUNT_TBL,5,0),0)+(R78="Y")*IFERROR(VLOOKUP(E78&amp;"|5",MOUNT_TBL,5,0),0)+(S78="Y")*IFERROR(VLOOKUP(E78&amp;"|6",MOUNT_TBL,5,0),0)+(T78="Y")*IFERROR(VLOOKUP(E78&amp;"|7",MOUNT_TBL,5,0),0))/100)</f>
        <v>0</v>
      </c>
      <c r="X78" s="114" t="s">
        <v>613</v>
      </c>
    </row>
    <row r="79" customFormat="false" ht="15" hidden="false" customHeight="false" outlineLevel="1" collapsed="false">
      <c r="A79" s="112" t="s">
        <v>98</v>
      </c>
      <c r="C79" s="113"/>
      <c r="D79" s="60"/>
      <c r="E79" s="115"/>
      <c r="F79" s="116"/>
      <c r="G79" s="117"/>
      <c r="H79" s="113"/>
      <c r="I79" s="118" t="str">
        <f aca="false">IF(E79="","",IF(AND(LEFT(E79,6)&lt;&gt;"หลังคา",E79&lt;&gt;"ถังน้ำใส"),"–",IF(H79="Y","มีแล้ว",IF(N(G79)=0,"⚠ กรอกความสูง",IF(G79&lt;LADDER_MIN,"ไม่ต้อง",IF(G79&lt;=8,"ติด: แผ่น 1 ช่วงเดียว","ติด: แผ่น 2 มีชานพัก"))))))</f>
        <v/>
      </c>
      <c r="J79" s="119" t="n">
        <f aca="false">IF(N(F79)&gt;0,F79*0.57,0)</f>
        <v>0</v>
      </c>
      <c r="K79" s="120" t="n">
        <f aca="false">IF(E79="",0,J79*IFERROR(VLOOKUP(E79,MOUNT_EFFORT,2,0),1))</f>
        <v>0</v>
      </c>
      <c r="L79" s="121" t="n">
        <f aca="false">IF(K79=0,0,K79/SUMIF($A$7:$A$137,A79,$K$7:$K$137))</f>
        <v>0</v>
      </c>
      <c r="M79" s="121" t="n">
        <f aca="false">IF(E79="",0,J79/SUMIFS($J$7:$J$137,$A$7:$A$137,A79,$E$7:$E$137,"?*"))</f>
        <v>0</v>
      </c>
      <c r="N79" s="113"/>
      <c r="O79" s="113"/>
      <c r="P79" s="113"/>
      <c r="Q79" s="113"/>
      <c r="R79" s="113"/>
      <c r="S79" s="113"/>
      <c r="T79" s="113"/>
      <c r="U79" s="113"/>
      <c r="V79" s="113"/>
      <c r="W79" s="121" t="n">
        <f aca="false">IF(E79="",0,((N79="Y")*IFERROR(VLOOKUP(E79&amp;"|1",MOUNT_TBL,5,0),0)+(O79="Y")*IFERROR(VLOOKUP(E79&amp;"|2",MOUNT_TBL,5,0),0)+(P79="Y")*IFERROR(VLOOKUP(E79&amp;"|3",MOUNT_TBL,5,0),0)+(Q79="Y")*IFERROR(VLOOKUP(E79&amp;"|4",MOUNT_TBL,5,0),0)+(R79="Y")*IFERROR(VLOOKUP(E79&amp;"|5",MOUNT_TBL,5,0),0)+(S79="Y")*IFERROR(VLOOKUP(E79&amp;"|6",MOUNT_TBL,5,0),0)+(T79="Y")*IFERROR(VLOOKUP(E79&amp;"|7",MOUNT_TBL,5,0),0))/100)</f>
        <v>0</v>
      </c>
      <c r="X79" s="60"/>
    </row>
    <row r="80" customFormat="false" ht="15" hidden="false" customHeight="false" outlineLevel="1" collapsed="false">
      <c r="A80" s="112" t="s">
        <v>98</v>
      </c>
      <c r="C80" s="113"/>
      <c r="D80" s="60"/>
      <c r="E80" s="115"/>
      <c r="F80" s="116"/>
      <c r="G80" s="117"/>
      <c r="H80" s="113"/>
      <c r="I80" s="118" t="str">
        <f aca="false">IF(E80="","",IF(AND(LEFT(E80,6)&lt;&gt;"หลังคา",E80&lt;&gt;"ถังน้ำใส"),"–",IF(H80="Y","มีแล้ว",IF(N(G80)=0,"⚠ กรอกความสูง",IF(G80&lt;LADDER_MIN,"ไม่ต้อง",IF(G80&lt;=8,"ติด: แผ่น 1 ช่วงเดียว","ติด: แผ่น 2 มีชานพัก"))))))</f>
        <v/>
      </c>
      <c r="J80" s="119" t="n">
        <f aca="false">IF(N(F80)&gt;0,F80*0.57,0)</f>
        <v>0</v>
      </c>
      <c r="K80" s="120" t="n">
        <f aca="false">IF(E80="",0,J80*IFERROR(VLOOKUP(E80,MOUNT_EFFORT,2,0),1))</f>
        <v>0</v>
      </c>
      <c r="L80" s="121" t="n">
        <f aca="false">IF(K80=0,0,K80/SUMIF($A$7:$A$137,A80,$K$7:$K$137))</f>
        <v>0</v>
      </c>
      <c r="M80" s="121" t="n">
        <f aca="false">IF(E80="",0,J80/SUMIFS($J$7:$J$137,$A$7:$A$137,A80,$E$7:$E$137,"?*"))</f>
        <v>0</v>
      </c>
      <c r="N80" s="113"/>
      <c r="O80" s="113"/>
      <c r="P80" s="113"/>
      <c r="Q80" s="113"/>
      <c r="R80" s="113"/>
      <c r="S80" s="113"/>
      <c r="T80" s="113"/>
      <c r="U80" s="113"/>
      <c r="V80" s="113"/>
      <c r="W80" s="121" t="n">
        <f aca="false">IF(E80="",0,((N80="Y")*IFERROR(VLOOKUP(E80&amp;"|1",MOUNT_TBL,5,0),0)+(O80="Y")*IFERROR(VLOOKUP(E80&amp;"|2",MOUNT_TBL,5,0),0)+(P80="Y")*IFERROR(VLOOKUP(E80&amp;"|3",MOUNT_TBL,5,0),0)+(Q80="Y")*IFERROR(VLOOKUP(E80&amp;"|4",MOUNT_TBL,5,0),0)+(R80="Y")*IFERROR(VLOOKUP(E80&amp;"|5",MOUNT_TBL,5,0),0)+(S80="Y")*IFERROR(VLOOKUP(E80&amp;"|6",MOUNT_TBL,5,0),0)+(T80="Y")*IFERROR(VLOOKUP(E80&amp;"|7",MOUNT_TBL,5,0),0))/100)</f>
        <v>0</v>
      </c>
      <c r="X80" s="60"/>
    </row>
    <row r="81" customFormat="false" ht="15" hidden="false" customHeight="false" outlineLevel="1" collapsed="false">
      <c r="A81" s="112" t="s">
        <v>98</v>
      </c>
      <c r="C81" s="113"/>
      <c r="D81" s="60"/>
      <c r="E81" s="115"/>
      <c r="F81" s="116"/>
      <c r="G81" s="117"/>
      <c r="H81" s="113"/>
      <c r="I81" s="118" t="str">
        <f aca="false">IF(E81="","",IF(AND(LEFT(E81,6)&lt;&gt;"หลังคา",E81&lt;&gt;"ถังน้ำใส"),"–",IF(H81="Y","มีแล้ว",IF(N(G81)=0,"⚠ กรอกความสูง",IF(G81&lt;LADDER_MIN,"ไม่ต้อง",IF(G81&lt;=8,"ติด: แผ่น 1 ช่วงเดียว","ติด: แผ่น 2 มีชานพัก"))))))</f>
        <v/>
      </c>
      <c r="J81" s="119" t="n">
        <f aca="false">IF(N(F81)&gt;0,F81*0.57,0)</f>
        <v>0</v>
      </c>
      <c r="K81" s="120" t="n">
        <f aca="false">IF(E81="",0,J81*IFERROR(VLOOKUP(E81,MOUNT_EFFORT,2,0),1))</f>
        <v>0</v>
      </c>
      <c r="L81" s="121" t="n">
        <f aca="false">IF(K81=0,0,K81/SUMIF($A$7:$A$137,A81,$K$7:$K$137))</f>
        <v>0</v>
      </c>
      <c r="M81" s="121" t="n">
        <f aca="false">IF(E81="",0,J81/SUMIFS($J$7:$J$137,$A$7:$A$137,A81,$E$7:$E$137,"?*"))</f>
        <v>0</v>
      </c>
      <c r="N81" s="113"/>
      <c r="O81" s="113"/>
      <c r="P81" s="113"/>
      <c r="Q81" s="113"/>
      <c r="R81" s="113"/>
      <c r="S81" s="113"/>
      <c r="T81" s="113"/>
      <c r="U81" s="113"/>
      <c r="V81" s="113"/>
      <c r="W81" s="121" t="n">
        <f aca="false">IF(E81="",0,((N81="Y")*IFERROR(VLOOKUP(E81&amp;"|1",MOUNT_TBL,5,0),0)+(O81="Y")*IFERROR(VLOOKUP(E81&amp;"|2",MOUNT_TBL,5,0),0)+(P81="Y")*IFERROR(VLOOKUP(E81&amp;"|3",MOUNT_TBL,5,0),0)+(Q81="Y")*IFERROR(VLOOKUP(E81&amp;"|4",MOUNT_TBL,5,0),0)+(R81="Y")*IFERROR(VLOOKUP(E81&amp;"|5",MOUNT_TBL,5,0),0)+(S81="Y")*IFERROR(VLOOKUP(E81&amp;"|6",MOUNT_TBL,5,0),0)+(T81="Y")*IFERROR(VLOOKUP(E81&amp;"|7",MOUNT_TBL,5,0),0))/100)</f>
        <v>0</v>
      </c>
      <c r="X81" s="60"/>
    </row>
    <row r="82" customFormat="false" ht="19.5" hidden="false" customHeight="true" outlineLevel="0" collapsed="false">
      <c r="A82" s="101" t="s">
        <v>701</v>
      </c>
      <c r="B82" s="102" t="s">
        <v>702</v>
      </c>
      <c r="C82" s="103" t="n">
        <f aca="false">COUNTIFS($A$83:$A$86,"P9-016",$E$83:$E$86,"?*")</f>
        <v>1</v>
      </c>
      <c r="D82" s="104" t="str">
        <f aca="false">IF(COUNTIFS($A$83:$A$86,"P9-016",$E$83:$E$86,"?*")=0,"ประมาณการ, ยังไม่สำรวจ — กรอกจุดจริงด้านล่าง (% 2.1–2.3 จะคิดรายจุดอัตโนมัติ)",SUBSTITUTE(IF(COUNTIFS($A$83:$A$86,"P9-016",$E$83:$E$86,"หลังคาลอนคู่")&gt;0,"ลอนคู่ "&amp;COUNTIFS($A$83:$A$86,"P9-016",$E$83:$E$86,"หลังคาลอนคู่")&amp;" จุด ("&amp;SUMIFS($F$83:$F$86,$A$83:$A$86,"P9-016",$E$83:$E$86,"หลังคาลอนคู่")&amp;" แผง), ","")&amp;IF(COUNTIFS($A$83:$A$86,"P9-016",$E$83:$E$86,"หลังคาเมทัลชีท")&gt;0,"เมทัลชีท "&amp;COUNTIFS($A$83:$A$86,"P9-016",$E$83:$E$86,"หลังคาเมทัลชีท")&amp;" จุด ("&amp;SUMIFS($F$83:$F$86,$A$83:$A$86,"P9-016",$E$83:$E$86,"หลังคาเมทัลชีท")&amp;" แผง), ","")&amp;IF(COUNTIFS($A$83:$A$86,"P9-016",$E$83:$E$86,"หลังคา")&gt;0,"หลังคา(ไม่ระบุวัสดุ) "&amp;COUNTIFS($A$83:$A$86,"P9-016",$E$83:$E$86,"หลังคา")&amp;" จุด ("&amp;SUMIFS($F$83:$F$86,$A$83:$A$86,"P9-016",$E$83:$E$86,"หลังคา")&amp;" แผง), ","")&amp;IF(COUNTIFS($A$83:$A$86,"P9-016",$E$83:$E$86,"ถังน้ำใส")&gt;0,"ถังน้ำใส "&amp;COUNTIFS($A$83:$A$86,"P9-016",$E$83:$E$86,"ถังน้ำใส")&amp;" จุด ("&amp;SUMIFS($F$83:$F$86,$A$83:$A$86,"P9-016",$E$83:$E$86,"ถังน้ำใส")&amp;" แผง), ","")&amp;IF(COUNTIFS($A$83:$A$86,"P9-016",$E$83:$E$86,"ถังดินกลบ")&gt;0,"ถังดินกลบ "&amp;COUNTIFS($A$83:$A$86,"P9-016",$E$83:$E$86,"ถังดินกลบ")&amp;" จุด ("&amp;SUMIFS($F$83:$F$86,$A$83:$A$86,"P9-016",$E$83:$E$86,"ถังดินกลบ")&amp;" แผง), ","")&amp;IF(COUNTIFS($A$83:$A$86,"P9-016",$E$83:$E$86,"Carport")&gt;0,"Carport "&amp;COUNTIFS($A$83:$A$86,"P9-016",$E$83:$E$86,"Carport")&amp;" จุด ("&amp;SUMIFS($F$83:$F$86,$A$83:$A$86,"P9-016",$E$83:$E$86,"Carport")&amp;" แผง), ","")&amp;"|",", |",""))</f>
        <v>ถังดินกลบ 1 จุด (492 แผง)</v>
      </c>
      <c r="E82" s="104"/>
      <c r="F82" s="105" t="n">
        <f aca="false">SUMIF($A$83:$A$86,"P9-016",$F$83:$F$86)</f>
        <v>492</v>
      </c>
      <c r="G82" s="106"/>
      <c r="H82" s="106"/>
      <c r="I82" s="107" t="str">
        <f aca="false">IF(COUNTIFS($A$83:$A$86,"P9-016",$I$83:$I$86,"ติด:*")&gt;0,"บันได "&amp;COUNTIFS($A$83:$A$86,"P9-016",$I$83:$I$86,"ติด:*")&amp;" จุด","")</f>
        <v/>
      </c>
      <c r="J82" s="108" t="n">
        <f aca="false">SUMIF($A$83:$A$86,"P9-016",$J$83:$J$86)</f>
        <v>280.44</v>
      </c>
      <c r="K82" s="106"/>
      <c r="L82" s="106"/>
      <c r="M82" s="106"/>
      <c r="N82" s="106" t="str">
        <f aca="false">IF(C82=0,"",COUNTIFS($A$83:$A$86,"P9-016",$N$83:$N$86,"Y")&amp;"/"&amp;C82)</f>
        <v>0/1</v>
      </c>
      <c r="O82" s="106" t="str">
        <f aca="false">IF(C82=0,"",COUNTIFS($A$83:$A$86,"P9-016",$O$83:$O$86,"Y")&amp;"/"&amp;C82)</f>
        <v>0/1</v>
      </c>
      <c r="P82" s="106" t="str">
        <f aca="false">IF(C82=0,"",COUNTIFS($A$83:$A$86,"P9-016",$P$83:$P$86,"Y")&amp;"/"&amp;C82)</f>
        <v>0/1</v>
      </c>
      <c r="Q82" s="106" t="str">
        <f aca="false">IF(C82=0,"",COUNTIFS($A$83:$A$86,"P9-016",$Q$83:$Q$86,"Y")&amp;"/"&amp;C82)</f>
        <v>0/1</v>
      </c>
      <c r="R82" s="106" t="str">
        <f aca="false">IF(C82=0,"",COUNTIFS($A$83:$A$86,"P9-016",$R$83:$R$86,"Y")&amp;"/"&amp;C82)</f>
        <v>0/1</v>
      </c>
      <c r="S82" s="106" t="str">
        <f aca="false">IF(C82=0,"",COUNTIFS($A$83:$A$86,"P9-016",$S$83:$S$86,"Y")&amp;"/"&amp;C82)</f>
        <v>0/1</v>
      </c>
      <c r="T82" s="106" t="str">
        <f aca="false">IF(C82=0,"",COUNTIFS($A$83:$A$86,"P9-016",$T$83:$T$86,"Y")&amp;"/"&amp;C82)</f>
        <v>0/1</v>
      </c>
      <c r="U82" s="106" t="str">
        <f aca="false">IF(C82=0,"",COUNTIFS($A$83:$A$86,"P9-016",$U$83:$U$86,"Y")&amp;"/"&amp;C82)</f>
        <v>0/1</v>
      </c>
      <c r="V82" s="106" t="str">
        <f aca="false">IF(C82=0,"",COUNTIFS($A$83:$A$86,"P9-016",$V$83:$V$86,"Y")&amp;"/"&amp;C82)</f>
        <v>0/1</v>
      </c>
      <c r="W82" s="109" t="n">
        <f aca="false">SUMPRODUCT($L$83:$L$86,$W$83:$W$86)</f>
        <v>0</v>
      </c>
      <c r="X82" s="106"/>
    </row>
    <row r="83" customFormat="false" ht="15" hidden="false" customHeight="false" outlineLevel="1" collapsed="false">
      <c r="A83" s="112" t="s">
        <v>102</v>
      </c>
      <c r="C83" s="113" t="s">
        <v>695</v>
      </c>
      <c r="D83" s="114" t="s">
        <v>696</v>
      </c>
      <c r="E83" s="115" t="s">
        <v>651</v>
      </c>
      <c r="F83" s="116" t="n">
        <v>492</v>
      </c>
      <c r="G83" s="117" t="n">
        <v>1</v>
      </c>
      <c r="H83" s="113"/>
      <c r="I83" s="118" t="str">
        <f aca="false">IF(E83="","",IF(AND(LEFT(E83,6)&lt;&gt;"หลังคา",E83&lt;&gt;"ถังน้ำใส"),"–",IF(H83="Y","มีแล้ว",IF(N(G83)=0,"⚠ กรอกความสูง",IF(G83&lt;LADDER_MIN,"ไม่ต้อง",IF(G83&lt;=8,"ติด: แผ่น 1 ช่วงเดียว","ติด: แผ่น 2 มีชานพัก"))))))</f>
        <v>–</v>
      </c>
      <c r="J83" s="119" t="n">
        <f aca="false">IF(N(F83)&gt;0,F83*0.57,0)</f>
        <v>280.44</v>
      </c>
      <c r="K83" s="120" t="n">
        <f aca="false">IF(E83="",0,J83*IFERROR(VLOOKUP(E83,MOUNT_EFFORT,2,0),1))</f>
        <v>448.704</v>
      </c>
      <c r="L83" s="121" t="n">
        <f aca="false">IF(K83=0,0,K83/SUMIF($A$7:$A$137,A83,$K$7:$K$137))</f>
        <v>1</v>
      </c>
      <c r="M83" s="121" t="n">
        <f aca="false">IF(E83="",0,J83/SUMIFS($J$7:$J$137,$A$7:$A$137,A83,$E$7:$E$137,"?*"))</f>
        <v>1</v>
      </c>
      <c r="N83" s="113"/>
      <c r="O83" s="113"/>
      <c r="P83" s="113"/>
      <c r="Q83" s="113"/>
      <c r="R83" s="113"/>
      <c r="S83" s="113"/>
      <c r="T83" s="113"/>
      <c r="U83" s="113"/>
      <c r="V83" s="113"/>
      <c r="W83" s="121" t="n">
        <f aca="false">IF(E83="",0,((N83="Y")*IFERROR(VLOOKUP(E83&amp;"|1",MOUNT_TBL,5,0),0)+(O83="Y")*IFERROR(VLOOKUP(E83&amp;"|2",MOUNT_TBL,5,0),0)+(P83="Y")*IFERROR(VLOOKUP(E83&amp;"|3",MOUNT_TBL,5,0),0)+(Q83="Y")*IFERROR(VLOOKUP(E83&amp;"|4",MOUNT_TBL,5,0),0)+(R83="Y")*IFERROR(VLOOKUP(E83&amp;"|5",MOUNT_TBL,5,0),0)+(S83="Y")*IFERROR(VLOOKUP(E83&amp;"|6",MOUNT_TBL,5,0),0)+(T83="Y")*IFERROR(VLOOKUP(E83&amp;"|7",MOUNT_TBL,5,0),0))/100)</f>
        <v>0</v>
      </c>
      <c r="X83" s="114" t="s">
        <v>613</v>
      </c>
    </row>
    <row r="84" customFormat="false" ht="15" hidden="false" customHeight="false" outlineLevel="1" collapsed="false">
      <c r="A84" s="112" t="s">
        <v>102</v>
      </c>
      <c r="C84" s="113"/>
      <c r="D84" s="60"/>
      <c r="E84" s="115"/>
      <c r="F84" s="116"/>
      <c r="G84" s="117"/>
      <c r="H84" s="113"/>
      <c r="I84" s="118" t="str">
        <f aca="false">IF(E84="","",IF(AND(LEFT(E84,6)&lt;&gt;"หลังคา",E84&lt;&gt;"ถังน้ำใส"),"–",IF(H84="Y","มีแล้ว",IF(N(G84)=0,"⚠ กรอกความสูง",IF(G84&lt;LADDER_MIN,"ไม่ต้อง",IF(G84&lt;=8,"ติด: แผ่น 1 ช่วงเดียว","ติด: แผ่น 2 มีชานพัก"))))))</f>
        <v/>
      </c>
      <c r="J84" s="119" t="n">
        <f aca="false">IF(N(F84)&gt;0,F84*0.57,0)</f>
        <v>0</v>
      </c>
      <c r="K84" s="120" t="n">
        <f aca="false">IF(E84="",0,J84*IFERROR(VLOOKUP(E84,MOUNT_EFFORT,2,0),1))</f>
        <v>0</v>
      </c>
      <c r="L84" s="121" t="n">
        <f aca="false">IF(K84=0,0,K84/SUMIF($A$7:$A$137,A84,$K$7:$K$137))</f>
        <v>0</v>
      </c>
      <c r="M84" s="121" t="n">
        <f aca="false">IF(E84="",0,J84/SUMIFS($J$7:$J$137,$A$7:$A$137,A84,$E$7:$E$137,"?*"))</f>
        <v>0</v>
      </c>
      <c r="N84" s="113"/>
      <c r="O84" s="113"/>
      <c r="P84" s="113"/>
      <c r="Q84" s="113"/>
      <c r="R84" s="113"/>
      <c r="S84" s="113"/>
      <c r="T84" s="113"/>
      <c r="U84" s="113"/>
      <c r="V84" s="113"/>
      <c r="W84" s="121" t="n">
        <f aca="false">IF(E84="",0,((N84="Y")*IFERROR(VLOOKUP(E84&amp;"|1",MOUNT_TBL,5,0),0)+(O84="Y")*IFERROR(VLOOKUP(E84&amp;"|2",MOUNT_TBL,5,0),0)+(P84="Y")*IFERROR(VLOOKUP(E84&amp;"|3",MOUNT_TBL,5,0),0)+(Q84="Y")*IFERROR(VLOOKUP(E84&amp;"|4",MOUNT_TBL,5,0),0)+(R84="Y")*IFERROR(VLOOKUP(E84&amp;"|5",MOUNT_TBL,5,0),0)+(S84="Y")*IFERROR(VLOOKUP(E84&amp;"|6",MOUNT_TBL,5,0),0)+(T84="Y")*IFERROR(VLOOKUP(E84&amp;"|7",MOUNT_TBL,5,0),0))/100)</f>
        <v>0</v>
      </c>
      <c r="X84" s="60"/>
    </row>
    <row r="85" customFormat="false" ht="15" hidden="false" customHeight="false" outlineLevel="1" collapsed="false">
      <c r="A85" s="112" t="s">
        <v>102</v>
      </c>
      <c r="C85" s="113"/>
      <c r="D85" s="60"/>
      <c r="E85" s="115"/>
      <c r="F85" s="116"/>
      <c r="G85" s="117"/>
      <c r="H85" s="113"/>
      <c r="I85" s="118" t="str">
        <f aca="false">IF(E85="","",IF(AND(LEFT(E85,6)&lt;&gt;"หลังคา",E85&lt;&gt;"ถังน้ำใส"),"–",IF(H85="Y","มีแล้ว",IF(N(G85)=0,"⚠ กรอกความสูง",IF(G85&lt;LADDER_MIN,"ไม่ต้อง",IF(G85&lt;=8,"ติด: แผ่น 1 ช่วงเดียว","ติด: แผ่น 2 มีชานพัก"))))))</f>
        <v/>
      </c>
      <c r="J85" s="119" t="n">
        <f aca="false">IF(N(F85)&gt;0,F85*0.57,0)</f>
        <v>0</v>
      </c>
      <c r="K85" s="120" t="n">
        <f aca="false">IF(E85="",0,J85*IFERROR(VLOOKUP(E85,MOUNT_EFFORT,2,0),1))</f>
        <v>0</v>
      </c>
      <c r="L85" s="121" t="n">
        <f aca="false">IF(K85=0,0,K85/SUMIF($A$7:$A$137,A85,$K$7:$K$137))</f>
        <v>0</v>
      </c>
      <c r="M85" s="121" t="n">
        <f aca="false">IF(E85="",0,J85/SUMIFS($J$7:$J$137,$A$7:$A$137,A85,$E$7:$E$137,"?*"))</f>
        <v>0</v>
      </c>
      <c r="N85" s="113"/>
      <c r="O85" s="113"/>
      <c r="P85" s="113"/>
      <c r="Q85" s="113"/>
      <c r="R85" s="113"/>
      <c r="S85" s="113"/>
      <c r="T85" s="113"/>
      <c r="U85" s="113"/>
      <c r="V85" s="113"/>
      <c r="W85" s="121" t="n">
        <f aca="false">IF(E85="",0,((N85="Y")*IFERROR(VLOOKUP(E85&amp;"|1",MOUNT_TBL,5,0),0)+(O85="Y")*IFERROR(VLOOKUP(E85&amp;"|2",MOUNT_TBL,5,0),0)+(P85="Y")*IFERROR(VLOOKUP(E85&amp;"|3",MOUNT_TBL,5,0),0)+(Q85="Y")*IFERROR(VLOOKUP(E85&amp;"|4",MOUNT_TBL,5,0),0)+(R85="Y")*IFERROR(VLOOKUP(E85&amp;"|5",MOUNT_TBL,5,0),0)+(S85="Y")*IFERROR(VLOOKUP(E85&amp;"|6",MOUNT_TBL,5,0),0)+(T85="Y")*IFERROR(VLOOKUP(E85&amp;"|7",MOUNT_TBL,5,0),0))/100)</f>
        <v>0</v>
      </c>
      <c r="X85" s="60"/>
    </row>
    <row r="86" customFormat="false" ht="15" hidden="false" customHeight="false" outlineLevel="1" collapsed="false">
      <c r="A86" s="112" t="s">
        <v>102</v>
      </c>
      <c r="C86" s="113"/>
      <c r="D86" s="60"/>
      <c r="E86" s="115"/>
      <c r="F86" s="116"/>
      <c r="G86" s="117"/>
      <c r="H86" s="113"/>
      <c r="I86" s="118" t="str">
        <f aca="false">IF(E86="","",IF(AND(LEFT(E86,6)&lt;&gt;"หลังคา",E86&lt;&gt;"ถังน้ำใส"),"–",IF(H86="Y","มีแล้ว",IF(N(G86)=0,"⚠ กรอกความสูง",IF(G86&lt;LADDER_MIN,"ไม่ต้อง",IF(G86&lt;=8,"ติด: แผ่น 1 ช่วงเดียว","ติด: แผ่น 2 มีชานพัก"))))))</f>
        <v/>
      </c>
      <c r="J86" s="119" t="n">
        <f aca="false">IF(N(F86)&gt;0,F86*0.57,0)</f>
        <v>0</v>
      </c>
      <c r="K86" s="120" t="n">
        <f aca="false">IF(E86="",0,J86*IFERROR(VLOOKUP(E86,MOUNT_EFFORT,2,0),1))</f>
        <v>0</v>
      </c>
      <c r="L86" s="121" t="n">
        <f aca="false">IF(K86=0,0,K86/SUMIF($A$7:$A$137,A86,$K$7:$K$137))</f>
        <v>0</v>
      </c>
      <c r="M86" s="121" t="n">
        <f aca="false">IF(E86="",0,J86/SUMIFS($J$7:$J$137,$A$7:$A$137,A86,$E$7:$E$137,"?*"))</f>
        <v>0</v>
      </c>
      <c r="N86" s="113"/>
      <c r="O86" s="113"/>
      <c r="P86" s="113"/>
      <c r="Q86" s="113"/>
      <c r="R86" s="113"/>
      <c r="S86" s="113"/>
      <c r="T86" s="113"/>
      <c r="U86" s="113"/>
      <c r="V86" s="113"/>
      <c r="W86" s="121" t="n">
        <f aca="false">IF(E86="",0,((N86="Y")*IFERROR(VLOOKUP(E86&amp;"|1",MOUNT_TBL,5,0),0)+(O86="Y")*IFERROR(VLOOKUP(E86&amp;"|2",MOUNT_TBL,5,0),0)+(P86="Y")*IFERROR(VLOOKUP(E86&amp;"|3",MOUNT_TBL,5,0),0)+(Q86="Y")*IFERROR(VLOOKUP(E86&amp;"|4",MOUNT_TBL,5,0),0)+(R86="Y")*IFERROR(VLOOKUP(E86&amp;"|5",MOUNT_TBL,5,0),0)+(S86="Y")*IFERROR(VLOOKUP(E86&amp;"|6",MOUNT_TBL,5,0),0)+(T86="Y")*IFERROR(VLOOKUP(E86&amp;"|7",MOUNT_TBL,5,0),0))/100)</f>
        <v>0</v>
      </c>
      <c r="X86" s="60"/>
    </row>
    <row r="87" customFormat="false" ht="19.5" hidden="false" customHeight="true" outlineLevel="0" collapsed="false">
      <c r="A87" s="101" t="s">
        <v>703</v>
      </c>
      <c r="B87" s="102" t="s">
        <v>704</v>
      </c>
      <c r="C87" s="103" t="n">
        <f aca="false">COUNTIFS($A$88:$A$91,"P9-017",$E$88:$E$91,"?*")</f>
        <v>1</v>
      </c>
      <c r="D87" s="104" t="str">
        <f aca="false">IF(COUNTIFS($A$88:$A$91,"P9-017",$E$88:$E$91,"?*")=0,"ประมาณการ, ยังไม่สำรวจ — กรอกจุดจริงด้านล่าง (% 2.1–2.3 จะคิดรายจุดอัตโนมัติ)",SUBSTITUTE(IF(COUNTIFS($A$88:$A$91,"P9-017",$E$88:$E$91,"หลังคาลอนคู่")&gt;0,"ลอนคู่ "&amp;COUNTIFS($A$88:$A$91,"P9-017",$E$88:$E$91,"หลังคาลอนคู่")&amp;" จุด ("&amp;SUMIFS($F$88:$F$91,$A$88:$A$91,"P9-017",$E$88:$E$91,"หลังคาลอนคู่")&amp;" แผง), ","")&amp;IF(COUNTIFS($A$88:$A$91,"P9-017",$E$88:$E$91,"หลังคาเมทัลชีท")&gt;0,"เมทัลชีท "&amp;COUNTIFS($A$88:$A$91,"P9-017",$E$88:$E$91,"หลังคาเมทัลชีท")&amp;" จุด ("&amp;SUMIFS($F$88:$F$91,$A$88:$A$91,"P9-017",$E$88:$E$91,"หลังคาเมทัลชีท")&amp;" แผง), ","")&amp;IF(COUNTIFS($A$88:$A$91,"P9-017",$E$88:$E$91,"หลังคา")&gt;0,"หลังคา(ไม่ระบุวัสดุ) "&amp;COUNTIFS($A$88:$A$91,"P9-017",$E$88:$E$91,"หลังคา")&amp;" จุด ("&amp;SUMIFS($F$88:$F$91,$A$88:$A$91,"P9-017",$E$88:$E$91,"หลังคา")&amp;" แผง), ","")&amp;IF(COUNTIFS($A$88:$A$91,"P9-017",$E$88:$E$91,"ถังน้ำใส")&gt;0,"ถังน้ำใส "&amp;COUNTIFS($A$88:$A$91,"P9-017",$E$88:$E$91,"ถังน้ำใส")&amp;" จุด ("&amp;SUMIFS($F$88:$F$91,$A$88:$A$91,"P9-017",$E$88:$E$91,"ถังน้ำใส")&amp;" แผง), ","")&amp;IF(COUNTIFS($A$88:$A$91,"P9-017",$E$88:$E$91,"ถังดินกลบ")&gt;0,"ถังดินกลบ "&amp;COUNTIFS($A$88:$A$91,"P9-017",$E$88:$E$91,"ถังดินกลบ")&amp;" จุด ("&amp;SUMIFS($F$88:$F$91,$A$88:$A$91,"P9-017",$E$88:$E$91,"ถังดินกลบ")&amp;" แผง), ","")&amp;IF(COUNTIFS($A$88:$A$91,"P9-017",$E$88:$E$91,"Carport")&gt;0,"Carport "&amp;COUNTIFS($A$88:$A$91,"P9-017",$E$88:$E$91,"Carport")&amp;" จุด ("&amp;SUMIFS($F$88:$F$91,$A$88:$A$91,"P9-017",$E$88:$E$91,"Carport")&amp;" แผง), ","")&amp;"|",", |",""))</f>
        <v>Carport 1 จุด (264 แผง)</v>
      </c>
      <c r="E87" s="104"/>
      <c r="F87" s="105" t="n">
        <f aca="false">SUMIF($A$88:$A$91,"P9-017",$F$88:$F$91)</f>
        <v>264</v>
      </c>
      <c r="G87" s="106"/>
      <c r="H87" s="106"/>
      <c r="I87" s="107" t="str">
        <f aca="false">IF(COUNTIFS($A$88:$A$91,"P9-017",$I$88:$I$91,"ติด:*")&gt;0,"บันได "&amp;COUNTIFS($A$88:$A$91,"P9-017",$I$88:$I$91,"ติด:*")&amp;" จุด","")</f>
        <v/>
      </c>
      <c r="J87" s="108" t="n">
        <f aca="false">SUMIF($A$88:$A$91,"P9-017",$J$88:$J$91)</f>
        <v>150.48</v>
      </c>
      <c r="K87" s="106"/>
      <c r="L87" s="106"/>
      <c r="M87" s="106"/>
      <c r="N87" s="106" t="str">
        <f aca="false">IF(C87=0,"",COUNTIFS($A$88:$A$91,"P9-017",$N$88:$N$91,"Y")&amp;"/"&amp;C87)</f>
        <v>0/1</v>
      </c>
      <c r="O87" s="106" t="str">
        <f aca="false">IF(C87=0,"",COUNTIFS($A$88:$A$91,"P9-017",$O$88:$O$91,"Y")&amp;"/"&amp;C87)</f>
        <v>0/1</v>
      </c>
      <c r="P87" s="106" t="str">
        <f aca="false">IF(C87=0,"",COUNTIFS($A$88:$A$91,"P9-017",$P$88:$P$91,"Y")&amp;"/"&amp;C87)</f>
        <v>0/1</v>
      </c>
      <c r="Q87" s="106" t="str">
        <f aca="false">IF(C87=0,"",COUNTIFS($A$88:$A$91,"P9-017",$Q$88:$Q$91,"Y")&amp;"/"&amp;C87)</f>
        <v>0/1</v>
      </c>
      <c r="R87" s="106" t="str">
        <f aca="false">IF(C87=0,"",COUNTIFS($A$88:$A$91,"P9-017",$R$88:$R$91,"Y")&amp;"/"&amp;C87)</f>
        <v>0/1</v>
      </c>
      <c r="S87" s="106" t="str">
        <f aca="false">IF(C87=0,"",COUNTIFS($A$88:$A$91,"P9-017",$S$88:$S$91,"Y")&amp;"/"&amp;C87)</f>
        <v>0/1</v>
      </c>
      <c r="T87" s="106" t="str">
        <f aca="false">IF(C87=0,"",COUNTIFS($A$88:$A$91,"P9-017",$T$88:$T$91,"Y")&amp;"/"&amp;C87)</f>
        <v>0/1</v>
      </c>
      <c r="U87" s="106" t="str">
        <f aca="false">IF(C87=0,"",COUNTIFS($A$88:$A$91,"P9-017",$U$88:$U$91,"Y")&amp;"/"&amp;C87)</f>
        <v>0/1</v>
      </c>
      <c r="V87" s="106" t="str">
        <f aca="false">IF(C87=0,"",COUNTIFS($A$88:$A$91,"P9-017",$V$88:$V$91,"Y")&amp;"/"&amp;C87)</f>
        <v>0/1</v>
      </c>
      <c r="W87" s="109" t="n">
        <f aca="false">SUMPRODUCT($L$88:$L$91,$W$88:$W$91)</f>
        <v>0</v>
      </c>
      <c r="X87" s="106"/>
    </row>
    <row r="88" customFormat="false" ht="15" hidden="false" customHeight="false" outlineLevel="1" collapsed="false">
      <c r="A88" s="112" t="s">
        <v>106</v>
      </c>
      <c r="C88" s="113" t="s">
        <v>705</v>
      </c>
      <c r="D88" s="60" t="s">
        <v>706</v>
      </c>
      <c r="E88" s="113" t="s">
        <v>663</v>
      </c>
      <c r="F88" s="116" t="n">
        <v>264</v>
      </c>
      <c r="G88" s="117"/>
      <c r="H88" s="113"/>
      <c r="I88" s="118" t="str">
        <f aca="false">IF(E88="","",IF(AND(LEFT(E88,6)&lt;&gt;"หลังคา",E88&lt;&gt;"ถังน้ำใส"),"–",IF(H88="Y","มีแล้ว",IF(N(G88)=0,"⚠ กรอกความสูง",IF(G88&lt;LADDER_MIN,"ไม่ต้อง",IF(G88&lt;=8,"ติด: แผ่น 1 ช่วงเดียว","ติด: แผ่น 2 มีชานพัก"))))))</f>
        <v>–</v>
      </c>
      <c r="J88" s="119" t="n">
        <f aca="false">IF(N(F88)&gt;0,F88*0.57,0)</f>
        <v>150.48</v>
      </c>
      <c r="K88" s="120" t="n">
        <f aca="false">IF(E88="",0,J88*IFERROR(VLOOKUP(E88,MOUNT_EFFORT,2,0),1))</f>
        <v>451.44</v>
      </c>
      <c r="L88" s="121" t="n">
        <f aca="false">IF(K88=0,0,K88/SUMIF($A$7:$A$137,A88,$K$7:$K$137))</f>
        <v>1</v>
      </c>
      <c r="M88" s="121" t="n">
        <f aca="false">IF(E88="",0,J88/SUMIFS($J$7:$J$137,$A$7:$A$137,A88,$E$7:$E$137,"?*"))</f>
        <v>1</v>
      </c>
      <c r="N88" s="113"/>
      <c r="O88" s="113"/>
      <c r="P88" s="113"/>
      <c r="Q88" s="113"/>
      <c r="R88" s="113"/>
      <c r="S88" s="113"/>
      <c r="T88" s="113"/>
      <c r="U88" s="113"/>
      <c r="V88" s="113"/>
      <c r="W88" s="121" t="n">
        <f aca="false">IF(E88="",0,((N88="Y")*IFERROR(VLOOKUP(E88&amp;"|1",MOUNT_TBL,5,0),0)+(O88="Y")*IFERROR(VLOOKUP(E88&amp;"|2",MOUNT_TBL,5,0),0)+(P88="Y")*IFERROR(VLOOKUP(E88&amp;"|3",MOUNT_TBL,5,0),0)+(Q88="Y")*IFERROR(VLOOKUP(E88&amp;"|4",MOUNT_TBL,5,0),0)+(R88="Y")*IFERROR(VLOOKUP(E88&amp;"|5",MOUNT_TBL,5,0),0)+(S88="Y")*IFERROR(VLOOKUP(E88&amp;"|6",MOUNT_TBL,5,0),0)+(T88="Y")*IFERROR(VLOOKUP(E88&amp;"|7",MOUNT_TBL,5,0),0))/100)</f>
        <v>0</v>
      </c>
      <c r="X88" s="114" t="s">
        <v>613</v>
      </c>
    </row>
    <row r="89" customFormat="false" ht="15" hidden="false" customHeight="false" outlineLevel="1" collapsed="false">
      <c r="A89" s="112" t="s">
        <v>106</v>
      </c>
      <c r="C89" s="113"/>
      <c r="D89" s="60"/>
      <c r="E89" s="113"/>
      <c r="F89" s="116"/>
      <c r="G89" s="117"/>
      <c r="H89" s="113"/>
      <c r="I89" s="118" t="str">
        <f aca="false">IF(E89="","",IF(AND(LEFT(E89,6)&lt;&gt;"หลังคา",E89&lt;&gt;"ถังน้ำใส"),"–",IF(H89="Y","มีแล้ว",IF(N(G89)=0,"⚠ กรอกความสูง",IF(G89&lt;LADDER_MIN,"ไม่ต้อง",IF(G89&lt;=8,"ติด: แผ่น 1 ช่วงเดียว","ติด: แผ่น 2 มีชานพัก"))))))</f>
        <v/>
      </c>
      <c r="J89" s="119" t="n">
        <f aca="false">IF(N(F89)&gt;0,F89*0.57,0)</f>
        <v>0</v>
      </c>
      <c r="K89" s="120" t="n">
        <f aca="false">IF(E89="",0,J89*IFERROR(VLOOKUP(E89,MOUNT_EFFORT,2,0),1))</f>
        <v>0</v>
      </c>
      <c r="L89" s="121" t="n">
        <f aca="false">IF(K89=0,0,K89/SUMIF($A$7:$A$137,A89,$K$7:$K$137))</f>
        <v>0</v>
      </c>
      <c r="M89" s="121" t="n">
        <f aca="false">IF(E89="",0,J89/SUMIFS($J$7:$J$137,$A$7:$A$137,A89,$E$7:$E$137,"?*"))</f>
        <v>0</v>
      </c>
      <c r="N89" s="113"/>
      <c r="O89" s="113"/>
      <c r="P89" s="113"/>
      <c r="Q89" s="113"/>
      <c r="R89" s="113"/>
      <c r="S89" s="113"/>
      <c r="T89" s="113"/>
      <c r="U89" s="113"/>
      <c r="V89" s="113"/>
      <c r="W89" s="121" t="n">
        <f aca="false">IF(E89="",0,((N89="Y")*IFERROR(VLOOKUP(E89&amp;"|1",MOUNT_TBL,5,0),0)+(O89="Y")*IFERROR(VLOOKUP(E89&amp;"|2",MOUNT_TBL,5,0),0)+(P89="Y")*IFERROR(VLOOKUP(E89&amp;"|3",MOUNT_TBL,5,0),0)+(Q89="Y")*IFERROR(VLOOKUP(E89&amp;"|4",MOUNT_TBL,5,0),0)+(R89="Y")*IFERROR(VLOOKUP(E89&amp;"|5",MOUNT_TBL,5,0),0)+(S89="Y")*IFERROR(VLOOKUP(E89&amp;"|6",MOUNT_TBL,5,0),0)+(T89="Y")*IFERROR(VLOOKUP(E89&amp;"|7",MOUNT_TBL,5,0),0))/100)</f>
        <v>0</v>
      </c>
      <c r="X89" s="60"/>
    </row>
    <row r="90" customFormat="false" ht="15" hidden="false" customHeight="false" outlineLevel="1" collapsed="false">
      <c r="A90" s="112" t="s">
        <v>106</v>
      </c>
      <c r="C90" s="113"/>
      <c r="D90" s="60"/>
      <c r="E90" s="113"/>
      <c r="F90" s="116"/>
      <c r="G90" s="117"/>
      <c r="H90" s="113"/>
      <c r="I90" s="118" t="str">
        <f aca="false">IF(E90="","",IF(AND(LEFT(E90,6)&lt;&gt;"หลังคา",E90&lt;&gt;"ถังน้ำใส"),"–",IF(H90="Y","มีแล้ว",IF(N(G90)=0,"⚠ กรอกความสูง",IF(G90&lt;LADDER_MIN,"ไม่ต้อง",IF(G90&lt;=8,"ติด: แผ่น 1 ช่วงเดียว","ติด: แผ่น 2 มีชานพัก"))))))</f>
        <v/>
      </c>
      <c r="J90" s="119" t="n">
        <f aca="false">IF(N(F90)&gt;0,F90*0.57,0)</f>
        <v>0</v>
      </c>
      <c r="K90" s="120" t="n">
        <f aca="false">IF(E90="",0,J90*IFERROR(VLOOKUP(E90,MOUNT_EFFORT,2,0),1))</f>
        <v>0</v>
      </c>
      <c r="L90" s="121" t="n">
        <f aca="false">IF(K90=0,0,K90/SUMIF($A$7:$A$137,A90,$K$7:$K$137))</f>
        <v>0</v>
      </c>
      <c r="M90" s="121" t="n">
        <f aca="false">IF(E90="",0,J90/SUMIFS($J$7:$J$137,$A$7:$A$137,A90,$E$7:$E$137,"?*"))</f>
        <v>0</v>
      </c>
      <c r="N90" s="113"/>
      <c r="O90" s="113"/>
      <c r="P90" s="113"/>
      <c r="Q90" s="113"/>
      <c r="R90" s="113"/>
      <c r="S90" s="113"/>
      <c r="T90" s="113"/>
      <c r="U90" s="113"/>
      <c r="V90" s="113"/>
      <c r="W90" s="121" t="n">
        <f aca="false">IF(E90="",0,((N90="Y")*IFERROR(VLOOKUP(E90&amp;"|1",MOUNT_TBL,5,0),0)+(O90="Y")*IFERROR(VLOOKUP(E90&amp;"|2",MOUNT_TBL,5,0),0)+(P90="Y")*IFERROR(VLOOKUP(E90&amp;"|3",MOUNT_TBL,5,0),0)+(Q90="Y")*IFERROR(VLOOKUP(E90&amp;"|4",MOUNT_TBL,5,0),0)+(R90="Y")*IFERROR(VLOOKUP(E90&amp;"|5",MOUNT_TBL,5,0),0)+(S90="Y")*IFERROR(VLOOKUP(E90&amp;"|6",MOUNT_TBL,5,0),0)+(T90="Y")*IFERROR(VLOOKUP(E90&amp;"|7",MOUNT_TBL,5,0),0))/100)</f>
        <v>0</v>
      </c>
      <c r="X90" s="60"/>
    </row>
    <row r="91" customFormat="false" ht="15" hidden="false" customHeight="false" outlineLevel="1" collapsed="false">
      <c r="A91" s="112" t="s">
        <v>106</v>
      </c>
      <c r="C91" s="113"/>
      <c r="D91" s="60"/>
      <c r="E91" s="113"/>
      <c r="F91" s="116"/>
      <c r="G91" s="117"/>
      <c r="H91" s="113"/>
      <c r="I91" s="118" t="str">
        <f aca="false">IF(E91="","",IF(AND(LEFT(E91,6)&lt;&gt;"หลังคา",E91&lt;&gt;"ถังน้ำใส"),"–",IF(H91="Y","มีแล้ว",IF(N(G91)=0,"⚠ กรอกความสูง",IF(G91&lt;LADDER_MIN,"ไม่ต้อง",IF(G91&lt;=8,"ติด: แผ่น 1 ช่วงเดียว","ติด: แผ่น 2 มีชานพัก"))))))</f>
        <v/>
      </c>
      <c r="J91" s="119" t="n">
        <f aca="false">IF(N(F91)&gt;0,F91*0.57,0)</f>
        <v>0</v>
      </c>
      <c r="K91" s="120" t="n">
        <f aca="false">IF(E91="",0,J91*IFERROR(VLOOKUP(E91,MOUNT_EFFORT,2,0),1))</f>
        <v>0</v>
      </c>
      <c r="L91" s="121" t="n">
        <f aca="false">IF(K91=0,0,K91/SUMIF($A$7:$A$137,A91,$K$7:$K$137))</f>
        <v>0</v>
      </c>
      <c r="M91" s="121" t="n">
        <f aca="false">IF(E91="",0,J91/SUMIFS($J$7:$J$137,$A$7:$A$137,A91,$E$7:$E$137,"?*"))</f>
        <v>0</v>
      </c>
      <c r="N91" s="113"/>
      <c r="O91" s="113"/>
      <c r="P91" s="113"/>
      <c r="Q91" s="113"/>
      <c r="R91" s="113"/>
      <c r="S91" s="113"/>
      <c r="T91" s="113"/>
      <c r="U91" s="113"/>
      <c r="V91" s="113"/>
      <c r="W91" s="121" t="n">
        <f aca="false">IF(E91="",0,((N91="Y")*IFERROR(VLOOKUP(E91&amp;"|1",MOUNT_TBL,5,0),0)+(O91="Y")*IFERROR(VLOOKUP(E91&amp;"|2",MOUNT_TBL,5,0),0)+(P91="Y")*IFERROR(VLOOKUP(E91&amp;"|3",MOUNT_TBL,5,0),0)+(Q91="Y")*IFERROR(VLOOKUP(E91&amp;"|4",MOUNT_TBL,5,0),0)+(R91="Y")*IFERROR(VLOOKUP(E91&amp;"|5",MOUNT_TBL,5,0),0)+(S91="Y")*IFERROR(VLOOKUP(E91&amp;"|6",MOUNT_TBL,5,0),0)+(T91="Y")*IFERROR(VLOOKUP(E91&amp;"|7",MOUNT_TBL,5,0),0))/100)</f>
        <v>0</v>
      </c>
      <c r="X91" s="60"/>
    </row>
    <row r="92" customFormat="false" ht="19.5" hidden="false" customHeight="true" outlineLevel="0" collapsed="false">
      <c r="A92" s="101" t="s">
        <v>707</v>
      </c>
      <c r="B92" s="102" t="s">
        <v>708</v>
      </c>
      <c r="C92" s="103" t="n">
        <f aca="false">COUNTIFS($A$93:$A$96,"P9-018",$E$93:$E$96,"?*")</f>
        <v>1</v>
      </c>
      <c r="D92" s="104" t="str">
        <f aca="false">IF(COUNTIFS($A$93:$A$96,"P9-018",$E$93:$E$96,"?*")=0,"ประมาณการ, ยังไม่สำรวจ — กรอกจุดจริงด้านล่าง (% 2.1–2.3 จะคิดรายจุดอัตโนมัติ)",SUBSTITUTE(IF(COUNTIFS($A$93:$A$96,"P9-018",$E$93:$E$96,"หลังคาลอนคู่")&gt;0,"ลอนคู่ "&amp;COUNTIFS($A$93:$A$96,"P9-018",$E$93:$E$96,"หลังคาลอนคู่")&amp;" จุด ("&amp;SUMIFS($F$93:$F$96,$A$93:$A$96,"P9-018",$E$93:$E$96,"หลังคาลอนคู่")&amp;" แผง), ","")&amp;IF(COUNTIFS($A$93:$A$96,"P9-018",$E$93:$E$96,"หลังคาเมทัลชีท")&gt;0,"เมทัลชีท "&amp;COUNTIFS($A$93:$A$96,"P9-018",$E$93:$E$96,"หลังคาเมทัลชีท")&amp;" จุด ("&amp;SUMIFS($F$93:$F$96,$A$93:$A$96,"P9-018",$E$93:$E$96,"หลังคาเมทัลชีท")&amp;" แผง), ","")&amp;IF(COUNTIFS($A$93:$A$96,"P9-018",$E$93:$E$96,"หลังคา")&gt;0,"หลังคา(ไม่ระบุวัสดุ) "&amp;COUNTIFS($A$93:$A$96,"P9-018",$E$93:$E$96,"หลังคา")&amp;" จุด ("&amp;SUMIFS($F$93:$F$96,$A$93:$A$96,"P9-018",$E$93:$E$96,"หลังคา")&amp;" แผง), ","")&amp;IF(COUNTIFS($A$93:$A$96,"P9-018",$E$93:$E$96,"ถังน้ำใส")&gt;0,"ถังน้ำใส "&amp;COUNTIFS($A$93:$A$96,"P9-018",$E$93:$E$96,"ถังน้ำใส")&amp;" จุด ("&amp;SUMIFS($F$93:$F$96,$A$93:$A$96,"P9-018",$E$93:$E$96,"ถังน้ำใส")&amp;" แผง), ","")&amp;IF(COUNTIFS($A$93:$A$96,"P9-018",$E$93:$E$96,"ถังดินกลบ")&gt;0,"ถังดินกลบ "&amp;COUNTIFS($A$93:$A$96,"P9-018",$E$93:$E$96,"ถังดินกลบ")&amp;" จุด ("&amp;SUMIFS($F$93:$F$96,$A$93:$A$96,"P9-018",$E$93:$E$96,"ถังดินกลบ")&amp;" แผง), ","")&amp;IF(COUNTIFS($A$93:$A$96,"P9-018",$E$93:$E$96,"Carport")&gt;0,"Carport "&amp;COUNTIFS($A$93:$A$96,"P9-018",$E$93:$E$96,"Carport")&amp;" จุด ("&amp;SUMIFS($F$93:$F$96,$A$93:$A$96,"P9-018",$E$93:$E$96,"Carport")&amp;" แผง), ","")&amp;"|",", |",""))</f>
        <v>Carport 1 จุด (492 แผง)</v>
      </c>
      <c r="E92" s="104"/>
      <c r="F92" s="105" t="n">
        <f aca="false">SUMIF($A$93:$A$96,"P9-018",$F$93:$F$96)</f>
        <v>492</v>
      </c>
      <c r="G92" s="106"/>
      <c r="H92" s="106"/>
      <c r="I92" s="107" t="str">
        <f aca="false">IF(COUNTIFS($A$93:$A$96,"P9-018",$I$93:$I$96,"ติด:*")&gt;0,"บันได "&amp;COUNTIFS($A$93:$A$96,"P9-018",$I$93:$I$96,"ติด:*")&amp;" จุด","")</f>
        <v/>
      </c>
      <c r="J92" s="108" t="n">
        <f aca="false">SUMIF($A$93:$A$96,"P9-018",$J$93:$J$96)</f>
        <v>280.44</v>
      </c>
      <c r="K92" s="106"/>
      <c r="L92" s="106"/>
      <c r="M92" s="106"/>
      <c r="N92" s="106" t="str">
        <f aca="false">IF(C92=0,"",COUNTIFS($A$93:$A$96,"P9-018",$N$93:$N$96,"Y")&amp;"/"&amp;C92)</f>
        <v>0/1</v>
      </c>
      <c r="O92" s="106" t="str">
        <f aca="false">IF(C92=0,"",COUNTIFS($A$93:$A$96,"P9-018",$O$93:$O$96,"Y")&amp;"/"&amp;C92)</f>
        <v>0/1</v>
      </c>
      <c r="P92" s="106" t="str">
        <f aca="false">IF(C92=0,"",COUNTIFS($A$93:$A$96,"P9-018",$P$93:$P$96,"Y")&amp;"/"&amp;C92)</f>
        <v>0/1</v>
      </c>
      <c r="Q92" s="106" t="str">
        <f aca="false">IF(C92=0,"",COUNTIFS($A$93:$A$96,"P9-018",$Q$93:$Q$96,"Y")&amp;"/"&amp;C92)</f>
        <v>0/1</v>
      </c>
      <c r="R92" s="106" t="str">
        <f aca="false">IF(C92=0,"",COUNTIFS($A$93:$A$96,"P9-018",$R$93:$R$96,"Y")&amp;"/"&amp;C92)</f>
        <v>0/1</v>
      </c>
      <c r="S92" s="106" t="str">
        <f aca="false">IF(C92=0,"",COUNTIFS($A$93:$A$96,"P9-018",$S$93:$S$96,"Y")&amp;"/"&amp;C92)</f>
        <v>0/1</v>
      </c>
      <c r="T92" s="106" t="str">
        <f aca="false">IF(C92=0,"",COUNTIFS($A$93:$A$96,"P9-018",$T$93:$T$96,"Y")&amp;"/"&amp;C92)</f>
        <v>0/1</v>
      </c>
      <c r="U92" s="106" t="str">
        <f aca="false">IF(C92=0,"",COUNTIFS($A$93:$A$96,"P9-018",$U$93:$U$96,"Y")&amp;"/"&amp;C92)</f>
        <v>0/1</v>
      </c>
      <c r="V92" s="106" t="str">
        <f aca="false">IF(C92=0,"",COUNTIFS($A$93:$A$96,"P9-018",$V$93:$V$96,"Y")&amp;"/"&amp;C92)</f>
        <v>0/1</v>
      </c>
      <c r="W92" s="109" t="n">
        <f aca="false">SUMPRODUCT($L$93:$L$96,$W$93:$W$96)</f>
        <v>0</v>
      </c>
      <c r="X92" s="106"/>
    </row>
    <row r="93" customFormat="false" ht="15" hidden="false" customHeight="false" outlineLevel="1" collapsed="false">
      <c r="A93" s="112" t="s">
        <v>110</v>
      </c>
      <c r="C93" s="113" t="s">
        <v>705</v>
      </c>
      <c r="D93" s="60" t="s">
        <v>706</v>
      </c>
      <c r="E93" s="113" t="s">
        <v>663</v>
      </c>
      <c r="F93" s="116" t="n">
        <v>492</v>
      </c>
      <c r="G93" s="117"/>
      <c r="H93" s="113"/>
      <c r="I93" s="118" t="str">
        <f aca="false">IF(E93="","",IF(AND(LEFT(E93,6)&lt;&gt;"หลังคา",E93&lt;&gt;"ถังน้ำใส"),"–",IF(H93="Y","มีแล้ว",IF(N(G93)=0,"⚠ กรอกความสูง",IF(G93&lt;LADDER_MIN,"ไม่ต้อง",IF(G93&lt;=8,"ติด: แผ่น 1 ช่วงเดียว","ติด: แผ่น 2 มีชานพัก"))))))</f>
        <v>–</v>
      </c>
      <c r="J93" s="119" t="n">
        <f aca="false">IF(N(F93)&gt;0,F93*0.57,0)</f>
        <v>280.44</v>
      </c>
      <c r="K93" s="120" t="n">
        <f aca="false">IF(E93="",0,J93*IFERROR(VLOOKUP(E93,MOUNT_EFFORT,2,0),1))</f>
        <v>841.32</v>
      </c>
      <c r="L93" s="121" t="n">
        <f aca="false">IF(K93=0,0,K93/SUMIF($A$7:$A$137,A93,$K$7:$K$137))</f>
        <v>1</v>
      </c>
      <c r="M93" s="121" t="n">
        <f aca="false">IF(E93="",0,J93/SUMIFS($J$7:$J$137,$A$7:$A$137,A93,$E$7:$E$137,"?*"))</f>
        <v>1</v>
      </c>
      <c r="N93" s="113"/>
      <c r="O93" s="113"/>
      <c r="P93" s="113"/>
      <c r="Q93" s="113"/>
      <c r="R93" s="113"/>
      <c r="S93" s="113"/>
      <c r="T93" s="113"/>
      <c r="U93" s="113"/>
      <c r="V93" s="113"/>
      <c r="W93" s="121" t="n">
        <f aca="false">IF(E93="",0,((N93="Y")*IFERROR(VLOOKUP(E93&amp;"|1",MOUNT_TBL,5,0),0)+(O93="Y")*IFERROR(VLOOKUP(E93&amp;"|2",MOUNT_TBL,5,0),0)+(P93="Y")*IFERROR(VLOOKUP(E93&amp;"|3",MOUNT_TBL,5,0),0)+(Q93="Y")*IFERROR(VLOOKUP(E93&amp;"|4",MOUNT_TBL,5,0),0)+(R93="Y")*IFERROR(VLOOKUP(E93&amp;"|5",MOUNT_TBL,5,0),0)+(S93="Y")*IFERROR(VLOOKUP(E93&amp;"|6",MOUNT_TBL,5,0),0)+(T93="Y")*IFERROR(VLOOKUP(E93&amp;"|7",MOUNT_TBL,5,0),0))/100)</f>
        <v>0</v>
      </c>
      <c r="X93" s="114" t="s">
        <v>613</v>
      </c>
    </row>
    <row r="94" customFormat="false" ht="15" hidden="false" customHeight="false" outlineLevel="1" collapsed="false">
      <c r="A94" s="112" t="s">
        <v>110</v>
      </c>
      <c r="C94" s="113"/>
      <c r="D94" s="60"/>
      <c r="E94" s="113"/>
      <c r="F94" s="116"/>
      <c r="G94" s="117"/>
      <c r="H94" s="113"/>
      <c r="I94" s="118" t="str">
        <f aca="false">IF(E94="","",IF(AND(LEFT(E94,6)&lt;&gt;"หลังคา",E94&lt;&gt;"ถังน้ำใส"),"–",IF(H94="Y","มีแล้ว",IF(N(G94)=0,"⚠ กรอกความสูง",IF(G94&lt;LADDER_MIN,"ไม่ต้อง",IF(G94&lt;=8,"ติด: แผ่น 1 ช่วงเดียว","ติด: แผ่น 2 มีชานพัก"))))))</f>
        <v/>
      </c>
      <c r="J94" s="119" t="n">
        <f aca="false">IF(N(F94)&gt;0,F94*0.57,0)</f>
        <v>0</v>
      </c>
      <c r="K94" s="120" t="n">
        <f aca="false">IF(E94="",0,J94*IFERROR(VLOOKUP(E94,MOUNT_EFFORT,2,0),1))</f>
        <v>0</v>
      </c>
      <c r="L94" s="121" t="n">
        <f aca="false">IF(K94=0,0,K94/SUMIF($A$7:$A$137,A94,$K$7:$K$137))</f>
        <v>0</v>
      </c>
      <c r="M94" s="121" t="n">
        <f aca="false">IF(E94="",0,J94/SUMIFS($J$7:$J$137,$A$7:$A$137,A94,$E$7:$E$137,"?*"))</f>
        <v>0</v>
      </c>
      <c r="N94" s="113"/>
      <c r="O94" s="113"/>
      <c r="P94" s="113"/>
      <c r="Q94" s="113"/>
      <c r="R94" s="113"/>
      <c r="S94" s="113"/>
      <c r="T94" s="113"/>
      <c r="U94" s="113"/>
      <c r="V94" s="113"/>
      <c r="W94" s="121" t="n">
        <f aca="false">IF(E94="",0,((N94="Y")*IFERROR(VLOOKUP(E94&amp;"|1",MOUNT_TBL,5,0),0)+(O94="Y")*IFERROR(VLOOKUP(E94&amp;"|2",MOUNT_TBL,5,0),0)+(P94="Y")*IFERROR(VLOOKUP(E94&amp;"|3",MOUNT_TBL,5,0),0)+(Q94="Y")*IFERROR(VLOOKUP(E94&amp;"|4",MOUNT_TBL,5,0),0)+(R94="Y")*IFERROR(VLOOKUP(E94&amp;"|5",MOUNT_TBL,5,0),0)+(S94="Y")*IFERROR(VLOOKUP(E94&amp;"|6",MOUNT_TBL,5,0),0)+(T94="Y")*IFERROR(VLOOKUP(E94&amp;"|7",MOUNT_TBL,5,0),0))/100)</f>
        <v>0</v>
      </c>
      <c r="X94" s="60"/>
    </row>
    <row r="95" customFormat="false" ht="15" hidden="false" customHeight="false" outlineLevel="1" collapsed="false">
      <c r="A95" s="112" t="s">
        <v>110</v>
      </c>
      <c r="C95" s="113"/>
      <c r="D95" s="60"/>
      <c r="E95" s="113"/>
      <c r="F95" s="116"/>
      <c r="G95" s="117"/>
      <c r="H95" s="113"/>
      <c r="I95" s="118" t="str">
        <f aca="false">IF(E95="","",IF(AND(LEFT(E95,6)&lt;&gt;"หลังคา",E95&lt;&gt;"ถังน้ำใส"),"–",IF(H95="Y","มีแล้ว",IF(N(G95)=0,"⚠ กรอกความสูง",IF(G95&lt;LADDER_MIN,"ไม่ต้อง",IF(G95&lt;=8,"ติด: แผ่น 1 ช่วงเดียว","ติด: แผ่น 2 มีชานพัก"))))))</f>
        <v/>
      </c>
      <c r="J95" s="119" t="n">
        <f aca="false">IF(N(F95)&gt;0,F95*0.57,0)</f>
        <v>0</v>
      </c>
      <c r="K95" s="120" t="n">
        <f aca="false">IF(E95="",0,J95*IFERROR(VLOOKUP(E95,MOUNT_EFFORT,2,0),1))</f>
        <v>0</v>
      </c>
      <c r="L95" s="121" t="n">
        <f aca="false">IF(K95=0,0,K95/SUMIF($A$7:$A$137,A95,$K$7:$K$137))</f>
        <v>0</v>
      </c>
      <c r="M95" s="121" t="n">
        <f aca="false">IF(E95="",0,J95/SUMIFS($J$7:$J$137,$A$7:$A$137,A95,$E$7:$E$137,"?*"))</f>
        <v>0</v>
      </c>
      <c r="N95" s="113"/>
      <c r="O95" s="113"/>
      <c r="P95" s="113"/>
      <c r="Q95" s="113"/>
      <c r="R95" s="113"/>
      <c r="S95" s="113"/>
      <c r="T95" s="113"/>
      <c r="U95" s="113"/>
      <c r="V95" s="113"/>
      <c r="W95" s="121" t="n">
        <f aca="false">IF(E95="",0,((N95="Y")*IFERROR(VLOOKUP(E95&amp;"|1",MOUNT_TBL,5,0),0)+(O95="Y")*IFERROR(VLOOKUP(E95&amp;"|2",MOUNT_TBL,5,0),0)+(P95="Y")*IFERROR(VLOOKUP(E95&amp;"|3",MOUNT_TBL,5,0),0)+(Q95="Y")*IFERROR(VLOOKUP(E95&amp;"|4",MOUNT_TBL,5,0),0)+(R95="Y")*IFERROR(VLOOKUP(E95&amp;"|5",MOUNT_TBL,5,0),0)+(S95="Y")*IFERROR(VLOOKUP(E95&amp;"|6",MOUNT_TBL,5,0),0)+(T95="Y")*IFERROR(VLOOKUP(E95&amp;"|7",MOUNT_TBL,5,0),0))/100)</f>
        <v>0</v>
      </c>
      <c r="X95" s="60"/>
    </row>
    <row r="96" customFormat="false" ht="15" hidden="false" customHeight="false" outlineLevel="1" collapsed="false">
      <c r="A96" s="112" t="s">
        <v>110</v>
      </c>
      <c r="C96" s="113"/>
      <c r="D96" s="60"/>
      <c r="E96" s="113"/>
      <c r="F96" s="116"/>
      <c r="G96" s="117"/>
      <c r="H96" s="113"/>
      <c r="I96" s="118" t="str">
        <f aca="false">IF(E96="","",IF(AND(LEFT(E96,6)&lt;&gt;"หลังคา",E96&lt;&gt;"ถังน้ำใส"),"–",IF(H96="Y","มีแล้ว",IF(N(G96)=0,"⚠ กรอกความสูง",IF(G96&lt;LADDER_MIN,"ไม่ต้อง",IF(G96&lt;=8,"ติด: แผ่น 1 ช่วงเดียว","ติด: แผ่น 2 มีชานพัก"))))))</f>
        <v/>
      </c>
      <c r="J96" s="119" t="n">
        <f aca="false">IF(N(F96)&gt;0,F96*0.57,0)</f>
        <v>0</v>
      </c>
      <c r="K96" s="120" t="n">
        <f aca="false">IF(E96="",0,J96*IFERROR(VLOOKUP(E96,MOUNT_EFFORT,2,0),1))</f>
        <v>0</v>
      </c>
      <c r="L96" s="121" t="n">
        <f aca="false">IF(K96=0,0,K96/SUMIF($A$7:$A$137,A96,$K$7:$K$137))</f>
        <v>0</v>
      </c>
      <c r="M96" s="121" t="n">
        <f aca="false">IF(E96="",0,J96/SUMIFS($J$7:$J$137,$A$7:$A$137,A96,$E$7:$E$137,"?*"))</f>
        <v>0</v>
      </c>
      <c r="N96" s="113"/>
      <c r="O96" s="113"/>
      <c r="P96" s="113"/>
      <c r="Q96" s="113"/>
      <c r="R96" s="113"/>
      <c r="S96" s="113"/>
      <c r="T96" s="113"/>
      <c r="U96" s="113"/>
      <c r="V96" s="113"/>
      <c r="W96" s="121" t="n">
        <f aca="false">IF(E96="",0,((N96="Y")*IFERROR(VLOOKUP(E96&amp;"|1",MOUNT_TBL,5,0),0)+(O96="Y")*IFERROR(VLOOKUP(E96&amp;"|2",MOUNT_TBL,5,0),0)+(P96="Y")*IFERROR(VLOOKUP(E96&amp;"|3",MOUNT_TBL,5,0),0)+(Q96="Y")*IFERROR(VLOOKUP(E96&amp;"|4",MOUNT_TBL,5,0),0)+(R96="Y")*IFERROR(VLOOKUP(E96&amp;"|5",MOUNT_TBL,5,0),0)+(S96="Y")*IFERROR(VLOOKUP(E96&amp;"|6",MOUNT_TBL,5,0),0)+(T96="Y")*IFERROR(VLOOKUP(E96&amp;"|7",MOUNT_TBL,5,0),0))/100)</f>
        <v>0</v>
      </c>
      <c r="X96" s="60"/>
    </row>
    <row r="97" customFormat="false" ht="19.5" hidden="false" customHeight="true" outlineLevel="0" collapsed="false">
      <c r="A97" s="101" t="s">
        <v>709</v>
      </c>
      <c r="B97" s="102" t="s">
        <v>710</v>
      </c>
      <c r="C97" s="103" t="n">
        <f aca="false">COUNTIFS($A$98:$A$101,"P9-019",$E$98:$E$101,"?*")</f>
        <v>1</v>
      </c>
      <c r="D97" s="104" t="str">
        <f aca="false">IF(COUNTIFS($A$98:$A$101,"P9-019",$E$98:$E$101,"?*")=0,"ประมาณการ, ยังไม่สำรวจ — กรอกจุดจริงด้านล่าง (% 2.1–2.3 จะคิดรายจุดอัตโนมัติ)",SUBSTITUTE(IF(COUNTIFS($A$98:$A$101,"P9-019",$E$98:$E$101,"หลังคาลอนคู่")&gt;0,"ลอนคู่ "&amp;COUNTIFS($A$98:$A$101,"P9-019",$E$98:$E$101,"หลังคาลอนคู่")&amp;" จุด ("&amp;SUMIFS($F$98:$F$101,$A$98:$A$101,"P9-019",$E$98:$E$101,"หลังคาลอนคู่")&amp;" แผง), ","")&amp;IF(COUNTIFS($A$98:$A$101,"P9-019",$E$98:$E$101,"หลังคาเมทัลชีท")&gt;0,"เมทัลชีท "&amp;COUNTIFS($A$98:$A$101,"P9-019",$E$98:$E$101,"หลังคาเมทัลชีท")&amp;" จุด ("&amp;SUMIFS($F$98:$F$101,$A$98:$A$101,"P9-019",$E$98:$E$101,"หลังคาเมทัลชีท")&amp;" แผง), ","")&amp;IF(COUNTIFS($A$98:$A$101,"P9-019",$E$98:$E$101,"หลังคา")&gt;0,"หลังคา(ไม่ระบุวัสดุ) "&amp;COUNTIFS($A$98:$A$101,"P9-019",$E$98:$E$101,"หลังคา")&amp;" จุด ("&amp;SUMIFS($F$98:$F$101,$A$98:$A$101,"P9-019",$E$98:$E$101,"หลังคา")&amp;" แผง), ","")&amp;IF(COUNTIFS($A$98:$A$101,"P9-019",$E$98:$E$101,"ถังน้ำใส")&gt;0,"ถังน้ำใส "&amp;COUNTIFS($A$98:$A$101,"P9-019",$E$98:$E$101,"ถังน้ำใส")&amp;" จุด ("&amp;SUMIFS($F$98:$F$101,$A$98:$A$101,"P9-019",$E$98:$E$101,"ถังน้ำใส")&amp;" แผง), ","")&amp;IF(COUNTIFS($A$98:$A$101,"P9-019",$E$98:$E$101,"ถังดินกลบ")&gt;0,"ถังดินกลบ "&amp;COUNTIFS($A$98:$A$101,"P9-019",$E$98:$E$101,"ถังดินกลบ")&amp;" จุด ("&amp;SUMIFS($F$98:$F$101,$A$98:$A$101,"P9-019",$E$98:$E$101,"ถังดินกลบ")&amp;" แผง), ","")&amp;IF(COUNTIFS($A$98:$A$101,"P9-019",$E$98:$E$101,"Carport")&gt;0,"Carport "&amp;COUNTIFS($A$98:$A$101,"P9-019",$E$98:$E$101,"Carport")&amp;" จุด ("&amp;SUMIFS($F$98:$F$101,$A$98:$A$101,"P9-019",$E$98:$E$101,"Carport")&amp;" แผง), ","")&amp;"|",", |",""))</f>
        <v>Carport 1 จุด (264 แผง)</v>
      </c>
      <c r="E97" s="104"/>
      <c r="F97" s="105" t="n">
        <f aca="false">SUMIF($A$98:$A$101,"P9-019",$F$98:$F$101)</f>
        <v>264</v>
      </c>
      <c r="G97" s="106"/>
      <c r="H97" s="106"/>
      <c r="I97" s="107" t="str">
        <f aca="false">IF(COUNTIFS($A$98:$A$101,"P9-019",$I$98:$I$101,"ติด:*")&gt;0,"บันได "&amp;COUNTIFS($A$98:$A$101,"P9-019",$I$98:$I$101,"ติด:*")&amp;" จุด","")</f>
        <v/>
      </c>
      <c r="J97" s="108" t="n">
        <f aca="false">SUMIF($A$98:$A$101,"P9-019",$J$98:$J$101)</f>
        <v>150.48</v>
      </c>
      <c r="K97" s="106"/>
      <c r="L97" s="106"/>
      <c r="M97" s="106"/>
      <c r="N97" s="106" t="str">
        <f aca="false">IF(C97=0,"",COUNTIFS($A$98:$A$101,"P9-019",$N$98:$N$101,"Y")&amp;"/"&amp;C97)</f>
        <v>0/1</v>
      </c>
      <c r="O97" s="106" t="str">
        <f aca="false">IF(C97=0,"",COUNTIFS($A$98:$A$101,"P9-019",$O$98:$O$101,"Y")&amp;"/"&amp;C97)</f>
        <v>0/1</v>
      </c>
      <c r="P97" s="106" t="str">
        <f aca="false">IF(C97=0,"",COUNTIFS($A$98:$A$101,"P9-019",$P$98:$P$101,"Y")&amp;"/"&amp;C97)</f>
        <v>0/1</v>
      </c>
      <c r="Q97" s="106" t="str">
        <f aca="false">IF(C97=0,"",COUNTIFS($A$98:$A$101,"P9-019",$Q$98:$Q$101,"Y")&amp;"/"&amp;C97)</f>
        <v>0/1</v>
      </c>
      <c r="R97" s="106" t="str">
        <f aca="false">IF(C97=0,"",COUNTIFS($A$98:$A$101,"P9-019",$R$98:$R$101,"Y")&amp;"/"&amp;C97)</f>
        <v>0/1</v>
      </c>
      <c r="S97" s="106" t="str">
        <f aca="false">IF(C97=0,"",COUNTIFS($A$98:$A$101,"P9-019",$S$98:$S$101,"Y")&amp;"/"&amp;C97)</f>
        <v>0/1</v>
      </c>
      <c r="T97" s="106" t="str">
        <f aca="false">IF(C97=0,"",COUNTIFS($A$98:$A$101,"P9-019",$T$98:$T$101,"Y")&amp;"/"&amp;C97)</f>
        <v>0/1</v>
      </c>
      <c r="U97" s="106" t="str">
        <f aca="false">IF(C97=0,"",COUNTIFS($A$98:$A$101,"P9-019",$U$98:$U$101,"Y")&amp;"/"&amp;C97)</f>
        <v>0/1</v>
      </c>
      <c r="V97" s="106" t="str">
        <f aca="false">IF(C97=0,"",COUNTIFS($A$98:$A$101,"P9-019",$V$98:$V$101,"Y")&amp;"/"&amp;C97)</f>
        <v>0/1</v>
      </c>
      <c r="W97" s="109" t="n">
        <f aca="false">SUMPRODUCT($L$98:$L$101,$W$98:$W$101)</f>
        <v>0</v>
      </c>
      <c r="X97" s="106"/>
    </row>
    <row r="98" customFormat="false" ht="15" hidden="false" customHeight="false" outlineLevel="1" collapsed="false">
      <c r="A98" s="112" t="s">
        <v>114</v>
      </c>
      <c r="C98" s="113" t="s">
        <v>705</v>
      </c>
      <c r="D98" s="60" t="s">
        <v>706</v>
      </c>
      <c r="E98" s="113" t="s">
        <v>663</v>
      </c>
      <c r="F98" s="116" t="n">
        <v>264</v>
      </c>
      <c r="G98" s="117"/>
      <c r="H98" s="113"/>
      <c r="I98" s="118" t="str">
        <f aca="false">IF(E98="","",IF(AND(LEFT(E98,6)&lt;&gt;"หลังคา",E98&lt;&gt;"ถังน้ำใส"),"–",IF(H98="Y","มีแล้ว",IF(N(G98)=0,"⚠ กรอกความสูง",IF(G98&lt;LADDER_MIN,"ไม่ต้อง",IF(G98&lt;=8,"ติด: แผ่น 1 ช่วงเดียว","ติด: แผ่น 2 มีชานพัก"))))))</f>
        <v>–</v>
      </c>
      <c r="J98" s="119" t="n">
        <f aca="false">IF(N(F98)&gt;0,F98*0.57,0)</f>
        <v>150.48</v>
      </c>
      <c r="K98" s="120" t="n">
        <f aca="false">IF(E98="",0,J98*IFERROR(VLOOKUP(E98,MOUNT_EFFORT,2,0),1))</f>
        <v>451.44</v>
      </c>
      <c r="L98" s="121" t="n">
        <f aca="false">IF(K98=0,0,K98/SUMIF($A$7:$A$137,A98,$K$7:$K$137))</f>
        <v>1</v>
      </c>
      <c r="M98" s="121" t="n">
        <f aca="false">IF(E98="",0,J98/SUMIFS($J$7:$J$137,$A$7:$A$137,A98,$E$7:$E$137,"?*"))</f>
        <v>1</v>
      </c>
      <c r="N98" s="113"/>
      <c r="O98" s="113"/>
      <c r="P98" s="113"/>
      <c r="Q98" s="113"/>
      <c r="R98" s="113"/>
      <c r="S98" s="113"/>
      <c r="T98" s="113"/>
      <c r="U98" s="113"/>
      <c r="V98" s="113"/>
      <c r="W98" s="121" t="n">
        <f aca="false">IF(E98="",0,((N98="Y")*IFERROR(VLOOKUP(E98&amp;"|1",MOUNT_TBL,5,0),0)+(O98="Y")*IFERROR(VLOOKUP(E98&amp;"|2",MOUNT_TBL,5,0),0)+(P98="Y")*IFERROR(VLOOKUP(E98&amp;"|3",MOUNT_TBL,5,0),0)+(Q98="Y")*IFERROR(VLOOKUP(E98&amp;"|4",MOUNT_TBL,5,0),0)+(R98="Y")*IFERROR(VLOOKUP(E98&amp;"|5",MOUNT_TBL,5,0),0)+(S98="Y")*IFERROR(VLOOKUP(E98&amp;"|6",MOUNT_TBL,5,0),0)+(T98="Y")*IFERROR(VLOOKUP(E98&amp;"|7",MOUNT_TBL,5,0),0))/100)</f>
        <v>0</v>
      </c>
      <c r="X98" s="114" t="s">
        <v>613</v>
      </c>
    </row>
    <row r="99" customFormat="false" ht="15" hidden="false" customHeight="false" outlineLevel="1" collapsed="false">
      <c r="A99" s="112" t="s">
        <v>114</v>
      </c>
      <c r="C99" s="113"/>
      <c r="D99" s="60"/>
      <c r="E99" s="113"/>
      <c r="F99" s="116"/>
      <c r="G99" s="117"/>
      <c r="H99" s="113"/>
      <c r="I99" s="118" t="str">
        <f aca="false">IF(E99="","",IF(AND(LEFT(E99,6)&lt;&gt;"หลังคา",E99&lt;&gt;"ถังน้ำใส"),"–",IF(H99="Y","มีแล้ว",IF(N(G99)=0,"⚠ กรอกความสูง",IF(G99&lt;LADDER_MIN,"ไม่ต้อง",IF(G99&lt;=8,"ติด: แผ่น 1 ช่วงเดียว","ติด: แผ่น 2 มีชานพัก"))))))</f>
        <v/>
      </c>
      <c r="J99" s="119" t="n">
        <f aca="false">IF(N(F99)&gt;0,F99*0.57,0)</f>
        <v>0</v>
      </c>
      <c r="K99" s="120" t="n">
        <f aca="false">IF(E99="",0,J99*IFERROR(VLOOKUP(E99,MOUNT_EFFORT,2,0),1))</f>
        <v>0</v>
      </c>
      <c r="L99" s="121" t="n">
        <f aca="false">IF(K99=0,0,K99/SUMIF($A$7:$A$137,A99,$K$7:$K$137))</f>
        <v>0</v>
      </c>
      <c r="M99" s="121" t="n">
        <f aca="false">IF(E99="",0,J99/SUMIFS($J$7:$J$137,$A$7:$A$137,A99,$E$7:$E$137,"?*"))</f>
        <v>0</v>
      </c>
      <c r="N99" s="113"/>
      <c r="O99" s="113"/>
      <c r="P99" s="113"/>
      <c r="Q99" s="113"/>
      <c r="R99" s="113"/>
      <c r="S99" s="113"/>
      <c r="T99" s="113"/>
      <c r="U99" s="113"/>
      <c r="V99" s="113"/>
      <c r="W99" s="121" t="n">
        <f aca="false">IF(E99="",0,((N99="Y")*IFERROR(VLOOKUP(E99&amp;"|1",MOUNT_TBL,5,0),0)+(O99="Y")*IFERROR(VLOOKUP(E99&amp;"|2",MOUNT_TBL,5,0),0)+(P99="Y")*IFERROR(VLOOKUP(E99&amp;"|3",MOUNT_TBL,5,0),0)+(Q99="Y")*IFERROR(VLOOKUP(E99&amp;"|4",MOUNT_TBL,5,0),0)+(R99="Y")*IFERROR(VLOOKUP(E99&amp;"|5",MOUNT_TBL,5,0),0)+(S99="Y")*IFERROR(VLOOKUP(E99&amp;"|6",MOUNT_TBL,5,0),0)+(T99="Y")*IFERROR(VLOOKUP(E99&amp;"|7",MOUNT_TBL,5,0),0))/100)</f>
        <v>0</v>
      </c>
      <c r="X99" s="60"/>
    </row>
    <row r="100" customFormat="false" ht="15" hidden="false" customHeight="false" outlineLevel="1" collapsed="false">
      <c r="A100" s="112" t="s">
        <v>114</v>
      </c>
      <c r="C100" s="113"/>
      <c r="D100" s="60"/>
      <c r="E100" s="113"/>
      <c r="F100" s="116"/>
      <c r="G100" s="117"/>
      <c r="H100" s="113"/>
      <c r="I100" s="118" t="str">
        <f aca="false">IF(E100="","",IF(AND(LEFT(E100,6)&lt;&gt;"หลังคา",E100&lt;&gt;"ถังน้ำใส"),"–",IF(H100="Y","มีแล้ว",IF(N(G100)=0,"⚠ กรอกความสูง",IF(G100&lt;LADDER_MIN,"ไม่ต้อง",IF(G100&lt;=8,"ติด: แผ่น 1 ช่วงเดียว","ติด: แผ่น 2 มีชานพัก"))))))</f>
        <v/>
      </c>
      <c r="J100" s="119" t="n">
        <f aca="false">IF(N(F100)&gt;0,F100*0.57,0)</f>
        <v>0</v>
      </c>
      <c r="K100" s="120" t="n">
        <f aca="false">IF(E100="",0,J100*IFERROR(VLOOKUP(E100,MOUNT_EFFORT,2,0),1))</f>
        <v>0</v>
      </c>
      <c r="L100" s="121" t="n">
        <f aca="false">IF(K100=0,0,K100/SUMIF($A$7:$A$137,A100,$K$7:$K$137))</f>
        <v>0</v>
      </c>
      <c r="M100" s="121" t="n">
        <f aca="false">IF(E100="",0,J100/SUMIFS($J$7:$J$137,$A$7:$A$137,A100,$E$7:$E$137,"?*"))</f>
        <v>0</v>
      </c>
      <c r="N100" s="113"/>
      <c r="O100" s="113"/>
      <c r="P100" s="113"/>
      <c r="Q100" s="113"/>
      <c r="R100" s="113"/>
      <c r="S100" s="113"/>
      <c r="T100" s="113"/>
      <c r="U100" s="113"/>
      <c r="V100" s="113"/>
      <c r="W100" s="121" t="n">
        <f aca="false">IF(E100="",0,((N100="Y")*IFERROR(VLOOKUP(E100&amp;"|1",MOUNT_TBL,5,0),0)+(O100="Y")*IFERROR(VLOOKUP(E100&amp;"|2",MOUNT_TBL,5,0),0)+(P100="Y")*IFERROR(VLOOKUP(E100&amp;"|3",MOUNT_TBL,5,0),0)+(Q100="Y")*IFERROR(VLOOKUP(E100&amp;"|4",MOUNT_TBL,5,0),0)+(R100="Y")*IFERROR(VLOOKUP(E100&amp;"|5",MOUNT_TBL,5,0),0)+(S100="Y")*IFERROR(VLOOKUP(E100&amp;"|6",MOUNT_TBL,5,0),0)+(T100="Y")*IFERROR(VLOOKUP(E100&amp;"|7",MOUNT_TBL,5,0),0))/100)</f>
        <v>0</v>
      </c>
      <c r="X100" s="60"/>
    </row>
    <row r="101" customFormat="false" ht="15" hidden="false" customHeight="false" outlineLevel="1" collapsed="false">
      <c r="A101" s="112" t="s">
        <v>114</v>
      </c>
      <c r="C101" s="113"/>
      <c r="D101" s="60"/>
      <c r="E101" s="113"/>
      <c r="F101" s="116"/>
      <c r="G101" s="117"/>
      <c r="H101" s="113"/>
      <c r="I101" s="118" t="str">
        <f aca="false">IF(E101="","",IF(AND(LEFT(E101,6)&lt;&gt;"หลังคา",E101&lt;&gt;"ถังน้ำใส"),"–",IF(H101="Y","มีแล้ว",IF(N(G101)=0,"⚠ กรอกความสูง",IF(G101&lt;LADDER_MIN,"ไม่ต้อง",IF(G101&lt;=8,"ติด: แผ่น 1 ช่วงเดียว","ติด: แผ่น 2 มีชานพัก"))))))</f>
        <v/>
      </c>
      <c r="J101" s="119" t="n">
        <f aca="false">IF(N(F101)&gt;0,F101*0.57,0)</f>
        <v>0</v>
      </c>
      <c r="K101" s="120" t="n">
        <f aca="false">IF(E101="",0,J101*IFERROR(VLOOKUP(E101,MOUNT_EFFORT,2,0),1))</f>
        <v>0</v>
      </c>
      <c r="L101" s="121" t="n">
        <f aca="false">IF(K101=0,0,K101/SUMIF($A$7:$A$137,A101,$K$7:$K$137))</f>
        <v>0</v>
      </c>
      <c r="M101" s="121" t="n">
        <f aca="false">IF(E101="",0,J101/SUMIFS($J$7:$J$137,$A$7:$A$137,A101,$E$7:$E$137,"?*"))</f>
        <v>0</v>
      </c>
      <c r="N101" s="113"/>
      <c r="O101" s="113"/>
      <c r="P101" s="113"/>
      <c r="Q101" s="113"/>
      <c r="R101" s="113"/>
      <c r="S101" s="113"/>
      <c r="T101" s="113"/>
      <c r="U101" s="113"/>
      <c r="V101" s="113"/>
      <c r="W101" s="121" t="n">
        <f aca="false">IF(E101="",0,((N101="Y")*IFERROR(VLOOKUP(E101&amp;"|1",MOUNT_TBL,5,0),0)+(O101="Y")*IFERROR(VLOOKUP(E101&amp;"|2",MOUNT_TBL,5,0),0)+(P101="Y")*IFERROR(VLOOKUP(E101&amp;"|3",MOUNT_TBL,5,0),0)+(Q101="Y")*IFERROR(VLOOKUP(E101&amp;"|4",MOUNT_TBL,5,0),0)+(R101="Y")*IFERROR(VLOOKUP(E101&amp;"|5",MOUNT_TBL,5,0),0)+(S101="Y")*IFERROR(VLOOKUP(E101&amp;"|6",MOUNT_TBL,5,0),0)+(T101="Y")*IFERROR(VLOOKUP(E101&amp;"|7",MOUNT_TBL,5,0),0))/100)</f>
        <v>0</v>
      </c>
      <c r="X101" s="60"/>
    </row>
    <row r="102" customFormat="false" ht="19.5" hidden="false" customHeight="true" outlineLevel="0" collapsed="false">
      <c r="A102" s="101" t="s">
        <v>711</v>
      </c>
      <c r="B102" s="102" t="s">
        <v>712</v>
      </c>
      <c r="C102" s="103" t="n">
        <f aca="false">COUNTIFS($A$103:$A$106,"P9-020",$E$103:$E$106,"?*")</f>
        <v>1</v>
      </c>
      <c r="D102" s="104" t="str">
        <f aca="false">IF(COUNTIFS($A$103:$A$106,"P9-020",$E$103:$E$106,"?*")=0,"ประมาณการ, ยังไม่สำรวจ — กรอกจุดจริงด้านล่าง (% 2.1–2.3 จะคิดรายจุดอัตโนมัติ)",SUBSTITUTE(IF(COUNTIFS($A$103:$A$106,"P9-020",$E$103:$E$106,"หลังคาลอนคู่")&gt;0,"ลอนคู่ "&amp;COUNTIFS($A$103:$A$106,"P9-020",$E$103:$E$106,"หลังคาลอนคู่")&amp;" จุด ("&amp;SUMIFS($F$103:$F$106,$A$103:$A$106,"P9-020",$E$103:$E$106,"หลังคาลอนคู่")&amp;" แผง), ","")&amp;IF(COUNTIFS($A$103:$A$106,"P9-020",$E$103:$E$106,"หลังคาเมทัลชีท")&gt;0,"เมทัลชีท "&amp;COUNTIFS($A$103:$A$106,"P9-020",$E$103:$E$106,"หลังคาเมทัลชีท")&amp;" จุด ("&amp;SUMIFS($F$103:$F$106,$A$103:$A$106,"P9-020",$E$103:$E$106,"หลังคาเมทัลชีท")&amp;" แผง), ","")&amp;IF(COUNTIFS($A$103:$A$106,"P9-020",$E$103:$E$106,"หลังคา")&gt;0,"หลังคา(ไม่ระบุวัสดุ) "&amp;COUNTIFS($A$103:$A$106,"P9-020",$E$103:$E$106,"หลังคา")&amp;" จุด ("&amp;SUMIFS($F$103:$F$106,$A$103:$A$106,"P9-020",$E$103:$E$106,"หลังคา")&amp;" แผง), ","")&amp;IF(COUNTIFS($A$103:$A$106,"P9-020",$E$103:$E$106,"ถังน้ำใส")&gt;0,"ถังน้ำใส "&amp;COUNTIFS($A$103:$A$106,"P9-020",$E$103:$E$106,"ถังน้ำใส")&amp;" จุด ("&amp;SUMIFS($F$103:$F$106,$A$103:$A$106,"P9-020",$E$103:$E$106,"ถังน้ำใส")&amp;" แผง), ","")&amp;IF(COUNTIFS($A$103:$A$106,"P9-020",$E$103:$E$106,"ถังดินกลบ")&gt;0,"ถังดินกลบ "&amp;COUNTIFS($A$103:$A$106,"P9-020",$E$103:$E$106,"ถังดินกลบ")&amp;" จุด ("&amp;SUMIFS($F$103:$F$106,$A$103:$A$106,"P9-020",$E$103:$E$106,"ถังดินกลบ")&amp;" แผง), ","")&amp;IF(COUNTIFS($A$103:$A$106,"P9-020",$E$103:$E$106,"Carport")&gt;0,"Carport "&amp;COUNTIFS($A$103:$A$106,"P9-020",$E$103:$E$106,"Carport")&amp;" จุด ("&amp;SUMIFS($F$103:$F$106,$A$103:$A$106,"P9-020",$E$103:$E$106,"Carport")&amp;" แผง), ","")&amp;"|",", |",""))</f>
        <v>Carport 1 จุด (492 แผง)</v>
      </c>
      <c r="E102" s="104"/>
      <c r="F102" s="105" t="n">
        <f aca="false">SUMIF($A$103:$A$106,"P9-020",$F$103:$F$106)</f>
        <v>492</v>
      </c>
      <c r="G102" s="106"/>
      <c r="H102" s="106"/>
      <c r="I102" s="107" t="str">
        <f aca="false">IF(COUNTIFS($A$103:$A$106,"P9-020",$I$103:$I$106,"ติด:*")&gt;0,"บันได "&amp;COUNTIFS($A$103:$A$106,"P9-020",$I$103:$I$106,"ติด:*")&amp;" จุด","")</f>
        <v/>
      </c>
      <c r="J102" s="108" t="n">
        <f aca="false">SUMIF($A$103:$A$106,"P9-020",$J$103:$J$106)</f>
        <v>280.44</v>
      </c>
      <c r="K102" s="106"/>
      <c r="L102" s="106"/>
      <c r="M102" s="106"/>
      <c r="N102" s="106" t="str">
        <f aca="false">IF(C102=0,"",COUNTIFS($A$103:$A$106,"P9-020",$N$103:$N$106,"Y")&amp;"/"&amp;C102)</f>
        <v>0/1</v>
      </c>
      <c r="O102" s="106" t="str">
        <f aca="false">IF(C102=0,"",COUNTIFS($A$103:$A$106,"P9-020",$O$103:$O$106,"Y")&amp;"/"&amp;C102)</f>
        <v>0/1</v>
      </c>
      <c r="P102" s="106" t="str">
        <f aca="false">IF(C102=0,"",COUNTIFS($A$103:$A$106,"P9-020",$P$103:$P$106,"Y")&amp;"/"&amp;C102)</f>
        <v>0/1</v>
      </c>
      <c r="Q102" s="106" t="str">
        <f aca="false">IF(C102=0,"",COUNTIFS($A$103:$A$106,"P9-020",$Q$103:$Q$106,"Y")&amp;"/"&amp;C102)</f>
        <v>0/1</v>
      </c>
      <c r="R102" s="106" t="str">
        <f aca="false">IF(C102=0,"",COUNTIFS($A$103:$A$106,"P9-020",$R$103:$R$106,"Y")&amp;"/"&amp;C102)</f>
        <v>0/1</v>
      </c>
      <c r="S102" s="106" t="str">
        <f aca="false">IF(C102=0,"",COUNTIFS($A$103:$A$106,"P9-020",$S$103:$S$106,"Y")&amp;"/"&amp;C102)</f>
        <v>0/1</v>
      </c>
      <c r="T102" s="106" t="str">
        <f aca="false">IF(C102=0,"",COUNTIFS($A$103:$A$106,"P9-020",$T$103:$T$106,"Y")&amp;"/"&amp;C102)</f>
        <v>0/1</v>
      </c>
      <c r="U102" s="106" t="str">
        <f aca="false">IF(C102=0,"",COUNTIFS($A$103:$A$106,"P9-020",$U$103:$U$106,"Y")&amp;"/"&amp;C102)</f>
        <v>0/1</v>
      </c>
      <c r="V102" s="106" t="str">
        <f aca="false">IF(C102=0,"",COUNTIFS($A$103:$A$106,"P9-020",$V$103:$V$106,"Y")&amp;"/"&amp;C102)</f>
        <v>0/1</v>
      </c>
      <c r="W102" s="109" t="n">
        <f aca="false">SUMPRODUCT($L$103:$L$106,$W$103:$W$106)</f>
        <v>0</v>
      </c>
      <c r="X102" s="106"/>
    </row>
    <row r="103" customFormat="false" ht="15" hidden="false" customHeight="false" outlineLevel="1" collapsed="false">
      <c r="A103" s="112" t="s">
        <v>118</v>
      </c>
      <c r="C103" s="113" t="s">
        <v>705</v>
      </c>
      <c r="D103" s="60" t="s">
        <v>706</v>
      </c>
      <c r="E103" s="113" t="s">
        <v>663</v>
      </c>
      <c r="F103" s="116" t="n">
        <v>492</v>
      </c>
      <c r="G103" s="117"/>
      <c r="H103" s="113"/>
      <c r="I103" s="118" t="str">
        <f aca="false">IF(E103="","",IF(AND(LEFT(E103,6)&lt;&gt;"หลังคา",E103&lt;&gt;"ถังน้ำใส"),"–",IF(H103="Y","มีแล้ว",IF(N(G103)=0,"⚠ กรอกความสูง",IF(G103&lt;LADDER_MIN,"ไม่ต้อง",IF(G103&lt;=8,"ติด: แผ่น 1 ช่วงเดียว","ติด: แผ่น 2 มีชานพัก"))))))</f>
        <v>–</v>
      </c>
      <c r="J103" s="119" t="n">
        <f aca="false">IF(N(F103)&gt;0,F103*0.57,0)</f>
        <v>280.44</v>
      </c>
      <c r="K103" s="120" t="n">
        <f aca="false">IF(E103="",0,J103*IFERROR(VLOOKUP(E103,MOUNT_EFFORT,2,0),1))</f>
        <v>841.32</v>
      </c>
      <c r="L103" s="121" t="n">
        <f aca="false">IF(K103=0,0,K103/SUMIF($A$7:$A$137,A103,$K$7:$K$137))</f>
        <v>1</v>
      </c>
      <c r="M103" s="121" t="n">
        <f aca="false">IF(E103="",0,J103/SUMIFS($J$7:$J$137,$A$7:$A$137,A103,$E$7:$E$137,"?*"))</f>
        <v>1</v>
      </c>
      <c r="N103" s="113"/>
      <c r="O103" s="113"/>
      <c r="P103" s="113"/>
      <c r="Q103" s="113"/>
      <c r="R103" s="113"/>
      <c r="S103" s="113"/>
      <c r="T103" s="113"/>
      <c r="U103" s="113"/>
      <c r="V103" s="113"/>
      <c r="W103" s="121" t="n">
        <f aca="false">IF(E103="",0,((N103="Y")*IFERROR(VLOOKUP(E103&amp;"|1",MOUNT_TBL,5,0),0)+(O103="Y")*IFERROR(VLOOKUP(E103&amp;"|2",MOUNT_TBL,5,0),0)+(P103="Y")*IFERROR(VLOOKUP(E103&amp;"|3",MOUNT_TBL,5,0),0)+(Q103="Y")*IFERROR(VLOOKUP(E103&amp;"|4",MOUNT_TBL,5,0),0)+(R103="Y")*IFERROR(VLOOKUP(E103&amp;"|5",MOUNT_TBL,5,0),0)+(S103="Y")*IFERROR(VLOOKUP(E103&amp;"|6",MOUNT_TBL,5,0),0)+(T103="Y")*IFERROR(VLOOKUP(E103&amp;"|7",MOUNT_TBL,5,0),0))/100)</f>
        <v>0</v>
      </c>
      <c r="X103" s="114" t="s">
        <v>613</v>
      </c>
    </row>
    <row r="104" customFormat="false" ht="15" hidden="false" customHeight="false" outlineLevel="1" collapsed="false">
      <c r="A104" s="112" t="s">
        <v>118</v>
      </c>
      <c r="C104" s="113"/>
      <c r="D104" s="60"/>
      <c r="E104" s="113"/>
      <c r="F104" s="116"/>
      <c r="G104" s="117"/>
      <c r="H104" s="113"/>
      <c r="I104" s="118" t="str">
        <f aca="false">IF(E104="","",IF(AND(LEFT(E104,6)&lt;&gt;"หลังคา",E104&lt;&gt;"ถังน้ำใส"),"–",IF(H104="Y","มีแล้ว",IF(N(G104)=0,"⚠ กรอกความสูง",IF(G104&lt;LADDER_MIN,"ไม่ต้อง",IF(G104&lt;=8,"ติด: แผ่น 1 ช่วงเดียว","ติด: แผ่น 2 มีชานพัก"))))))</f>
        <v/>
      </c>
      <c r="J104" s="119" t="n">
        <f aca="false">IF(N(F104)&gt;0,F104*0.57,0)</f>
        <v>0</v>
      </c>
      <c r="K104" s="120" t="n">
        <f aca="false">IF(E104="",0,J104*IFERROR(VLOOKUP(E104,MOUNT_EFFORT,2,0),1))</f>
        <v>0</v>
      </c>
      <c r="L104" s="121" t="n">
        <f aca="false">IF(K104=0,0,K104/SUMIF($A$7:$A$137,A104,$K$7:$K$137))</f>
        <v>0</v>
      </c>
      <c r="M104" s="121" t="n">
        <f aca="false">IF(E104="",0,J104/SUMIFS($J$7:$J$137,$A$7:$A$137,A104,$E$7:$E$137,"?*"))</f>
        <v>0</v>
      </c>
      <c r="N104" s="113"/>
      <c r="O104" s="113"/>
      <c r="P104" s="113"/>
      <c r="Q104" s="113"/>
      <c r="R104" s="113"/>
      <c r="S104" s="113"/>
      <c r="T104" s="113"/>
      <c r="U104" s="113"/>
      <c r="V104" s="113"/>
      <c r="W104" s="121" t="n">
        <f aca="false">IF(E104="",0,((N104="Y")*IFERROR(VLOOKUP(E104&amp;"|1",MOUNT_TBL,5,0),0)+(O104="Y")*IFERROR(VLOOKUP(E104&amp;"|2",MOUNT_TBL,5,0),0)+(P104="Y")*IFERROR(VLOOKUP(E104&amp;"|3",MOUNT_TBL,5,0),0)+(Q104="Y")*IFERROR(VLOOKUP(E104&amp;"|4",MOUNT_TBL,5,0),0)+(R104="Y")*IFERROR(VLOOKUP(E104&amp;"|5",MOUNT_TBL,5,0),0)+(S104="Y")*IFERROR(VLOOKUP(E104&amp;"|6",MOUNT_TBL,5,0),0)+(T104="Y")*IFERROR(VLOOKUP(E104&amp;"|7",MOUNT_TBL,5,0),0))/100)</f>
        <v>0</v>
      </c>
      <c r="X104" s="60"/>
    </row>
    <row r="105" customFormat="false" ht="15" hidden="false" customHeight="false" outlineLevel="1" collapsed="false">
      <c r="A105" s="112" t="s">
        <v>118</v>
      </c>
      <c r="C105" s="113"/>
      <c r="D105" s="60"/>
      <c r="E105" s="113"/>
      <c r="F105" s="116"/>
      <c r="G105" s="117"/>
      <c r="H105" s="113"/>
      <c r="I105" s="118" t="str">
        <f aca="false">IF(E105="","",IF(AND(LEFT(E105,6)&lt;&gt;"หลังคา",E105&lt;&gt;"ถังน้ำใส"),"–",IF(H105="Y","มีแล้ว",IF(N(G105)=0,"⚠ กรอกความสูง",IF(G105&lt;LADDER_MIN,"ไม่ต้อง",IF(G105&lt;=8,"ติด: แผ่น 1 ช่วงเดียว","ติด: แผ่น 2 มีชานพัก"))))))</f>
        <v/>
      </c>
      <c r="J105" s="119" t="n">
        <f aca="false">IF(N(F105)&gt;0,F105*0.57,0)</f>
        <v>0</v>
      </c>
      <c r="K105" s="120" t="n">
        <f aca="false">IF(E105="",0,J105*IFERROR(VLOOKUP(E105,MOUNT_EFFORT,2,0),1))</f>
        <v>0</v>
      </c>
      <c r="L105" s="121" t="n">
        <f aca="false">IF(K105=0,0,K105/SUMIF($A$7:$A$137,A105,$K$7:$K$137))</f>
        <v>0</v>
      </c>
      <c r="M105" s="121" t="n">
        <f aca="false">IF(E105="",0,J105/SUMIFS($J$7:$J$137,$A$7:$A$137,A105,$E$7:$E$137,"?*"))</f>
        <v>0</v>
      </c>
      <c r="N105" s="113"/>
      <c r="O105" s="113"/>
      <c r="P105" s="113"/>
      <c r="Q105" s="113"/>
      <c r="R105" s="113"/>
      <c r="S105" s="113"/>
      <c r="T105" s="113"/>
      <c r="U105" s="113"/>
      <c r="V105" s="113"/>
      <c r="W105" s="121" t="n">
        <f aca="false">IF(E105="",0,((N105="Y")*IFERROR(VLOOKUP(E105&amp;"|1",MOUNT_TBL,5,0),0)+(O105="Y")*IFERROR(VLOOKUP(E105&amp;"|2",MOUNT_TBL,5,0),0)+(P105="Y")*IFERROR(VLOOKUP(E105&amp;"|3",MOUNT_TBL,5,0),0)+(Q105="Y")*IFERROR(VLOOKUP(E105&amp;"|4",MOUNT_TBL,5,0),0)+(R105="Y")*IFERROR(VLOOKUP(E105&amp;"|5",MOUNT_TBL,5,0),0)+(S105="Y")*IFERROR(VLOOKUP(E105&amp;"|6",MOUNT_TBL,5,0),0)+(T105="Y")*IFERROR(VLOOKUP(E105&amp;"|7",MOUNT_TBL,5,0),0))/100)</f>
        <v>0</v>
      </c>
      <c r="X105" s="60"/>
    </row>
    <row r="106" customFormat="false" ht="15" hidden="false" customHeight="false" outlineLevel="1" collapsed="false">
      <c r="A106" s="112" t="s">
        <v>118</v>
      </c>
      <c r="C106" s="113"/>
      <c r="D106" s="60"/>
      <c r="E106" s="113"/>
      <c r="F106" s="116"/>
      <c r="G106" s="117"/>
      <c r="H106" s="113"/>
      <c r="I106" s="118" t="str">
        <f aca="false">IF(E106="","",IF(AND(LEFT(E106,6)&lt;&gt;"หลังคา",E106&lt;&gt;"ถังน้ำใส"),"–",IF(H106="Y","มีแล้ว",IF(N(G106)=0,"⚠ กรอกความสูง",IF(G106&lt;LADDER_MIN,"ไม่ต้อง",IF(G106&lt;=8,"ติด: แผ่น 1 ช่วงเดียว","ติด: แผ่น 2 มีชานพัก"))))))</f>
        <v/>
      </c>
      <c r="J106" s="119" t="n">
        <f aca="false">IF(N(F106)&gt;0,F106*0.57,0)</f>
        <v>0</v>
      </c>
      <c r="K106" s="120" t="n">
        <f aca="false">IF(E106="",0,J106*IFERROR(VLOOKUP(E106,MOUNT_EFFORT,2,0),1))</f>
        <v>0</v>
      </c>
      <c r="L106" s="121" t="n">
        <f aca="false">IF(K106=0,0,K106/SUMIF($A$7:$A$137,A106,$K$7:$K$137))</f>
        <v>0</v>
      </c>
      <c r="M106" s="121" t="n">
        <f aca="false">IF(E106="",0,J106/SUMIFS($J$7:$J$137,$A$7:$A$137,A106,$E$7:$E$137,"?*"))</f>
        <v>0</v>
      </c>
      <c r="N106" s="113"/>
      <c r="O106" s="113"/>
      <c r="P106" s="113"/>
      <c r="Q106" s="113"/>
      <c r="R106" s="113"/>
      <c r="S106" s="113"/>
      <c r="T106" s="113"/>
      <c r="U106" s="113"/>
      <c r="V106" s="113"/>
      <c r="W106" s="121" t="n">
        <f aca="false">IF(E106="",0,((N106="Y")*IFERROR(VLOOKUP(E106&amp;"|1",MOUNT_TBL,5,0),0)+(O106="Y")*IFERROR(VLOOKUP(E106&amp;"|2",MOUNT_TBL,5,0),0)+(P106="Y")*IFERROR(VLOOKUP(E106&amp;"|3",MOUNT_TBL,5,0),0)+(Q106="Y")*IFERROR(VLOOKUP(E106&amp;"|4",MOUNT_TBL,5,0),0)+(R106="Y")*IFERROR(VLOOKUP(E106&amp;"|5",MOUNT_TBL,5,0),0)+(S106="Y")*IFERROR(VLOOKUP(E106&amp;"|6",MOUNT_TBL,5,0),0)+(T106="Y")*IFERROR(VLOOKUP(E106&amp;"|7",MOUNT_TBL,5,0),0))/100)</f>
        <v>0</v>
      </c>
      <c r="X106" s="60"/>
    </row>
    <row r="107" customFormat="false" ht="15" hidden="false" customHeight="false" outlineLevel="0" collapsed="false">
      <c r="A107" s="130" t="s">
        <v>713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5" hidden="false" customHeight="false" outlineLevel="0" collapsed="false">
      <c r="A108" s="60"/>
      <c r="B108" s="131" t="str">
        <f aca="false">IF(A108="","",IFERROR(INDEX('Master Plan'!$B$8:$B$27,MATCH(A108,'Master Plan'!$A$8:$A$27,0)),"?"))</f>
        <v/>
      </c>
      <c r="C108" s="113"/>
      <c r="D108" s="60"/>
      <c r="E108" s="113"/>
      <c r="F108" s="116"/>
      <c r="G108" s="117"/>
      <c r="H108" s="113"/>
      <c r="I108" s="118" t="str">
        <f aca="false">IF(E108="","",IF(AND(LEFT(E108,6)&lt;&gt;"หลังคา",E108&lt;&gt;"ถังน้ำใส"),"–",IF(H108="Y","มีแล้ว",IF(N(G108)=0,"⚠ กรอกความสูง",IF(G108&lt;LADDER_MIN,"ไม่ต้อง",IF(G108&lt;=8,"ติด: แผ่น 1 ช่วงเดียว","ติด: แผ่น 2 มีชานพัก"))))))</f>
        <v/>
      </c>
      <c r="J108" s="119" t="n">
        <f aca="false">IF(N(F108)&gt;0,F108*0.57,0)</f>
        <v>0</v>
      </c>
      <c r="K108" s="120" t="n">
        <f aca="false">IF(E108="",0,J108*IFERROR(VLOOKUP(E108,MOUNT_EFFORT,2,0),1))</f>
        <v>0</v>
      </c>
      <c r="L108" s="121" t="n">
        <f aca="false">IF(K108=0,0,K108/SUMIF($A$7:$A$137,A108,$K$7:$K$137))</f>
        <v>0</v>
      </c>
      <c r="M108" s="121" t="n">
        <f aca="false">IF(E108="",0,J108/SUMIFS($J$7:$J$137,$A$7:$A$137,A108,$E$7:$E$137,"?*"))</f>
        <v>0</v>
      </c>
      <c r="N108" s="113"/>
      <c r="O108" s="113"/>
      <c r="P108" s="113"/>
      <c r="Q108" s="113"/>
      <c r="R108" s="113"/>
      <c r="S108" s="113"/>
      <c r="T108" s="113"/>
      <c r="U108" s="113"/>
      <c r="V108" s="113"/>
      <c r="W108" s="121" t="n">
        <f aca="false">IF(E108="",0,((N108="Y")*IFERROR(VLOOKUP(E108&amp;"|1",MOUNT_TBL,5,0),0)+(O108="Y")*IFERROR(VLOOKUP(E108&amp;"|2",MOUNT_TBL,5,0),0)+(P108="Y")*IFERROR(VLOOKUP(E108&amp;"|3",MOUNT_TBL,5,0),0)+(Q108="Y")*IFERROR(VLOOKUP(E108&amp;"|4",MOUNT_TBL,5,0),0)+(R108="Y")*IFERROR(VLOOKUP(E108&amp;"|5",MOUNT_TBL,5,0),0)+(S108="Y")*IFERROR(VLOOKUP(E108&amp;"|6",MOUNT_TBL,5,0),0)+(T108="Y")*IFERROR(VLOOKUP(E108&amp;"|7",MOUNT_TBL,5,0),0))/100)</f>
        <v>0</v>
      </c>
      <c r="X108" s="60"/>
    </row>
    <row r="109" customFormat="false" ht="15" hidden="false" customHeight="false" outlineLevel="0" collapsed="false">
      <c r="A109" s="60"/>
      <c r="B109" s="131" t="str">
        <f aca="false">IF(A109="","",IFERROR(INDEX('Master Plan'!$B$8:$B$27,MATCH(A109,'Master Plan'!$A$8:$A$27,0)),"?"))</f>
        <v/>
      </c>
      <c r="C109" s="113"/>
      <c r="D109" s="60"/>
      <c r="E109" s="113"/>
      <c r="F109" s="116"/>
      <c r="G109" s="117"/>
      <c r="H109" s="113"/>
      <c r="I109" s="118" t="str">
        <f aca="false">IF(E109="","",IF(AND(LEFT(E109,6)&lt;&gt;"หลังคา",E109&lt;&gt;"ถังน้ำใส"),"–",IF(H109="Y","มีแล้ว",IF(N(G109)=0,"⚠ กรอกความสูง",IF(G109&lt;LADDER_MIN,"ไม่ต้อง",IF(G109&lt;=8,"ติด: แผ่น 1 ช่วงเดียว","ติด: แผ่น 2 มีชานพัก"))))))</f>
        <v/>
      </c>
      <c r="J109" s="119" t="n">
        <f aca="false">IF(N(F109)&gt;0,F109*0.57,0)</f>
        <v>0</v>
      </c>
      <c r="K109" s="120" t="n">
        <f aca="false">IF(E109="",0,J109*IFERROR(VLOOKUP(E109,MOUNT_EFFORT,2,0),1))</f>
        <v>0</v>
      </c>
      <c r="L109" s="121" t="n">
        <f aca="false">IF(K109=0,0,K109/SUMIF($A$7:$A$137,A109,$K$7:$K$137))</f>
        <v>0</v>
      </c>
      <c r="M109" s="121" t="n">
        <f aca="false">IF(E109="",0,J109/SUMIFS($J$7:$J$137,$A$7:$A$137,A109,$E$7:$E$137,"?*"))</f>
        <v>0</v>
      </c>
      <c r="N109" s="113"/>
      <c r="O109" s="113"/>
      <c r="P109" s="113"/>
      <c r="Q109" s="113"/>
      <c r="R109" s="113"/>
      <c r="S109" s="113"/>
      <c r="T109" s="113"/>
      <c r="U109" s="113"/>
      <c r="V109" s="113"/>
      <c r="W109" s="121" t="n">
        <f aca="false">IF(E109="",0,((N109="Y")*IFERROR(VLOOKUP(E109&amp;"|1",MOUNT_TBL,5,0),0)+(O109="Y")*IFERROR(VLOOKUP(E109&amp;"|2",MOUNT_TBL,5,0),0)+(P109="Y")*IFERROR(VLOOKUP(E109&amp;"|3",MOUNT_TBL,5,0),0)+(Q109="Y")*IFERROR(VLOOKUP(E109&amp;"|4",MOUNT_TBL,5,0),0)+(R109="Y")*IFERROR(VLOOKUP(E109&amp;"|5",MOUNT_TBL,5,0),0)+(S109="Y")*IFERROR(VLOOKUP(E109&amp;"|6",MOUNT_TBL,5,0),0)+(T109="Y")*IFERROR(VLOOKUP(E109&amp;"|7",MOUNT_TBL,5,0),0))/100)</f>
        <v>0</v>
      </c>
      <c r="X109" s="60"/>
    </row>
    <row r="110" customFormat="false" ht="15" hidden="false" customHeight="false" outlineLevel="0" collapsed="false">
      <c r="A110" s="60"/>
      <c r="B110" s="131" t="str">
        <f aca="false">IF(A110="","",IFERROR(INDEX('Master Plan'!$B$8:$B$27,MATCH(A110,'Master Plan'!$A$8:$A$27,0)),"?"))</f>
        <v/>
      </c>
      <c r="C110" s="113"/>
      <c r="D110" s="60"/>
      <c r="E110" s="113"/>
      <c r="F110" s="116"/>
      <c r="G110" s="117"/>
      <c r="H110" s="113"/>
      <c r="I110" s="118" t="str">
        <f aca="false">IF(E110="","",IF(AND(LEFT(E110,6)&lt;&gt;"หลังคา",E110&lt;&gt;"ถังน้ำใส"),"–",IF(H110="Y","มีแล้ว",IF(N(G110)=0,"⚠ กรอกความสูง",IF(G110&lt;LADDER_MIN,"ไม่ต้อง",IF(G110&lt;=8,"ติด: แผ่น 1 ช่วงเดียว","ติด: แผ่น 2 มีชานพัก"))))))</f>
        <v/>
      </c>
      <c r="J110" s="119" t="n">
        <f aca="false">IF(N(F110)&gt;0,F110*0.57,0)</f>
        <v>0</v>
      </c>
      <c r="K110" s="120" t="n">
        <f aca="false">IF(E110="",0,J110*IFERROR(VLOOKUP(E110,MOUNT_EFFORT,2,0),1))</f>
        <v>0</v>
      </c>
      <c r="L110" s="121" t="n">
        <f aca="false">IF(K110=0,0,K110/SUMIF($A$7:$A$137,A110,$K$7:$K$137))</f>
        <v>0</v>
      </c>
      <c r="M110" s="121" t="n">
        <f aca="false">IF(E110="",0,J110/SUMIFS($J$7:$J$137,$A$7:$A$137,A110,$E$7:$E$137,"?*"))</f>
        <v>0</v>
      </c>
      <c r="N110" s="113"/>
      <c r="O110" s="113"/>
      <c r="P110" s="113"/>
      <c r="Q110" s="113"/>
      <c r="R110" s="113"/>
      <c r="S110" s="113"/>
      <c r="T110" s="113"/>
      <c r="U110" s="113"/>
      <c r="V110" s="113"/>
      <c r="W110" s="121" t="n">
        <f aca="false">IF(E110="",0,((N110="Y")*IFERROR(VLOOKUP(E110&amp;"|1",MOUNT_TBL,5,0),0)+(O110="Y")*IFERROR(VLOOKUP(E110&amp;"|2",MOUNT_TBL,5,0),0)+(P110="Y")*IFERROR(VLOOKUP(E110&amp;"|3",MOUNT_TBL,5,0),0)+(Q110="Y")*IFERROR(VLOOKUP(E110&amp;"|4",MOUNT_TBL,5,0),0)+(R110="Y")*IFERROR(VLOOKUP(E110&amp;"|5",MOUNT_TBL,5,0),0)+(S110="Y")*IFERROR(VLOOKUP(E110&amp;"|6",MOUNT_TBL,5,0),0)+(T110="Y")*IFERROR(VLOOKUP(E110&amp;"|7",MOUNT_TBL,5,0),0))/100)</f>
        <v>0</v>
      </c>
      <c r="X110" s="60"/>
    </row>
    <row r="111" customFormat="false" ht="15" hidden="false" customHeight="false" outlineLevel="0" collapsed="false">
      <c r="A111" s="60"/>
      <c r="B111" s="131" t="str">
        <f aca="false">IF(A111="","",IFERROR(INDEX('Master Plan'!$B$8:$B$27,MATCH(A111,'Master Plan'!$A$8:$A$27,0)),"?"))</f>
        <v/>
      </c>
      <c r="C111" s="113"/>
      <c r="D111" s="60"/>
      <c r="E111" s="113"/>
      <c r="F111" s="116"/>
      <c r="G111" s="117"/>
      <c r="H111" s="113"/>
      <c r="I111" s="118" t="str">
        <f aca="false">IF(E111="","",IF(AND(LEFT(E111,6)&lt;&gt;"หลังคา",E111&lt;&gt;"ถังน้ำใส"),"–",IF(H111="Y","มีแล้ว",IF(N(G111)=0,"⚠ กรอกความสูง",IF(G111&lt;LADDER_MIN,"ไม่ต้อง",IF(G111&lt;=8,"ติด: แผ่น 1 ช่วงเดียว","ติด: แผ่น 2 มีชานพัก"))))))</f>
        <v/>
      </c>
      <c r="J111" s="119" t="n">
        <f aca="false">IF(N(F111)&gt;0,F111*0.57,0)</f>
        <v>0</v>
      </c>
      <c r="K111" s="120" t="n">
        <f aca="false">IF(E111="",0,J111*IFERROR(VLOOKUP(E111,MOUNT_EFFORT,2,0),1))</f>
        <v>0</v>
      </c>
      <c r="L111" s="121" t="n">
        <f aca="false">IF(K111=0,0,K111/SUMIF($A$7:$A$137,A111,$K$7:$K$137))</f>
        <v>0</v>
      </c>
      <c r="M111" s="121" t="n">
        <f aca="false">IF(E111="",0,J111/SUMIFS($J$7:$J$137,$A$7:$A$137,A111,$E$7:$E$137,"?*"))</f>
        <v>0</v>
      </c>
      <c r="N111" s="113"/>
      <c r="O111" s="113"/>
      <c r="P111" s="113"/>
      <c r="Q111" s="113"/>
      <c r="R111" s="113"/>
      <c r="S111" s="113"/>
      <c r="T111" s="113"/>
      <c r="U111" s="113"/>
      <c r="V111" s="113"/>
      <c r="W111" s="121" t="n">
        <f aca="false">IF(E111="",0,((N111="Y")*IFERROR(VLOOKUP(E111&amp;"|1",MOUNT_TBL,5,0),0)+(O111="Y")*IFERROR(VLOOKUP(E111&amp;"|2",MOUNT_TBL,5,0),0)+(P111="Y")*IFERROR(VLOOKUP(E111&amp;"|3",MOUNT_TBL,5,0),0)+(Q111="Y")*IFERROR(VLOOKUP(E111&amp;"|4",MOUNT_TBL,5,0),0)+(R111="Y")*IFERROR(VLOOKUP(E111&amp;"|5",MOUNT_TBL,5,0),0)+(S111="Y")*IFERROR(VLOOKUP(E111&amp;"|6",MOUNT_TBL,5,0),0)+(T111="Y")*IFERROR(VLOOKUP(E111&amp;"|7",MOUNT_TBL,5,0),0))/100)</f>
        <v>0</v>
      </c>
      <c r="X111" s="60"/>
    </row>
    <row r="112" customFormat="false" ht="15" hidden="false" customHeight="false" outlineLevel="0" collapsed="false">
      <c r="A112" s="60"/>
      <c r="B112" s="131" t="str">
        <f aca="false">IF(A112="","",IFERROR(INDEX('Master Plan'!$B$8:$B$27,MATCH(A112,'Master Plan'!$A$8:$A$27,0)),"?"))</f>
        <v/>
      </c>
      <c r="C112" s="113"/>
      <c r="D112" s="60"/>
      <c r="E112" s="113"/>
      <c r="F112" s="116"/>
      <c r="G112" s="117"/>
      <c r="H112" s="113"/>
      <c r="I112" s="118" t="str">
        <f aca="false">IF(E112="","",IF(AND(LEFT(E112,6)&lt;&gt;"หลังคา",E112&lt;&gt;"ถังน้ำใส"),"–",IF(H112="Y","มีแล้ว",IF(N(G112)=0,"⚠ กรอกความสูง",IF(G112&lt;LADDER_MIN,"ไม่ต้อง",IF(G112&lt;=8,"ติด: แผ่น 1 ช่วงเดียว","ติด: แผ่น 2 มีชานพัก"))))))</f>
        <v/>
      </c>
      <c r="J112" s="119" t="n">
        <f aca="false">IF(N(F112)&gt;0,F112*0.57,0)</f>
        <v>0</v>
      </c>
      <c r="K112" s="120" t="n">
        <f aca="false">IF(E112="",0,J112*IFERROR(VLOOKUP(E112,MOUNT_EFFORT,2,0),1))</f>
        <v>0</v>
      </c>
      <c r="L112" s="121" t="n">
        <f aca="false">IF(K112=0,0,K112/SUMIF($A$7:$A$137,A112,$K$7:$K$137))</f>
        <v>0</v>
      </c>
      <c r="M112" s="121" t="n">
        <f aca="false">IF(E112="",0,J112/SUMIFS($J$7:$J$137,$A$7:$A$137,A112,$E$7:$E$137,"?*"))</f>
        <v>0</v>
      </c>
      <c r="N112" s="113"/>
      <c r="O112" s="113"/>
      <c r="P112" s="113"/>
      <c r="Q112" s="113"/>
      <c r="R112" s="113"/>
      <c r="S112" s="113"/>
      <c r="T112" s="113"/>
      <c r="U112" s="113"/>
      <c r="V112" s="113"/>
      <c r="W112" s="121" t="n">
        <f aca="false">IF(E112="",0,((N112="Y")*IFERROR(VLOOKUP(E112&amp;"|1",MOUNT_TBL,5,0),0)+(O112="Y")*IFERROR(VLOOKUP(E112&amp;"|2",MOUNT_TBL,5,0),0)+(P112="Y")*IFERROR(VLOOKUP(E112&amp;"|3",MOUNT_TBL,5,0),0)+(Q112="Y")*IFERROR(VLOOKUP(E112&amp;"|4",MOUNT_TBL,5,0),0)+(R112="Y")*IFERROR(VLOOKUP(E112&amp;"|5",MOUNT_TBL,5,0),0)+(S112="Y")*IFERROR(VLOOKUP(E112&amp;"|6",MOUNT_TBL,5,0),0)+(T112="Y")*IFERROR(VLOOKUP(E112&amp;"|7",MOUNT_TBL,5,0),0))/100)</f>
        <v>0</v>
      </c>
      <c r="X112" s="60"/>
    </row>
    <row r="113" customFormat="false" ht="15" hidden="false" customHeight="false" outlineLevel="0" collapsed="false">
      <c r="A113" s="60"/>
      <c r="B113" s="131" t="str">
        <f aca="false">IF(A113="","",IFERROR(INDEX('Master Plan'!$B$8:$B$27,MATCH(A113,'Master Plan'!$A$8:$A$27,0)),"?"))</f>
        <v/>
      </c>
      <c r="C113" s="113"/>
      <c r="D113" s="60"/>
      <c r="E113" s="113"/>
      <c r="F113" s="116"/>
      <c r="G113" s="117"/>
      <c r="H113" s="113"/>
      <c r="I113" s="118" t="str">
        <f aca="false">IF(E113="","",IF(AND(LEFT(E113,6)&lt;&gt;"หลังคา",E113&lt;&gt;"ถังน้ำใส"),"–",IF(H113="Y","มีแล้ว",IF(N(G113)=0,"⚠ กรอกความสูง",IF(G113&lt;LADDER_MIN,"ไม่ต้อง",IF(G113&lt;=8,"ติด: แผ่น 1 ช่วงเดียว","ติด: แผ่น 2 มีชานพัก"))))))</f>
        <v/>
      </c>
      <c r="J113" s="119" t="n">
        <f aca="false">IF(N(F113)&gt;0,F113*0.57,0)</f>
        <v>0</v>
      </c>
      <c r="K113" s="120" t="n">
        <f aca="false">IF(E113="",0,J113*IFERROR(VLOOKUP(E113,MOUNT_EFFORT,2,0),1))</f>
        <v>0</v>
      </c>
      <c r="L113" s="121" t="n">
        <f aca="false">IF(K113=0,0,K113/SUMIF($A$7:$A$137,A113,$K$7:$K$137))</f>
        <v>0</v>
      </c>
      <c r="M113" s="121" t="n">
        <f aca="false">IF(E113="",0,J113/SUMIFS($J$7:$J$137,$A$7:$A$137,A113,$E$7:$E$137,"?*"))</f>
        <v>0</v>
      </c>
      <c r="N113" s="113"/>
      <c r="O113" s="113"/>
      <c r="P113" s="113"/>
      <c r="Q113" s="113"/>
      <c r="R113" s="113"/>
      <c r="S113" s="113"/>
      <c r="T113" s="113"/>
      <c r="U113" s="113"/>
      <c r="V113" s="113"/>
      <c r="W113" s="121" t="n">
        <f aca="false">IF(E113="",0,((N113="Y")*IFERROR(VLOOKUP(E113&amp;"|1",MOUNT_TBL,5,0),0)+(O113="Y")*IFERROR(VLOOKUP(E113&amp;"|2",MOUNT_TBL,5,0),0)+(P113="Y")*IFERROR(VLOOKUP(E113&amp;"|3",MOUNT_TBL,5,0),0)+(Q113="Y")*IFERROR(VLOOKUP(E113&amp;"|4",MOUNT_TBL,5,0),0)+(R113="Y")*IFERROR(VLOOKUP(E113&amp;"|5",MOUNT_TBL,5,0),0)+(S113="Y")*IFERROR(VLOOKUP(E113&amp;"|6",MOUNT_TBL,5,0),0)+(T113="Y")*IFERROR(VLOOKUP(E113&amp;"|7",MOUNT_TBL,5,0),0))/100)</f>
        <v>0</v>
      </c>
      <c r="X113" s="60"/>
    </row>
    <row r="114" customFormat="false" ht="15" hidden="false" customHeight="false" outlineLevel="0" collapsed="false">
      <c r="A114" s="60"/>
      <c r="B114" s="131" t="str">
        <f aca="false">IF(A114="","",IFERROR(INDEX('Master Plan'!$B$8:$B$27,MATCH(A114,'Master Plan'!$A$8:$A$27,0)),"?"))</f>
        <v/>
      </c>
      <c r="C114" s="113"/>
      <c r="D114" s="60"/>
      <c r="E114" s="113"/>
      <c r="F114" s="116"/>
      <c r="G114" s="117"/>
      <c r="H114" s="113"/>
      <c r="I114" s="118" t="str">
        <f aca="false">IF(E114="","",IF(AND(LEFT(E114,6)&lt;&gt;"หลังคา",E114&lt;&gt;"ถังน้ำใส"),"–",IF(H114="Y","มีแล้ว",IF(N(G114)=0,"⚠ กรอกความสูง",IF(G114&lt;LADDER_MIN,"ไม่ต้อง",IF(G114&lt;=8,"ติด: แผ่น 1 ช่วงเดียว","ติด: แผ่น 2 มีชานพัก"))))))</f>
        <v/>
      </c>
      <c r="J114" s="119" t="n">
        <f aca="false">IF(N(F114)&gt;0,F114*0.57,0)</f>
        <v>0</v>
      </c>
      <c r="K114" s="120" t="n">
        <f aca="false">IF(E114="",0,J114*IFERROR(VLOOKUP(E114,MOUNT_EFFORT,2,0),1))</f>
        <v>0</v>
      </c>
      <c r="L114" s="121" t="n">
        <f aca="false">IF(K114=0,0,K114/SUMIF($A$7:$A$137,A114,$K$7:$K$137))</f>
        <v>0</v>
      </c>
      <c r="M114" s="121" t="n">
        <f aca="false">IF(E114="",0,J114/SUMIFS($J$7:$J$137,$A$7:$A$137,A114,$E$7:$E$137,"?*"))</f>
        <v>0</v>
      </c>
      <c r="N114" s="113"/>
      <c r="O114" s="113"/>
      <c r="P114" s="113"/>
      <c r="Q114" s="113"/>
      <c r="R114" s="113"/>
      <c r="S114" s="113"/>
      <c r="T114" s="113"/>
      <c r="U114" s="113"/>
      <c r="V114" s="113"/>
      <c r="W114" s="121" t="n">
        <f aca="false">IF(E114="",0,((N114="Y")*IFERROR(VLOOKUP(E114&amp;"|1",MOUNT_TBL,5,0),0)+(O114="Y")*IFERROR(VLOOKUP(E114&amp;"|2",MOUNT_TBL,5,0),0)+(P114="Y")*IFERROR(VLOOKUP(E114&amp;"|3",MOUNT_TBL,5,0),0)+(Q114="Y")*IFERROR(VLOOKUP(E114&amp;"|4",MOUNT_TBL,5,0),0)+(R114="Y")*IFERROR(VLOOKUP(E114&amp;"|5",MOUNT_TBL,5,0),0)+(S114="Y")*IFERROR(VLOOKUP(E114&amp;"|6",MOUNT_TBL,5,0),0)+(T114="Y")*IFERROR(VLOOKUP(E114&amp;"|7",MOUNT_TBL,5,0),0))/100)</f>
        <v>0</v>
      </c>
      <c r="X114" s="60"/>
    </row>
    <row r="115" customFormat="false" ht="15" hidden="false" customHeight="false" outlineLevel="0" collapsed="false">
      <c r="A115" s="60"/>
      <c r="B115" s="131" t="str">
        <f aca="false">IF(A115="","",IFERROR(INDEX('Master Plan'!$B$8:$B$27,MATCH(A115,'Master Plan'!$A$8:$A$27,0)),"?"))</f>
        <v/>
      </c>
      <c r="C115" s="113"/>
      <c r="D115" s="60"/>
      <c r="E115" s="113"/>
      <c r="F115" s="116"/>
      <c r="G115" s="117"/>
      <c r="H115" s="113"/>
      <c r="I115" s="118" t="str">
        <f aca="false">IF(E115="","",IF(AND(LEFT(E115,6)&lt;&gt;"หลังคา",E115&lt;&gt;"ถังน้ำใส"),"–",IF(H115="Y","มีแล้ว",IF(N(G115)=0,"⚠ กรอกความสูง",IF(G115&lt;LADDER_MIN,"ไม่ต้อง",IF(G115&lt;=8,"ติด: แผ่น 1 ช่วงเดียว","ติด: แผ่น 2 มีชานพัก"))))))</f>
        <v/>
      </c>
      <c r="J115" s="119" t="n">
        <f aca="false">IF(N(F115)&gt;0,F115*0.57,0)</f>
        <v>0</v>
      </c>
      <c r="K115" s="120" t="n">
        <f aca="false">IF(E115="",0,J115*IFERROR(VLOOKUP(E115,MOUNT_EFFORT,2,0),1))</f>
        <v>0</v>
      </c>
      <c r="L115" s="121" t="n">
        <f aca="false">IF(K115=0,0,K115/SUMIF($A$7:$A$137,A115,$K$7:$K$137))</f>
        <v>0</v>
      </c>
      <c r="M115" s="121" t="n">
        <f aca="false">IF(E115="",0,J115/SUMIFS($J$7:$J$137,$A$7:$A$137,A115,$E$7:$E$137,"?*"))</f>
        <v>0</v>
      </c>
      <c r="N115" s="113"/>
      <c r="O115" s="113"/>
      <c r="P115" s="113"/>
      <c r="Q115" s="113"/>
      <c r="R115" s="113"/>
      <c r="S115" s="113"/>
      <c r="T115" s="113"/>
      <c r="U115" s="113"/>
      <c r="V115" s="113"/>
      <c r="W115" s="121" t="n">
        <f aca="false">IF(E115="",0,((N115="Y")*IFERROR(VLOOKUP(E115&amp;"|1",MOUNT_TBL,5,0),0)+(O115="Y")*IFERROR(VLOOKUP(E115&amp;"|2",MOUNT_TBL,5,0),0)+(P115="Y")*IFERROR(VLOOKUP(E115&amp;"|3",MOUNT_TBL,5,0),0)+(Q115="Y")*IFERROR(VLOOKUP(E115&amp;"|4",MOUNT_TBL,5,0),0)+(R115="Y")*IFERROR(VLOOKUP(E115&amp;"|5",MOUNT_TBL,5,0),0)+(S115="Y")*IFERROR(VLOOKUP(E115&amp;"|6",MOUNT_TBL,5,0),0)+(T115="Y")*IFERROR(VLOOKUP(E115&amp;"|7",MOUNT_TBL,5,0),0))/100)</f>
        <v>0</v>
      </c>
      <c r="X115" s="60"/>
    </row>
    <row r="116" customFormat="false" ht="15" hidden="false" customHeight="false" outlineLevel="0" collapsed="false">
      <c r="A116" s="60"/>
      <c r="B116" s="131" t="str">
        <f aca="false">IF(A116="","",IFERROR(INDEX('Master Plan'!$B$8:$B$27,MATCH(A116,'Master Plan'!$A$8:$A$27,0)),"?"))</f>
        <v/>
      </c>
      <c r="C116" s="113"/>
      <c r="D116" s="60"/>
      <c r="E116" s="113"/>
      <c r="F116" s="116"/>
      <c r="G116" s="117"/>
      <c r="H116" s="113"/>
      <c r="I116" s="118" t="str">
        <f aca="false">IF(E116="","",IF(AND(LEFT(E116,6)&lt;&gt;"หลังคา",E116&lt;&gt;"ถังน้ำใส"),"–",IF(H116="Y","มีแล้ว",IF(N(G116)=0,"⚠ กรอกความสูง",IF(G116&lt;LADDER_MIN,"ไม่ต้อง",IF(G116&lt;=8,"ติด: แผ่น 1 ช่วงเดียว","ติด: แผ่น 2 มีชานพัก"))))))</f>
        <v/>
      </c>
      <c r="J116" s="119" t="n">
        <f aca="false">IF(N(F116)&gt;0,F116*0.57,0)</f>
        <v>0</v>
      </c>
      <c r="K116" s="120" t="n">
        <f aca="false">IF(E116="",0,J116*IFERROR(VLOOKUP(E116,MOUNT_EFFORT,2,0),1))</f>
        <v>0</v>
      </c>
      <c r="L116" s="121" t="n">
        <f aca="false">IF(K116=0,0,K116/SUMIF($A$7:$A$137,A116,$K$7:$K$137))</f>
        <v>0</v>
      </c>
      <c r="M116" s="121" t="n">
        <f aca="false">IF(E116="",0,J116/SUMIFS($J$7:$J$137,$A$7:$A$137,A116,$E$7:$E$137,"?*"))</f>
        <v>0</v>
      </c>
      <c r="N116" s="113"/>
      <c r="O116" s="113"/>
      <c r="P116" s="113"/>
      <c r="Q116" s="113"/>
      <c r="R116" s="113"/>
      <c r="S116" s="113"/>
      <c r="T116" s="113"/>
      <c r="U116" s="113"/>
      <c r="V116" s="113"/>
      <c r="W116" s="121" t="n">
        <f aca="false">IF(E116="",0,((N116="Y")*IFERROR(VLOOKUP(E116&amp;"|1",MOUNT_TBL,5,0),0)+(O116="Y")*IFERROR(VLOOKUP(E116&amp;"|2",MOUNT_TBL,5,0),0)+(P116="Y")*IFERROR(VLOOKUP(E116&amp;"|3",MOUNT_TBL,5,0),0)+(Q116="Y")*IFERROR(VLOOKUP(E116&amp;"|4",MOUNT_TBL,5,0),0)+(R116="Y")*IFERROR(VLOOKUP(E116&amp;"|5",MOUNT_TBL,5,0),0)+(S116="Y")*IFERROR(VLOOKUP(E116&amp;"|6",MOUNT_TBL,5,0),0)+(T116="Y")*IFERROR(VLOOKUP(E116&amp;"|7",MOUNT_TBL,5,0),0))/100)</f>
        <v>0</v>
      </c>
      <c r="X116" s="60"/>
    </row>
    <row r="117" customFormat="false" ht="15" hidden="false" customHeight="false" outlineLevel="0" collapsed="false">
      <c r="A117" s="60"/>
      <c r="B117" s="131" t="str">
        <f aca="false">IF(A117="","",IFERROR(INDEX('Master Plan'!$B$8:$B$27,MATCH(A117,'Master Plan'!$A$8:$A$27,0)),"?"))</f>
        <v/>
      </c>
      <c r="C117" s="113"/>
      <c r="D117" s="60"/>
      <c r="E117" s="113"/>
      <c r="F117" s="116"/>
      <c r="G117" s="117"/>
      <c r="H117" s="113"/>
      <c r="I117" s="118" t="str">
        <f aca="false">IF(E117="","",IF(AND(LEFT(E117,6)&lt;&gt;"หลังคา",E117&lt;&gt;"ถังน้ำใส"),"–",IF(H117="Y","มีแล้ว",IF(N(G117)=0,"⚠ กรอกความสูง",IF(G117&lt;LADDER_MIN,"ไม่ต้อง",IF(G117&lt;=8,"ติด: แผ่น 1 ช่วงเดียว","ติด: แผ่น 2 มีชานพัก"))))))</f>
        <v/>
      </c>
      <c r="J117" s="119" t="n">
        <f aca="false">IF(N(F117)&gt;0,F117*0.57,0)</f>
        <v>0</v>
      </c>
      <c r="K117" s="120" t="n">
        <f aca="false">IF(E117="",0,J117*IFERROR(VLOOKUP(E117,MOUNT_EFFORT,2,0),1))</f>
        <v>0</v>
      </c>
      <c r="L117" s="121" t="n">
        <f aca="false">IF(K117=0,0,K117/SUMIF($A$7:$A$137,A117,$K$7:$K$137))</f>
        <v>0</v>
      </c>
      <c r="M117" s="121" t="n">
        <f aca="false">IF(E117="",0,J117/SUMIFS($J$7:$J$137,$A$7:$A$137,A117,$E$7:$E$137,"?*"))</f>
        <v>0</v>
      </c>
      <c r="N117" s="113"/>
      <c r="O117" s="113"/>
      <c r="P117" s="113"/>
      <c r="Q117" s="113"/>
      <c r="R117" s="113"/>
      <c r="S117" s="113"/>
      <c r="T117" s="113"/>
      <c r="U117" s="113"/>
      <c r="V117" s="113"/>
      <c r="W117" s="121" t="n">
        <f aca="false">IF(E117="",0,((N117="Y")*IFERROR(VLOOKUP(E117&amp;"|1",MOUNT_TBL,5,0),0)+(O117="Y")*IFERROR(VLOOKUP(E117&amp;"|2",MOUNT_TBL,5,0),0)+(P117="Y")*IFERROR(VLOOKUP(E117&amp;"|3",MOUNT_TBL,5,0),0)+(Q117="Y")*IFERROR(VLOOKUP(E117&amp;"|4",MOUNT_TBL,5,0),0)+(R117="Y")*IFERROR(VLOOKUP(E117&amp;"|5",MOUNT_TBL,5,0),0)+(S117="Y")*IFERROR(VLOOKUP(E117&amp;"|6",MOUNT_TBL,5,0),0)+(T117="Y")*IFERROR(VLOOKUP(E117&amp;"|7",MOUNT_TBL,5,0),0))/100)</f>
        <v>0</v>
      </c>
      <c r="X117" s="60"/>
    </row>
    <row r="118" customFormat="false" ht="15" hidden="false" customHeight="false" outlineLevel="0" collapsed="false">
      <c r="A118" s="60"/>
      <c r="B118" s="131" t="str">
        <f aca="false">IF(A118="","",IFERROR(INDEX('Master Plan'!$B$8:$B$27,MATCH(A118,'Master Plan'!$A$8:$A$27,0)),"?"))</f>
        <v/>
      </c>
      <c r="C118" s="113"/>
      <c r="D118" s="60"/>
      <c r="E118" s="113"/>
      <c r="F118" s="116"/>
      <c r="G118" s="117"/>
      <c r="H118" s="113"/>
      <c r="I118" s="118" t="str">
        <f aca="false">IF(E118="","",IF(AND(LEFT(E118,6)&lt;&gt;"หลังคา",E118&lt;&gt;"ถังน้ำใส"),"–",IF(H118="Y","มีแล้ว",IF(N(G118)=0,"⚠ กรอกความสูง",IF(G118&lt;LADDER_MIN,"ไม่ต้อง",IF(G118&lt;=8,"ติด: แผ่น 1 ช่วงเดียว","ติด: แผ่น 2 มีชานพัก"))))))</f>
        <v/>
      </c>
      <c r="J118" s="119" t="n">
        <f aca="false">IF(N(F118)&gt;0,F118*0.57,0)</f>
        <v>0</v>
      </c>
      <c r="K118" s="120" t="n">
        <f aca="false">IF(E118="",0,J118*IFERROR(VLOOKUP(E118,MOUNT_EFFORT,2,0),1))</f>
        <v>0</v>
      </c>
      <c r="L118" s="121" t="n">
        <f aca="false">IF(K118=0,0,K118/SUMIF($A$7:$A$137,A118,$K$7:$K$137))</f>
        <v>0</v>
      </c>
      <c r="M118" s="121" t="n">
        <f aca="false">IF(E118="",0,J118/SUMIFS($J$7:$J$137,$A$7:$A$137,A118,$E$7:$E$137,"?*"))</f>
        <v>0</v>
      </c>
      <c r="N118" s="113"/>
      <c r="O118" s="113"/>
      <c r="P118" s="113"/>
      <c r="Q118" s="113"/>
      <c r="R118" s="113"/>
      <c r="S118" s="113"/>
      <c r="T118" s="113"/>
      <c r="U118" s="113"/>
      <c r="V118" s="113"/>
      <c r="W118" s="121" t="n">
        <f aca="false">IF(E118="",0,((N118="Y")*IFERROR(VLOOKUP(E118&amp;"|1",MOUNT_TBL,5,0),0)+(O118="Y")*IFERROR(VLOOKUP(E118&amp;"|2",MOUNT_TBL,5,0),0)+(P118="Y")*IFERROR(VLOOKUP(E118&amp;"|3",MOUNT_TBL,5,0),0)+(Q118="Y")*IFERROR(VLOOKUP(E118&amp;"|4",MOUNT_TBL,5,0),0)+(R118="Y")*IFERROR(VLOOKUP(E118&amp;"|5",MOUNT_TBL,5,0),0)+(S118="Y")*IFERROR(VLOOKUP(E118&amp;"|6",MOUNT_TBL,5,0),0)+(T118="Y")*IFERROR(VLOOKUP(E118&amp;"|7",MOUNT_TBL,5,0),0))/100)</f>
        <v>0</v>
      </c>
      <c r="X118" s="60"/>
    </row>
    <row r="119" customFormat="false" ht="15" hidden="false" customHeight="false" outlineLevel="0" collapsed="false">
      <c r="A119" s="60"/>
      <c r="B119" s="131" t="str">
        <f aca="false">IF(A119="","",IFERROR(INDEX('Master Plan'!$B$8:$B$27,MATCH(A119,'Master Plan'!$A$8:$A$27,0)),"?"))</f>
        <v/>
      </c>
      <c r="C119" s="113"/>
      <c r="D119" s="60"/>
      <c r="E119" s="113"/>
      <c r="F119" s="116"/>
      <c r="G119" s="117"/>
      <c r="H119" s="113"/>
      <c r="I119" s="118" t="str">
        <f aca="false">IF(E119="","",IF(AND(LEFT(E119,6)&lt;&gt;"หลังคา",E119&lt;&gt;"ถังน้ำใส"),"–",IF(H119="Y","มีแล้ว",IF(N(G119)=0,"⚠ กรอกความสูง",IF(G119&lt;LADDER_MIN,"ไม่ต้อง",IF(G119&lt;=8,"ติด: แผ่น 1 ช่วงเดียว","ติด: แผ่น 2 มีชานพัก"))))))</f>
        <v/>
      </c>
      <c r="J119" s="119" t="n">
        <f aca="false">IF(N(F119)&gt;0,F119*0.57,0)</f>
        <v>0</v>
      </c>
      <c r="K119" s="120" t="n">
        <f aca="false">IF(E119="",0,J119*IFERROR(VLOOKUP(E119,MOUNT_EFFORT,2,0),1))</f>
        <v>0</v>
      </c>
      <c r="L119" s="121" t="n">
        <f aca="false">IF(K119=0,0,K119/SUMIF($A$7:$A$137,A119,$K$7:$K$137))</f>
        <v>0</v>
      </c>
      <c r="M119" s="121" t="n">
        <f aca="false">IF(E119="",0,J119/SUMIFS($J$7:$J$137,$A$7:$A$137,A119,$E$7:$E$137,"?*"))</f>
        <v>0</v>
      </c>
      <c r="N119" s="113"/>
      <c r="O119" s="113"/>
      <c r="P119" s="113"/>
      <c r="Q119" s="113"/>
      <c r="R119" s="113"/>
      <c r="S119" s="113"/>
      <c r="T119" s="113"/>
      <c r="U119" s="113"/>
      <c r="V119" s="113"/>
      <c r="W119" s="121" t="n">
        <f aca="false">IF(E119="",0,((N119="Y")*IFERROR(VLOOKUP(E119&amp;"|1",MOUNT_TBL,5,0),0)+(O119="Y")*IFERROR(VLOOKUP(E119&amp;"|2",MOUNT_TBL,5,0),0)+(P119="Y")*IFERROR(VLOOKUP(E119&amp;"|3",MOUNT_TBL,5,0),0)+(Q119="Y")*IFERROR(VLOOKUP(E119&amp;"|4",MOUNT_TBL,5,0),0)+(R119="Y")*IFERROR(VLOOKUP(E119&amp;"|5",MOUNT_TBL,5,0),0)+(S119="Y")*IFERROR(VLOOKUP(E119&amp;"|6",MOUNT_TBL,5,0),0)+(T119="Y")*IFERROR(VLOOKUP(E119&amp;"|7",MOUNT_TBL,5,0),0))/100)</f>
        <v>0</v>
      </c>
      <c r="X119" s="60"/>
    </row>
    <row r="120" customFormat="false" ht="15" hidden="false" customHeight="false" outlineLevel="0" collapsed="false">
      <c r="A120" s="60"/>
      <c r="B120" s="131" t="str">
        <f aca="false">IF(A120="","",IFERROR(INDEX('Master Plan'!$B$8:$B$27,MATCH(A120,'Master Plan'!$A$8:$A$27,0)),"?"))</f>
        <v/>
      </c>
      <c r="C120" s="113"/>
      <c r="D120" s="60"/>
      <c r="E120" s="113"/>
      <c r="F120" s="116"/>
      <c r="G120" s="117"/>
      <c r="H120" s="113"/>
      <c r="I120" s="118" t="str">
        <f aca="false">IF(E120="","",IF(AND(LEFT(E120,6)&lt;&gt;"หลังคา",E120&lt;&gt;"ถังน้ำใส"),"–",IF(H120="Y","มีแล้ว",IF(N(G120)=0,"⚠ กรอกความสูง",IF(G120&lt;LADDER_MIN,"ไม่ต้อง",IF(G120&lt;=8,"ติด: แผ่น 1 ช่วงเดียว","ติด: แผ่น 2 มีชานพัก"))))))</f>
        <v/>
      </c>
      <c r="J120" s="119" t="n">
        <f aca="false">IF(N(F120)&gt;0,F120*0.57,0)</f>
        <v>0</v>
      </c>
      <c r="K120" s="120" t="n">
        <f aca="false">IF(E120="",0,J120*IFERROR(VLOOKUP(E120,MOUNT_EFFORT,2,0),1))</f>
        <v>0</v>
      </c>
      <c r="L120" s="121" t="n">
        <f aca="false">IF(K120=0,0,K120/SUMIF($A$7:$A$137,A120,$K$7:$K$137))</f>
        <v>0</v>
      </c>
      <c r="M120" s="121" t="n">
        <f aca="false">IF(E120="",0,J120/SUMIFS($J$7:$J$137,$A$7:$A$137,A120,$E$7:$E$137,"?*"))</f>
        <v>0</v>
      </c>
      <c r="N120" s="113"/>
      <c r="O120" s="113"/>
      <c r="P120" s="113"/>
      <c r="Q120" s="113"/>
      <c r="R120" s="113"/>
      <c r="S120" s="113"/>
      <c r="T120" s="113"/>
      <c r="U120" s="113"/>
      <c r="V120" s="113"/>
      <c r="W120" s="121" t="n">
        <f aca="false">IF(E120="",0,((N120="Y")*IFERROR(VLOOKUP(E120&amp;"|1",MOUNT_TBL,5,0),0)+(O120="Y")*IFERROR(VLOOKUP(E120&amp;"|2",MOUNT_TBL,5,0),0)+(P120="Y")*IFERROR(VLOOKUP(E120&amp;"|3",MOUNT_TBL,5,0),0)+(Q120="Y")*IFERROR(VLOOKUP(E120&amp;"|4",MOUNT_TBL,5,0),0)+(R120="Y")*IFERROR(VLOOKUP(E120&amp;"|5",MOUNT_TBL,5,0),0)+(S120="Y")*IFERROR(VLOOKUP(E120&amp;"|6",MOUNT_TBL,5,0),0)+(T120="Y")*IFERROR(VLOOKUP(E120&amp;"|7",MOUNT_TBL,5,0),0))/100)</f>
        <v>0</v>
      </c>
      <c r="X120" s="60"/>
    </row>
    <row r="121" customFormat="false" ht="15" hidden="false" customHeight="false" outlineLevel="0" collapsed="false">
      <c r="A121" s="60"/>
      <c r="B121" s="131" t="str">
        <f aca="false">IF(A121="","",IFERROR(INDEX('Master Plan'!$B$8:$B$27,MATCH(A121,'Master Plan'!$A$8:$A$27,0)),"?"))</f>
        <v/>
      </c>
      <c r="C121" s="113"/>
      <c r="D121" s="60"/>
      <c r="E121" s="113"/>
      <c r="F121" s="116"/>
      <c r="G121" s="117"/>
      <c r="H121" s="113"/>
      <c r="I121" s="118" t="str">
        <f aca="false">IF(E121="","",IF(AND(LEFT(E121,6)&lt;&gt;"หลังคา",E121&lt;&gt;"ถังน้ำใส"),"–",IF(H121="Y","มีแล้ว",IF(N(G121)=0,"⚠ กรอกความสูง",IF(G121&lt;LADDER_MIN,"ไม่ต้อง",IF(G121&lt;=8,"ติด: แผ่น 1 ช่วงเดียว","ติด: แผ่น 2 มีชานพัก"))))))</f>
        <v/>
      </c>
      <c r="J121" s="119" t="n">
        <f aca="false">IF(N(F121)&gt;0,F121*0.57,0)</f>
        <v>0</v>
      </c>
      <c r="K121" s="120" t="n">
        <f aca="false">IF(E121="",0,J121*IFERROR(VLOOKUP(E121,MOUNT_EFFORT,2,0),1))</f>
        <v>0</v>
      </c>
      <c r="L121" s="121" t="n">
        <f aca="false">IF(K121=0,0,K121/SUMIF($A$7:$A$137,A121,$K$7:$K$137))</f>
        <v>0</v>
      </c>
      <c r="M121" s="121" t="n">
        <f aca="false">IF(E121="",0,J121/SUMIFS($J$7:$J$137,$A$7:$A$137,A121,$E$7:$E$137,"?*"))</f>
        <v>0</v>
      </c>
      <c r="N121" s="113"/>
      <c r="O121" s="113"/>
      <c r="P121" s="113"/>
      <c r="Q121" s="113"/>
      <c r="R121" s="113"/>
      <c r="S121" s="113"/>
      <c r="T121" s="113"/>
      <c r="U121" s="113"/>
      <c r="V121" s="113"/>
      <c r="W121" s="121" t="n">
        <f aca="false">IF(E121="",0,((N121="Y")*IFERROR(VLOOKUP(E121&amp;"|1",MOUNT_TBL,5,0),0)+(O121="Y")*IFERROR(VLOOKUP(E121&amp;"|2",MOUNT_TBL,5,0),0)+(P121="Y")*IFERROR(VLOOKUP(E121&amp;"|3",MOUNT_TBL,5,0),0)+(Q121="Y")*IFERROR(VLOOKUP(E121&amp;"|4",MOUNT_TBL,5,0),0)+(R121="Y")*IFERROR(VLOOKUP(E121&amp;"|5",MOUNT_TBL,5,0),0)+(S121="Y")*IFERROR(VLOOKUP(E121&amp;"|6",MOUNT_TBL,5,0),0)+(T121="Y")*IFERROR(VLOOKUP(E121&amp;"|7",MOUNT_TBL,5,0),0))/100)</f>
        <v>0</v>
      </c>
      <c r="X121" s="60"/>
    </row>
    <row r="122" customFormat="false" ht="15" hidden="false" customHeight="false" outlineLevel="0" collapsed="false">
      <c r="A122" s="60"/>
      <c r="B122" s="131" t="str">
        <f aca="false">IF(A122="","",IFERROR(INDEX('Master Plan'!$B$8:$B$27,MATCH(A122,'Master Plan'!$A$8:$A$27,0)),"?"))</f>
        <v/>
      </c>
      <c r="C122" s="113"/>
      <c r="D122" s="60"/>
      <c r="E122" s="113"/>
      <c r="F122" s="116"/>
      <c r="G122" s="117"/>
      <c r="H122" s="113"/>
      <c r="I122" s="118" t="str">
        <f aca="false">IF(E122="","",IF(AND(LEFT(E122,6)&lt;&gt;"หลังคา",E122&lt;&gt;"ถังน้ำใส"),"–",IF(H122="Y","มีแล้ว",IF(N(G122)=0,"⚠ กรอกความสูง",IF(G122&lt;LADDER_MIN,"ไม่ต้อง",IF(G122&lt;=8,"ติด: แผ่น 1 ช่วงเดียว","ติด: แผ่น 2 มีชานพัก"))))))</f>
        <v/>
      </c>
      <c r="J122" s="119" t="n">
        <f aca="false">IF(N(F122)&gt;0,F122*0.57,0)</f>
        <v>0</v>
      </c>
      <c r="K122" s="120" t="n">
        <f aca="false">IF(E122="",0,J122*IFERROR(VLOOKUP(E122,MOUNT_EFFORT,2,0),1))</f>
        <v>0</v>
      </c>
      <c r="L122" s="121" t="n">
        <f aca="false">IF(K122=0,0,K122/SUMIF($A$7:$A$137,A122,$K$7:$K$137))</f>
        <v>0</v>
      </c>
      <c r="M122" s="121" t="n">
        <f aca="false">IF(E122="",0,J122/SUMIFS($J$7:$J$137,$A$7:$A$137,A122,$E$7:$E$137,"?*"))</f>
        <v>0</v>
      </c>
      <c r="N122" s="113"/>
      <c r="O122" s="113"/>
      <c r="P122" s="113"/>
      <c r="Q122" s="113"/>
      <c r="R122" s="113"/>
      <c r="S122" s="113"/>
      <c r="T122" s="113"/>
      <c r="U122" s="113"/>
      <c r="V122" s="113"/>
      <c r="W122" s="121" t="n">
        <f aca="false">IF(E122="",0,((N122="Y")*IFERROR(VLOOKUP(E122&amp;"|1",MOUNT_TBL,5,0),0)+(O122="Y")*IFERROR(VLOOKUP(E122&amp;"|2",MOUNT_TBL,5,0),0)+(P122="Y")*IFERROR(VLOOKUP(E122&amp;"|3",MOUNT_TBL,5,0),0)+(Q122="Y")*IFERROR(VLOOKUP(E122&amp;"|4",MOUNT_TBL,5,0),0)+(R122="Y")*IFERROR(VLOOKUP(E122&amp;"|5",MOUNT_TBL,5,0),0)+(S122="Y")*IFERROR(VLOOKUP(E122&amp;"|6",MOUNT_TBL,5,0),0)+(T122="Y")*IFERROR(VLOOKUP(E122&amp;"|7",MOUNT_TBL,5,0),0))/100)</f>
        <v>0</v>
      </c>
      <c r="X122" s="60"/>
    </row>
    <row r="123" customFormat="false" ht="15" hidden="false" customHeight="false" outlineLevel="0" collapsed="false">
      <c r="A123" s="60"/>
      <c r="B123" s="131" t="str">
        <f aca="false">IF(A123="","",IFERROR(INDEX('Master Plan'!$B$8:$B$27,MATCH(A123,'Master Plan'!$A$8:$A$27,0)),"?"))</f>
        <v/>
      </c>
      <c r="C123" s="113"/>
      <c r="D123" s="60"/>
      <c r="E123" s="113"/>
      <c r="F123" s="116"/>
      <c r="G123" s="117"/>
      <c r="H123" s="113"/>
      <c r="I123" s="118" t="str">
        <f aca="false">IF(E123="","",IF(AND(LEFT(E123,6)&lt;&gt;"หลังคา",E123&lt;&gt;"ถังน้ำใส"),"–",IF(H123="Y","มีแล้ว",IF(N(G123)=0,"⚠ กรอกความสูง",IF(G123&lt;LADDER_MIN,"ไม่ต้อง",IF(G123&lt;=8,"ติด: แผ่น 1 ช่วงเดียว","ติด: แผ่น 2 มีชานพัก"))))))</f>
        <v/>
      </c>
      <c r="J123" s="119" t="n">
        <f aca="false">IF(N(F123)&gt;0,F123*0.57,0)</f>
        <v>0</v>
      </c>
      <c r="K123" s="120" t="n">
        <f aca="false">IF(E123="",0,J123*IFERROR(VLOOKUP(E123,MOUNT_EFFORT,2,0),1))</f>
        <v>0</v>
      </c>
      <c r="L123" s="121" t="n">
        <f aca="false">IF(K123=0,0,K123/SUMIF($A$7:$A$137,A123,$K$7:$K$137))</f>
        <v>0</v>
      </c>
      <c r="M123" s="121" t="n">
        <f aca="false">IF(E123="",0,J123/SUMIFS($J$7:$J$137,$A$7:$A$137,A123,$E$7:$E$137,"?*"))</f>
        <v>0</v>
      </c>
      <c r="N123" s="113"/>
      <c r="O123" s="113"/>
      <c r="P123" s="113"/>
      <c r="Q123" s="113"/>
      <c r="R123" s="113"/>
      <c r="S123" s="113"/>
      <c r="T123" s="113"/>
      <c r="U123" s="113"/>
      <c r="V123" s="113"/>
      <c r="W123" s="121" t="n">
        <f aca="false">IF(E123="",0,((N123="Y")*IFERROR(VLOOKUP(E123&amp;"|1",MOUNT_TBL,5,0),0)+(O123="Y")*IFERROR(VLOOKUP(E123&amp;"|2",MOUNT_TBL,5,0),0)+(P123="Y")*IFERROR(VLOOKUP(E123&amp;"|3",MOUNT_TBL,5,0),0)+(Q123="Y")*IFERROR(VLOOKUP(E123&amp;"|4",MOUNT_TBL,5,0),0)+(R123="Y")*IFERROR(VLOOKUP(E123&amp;"|5",MOUNT_TBL,5,0),0)+(S123="Y")*IFERROR(VLOOKUP(E123&amp;"|6",MOUNT_TBL,5,0),0)+(T123="Y")*IFERROR(VLOOKUP(E123&amp;"|7",MOUNT_TBL,5,0),0))/100)</f>
        <v>0</v>
      </c>
      <c r="X123" s="60"/>
    </row>
    <row r="124" customFormat="false" ht="15" hidden="false" customHeight="false" outlineLevel="0" collapsed="false">
      <c r="A124" s="60"/>
      <c r="B124" s="131" t="str">
        <f aca="false">IF(A124="","",IFERROR(INDEX('Master Plan'!$B$8:$B$27,MATCH(A124,'Master Plan'!$A$8:$A$27,0)),"?"))</f>
        <v/>
      </c>
      <c r="C124" s="113"/>
      <c r="D124" s="60"/>
      <c r="E124" s="113"/>
      <c r="F124" s="116"/>
      <c r="G124" s="117"/>
      <c r="H124" s="113"/>
      <c r="I124" s="118" t="str">
        <f aca="false">IF(E124="","",IF(AND(LEFT(E124,6)&lt;&gt;"หลังคา",E124&lt;&gt;"ถังน้ำใส"),"–",IF(H124="Y","มีแล้ว",IF(N(G124)=0,"⚠ กรอกความสูง",IF(G124&lt;LADDER_MIN,"ไม่ต้อง",IF(G124&lt;=8,"ติด: แผ่น 1 ช่วงเดียว","ติด: แผ่น 2 มีชานพัก"))))))</f>
        <v/>
      </c>
      <c r="J124" s="119" t="n">
        <f aca="false">IF(N(F124)&gt;0,F124*0.57,0)</f>
        <v>0</v>
      </c>
      <c r="K124" s="120" t="n">
        <f aca="false">IF(E124="",0,J124*IFERROR(VLOOKUP(E124,MOUNT_EFFORT,2,0),1))</f>
        <v>0</v>
      </c>
      <c r="L124" s="121" t="n">
        <f aca="false">IF(K124=0,0,K124/SUMIF($A$7:$A$137,A124,$K$7:$K$137))</f>
        <v>0</v>
      </c>
      <c r="M124" s="121" t="n">
        <f aca="false">IF(E124="",0,J124/SUMIFS($J$7:$J$137,$A$7:$A$137,A124,$E$7:$E$137,"?*"))</f>
        <v>0</v>
      </c>
      <c r="N124" s="113"/>
      <c r="O124" s="113"/>
      <c r="P124" s="113"/>
      <c r="Q124" s="113"/>
      <c r="R124" s="113"/>
      <c r="S124" s="113"/>
      <c r="T124" s="113"/>
      <c r="U124" s="113"/>
      <c r="V124" s="113"/>
      <c r="W124" s="121" t="n">
        <f aca="false">IF(E124="",0,((N124="Y")*IFERROR(VLOOKUP(E124&amp;"|1",MOUNT_TBL,5,0),0)+(O124="Y")*IFERROR(VLOOKUP(E124&amp;"|2",MOUNT_TBL,5,0),0)+(P124="Y")*IFERROR(VLOOKUP(E124&amp;"|3",MOUNT_TBL,5,0),0)+(Q124="Y")*IFERROR(VLOOKUP(E124&amp;"|4",MOUNT_TBL,5,0),0)+(R124="Y")*IFERROR(VLOOKUP(E124&amp;"|5",MOUNT_TBL,5,0),0)+(S124="Y")*IFERROR(VLOOKUP(E124&amp;"|6",MOUNT_TBL,5,0),0)+(T124="Y")*IFERROR(VLOOKUP(E124&amp;"|7",MOUNT_TBL,5,0),0))/100)</f>
        <v>0</v>
      </c>
      <c r="X124" s="60"/>
    </row>
    <row r="125" customFormat="false" ht="15" hidden="false" customHeight="false" outlineLevel="0" collapsed="false">
      <c r="A125" s="60"/>
      <c r="B125" s="131" t="str">
        <f aca="false">IF(A125="","",IFERROR(INDEX('Master Plan'!$B$8:$B$27,MATCH(A125,'Master Plan'!$A$8:$A$27,0)),"?"))</f>
        <v/>
      </c>
      <c r="C125" s="113"/>
      <c r="D125" s="60"/>
      <c r="E125" s="113"/>
      <c r="F125" s="116"/>
      <c r="G125" s="117"/>
      <c r="H125" s="113"/>
      <c r="I125" s="118" t="str">
        <f aca="false">IF(E125="","",IF(AND(LEFT(E125,6)&lt;&gt;"หลังคา",E125&lt;&gt;"ถังน้ำใส"),"–",IF(H125="Y","มีแล้ว",IF(N(G125)=0,"⚠ กรอกความสูง",IF(G125&lt;LADDER_MIN,"ไม่ต้อง",IF(G125&lt;=8,"ติด: แผ่น 1 ช่วงเดียว","ติด: แผ่น 2 มีชานพัก"))))))</f>
        <v/>
      </c>
      <c r="J125" s="119" t="n">
        <f aca="false">IF(N(F125)&gt;0,F125*0.57,0)</f>
        <v>0</v>
      </c>
      <c r="K125" s="120" t="n">
        <f aca="false">IF(E125="",0,J125*IFERROR(VLOOKUP(E125,MOUNT_EFFORT,2,0),1))</f>
        <v>0</v>
      </c>
      <c r="L125" s="121" t="n">
        <f aca="false">IF(K125=0,0,K125/SUMIF($A$7:$A$137,A125,$K$7:$K$137))</f>
        <v>0</v>
      </c>
      <c r="M125" s="121" t="n">
        <f aca="false">IF(E125="",0,J125/SUMIFS($J$7:$J$137,$A$7:$A$137,A125,$E$7:$E$137,"?*"))</f>
        <v>0</v>
      </c>
      <c r="N125" s="113"/>
      <c r="O125" s="113"/>
      <c r="P125" s="113"/>
      <c r="Q125" s="113"/>
      <c r="R125" s="113"/>
      <c r="S125" s="113"/>
      <c r="T125" s="113"/>
      <c r="U125" s="113"/>
      <c r="V125" s="113"/>
      <c r="W125" s="121" t="n">
        <f aca="false">IF(E125="",0,((N125="Y")*IFERROR(VLOOKUP(E125&amp;"|1",MOUNT_TBL,5,0),0)+(O125="Y")*IFERROR(VLOOKUP(E125&amp;"|2",MOUNT_TBL,5,0),0)+(P125="Y")*IFERROR(VLOOKUP(E125&amp;"|3",MOUNT_TBL,5,0),0)+(Q125="Y")*IFERROR(VLOOKUP(E125&amp;"|4",MOUNT_TBL,5,0),0)+(R125="Y")*IFERROR(VLOOKUP(E125&amp;"|5",MOUNT_TBL,5,0),0)+(S125="Y")*IFERROR(VLOOKUP(E125&amp;"|6",MOUNT_TBL,5,0),0)+(T125="Y")*IFERROR(VLOOKUP(E125&amp;"|7",MOUNT_TBL,5,0),0))/100)</f>
        <v>0</v>
      </c>
      <c r="X125" s="60"/>
    </row>
    <row r="126" customFormat="false" ht="15" hidden="false" customHeight="false" outlineLevel="0" collapsed="false">
      <c r="A126" s="60"/>
      <c r="B126" s="131" t="str">
        <f aca="false">IF(A126="","",IFERROR(INDEX('Master Plan'!$B$8:$B$27,MATCH(A126,'Master Plan'!$A$8:$A$27,0)),"?"))</f>
        <v/>
      </c>
      <c r="C126" s="113"/>
      <c r="D126" s="60"/>
      <c r="E126" s="113"/>
      <c r="F126" s="116"/>
      <c r="G126" s="117"/>
      <c r="H126" s="113"/>
      <c r="I126" s="118" t="str">
        <f aca="false">IF(E126="","",IF(AND(LEFT(E126,6)&lt;&gt;"หลังคา",E126&lt;&gt;"ถังน้ำใส"),"–",IF(H126="Y","มีแล้ว",IF(N(G126)=0,"⚠ กรอกความสูง",IF(G126&lt;LADDER_MIN,"ไม่ต้อง",IF(G126&lt;=8,"ติด: แผ่น 1 ช่วงเดียว","ติด: แผ่น 2 มีชานพัก"))))))</f>
        <v/>
      </c>
      <c r="J126" s="119" t="n">
        <f aca="false">IF(N(F126)&gt;0,F126*0.57,0)</f>
        <v>0</v>
      </c>
      <c r="K126" s="120" t="n">
        <f aca="false">IF(E126="",0,J126*IFERROR(VLOOKUP(E126,MOUNT_EFFORT,2,0),1))</f>
        <v>0</v>
      </c>
      <c r="L126" s="121" t="n">
        <f aca="false">IF(K126=0,0,K126/SUMIF($A$7:$A$137,A126,$K$7:$K$137))</f>
        <v>0</v>
      </c>
      <c r="M126" s="121" t="n">
        <f aca="false">IF(E126="",0,J126/SUMIFS($J$7:$J$137,$A$7:$A$137,A126,$E$7:$E$137,"?*"))</f>
        <v>0</v>
      </c>
      <c r="N126" s="113"/>
      <c r="O126" s="113"/>
      <c r="P126" s="113"/>
      <c r="Q126" s="113"/>
      <c r="R126" s="113"/>
      <c r="S126" s="113"/>
      <c r="T126" s="113"/>
      <c r="U126" s="113"/>
      <c r="V126" s="113"/>
      <c r="W126" s="121" t="n">
        <f aca="false">IF(E126="",0,((N126="Y")*IFERROR(VLOOKUP(E126&amp;"|1",MOUNT_TBL,5,0),0)+(O126="Y")*IFERROR(VLOOKUP(E126&amp;"|2",MOUNT_TBL,5,0),0)+(P126="Y")*IFERROR(VLOOKUP(E126&amp;"|3",MOUNT_TBL,5,0),0)+(Q126="Y")*IFERROR(VLOOKUP(E126&amp;"|4",MOUNT_TBL,5,0),0)+(R126="Y")*IFERROR(VLOOKUP(E126&amp;"|5",MOUNT_TBL,5,0),0)+(S126="Y")*IFERROR(VLOOKUP(E126&amp;"|6",MOUNT_TBL,5,0),0)+(T126="Y")*IFERROR(VLOOKUP(E126&amp;"|7",MOUNT_TBL,5,0),0))/100)</f>
        <v>0</v>
      </c>
      <c r="X126" s="60"/>
    </row>
    <row r="127" customFormat="false" ht="15" hidden="false" customHeight="false" outlineLevel="0" collapsed="false">
      <c r="A127" s="60"/>
      <c r="B127" s="131" t="str">
        <f aca="false">IF(A127="","",IFERROR(INDEX('Master Plan'!$B$8:$B$27,MATCH(A127,'Master Plan'!$A$8:$A$27,0)),"?"))</f>
        <v/>
      </c>
      <c r="C127" s="113"/>
      <c r="D127" s="60"/>
      <c r="E127" s="113"/>
      <c r="F127" s="116"/>
      <c r="G127" s="117"/>
      <c r="H127" s="113"/>
      <c r="I127" s="118" t="str">
        <f aca="false">IF(E127="","",IF(AND(LEFT(E127,6)&lt;&gt;"หลังคา",E127&lt;&gt;"ถังน้ำใส"),"–",IF(H127="Y","มีแล้ว",IF(N(G127)=0,"⚠ กรอกความสูง",IF(G127&lt;LADDER_MIN,"ไม่ต้อง",IF(G127&lt;=8,"ติด: แผ่น 1 ช่วงเดียว","ติด: แผ่น 2 มีชานพัก"))))))</f>
        <v/>
      </c>
      <c r="J127" s="119" t="n">
        <f aca="false">IF(N(F127)&gt;0,F127*0.57,0)</f>
        <v>0</v>
      </c>
      <c r="K127" s="120" t="n">
        <f aca="false">IF(E127="",0,J127*IFERROR(VLOOKUP(E127,MOUNT_EFFORT,2,0),1))</f>
        <v>0</v>
      </c>
      <c r="L127" s="121" t="n">
        <f aca="false">IF(K127=0,0,K127/SUMIF($A$7:$A$137,A127,$K$7:$K$137))</f>
        <v>0</v>
      </c>
      <c r="M127" s="121" t="n">
        <f aca="false">IF(E127="",0,J127/SUMIFS($J$7:$J$137,$A$7:$A$137,A127,$E$7:$E$137,"?*"))</f>
        <v>0</v>
      </c>
      <c r="N127" s="113"/>
      <c r="O127" s="113"/>
      <c r="P127" s="113"/>
      <c r="Q127" s="113"/>
      <c r="R127" s="113"/>
      <c r="S127" s="113"/>
      <c r="T127" s="113"/>
      <c r="U127" s="113"/>
      <c r="V127" s="113"/>
      <c r="W127" s="121" t="n">
        <f aca="false">IF(E127="",0,((N127="Y")*IFERROR(VLOOKUP(E127&amp;"|1",MOUNT_TBL,5,0),0)+(O127="Y")*IFERROR(VLOOKUP(E127&amp;"|2",MOUNT_TBL,5,0),0)+(P127="Y")*IFERROR(VLOOKUP(E127&amp;"|3",MOUNT_TBL,5,0),0)+(Q127="Y")*IFERROR(VLOOKUP(E127&amp;"|4",MOUNT_TBL,5,0),0)+(R127="Y")*IFERROR(VLOOKUP(E127&amp;"|5",MOUNT_TBL,5,0),0)+(S127="Y")*IFERROR(VLOOKUP(E127&amp;"|6",MOUNT_TBL,5,0),0)+(T127="Y")*IFERROR(VLOOKUP(E127&amp;"|7",MOUNT_TBL,5,0),0))/100)</f>
        <v>0</v>
      </c>
      <c r="X127" s="60"/>
    </row>
    <row r="128" customFormat="false" ht="15" hidden="false" customHeight="false" outlineLevel="0" collapsed="false">
      <c r="A128" s="60"/>
      <c r="B128" s="131" t="str">
        <f aca="false">IF(A128="","",IFERROR(INDEX('Master Plan'!$B$8:$B$27,MATCH(A128,'Master Plan'!$A$8:$A$27,0)),"?"))</f>
        <v/>
      </c>
      <c r="C128" s="113"/>
      <c r="D128" s="60"/>
      <c r="E128" s="113"/>
      <c r="F128" s="116"/>
      <c r="G128" s="117"/>
      <c r="H128" s="113"/>
      <c r="I128" s="118" t="str">
        <f aca="false">IF(E128="","",IF(AND(LEFT(E128,6)&lt;&gt;"หลังคา",E128&lt;&gt;"ถังน้ำใส"),"–",IF(H128="Y","มีแล้ว",IF(N(G128)=0,"⚠ กรอกความสูง",IF(G128&lt;LADDER_MIN,"ไม่ต้อง",IF(G128&lt;=8,"ติด: แผ่น 1 ช่วงเดียว","ติด: แผ่น 2 มีชานพัก"))))))</f>
        <v/>
      </c>
      <c r="J128" s="119" t="n">
        <f aca="false">IF(N(F128)&gt;0,F128*0.57,0)</f>
        <v>0</v>
      </c>
      <c r="K128" s="120" t="n">
        <f aca="false">IF(E128="",0,J128*IFERROR(VLOOKUP(E128,MOUNT_EFFORT,2,0),1))</f>
        <v>0</v>
      </c>
      <c r="L128" s="121" t="n">
        <f aca="false">IF(K128=0,0,K128/SUMIF($A$7:$A$137,A128,$K$7:$K$137))</f>
        <v>0</v>
      </c>
      <c r="M128" s="121" t="n">
        <f aca="false">IF(E128="",0,J128/SUMIFS($J$7:$J$137,$A$7:$A$137,A128,$E$7:$E$137,"?*"))</f>
        <v>0</v>
      </c>
      <c r="N128" s="113"/>
      <c r="O128" s="113"/>
      <c r="P128" s="113"/>
      <c r="Q128" s="113"/>
      <c r="R128" s="113"/>
      <c r="S128" s="113"/>
      <c r="T128" s="113"/>
      <c r="U128" s="113"/>
      <c r="V128" s="113"/>
      <c r="W128" s="121" t="n">
        <f aca="false">IF(E128="",0,((N128="Y")*IFERROR(VLOOKUP(E128&amp;"|1",MOUNT_TBL,5,0),0)+(O128="Y")*IFERROR(VLOOKUP(E128&amp;"|2",MOUNT_TBL,5,0),0)+(P128="Y")*IFERROR(VLOOKUP(E128&amp;"|3",MOUNT_TBL,5,0),0)+(Q128="Y")*IFERROR(VLOOKUP(E128&amp;"|4",MOUNT_TBL,5,0),0)+(R128="Y")*IFERROR(VLOOKUP(E128&amp;"|5",MOUNT_TBL,5,0),0)+(S128="Y")*IFERROR(VLOOKUP(E128&amp;"|6",MOUNT_TBL,5,0),0)+(T128="Y")*IFERROR(VLOOKUP(E128&amp;"|7",MOUNT_TBL,5,0),0))/100)</f>
        <v>0</v>
      </c>
      <c r="X128" s="60"/>
    </row>
    <row r="129" customFormat="false" ht="15" hidden="false" customHeight="false" outlineLevel="0" collapsed="false">
      <c r="A129" s="60"/>
      <c r="B129" s="131" t="str">
        <f aca="false">IF(A129="","",IFERROR(INDEX('Master Plan'!$B$8:$B$27,MATCH(A129,'Master Plan'!$A$8:$A$27,0)),"?"))</f>
        <v/>
      </c>
      <c r="C129" s="113"/>
      <c r="D129" s="60"/>
      <c r="E129" s="113"/>
      <c r="F129" s="116"/>
      <c r="G129" s="117"/>
      <c r="H129" s="113"/>
      <c r="I129" s="118" t="str">
        <f aca="false">IF(E129="","",IF(AND(LEFT(E129,6)&lt;&gt;"หลังคา",E129&lt;&gt;"ถังน้ำใส"),"–",IF(H129="Y","มีแล้ว",IF(N(G129)=0,"⚠ กรอกความสูง",IF(G129&lt;LADDER_MIN,"ไม่ต้อง",IF(G129&lt;=8,"ติด: แผ่น 1 ช่วงเดียว","ติด: แผ่น 2 มีชานพัก"))))))</f>
        <v/>
      </c>
      <c r="J129" s="119" t="n">
        <f aca="false">IF(N(F129)&gt;0,F129*0.57,0)</f>
        <v>0</v>
      </c>
      <c r="K129" s="120" t="n">
        <f aca="false">IF(E129="",0,J129*IFERROR(VLOOKUP(E129,MOUNT_EFFORT,2,0),1))</f>
        <v>0</v>
      </c>
      <c r="L129" s="121" t="n">
        <f aca="false">IF(K129=0,0,K129/SUMIF($A$7:$A$137,A129,$K$7:$K$137))</f>
        <v>0</v>
      </c>
      <c r="M129" s="121" t="n">
        <f aca="false">IF(E129="",0,J129/SUMIFS($J$7:$J$137,$A$7:$A$137,A129,$E$7:$E$137,"?*"))</f>
        <v>0</v>
      </c>
      <c r="N129" s="113"/>
      <c r="O129" s="113"/>
      <c r="P129" s="113"/>
      <c r="Q129" s="113"/>
      <c r="R129" s="113"/>
      <c r="S129" s="113"/>
      <c r="T129" s="113"/>
      <c r="U129" s="113"/>
      <c r="V129" s="113"/>
      <c r="W129" s="121" t="n">
        <f aca="false">IF(E129="",0,((N129="Y")*IFERROR(VLOOKUP(E129&amp;"|1",MOUNT_TBL,5,0),0)+(O129="Y")*IFERROR(VLOOKUP(E129&amp;"|2",MOUNT_TBL,5,0),0)+(P129="Y")*IFERROR(VLOOKUP(E129&amp;"|3",MOUNT_TBL,5,0),0)+(Q129="Y")*IFERROR(VLOOKUP(E129&amp;"|4",MOUNT_TBL,5,0),0)+(R129="Y")*IFERROR(VLOOKUP(E129&amp;"|5",MOUNT_TBL,5,0),0)+(S129="Y")*IFERROR(VLOOKUP(E129&amp;"|6",MOUNT_TBL,5,0),0)+(T129="Y")*IFERROR(VLOOKUP(E129&amp;"|7",MOUNT_TBL,5,0),0))/100)</f>
        <v>0</v>
      </c>
      <c r="X129" s="60"/>
    </row>
    <row r="130" customFormat="false" ht="15" hidden="false" customHeight="false" outlineLevel="0" collapsed="false">
      <c r="A130" s="60"/>
      <c r="B130" s="131" t="str">
        <f aca="false">IF(A130="","",IFERROR(INDEX('Master Plan'!$B$8:$B$27,MATCH(A130,'Master Plan'!$A$8:$A$27,0)),"?"))</f>
        <v/>
      </c>
      <c r="C130" s="113"/>
      <c r="D130" s="60"/>
      <c r="E130" s="113"/>
      <c r="F130" s="116"/>
      <c r="G130" s="117"/>
      <c r="H130" s="113"/>
      <c r="I130" s="118" t="str">
        <f aca="false">IF(E130="","",IF(AND(LEFT(E130,6)&lt;&gt;"หลังคา",E130&lt;&gt;"ถังน้ำใส"),"–",IF(H130="Y","มีแล้ว",IF(N(G130)=0,"⚠ กรอกความสูง",IF(G130&lt;LADDER_MIN,"ไม่ต้อง",IF(G130&lt;=8,"ติด: แผ่น 1 ช่วงเดียว","ติด: แผ่น 2 มีชานพัก"))))))</f>
        <v/>
      </c>
      <c r="J130" s="119" t="n">
        <f aca="false">IF(N(F130)&gt;0,F130*0.57,0)</f>
        <v>0</v>
      </c>
      <c r="K130" s="120" t="n">
        <f aca="false">IF(E130="",0,J130*IFERROR(VLOOKUP(E130,MOUNT_EFFORT,2,0),1))</f>
        <v>0</v>
      </c>
      <c r="L130" s="121" t="n">
        <f aca="false">IF(K130=0,0,K130/SUMIF($A$7:$A$137,A130,$K$7:$K$137))</f>
        <v>0</v>
      </c>
      <c r="M130" s="121" t="n">
        <f aca="false">IF(E130="",0,J130/SUMIFS($J$7:$J$137,$A$7:$A$137,A130,$E$7:$E$137,"?*"))</f>
        <v>0</v>
      </c>
      <c r="N130" s="113"/>
      <c r="O130" s="113"/>
      <c r="P130" s="113"/>
      <c r="Q130" s="113"/>
      <c r="R130" s="113"/>
      <c r="S130" s="113"/>
      <c r="T130" s="113"/>
      <c r="U130" s="113"/>
      <c r="V130" s="113"/>
      <c r="W130" s="121" t="n">
        <f aca="false">IF(E130="",0,((N130="Y")*IFERROR(VLOOKUP(E130&amp;"|1",MOUNT_TBL,5,0),0)+(O130="Y")*IFERROR(VLOOKUP(E130&amp;"|2",MOUNT_TBL,5,0),0)+(P130="Y")*IFERROR(VLOOKUP(E130&amp;"|3",MOUNT_TBL,5,0),0)+(Q130="Y")*IFERROR(VLOOKUP(E130&amp;"|4",MOUNT_TBL,5,0),0)+(R130="Y")*IFERROR(VLOOKUP(E130&amp;"|5",MOUNT_TBL,5,0),0)+(S130="Y")*IFERROR(VLOOKUP(E130&amp;"|6",MOUNT_TBL,5,0),0)+(T130="Y")*IFERROR(VLOOKUP(E130&amp;"|7",MOUNT_TBL,5,0),0))/100)</f>
        <v>0</v>
      </c>
      <c r="X130" s="60"/>
    </row>
    <row r="131" customFormat="false" ht="15" hidden="false" customHeight="false" outlineLevel="0" collapsed="false">
      <c r="A131" s="60"/>
      <c r="B131" s="131" t="str">
        <f aca="false">IF(A131="","",IFERROR(INDEX('Master Plan'!$B$8:$B$27,MATCH(A131,'Master Plan'!$A$8:$A$27,0)),"?"))</f>
        <v/>
      </c>
      <c r="C131" s="113"/>
      <c r="D131" s="60"/>
      <c r="E131" s="113"/>
      <c r="F131" s="116"/>
      <c r="G131" s="117"/>
      <c r="H131" s="113"/>
      <c r="I131" s="118" t="str">
        <f aca="false">IF(E131="","",IF(AND(LEFT(E131,6)&lt;&gt;"หลังคา",E131&lt;&gt;"ถังน้ำใส"),"–",IF(H131="Y","มีแล้ว",IF(N(G131)=0,"⚠ กรอกความสูง",IF(G131&lt;LADDER_MIN,"ไม่ต้อง",IF(G131&lt;=8,"ติด: แผ่น 1 ช่วงเดียว","ติด: แผ่น 2 มีชานพัก"))))))</f>
        <v/>
      </c>
      <c r="J131" s="119" t="n">
        <f aca="false">IF(N(F131)&gt;0,F131*0.57,0)</f>
        <v>0</v>
      </c>
      <c r="K131" s="120" t="n">
        <f aca="false">IF(E131="",0,J131*IFERROR(VLOOKUP(E131,MOUNT_EFFORT,2,0),1))</f>
        <v>0</v>
      </c>
      <c r="L131" s="121" t="n">
        <f aca="false">IF(K131=0,0,K131/SUMIF($A$7:$A$137,A131,$K$7:$K$137))</f>
        <v>0</v>
      </c>
      <c r="M131" s="121" t="n">
        <f aca="false">IF(E131="",0,J131/SUMIFS($J$7:$J$137,$A$7:$A$137,A131,$E$7:$E$137,"?*"))</f>
        <v>0</v>
      </c>
      <c r="N131" s="113"/>
      <c r="O131" s="113"/>
      <c r="P131" s="113"/>
      <c r="Q131" s="113"/>
      <c r="R131" s="113"/>
      <c r="S131" s="113"/>
      <c r="T131" s="113"/>
      <c r="U131" s="113"/>
      <c r="V131" s="113"/>
      <c r="W131" s="121" t="n">
        <f aca="false">IF(E131="",0,((N131="Y")*IFERROR(VLOOKUP(E131&amp;"|1",MOUNT_TBL,5,0),0)+(O131="Y")*IFERROR(VLOOKUP(E131&amp;"|2",MOUNT_TBL,5,0),0)+(P131="Y")*IFERROR(VLOOKUP(E131&amp;"|3",MOUNT_TBL,5,0),0)+(Q131="Y")*IFERROR(VLOOKUP(E131&amp;"|4",MOUNT_TBL,5,0),0)+(R131="Y")*IFERROR(VLOOKUP(E131&amp;"|5",MOUNT_TBL,5,0),0)+(S131="Y")*IFERROR(VLOOKUP(E131&amp;"|6",MOUNT_TBL,5,0),0)+(T131="Y")*IFERROR(VLOOKUP(E131&amp;"|7",MOUNT_TBL,5,0),0))/100)</f>
        <v>0</v>
      </c>
      <c r="X131" s="60"/>
    </row>
    <row r="132" customFormat="false" ht="15" hidden="false" customHeight="false" outlineLevel="0" collapsed="false">
      <c r="A132" s="60"/>
      <c r="B132" s="131" t="str">
        <f aca="false">IF(A132="","",IFERROR(INDEX('Master Plan'!$B$8:$B$27,MATCH(A132,'Master Plan'!$A$8:$A$27,0)),"?"))</f>
        <v/>
      </c>
      <c r="C132" s="113"/>
      <c r="D132" s="60"/>
      <c r="E132" s="113"/>
      <c r="F132" s="116"/>
      <c r="G132" s="117"/>
      <c r="H132" s="113"/>
      <c r="I132" s="118" t="str">
        <f aca="false">IF(E132="","",IF(AND(LEFT(E132,6)&lt;&gt;"หลังคา",E132&lt;&gt;"ถังน้ำใส"),"–",IF(H132="Y","มีแล้ว",IF(N(G132)=0,"⚠ กรอกความสูง",IF(G132&lt;LADDER_MIN,"ไม่ต้อง",IF(G132&lt;=8,"ติด: แผ่น 1 ช่วงเดียว","ติด: แผ่น 2 มีชานพัก"))))))</f>
        <v/>
      </c>
      <c r="J132" s="119" t="n">
        <f aca="false">IF(N(F132)&gt;0,F132*0.57,0)</f>
        <v>0</v>
      </c>
      <c r="K132" s="120" t="n">
        <f aca="false">IF(E132="",0,J132*IFERROR(VLOOKUP(E132,MOUNT_EFFORT,2,0),1))</f>
        <v>0</v>
      </c>
      <c r="L132" s="121" t="n">
        <f aca="false">IF(K132=0,0,K132/SUMIF($A$7:$A$137,A132,$K$7:$K$137))</f>
        <v>0</v>
      </c>
      <c r="M132" s="121" t="n">
        <f aca="false">IF(E132="",0,J132/SUMIFS($J$7:$J$137,$A$7:$A$137,A132,$E$7:$E$137,"?*"))</f>
        <v>0</v>
      </c>
      <c r="N132" s="113"/>
      <c r="O132" s="113"/>
      <c r="P132" s="113"/>
      <c r="Q132" s="113"/>
      <c r="R132" s="113"/>
      <c r="S132" s="113"/>
      <c r="T132" s="113"/>
      <c r="U132" s="113"/>
      <c r="V132" s="113"/>
      <c r="W132" s="121" t="n">
        <f aca="false">IF(E132="",0,((N132="Y")*IFERROR(VLOOKUP(E132&amp;"|1",MOUNT_TBL,5,0),0)+(O132="Y")*IFERROR(VLOOKUP(E132&amp;"|2",MOUNT_TBL,5,0),0)+(P132="Y")*IFERROR(VLOOKUP(E132&amp;"|3",MOUNT_TBL,5,0),0)+(Q132="Y")*IFERROR(VLOOKUP(E132&amp;"|4",MOUNT_TBL,5,0),0)+(R132="Y")*IFERROR(VLOOKUP(E132&amp;"|5",MOUNT_TBL,5,0),0)+(S132="Y")*IFERROR(VLOOKUP(E132&amp;"|6",MOUNT_TBL,5,0),0)+(T132="Y")*IFERROR(VLOOKUP(E132&amp;"|7",MOUNT_TBL,5,0),0))/100)</f>
        <v>0</v>
      </c>
      <c r="X132" s="60"/>
    </row>
    <row r="133" customFormat="false" ht="15" hidden="false" customHeight="false" outlineLevel="0" collapsed="false">
      <c r="A133" s="60"/>
      <c r="B133" s="131" t="str">
        <f aca="false">IF(A133="","",IFERROR(INDEX('Master Plan'!$B$8:$B$27,MATCH(A133,'Master Plan'!$A$8:$A$27,0)),"?"))</f>
        <v/>
      </c>
      <c r="C133" s="113"/>
      <c r="D133" s="60"/>
      <c r="E133" s="113"/>
      <c r="F133" s="116"/>
      <c r="G133" s="117"/>
      <c r="H133" s="113"/>
      <c r="I133" s="118" t="str">
        <f aca="false">IF(E133="","",IF(AND(LEFT(E133,6)&lt;&gt;"หลังคา",E133&lt;&gt;"ถังน้ำใส"),"–",IF(H133="Y","มีแล้ว",IF(N(G133)=0,"⚠ กรอกความสูง",IF(G133&lt;LADDER_MIN,"ไม่ต้อง",IF(G133&lt;=8,"ติด: แผ่น 1 ช่วงเดียว","ติด: แผ่น 2 มีชานพัก"))))))</f>
        <v/>
      </c>
      <c r="J133" s="119" t="n">
        <f aca="false">IF(N(F133)&gt;0,F133*0.57,0)</f>
        <v>0</v>
      </c>
      <c r="K133" s="120" t="n">
        <f aca="false">IF(E133="",0,J133*IFERROR(VLOOKUP(E133,MOUNT_EFFORT,2,0),1))</f>
        <v>0</v>
      </c>
      <c r="L133" s="121" t="n">
        <f aca="false">IF(K133=0,0,K133/SUMIF($A$7:$A$137,A133,$K$7:$K$137))</f>
        <v>0</v>
      </c>
      <c r="M133" s="121" t="n">
        <f aca="false">IF(E133="",0,J133/SUMIFS($J$7:$J$137,$A$7:$A$137,A133,$E$7:$E$137,"?*"))</f>
        <v>0</v>
      </c>
      <c r="N133" s="113"/>
      <c r="O133" s="113"/>
      <c r="P133" s="113"/>
      <c r="Q133" s="113"/>
      <c r="R133" s="113"/>
      <c r="S133" s="113"/>
      <c r="T133" s="113"/>
      <c r="U133" s="113"/>
      <c r="V133" s="113"/>
      <c r="W133" s="121" t="n">
        <f aca="false">IF(E133="",0,((N133="Y")*IFERROR(VLOOKUP(E133&amp;"|1",MOUNT_TBL,5,0),0)+(O133="Y")*IFERROR(VLOOKUP(E133&amp;"|2",MOUNT_TBL,5,0),0)+(P133="Y")*IFERROR(VLOOKUP(E133&amp;"|3",MOUNT_TBL,5,0),0)+(Q133="Y")*IFERROR(VLOOKUP(E133&amp;"|4",MOUNT_TBL,5,0),0)+(R133="Y")*IFERROR(VLOOKUP(E133&amp;"|5",MOUNT_TBL,5,0),0)+(S133="Y")*IFERROR(VLOOKUP(E133&amp;"|6",MOUNT_TBL,5,0),0)+(T133="Y")*IFERROR(VLOOKUP(E133&amp;"|7",MOUNT_TBL,5,0),0))/100)</f>
        <v>0</v>
      </c>
      <c r="X133" s="60"/>
    </row>
    <row r="134" customFormat="false" ht="15" hidden="false" customHeight="false" outlineLevel="0" collapsed="false">
      <c r="A134" s="60"/>
      <c r="B134" s="131" t="str">
        <f aca="false">IF(A134="","",IFERROR(INDEX('Master Plan'!$B$8:$B$27,MATCH(A134,'Master Plan'!$A$8:$A$27,0)),"?"))</f>
        <v/>
      </c>
      <c r="C134" s="113"/>
      <c r="D134" s="60"/>
      <c r="E134" s="113"/>
      <c r="F134" s="116"/>
      <c r="G134" s="117"/>
      <c r="H134" s="113"/>
      <c r="I134" s="118" t="str">
        <f aca="false">IF(E134="","",IF(AND(LEFT(E134,6)&lt;&gt;"หลังคา",E134&lt;&gt;"ถังน้ำใส"),"–",IF(H134="Y","มีแล้ว",IF(N(G134)=0,"⚠ กรอกความสูง",IF(G134&lt;LADDER_MIN,"ไม่ต้อง",IF(G134&lt;=8,"ติด: แผ่น 1 ช่วงเดียว","ติด: แผ่น 2 มีชานพัก"))))))</f>
        <v/>
      </c>
      <c r="J134" s="119" t="n">
        <f aca="false">IF(N(F134)&gt;0,F134*0.57,0)</f>
        <v>0</v>
      </c>
      <c r="K134" s="120" t="n">
        <f aca="false">IF(E134="",0,J134*IFERROR(VLOOKUP(E134,MOUNT_EFFORT,2,0),1))</f>
        <v>0</v>
      </c>
      <c r="L134" s="121" t="n">
        <f aca="false">IF(K134=0,0,K134/SUMIF($A$7:$A$137,A134,$K$7:$K$137))</f>
        <v>0</v>
      </c>
      <c r="M134" s="121" t="n">
        <f aca="false">IF(E134="",0,J134/SUMIFS($J$7:$J$137,$A$7:$A$137,A134,$E$7:$E$137,"?*"))</f>
        <v>0</v>
      </c>
      <c r="N134" s="113"/>
      <c r="O134" s="113"/>
      <c r="P134" s="113"/>
      <c r="Q134" s="113"/>
      <c r="R134" s="113"/>
      <c r="S134" s="113"/>
      <c r="T134" s="113"/>
      <c r="U134" s="113"/>
      <c r="V134" s="113"/>
      <c r="W134" s="121" t="n">
        <f aca="false">IF(E134="",0,((N134="Y")*IFERROR(VLOOKUP(E134&amp;"|1",MOUNT_TBL,5,0),0)+(O134="Y")*IFERROR(VLOOKUP(E134&amp;"|2",MOUNT_TBL,5,0),0)+(P134="Y")*IFERROR(VLOOKUP(E134&amp;"|3",MOUNT_TBL,5,0),0)+(Q134="Y")*IFERROR(VLOOKUP(E134&amp;"|4",MOUNT_TBL,5,0),0)+(R134="Y")*IFERROR(VLOOKUP(E134&amp;"|5",MOUNT_TBL,5,0),0)+(S134="Y")*IFERROR(VLOOKUP(E134&amp;"|6",MOUNT_TBL,5,0),0)+(T134="Y")*IFERROR(VLOOKUP(E134&amp;"|7",MOUNT_TBL,5,0),0))/100)</f>
        <v>0</v>
      </c>
      <c r="X134" s="60"/>
    </row>
    <row r="135" customFormat="false" ht="15" hidden="false" customHeight="false" outlineLevel="0" collapsed="false">
      <c r="A135" s="60"/>
      <c r="B135" s="131" t="str">
        <f aca="false">IF(A135="","",IFERROR(INDEX('Master Plan'!$B$8:$B$27,MATCH(A135,'Master Plan'!$A$8:$A$27,0)),"?"))</f>
        <v/>
      </c>
      <c r="C135" s="113"/>
      <c r="D135" s="60"/>
      <c r="E135" s="113"/>
      <c r="F135" s="116"/>
      <c r="G135" s="117"/>
      <c r="H135" s="113"/>
      <c r="I135" s="118" t="str">
        <f aca="false">IF(E135="","",IF(AND(LEFT(E135,6)&lt;&gt;"หลังคา",E135&lt;&gt;"ถังน้ำใส"),"–",IF(H135="Y","มีแล้ว",IF(N(G135)=0,"⚠ กรอกความสูง",IF(G135&lt;LADDER_MIN,"ไม่ต้อง",IF(G135&lt;=8,"ติด: แผ่น 1 ช่วงเดียว","ติด: แผ่น 2 มีชานพัก"))))))</f>
        <v/>
      </c>
      <c r="J135" s="119" t="n">
        <f aca="false">IF(N(F135)&gt;0,F135*0.57,0)</f>
        <v>0</v>
      </c>
      <c r="K135" s="120" t="n">
        <f aca="false">IF(E135="",0,J135*IFERROR(VLOOKUP(E135,MOUNT_EFFORT,2,0),1))</f>
        <v>0</v>
      </c>
      <c r="L135" s="121" t="n">
        <f aca="false">IF(K135=0,0,K135/SUMIF($A$7:$A$137,A135,$K$7:$K$137))</f>
        <v>0</v>
      </c>
      <c r="M135" s="121" t="n">
        <f aca="false">IF(E135="",0,J135/SUMIFS($J$7:$J$137,$A$7:$A$137,A135,$E$7:$E$137,"?*"))</f>
        <v>0</v>
      </c>
      <c r="N135" s="113"/>
      <c r="O135" s="113"/>
      <c r="P135" s="113"/>
      <c r="Q135" s="113"/>
      <c r="R135" s="113"/>
      <c r="S135" s="113"/>
      <c r="T135" s="113"/>
      <c r="U135" s="113"/>
      <c r="V135" s="113"/>
      <c r="W135" s="121" t="n">
        <f aca="false">IF(E135="",0,((N135="Y")*IFERROR(VLOOKUP(E135&amp;"|1",MOUNT_TBL,5,0),0)+(O135="Y")*IFERROR(VLOOKUP(E135&amp;"|2",MOUNT_TBL,5,0),0)+(P135="Y")*IFERROR(VLOOKUP(E135&amp;"|3",MOUNT_TBL,5,0),0)+(Q135="Y")*IFERROR(VLOOKUP(E135&amp;"|4",MOUNT_TBL,5,0),0)+(R135="Y")*IFERROR(VLOOKUP(E135&amp;"|5",MOUNT_TBL,5,0),0)+(S135="Y")*IFERROR(VLOOKUP(E135&amp;"|6",MOUNT_TBL,5,0),0)+(T135="Y")*IFERROR(VLOOKUP(E135&amp;"|7",MOUNT_TBL,5,0),0))/100)</f>
        <v>0</v>
      </c>
      <c r="X135" s="60"/>
    </row>
    <row r="136" customFormat="false" ht="15" hidden="false" customHeight="false" outlineLevel="0" collapsed="false">
      <c r="A136" s="60"/>
      <c r="B136" s="131" t="str">
        <f aca="false">IF(A136="","",IFERROR(INDEX('Master Plan'!$B$8:$B$27,MATCH(A136,'Master Plan'!$A$8:$A$27,0)),"?"))</f>
        <v/>
      </c>
      <c r="C136" s="113"/>
      <c r="D136" s="60"/>
      <c r="E136" s="113"/>
      <c r="F136" s="116"/>
      <c r="G136" s="117"/>
      <c r="H136" s="113"/>
      <c r="I136" s="118" t="str">
        <f aca="false">IF(E136="","",IF(AND(LEFT(E136,6)&lt;&gt;"หลังคา",E136&lt;&gt;"ถังน้ำใส"),"–",IF(H136="Y","มีแล้ว",IF(N(G136)=0,"⚠ กรอกความสูง",IF(G136&lt;LADDER_MIN,"ไม่ต้อง",IF(G136&lt;=8,"ติด: แผ่น 1 ช่วงเดียว","ติด: แผ่น 2 มีชานพัก"))))))</f>
        <v/>
      </c>
      <c r="J136" s="119" t="n">
        <f aca="false">IF(N(F136)&gt;0,F136*0.57,0)</f>
        <v>0</v>
      </c>
      <c r="K136" s="120" t="n">
        <f aca="false">IF(E136="",0,J136*IFERROR(VLOOKUP(E136,MOUNT_EFFORT,2,0),1))</f>
        <v>0</v>
      </c>
      <c r="L136" s="121" t="n">
        <f aca="false">IF(K136=0,0,K136/SUMIF($A$7:$A$137,A136,$K$7:$K$137))</f>
        <v>0</v>
      </c>
      <c r="M136" s="121" t="n">
        <f aca="false">IF(E136="",0,J136/SUMIFS($J$7:$J$137,$A$7:$A$137,A136,$E$7:$E$137,"?*"))</f>
        <v>0</v>
      </c>
      <c r="N136" s="113"/>
      <c r="O136" s="113"/>
      <c r="P136" s="113"/>
      <c r="Q136" s="113"/>
      <c r="R136" s="113"/>
      <c r="S136" s="113"/>
      <c r="T136" s="113"/>
      <c r="U136" s="113"/>
      <c r="V136" s="113"/>
      <c r="W136" s="121" t="n">
        <f aca="false">IF(E136="",0,((N136="Y")*IFERROR(VLOOKUP(E136&amp;"|1",MOUNT_TBL,5,0),0)+(O136="Y")*IFERROR(VLOOKUP(E136&amp;"|2",MOUNT_TBL,5,0),0)+(P136="Y")*IFERROR(VLOOKUP(E136&amp;"|3",MOUNT_TBL,5,0),0)+(Q136="Y")*IFERROR(VLOOKUP(E136&amp;"|4",MOUNT_TBL,5,0),0)+(R136="Y")*IFERROR(VLOOKUP(E136&amp;"|5",MOUNT_TBL,5,0),0)+(S136="Y")*IFERROR(VLOOKUP(E136&amp;"|6",MOUNT_TBL,5,0),0)+(T136="Y")*IFERROR(VLOOKUP(E136&amp;"|7",MOUNT_TBL,5,0),0))/100)</f>
        <v>0</v>
      </c>
      <c r="X136" s="60"/>
    </row>
    <row r="137" customFormat="false" ht="15" hidden="false" customHeight="false" outlineLevel="0" collapsed="false">
      <c r="A137" s="60"/>
      <c r="B137" s="131" t="str">
        <f aca="false">IF(A137="","",IFERROR(INDEX('Master Plan'!$B$8:$B$27,MATCH(A137,'Master Plan'!$A$8:$A$27,0)),"?"))</f>
        <v/>
      </c>
      <c r="C137" s="113"/>
      <c r="D137" s="60"/>
      <c r="E137" s="113"/>
      <c r="F137" s="116"/>
      <c r="G137" s="117"/>
      <c r="H137" s="113"/>
      <c r="I137" s="118" t="str">
        <f aca="false">IF(E137="","",IF(AND(LEFT(E137,6)&lt;&gt;"หลังคา",E137&lt;&gt;"ถังน้ำใส"),"–",IF(H137="Y","มีแล้ว",IF(N(G137)=0,"⚠ กรอกความสูง",IF(G137&lt;LADDER_MIN,"ไม่ต้อง",IF(G137&lt;=8,"ติด: แผ่น 1 ช่วงเดียว","ติด: แผ่น 2 มีชานพัก"))))))</f>
        <v/>
      </c>
      <c r="J137" s="119" t="n">
        <f aca="false">IF(N(F137)&gt;0,F137*0.57,0)</f>
        <v>0</v>
      </c>
      <c r="K137" s="120" t="n">
        <f aca="false">IF(E137="",0,J137*IFERROR(VLOOKUP(E137,MOUNT_EFFORT,2,0),1))</f>
        <v>0</v>
      </c>
      <c r="L137" s="121" t="n">
        <f aca="false">IF(K137=0,0,K137/SUMIF($A$7:$A$137,A137,$K$7:$K$137))</f>
        <v>0</v>
      </c>
      <c r="M137" s="121" t="n">
        <f aca="false">IF(E137="",0,J137/SUMIFS($J$7:$J$137,$A$7:$A$137,A137,$E$7:$E$137,"?*"))</f>
        <v>0</v>
      </c>
      <c r="N137" s="113"/>
      <c r="O137" s="113"/>
      <c r="P137" s="113"/>
      <c r="Q137" s="113"/>
      <c r="R137" s="113"/>
      <c r="S137" s="113"/>
      <c r="T137" s="113"/>
      <c r="U137" s="113"/>
      <c r="V137" s="113"/>
      <c r="W137" s="121" t="n">
        <f aca="false">IF(E137="",0,((N137="Y")*IFERROR(VLOOKUP(E137&amp;"|1",MOUNT_TBL,5,0),0)+(O137="Y")*IFERROR(VLOOKUP(E137&amp;"|2",MOUNT_TBL,5,0),0)+(P137="Y")*IFERROR(VLOOKUP(E137&amp;"|3",MOUNT_TBL,5,0),0)+(Q137="Y")*IFERROR(VLOOKUP(E137&amp;"|4",MOUNT_TBL,5,0),0)+(R137="Y")*IFERROR(VLOOKUP(E137&amp;"|5",MOUNT_TBL,5,0),0)+(S137="Y")*IFERROR(VLOOKUP(E137&amp;"|6",MOUNT_TBL,5,0),0)+(T137="Y")*IFERROR(VLOOKUP(E137&amp;"|7",MOUNT_TBL,5,0),0))/100)</f>
        <v>0</v>
      </c>
      <c r="X137" s="60"/>
    </row>
  </sheetData>
  <sheetProtection sheet="true" formatColumns="false" formatRows="false" sort="false" autoFilter="false"/>
  <mergeCells count="21">
    <mergeCell ref="N5:T5"/>
    <mergeCell ref="D7:E7"/>
    <mergeCell ref="D12:E12"/>
    <mergeCell ref="D17:E17"/>
    <mergeCell ref="D22:E22"/>
    <mergeCell ref="D27:E27"/>
    <mergeCell ref="D32:E32"/>
    <mergeCell ref="D37:E37"/>
    <mergeCell ref="D42:E42"/>
    <mergeCell ref="D47:E47"/>
    <mergeCell ref="D52:E52"/>
    <mergeCell ref="D57:E57"/>
    <mergeCell ref="D62:E62"/>
    <mergeCell ref="D67:E67"/>
    <mergeCell ref="D72:E72"/>
    <mergeCell ref="D77:E77"/>
    <mergeCell ref="D82:E82"/>
    <mergeCell ref="D87:E87"/>
    <mergeCell ref="D92:E92"/>
    <mergeCell ref="D97:E97"/>
    <mergeCell ref="D102:E102"/>
  </mergeCells>
  <conditionalFormatting sqref="I7:I137">
    <cfRule type="expression" priority="2" aboveAverage="0" equalAverage="0" bottom="0" percent="0" rank="0" text="" dxfId="32">
      <formula>LEFT($I7,4)="ติด:"</formula>
    </cfRule>
    <cfRule type="expression" priority="3" aboveAverage="0" equalAverage="0" bottom="0" percent="0" rank="0" text="" dxfId="33">
      <formula>LEFT($I7,1)="⚠"</formula>
    </cfRule>
  </conditionalFormatting>
  <conditionalFormatting sqref="E7:E137">
    <cfRule type="expression" priority="4" aboveAverage="0" equalAverage="0" bottom="0" percent="0" rank="0" text="" dxfId="15">
      <formula>$E7="หลังคา"</formula>
    </cfRule>
  </conditionalFormatting>
  <conditionalFormatting sqref="N7:V137">
    <cfRule type="expression" priority="5" aboveAverage="0" equalAverage="0" bottom="0" percent="0" rank="0" text="" dxfId="16">
      <formula>N7="Y"</formula>
    </cfRule>
  </conditionalFormatting>
  <conditionalFormatting sqref="U7:V137">
    <cfRule type="expression" priority="6" aboveAverage="0" equalAverage="0" bottom="0" percent="0" rank="0" text="" dxfId="17">
      <formula>U7="S"</formula>
    </cfRule>
  </conditionalFormatting>
  <dataValidations count="4">
    <dataValidation allowBlank="true" error="เลือกจากรายการ" errorStyle="stop" operator="between" showDropDown="false" showErrorMessage="true" showInputMessage="false" sqref="E7:E137" type="list">
      <formula1>"หลังคาลอนคู่,หลังคาเมทัลชีท,หลังคา,ถังน้ำใส,ถังดินกลบ,Carport"</formula1>
      <formula2>0</formula2>
    </dataValidation>
    <dataValidation allowBlank="true" error="เลือกจากรายการ" errorStyle="stop" operator="between" showDropDown="false" showErrorMessage="true" showInputMessage="false" sqref="A108:A137" type="list">
      <formula1>'Master Plan'!$A$8:$A$27</formula1>
      <formula2>0</formula2>
    </dataValidation>
    <dataValidation allowBlank="true" error="เลือกจากรายการ" errorStyle="stop" operator="between" showDropDown="false" showErrorMessage="true" showInputMessage="false" sqref="H7:H137 N7:T137" type="list">
      <formula1>"Y"</formula1>
      <formula2>0</formula2>
    </dataValidation>
    <dataValidation allowBlank="true" error="เลือกจากรายการ" errorStyle="stop" operator="between" showDropDown="false" showErrorMessage="true" showInputMessage="false" sqref="U7:V137" type="list">
      <formula1>"Y,S"</formula1>
      <formula2>0</formula2>
    </dataValidation>
  </dataValidations>
  <hyperlinks>
    <hyperlink ref="A3" location="'แบบมาตรฐาน'!A1" display="→ แบบมาตรฐาน กปภ. (สเปกและจุดตรวจของแต่ละงาน)"/>
    <hyperlink ref="A7" location="'P9-001'!A1" display="▸ P9-001"/>
    <hyperlink ref="A12" location="'P9-002'!A1" display="▸ P9-002"/>
    <hyperlink ref="A17" location="'P9-003'!A1" display="▸ P9-003"/>
    <hyperlink ref="A22" location="'P9-004'!A1" display="▸ P9-004"/>
    <hyperlink ref="A27" location="'P9-005'!A1" display="▸ P9-005"/>
    <hyperlink ref="A32" location="'P9-006'!A1" display="▸ P9-006"/>
    <hyperlink ref="A37" location="'P9-007'!A1" display="▸ P9-007"/>
    <hyperlink ref="A42" location="'P9-008'!A1" display="▸ P9-008"/>
    <hyperlink ref="A47" location="'P9-009'!A1" display="▸ P9-009"/>
    <hyperlink ref="A52" location="'P9-010'!A1" display="▸ P9-010"/>
    <hyperlink ref="A57" location="'P9-011'!A1" display="▸ P9-011"/>
    <hyperlink ref="A62" location="'P9-012'!A1" display="▸ P9-012"/>
    <hyperlink ref="A67" location="'P9-013'!A1" display="▸ P9-013"/>
    <hyperlink ref="A72" location="'P9-014'!A1" display="▸ P9-014"/>
    <hyperlink ref="A77" location="'P9-015'!A1" display="▸ P9-015"/>
    <hyperlink ref="A82" location="'P9-016'!A1" display="▸ P9-016"/>
    <hyperlink ref="A87" location="'P9-017'!A1" display="▸ P9-017"/>
    <hyperlink ref="A92" location="'P9-018'!A1" display="▸ P9-018"/>
    <hyperlink ref="A97" location="'P9-019'!A1" display="▸ P9-019"/>
    <hyperlink ref="A102" location="'P9-020'!A1" display="▸ 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22"/>
    <col collapsed="false" customWidth="true" hidden="false" outlineLevel="0" max="12" min="12" style="0" width="8"/>
  </cols>
  <sheetData>
    <row r="1" customFormat="false" ht="18.65" hidden="false" customHeight="false" outlineLevel="0" collapsed="false">
      <c r="A1" s="62" t="s">
        <v>714</v>
      </c>
    </row>
    <row r="2" customFormat="false" ht="15" hidden="false" customHeight="false" outlineLevel="0" collapsed="false">
      <c r="A2" s="38" t="s">
        <v>715</v>
      </c>
    </row>
    <row r="3" customFormat="false" ht="15" hidden="false" customHeight="false" outlineLevel="0" collapsed="false">
      <c r="A3" s="64" t="s">
        <v>716</v>
      </c>
    </row>
    <row r="5" customFormat="false" ht="30" hidden="false" customHeight="true" outlineLevel="0" collapsed="false">
      <c r="A5" s="28" t="s">
        <v>34</v>
      </c>
      <c r="B5" s="28" t="s">
        <v>35</v>
      </c>
      <c r="C5" s="28" t="s">
        <v>36</v>
      </c>
      <c r="D5" s="29" t="s">
        <v>527</v>
      </c>
      <c r="E5" s="29" t="s">
        <v>717</v>
      </c>
      <c r="F5" s="28" t="s">
        <v>718</v>
      </c>
      <c r="G5" s="28" t="s">
        <v>719</v>
      </c>
      <c r="H5" s="28" t="s">
        <v>720</v>
      </c>
      <c r="I5" s="28" t="s">
        <v>721</v>
      </c>
      <c r="J5" s="29" t="s">
        <v>722</v>
      </c>
      <c r="K5" s="28" t="s">
        <v>723</v>
      </c>
      <c r="L5" s="29" t="s">
        <v>724</v>
      </c>
    </row>
    <row r="6" customFormat="false" ht="21.6" hidden="false" customHeight="false" outlineLevel="0" collapsed="false">
      <c r="A6" s="30" t="s">
        <v>42</v>
      </c>
      <c r="B6" s="31" t="s">
        <v>43</v>
      </c>
      <c r="C6" s="32" t="s">
        <v>44</v>
      </c>
      <c r="D6" s="132" t="n">
        <v>150.48</v>
      </c>
      <c r="E6" s="32" t="n">
        <v>125</v>
      </c>
      <c r="F6" s="60" t="s">
        <v>725</v>
      </c>
      <c r="G6" s="32" t="n">
        <f aca="false">IF(F6="",0,LEN(F6)-LEN(SUBSTITUTE(F6,"+",""))+1)</f>
        <v>1</v>
      </c>
      <c r="H6" s="114" t="s">
        <v>726</v>
      </c>
      <c r="I6" s="31" t="str">
        <f aca="false">IF(OR(G6=0,H6&lt;&gt;"สร้างใหม่ (E09)"),"–",IF(G6&lt;=4,TEXT(4+2.5*G6,"0.00")&amp;" × 2.50 ม.",TEXT(4+2.5*ROUNDUP(G6/2,0),"0.00")&amp;" × 4.00 ม. (Rack 2 ด้าน)"))</f>
        <v>6.50 × 2.50 ม.</v>
      </c>
      <c r="J6" s="32" t="n">
        <f aca="false">G6</f>
        <v>1</v>
      </c>
      <c r="K6" s="114" t="s">
        <v>727</v>
      </c>
      <c r="L6" s="35" t="n">
        <f aca="false">'P9-001'!$I$154</f>
        <v>0</v>
      </c>
    </row>
    <row r="7" customFormat="false" ht="21.6" hidden="false" customHeight="false" outlineLevel="0" collapsed="false">
      <c r="A7" s="30" t="s">
        <v>46</v>
      </c>
      <c r="B7" s="31" t="s">
        <v>47</v>
      </c>
      <c r="C7" s="32" t="s">
        <v>48</v>
      </c>
      <c r="D7" s="132" t="n">
        <v>280.44</v>
      </c>
      <c r="E7" s="32" t="n">
        <v>250</v>
      </c>
      <c r="F7" s="60" t="s">
        <v>728</v>
      </c>
      <c r="G7" s="32" t="n">
        <f aca="false">IF(F7="",0,LEN(F7)-LEN(SUBSTITUTE(F7,"+",""))+1)</f>
        <v>2</v>
      </c>
      <c r="H7" s="114" t="s">
        <v>726</v>
      </c>
      <c r="I7" s="31" t="str">
        <f aca="false">IF(OR(G7=0,H7&lt;&gt;"สร้างใหม่ (E09)"),"–",IF(G7&lt;=4,TEXT(4+2.5*G7,"0.00")&amp;" × 2.50 ม.",TEXT(4+2.5*ROUNDUP(G7/2,0),"0.00")&amp;" × 4.00 ม. (Rack 2 ด้าน)"))</f>
        <v>9.00 × 2.50 ม.</v>
      </c>
      <c r="J7" s="32" t="n">
        <f aca="false">G7</f>
        <v>2</v>
      </c>
      <c r="K7" s="114" t="s">
        <v>727</v>
      </c>
      <c r="L7" s="35" t="n">
        <f aca="false">'P9-002'!$I$154</f>
        <v>0</v>
      </c>
    </row>
    <row r="8" customFormat="false" ht="21.6" hidden="false" customHeight="false" outlineLevel="0" collapsed="false">
      <c r="A8" s="30" t="s">
        <v>50</v>
      </c>
      <c r="B8" s="31" t="s">
        <v>51</v>
      </c>
      <c r="C8" s="32" t="s">
        <v>52</v>
      </c>
      <c r="D8" s="132" t="n">
        <v>150.48</v>
      </c>
      <c r="E8" s="32" t="n">
        <v>125</v>
      </c>
      <c r="F8" s="60" t="s">
        <v>725</v>
      </c>
      <c r="G8" s="32" t="n">
        <f aca="false">IF(F8="",0,LEN(F8)-LEN(SUBSTITUTE(F8,"+",""))+1)</f>
        <v>1</v>
      </c>
      <c r="H8" s="114" t="s">
        <v>726</v>
      </c>
      <c r="I8" s="31" t="str">
        <f aca="false">IF(OR(G8=0,H8&lt;&gt;"สร้างใหม่ (E09)"),"–",IF(G8&lt;=4,TEXT(4+2.5*G8,"0.00")&amp;" × 2.50 ม.",TEXT(4+2.5*ROUNDUP(G8/2,0),"0.00")&amp;" × 4.00 ม. (Rack 2 ด้าน)"))</f>
        <v>6.50 × 2.50 ม.</v>
      </c>
      <c r="J8" s="32" t="n">
        <f aca="false">G8</f>
        <v>1</v>
      </c>
      <c r="K8" s="114" t="s">
        <v>727</v>
      </c>
      <c r="L8" s="35" t="n">
        <f aca="false">'P9-003'!$I$154</f>
        <v>0</v>
      </c>
    </row>
    <row r="9" customFormat="false" ht="21.6" hidden="false" customHeight="false" outlineLevel="0" collapsed="false">
      <c r="A9" s="30" t="s">
        <v>54</v>
      </c>
      <c r="B9" s="31" t="s">
        <v>55</v>
      </c>
      <c r="C9" s="32" t="s">
        <v>56</v>
      </c>
      <c r="D9" s="132" t="n">
        <v>280.44</v>
      </c>
      <c r="E9" s="32" t="n">
        <v>250</v>
      </c>
      <c r="F9" s="60" t="s">
        <v>728</v>
      </c>
      <c r="G9" s="32" t="n">
        <f aca="false">IF(F9="",0,LEN(F9)-LEN(SUBSTITUTE(F9,"+",""))+1)</f>
        <v>2</v>
      </c>
      <c r="H9" s="114" t="s">
        <v>726</v>
      </c>
      <c r="I9" s="31" t="str">
        <f aca="false">IF(OR(G9=0,H9&lt;&gt;"สร้างใหม่ (E09)"),"–",IF(G9&lt;=4,TEXT(4+2.5*G9,"0.00")&amp;" × 2.50 ม.",TEXT(4+2.5*ROUNDUP(G9/2,0),"0.00")&amp;" × 4.00 ม. (Rack 2 ด้าน)"))</f>
        <v>9.00 × 2.50 ม.</v>
      </c>
      <c r="J9" s="32" t="n">
        <f aca="false">G9</f>
        <v>2</v>
      </c>
      <c r="K9" s="114" t="s">
        <v>727</v>
      </c>
      <c r="L9" s="35" t="n">
        <f aca="false">'P9-004'!$I$154</f>
        <v>0</v>
      </c>
    </row>
    <row r="10" customFormat="false" ht="21.6" hidden="false" customHeight="false" outlineLevel="0" collapsed="false">
      <c r="A10" s="30" t="s">
        <v>58</v>
      </c>
      <c r="B10" s="31" t="s">
        <v>59</v>
      </c>
      <c r="C10" s="32" t="s">
        <v>60</v>
      </c>
      <c r="D10" s="132" t="n">
        <v>150.48</v>
      </c>
      <c r="E10" s="32" t="n">
        <v>125</v>
      </c>
      <c r="F10" s="60" t="s">
        <v>725</v>
      </c>
      <c r="G10" s="32" t="n">
        <f aca="false">IF(F10="",0,LEN(F10)-LEN(SUBSTITUTE(F10,"+",""))+1)</f>
        <v>1</v>
      </c>
      <c r="H10" s="114" t="s">
        <v>726</v>
      </c>
      <c r="I10" s="31" t="str">
        <f aca="false">IF(OR(G10=0,H10&lt;&gt;"สร้างใหม่ (E09)"),"–",IF(G10&lt;=4,TEXT(4+2.5*G10,"0.00")&amp;" × 2.50 ม.",TEXT(4+2.5*ROUNDUP(G10/2,0),"0.00")&amp;" × 4.00 ม. (Rack 2 ด้าน)"))</f>
        <v>6.50 × 2.50 ม.</v>
      </c>
      <c r="J10" s="32" t="n">
        <f aca="false">G10</f>
        <v>1</v>
      </c>
      <c r="K10" s="114" t="s">
        <v>727</v>
      </c>
      <c r="L10" s="35" t="n">
        <f aca="false">'P9-005'!$I$154</f>
        <v>0</v>
      </c>
    </row>
    <row r="11" customFormat="false" ht="21.6" hidden="false" customHeight="false" outlineLevel="0" collapsed="false">
      <c r="A11" s="30" t="s">
        <v>62</v>
      </c>
      <c r="B11" s="31" t="s">
        <v>63</v>
      </c>
      <c r="C11" s="32" t="s">
        <v>64</v>
      </c>
      <c r="D11" s="132" t="n">
        <v>280.44</v>
      </c>
      <c r="E11" s="32" t="n">
        <v>250</v>
      </c>
      <c r="F11" s="60" t="s">
        <v>728</v>
      </c>
      <c r="G11" s="32" t="n">
        <f aca="false">IF(F11="",0,LEN(F11)-LEN(SUBSTITUTE(F11,"+",""))+1)</f>
        <v>2</v>
      </c>
      <c r="H11" s="114" t="s">
        <v>726</v>
      </c>
      <c r="I11" s="31" t="str">
        <f aca="false">IF(OR(G11=0,H11&lt;&gt;"สร้างใหม่ (E09)"),"–",IF(G11&lt;=4,TEXT(4+2.5*G11,"0.00")&amp;" × 2.50 ม.",TEXT(4+2.5*ROUNDUP(G11/2,0),"0.00")&amp;" × 4.00 ม. (Rack 2 ด้าน)"))</f>
        <v>9.00 × 2.50 ม.</v>
      </c>
      <c r="J11" s="32" t="n">
        <f aca="false">G11</f>
        <v>2</v>
      </c>
      <c r="K11" s="114" t="s">
        <v>727</v>
      </c>
      <c r="L11" s="35" t="n">
        <f aca="false">'P9-006'!$I$154</f>
        <v>0</v>
      </c>
    </row>
    <row r="12" customFormat="false" ht="21.6" hidden="false" customHeight="false" outlineLevel="0" collapsed="false">
      <c r="A12" s="30" t="s">
        <v>66</v>
      </c>
      <c r="B12" s="31" t="s">
        <v>67</v>
      </c>
      <c r="C12" s="32" t="s">
        <v>68</v>
      </c>
      <c r="D12" s="132" t="n">
        <v>150.48</v>
      </c>
      <c r="E12" s="32" t="n">
        <v>125</v>
      </c>
      <c r="F12" s="60" t="s">
        <v>725</v>
      </c>
      <c r="G12" s="32" t="n">
        <f aca="false">IF(F12="",0,LEN(F12)-LEN(SUBSTITUTE(F12,"+",""))+1)</f>
        <v>1</v>
      </c>
      <c r="H12" s="114" t="s">
        <v>726</v>
      </c>
      <c r="I12" s="31" t="str">
        <f aca="false">IF(OR(G12=0,H12&lt;&gt;"สร้างใหม่ (E09)"),"–",IF(G12&lt;=4,TEXT(4+2.5*G12,"0.00")&amp;" × 2.50 ม.",TEXT(4+2.5*ROUNDUP(G12/2,0),"0.00")&amp;" × 4.00 ม. (Rack 2 ด้าน)"))</f>
        <v>6.50 × 2.50 ม.</v>
      </c>
      <c r="J12" s="32" t="n">
        <f aca="false">G12</f>
        <v>1</v>
      </c>
      <c r="K12" s="114" t="s">
        <v>727</v>
      </c>
      <c r="L12" s="35" t="n">
        <f aca="false">'P9-007'!$I$154</f>
        <v>0</v>
      </c>
    </row>
    <row r="13" customFormat="false" ht="21.6" hidden="false" customHeight="false" outlineLevel="0" collapsed="false">
      <c r="A13" s="30" t="s">
        <v>70</v>
      </c>
      <c r="B13" s="31" t="s">
        <v>71</v>
      </c>
      <c r="C13" s="32" t="s">
        <v>72</v>
      </c>
      <c r="D13" s="132" t="n">
        <v>280.44</v>
      </c>
      <c r="E13" s="32" t="n">
        <v>250</v>
      </c>
      <c r="F13" s="60" t="s">
        <v>728</v>
      </c>
      <c r="G13" s="32" t="n">
        <f aca="false">IF(F13="",0,LEN(F13)-LEN(SUBSTITUTE(F13,"+",""))+1)</f>
        <v>2</v>
      </c>
      <c r="H13" s="114" t="s">
        <v>726</v>
      </c>
      <c r="I13" s="31" t="str">
        <f aca="false">IF(OR(G13=0,H13&lt;&gt;"สร้างใหม่ (E09)"),"–",IF(G13&lt;=4,TEXT(4+2.5*G13,"0.00")&amp;" × 2.50 ม.",TEXT(4+2.5*ROUNDUP(G13/2,0),"0.00")&amp;" × 4.00 ม. (Rack 2 ด้าน)"))</f>
        <v>9.00 × 2.50 ม.</v>
      </c>
      <c r="J13" s="32" t="n">
        <f aca="false">G13</f>
        <v>2</v>
      </c>
      <c r="K13" s="114" t="s">
        <v>727</v>
      </c>
      <c r="L13" s="35" t="n">
        <f aca="false">'P9-008'!$I$154</f>
        <v>0</v>
      </c>
    </row>
    <row r="14" customFormat="false" ht="21.6" hidden="false" customHeight="false" outlineLevel="0" collapsed="false">
      <c r="A14" s="30" t="s">
        <v>74</v>
      </c>
      <c r="B14" s="31" t="s">
        <v>75</v>
      </c>
      <c r="C14" s="32" t="s">
        <v>76</v>
      </c>
      <c r="D14" s="132" t="n">
        <v>150.48</v>
      </c>
      <c r="E14" s="32" t="n">
        <v>125</v>
      </c>
      <c r="F14" s="60" t="s">
        <v>725</v>
      </c>
      <c r="G14" s="32" t="n">
        <f aca="false">IF(F14="",0,LEN(F14)-LEN(SUBSTITUTE(F14,"+",""))+1)</f>
        <v>1</v>
      </c>
      <c r="H14" s="114" t="s">
        <v>726</v>
      </c>
      <c r="I14" s="31" t="str">
        <f aca="false">IF(OR(G14=0,H14&lt;&gt;"สร้างใหม่ (E09)"),"–",IF(G14&lt;=4,TEXT(4+2.5*G14,"0.00")&amp;" × 2.50 ม.",TEXT(4+2.5*ROUNDUP(G14/2,0),"0.00")&amp;" × 4.00 ม. (Rack 2 ด้าน)"))</f>
        <v>6.50 × 2.50 ม.</v>
      </c>
      <c r="J14" s="32" t="n">
        <f aca="false">G14</f>
        <v>1</v>
      </c>
      <c r="K14" s="114" t="s">
        <v>727</v>
      </c>
      <c r="L14" s="35" t="n">
        <f aca="false">'P9-009'!$I$154</f>
        <v>0</v>
      </c>
    </row>
    <row r="15" customFormat="false" ht="21.6" hidden="false" customHeight="false" outlineLevel="0" collapsed="false">
      <c r="A15" s="30" t="s">
        <v>78</v>
      </c>
      <c r="B15" s="31" t="s">
        <v>79</v>
      </c>
      <c r="C15" s="32" t="s">
        <v>80</v>
      </c>
      <c r="D15" s="132" t="n">
        <v>280.44</v>
      </c>
      <c r="E15" s="32" t="n">
        <v>250</v>
      </c>
      <c r="F15" s="60" t="s">
        <v>728</v>
      </c>
      <c r="G15" s="32" t="n">
        <f aca="false">IF(F15="",0,LEN(F15)-LEN(SUBSTITUTE(F15,"+",""))+1)</f>
        <v>2</v>
      </c>
      <c r="H15" s="114" t="s">
        <v>726</v>
      </c>
      <c r="I15" s="31" t="str">
        <f aca="false">IF(OR(G15=0,H15&lt;&gt;"สร้างใหม่ (E09)"),"–",IF(G15&lt;=4,TEXT(4+2.5*G15,"0.00")&amp;" × 2.50 ม.",TEXT(4+2.5*ROUNDUP(G15/2,0),"0.00")&amp;" × 4.00 ม. (Rack 2 ด้าน)"))</f>
        <v>9.00 × 2.50 ม.</v>
      </c>
      <c r="J15" s="32" t="n">
        <f aca="false">G15</f>
        <v>2</v>
      </c>
      <c r="K15" s="114" t="s">
        <v>727</v>
      </c>
      <c r="L15" s="35" t="n">
        <f aca="false">'P9-010'!$I$154</f>
        <v>0</v>
      </c>
    </row>
    <row r="16" customFormat="false" ht="21.6" hidden="false" customHeight="false" outlineLevel="0" collapsed="false">
      <c r="A16" s="30" t="s">
        <v>82</v>
      </c>
      <c r="B16" s="31" t="s">
        <v>83</v>
      </c>
      <c r="C16" s="32" t="s">
        <v>84</v>
      </c>
      <c r="D16" s="132" t="n">
        <v>150.48</v>
      </c>
      <c r="E16" s="32" t="n">
        <v>125</v>
      </c>
      <c r="F16" s="60" t="s">
        <v>725</v>
      </c>
      <c r="G16" s="32" t="n">
        <f aca="false">IF(F16="",0,LEN(F16)-LEN(SUBSTITUTE(F16,"+",""))+1)</f>
        <v>1</v>
      </c>
      <c r="H16" s="114" t="s">
        <v>726</v>
      </c>
      <c r="I16" s="31" t="str">
        <f aca="false">IF(OR(G16=0,H16&lt;&gt;"สร้างใหม่ (E09)"),"–",IF(G16&lt;=4,TEXT(4+2.5*G16,"0.00")&amp;" × 2.50 ม.",TEXT(4+2.5*ROUNDUP(G16/2,0),"0.00")&amp;" × 4.00 ม. (Rack 2 ด้าน)"))</f>
        <v>6.50 × 2.50 ม.</v>
      </c>
      <c r="J16" s="32" t="n">
        <f aca="false">G16</f>
        <v>1</v>
      </c>
      <c r="K16" s="114" t="s">
        <v>727</v>
      </c>
      <c r="L16" s="35" t="n">
        <f aca="false">'P9-011'!$I$154</f>
        <v>0</v>
      </c>
    </row>
    <row r="17" customFormat="false" ht="21.6" hidden="false" customHeight="false" outlineLevel="0" collapsed="false">
      <c r="A17" s="30" t="s">
        <v>86</v>
      </c>
      <c r="B17" s="31" t="s">
        <v>87</v>
      </c>
      <c r="C17" s="32" t="s">
        <v>88</v>
      </c>
      <c r="D17" s="132" t="n">
        <v>280.44</v>
      </c>
      <c r="E17" s="32" t="n">
        <v>250</v>
      </c>
      <c r="F17" s="60" t="s">
        <v>728</v>
      </c>
      <c r="G17" s="32" t="n">
        <f aca="false">IF(F17="",0,LEN(F17)-LEN(SUBSTITUTE(F17,"+",""))+1)</f>
        <v>2</v>
      </c>
      <c r="H17" s="114" t="s">
        <v>726</v>
      </c>
      <c r="I17" s="31" t="str">
        <f aca="false">IF(OR(G17=0,H17&lt;&gt;"สร้างใหม่ (E09)"),"–",IF(G17&lt;=4,TEXT(4+2.5*G17,"0.00")&amp;" × 2.50 ม.",TEXT(4+2.5*ROUNDUP(G17/2,0),"0.00")&amp;" × 4.00 ม. (Rack 2 ด้าน)"))</f>
        <v>9.00 × 2.50 ม.</v>
      </c>
      <c r="J17" s="32" t="n">
        <f aca="false">G17</f>
        <v>2</v>
      </c>
      <c r="K17" s="114" t="s">
        <v>727</v>
      </c>
      <c r="L17" s="35" t="n">
        <f aca="false">'P9-012'!$I$154</f>
        <v>0</v>
      </c>
    </row>
    <row r="18" customFormat="false" ht="21.6" hidden="false" customHeight="false" outlineLevel="0" collapsed="false">
      <c r="A18" s="30" t="s">
        <v>90</v>
      </c>
      <c r="B18" s="31" t="s">
        <v>91</v>
      </c>
      <c r="C18" s="32" t="s">
        <v>92</v>
      </c>
      <c r="D18" s="132" t="n">
        <v>150.48</v>
      </c>
      <c r="E18" s="32" t="n">
        <v>125</v>
      </c>
      <c r="F18" s="60" t="s">
        <v>725</v>
      </c>
      <c r="G18" s="32" t="n">
        <f aca="false">IF(F18="",0,LEN(F18)-LEN(SUBSTITUTE(F18,"+",""))+1)</f>
        <v>1</v>
      </c>
      <c r="H18" s="114" t="s">
        <v>726</v>
      </c>
      <c r="I18" s="31" t="str">
        <f aca="false">IF(OR(G18=0,H18&lt;&gt;"สร้างใหม่ (E09)"),"–",IF(G18&lt;=4,TEXT(4+2.5*G18,"0.00")&amp;" × 2.50 ม.",TEXT(4+2.5*ROUNDUP(G18/2,0),"0.00")&amp;" × 4.00 ม. (Rack 2 ด้าน)"))</f>
        <v>6.50 × 2.50 ม.</v>
      </c>
      <c r="J18" s="32" t="n">
        <f aca="false">G18</f>
        <v>1</v>
      </c>
      <c r="K18" s="114" t="s">
        <v>727</v>
      </c>
      <c r="L18" s="35" t="n">
        <f aca="false">'P9-013'!$I$154</f>
        <v>0</v>
      </c>
    </row>
    <row r="19" customFormat="false" ht="21.6" hidden="false" customHeight="false" outlineLevel="0" collapsed="false">
      <c r="A19" s="30" t="s">
        <v>94</v>
      </c>
      <c r="B19" s="31" t="s">
        <v>95</v>
      </c>
      <c r="C19" s="32" t="s">
        <v>96</v>
      </c>
      <c r="D19" s="132" t="n">
        <v>280.44</v>
      </c>
      <c r="E19" s="32" t="n">
        <v>250</v>
      </c>
      <c r="F19" s="60" t="s">
        <v>728</v>
      </c>
      <c r="G19" s="32" t="n">
        <f aca="false">IF(F19="",0,LEN(F19)-LEN(SUBSTITUTE(F19,"+",""))+1)</f>
        <v>2</v>
      </c>
      <c r="H19" s="114" t="s">
        <v>726</v>
      </c>
      <c r="I19" s="31" t="str">
        <f aca="false">IF(OR(G19=0,H19&lt;&gt;"สร้างใหม่ (E09)"),"–",IF(G19&lt;=4,TEXT(4+2.5*G19,"0.00")&amp;" × 2.50 ม.",TEXT(4+2.5*ROUNDUP(G19/2,0),"0.00")&amp;" × 4.00 ม. (Rack 2 ด้าน)"))</f>
        <v>9.00 × 2.50 ม.</v>
      </c>
      <c r="J19" s="32" t="n">
        <f aca="false">G19</f>
        <v>2</v>
      </c>
      <c r="K19" s="114" t="s">
        <v>727</v>
      </c>
      <c r="L19" s="35" t="n">
        <f aca="false">'P9-014'!$I$154</f>
        <v>0</v>
      </c>
    </row>
    <row r="20" customFormat="false" ht="21.6" hidden="false" customHeight="false" outlineLevel="0" collapsed="false">
      <c r="A20" s="30" t="s">
        <v>98</v>
      </c>
      <c r="B20" s="31" t="s">
        <v>99</v>
      </c>
      <c r="C20" s="32" t="s">
        <v>100</v>
      </c>
      <c r="D20" s="132" t="n">
        <v>150.48</v>
      </c>
      <c r="E20" s="32" t="n">
        <v>125</v>
      </c>
      <c r="F20" s="60" t="s">
        <v>725</v>
      </c>
      <c r="G20" s="32" t="n">
        <f aca="false">IF(F20="",0,LEN(F20)-LEN(SUBSTITUTE(F20,"+",""))+1)</f>
        <v>1</v>
      </c>
      <c r="H20" s="114" t="s">
        <v>726</v>
      </c>
      <c r="I20" s="31" t="str">
        <f aca="false">IF(OR(G20=0,H20&lt;&gt;"สร้างใหม่ (E09)"),"–",IF(G20&lt;=4,TEXT(4+2.5*G20,"0.00")&amp;" × 2.50 ม.",TEXT(4+2.5*ROUNDUP(G20/2,0),"0.00")&amp;" × 4.00 ม. (Rack 2 ด้าน)"))</f>
        <v>6.50 × 2.50 ม.</v>
      </c>
      <c r="J20" s="32" t="n">
        <f aca="false">G20</f>
        <v>1</v>
      </c>
      <c r="K20" s="114" t="s">
        <v>727</v>
      </c>
      <c r="L20" s="35" t="n">
        <f aca="false">'P9-015'!$I$154</f>
        <v>0</v>
      </c>
    </row>
    <row r="21" customFormat="false" ht="21.6" hidden="false" customHeight="false" outlineLevel="0" collapsed="false">
      <c r="A21" s="30" t="s">
        <v>102</v>
      </c>
      <c r="B21" s="31" t="s">
        <v>103</v>
      </c>
      <c r="C21" s="32" t="s">
        <v>104</v>
      </c>
      <c r="D21" s="132" t="n">
        <v>280.44</v>
      </c>
      <c r="E21" s="32" t="n">
        <v>250</v>
      </c>
      <c r="F21" s="60" t="s">
        <v>728</v>
      </c>
      <c r="G21" s="32" t="n">
        <f aca="false">IF(F21="",0,LEN(F21)-LEN(SUBSTITUTE(F21,"+",""))+1)</f>
        <v>2</v>
      </c>
      <c r="H21" s="114" t="s">
        <v>726</v>
      </c>
      <c r="I21" s="31" t="str">
        <f aca="false">IF(OR(G21=0,H21&lt;&gt;"สร้างใหม่ (E09)"),"–",IF(G21&lt;=4,TEXT(4+2.5*G21,"0.00")&amp;" × 2.50 ม.",TEXT(4+2.5*ROUNDUP(G21/2,0),"0.00")&amp;" × 4.00 ม. (Rack 2 ด้าน)"))</f>
        <v>9.00 × 2.50 ม.</v>
      </c>
      <c r="J21" s="32" t="n">
        <f aca="false">G21</f>
        <v>2</v>
      </c>
      <c r="K21" s="114" t="s">
        <v>727</v>
      </c>
      <c r="L21" s="35" t="n">
        <f aca="false">'P9-016'!$I$154</f>
        <v>0</v>
      </c>
    </row>
    <row r="22" customFormat="false" ht="21.6" hidden="false" customHeight="false" outlineLevel="0" collapsed="false">
      <c r="A22" s="30" t="s">
        <v>106</v>
      </c>
      <c r="B22" s="31" t="s">
        <v>107</v>
      </c>
      <c r="C22" s="32" t="s">
        <v>108</v>
      </c>
      <c r="D22" s="132" t="n">
        <v>150.48</v>
      </c>
      <c r="E22" s="32" t="n">
        <v>125</v>
      </c>
      <c r="F22" s="60" t="s">
        <v>725</v>
      </c>
      <c r="G22" s="32" t="n">
        <f aca="false">IF(F22="",0,LEN(F22)-LEN(SUBSTITUTE(F22,"+",""))+1)</f>
        <v>1</v>
      </c>
      <c r="H22" s="114" t="s">
        <v>726</v>
      </c>
      <c r="I22" s="31" t="str">
        <f aca="false">IF(OR(G22=0,H22&lt;&gt;"สร้างใหม่ (E09)"),"–",IF(G22&lt;=4,TEXT(4+2.5*G22,"0.00")&amp;" × 2.50 ม.",TEXT(4+2.5*ROUNDUP(G22/2,0),"0.00")&amp;" × 4.00 ม. (Rack 2 ด้าน)"))</f>
        <v>6.50 × 2.50 ม.</v>
      </c>
      <c r="J22" s="32" t="n">
        <f aca="false">G22</f>
        <v>1</v>
      </c>
      <c r="K22" s="114" t="s">
        <v>727</v>
      </c>
      <c r="L22" s="35" t="n">
        <f aca="false">'P9-017'!$I$154</f>
        <v>0</v>
      </c>
    </row>
    <row r="23" customFormat="false" ht="21.6" hidden="false" customHeight="false" outlineLevel="0" collapsed="false">
      <c r="A23" s="30" t="s">
        <v>110</v>
      </c>
      <c r="B23" s="31" t="s">
        <v>111</v>
      </c>
      <c r="C23" s="32" t="s">
        <v>112</v>
      </c>
      <c r="D23" s="132" t="n">
        <v>280.44</v>
      </c>
      <c r="E23" s="32" t="n">
        <v>250</v>
      </c>
      <c r="F23" s="60" t="s">
        <v>728</v>
      </c>
      <c r="G23" s="32" t="n">
        <f aca="false">IF(F23="",0,LEN(F23)-LEN(SUBSTITUTE(F23,"+",""))+1)</f>
        <v>2</v>
      </c>
      <c r="H23" s="114" t="s">
        <v>726</v>
      </c>
      <c r="I23" s="31" t="str">
        <f aca="false">IF(OR(G23=0,H23&lt;&gt;"สร้างใหม่ (E09)"),"–",IF(G23&lt;=4,TEXT(4+2.5*G23,"0.00")&amp;" × 2.50 ม.",TEXT(4+2.5*ROUNDUP(G23/2,0),"0.00")&amp;" × 4.00 ม. (Rack 2 ด้าน)"))</f>
        <v>9.00 × 2.50 ม.</v>
      </c>
      <c r="J23" s="32" t="n">
        <f aca="false">G23</f>
        <v>2</v>
      </c>
      <c r="K23" s="114" t="s">
        <v>727</v>
      </c>
      <c r="L23" s="35" t="n">
        <f aca="false">'P9-018'!$I$154</f>
        <v>0</v>
      </c>
    </row>
    <row r="24" customFormat="false" ht="21.6" hidden="false" customHeight="false" outlineLevel="0" collapsed="false">
      <c r="A24" s="30" t="s">
        <v>114</v>
      </c>
      <c r="B24" s="31" t="s">
        <v>115</v>
      </c>
      <c r="C24" s="32" t="s">
        <v>116</v>
      </c>
      <c r="D24" s="132" t="n">
        <v>150.48</v>
      </c>
      <c r="E24" s="32" t="n">
        <v>125</v>
      </c>
      <c r="F24" s="60" t="s">
        <v>725</v>
      </c>
      <c r="G24" s="32" t="n">
        <f aca="false">IF(F24="",0,LEN(F24)-LEN(SUBSTITUTE(F24,"+",""))+1)</f>
        <v>1</v>
      </c>
      <c r="H24" s="114" t="s">
        <v>726</v>
      </c>
      <c r="I24" s="31" t="str">
        <f aca="false">IF(OR(G24=0,H24&lt;&gt;"สร้างใหม่ (E09)"),"–",IF(G24&lt;=4,TEXT(4+2.5*G24,"0.00")&amp;" × 2.50 ม.",TEXT(4+2.5*ROUNDUP(G24/2,0),"0.00")&amp;" × 4.00 ม. (Rack 2 ด้าน)"))</f>
        <v>6.50 × 2.50 ม.</v>
      </c>
      <c r="J24" s="32" t="n">
        <f aca="false">G24</f>
        <v>1</v>
      </c>
      <c r="K24" s="114" t="s">
        <v>727</v>
      </c>
      <c r="L24" s="35" t="n">
        <f aca="false">'P9-019'!$I$154</f>
        <v>0</v>
      </c>
    </row>
    <row r="25" customFormat="false" ht="21.6" hidden="false" customHeight="false" outlineLevel="0" collapsed="false">
      <c r="A25" s="30" t="s">
        <v>118</v>
      </c>
      <c r="B25" s="31" t="s">
        <v>119</v>
      </c>
      <c r="C25" s="32" t="s">
        <v>120</v>
      </c>
      <c r="D25" s="132" t="n">
        <v>280.44</v>
      </c>
      <c r="E25" s="32" t="n">
        <v>250</v>
      </c>
      <c r="F25" s="60" t="s">
        <v>728</v>
      </c>
      <c r="G25" s="32" t="n">
        <f aca="false">IF(F25="",0,LEN(F25)-LEN(SUBSTITUTE(F25,"+",""))+1)</f>
        <v>2</v>
      </c>
      <c r="H25" s="114" t="s">
        <v>726</v>
      </c>
      <c r="I25" s="31" t="str">
        <f aca="false">IF(OR(G25=0,H25&lt;&gt;"สร้างใหม่ (E09)"),"–",IF(G25&lt;=4,TEXT(4+2.5*G25,"0.00")&amp;" × 2.50 ม.",TEXT(4+2.5*ROUNDUP(G25/2,0),"0.00")&amp;" × 4.00 ม. (Rack 2 ด้าน)"))</f>
        <v>9.00 × 2.50 ม.</v>
      </c>
      <c r="J25" s="32" t="n">
        <f aca="false">G25</f>
        <v>2</v>
      </c>
      <c r="K25" s="114" t="s">
        <v>727</v>
      </c>
      <c r="L25" s="35" t="n">
        <f aca="false">'P9-020'!$I$154</f>
        <v>0</v>
      </c>
    </row>
    <row r="27" customFormat="false" ht="15" hidden="false" customHeight="false" outlineLevel="0" collapsed="false">
      <c r="B27" s="27" t="s">
        <v>729</v>
      </c>
    </row>
    <row r="28" customFormat="false" ht="15" hidden="false" customHeight="false" outlineLevel="0" collapsed="false">
      <c r="B28" s="133" t="s">
        <v>730</v>
      </c>
      <c r="D28" s="134" t="n">
        <f aca="false">COUNTIF(INVS_TYPE,"สร้างใหม่ (E09)")</f>
        <v>20</v>
      </c>
    </row>
    <row r="29" customFormat="false" ht="15" hidden="false" customHeight="false" outlineLevel="0" collapsed="false">
      <c r="B29" s="133" t="s">
        <v>731</v>
      </c>
      <c r="D29" s="134" t="n">
        <f aca="false">COUNTIF(INVS_TYPE,"ในอาคารเดิม / ผนังเดิม")</f>
        <v>0</v>
      </c>
    </row>
    <row r="30" customFormat="false" ht="15" hidden="false" customHeight="false" outlineLevel="0" collapsed="false">
      <c r="B30" s="133" t="s">
        <v>732</v>
      </c>
      <c r="D30" s="134" t="n">
        <f aca="false">COUNTIF(INVS_TYPE,"บนหลังคาถังน้ำใส / ดาดฟ้า")</f>
        <v>0</v>
      </c>
    </row>
    <row r="31" customFormat="false" ht="15" hidden="false" customHeight="false" outlineLevel="0" collapsed="false">
      <c r="B31" s="135" t="s">
        <v>733</v>
      </c>
      <c r="D31" s="136" t="n">
        <f aca="false">SUM(G6:G25)</f>
        <v>30</v>
      </c>
    </row>
  </sheetData>
  <sheetProtection sheet="true" formatColumns="false" formatRows="false" sort="false" autoFilter="false"/>
  <autoFilter ref="A5:L25"/>
  <conditionalFormatting sqref="K6:K25">
    <cfRule type="expression" priority="2" aboveAverage="0" equalAverage="0" bottom="0" percent="0" rank="0" text="" dxfId="35">
      <formula>LEFT($K6,5)="ประมา"</formula>
    </cfRule>
  </conditionalFormatting>
  <dataValidations count="1">
    <dataValidation allowBlank="true" error="เลือกจากรายการ" errorStyle="stop" operator="between" showDropDown="false" showErrorMessage="true" showInputMessage="false" sqref="H6:H25" type="list">
      <formula1>"สร้างใหม่ (E09),ในอาคารเดิม / ผนังเดิม,บนหลังคาถังน้ำใส / ดาดฟ้า"</formula1>
      <formula2>0</formula2>
    </dataValidation>
  </dataValidations>
  <hyperlinks>
    <hyperlink ref="A3" location="'แบบมาตรฐาน'!A1" display="→ แม่แบบ 6 ขั้นของแต่ละรูปแบบ (ชีตแบบมาตรฐาน)"/>
    <hyperlink ref="A6" location="'P9-001'!A145" display="P9-001"/>
    <hyperlink ref="A7" location="'P9-002'!A145" display="P9-002"/>
    <hyperlink ref="A8" location="'P9-003'!A145" display="P9-003"/>
    <hyperlink ref="A9" location="'P9-004'!A145" display="P9-004"/>
    <hyperlink ref="A10" location="'P9-005'!A145" display="P9-005"/>
    <hyperlink ref="A11" location="'P9-006'!A145" display="P9-006"/>
    <hyperlink ref="A12" location="'P9-007'!A145" display="P9-007"/>
    <hyperlink ref="A13" location="'P9-008'!A145" display="P9-008"/>
    <hyperlink ref="A14" location="'P9-009'!A145" display="P9-009"/>
    <hyperlink ref="A15" location="'P9-010'!A145" display="P9-010"/>
    <hyperlink ref="A16" location="'P9-011'!A145" display="P9-011"/>
    <hyperlink ref="A17" location="'P9-012'!A145" display="P9-012"/>
    <hyperlink ref="A18" location="'P9-013'!A145" display="P9-013"/>
    <hyperlink ref="A19" location="'P9-014'!A145" display="P9-014"/>
    <hyperlink ref="A20" location="'P9-015'!A145" display="P9-015"/>
    <hyperlink ref="A21" location="'P9-016'!A145" display="P9-016"/>
    <hyperlink ref="A22" location="'P9-017'!A145" display="P9-017"/>
    <hyperlink ref="A23" location="'P9-018'!A145" display="P9-018"/>
    <hyperlink ref="A24" location="'P9-019'!A145" display="P9-019"/>
    <hyperlink ref="A25" location="'P9-020'!A145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70"/>
    <col collapsed="false" customWidth="true" hidden="false" outlineLevel="0" max="8" min="8" style="0" width="44"/>
  </cols>
  <sheetData>
    <row r="1" customFormat="false" ht="18.65" hidden="false" customHeight="false" outlineLevel="0" collapsed="false">
      <c r="A1" s="37" t="s">
        <v>734</v>
      </c>
    </row>
    <row r="2" customFormat="false" ht="15" hidden="false" customHeight="false" outlineLevel="0" collapsed="false">
      <c r="A2" s="38" t="s">
        <v>735</v>
      </c>
    </row>
    <row r="3" customFormat="false" ht="15" hidden="false" customHeight="false" outlineLevel="0" collapsed="false">
      <c r="A3" s="64" t="s">
        <v>736</v>
      </c>
    </row>
    <row r="5" customFormat="false" ht="15" hidden="false" customHeight="false" outlineLevel="0" collapsed="false">
      <c r="A5" s="28" t="s">
        <v>737</v>
      </c>
      <c r="B5" s="28" t="s">
        <v>738</v>
      </c>
      <c r="C5" s="28" t="s">
        <v>739</v>
      </c>
      <c r="D5" s="28" t="s">
        <v>740</v>
      </c>
      <c r="E5" s="28" t="s">
        <v>741</v>
      </c>
      <c r="F5" s="28" t="s">
        <v>742</v>
      </c>
      <c r="G5" s="28" t="s">
        <v>743</v>
      </c>
      <c r="H5" s="28" t="s">
        <v>744</v>
      </c>
    </row>
    <row r="6" customFormat="false" ht="48" hidden="false" customHeight="true" outlineLevel="0" collapsed="false">
      <c r="A6" s="137" t="s">
        <v>745</v>
      </c>
      <c r="B6" s="138" t="s">
        <v>746</v>
      </c>
      <c r="C6" s="139" t="n">
        <v>1</v>
      </c>
      <c r="D6" s="131" t="s">
        <v>747</v>
      </c>
      <c r="E6" s="138" t="s">
        <v>609</v>
      </c>
      <c r="F6" s="139" t="str">
        <f aca="false">COUNTIF(SITE_TYPE,"หลังคาลอนคู่")&amp;" จุด"&amp;IF(COUNTIF(SITE_TYPE,"หลังคา")&gt;0," + "&amp;COUNTIF(SITE_TYPE,"หลังคา")&amp;" ยังไม่ระบุวัสดุ","")</f>
        <v>8 จุด</v>
      </c>
      <c r="G6" s="131" t="s">
        <v>748</v>
      </c>
      <c r="H6" s="131" t="s">
        <v>749</v>
      </c>
    </row>
    <row r="7" customFormat="false" ht="48" hidden="false" customHeight="true" outlineLevel="0" collapsed="false">
      <c r="A7" s="137" t="s">
        <v>750</v>
      </c>
      <c r="B7" s="138" t="s">
        <v>751</v>
      </c>
      <c r="C7" s="139" t="n">
        <v>2</v>
      </c>
      <c r="D7" s="131" t="s">
        <v>752</v>
      </c>
      <c r="E7" s="138" t="s">
        <v>640</v>
      </c>
      <c r="F7" s="139" t="str">
        <f aca="false">COUNTIF(SITE_TYPE,"ถังน้ำใส")&amp;" จุด"</f>
        <v>4 จุด</v>
      </c>
      <c r="G7" s="138" t="s">
        <v>753</v>
      </c>
      <c r="H7" s="138" t="s">
        <v>754</v>
      </c>
    </row>
    <row r="8" customFormat="false" ht="48" hidden="false" customHeight="true" outlineLevel="0" collapsed="false">
      <c r="A8" s="137" t="s">
        <v>755</v>
      </c>
      <c r="B8" s="138" t="s">
        <v>756</v>
      </c>
      <c r="C8" s="139" t="n">
        <v>1</v>
      </c>
      <c r="D8" s="131" t="s">
        <v>757</v>
      </c>
      <c r="E8" s="138" t="s">
        <v>631</v>
      </c>
      <c r="F8" s="139" t="str">
        <f aca="false">COUNTIF(SITE_TYPE,"หลังคา*")&amp;" จุด"</f>
        <v>16 จุด</v>
      </c>
      <c r="G8" s="131" t="s">
        <v>758</v>
      </c>
      <c r="H8" s="131" t="s">
        <v>759</v>
      </c>
    </row>
    <row r="9" customFormat="false" ht="48" hidden="false" customHeight="true" outlineLevel="0" collapsed="false">
      <c r="A9" s="137" t="s">
        <v>760</v>
      </c>
      <c r="B9" s="138" t="s">
        <v>761</v>
      </c>
      <c r="C9" s="139" t="n">
        <v>1</v>
      </c>
      <c r="D9" s="131" t="s">
        <v>762</v>
      </c>
      <c r="E9" s="138" t="s">
        <v>624</v>
      </c>
      <c r="F9" s="139" t="str">
        <f aca="false">COUNTIF(SITE_TYPE,"หลังคาเมทัลชีท")&amp;" จุด"&amp;IF(COUNTIF(SITE_TYPE,"หลังคา")&gt;0," + "&amp;COUNTIF(SITE_TYPE,"หลังคา")&amp;" ยังไม่ระบุวัสดุ","")</f>
        <v>8 จุด</v>
      </c>
      <c r="G9" s="131" t="s">
        <v>763</v>
      </c>
      <c r="H9" s="138" t="s">
        <v>764</v>
      </c>
    </row>
    <row r="10" customFormat="false" ht="48" hidden="false" customHeight="true" outlineLevel="0" collapsed="false">
      <c r="A10" s="137" t="s">
        <v>765</v>
      </c>
      <c r="B10" s="138" t="s">
        <v>766</v>
      </c>
      <c r="C10" s="139" t="n">
        <v>2</v>
      </c>
      <c r="D10" s="131" t="s">
        <v>308</v>
      </c>
      <c r="E10" s="138" t="s">
        <v>767</v>
      </c>
      <c r="F10" s="139" t="str">
        <f aca="false">COUNTIF(SITE_LAD,"ติด:*")&amp;" จุด"</f>
        <v>20 จุด</v>
      </c>
      <c r="G10" s="138" t="s">
        <v>768</v>
      </c>
      <c r="H10" s="138" t="s">
        <v>769</v>
      </c>
    </row>
    <row r="11" customFormat="false" ht="48" hidden="false" customHeight="true" outlineLevel="0" collapsed="false">
      <c r="A11" s="137" t="s">
        <v>770</v>
      </c>
      <c r="B11" s="138" t="s">
        <v>771</v>
      </c>
      <c r="C11" s="139" t="n">
        <v>3</v>
      </c>
      <c r="D11" s="131" t="s">
        <v>772</v>
      </c>
      <c r="E11" s="138" t="s">
        <v>651</v>
      </c>
      <c r="F11" s="139" t="str">
        <f aca="false">COUNTIF(SITE_TYPE,"ถังดินกลบ")&amp;" จุด"</f>
        <v>4 จุด</v>
      </c>
      <c r="G11" s="138" t="s">
        <v>773</v>
      </c>
      <c r="H11" s="138" t="s">
        <v>774</v>
      </c>
    </row>
    <row r="12" customFormat="false" ht="60" hidden="false" customHeight="true" outlineLevel="0" collapsed="false">
      <c r="A12" s="137" t="s">
        <v>775</v>
      </c>
      <c r="B12" s="138" t="s">
        <v>776</v>
      </c>
      <c r="C12" s="139" t="n">
        <v>1</v>
      </c>
      <c r="D12" s="131" t="s">
        <v>777</v>
      </c>
      <c r="E12" s="131" t="s">
        <v>778</v>
      </c>
      <c r="F12" s="139" t="str">
        <f aca="false">COUNTIF(INVS_TYPE,"สร้างใหม่ (E09)")&amp;" สถานี"</f>
        <v>20 สถานี</v>
      </c>
      <c r="G12" s="138" t="s">
        <v>779</v>
      </c>
      <c r="H12" s="138" t="s">
        <v>780</v>
      </c>
    </row>
    <row r="13" customFormat="false" ht="60" hidden="false" customHeight="true" outlineLevel="0" collapsed="false">
      <c r="A13" s="137" t="s">
        <v>781</v>
      </c>
      <c r="B13" s="138" t="s">
        <v>782</v>
      </c>
      <c r="C13" s="139" t="n">
        <v>1</v>
      </c>
      <c r="D13" s="131" t="s">
        <v>783</v>
      </c>
      <c r="E13" s="138" t="s">
        <v>784</v>
      </c>
      <c r="F13" s="139" t="s">
        <v>785</v>
      </c>
      <c r="G13" s="138" t="s">
        <v>786</v>
      </c>
      <c r="H13" s="131" t="s">
        <v>787</v>
      </c>
    </row>
    <row r="14" customFormat="false" ht="48" hidden="false" customHeight="true" outlineLevel="0" collapsed="false">
      <c r="A14" s="137" t="s">
        <v>788</v>
      </c>
      <c r="B14" s="138" t="s">
        <v>789</v>
      </c>
      <c r="C14" s="139" t="n">
        <v>1</v>
      </c>
      <c r="D14" s="131" t="s">
        <v>790</v>
      </c>
      <c r="E14" s="138" t="s">
        <v>784</v>
      </c>
      <c r="F14" s="139" t="s">
        <v>785</v>
      </c>
      <c r="G14" s="131" t="s">
        <v>791</v>
      </c>
      <c r="H14" s="138" t="s">
        <v>792</v>
      </c>
    </row>
    <row r="15" customFormat="false" ht="48" hidden="false" customHeight="true" outlineLevel="0" collapsed="false">
      <c r="A15" s="137" t="s">
        <v>793</v>
      </c>
      <c r="B15" s="138" t="s">
        <v>794</v>
      </c>
      <c r="C15" s="139" t="n">
        <v>1</v>
      </c>
      <c r="D15" s="131" t="s">
        <v>795</v>
      </c>
      <c r="E15" s="138" t="s">
        <v>796</v>
      </c>
      <c r="F15" s="139" t="s">
        <v>797</v>
      </c>
      <c r="G15" s="131" t="s">
        <v>798</v>
      </c>
      <c r="H15" s="138" t="s">
        <v>799</v>
      </c>
    </row>
    <row r="16" customFormat="false" ht="48" hidden="false" customHeight="true" outlineLevel="0" collapsed="false">
      <c r="A16" s="137" t="s">
        <v>800</v>
      </c>
      <c r="B16" s="138" t="s">
        <v>801</v>
      </c>
      <c r="C16" s="139" t="n">
        <v>1</v>
      </c>
      <c r="D16" s="131" t="s">
        <v>802</v>
      </c>
      <c r="E16" s="138" t="s">
        <v>784</v>
      </c>
      <c r="F16" s="139" t="s">
        <v>785</v>
      </c>
      <c r="G16" s="138" t="s">
        <v>803</v>
      </c>
      <c r="H16" s="138" t="s">
        <v>804</v>
      </c>
    </row>
    <row r="17" customFormat="false" ht="48" hidden="false" customHeight="true" outlineLevel="0" collapsed="false">
      <c r="A17" s="137" t="s">
        <v>805</v>
      </c>
      <c r="B17" s="138" t="s">
        <v>806</v>
      </c>
      <c r="C17" s="139" t="n">
        <v>1</v>
      </c>
      <c r="D17" s="131" t="s">
        <v>807</v>
      </c>
      <c r="E17" s="138" t="s">
        <v>808</v>
      </c>
      <c r="F17" s="139" t="s">
        <v>797</v>
      </c>
      <c r="G17" s="131" t="s">
        <v>809</v>
      </c>
      <c r="H17" s="138" t="s">
        <v>810</v>
      </c>
    </row>
    <row r="18" customFormat="false" ht="48" hidden="false" customHeight="true" outlineLevel="0" collapsed="false">
      <c r="A18" s="137" t="s">
        <v>811</v>
      </c>
      <c r="B18" s="138" t="s">
        <v>812</v>
      </c>
      <c r="C18" s="139" t="n">
        <v>1</v>
      </c>
      <c r="D18" s="131" t="s">
        <v>813</v>
      </c>
      <c r="E18" s="138" t="s">
        <v>796</v>
      </c>
      <c r="F18" s="139" t="s">
        <v>797</v>
      </c>
      <c r="G18" s="138" t="s">
        <v>814</v>
      </c>
      <c r="H18" s="138" t="s">
        <v>815</v>
      </c>
    </row>
    <row r="20" customFormat="false" ht="15" hidden="false" customHeight="false" outlineLevel="0" collapsed="false">
      <c r="A20" s="27" t="s">
        <v>816</v>
      </c>
    </row>
    <row r="21" customFormat="false" ht="21.75" hidden="false" customHeight="true" outlineLevel="0" collapsed="false">
      <c r="A21" s="140" t="s">
        <v>817</v>
      </c>
      <c r="B21" s="140"/>
      <c r="C21" s="131" t="s">
        <v>818</v>
      </c>
      <c r="D21" s="131"/>
      <c r="E21" s="131"/>
      <c r="F21" s="131"/>
      <c r="G21" s="131"/>
      <c r="H21" s="131"/>
    </row>
    <row r="22" customFormat="false" ht="21.75" hidden="false" customHeight="true" outlineLevel="0" collapsed="false">
      <c r="A22" s="140" t="s">
        <v>819</v>
      </c>
      <c r="B22" s="140"/>
      <c r="C22" s="131" t="s">
        <v>820</v>
      </c>
      <c r="D22" s="131"/>
      <c r="E22" s="131"/>
      <c r="F22" s="131"/>
      <c r="G22" s="131"/>
      <c r="H22" s="131"/>
    </row>
    <row r="23" customFormat="false" ht="21.75" hidden="false" customHeight="true" outlineLevel="0" collapsed="false">
      <c r="A23" s="141" t="s">
        <v>821</v>
      </c>
      <c r="B23" s="141"/>
      <c r="C23" s="138" t="s">
        <v>822</v>
      </c>
      <c r="D23" s="138"/>
      <c r="E23" s="138"/>
      <c r="F23" s="138"/>
      <c r="G23" s="138"/>
      <c r="H23" s="138"/>
    </row>
    <row r="24" customFormat="false" ht="21.75" hidden="false" customHeight="true" outlineLevel="0" collapsed="false">
      <c r="A24" s="140" t="s">
        <v>823</v>
      </c>
      <c r="B24" s="140"/>
      <c r="C24" s="138" t="s">
        <v>824</v>
      </c>
      <c r="D24" s="138"/>
      <c r="E24" s="138"/>
      <c r="F24" s="138"/>
      <c r="G24" s="138"/>
      <c r="H24" s="138"/>
    </row>
    <row r="25" customFormat="false" ht="21.75" hidden="false" customHeight="true" outlineLevel="0" collapsed="false">
      <c r="A25" s="140" t="s">
        <v>825</v>
      </c>
      <c r="B25" s="140"/>
      <c r="C25" s="138" t="s">
        <v>826</v>
      </c>
      <c r="D25" s="138"/>
      <c r="E25" s="138"/>
      <c r="F25" s="138"/>
      <c r="G25" s="138"/>
      <c r="H25" s="138"/>
    </row>
    <row r="26" customFormat="false" ht="21.75" hidden="false" customHeight="true" outlineLevel="0" collapsed="false">
      <c r="A26" s="140" t="s">
        <v>688</v>
      </c>
      <c r="B26" s="140"/>
      <c r="C26" s="138" t="s">
        <v>827</v>
      </c>
      <c r="D26" s="138"/>
      <c r="E26" s="138"/>
      <c r="F26" s="138"/>
      <c r="G26" s="138"/>
      <c r="H26" s="138"/>
    </row>
    <row r="27" customFormat="false" ht="21.75" hidden="false" customHeight="true" outlineLevel="0" collapsed="false">
      <c r="A27" s="140" t="s">
        <v>828</v>
      </c>
      <c r="B27" s="140"/>
      <c r="C27" s="138" t="s">
        <v>829</v>
      </c>
      <c r="D27" s="138"/>
      <c r="E27" s="138"/>
      <c r="F27" s="138"/>
      <c r="G27" s="138"/>
      <c r="H27" s="138"/>
    </row>
    <row r="29" customFormat="false" ht="15" hidden="false" customHeight="false" outlineLevel="0" collapsed="false">
      <c r="A29" s="142" t="s">
        <v>830</v>
      </c>
    </row>
    <row r="30" customFormat="false" ht="15" hidden="false" customHeight="false" outlineLevel="0" collapsed="false">
      <c r="A30" s="143" t="s">
        <v>603</v>
      </c>
      <c r="B30" s="144" t="s">
        <v>831</v>
      </c>
      <c r="C30" s="144" t="s">
        <v>604</v>
      </c>
      <c r="D30" s="144" t="s">
        <v>605</v>
      </c>
      <c r="E30" s="143" t="s">
        <v>606</v>
      </c>
      <c r="H30" s="144" t="s">
        <v>832</v>
      </c>
    </row>
    <row r="31" customFormat="false" ht="41" hidden="false" customHeight="false" outlineLevel="0" collapsed="false">
      <c r="A31" s="145" t="str">
        <f aca="false">B31&amp;"|"&amp;C31</f>
        <v>สร้างใหม่ (E09)|1</v>
      </c>
      <c r="B31" s="146" t="s">
        <v>833</v>
      </c>
      <c r="C31" s="145" t="n">
        <v>1</v>
      </c>
      <c r="D31" s="147" t="s">
        <v>834</v>
      </c>
      <c r="E31" s="111" t="n">
        <v>5</v>
      </c>
      <c r="F31" s="145"/>
      <c r="G31" s="145"/>
      <c r="H31" s="148" t="n">
        <f aca="false">COUNTIF(INVS_TYPE,"สร้างใหม่ (E09)")</f>
        <v>20</v>
      </c>
    </row>
    <row r="32" customFormat="false" ht="22.35" hidden="false" customHeight="false" outlineLevel="0" collapsed="false">
      <c r="A32" s="145" t="str">
        <f aca="false">B32&amp;"|"&amp;C32</f>
        <v>สร้างใหม่ (E09)|2</v>
      </c>
      <c r="B32" s="145" t="s">
        <v>835</v>
      </c>
      <c r="C32" s="145" t="n">
        <v>2</v>
      </c>
      <c r="D32" s="147" t="s">
        <v>836</v>
      </c>
      <c r="E32" s="111" t="n">
        <v>20</v>
      </c>
      <c r="F32" s="145"/>
      <c r="G32" s="145"/>
      <c r="H32" s="147" t="s">
        <v>837</v>
      </c>
    </row>
    <row r="33" customFormat="false" ht="41" hidden="false" customHeight="false" outlineLevel="0" collapsed="false">
      <c r="A33" s="145" t="str">
        <f aca="false">B33&amp;"|"&amp;C33</f>
        <v>สร้างใหม่ (E09)|3</v>
      </c>
      <c r="B33" s="145" t="s">
        <v>835</v>
      </c>
      <c r="C33" s="145" t="n">
        <v>3</v>
      </c>
      <c r="D33" s="147" t="s">
        <v>838</v>
      </c>
      <c r="E33" s="111" t="n">
        <v>30</v>
      </c>
      <c r="F33" s="145"/>
      <c r="G33" s="145"/>
      <c r="H33" s="147"/>
    </row>
    <row r="34" customFormat="false" ht="64.15" hidden="false" customHeight="false" outlineLevel="0" collapsed="false">
      <c r="A34" s="145" t="str">
        <f aca="false">B34&amp;"|"&amp;C34</f>
        <v>สร้างใหม่ (E09)|4</v>
      </c>
      <c r="B34" s="145" t="s">
        <v>835</v>
      </c>
      <c r="C34" s="145" t="n">
        <v>4</v>
      </c>
      <c r="D34" s="149" t="s">
        <v>839</v>
      </c>
      <c r="E34" s="111" t="n">
        <v>25</v>
      </c>
      <c r="F34" s="145"/>
      <c r="G34" s="145"/>
      <c r="H34" s="147"/>
    </row>
    <row r="35" customFormat="false" ht="22.35" hidden="false" customHeight="false" outlineLevel="0" collapsed="false">
      <c r="A35" s="145" t="str">
        <f aca="false">B35&amp;"|"&amp;C35</f>
        <v>สร้างใหม่ (E09)|5</v>
      </c>
      <c r="B35" s="145" t="s">
        <v>835</v>
      </c>
      <c r="C35" s="145" t="n">
        <v>5</v>
      </c>
      <c r="D35" s="147" t="s">
        <v>840</v>
      </c>
      <c r="E35" s="111" t="n">
        <v>10</v>
      </c>
      <c r="F35" s="145"/>
      <c r="G35" s="145"/>
      <c r="H35" s="147"/>
    </row>
    <row r="36" customFormat="false" ht="41" hidden="false" customHeight="false" outlineLevel="0" collapsed="false">
      <c r="A36" s="145" t="str">
        <f aca="false">B36&amp;"|"&amp;C36</f>
        <v>สร้างใหม่ (E09)|6</v>
      </c>
      <c r="B36" s="145" t="s">
        <v>835</v>
      </c>
      <c r="C36" s="145" t="n">
        <v>6</v>
      </c>
      <c r="D36" s="149" t="s">
        <v>841</v>
      </c>
      <c r="E36" s="111" t="n">
        <v>10</v>
      </c>
      <c r="F36" s="145"/>
      <c r="G36" s="145"/>
      <c r="H36" s="147"/>
    </row>
    <row r="37" customFormat="false" ht="41" hidden="false" customHeight="false" outlineLevel="0" collapsed="false">
      <c r="A37" s="145" t="str">
        <f aca="false">B37&amp;"|"&amp;C37</f>
        <v>ในอาคารเดิม / ผนังเดิม|1</v>
      </c>
      <c r="B37" s="146" t="s">
        <v>842</v>
      </c>
      <c r="C37" s="145" t="n">
        <v>1</v>
      </c>
      <c r="D37" s="147" t="s">
        <v>843</v>
      </c>
      <c r="E37" s="111" t="n">
        <v>10</v>
      </c>
      <c r="F37" s="145"/>
      <c r="G37" s="145"/>
      <c r="H37" s="148" t="n">
        <f aca="false">COUNTIF(INVS_TYPE,"ในอาคารเดิม / ผนังเดิม")</f>
        <v>0</v>
      </c>
    </row>
    <row r="38" customFormat="false" ht="32.8" hidden="false" customHeight="false" outlineLevel="0" collapsed="false">
      <c r="A38" s="145" t="str">
        <f aca="false">B38&amp;"|"&amp;C38</f>
        <v>ในอาคารเดิม / ผนังเดิม|2</v>
      </c>
      <c r="B38" s="145" t="s">
        <v>844</v>
      </c>
      <c r="C38" s="145" t="n">
        <v>2</v>
      </c>
      <c r="D38" s="147" t="s">
        <v>845</v>
      </c>
      <c r="E38" s="111" t="n">
        <v>30</v>
      </c>
      <c r="F38" s="145"/>
      <c r="G38" s="145"/>
      <c r="H38" s="147" t="s">
        <v>846</v>
      </c>
    </row>
    <row r="39" customFormat="false" ht="32.8" hidden="false" customHeight="false" outlineLevel="0" collapsed="false">
      <c r="A39" s="145" t="str">
        <f aca="false">B39&amp;"|"&amp;C39</f>
        <v>ในอาคารเดิม / ผนังเดิม|3</v>
      </c>
      <c r="B39" s="145" t="s">
        <v>844</v>
      </c>
      <c r="C39" s="145" t="n">
        <v>3</v>
      </c>
      <c r="D39" s="147" t="s">
        <v>847</v>
      </c>
      <c r="E39" s="111" t="n">
        <v>10</v>
      </c>
      <c r="F39" s="145"/>
      <c r="G39" s="145"/>
      <c r="H39" s="147"/>
    </row>
    <row r="40" customFormat="false" ht="43.25" hidden="false" customHeight="false" outlineLevel="0" collapsed="false">
      <c r="A40" s="145" t="str">
        <f aca="false">B40&amp;"|"&amp;C40</f>
        <v>ในอาคารเดิม / ผนังเดิม|4</v>
      </c>
      <c r="B40" s="145" t="s">
        <v>844</v>
      </c>
      <c r="C40" s="145" t="n">
        <v>4</v>
      </c>
      <c r="D40" s="149" t="s">
        <v>848</v>
      </c>
      <c r="E40" s="111" t="n">
        <v>30</v>
      </c>
      <c r="F40" s="145"/>
      <c r="G40" s="145"/>
      <c r="H40" s="147"/>
    </row>
    <row r="41" customFormat="false" ht="20.1" hidden="false" customHeight="false" outlineLevel="0" collapsed="false">
      <c r="A41" s="145" t="str">
        <f aca="false">B41&amp;"|"&amp;C41</f>
        <v>ในอาคารเดิม / ผนังเดิม|5</v>
      </c>
      <c r="B41" s="145" t="s">
        <v>844</v>
      </c>
      <c r="C41" s="145" t="n">
        <v>5</v>
      </c>
      <c r="D41" s="147" t="s">
        <v>849</v>
      </c>
      <c r="E41" s="111" t="n">
        <v>10</v>
      </c>
      <c r="F41" s="145"/>
      <c r="G41" s="145"/>
      <c r="H41" s="147"/>
    </row>
    <row r="42" customFormat="false" ht="20.1" hidden="false" customHeight="false" outlineLevel="0" collapsed="false">
      <c r="A42" s="145" t="str">
        <f aca="false">B42&amp;"|"&amp;C42</f>
        <v>ในอาคารเดิม / ผนังเดิม|6</v>
      </c>
      <c r="B42" s="145" t="s">
        <v>844</v>
      </c>
      <c r="C42" s="145" t="n">
        <v>6</v>
      </c>
      <c r="D42" s="149" t="s">
        <v>850</v>
      </c>
      <c r="E42" s="111" t="n">
        <v>10</v>
      </c>
      <c r="F42" s="145"/>
      <c r="G42" s="145"/>
      <c r="H42" s="147"/>
    </row>
    <row r="43" customFormat="false" ht="30.55" hidden="false" customHeight="false" outlineLevel="0" collapsed="false">
      <c r="A43" s="145" t="str">
        <f aca="false">B43&amp;"|"&amp;C43</f>
        <v>บนหลังคาถังน้ำใส / ดาดฟ้า|1</v>
      </c>
      <c r="B43" s="146" t="s">
        <v>851</v>
      </c>
      <c r="C43" s="145" t="n">
        <v>1</v>
      </c>
      <c r="D43" s="149" t="s">
        <v>852</v>
      </c>
      <c r="E43" s="111" t="n">
        <v>5</v>
      </c>
      <c r="F43" s="145"/>
      <c r="G43" s="145"/>
      <c r="H43" s="148" t="n">
        <f aca="false">COUNTIF(INVS_TYPE,"บนหลังคาถังน้ำใส / ดาดฟ้า")</f>
        <v>0</v>
      </c>
    </row>
    <row r="44" customFormat="false" ht="51.45" hidden="false" customHeight="false" outlineLevel="0" collapsed="false">
      <c r="A44" s="145" t="str">
        <f aca="false">B44&amp;"|"&amp;C44</f>
        <v>บนหลังคาถังน้ำใส / ดาดฟ้า|2</v>
      </c>
      <c r="B44" s="145" t="s">
        <v>853</v>
      </c>
      <c r="C44" s="145" t="n">
        <v>2</v>
      </c>
      <c r="D44" s="147" t="s">
        <v>854</v>
      </c>
      <c r="E44" s="111" t="n">
        <v>25</v>
      </c>
      <c r="F44" s="145"/>
      <c r="G44" s="145"/>
      <c r="H44" s="147" t="s">
        <v>855</v>
      </c>
    </row>
    <row r="45" customFormat="false" ht="30.55" hidden="false" customHeight="false" outlineLevel="0" collapsed="false">
      <c r="A45" s="145" t="str">
        <f aca="false">B45&amp;"|"&amp;C45</f>
        <v>บนหลังคาถังน้ำใส / ดาดฟ้า|3</v>
      </c>
      <c r="B45" s="145" t="s">
        <v>853</v>
      </c>
      <c r="C45" s="145" t="n">
        <v>3</v>
      </c>
      <c r="D45" s="147" t="s">
        <v>856</v>
      </c>
      <c r="E45" s="111" t="n">
        <v>30</v>
      </c>
      <c r="F45" s="145"/>
      <c r="G45" s="145"/>
      <c r="H45" s="147"/>
    </row>
    <row r="46" customFormat="false" ht="32.8" hidden="false" customHeight="false" outlineLevel="0" collapsed="false">
      <c r="A46" s="145" t="str">
        <f aca="false">B46&amp;"|"&amp;C46</f>
        <v>บนหลังคาถังน้ำใส / ดาดฟ้า|4</v>
      </c>
      <c r="B46" s="145" t="s">
        <v>853</v>
      </c>
      <c r="C46" s="145" t="n">
        <v>4</v>
      </c>
      <c r="D46" s="149" t="s">
        <v>857</v>
      </c>
      <c r="E46" s="111" t="n">
        <v>25</v>
      </c>
      <c r="F46" s="145"/>
      <c r="G46" s="145"/>
      <c r="H46" s="147"/>
    </row>
    <row r="47" customFormat="false" ht="20.1" hidden="false" customHeight="false" outlineLevel="0" collapsed="false">
      <c r="A47" s="145" t="str">
        <f aca="false">B47&amp;"|"&amp;C47</f>
        <v>บนหลังคาถังน้ำใส / ดาดฟ้า|5</v>
      </c>
      <c r="B47" s="145" t="s">
        <v>853</v>
      </c>
      <c r="C47" s="145" t="n">
        <v>5</v>
      </c>
      <c r="D47" s="147" t="s">
        <v>858</v>
      </c>
      <c r="E47" s="111" t="n">
        <v>5</v>
      </c>
      <c r="F47" s="145"/>
      <c r="G47" s="145"/>
      <c r="H47" s="147"/>
    </row>
    <row r="48" customFormat="false" ht="22.35" hidden="false" customHeight="false" outlineLevel="0" collapsed="false">
      <c r="A48" s="145" t="str">
        <f aca="false">B48&amp;"|"&amp;C48</f>
        <v>บนหลังคาถังน้ำใส / ดาดฟ้า|6</v>
      </c>
      <c r="B48" s="145" t="s">
        <v>853</v>
      </c>
      <c r="C48" s="145" t="n">
        <v>6</v>
      </c>
      <c r="D48" s="149" t="s">
        <v>859</v>
      </c>
      <c r="E48" s="111" t="n">
        <v>10</v>
      </c>
      <c r="F48" s="145"/>
      <c r="G48" s="145"/>
      <c r="H48" s="147"/>
    </row>
    <row r="50" customFormat="false" ht="15" hidden="true" customHeight="false" outlineLevel="0" collapsed="false">
      <c r="B50" s="129" t="s">
        <v>835</v>
      </c>
      <c r="D50" s="129" t="s">
        <v>837</v>
      </c>
    </row>
    <row r="51" customFormat="false" ht="15" hidden="true" customHeight="false" outlineLevel="0" collapsed="false">
      <c r="B51" s="129" t="s">
        <v>844</v>
      </c>
      <c r="D51" s="129" t="s">
        <v>846</v>
      </c>
    </row>
    <row r="52" customFormat="false" ht="15" hidden="true" customHeight="false" outlineLevel="0" collapsed="false">
      <c r="B52" s="129" t="s">
        <v>853</v>
      </c>
      <c r="D52" s="129" t="s">
        <v>855</v>
      </c>
    </row>
  </sheetData>
  <sheetProtection sheet="true" formatColumns="false" formatRows="false" sort="false" autoFilter="false"/>
  <autoFilter ref="A5:H18"/>
  <mergeCells count="14"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</mergeCells>
  <hyperlinks>
    <hyperlink ref="A3" location="'จุดติดตั้ง'!A1" display="→ จุดติดตั้ง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26"/>
  </cols>
  <sheetData>
    <row r="1" customFormat="false" ht="18.65" hidden="false" customHeight="false" outlineLevel="0" collapsed="false">
      <c r="A1" s="62" t="s">
        <v>860</v>
      </c>
    </row>
    <row r="2" customFormat="false" ht="30" hidden="false" customHeight="true" outlineLevel="0" collapsed="false">
      <c r="A2" s="150" t="s">
        <v>861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4" customFormat="false" ht="30" hidden="false" customHeight="true" outlineLevel="0" collapsed="false">
      <c r="A4" s="151" t="s">
        <v>34</v>
      </c>
      <c r="B4" s="152" t="s">
        <v>862</v>
      </c>
      <c r="C4" s="151" t="s">
        <v>863</v>
      </c>
      <c r="D4" s="151" t="s">
        <v>864</v>
      </c>
      <c r="E4" s="151" t="s">
        <v>865</v>
      </c>
      <c r="F4" s="151" t="s">
        <v>866</v>
      </c>
      <c r="G4" s="151" t="s">
        <v>867</v>
      </c>
      <c r="H4" s="151" t="s">
        <v>868</v>
      </c>
      <c r="I4" s="151" t="s">
        <v>869</v>
      </c>
      <c r="J4" s="151" t="s">
        <v>870</v>
      </c>
      <c r="K4" s="151" t="s">
        <v>871</v>
      </c>
    </row>
    <row r="5" customFormat="false" ht="15" hidden="false" customHeight="true" outlineLevel="0" collapsed="false">
      <c r="A5" s="153" t="s">
        <v>872</v>
      </c>
      <c r="B5" s="153" t="s">
        <v>323</v>
      </c>
      <c r="C5" s="154" t="s">
        <v>873</v>
      </c>
      <c r="D5" s="154"/>
      <c r="E5" s="154"/>
      <c r="F5" s="155"/>
      <c r="G5" s="155"/>
      <c r="H5" s="155"/>
      <c r="I5" s="156" t="s">
        <v>874</v>
      </c>
      <c r="J5" s="155"/>
      <c r="K5" s="155"/>
    </row>
    <row r="6" customFormat="false" ht="23.85" hidden="false" customHeight="false" outlineLevel="0" collapsed="false">
      <c r="A6" s="157" t="s">
        <v>875</v>
      </c>
      <c r="B6" s="158" t="s">
        <v>323</v>
      </c>
      <c r="C6" s="159" t="s">
        <v>876</v>
      </c>
      <c r="D6" s="159" t="s">
        <v>877</v>
      </c>
      <c r="E6" s="159" t="s">
        <v>878</v>
      </c>
      <c r="F6" s="160" t="s">
        <v>879</v>
      </c>
      <c r="G6" s="159" t="s">
        <v>880</v>
      </c>
      <c r="H6" s="158" t="s">
        <v>881</v>
      </c>
      <c r="I6" s="159" t="s">
        <v>882</v>
      </c>
      <c r="J6" s="159" t="s">
        <v>825</v>
      </c>
      <c r="K6" s="161" t="s">
        <v>883</v>
      </c>
    </row>
    <row r="7" customFormat="false" ht="15" hidden="false" customHeight="false" outlineLevel="0" collapsed="false">
      <c r="A7" s="157" t="s">
        <v>884</v>
      </c>
      <c r="B7" s="158" t="s">
        <v>323</v>
      </c>
      <c r="C7" s="158" t="s">
        <v>885</v>
      </c>
      <c r="D7" s="159" t="s">
        <v>886</v>
      </c>
      <c r="E7" s="159" t="s">
        <v>887</v>
      </c>
      <c r="F7" s="162" t="s">
        <v>888</v>
      </c>
      <c r="G7" s="159" t="s">
        <v>889</v>
      </c>
      <c r="H7" s="158" t="s">
        <v>745</v>
      </c>
      <c r="I7" s="159" t="s">
        <v>609</v>
      </c>
      <c r="J7" s="159" t="s">
        <v>825</v>
      </c>
      <c r="K7" s="161" t="s">
        <v>883</v>
      </c>
    </row>
    <row r="8" customFormat="false" ht="15" hidden="false" customHeight="false" outlineLevel="0" collapsed="false">
      <c r="A8" s="157" t="s">
        <v>890</v>
      </c>
      <c r="B8" s="158" t="s">
        <v>323</v>
      </c>
      <c r="C8" s="159" t="s">
        <v>891</v>
      </c>
      <c r="D8" s="158" t="s">
        <v>892</v>
      </c>
      <c r="E8" s="159" t="s">
        <v>893</v>
      </c>
      <c r="F8" s="160" t="s">
        <v>879</v>
      </c>
      <c r="G8" s="159" t="s">
        <v>894</v>
      </c>
      <c r="H8" s="158" t="s">
        <v>745</v>
      </c>
      <c r="I8" s="159" t="s">
        <v>609</v>
      </c>
      <c r="J8" s="159" t="s">
        <v>825</v>
      </c>
      <c r="K8" s="161" t="s">
        <v>883</v>
      </c>
    </row>
    <row r="9" customFormat="false" ht="23.85" hidden="false" customHeight="false" outlineLevel="0" collapsed="false">
      <c r="A9" s="157" t="s">
        <v>895</v>
      </c>
      <c r="B9" s="158" t="s">
        <v>323</v>
      </c>
      <c r="C9" s="159" t="s">
        <v>896</v>
      </c>
      <c r="D9" s="159" t="s">
        <v>897</v>
      </c>
      <c r="E9" s="159" t="s">
        <v>893</v>
      </c>
      <c r="F9" s="160" t="s">
        <v>879</v>
      </c>
      <c r="G9" s="159" t="s">
        <v>894</v>
      </c>
      <c r="H9" s="159" t="s">
        <v>898</v>
      </c>
      <c r="I9" s="159" t="s">
        <v>899</v>
      </c>
      <c r="J9" s="159" t="s">
        <v>825</v>
      </c>
      <c r="K9" s="161" t="s">
        <v>883</v>
      </c>
    </row>
    <row r="10" customFormat="false" ht="15" hidden="false" customHeight="false" outlineLevel="0" collapsed="false">
      <c r="A10" s="157" t="s">
        <v>900</v>
      </c>
      <c r="B10" s="158" t="s">
        <v>323</v>
      </c>
      <c r="C10" s="159" t="s">
        <v>901</v>
      </c>
      <c r="D10" s="159" t="s">
        <v>902</v>
      </c>
      <c r="E10" s="159" t="s">
        <v>903</v>
      </c>
      <c r="F10" s="160" t="s">
        <v>879</v>
      </c>
      <c r="G10" s="159" t="s">
        <v>904</v>
      </c>
      <c r="H10" s="158" t="s">
        <v>745</v>
      </c>
      <c r="I10" s="159" t="s">
        <v>905</v>
      </c>
      <c r="J10" s="159" t="s">
        <v>825</v>
      </c>
      <c r="K10" s="161" t="s">
        <v>883</v>
      </c>
    </row>
    <row r="11" customFormat="false" ht="15" hidden="false" customHeight="false" outlineLevel="0" collapsed="false">
      <c r="A11" s="157" t="s">
        <v>906</v>
      </c>
      <c r="B11" s="158" t="s">
        <v>323</v>
      </c>
      <c r="C11" s="159" t="s">
        <v>907</v>
      </c>
      <c r="D11" s="159" t="s">
        <v>908</v>
      </c>
      <c r="E11" s="159" t="s">
        <v>909</v>
      </c>
      <c r="F11" s="163" t="s">
        <v>910</v>
      </c>
      <c r="G11" s="159" t="s">
        <v>911</v>
      </c>
      <c r="H11" s="159" t="s">
        <v>912</v>
      </c>
      <c r="I11" s="159" t="s">
        <v>609</v>
      </c>
      <c r="J11" s="159" t="s">
        <v>825</v>
      </c>
      <c r="K11" s="161" t="s">
        <v>883</v>
      </c>
    </row>
    <row r="12" customFormat="false" ht="15" hidden="false" customHeight="false" outlineLevel="0" collapsed="false">
      <c r="A12" s="157" t="s">
        <v>913</v>
      </c>
      <c r="B12" s="158" t="s">
        <v>323</v>
      </c>
      <c r="C12" s="158" t="s">
        <v>914</v>
      </c>
      <c r="D12" s="159" t="s">
        <v>915</v>
      </c>
      <c r="E12" s="159" t="s">
        <v>916</v>
      </c>
      <c r="F12" s="160" t="s">
        <v>879</v>
      </c>
      <c r="G12" s="159" t="s">
        <v>917</v>
      </c>
      <c r="H12" s="158" t="s">
        <v>760</v>
      </c>
      <c r="I12" s="159" t="s">
        <v>624</v>
      </c>
      <c r="J12" s="159" t="s">
        <v>825</v>
      </c>
      <c r="K12" s="161" t="s">
        <v>883</v>
      </c>
    </row>
    <row r="13" customFormat="false" ht="15" hidden="false" customHeight="false" outlineLevel="0" collapsed="false">
      <c r="A13" s="157" t="s">
        <v>918</v>
      </c>
      <c r="B13" s="158" t="s">
        <v>323</v>
      </c>
      <c r="C13" s="159" t="s">
        <v>919</v>
      </c>
      <c r="D13" s="158" t="s">
        <v>920</v>
      </c>
      <c r="E13" s="159" t="s">
        <v>921</v>
      </c>
      <c r="F13" s="162" t="s">
        <v>888</v>
      </c>
      <c r="G13" s="159" t="s">
        <v>922</v>
      </c>
      <c r="H13" s="158" t="s">
        <v>750</v>
      </c>
      <c r="I13" s="159" t="s">
        <v>640</v>
      </c>
      <c r="J13" s="159" t="s">
        <v>825</v>
      </c>
      <c r="K13" s="161" t="s">
        <v>883</v>
      </c>
    </row>
    <row r="14" customFormat="false" ht="15" hidden="false" customHeight="false" outlineLevel="0" collapsed="false">
      <c r="A14" s="157" t="s">
        <v>923</v>
      </c>
      <c r="B14" s="158" t="s">
        <v>323</v>
      </c>
      <c r="C14" s="159" t="s">
        <v>924</v>
      </c>
      <c r="D14" s="158" t="s">
        <v>925</v>
      </c>
      <c r="E14" s="159" t="s">
        <v>926</v>
      </c>
      <c r="F14" s="160" t="s">
        <v>879</v>
      </c>
      <c r="G14" s="159" t="s">
        <v>927</v>
      </c>
      <c r="H14" s="158" t="s">
        <v>750</v>
      </c>
      <c r="I14" s="159" t="s">
        <v>640</v>
      </c>
      <c r="J14" s="159" t="s">
        <v>825</v>
      </c>
      <c r="K14" s="161" t="s">
        <v>883</v>
      </c>
    </row>
    <row r="15" customFormat="false" ht="23.85" hidden="false" customHeight="false" outlineLevel="0" collapsed="false">
      <c r="A15" s="157" t="s">
        <v>928</v>
      </c>
      <c r="B15" s="158" t="s">
        <v>323</v>
      </c>
      <c r="C15" s="159" t="s">
        <v>929</v>
      </c>
      <c r="D15" s="159" t="s">
        <v>930</v>
      </c>
      <c r="E15" s="159" t="s">
        <v>926</v>
      </c>
      <c r="F15" s="160" t="s">
        <v>879</v>
      </c>
      <c r="G15" s="159" t="s">
        <v>931</v>
      </c>
      <c r="H15" s="158" t="s">
        <v>750</v>
      </c>
      <c r="I15" s="159" t="s">
        <v>640</v>
      </c>
      <c r="J15" s="159" t="s">
        <v>825</v>
      </c>
      <c r="K15" s="161" t="s">
        <v>883</v>
      </c>
    </row>
    <row r="16" customFormat="false" ht="15" hidden="false" customHeight="false" outlineLevel="0" collapsed="false">
      <c r="A16" s="157" t="s">
        <v>932</v>
      </c>
      <c r="B16" s="158" t="s">
        <v>323</v>
      </c>
      <c r="C16" s="158" t="s">
        <v>933</v>
      </c>
      <c r="D16" s="159" t="s">
        <v>934</v>
      </c>
      <c r="E16" s="159" t="s">
        <v>935</v>
      </c>
      <c r="F16" s="163" t="s">
        <v>910</v>
      </c>
      <c r="G16" s="159" t="s">
        <v>917</v>
      </c>
      <c r="H16" s="158" t="s">
        <v>750</v>
      </c>
      <c r="I16" s="159" t="s">
        <v>640</v>
      </c>
      <c r="J16" s="159" t="s">
        <v>825</v>
      </c>
      <c r="K16" s="161" t="s">
        <v>883</v>
      </c>
    </row>
    <row r="17" customFormat="false" ht="23.85" hidden="false" customHeight="false" outlineLevel="0" collapsed="false">
      <c r="A17" s="157" t="s">
        <v>936</v>
      </c>
      <c r="B17" s="158" t="s">
        <v>323</v>
      </c>
      <c r="C17" s="159" t="s">
        <v>937</v>
      </c>
      <c r="D17" s="159" t="s">
        <v>938</v>
      </c>
      <c r="E17" s="159" t="s">
        <v>939</v>
      </c>
      <c r="F17" s="162" t="s">
        <v>888</v>
      </c>
      <c r="G17" s="159" t="s">
        <v>940</v>
      </c>
      <c r="H17" s="158" t="s">
        <v>770</v>
      </c>
      <c r="I17" s="159" t="s">
        <v>651</v>
      </c>
      <c r="J17" s="159" t="s">
        <v>825</v>
      </c>
      <c r="K17" s="161" t="s">
        <v>883</v>
      </c>
    </row>
    <row r="18" customFormat="false" ht="15" hidden="false" customHeight="false" outlineLevel="0" collapsed="false">
      <c r="A18" s="157" t="s">
        <v>941</v>
      </c>
      <c r="B18" s="158" t="s">
        <v>323</v>
      </c>
      <c r="C18" s="159" t="s">
        <v>942</v>
      </c>
      <c r="D18" s="159" t="s">
        <v>943</v>
      </c>
      <c r="E18" s="159" t="s">
        <v>944</v>
      </c>
      <c r="F18" s="160" t="s">
        <v>879</v>
      </c>
      <c r="G18" s="159" t="s">
        <v>945</v>
      </c>
      <c r="H18" s="158" t="s">
        <v>770</v>
      </c>
      <c r="I18" s="159" t="s">
        <v>651</v>
      </c>
      <c r="J18" s="159" t="s">
        <v>825</v>
      </c>
      <c r="K18" s="161" t="s">
        <v>883</v>
      </c>
    </row>
    <row r="19" customFormat="false" ht="15" hidden="false" customHeight="false" outlineLevel="0" collapsed="false">
      <c r="A19" s="157" t="s">
        <v>946</v>
      </c>
      <c r="B19" s="158" t="s">
        <v>323</v>
      </c>
      <c r="C19" s="159" t="s">
        <v>947</v>
      </c>
      <c r="D19" s="159" t="s">
        <v>948</v>
      </c>
      <c r="E19" s="159" t="s">
        <v>939</v>
      </c>
      <c r="F19" s="163" t="s">
        <v>910</v>
      </c>
      <c r="G19" s="159" t="s">
        <v>949</v>
      </c>
      <c r="H19" s="158" t="s">
        <v>950</v>
      </c>
      <c r="I19" s="159" t="s">
        <v>951</v>
      </c>
      <c r="J19" s="159" t="s">
        <v>825</v>
      </c>
      <c r="K19" s="161" t="s">
        <v>883</v>
      </c>
    </row>
    <row r="20" customFormat="false" ht="15" hidden="false" customHeight="false" outlineLevel="0" collapsed="false">
      <c r="A20" s="157" t="s">
        <v>952</v>
      </c>
      <c r="B20" s="158" t="s">
        <v>323</v>
      </c>
      <c r="C20" s="159" t="s">
        <v>953</v>
      </c>
      <c r="D20" s="159" t="s">
        <v>954</v>
      </c>
      <c r="E20" s="159" t="s">
        <v>955</v>
      </c>
      <c r="F20" s="160" t="s">
        <v>879</v>
      </c>
      <c r="G20" s="159" t="s">
        <v>956</v>
      </c>
      <c r="H20" s="159" t="s">
        <v>957</v>
      </c>
      <c r="I20" s="158" t="s">
        <v>663</v>
      </c>
      <c r="J20" s="159" t="s">
        <v>825</v>
      </c>
      <c r="K20" s="161" t="s">
        <v>883</v>
      </c>
    </row>
    <row r="21" customFormat="false" ht="15" hidden="false" customHeight="false" outlineLevel="0" collapsed="false">
      <c r="A21" s="157" t="s">
        <v>958</v>
      </c>
      <c r="B21" s="158" t="s">
        <v>323</v>
      </c>
      <c r="C21" s="159" t="s">
        <v>959</v>
      </c>
      <c r="D21" s="159" t="s">
        <v>960</v>
      </c>
      <c r="E21" s="159" t="s">
        <v>939</v>
      </c>
      <c r="F21" s="162" t="s">
        <v>888</v>
      </c>
      <c r="G21" s="159" t="s">
        <v>961</v>
      </c>
      <c r="H21" s="158" t="s">
        <v>750</v>
      </c>
      <c r="I21" s="159" t="s">
        <v>962</v>
      </c>
      <c r="J21" s="159" t="s">
        <v>825</v>
      </c>
      <c r="K21" s="161" t="s">
        <v>883</v>
      </c>
    </row>
    <row r="22" customFormat="false" ht="23.85" hidden="false" customHeight="false" outlineLevel="0" collapsed="false">
      <c r="A22" s="157" t="s">
        <v>963</v>
      </c>
      <c r="B22" s="158" t="s">
        <v>323</v>
      </c>
      <c r="C22" s="159" t="s">
        <v>964</v>
      </c>
      <c r="D22" s="159" t="s">
        <v>965</v>
      </c>
      <c r="E22" s="159" t="s">
        <v>966</v>
      </c>
      <c r="F22" s="162" t="s">
        <v>888</v>
      </c>
      <c r="G22" s="159" t="s">
        <v>967</v>
      </c>
      <c r="H22" s="158" t="s">
        <v>765</v>
      </c>
      <c r="I22" s="159" t="s">
        <v>968</v>
      </c>
      <c r="J22" s="159" t="s">
        <v>825</v>
      </c>
      <c r="K22" s="161" t="s">
        <v>883</v>
      </c>
    </row>
    <row r="23" customFormat="false" ht="15" hidden="false" customHeight="false" outlineLevel="0" collapsed="false">
      <c r="A23" s="157" t="s">
        <v>969</v>
      </c>
      <c r="B23" s="158" t="s">
        <v>323</v>
      </c>
      <c r="C23" s="158" t="s">
        <v>970</v>
      </c>
      <c r="D23" s="159" t="s">
        <v>971</v>
      </c>
      <c r="E23" s="159" t="s">
        <v>972</v>
      </c>
      <c r="F23" s="160" t="s">
        <v>879</v>
      </c>
      <c r="G23" s="159" t="s">
        <v>973</v>
      </c>
      <c r="H23" s="158" t="s">
        <v>755</v>
      </c>
      <c r="I23" s="159" t="s">
        <v>974</v>
      </c>
      <c r="J23" s="159" t="s">
        <v>825</v>
      </c>
      <c r="K23" s="161" t="s">
        <v>883</v>
      </c>
    </row>
    <row r="24" customFormat="false" ht="23.85" hidden="false" customHeight="false" outlineLevel="0" collapsed="false">
      <c r="A24" s="157" t="s">
        <v>975</v>
      </c>
      <c r="B24" s="158" t="s">
        <v>323</v>
      </c>
      <c r="C24" s="158" t="s">
        <v>976</v>
      </c>
      <c r="D24" s="159" t="s">
        <v>977</v>
      </c>
      <c r="E24" s="159" t="s">
        <v>978</v>
      </c>
      <c r="F24" s="162" t="s">
        <v>888</v>
      </c>
      <c r="G24" s="159" t="s">
        <v>979</v>
      </c>
      <c r="H24" s="158" t="s">
        <v>755</v>
      </c>
      <c r="I24" s="159" t="s">
        <v>980</v>
      </c>
      <c r="J24" s="159" t="s">
        <v>825</v>
      </c>
      <c r="K24" s="161" t="s">
        <v>883</v>
      </c>
    </row>
    <row r="25" customFormat="false" ht="15" hidden="false" customHeight="false" outlineLevel="0" collapsed="false">
      <c r="A25" s="157" t="s">
        <v>981</v>
      </c>
      <c r="B25" s="158" t="s">
        <v>323</v>
      </c>
      <c r="C25" s="159" t="s">
        <v>982</v>
      </c>
      <c r="D25" s="159" t="s">
        <v>983</v>
      </c>
      <c r="E25" s="159" t="s">
        <v>984</v>
      </c>
      <c r="F25" s="160" t="s">
        <v>879</v>
      </c>
      <c r="G25" s="159" t="s">
        <v>985</v>
      </c>
      <c r="H25" s="158" t="s">
        <v>755</v>
      </c>
      <c r="I25" s="159" t="s">
        <v>986</v>
      </c>
      <c r="J25" s="158"/>
      <c r="K25" s="161" t="s">
        <v>883</v>
      </c>
    </row>
    <row r="26" customFormat="false" ht="15" hidden="false" customHeight="true" outlineLevel="0" collapsed="false">
      <c r="A26" s="153" t="s">
        <v>987</v>
      </c>
      <c r="B26" s="153" t="s">
        <v>338</v>
      </c>
      <c r="C26" s="154" t="s">
        <v>988</v>
      </c>
      <c r="D26" s="154"/>
      <c r="E26" s="154"/>
      <c r="F26" s="155"/>
      <c r="G26" s="155"/>
      <c r="H26" s="155"/>
      <c r="I26" s="156" t="s">
        <v>784</v>
      </c>
      <c r="J26" s="155"/>
      <c r="K26" s="155"/>
    </row>
    <row r="27" customFormat="false" ht="23.85" hidden="false" customHeight="false" outlineLevel="0" collapsed="false">
      <c r="A27" s="157" t="s">
        <v>989</v>
      </c>
      <c r="B27" s="158" t="s">
        <v>338</v>
      </c>
      <c r="C27" s="159" t="s">
        <v>990</v>
      </c>
      <c r="D27" s="159" t="s">
        <v>991</v>
      </c>
      <c r="E27" s="159" t="s">
        <v>939</v>
      </c>
      <c r="F27" s="160" t="s">
        <v>879</v>
      </c>
      <c r="G27" s="159" t="s">
        <v>973</v>
      </c>
      <c r="H27" s="158" t="s">
        <v>992</v>
      </c>
      <c r="I27" s="159" t="s">
        <v>784</v>
      </c>
      <c r="J27" s="159" t="s">
        <v>993</v>
      </c>
      <c r="K27" s="161" t="s">
        <v>994</v>
      </c>
    </row>
    <row r="28" customFormat="false" ht="23.85" hidden="false" customHeight="false" outlineLevel="0" collapsed="false">
      <c r="A28" s="157" t="s">
        <v>995</v>
      </c>
      <c r="B28" s="158" t="s">
        <v>338</v>
      </c>
      <c r="C28" s="159" t="s">
        <v>996</v>
      </c>
      <c r="D28" s="158" t="s">
        <v>997</v>
      </c>
      <c r="E28" s="159" t="s">
        <v>998</v>
      </c>
      <c r="F28" s="163" t="s">
        <v>910</v>
      </c>
      <c r="G28" s="159" t="s">
        <v>999</v>
      </c>
      <c r="H28" s="158" t="s">
        <v>781</v>
      </c>
      <c r="I28" s="159" t="s">
        <v>784</v>
      </c>
      <c r="J28" s="159" t="s">
        <v>993</v>
      </c>
      <c r="K28" s="161" t="s">
        <v>994</v>
      </c>
    </row>
    <row r="29" customFormat="false" ht="23.85" hidden="false" customHeight="false" outlineLevel="0" collapsed="false">
      <c r="A29" s="157" t="s">
        <v>1000</v>
      </c>
      <c r="B29" s="158" t="s">
        <v>338</v>
      </c>
      <c r="C29" s="159" t="s">
        <v>1001</v>
      </c>
      <c r="D29" s="159" t="s">
        <v>1002</v>
      </c>
      <c r="E29" s="159" t="s">
        <v>978</v>
      </c>
      <c r="F29" s="160" t="s">
        <v>879</v>
      </c>
      <c r="G29" s="159" t="s">
        <v>1003</v>
      </c>
      <c r="H29" s="158" t="s">
        <v>1004</v>
      </c>
      <c r="I29" s="159" t="s">
        <v>784</v>
      </c>
      <c r="J29" s="159" t="s">
        <v>993</v>
      </c>
      <c r="K29" s="161" t="s">
        <v>994</v>
      </c>
    </row>
    <row r="30" customFormat="false" ht="23.85" hidden="false" customHeight="false" outlineLevel="0" collapsed="false">
      <c r="A30" s="157" t="s">
        <v>1005</v>
      </c>
      <c r="B30" s="158" t="s">
        <v>338</v>
      </c>
      <c r="C30" s="159" t="s">
        <v>1006</v>
      </c>
      <c r="D30" s="159" t="s">
        <v>1007</v>
      </c>
      <c r="E30" s="159" t="s">
        <v>939</v>
      </c>
      <c r="F30" s="163" t="s">
        <v>910</v>
      </c>
      <c r="G30" s="159" t="s">
        <v>949</v>
      </c>
      <c r="H30" s="158" t="s">
        <v>781</v>
      </c>
      <c r="I30" s="159" t="s">
        <v>784</v>
      </c>
      <c r="J30" s="159" t="s">
        <v>993</v>
      </c>
      <c r="K30" s="161" t="s">
        <v>994</v>
      </c>
    </row>
    <row r="31" customFormat="false" ht="23.85" hidden="false" customHeight="false" outlineLevel="0" collapsed="false">
      <c r="A31" s="157" t="s">
        <v>1008</v>
      </c>
      <c r="B31" s="158" t="s">
        <v>338</v>
      </c>
      <c r="C31" s="158" t="s">
        <v>1009</v>
      </c>
      <c r="D31" s="158" t="s">
        <v>1010</v>
      </c>
      <c r="E31" s="159" t="s">
        <v>939</v>
      </c>
      <c r="F31" s="160" t="s">
        <v>879</v>
      </c>
      <c r="G31" s="159" t="s">
        <v>1011</v>
      </c>
      <c r="H31" s="158" t="s">
        <v>781</v>
      </c>
      <c r="I31" s="159" t="s">
        <v>784</v>
      </c>
      <c r="J31" s="159" t="s">
        <v>993</v>
      </c>
      <c r="K31" s="161" t="s">
        <v>994</v>
      </c>
    </row>
    <row r="32" customFormat="false" ht="23.85" hidden="false" customHeight="false" outlineLevel="0" collapsed="false">
      <c r="A32" s="157" t="s">
        <v>1012</v>
      </c>
      <c r="B32" s="158" t="s">
        <v>338</v>
      </c>
      <c r="C32" s="158" t="s">
        <v>1013</v>
      </c>
      <c r="D32" s="159" t="s">
        <v>1014</v>
      </c>
      <c r="E32" s="159" t="s">
        <v>1015</v>
      </c>
      <c r="F32" s="160" t="s">
        <v>879</v>
      </c>
      <c r="G32" s="159" t="s">
        <v>1016</v>
      </c>
      <c r="H32" s="158" t="s">
        <v>781</v>
      </c>
      <c r="I32" s="159" t="s">
        <v>784</v>
      </c>
      <c r="J32" s="159" t="s">
        <v>993</v>
      </c>
      <c r="K32" s="161" t="s">
        <v>994</v>
      </c>
    </row>
    <row r="33" customFormat="false" ht="23.85" hidden="false" customHeight="false" outlineLevel="0" collapsed="false">
      <c r="A33" s="157" t="s">
        <v>1017</v>
      </c>
      <c r="B33" s="158" t="s">
        <v>338</v>
      </c>
      <c r="C33" s="159" t="s">
        <v>1018</v>
      </c>
      <c r="D33" s="158" t="s">
        <v>1019</v>
      </c>
      <c r="E33" s="159" t="s">
        <v>1020</v>
      </c>
      <c r="F33" s="163" t="s">
        <v>910</v>
      </c>
      <c r="G33" s="159" t="s">
        <v>1021</v>
      </c>
      <c r="H33" s="158" t="s">
        <v>1022</v>
      </c>
      <c r="I33" s="159" t="s">
        <v>1023</v>
      </c>
      <c r="J33" s="159" t="s">
        <v>1024</v>
      </c>
      <c r="K33" s="161" t="s">
        <v>994</v>
      </c>
    </row>
    <row r="34" customFormat="false" ht="23.85" hidden="false" customHeight="false" outlineLevel="0" collapsed="false">
      <c r="A34" s="157" t="s">
        <v>1025</v>
      </c>
      <c r="B34" s="158" t="s">
        <v>338</v>
      </c>
      <c r="C34" s="158" t="s">
        <v>1026</v>
      </c>
      <c r="D34" s="159" t="s">
        <v>1027</v>
      </c>
      <c r="E34" s="159" t="s">
        <v>1028</v>
      </c>
      <c r="F34" s="160" t="s">
        <v>879</v>
      </c>
      <c r="G34" s="159" t="s">
        <v>1029</v>
      </c>
      <c r="H34" s="158" t="s">
        <v>1030</v>
      </c>
      <c r="I34" s="159" t="s">
        <v>784</v>
      </c>
      <c r="J34" s="159" t="s">
        <v>993</v>
      </c>
      <c r="K34" s="161" t="s">
        <v>994</v>
      </c>
    </row>
    <row r="35" customFormat="false" ht="23.85" hidden="false" customHeight="false" outlineLevel="0" collapsed="false">
      <c r="A35" s="157" t="s">
        <v>1031</v>
      </c>
      <c r="B35" s="158" t="s">
        <v>338</v>
      </c>
      <c r="C35" s="158" t="s">
        <v>1032</v>
      </c>
      <c r="D35" s="159" t="s">
        <v>1033</v>
      </c>
      <c r="E35" s="159" t="s">
        <v>1034</v>
      </c>
      <c r="F35" s="162" t="s">
        <v>888</v>
      </c>
      <c r="G35" s="159" t="s">
        <v>1035</v>
      </c>
      <c r="H35" s="158" t="s">
        <v>1030</v>
      </c>
      <c r="I35" s="159" t="s">
        <v>784</v>
      </c>
      <c r="J35" s="159" t="s">
        <v>1036</v>
      </c>
      <c r="K35" s="161" t="s">
        <v>994</v>
      </c>
    </row>
    <row r="36" customFormat="false" ht="15" hidden="false" customHeight="true" outlineLevel="0" collapsed="false">
      <c r="A36" s="153" t="s">
        <v>1037</v>
      </c>
      <c r="B36" s="153" t="s">
        <v>353</v>
      </c>
      <c r="C36" s="154" t="s">
        <v>1038</v>
      </c>
      <c r="D36" s="154"/>
      <c r="E36" s="154"/>
      <c r="F36" s="155"/>
      <c r="G36" s="155"/>
      <c r="H36" s="155"/>
      <c r="I36" s="156" t="s">
        <v>784</v>
      </c>
      <c r="J36" s="155"/>
      <c r="K36" s="155"/>
    </row>
    <row r="37" customFormat="false" ht="15" hidden="false" customHeight="false" outlineLevel="0" collapsed="false">
      <c r="A37" s="157" t="s">
        <v>1039</v>
      </c>
      <c r="B37" s="158" t="s">
        <v>353</v>
      </c>
      <c r="C37" s="159" t="s">
        <v>1040</v>
      </c>
      <c r="D37" s="159" t="s">
        <v>1041</v>
      </c>
      <c r="E37" s="159" t="s">
        <v>1042</v>
      </c>
      <c r="F37" s="163" t="s">
        <v>910</v>
      </c>
      <c r="G37" s="159" t="s">
        <v>1043</v>
      </c>
      <c r="H37" s="158"/>
      <c r="I37" s="159" t="s">
        <v>784</v>
      </c>
      <c r="J37" s="159" t="s">
        <v>1044</v>
      </c>
      <c r="K37" s="161" t="s">
        <v>1045</v>
      </c>
    </row>
    <row r="38" customFormat="false" ht="23.85" hidden="false" customHeight="false" outlineLevel="0" collapsed="false">
      <c r="A38" s="157" t="s">
        <v>1046</v>
      </c>
      <c r="B38" s="158" t="s">
        <v>353</v>
      </c>
      <c r="C38" s="158" t="s">
        <v>1047</v>
      </c>
      <c r="D38" s="158" t="s">
        <v>1048</v>
      </c>
      <c r="E38" s="159" t="s">
        <v>1049</v>
      </c>
      <c r="F38" s="160" t="s">
        <v>879</v>
      </c>
      <c r="G38" s="159" t="s">
        <v>956</v>
      </c>
      <c r="H38" s="158" t="s">
        <v>745</v>
      </c>
      <c r="I38" s="159" t="s">
        <v>784</v>
      </c>
      <c r="J38" s="159" t="s">
        <v>1044</v>
      </c>
      <c r="K38" s="161" t="s">
        <v>1045</v>
      </c>
    </row>
    <row r="39" customFormat="false" ht="23.85" hidden="false" customHeight="false" outlineLevel="0" collapsed="false">
      <c r="A39" s="157" t="s">
        <v>1050</v>
      </c>
      <c r="B39" s="158" t="s">
        <v>353</v>
      </c>
      <c r="C39" s="158" t="s">
        <v>1051</v>
      </c>
      <c r="D39" s="159" t="s">
        <v>1052</v>
      </c>
      <c r="E39" s="159" t="s">
        <v>1053</v>
      </c>
      <c r="F39" s="160" t="s">
        <v>879</v>
      </c>
      <c r="G39" s="158" t="s">
        <v>1054</v>
      </c>
      <c r="H39" s="158" t="s">
        <v>269</v>
      </c>
      <c r="I39" s="159" t="s">
        <v>784</v>
      </c>
      <c r="J39" s="159" t="s">
        <v>1044</v>
      </c>
      <c r="K39" s="161" t="s">
        <v>1045</v>
      </c>
    </row>
    <row r="40" customFormat="false" ht="23.85" hidden="false" customHeight="false" outlineLevel="0" collapsed="false">
      <c r="A40" s="157" t="s">
        <v>1055</v>
      </c>
      <c r="B40" s="158" t="s">
        <v>353</v>
      </c>
      <c r="C40" s="159" t="s">
        <v>1056</v>
      </c>
      <c r="D40" s="159" t="s">
        <v>1057</v>
      </c>
      <c r="E40" s="159" t="s">
        <v>939</v>
      </c>
      <c r="F40" s="163" t="s">
        <v>910</v>
      </c>
      <c r="G40" s="159" t="s">
        <v>1003</v>
      </c>
      <c r="H40" s="158" t="s">
        <v>1004</v>
      </c>
      <c r="I40" s="159" t="s">
        <v>784</v>
      </c>
      <c r="J40" s="159" t="s">
        <v>993</v>
      </c>
      <c r="K40" s="161" t="s">
        <v>1045</v>
      </c>
    </row>
    <row r="41" customFormat="false" ht="23.85" hidden="false" customHeight="false" outlineLevel="0" collapsed="false">
      <c r="A41" s="157" t="s">
        <v>1058</v>
      </c>
      <c r="B41" s="158" t="s">
        <v>353</v>
      </c>
      <c r="C41" s="158" t="s">
        <v>1059</v>
      </c>
      <c r="D41" s="158" t="s">
        <v>1060</v>
      </c>
      <c r="E41" s="159" t="s">
        <v>1061</v>
      </c>
      <c r="F41" s="163" t="s">
        <v>910</v>
      </c>
      <c r="G41" s="159" t="s">
        <v>1062</v>
      </c>
      <c r="H41" s="158"/>
      <c r="I41" s="159" t="s">
        <v>784</v>
      </c>
      <c r="J41" s="159" t="s">
        <v>1044</v>
      </c>
      <c r="K41" s="161" t="s">
        <v>1045</v>
      </c>
    </row>
    <row r="42" customFormat="false" ht="15" hidden="false" customHeight="true" outlineLevel="0" collapsed="false">
      <c r="A42" s="153" t="s">
        <v>1063</v>
      </c>
      <c r="B42" s="153" t="s">
        <v>1064</v>
      </c>
      <c r="C42" s="154" t="s">
        <v>1065</v>
      </c>
      <c r="D42" s="154"/>
      <c r="E42" s="154"/>
      <c r="F42" s="155"/>
      <c r="G42" s="155"/>
      <c r="H42" s="155"/>
      <c r="I42" s="156" t="s">
        <v>784</v>
      </c>
      <c r="J42" s="155"/>
      <c r="K42" s="155"/>
    </row>
    <row r="43" customFormat="false" ht="23.85" hidden="false" customHeight="false" outlineLevel="0" collapsed="false">
      <c r="A43" s="157" t="s">
        <v>1066</v>
      </c>
      <c r="B43" s="158" t="s">
        <v>1064</v>
      </c>
      <c r="C43" s="159" t="s">
        <v>1067</v>
      </c>
      <c r="D43" s="159" t="s">
        <v>1068</v>
      </c>
      <c r="E43" s="159" t="s">
        <v>1053</v>
      </c>
      <c r="F43" s="163" t="s">
        <v>910</v>
      </c>
      <c r="G43" s="159" t="s">
        <v>1011</v>
      </c>
      <c r="H43" s="158" t="s">
        <v>788</v>
      </c>
      <c r="I43" s="159" t="s">
        <v>784</v>
      </c>
      <c r="J43" s="159" t="s">
        <v>1024</v>
      </c>
      <c r="K43" s="161" t="s">
        <v>1069</v>
      </c>
    </row>
    <row r="44" customFormat="false" ht="23.85" hidden="false" customHeight="false" outlineLevel="0" collapsed="false">
      <c r="A44" s="157" t="s">
        <v>1070</v>
      </c>
      <c r="B44" s="158" t="s">
        <v>1064</v>
      </c>
      <c r="C44" s="158" t="s">
        <v>1071</v>
      </c>
      <c r="D44" s="159" t="s">
        <v>1072</v>
      </c>
      <c r="E44" s="159" t="s">
        <v>939</v>
      </c>
      <c r="F44" s="163" t="s">
        <v>910</v>
      </c>
      <c r="G44" s="159" t="s">
        <v>949</v>
      </c>
      <c r="H44" s="158" t="s">
        <v>788</v>
      </c>
      <c r="I44" s="159" t="s">
        <v>784</v>
      </c>
      <c r="J44" s="159" t="s">
        <v>1024</v>
      </c>
      <c r="K44" s="161" t="s">
        <v>1069</v>
      </c>
    </row>
    <row r="45" customFormat="false" ht="23.85" hidden="false" customHeight="false" outlineLevel="0" collapsed="false">
      <c r="A45" s="157" t="s">
        <v>1073</v>
      </c>
      <c r="B45" s="158" t="s">
        <v>1064</v>
      </c>
      <c r="C45" s="159" t="s">
        <v>1074</v>
      </c>
      <c r="D45" s="159" t="s">
        <v>1075</v>
      </c>
      <c r="E45" s="159" t="s">
        <v>1076</v>
      </c>
      <c r="F45" s="160" t="s">
        <v>879</v>
      </c>
      <c r="G45" s="159" t="s">
        <v>1077</v>
      </c>
      <c r="H45" s="158" t="s">
        <v>1078</v>
      </c>
      <c r="I45" s="159" t="s">
        <v>784</v>
      </c>
      <c r="J45" s="159" t="s">
        <v>1024</v>
      </c>
      <c r="K45" s="161" t="s">
        <v>1069</v>
      </c>
    </row>
    <row r="46" customFormat="false" ht="15" hidden="false" customHeight="true" outlineLevel="0" collapsed="false">
      <c r="A46" s="153" t="s">
        <v>1079</v>
      </c>
      <c r="B46" s="153" t="s">
        <v>373</v>
      </c>
      <c r="C46" s="153" t="s">
        <v>1080</v>
      </c>
      <c r="D46" s="153"/>
      <c r="E46" s="153"/>
      <c r="F46" s="155"/>
      <c r="G46" s="155"/>
      <c r="H46" s="155"/>
      <c r="I46" s="156" t="s">
        <v>1081</v>
      </c>
      <c r="J46" s="155"/>
      <c r="K46" s="155"/>
    </row>
    <row r="47" customFormat="false" ht="15" hidden="false" customHeight="false" outlineLevel="0" collapsed="false">
      <c r="A47" s="157" t="s">
        <v>1082</v>
      </c>
      <c r="B47" s="158" t="s">
        <v>373</v>
      </c>
      <c r="C47" s="159" t="s">
        <v>1083</v>
      </c>
      <c r="D47" s="159" t="s">
        <v>1084</v>
      </c>
      <c r="E47" s="159" t="s">
        <v>1085</v>
      </c>
      <c r="F47" s="160" t="s">
        <v>879</v>
      </c>
      <c r="G47" s="159" t="s">
        <v>949</v>
      </c>
      <c r="H47" s="158" t="s">
        <v>775</v>
      </c>
      <c r="I47" s="159" t="s">
        <v>1081</v>
      </c>
      <c r="J47" s="159" t="s">
        <v>1086</v>
      </c>
      <c r="K47" s="164" t="s">
        <v>1087</v>
      </c>
    </row>
    <row r="48" customFormat="false" ht="23.85" hidden="false" customHeight="false" outlineLevel="0" collapsed="false">
      <c r="A48" s="157" t="s">
        <v>1088</v>
      </c>
      <c r="B48" s="158" t="s">
        <v>373</v>
      </c>
      <c r="C48" s="159" t="s">
        <v>1089</v>
      </c>
      <c r="D48" s="159" t="s">
        <v>1090</v>
      </c>
      <c r="E48" s="159" t="s">
        <v>926</v>
      </c>
      <c r="F48" s="160" t="s">
        <v>879</v>
      </c>
      <c r="G48" s="159" t="s">
        <v>931</v>
      </c>
      <c r="H48" s="158" t="s">
        <v>1091</v>
      </c>
      <c r="I48" s="159" t="s">
        <v>784</v>
      </c>
      <c r="J48" s="159" t="s">
        <v>1086</v>
      </c>
      <c r="K48" s="164" t="s">
        <v>1087</v>
      </c>
    </row>
    <row r="49" customFormat="false" ht="23.85" hidden="false" customHeight="false" outlineLevel="0" collapsed="false">
      <c r="A49" s="157" t="s">
        <v>1092</v>
      </c>
      <c r="B49" s="158" t="s">
        <v>373</v>
      </c>
      <c r="C49" s="158" t="s">
        <v>1093</v>
      </c>
      <c r="D49" s="159" t="s">
        <v>1094</v>
      </c>
      <c r="E49" s="159" t="s">
        <v>939</v>
      </c>
      <c r="F49" s="163" t="s">
        <v>910</v>
      </c>
      <c r="G49" s="159" t="s">
        <v>1095</v>
      </c>
      <c r="H49" s="158" t="s">
        <v>775</v>
      </c>
      <c r="I49" s="159" t="s">
        <v>784</v>
      </c>
      <c r="J49" s="159" t="s">
        <v>1086</v>
      </c>
      <c r="K49" s="164" t="s">
        <v>1087</v>
      </c>
    </row>
    <row r="50" customFormat="false" ht="23.85" hidden="false" customHeight="false" outlineLevel="0" collapsed="false">
      <c r="A50" s="157" t="s">
        <v>1096</v>
      </c>
      <c r="B50" s="158" t="s">
        <v>373</v>
      </c>
      <c r="C50" s="159" t="s">
        <v>1097</v>
      </c>
      <c r="D50" s="158" t="s">
        <v>1098</v>
      </c>
      <c r="E50" s="159" t="s">
        <v>939</v>
      </c>
      <c r="F50" s="163" t="s">
        <v>910</v>
      </c>
      <c r="G50" s="159" t="s">
        <v>949</v>
      </c>
      <c r="H50" s="158" t="s">
        <v>775</v>
      </c>
      <c r="I50" s="159" t="s">
        <v>784</v>
      </c>
      <c r="J50" s="159" t="s">
        <v>1086</v>
      </c>
      <c r="K50" s="164" t="s">
        <v>1087</v>
      </c>
    </row>
    <row r="51" customFormat="false" ht="23.85" hidden="false" customHeight="false" outlineLevel="0" collapsed="false">
      <c r="A51" s="157" t="s">
        <v>1099</v>
      </c>
      <c r="B51" s="158" t="s">
        <v>373</v>
      </c>
      <c r="C51" s="159" t="s">
        <v>1100</v>
      </c>
      <c r="D51" s="159" t="s">
        <v>1101</v>
      </c>
      <c r="E51" s="159" t="s">
        <v>1102</v>
      </c>
      <c r="F51" s="160" t="s">
        <v>879</v>
      </c>
      <c r="G51" s="159" t="s">
        <v>956</v>
      </c>
      <c r="H51" s="159" t="s">
        <v>898</v>
      </c>
      <c r="I51" s="159" t="s">
        <v>784</v>
      </c>
      <c r="J51" s="159" t="s">
        <v>1086</v>
      </c>
      <c r="K51" s="164" t="s">
        <v>1087</v>
      </c>
    </row>
    <row r="52" customFormat="false" ht="23.85" hidden="false" customHeight="false" outlineLevel="0" collapsed="false">
      <c r="A52" s="157" t="s">
        <v>1103</v>
      </c>
      <c r="B52" s="158" t="s">
        <v>373</v>
      </c>
      <c r="C52" s="159" t="s">
        <v>1104</v>
      </c>
      <c r="D52" s="159" t="s">
        <v>1105</v>
      </c>
      <c r="E52" s="159" t="s">
        <v>1106</v>
      </c>
      <c r="F52" s="162" t="s">
        <v>888</v>
      </c>
      <c r="G52" s="159" t="s">
        <v>1107</v>
      </c>
      <c r="H52" s="158" t="s">
        <v>275</v>
      </c>
      <c r="I52" s="159" t="s">
        <v>784</v>
      </c>
      <c r="J52" s="159" t="s">
        <v>1086</v>
      </c>
      <c r="K52" s="164" t="s">
        <v>1087</v>
      </c>
    </row>
    <row r="53" customFormat="false" ht="23.85" hidden="false" customHeight="false" outlineLevel="0" collapsed="false">
      <c r="A53" s="157" t="s">
        <v>1108</v>
      </c>
      <c r="B53" s="158" t="s">
        <v>373</v>
      </c>
      <c r="C53" s="159" t="s">
        <v>1109</v>
      </c>
      <c r="D53" s="159" t="s">
        <v>1110</v>
      </c>
      <c r="E53" s="159" t="s">
        <v>1111</v>
      </c>
      <c r="F53" s="163" t="s">
        <v>910</v>
      </c>
      <c r="G53" s="159" t="s">
        <v>949</v>
      </c>
      <c r="H53" s="158" t="s">
        <v>775</v>
      </c>
      <c r="I53" s="158" t="s">
        <v>1112</v>
      </c>
      <c r="J53" s="158"/>
      <c r="K53" s="164" t="s">
        <v>1087</v>
      </c>
    </row>
    <row r="54" customFormat="false" ht="15" hidden="false" customHeight="true" outlineLevel="0" collapsed="false">
      <c r="A54" s="153" t="s">
        <v>1113</v>
      </c>
      <c r="B54" s="153" t="s">
        <v>388</v>
      </c>
      <c r="C54" s="154" t="s">
        <v>1114</v>
      </c>
      <c r="D54" s="154"/>
      <c r="E54" s="154"/>
      <c r="F54" s="155"/>
      <c r="G54" s="155"/>
      <c r="H54" s="155"/>
      <c r="I54" s="156" t="s">
        <v>784</v>
      </c>
      <c r="J54" s="155"/>
      <c r="K54" s="155"/>
    </row>
    <row r="55" customFormat="false" ht="15" hidden="false" customHeight="false" outlineLevel="0" collapsed="false">
      <c r="A55" s="157" t="s">
        <v>1115</v>
      </c>
      <c r="B55" s="158" t="s">
        <v>388</v>
      </c>
      <c r="C55" s="159" t="s">
        <v>1116</v>
      </c>
      <c r="D55" s="159" t="s">
        <v>1117</v>
      </c>
      <c r="E55" s="159" t="s">
        <v>998</v>
      </c>
      <c r="F55" s="163" t="s">
        <v>910</v>
      </c>
      <c r="G55" s="159" t="s">
        <v>949</v>
      </c>
      <c r="H55" s="158" t="s">
        <v>1118</v>
      </c>
      <c r="I55" s="159" t="s">
        <v>784</v>
      </c>
      <c r="J55" s="159" t="s">
        <v>1024</v>
      </c>
      <c r="K55" s="161" t="s">
        <v>1119</v>
      </c>
    </row>
    <row r="56" customFormat="false" ht="23.85" hidden="false" customHeight="false" outlineLevel="0" collapsed="false">
      <c r="A56" s="157" t="s">
        <v>1120</v>
      </c>
      <c r="B56" s="158" t="s">
        <v>388</v>
      </c>
      <c r="C56" s="158" t="s">
        <v>1121</v>
      </c>
      <c r="D56" s="159" t="s">
        <v>1122</v>
      </c>
      <c r="E56" s="159" t="s">
        <v>1102</v>
      </c>
      <c r="F56" s="162" t="s">
        <v>888</v>
      </c>
      <c r="G56" s="159" t="s">
        <v>1123</v>
      </c>
      <c r="H56" s="158" t="s">
        <v>1124</v>
      </c>
      <c r="I56" s="159" t="s">
        <v>784</v>
      </c>
      <c r="J56" s="159" t="s">
        <v>1024</v>
      </c>
      <c r="K56" s="161" t="s">
        <v>1119</v>
      </c>
    </row>
    <row r="57" customFormat="false" ht="23.85" hidden="false" customHeight="false" outlineLevel="0" collapsed="false">
      <c r="A57" s="157" t="s">
        <v>1125</v>
      </c>
      <c r="B57" s="158" t="s">
        <v>388</v>
      </c>
      <c r="C57" s="159" t="s">
        <v>1126</v>
      </c>
      <c r="D57" s="158" t="s">
        <v>1127</v>
      </c>
      <c r="E57" s="159" t="s">
        <v>1128</v>
      </c>
      <c r="F57" s="160" t="s">
        <v>879</v>
      </c>
      <c r="G57" s="159" t="s">
        <v>1129</v>
      </c>
      <c r="H57" s="159" t="s">
        <v>1130</v>
      </c>
      <c r="I57" s="159" t="s">
        <v>784</v>
      </c>
      <c r="J57" s="159" t="s">
        <v>1131</v>
      </c>
      <c r="K57" s="161" t="s">
        <v>1119</v>
      </c>
    </row>
    <row r="58" customFormat="false" ht="23.85" hidden="false" customHeight="false" outlineLevel="0" collapsed="false">
      <c r="A58" s="157" t="s">
        <v>1132</v>
      </c>
      <c r="B58" s="158" t="s">
        <v>388</v>
      </c>
      <c r="C58" s="159" t="s">
        <v>1133</v>
      </c>
      <c r="D58" s="158" t="s">
        <v>1134</v>
      </c>
      <c r="E58" s="158" t="s">
        <v>1135</v>
      </c>
      <c r="F58" s="160" t="s">
        <v>879</v>
      </c>
      <c r="G58" s="159" t="s">
        <v>956</v>
      </c>
      <c r="H58" s="158" t="s">
        <v>1136</v>
      </c>
      <c r="I58" s="159" t="s">
        <v>784</v>
      </c>
      <c r="J58" s="159" t="s">
        <v>1024</v>
      </c>
      <c r="K58" s="161" t="s">
        <v>1119</v>
      </c>
    </row>
    <row r="59" customFormat="false" ht="23.85" hidden="false" customHeight="false" outlineLevel="0" collapsed="false">
      <c r="A59" s="157" t="s">
        <v>1137</v>
      </c>
      <c r="B59" s="158" t="s">
        <v>388</v>
      </c>
      <c r="C59" s="159" t="s">
        <v>1138</v>
      </c>
      <c r="D59" s="159" t="s">
        <v>1139</v>
      </c>
      <c r="E59" s="158" t="s">
        <v>1140</v>
      </c>
      <c r="F59" s="162" t="s">
        <v>888</v>
      </c>
      <c r="G59" s="159" t="s">
        <v>1141</v>
      </c>
      <c r="H59" s="158" t="s">
        <v>424</v>
      </c>
      <c r="I59" s="159" t="s">
        <v>784</v>
      </c>
      <c r="J59" s="159" t="s">
        <v>1024</v>
      </c>
      <c r="K59" s="161" t="s">
        <v>1119</v>
      </c>
    </row>
    <row r="60" customFormat="false" ht="23.85" hidden="false" customHeight="false" outlineLevel="0" collapsed="false">
      <c r="A60" s="157" t="s">
        <v>1142</v>
      </c>
      <c r="B60" s="158" t="s">
        <v>388</v>
      </c>
      <c r="C60" s="159" t="s">
        <v>1143</v>
      </c>
      <c r="D60" s="159" t="s">
        <v>1144</v>
      </c>
      <c r="E60" s="159" t="s">
        <v>1145</v>
      </c>
      <c r="F60" s="160" t="s">
        <v>879</v>
      </c>
      <c r="G60" s="159" t="s">
        <v>931</v>
      </c>
      <c r="H60" s="158" t="s">
        <v>811</v>
      </c>
      <c r="I60" s="159" t="s">
        <v>1146</v>
      </c>
      <c r="J60" s="159" t="s">
        <v>1131</v>
      </c>
      <c r="K60" s="161" t="s">
        <v>1119</v>
      </c>
    </row>
    <row r="61" customFormat="false" ht="15" hidden="false" customHeight="true" outlineLevel="0" collapsed="false">
      <c r="A61" s="153" t="s">
        <v>1147</v>
      </c>
      <c r="B61" s="153" t="s">
        <v>397</v>
      </c>
      <c r="C61" s="154" t="s">
        <v>1148</v>
      </c>
      <c r="D61" s="154"/>
      <c r="E61" s="154"/>
      <c r="F61" s="155"/>
      <c r="G61" s="155"/>
      <c r="H61" s="155"/>
      <c r="I61" s="156" t="s">
        <v>784</v>
      </c>
      <c r="J61" s="155"/>
      <c r="K61" s="155"/>
    </row>
    <row r="62" customFormat="false" ht="15" hidden="false" customHeight="false" outlineLevel="0" collapsed="false">
      <c r="A62" s="157" t="s">
        <v>1149</v>
      </c>
      <c r="B62" s="158" t="s">
        <v>397</v>
      </c>
      <c r="C62" s="159" t="s">
        <v>1150</v>
      </c>
      <c r="D62" s="158" t="s">
        <v>1151</v>
      </c>
      <c r="E62" s="159" t="s">
        <v>1152</v>
      </c>
      <c r="F62" s="163" t="s">
        <v>910</v>
      </c>
      <c r="G62" s="159" t="s">
        <v>1011</v>
      </c>
      <c r="H62" s="158" t="s">
        <v>1153</v>
      </c>
      <c r="I62" s="159" t="s">
        <v>784</v>
      </c>
      <c r="J62" s="159" t="s">
        <v>1024</v>
      </c>
      <c r="K62" s="161" t="s">
        <v>1154</v>
      </c>
    </row>
    <row r="63" customFormat="false" ht="23.85" hidden="false" customHeight="false" outlineLevel="0" collapsed="false">
      <c r="A63" s="157" t="s">
        <v>1155</v>
      </c>
      <c r="B63" s="158" t="s">
        <v>397</v>
      </c>
      <c r="C63" s="159" t="s">
        <v>1156</v>
      </c>
      <c r="D63" s="158" t="s">
        <v>1157</v>
      </c>
      <c r="E63" s="159" t="s">
        <v>1158</v>
      </c>
      <c r="F63" s="160" t="s">
        <v>879</v>
      </c>
      <c r="G63" s="159" t="s">
        <v>1159</v>
      </c>
      <c r="H63" s="158" t="s">
        <v>800</v>
      </c>
      <c r="I63" s="159" t="s">
        <v>784</v>
      </c>
      <c r="J63" s="159" t="s">
        <v>1024</v>
      </c>
      <c r="K63" s="161" t="s">
        <v>1154</v>
      </c>
    </row>
    <row r="64" customFormat="false" ht="23.85" hidden="false" customHeight="false" outlineLevel="0" collapsed="false">
      <c r="A64" s="157" t="s">
        <v>1160</v>
      </c>
      <c r="B64" s="158" t="s">
        <v>397</v>
      </c>
      <c r="C64" s="158" t="s">
        <v>1161</v>
      </c>
      <c r="D64" s="158" t="s">
        <v>1162</v>
      </c>
      <c r="E64" s="159" t="s">
        <v>1163</v>
      </c>
      <c r="F64" s="160" t="s">
        <v>879</v>
      </c>
      <c r="G64" s="159" t="s">
        <v>1164</v>
      </c>
      <c r="H64" s="158" t="s">
        <v>800</v>
      </c>
      <c r="I64" s="159" t="s">
        <v>784</v>
      </c>
      <c r="J64" s="159" t="s">
        <v>1024</v>
      </c>
      <c r="K64" s="161" t="s">
        <v>1154</v>
      </c>
    </row>
    <row r="65" customFormat="false" ht="23.85" hidden="false" customHeight="false" outlineLevel="0" collapsed="false">
      <c r="A65" s="157" t="s">
        <v>1165</v>
      </c>
      <c r="B65" s="158" t="s">
        <v>397</v>
      </c>
      <c r="C65" s="159" t="s">
        <v>1166</v>
      </c>
      <c r="D65" s="159" t="s">
        <v>1167</v>
      </c>
      <c r="E65" s="159" t="s">
        <v>939</v>
      </c>
      <c r="F65" s="163" t="s">
        <v>910</v>
      </c>
      <c r="G65" s="159" t="s">
        <v>949</v>
      </c>
      <c r="H65" s="158" t="s">
        <v>800</v>
      </c>
      <c r="I65" s="159" t="s">
        <v>784</v>
      </c>
      <c r="J65" s="159" t="s">
        <v>1024</v>
      </c>
      <c r="K65" s="161" t="s">
        <v>1154</v>
      </c>
    </row>
    <row r="66" customFormat="false" ht="15" hidden="false" customHeight="true" outlineLevel="0" collapsed="false">
      <c r="A66" s="153" t="s">
        <v>1168</v>
      </c>
      <c r="B66" s="153" t="s">
        <v>409</v>
      </c>
      <c r="C66" s="154" t="s">
        <v>1169</v>
      </c>
      <c r="D66" s="154"/>
      <c r="E66" s="154"/>
      <c r="F66" s="155"/>
      <c r="G66" s="155"/>
      <c r="H66" s="155"/>
      <c r="I66" s="156" t="s">
        <v>1170</v>
      </c>
      <c r="J66" s="155"/>
      <c r="K66" s="155"/>
    </row>
    <row r="67" customFormat="false" ht="23.85" hidden="false" customHeight="false" outlineLevel="0" collapsed="false">
      <c r="A67" s="157" t="s">
        <v>1171</v>
      </c>
      <c r="B67" s="158" t="s">
        <v>409</v>
      </c>
      <c r="C67" s="159" t="s">
        <v>1172</v>
      </c>
      <c r="D67" s="158" t="s">
        <v>1173</v>
      </c>
      <c r="E67" s="159" t="s">
        <v>1152</v>
      </c>
      <c r="F67" s="162" t="s">
        <v>888</v>
      </c>
      <c r="G67" s="159" t="s">
        <v>1174</v>
      </c>
      <c r="H67" s="158" t="s">
        <v>811</v>
      </c>
      <c r="I67" s="159" t="s">
        <v>1146</v>
      </c>
      <c r="J67" s="159" t="s">
        <v>1024</v>
      </c>
      <c r="K67" s="161" t="s">
        <v>1175</v>
      </c>
    </row>
    <row r="68" customFormat="false" ht="23.85" hidden="false" customHeight="false" outlineLevel="0" collapsed="false">
      <c r="A68" s="157" t="s">
        <v>1176</v>
      </c>
      <c r="B68" s="158" t="s">
        <v>409</v>
      </c>
      <c r="C68" s="159" t="s">
        <v>1177</v>
      </c>
      <c r="D68" s="159" t="s">
        <v>1178</v>
      </c>
      <c r="E68" s="159" t="s">
        <v>1179</v>
      </c>
      <c r="F68" s="160" t="s">
        <v>879</v>
      </c>
      <c r="G68" s="159" t="s">
        <v>1180</v>
      </c>
      <c r="H68" s="158" t="s">
        <v>793</v>
      </c>
      <c r="I68" s="159" t="s">
        <v>1146</v>
      </c>
      <c r="J68" s="159" t="s">
        <v>1024</v>
      </c>
      <c r="K68" s="161" t="s">
        <v>1175</v>
      </c>
    </row>
    <row r="69" customFormat="false" ht="23.85" hidden="false" customHeight="false" outlineLevel="0" collapsed="false">
      <c r="A69" s="157" t="s">
        <v>1181</v>
      </c>
      <c r="B69" s="158" t="s">
        <v>409</v>
      </c>
      <c r="C69" s="159" t="s">
        <v>1182</v>
      </c>
      <c r="D69" s="159" t="s">
        <v>1183</v>
      </c>
      <c r="E69" s="159" t="s">
        <v>1184</v>
      </c>
      <c r="F69" s="160" t="s">
        <v>879</v>
      </c>
      <c r="G69" s="159" t="s">
        <v>1164</v>
      </c>
      <c r="H69" s="158" t="s">
        <v>805</v>
      </c>
      <c r="I69" s="159" t="s">
        <v>1185</v>
      </c>
      <c r="J69" s="159" t="s">
        <v>1024</v>
      </c>
      <c r="K69" s="161" t="s">
        <v>1175</v>
      </c>
    </row>
    <row r="70" customFormat="false" ht="23.85" hidden="false" customHeight="false" outlineLevel="0" collapsed="false">
      <c r="A70" s="157" t="s">
        <v>1186</v>
      </c>
      <c r="B70" s="158" t="s">
        <v>409</v>
      </c>
      <c r="C70" s="159" t="s">
        <v>1187</v>
      </c>
      <c r="D70" s="158" t="s">
        <v>1188</v>
      </c>
      <c r="E70" s="159" t="s">
        <v>1189</v>
      </c>
      <c r="F70" s="160" t="s">
        <v>879</v>
      </c>
      <c r="G70" s="159" t="s">
        <v>1190</v>
      </c>
      <c r="H70" s="158" t="s">
        <v>1191</v>
      </c>
      <c r="I70" s="159" t="s">
        <v>784</v>
      </c>
      <c r="J70" s="158"/>
      <c r="K70" s="161" t="s">
        <v>1175</v>
      </c>
    </row>
    <row r="71" customFormat="false" ht="15" hidden="false" customHeight="true" outlineLevel="0" collapsed="false">
      <c r="A71" s="153" t="s">
        <v>1192</v>
      </c>
      <c r="B71" s="153" t="s">
        <v>415</v>
      </c>
      <c r="C71" s="153" t="s">
        <v>1193</v>
      </c>
      <c r="D71" s="153"/>
      <c r="E71" s="153"/>
      <c r="F71" s="155"/>
      <c r="G71" s="155"/>
      <c r="H71" s="155"/>
      <c r="I71" s="156" t="s">
        <v>784</v>
      </c>
      <c r="J71" s="155"/>
      <c r="K71" s="155"/>
    </row>
    <row r="72" customFormat="false" ht="15" hidden="false" customHeight="false" outlineLevel="0" collapsed="false">
      <c r="A72" s="157" t="s">
        <v>1194</v>
      </c>
      <c r="B72" s="158" t="s">
        <v>415</v>
      </c>
      <c r="C72" s="158" t="s">
        <v>1195</v>
      </c>
      <c r="D72" s="159" t="s">
        <v>1196</v>
      </c>
      <c r="E72" s="159" t="s">
        <v>1163</v>
      </c>
      <c r="F72" s="160" t="s">
        <v>879</v>
      </c>
      <c r="G72" s="159" t="s">
        <v>1197</v>
      </c>
      <c r="H72" s="158" t="s">
        <v>800</v>
      </c>
      <c r="I72" s="159" t="s">
        <v>784</v>
      </c>
      <c r="J72" s="158"/>
      <c r="K72" s="164" t="s">
        <v>1198</v>
      </c>
    </row>
    <row r="73" customFormat="false" ht="23.85" hidden="false" customHeight="false" outlineLevel="0" collapsed="false">
      <c r="A73" s="157" t="s">
        <v>1199</v>
      </c>
      <c r="B73" s="158" t="s">
        <v>415</v>
      </c>
      <c r="C73" s="158" t="s">
        <v>1200</v>
      </c>
      <c r="D73" s="158" t="s">
        <v>1201</v>
      </c>
      <c r="E73" s="159" t="s">
        <v>1202</v>
      </c>
      <c r="F73" s="163" t="s">
        <v>910</v>
      </c>
      <c r="G73" s="159" t="s">
        <v>1203</v>
      </c>
      <c r="H73" s="158" t="s">
        <v>1204</v>
      </c>
      <c r="I73" s="159" t="s">
        <v>784</v>
      </c>
      <c r="J73" s="158"/>
      <c r="K73" s="164" t="s">
        <v>1198</v>
      </c>
    </row>
    <row r="74" customFormat="false" ht="15" hidden="false" customHeight="true" outlineLevel="0" collapsed="false">
      <c r="A74" s="153" t="s">
        <v>1205</v>
      </c>
      <c r="B74" s="153" t="s">
        <v>1206</v>
      </c>
      <c r="C74" s="154" t="s">
        <v>1207</v>
      </c>
      <c r="D74" s="154"/>
      <c r="E74" s="154"/>
      <c r="F74" s="155"/>
      <c r="G74" s="155"/>
      <c r="H74" s="155"/>
      <c r="I74" s="156" t="s">
        <v>784</v>
      </c>
      <c r="J74" s="155"/>
      <c r="K74" s="155"/>
    </row>
    <row r="75" customFormat="false" ht="23.85" hidden="false" customHeight="false" outlineLevel="0" collapsed="false">
      <c r="A75" s="157" t="s">
        <v>1208</v>
      </c>
      <c r="B75" s="158" t="s">
        <v>1206</v>
      </c>
      <c r="C75" s="158" t="s">
        <v>1209</v>
      </c>
      <c r="D75" s="158" t="s">
        <v>1210</v>
      </c>
      <c r="E75" s="159" t="s">
        <v>1211</v>
      </c>
      <c r="F75" s="162" t="s">
        <v>888</v>
      </c>
      <c r="G75" s="159" t="s">
        <v>1212</v>
      </c>
      <c r="H75" s="158" t="s">
        <v>427</v>
      </c>
      <c r="I75" s="159" t="s">
        <v>784</v>
      </c>
      <c r="J75" s="158"/>
      <c r="K75" s="161" t="s">
        <v>1213</v>
      </c>
    </row>
    <row r="76" customFormat="false" ht="23.85" hidden="false" customHeight="false" outlineLevel="0" collapsed="false">
      <c r="A76" s="157" t="s">
        <v>1214</v>
      </c>
      <c r="B76" s="158" t="s">
        <v>1206</v>
      </c>
      <c r="C76" s="158" t="s">
        <v>1215</v>
      </c>
      <c r="D76" s="159" t="s">
        <v>1216</v>
      </c>
      <c r="E76" s="158" t="s">
        <v>1217</v>
      </c>
      <c r="F76" s="160" t="s">
        <v>879</v>
      </c>
      <c r="G76" s="159" t="s">
        <v>1218</v>
      </c>
      <c r="H76" s="158" t="s">
        <v>1030</v>
      </c>
      <c r="I76" s="159" t="s">
        <v>784</v>
      </c>
      <c r="J76" s="159" t="s">
        <v>993</v>
      </c>
      <c r="K76" s="161" t="s">
        <v>1213</v>
      </c>
    </row>
    <row r="77" customFormat="false" ht="23.85" hidden="false" customHeight="false" outlineLevel="0" collapsed="false">
      <c r="A77" s="157" t="s">
        <v>1219</v>
      </c>
      <c r="B77" s="158" t="s">
        <v>1206</v>
      </c>
      <c r="C77" s="158" t="s">
        <v>1220</v>
      </c>
      <c r="D77" s="158" t="s">
        <v>1221</v>
      </c>
      <c r="E77" s="158" t="s">
        <v>1135</v>
      </c>
      <c r="F77" s="160" t="s">
        <v>879</v>
      </c>
      <c r="G77" s="159" t="s">
        <v>1222</v>
      </c>
      <c r="H77" s="158" t="s">
        <v>1030</v>
      </c>
      <c r="I77" s="159" t="s">
        <v>784</v>
      </c>
      <c r="J77" s="159" t="s">
        <v>1036</v>
      </c>
      <c r="K77" s="161" t="s">
        <v>1213</v>
      </c>
    </row>
    <row r="78" customFormat="false" ht="23.85" hidden="false" customHeight="false" outlineLevel="0" collapsed="false">
      <c r="A78" s="157" t="s">
        <v>1223</v>
      </c>
      <c r="B78" s="158" t="s">
        <v>1206</v>
      </c>
      <c r="C78" s="158" t="s">
        <v>1224</v>
      </c>
      <c r="D78" s="159" t="s">
        <v>1225</v>
      </c>
      <c r="E78" s="159" t="s">
        <v>1034</v>
      </c>
      <c r="F78" s="160" t="s">
        <v>879</v>
      </c>
      <c r="G78" s="159" t="s">
        <v>1222</v>
      </c>
      <c r="H78" s="158" t="s">
        <v>1030</v>
      </c>
      <c r="I78" s="159" t="s">
        <v>784</v>
      </c>
      <c r="J78" s="159" t="s">
        <v>1036</v>
      </c>
      <c r="K78" s="161" t="s">
        <v>1213</v>
      </c>
    </row>
    <row r="79" customFormat="false" ht="23.85" hidden="false" customHeight="false" outlineLevel="0" collapsed="false">
      <c r="A79" s="157" t="s">
        <v>1226</v>
      </c>
      <c r="B79" s="158" t="s">
        <v>1206</v>
      </c>
      <c r="C79" s="158" t="s">
        <v>1227</v>
      </c>
      <c r="D79" s="159" t="s">
        <v>1228</v>
      </c>
      <c r="E79" s="159" t="s">
        <v>1229</v>
      </c>
      <c r="F79" s="163" t="s">
        <v>910</v>
      </c>
      <c r="G79" s="159" t="s">
        <v>1230</v>
      </c>
      <c r="H79" s="158" t="s">
        <v>1231</v>
      </c>
      <c r="I79" s="159" t="s">
        <v>784</v>
      </c>
      <c r="J79" s="159" t="s">
        <v>1044</v>
      </c>
      <c r="K79" s="161" t="s">
        <v>1213</v>
      </c>
    </row>
    <row r="80" customFormat="false" ht="23.85" hidden="false" customHeight="false" outlineLevel="0" collapsed="false">
      <c r="A80" s="157" t="s">
        <v>1232</v>
      </c>
      <c r="B80" s="158" t="s">
        <v>1206</v>
      </c>
      <c r="C80" s="158" t="s">
        <v>1233</v>
      </c>
      <c r="D80" s="159" t="s">
        <v>1234</v>
      </c>
      <c r="E80" s="159" t="s">
        <v>1235</v>
      </c>
      <c r="F80" s="160" t="s">
        <v>879</v>
      </c>
      <c r="G80" s="159" t="s">
        <v>1236</v>
      </c>
      <c r="H80" s="159" t="s">
        <v>1237</v>
      </c>
      <c r="I80" s="159" t="s">
        <v>784</v>
      </c>
      <c r="J80" s="159" t="s">
        <v>1024</v>
      </c>
      <c r="K80" s="161" t="s">
        <v>1213</v>
      </c>
    </row>
    <row r="81" customFormat="false" ht="23.85" hidden="false" customHeight="false" outlineLevel="0" collapsed="false">
      <c r="A81" s="157" t="s">
        <v>1238</v>
      </c>
      <c r="B81" s="158" t="s">
        <v>1206</v>
      </c>
      <c r="C81" s="158" t="s">
        <v>1239</v>
      </c>
      <c r="D81" s="158" t="s">
        <v>1240</v>
      </c>
      <c r="E81" s="159" t="s">
        <v>1241</v>
      </c>
      <c r="F81" s="162" t="s">
        <v>888</v>
      </c>
      <c r="G81" s="159" t="s">
        <v>1242</v>
      </c>
      <c r="H81" s="159" t="s">
        <v>1243</v>
      </c>
      <c r="I81" s="159" t="s">
        <v>784</v>
      </c>
      <c r="J81" s="159" t="s">
        <v>1086</v>
      </c>
      <c r="K81" s="161" t="s">
        <v>1213</v>
      </c>
    </row>
    <row r="82" customFormat="false" ht="23.85" hidden="false" customHeight="false" outlineLevel="0" collapsed="false">
      <c r="A82" s="157" t="s">
        <v>1244</v>
      </c>
      <c r="B82" s="158" t="s">
        <v>1206</v>
      </c>
      <c r="C82" s="158" t="s">
        <v>1245</v>
      </c>
      <c r="D82" s="159" t="s">
        <v>1246</v>
      </c>
      <c r="E82" s="159" t="s">
        <v>1247</v>
      </c>
      <c r="F82" s="162" t="s">
        <v>888</v>
      </c>
      <c r="G82" s="159" t="s">
        <v>1248</v>
      </c>
      <c r="H82" s="159" t="s">
        <v>1249</v>
      </c>
      <c r="I82" s="159" t="s">
        <v>784</v>
      </c>
      <c r="J82" s="159" t="s">
        <v>1086</v>
      </c>
      <c r="K82" s="161" t="s">
        <v>1213</v>
      </c>
    </row>
    <row r="83" customFormat="false" ht="23.85" hidden="false" customHeight="false" outlineLevel="0" collapsed="false">
      <c r="A83" s="157" t="s">
        <v>1250</v>
      </c>
      <c r="B83" s="158" t="s">
        <v>1206</v>
      </c>
      <c r="C83" s="158" t="s">
        <v>1251</v>
      </c>
      <c r="D83" s="158" t="s">
        <v>1252</v>
      </c>
      <c r="E83" s="159" t="s">
        <v>1253</v>
      </c>
      <c r="F83" s="163" t="s">
        <v>910</v>
      </c>
      <c r="G83" s="159" t="s">
        <v>1254</v>
      </c>
      <c r="H83" s="158" t="s">
        <v>1255</v>
      </c>
      <c r="I83" s="159" t="s">
        <v>784</v>
      </c>
      <c r="J83" s="159" t="s">
        <v>1036</v>
      </c>
      <c r="K83" s="161" t="s">
        <v>1213</v>
      </c>
    </row>
    <row r="85" customFormat="false" ht="15" hidden="false" customHeight="false" outlineLevel="0" collapsed="false">
      <c r="A85" s="72" t="s">
        <v>1256</v>
      </c>
    </row>
  </sheetData>
  <autoFilter ref="A4:K83"/>
  <mergeCells count="11">
    <mergeCell ref="A2:K2"/>
    <mergeCell ref="C5:E5"/>
    <mergeCell ref="C26:E26"/>
    <mergeCell ref="C36:E36"/>
    <mergeCell ref="C42:E42"/>
    <mergeCell ref="C46:E46"/>
    <mergeCell ref="C54:E54"/>
    <mergeCell ref="C61:E61"/>
    <mergeCell ref="C66:E66"/>
    <mergeCell ref="C71:E71"/>
    <mergeCell ref="C74:E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0.1"/>
  </cols>
  <sheetData>
    <row r="1" customFormat="false" ht="16.4" hidden="false" customHeight="false" outlineLevel="0" collapsed="false">
      <c r="A1" s="165" t="s">
        <v>1257</v>
      </c>
      <c r="B1" s="165"/>
      <c r="C1" s="165"/>
      <c r="D1" s="165"/>
      <c r="E1" s="165"/>
      <c r="F1" s="165"/>
      <c r="G1" s="165"/>
      <c r="H1" s="165"/>
    </row>
    <row r="2" customFormat="false" ht="12.65" hidden="false" customHeight="false" outlineLevel="0" collapsed="false">
      <c r="A2" s="166" t="s">
        <v>1258</v>
      </c>
      <c r="B2" s="166"/>
      <c r="C2" s="166"/>
      <c r="D2" s="166"/>
      <c r="E2" s="166"/>
      <c r="F2" s="166"/>
      <c r="G2" s="166"/>
      <c r="H2" s="166"/>
    </row>
    <row r="3" customFormat="false" ht="15" hidden="false" customHeight="true" outlineLevel="0" collapsed="false">
      <c r="A3" s="154" t="s">
        <v>1259</v>
      </c>
      <c r="B3" s="167"/>
      <c r="C3" s="167"/>
      <c r="D3" s="154" t="s">
        <v>1260</v>
      </c>
      <c r="E3" s="154"/>
      <c r="F3" s="168"/>
      <c r="G3" s="168"/>
      <c r="H3" s="168"/>
    </row>
    <row r="4" customFormat="false" ht="15" hidden="false" customHeight="true" outlineLevel="0" collapsed="false">
      <c r="A4" s="154" t="s">
        <v>22</v>
      </c>
      <c r="B4" s="167"/>
      <c r="C4" s="167"/>
      <c r="D4" s="154" t="s">
        <v>1261</v>
      </c>
      <c r="E4" s="154"/>
      <c r="F4" s="167"/>
      <c r="G4" s="167"/>
      <c r="H4" s="167"/>
    </row>
    <row r="5" customFormat="false" ht="11.9" hidden="false" customHeight="false" outlineLevel="0" collapsed="false">
      <c r="A5" s="169" t="s">
        <v>1262</v>
      </c>
      <c r="B5" s="169"/>
      <c r="C5" s="169"/>
      <c r="D5" s="169"/>
      <c r="E5" s="169"/>
      <c r="F5" s="169"/>
      <c r="G5" s="169"/>
      <c r="H5" s="169"/>
    </row>
    <row r="6" customFormat="false" ht="15" hidden="false" customHeight="false" outlineLevel="0" collapsed="false">
      <c r="A6" s="151" t="s">
        <v>34</v>
      </c>
      <c r="B6" s="151" t="s">
        <v>863</v>
      </c>
      <c r="C6" s="151" t="s">
        <v>864</v>
      </c>
      <c r="D6" s="151" t="s">
        <v>866</v>
      </c>
      <c r="E6" s="151" t="s">
        <v>1263</v>
      </c>
      <c r="F6" s="151" t="s">
        <v>523</v>
      </c>
      <c r="G6" s="151" t="s">
        <v>1264</v>
      </c>
      <c r="H6" s="151" t="s">
        <v>1265</v>
      </c>
    </row>
    <row r="7" customFormat="false" ht="99.75" hidden="false" customHeight="true" outlineLevel="0" collapsed="false">
      <c r="A7" s="170" t="s">
        <v>875</v>
      </c>
      <c r="B7" s="171" t="s">
        <v>1266</v>
      </c>
      <c r="C7" s="171" t="s">
        <v>1267</v>
      </c>
      <c r="D7" s="172" t="s">
        <v>879</v>
      </c>
      <c r="E7" s="173"/>
      <c r="F7" s="174"/>
      <c r="G7" s="173"/>
      <c r="H7" s="175" t="s">
        <v>1268</v>
      </c>
    </row>
    <row r="8" customFormat="false" ht="99.75" hidden="false" customHeight="true" outlineLevel="0" collapsed="false">
      <c r="A8" s="170" t="s">
        <v>884</v>
      </c>
      <c r="B8" s="176" t="s">
        <v>1269</v>
      </c>
      <c r="C8" s="171" t="s">
        <v>1270</v>
      </c>
      <c r="D8" s="177" t="s">
        <v>888</v>
      </c>
      <c r="E8" s="173"/>
      <c r="F8" s="174"/>
      <c r="G8" s="173"/>
      <c r="H8" s="175" t="s">
        <v>1271</v>
      </c>
    </row>
    <row r="9" customFormat="false" ht="99.75" hidden="false" customHeight="true" outlineLevel="0" collapsed="false">
      <c r="A9" s="170" t="s">
        <v>890</v>
      </c>
      <c r="B9" s="171" t="s">
        <v>1272</v>
      </c>
      <c r="C9" s="176" t="s">
        <v>1273</v>
      </c>
      <c r="D9" s="172" t="s">
        <v>879</v>
      </c>
      <c r="E9" s="173"/>
      <c r="F9" s="174"/>
      <c r="G9" s="173"/>
      <c r="H9" s="175" t="s">
        <v>1274</v>
      </c>
    </row>
    <row r="10" customFormat="false" ht="99.75" hidden="false" customHeight="true" outlineLevel="0" collapsed="false">
      <c r="A10" s="170" t="s">
        <v>895</v>
      </c>
      <c r="B10" s="171" t="s">
        <v>1275</v>
      </c>
      <c r="C10" s="171" t="s">
        <v>1276</v>
      </c>
      <c r="D10" s="172" t="s">
        <v>879</v>
      </c>
      <c r="E10" s="173"/>
      <c r="F10" s="174"/>
      <c r="G10" s="173"/>
      <c r="H10" s="175" t="s">
        <v>1274</v>
      </c>
    </row>
    <row r="11" customFormat="false" ht="99.75" hidden="false" customHeight="true" outlineLevel="0" collapsed="false">
      <c r="A11" s="170" t="s">
        <v>900</v>
      </c>
      <c r="B11" s="171" t="s">
        <v>1277</v>
      </c>
      <c r="C11" s="171" t="s">
        <v>1278</v>
      </c>
      <c r="D11" s="172" t="s">
        <v>879</v>
      </c>
      <c r="E11" s="173"/>
      <c r="F11" s="174"/>
      <c r="G11" s="173"/>
      <c r="H11" s="175" t="s">
        <v>1279</v>
      </c>
    </row>
    <row r="12" customFormat="false" ht="99.75" hidden="false" customHeight="true" outlineLevel="0" collapsed="false">
      <c r="A12" s="170" t="s">
        <v>906</v>
      </c>
      <c r="B12" s="171" t="s">
        <v>1280</v>
      </c>
      <c r="C12" s="171" t="s">
        <v>1281</v>
      </c>
      <c r="D12" s="178" t="s">
        <v>910</v>
      </c>
      <c r="E12" s="173"/>
      <c r="F12" s="174"/>
      <c r="G12" s="173"/>
      <c r="H12" s="175" t="s">
        <v>1282</v>
      </c>
    </row>
    <row r="13" customFormat="false" ht="99.75" hidden="false" customHeight="true" outlineLevel="0" collapsed="false">
      <c r="A13" s="170" t="s">
        <v>913</v>
      </c>
      <c r="B13" s="176" t="s">
        <v>1283</v>
      </c>
      <c r="C13" s="171" t="s">
        <v>1284</v>
      </c>
      <c r="D13" s="172" t="s">
        <v>879</v>
      </c>
      <c r="E13" s="173"/>
      <c r="F13" s="174"/>
      <c r="G13" s="173"/>
      <c r="H13" s="175" t="s">
        <v>1285</v>
      </c>
    </row>
    <row r="14" customFormat="false" ht="99.75" hidden="false" customHeight="true" outlineLevel="0" collapsed="false">
      <c r="A14" s="170" t="s">
        <v>918</v>
      </c>
      <c r="B14" s="171" t="s">
        <v>1286</v>
      </c>
      <c r="C14" s="176" t="s">
        <v>1287</v>
      </c>
      <c r="D14" s="177" t="s">
        <v>888</v>
      </c>
      <c r="E14" s="173"/>
      <c r="F14" s="174"/>
      <c r="G14" s="173"/>
      <c r="H14" s="175" t="s">
        <v>1288</v>
      </c>
    </row>
    <row r="15" customFormat="false" ht="99.75" hidden="false" customHeight="true" outlineLevel="0" collapsed="false">
      <c r="A15" s="170" t="s">
        <v>923</v>
      </c>
      <c r="B15" s="171" t="s">
        <v>1289</v>
      </c>
      <c r="C15" s="176" t="s">
        <v>1290</v>
      </c>
      <c r="D15" s="172" t="s">
        <v>879</v>
      </c>
      <c r="E15" s="173"/>
      <c r="F15" s="174"/>
      <c r="G15" s="173"/>
      <c r="H15" s="175" t="s">
        <v>1291</v>
      </c>
    </row>
    <row r="16" customFormat="false" ht="99.75" hidden="false" customHeight="true" outlineLevel="0" collapsed="false">
      <c r="A16" s="170" t="s">
        <v>928</v>
      </c>
      <c r="B16" s="171" t="s">
        <v>1292</v>
      </c>
      <c r="C16" s="171" t="s">
        <v>1293</v>
      </c>
      <c r="D16" s="172" t="s">
        <v>879</v>
      </c>
      <c r="E16" s="173"/>
      <c r="F16" s="174"/>
      <c r="G16" s="173"/>
      <c r="H16" s="175" t="s">
        <v>1294</v>
      </c>
    </row>
    <row r="17" customFormat="false" ht="99.75" hidden="false" customHeight="true" outlineLevel="0" collapsed="false">
      <c r="A17" s="170" t="s">
        <v>932</v>
      </c>
      <c r="B17" s="176" t="s">
        <v>1295</v>
      </c>
      <c r="C17" s="171" t="s">
        <v>1296</v>
      </c>
      <c r="D17" s="178" t="s">
        <v>910</v>
      </c>
      <c r="E17" s="173"/>
      <c r="F17" s="174"/>
      <c r="G17" s="173"/>
      <c r="H17" s="175" t="s">
        <v>1285</v>
      </c>
    </row>
    <row r="18" customFormat="false" ht="99.75" hidden="false" customHeight="true" outlineLevel="0" collapsed="false">
      <c r="A18" s="170" t="s">
        <v>936</v>
      </c>
      <c r="B18" s="171" t="s">
        <v>1297</v>
      </c>
      <c r="C18" s="171" t="s">
        <v>1298</v>
      </c>
      <c r="D18" s="177" t="s">
        <v>888</v>
      </c>
      <c r="E18" s="173"/>
      <c r="F18" s="174"/>
      <c r="G18" s="173"/>
      <c r="H18" s="175" t="s">
        <v>1299</v>
      </c>
    </row>
    <row r="19" customFormat="false" ht="99.75" hidden="false" customHeight="true" outlineLevel="0" collapsed="false">
      <c r="A19" s="170" t="s">
        <v>941</v>
      </c>
      <c r="B19" s="171" t="s">
        <v>1300</v>
      </c>
      <c r="C19" s="171" t="s">
        <v>1301</v>
      </c>
      <c r="D19" s="172" t="s">
        <v>879</v>
      </c>
      <c r="E19" s="173"/>
      <c r="F19" s="174"/>
      <c r="G19" s="173"/>
      <c r="H19" s="175" t="s">
        <v>1302</v>
      </c>
    </row>
    <row r="20" customFormat="false" ht="99.75" hidden="false" customHeight="true" outlineLevel="0" collapsed="false">
      <c r="A20" s="170" t="s">
        <v>946</v>
      </c>
      <c r="B20" s="171" t="s">
        <v>1303</v>
      </c>
      <c r="C20" s="171" t="s">
        <v>1304</v>
      </c>
      <c r="D20" s="178" t="s">
        <v>910</v>
      </c>
      <c r="E20" s="173"/>
      <c r="F20" s="174"/>
      <c r="G20" s="173"/>
      <c r="H20" s="175" t="s">
        <v>1305</v>
      </c>
    </row>
    <row r="21" customFormat="false" ht="99.75" hidden="false" customHeight="true" outlineLevel="0" collapsed="false">
      <c r="A21" s="170" t="s">
        <v>952</v>
      </c>
      <c r="B21" s="171" t="s">
        <v>1306</v>
      </c>
      <c r="C21" s="171" t="s">
        <v>1307</v>
      </c>
      <c r="D21" s="172" t="s">
        <v>879</v>
      </c>
      <c r="E21" s="173"/>
      <c r="F21" s="174"/>
      <c r="G21" s="173"/>
      <c r="H21" s="175" t="s">
        <v>1308</v>
      </c>
    </row>
    <row r="22" customFormat="false" ht="99.75" hidden="false" customHeight="true" outlineLevel="0" collapsed="false">
      <c r="A22" s="170" t="s">
        <v>958</v>
      </c>
      <c r="B22" s="171" t="s">
        <v>1309</v>
      </c>
      <c r="C22" s="171" t="s">
        <v>1310</v>
      </c>
      <c r="D22" s="177" t="s">
        <v>888</v>
      </c>
      <c r="E22" s="173"/>
      <c r="F22" s="174"/>
      <c r="G22" s="173"/>
      <c r="H22" s="175" t="s">
        <v>1311</v>
      </c>
    </row>
    <row r="23" customFormat="false" ht="99.75" hidden="false" customHeight="true" outlineLevel="0" collapsed="false">
      <c r="A23" s="170" t="s">
        <v>963</v>
      </c>
      <c r="B23" s="171" t="s">
        <v>1312</v>
      </c>
      <c r="C23" s="171" t="s">
        <v>1313</v>
      </c>
      <c r="D23" s="177" t="s">
        <v>888</v>
      </c>
      <c r="E23" s="173"/>
      <c r="F23" s="174"/>
      <c r="G23" s="173"/>
      <c r="H23" s="175" t="s">
        <v>1314</v>
      </c>
    </row>
    <row r="24" customFormat="false" ht="99.75" hidden="false" customHeight="true" outlineLevel="0" collapsed="false">
      <c r="A24" s="170" t="s">
        <v>969</v>
      </c>
      <c r="B24" s="176" t="s">
        <v>1315</v>
      </c>
      <c r="C24" s="171" t="s">
        <v>1316</v>
      </c>
      <c r="D24" s="172" t="s">
        <v>879</v>
      </c>
      <c r="E24" s="173"/>
      <c r="F24" s="174"/>
      <c r="G24" s="173"/>
      <c r="H24" s="175" t="s">
        <v>1317</v>
      </c>
    </row>
    <row r="25" customFormat="false" ht="99.75" hidden="false" customHeight="true" outlineLevel="0" collapsed="false">
      <c r="A25" s="170" t="s">
        <v>975</v>
      </c>
      <c r="B25" s="176" t="s">
        <v>1318</v>
      </c>
      <c r="C25" s="171" t="s">
        <v>1319</v>
      </c>
      <c r="D25" s="177" t="s">
        <v>888</v>
      </c>
      <c r="E25" s="173"/>
      <c r="F25" s="174"/>
      <c r="G25" s="173"/>
      <c r="H25" s="175" t="s">
        <v>1320</v>
      </c>
    </row>
    <row r="26" customFormat="false" ht="99.75" hidden="false" customHeight="true" outlineLevel="0" collapsed="false">
      <c r="A26" s="170" t="s">
        <v>981</v>
      </c>
      <c r="B26" s="171" t="s">
        <v>1321</v>
      </c>
      <c r="C26" s="171" t="s">
        <v>1322</v>
      </c>
      <c r="D26" s="172" t="s">
        <v>879</v>
      </c>
      <c r="E26" s="173"/>
      <c r="F26" s="174"/>
      <c r="G26" s="173"/>
      <c r="H26" s="175" t="s">
        <v>1323</v>
      </c>
    </row>
    <row r="27" customFormat="false" ht="21.6" hidden="false" customHeight="false" outlineLevel="0" collapsed="false">
      <c r="A27" s="154" t="s">
        <v>729</v>
      </c>
      <c r="B27" s="179" t="str">
        <f aca="false">COUNTIF(F7:F26,"ผ่าน")&amp;" ผ่าน, "&amp;COUNTIF(F7:F26,"ไม่ผ่าน")&amp;" ไม่ผ่าน, "&amp;COUNTIF(F7:F26,"ไม่เกี่ยว")&amp;" ไม่เกี่ยว, "&amp;COUNTBLANK(F7:F26)&amp;" ยังไม่ตรวจ"</f>
        <v>0 ผ่าน, 0 ไม่ผ่าน, 0 ไม่เกี่ยว, 20 ยังไม่ตรวจ</v>
      </c>
      <c r="C27" s="179" t="str">
        <f aca="false">IF(COUNTIF(F7:F26,"ไม่ผ่าน")&gt;0,"ยังไม่ผ่าน: แก้แล้วตรวจซ้ำ",IF(COUNTBLANK(F7:F26)=0,"ผ่านครบ ลงนามได้",""))</f>
        <v/>
      </c>
      <c r="D27" s="179"/>
      <c r="E27" s="179"/>
      <c r="F27" s="179"/>
      <c r="G27" s="179"/>
      <c r="H27" s="179"/>
    </row>
    <row r="29" customFormat="false" ht="30" hidden="false" customHeight="true" outlineLevel="0" collapsed="false">
      <c r="A29" s="154" t="s">
        <v>1324</v>
      </c>
      <c r="B29" s="154"/>
      <c r="C29" s="158"/>
      <c r="D29" s="158"/>
      <c r="E29" s="158"/>
      <c r="F29" s="158"/>
      <c r="G29" s="158"/>
      <c r="H29" s="158"/>
    </row>
    <row r="31" customFormat="false" ht="30" hidden="false" customHeight="true" outlineLevel="0" collapsed="false">
      <c r="A31" s="154" t="s">
        <v>1325</v>
      </c>
      <c r="B31" s="154"/>
      <c r="C31" s="158"/>
      <c r="D31" s="158"/>
      <c r="E31" s="158"/>
      <c r="F31" s="158"/>
      <c r="G31" s="158"/>
      <c r="H31" s="158"/>
    </row>
    <row r="34" customFormat="false" ht="16.4" hidden="false" customHeight="false" outlineLevel="0" collapsed="false">
      <c r="A34" s="165" t="s">
        <v>1326</v>
      </c>
      <c r="B34" s="165"/>
      <c r="C34" s="165"/>
      <c r="D34" s="165"/>
      <c r="E34" s="165"/>
      <c r="F34" s="165"/>
      <c r="G34" s="165"/>
      <c r="H34" s="165"/>
    </row>
    <row r="35" customFormat="false" ht="12.65" hidden="false" customHeight="false" outlineLevel="0" collapsed="false">
      <c r="A35" s="166" t="s">
        <v>1327</v>
      </c>
      <c r="B35" s="166"/>
      <c r="C35" s="166"/>
      <c r="D35" s="166"/>
      <c r="E35" s="166"/>
      <c r="F35" s="166"/>
      <c r="G35" s="166"/>
      <c r="H35" s="166"/>
    </row>
    <row r="36" customFormat="false" ht="15" hidden="false" customHeight="true" outlineLevel="0" collapsed="false">
      <c r="A36" s="154" t="s">
        <v>1259</v>
      </c>
      <c r="B36" s="167"/>
      <c r="C36" s="167"/>
      <c r="D36" s="154" t="s">
        <v>1260</v>
      </c>
      <c r="E36" s="154"/>
      <c r="F36" s="168"/>
      <c r="G36" s="168"/>
      <c r="H36" s="168"/>
    </row>
    <row r="37" customFormat="false" ht="15" hidden="false" customHeight="true" outlineLevel="0" collapsed="false">
      <c r="A37" s="154" t="s">
        <v>22</v>
      </c>
      <c r="B37" s="167"/>
      <c r="C37" s="167"/>
      <c r="D37" s="154" t="s">
        <v>1261</v>
      </c>
      <c r="E37" s="154"/>
      <c r="F37" s="167"/>
      <c r="G37" s="167"/>
      <c r="H37" s="167"/>
    </row>
    <row r="38" customFormat="false" ht="11.9" hidden="false" customHeight="false" outlineLevel="0" collapsed="false">
      <c r="A38" s="169" t="s">
        <v>1262</v>
      </c>
      <c r="B38" s="169"/>
      <c r="C38" s="169"/>
      <c r="D38" s="169"/>
      <c r="E38" s="169"/>
      <c r="F38" s="169"/>
      <c r="G38" s="169"/>
      <c r="H38" s="169"/>
    </row>
    <row r="39" customFormat="false" ht="15" hidden="false" customHeight="false" outlineLevel="0" collapsed="false">
      <c r="A39" s="151" t="s">
        <v>34</v>
      </c>
      <c r="B39" s="151" t="s">
        <v>863</v>
      </c>
      <c r="C39" s="151" t="s">
        <v>864</v>
      </c>
      <c r="D39" s="151" t="s">
        <v>866</v>
      </c>
      <c r="E39" s="151" t="s">
        <v>1263</v>
      </c>
      <c r="F39" s="151" t="s">
        <v>523</v>
      </c>
      <c r="G39" s="151" t="s">
        <v>1264</v>
      </c>
      <c r="H39" s="151" t="s">
        <v>1265</v>
      </c>
    </row>
    <row r="40" customFormat="false" ht="99.75" hidden="false" customHeight="true" outlineLevel="0" collapsed="false">
      <c r="A40" s="170" t="s">
        <v>989</v>
      </c>
      <c r="B40" s="171" t="s">
        <v>1328</v>
      </c>
      <c r="C40" s="171" t="s">
        <v>1329</v>
      </c>
      <c r="D40" s="172" t="s">
        <v>879</v>
      </c>
      <c r="E40" s="173"/>
      <c r="F40" s="174"/>
      <c r="G40" s="173"/>
      <c r="H40" s="175" t="s">
        <v>1317</v>
      </c>
    </row>
    <row r="41" customFormat="false" ht="99.75" hidden="false" customHeight="true" outlineLevel="0" collapsed="false">
      <c r="A41" s="170" t="s">
        <v>995</v>
      </c>
      <c r="B41" s="171" t="s">
        <v>1330</v>
      </c>
      <c r="C41" s="176" t="s">
        <v>1331</v>
      </c>
      <c r="D41" s="178" t="s">
        <v>910</v>
      </c>
      <c r="E41" s="173"/>
      <c r="F41" s="174"/>
      <c r="G41" s="173"/>
      <c r="H41" s="175" t="s">
        <v>1332</v>
      </c>
    </row>
    <row r="42" customFormat="false" ht="99.75" hidden="false" customHeight="true" outlineLevel="0" collapsed="false">
      <c r="A42" s="170" t="s">
        <v>1000</v>
      </c>
      <c r="B42" s="171" t="s">
        <v>1333</v>
      </c>
      <c r="C42" s="171" t="s">
        <v>1334</v>
      </c>
      <c r="D42" s="172" t="s">
        <v>879</v>
      </c>
      <c r="E42" s="173"/>
      <c r="F42" s="174"/>
      <c r="G42" s="173"/>
      <c r="H42" s="175" t="s">
        <v>1335</v>
      </c>
    </row>
    <row r="43" customFormat="false" ht="99.75" hidden="false" customHeight="true" outlineLevel="0" collapsed="false">
      <c r="A43" s="170" t="s">
        <v>1005</v>
      </c>
      <c r="B43" s="171" t="s">
        <v>1006</v>
      </c>
      <c r="C43" s="171" t="s">
        <v>1336</v>
      </c>
      <c r="D43" s="178" t="s">
        <v>910</v>
      </c>
      <c r="E43" s="173"/>
      <c r="F43" s="174"/>
      <c r="G43" s="173"/>
      <c r="H43" s="175" t="s">
        <v>1305</v>
      </c>
    </row>
    <row r="44" customFormat="false" ht="99.75" hidden="false" customHeight="true" outlineLevel="0" collapsed="false">
      <c r="A44" s="170" t="s">
        <v>1008</v>
      </c>
      <c r="B44" s="176" t="s">
        <v>1337</v>
      </c>
      <c r="C44" s="176" t="s">
        <v>1338</v>
      </c>
      <c r="D44" s="172" t="s">
        <v>879</v>
      </c>
      <c r="E44" s="173"/>
      <c r="F44" s="174"/>
      <c r="G44" s="173"/>
      <c r="H44" s="175" t="s">
        <v>1339</v>
      </c>
    </row>
    <row r="45" customFormat="false" ht="99.75" hidden="false" customHeight="true" outlineLevel="0" collapsed="false">
      <c r="A45" s="170" t="s">
        <v>1012</v>
      </c>
      <c r="B45" s="176" t="s">
        <v>1340</v>
      </c>
      <c r="C45" s="171" t="s">
        <v>1341</v>
      </c>
      <c r="D45" s="172" t="s">
        <v>879</v>
      </c>
      <c r="E45" s="173"/>
      <c r="F45" s="174"/>
      <c r="G45" s="173"/>
      <c r="H45" s="175" t="s">
        <v>1342</v>
      </c>
    </row>
    <row r="46" customFormat="false" ht="99.75" hidden="false" customHeight="true" outlineLevel="0" collapsed="false">
      <c r="A46" s="170" t="s">
        <v>1017</v>
      </c>
      <c r="B46" s="171" t="s">
        <v>1343</v>
      </c>
      <c r="C46" s="176" t="s">
        <v>1344</v>
      </c>
      <c r="D46" s="178" t="s">
        <v>910</v>
      </c>
      <c r="E46" s="173"/>
      <c r="F46" s="174"/>
      <c r="G46" s="173"/>
      <c r="H46" s="175" t="s">
        <v>1345</v>
      </c>
    </row>
    <row r="47" customFormat="false" ht="99.75" hidden="false" customHeight="true" outlineLevel="0" collapsed="false">
      <c r="A47" s="170" t="s">
        <v>1025</v>
      </c>
      <c r="B47" s="176" t="s">
        <v>1346</v>
      </c>
      <c r="C47" s="171" t="s">
        <v>1347</v>
      </c>
      <c r="D47" s="172" t="s">
        <v>879</v>
      </c>
      <c r="E47" s="173"/>
      <c r="F47" s="174"/>
      <c r="G47" s="173"/>
      <c r="H47" s="175" t="s">
        <v>1348</v>
      </c>
    </row>
    <row r="48" customFormat="false" ht="99.75" hidden="false" customHeight="true" outlineLevel="0" collapsed="false">
      <c r="A48" s="170" t="s">
        <v>1031</v>
      </c>
      <c r="B48" s="176" t="s">
        <v>1349</v>
      </c>
      <c r="C48" s="171" t="s">
        <v>1350</v>
      </c>
      <c r="D48" s="177" t="s">
        <v>888</v>
      </c>
      <c r="E48" s="173"/>
      <c r="F48" s="174"/>
      <c r="G48" s="173"/>
      <c r="H48" s="175" t="s">
        <v>1351</v>
      </c>
    </row>
    <row r="49" customFormat="false" ht="21.6" hidden="false" customHeight="false" outlineLevel="0" collapsed="false">
      <c r="A49" s="154" t="s">
        <v>729</v>
      </c>
      <c r="B49" s="179" t="str">
        <f aca="false">COUNTIF(F40:F48,"ผ่าน")&amp;" ผ่าน, "&amp;COUNTIF(F40:F48,"ไม่ผ่าน")&amp;" ไม่ผ่าน, "&amp;COUNTIF(F40:F48,"ไม่เกี่ยว")&amp;" ไม่เกี่ยว, "&amp;COUNTBLANK(F40:F48)&amp;" ยังไม่ตรวจ"</f>
        <v>0 ผ่าน, 0 ไม่ผ่าน, 0 ไม่เกี่ยว, 9 ยังไม่ตรวจ</v>
      </c>
      <c r="C49" s="179" t="str">
        <f aca="false">IF(COUNTIF(F40:F48,"ไม่ผ่าน")&gt;0,"ยังไม่ผ่าน: แก้แล้วตรวจซ้ำ",IF(COUNTBLANK(F40:F48)=0,"ผ่านครบ ลงนามได้",""))</f>
        <v/>
      </c>
      <c r="D49" s="179"/>
      <c r="E49" s="179"/>
      <c r="F49" s="179"/>
      <c r="G49" s="179"/>
      <c r="H49" s="179"/>
    </row>
    <row r="51" customFormat="false" ht="30" hidden="false" customHeight="true" outlineLevel="0" collapsed="false">
      <c r="A51" s="154" t="s">
        <v>1324</v>
      </c>
      <c r="B51" s="154"/>
      <c r="C51" s="158"/>
      <c r="D51" s="158"/>
      <c r="E51" s="158"/>
      <c r="F51" s="158"/>
      <c r="G51" s="158"/>
      <c r="H51" s="158"/>
    </row>
    <row r="53" customFormat="false" ht="30" hidden="false" customHeight="true" outlineLevel="0" collapsed="false">
      <c r="A53" s="154" t="s">
        <v>1325</v>
      </c>
      <c r="B53" s="154"/>
      <c r="C53" s="158"/>
      <c r="D53" s="158"/>
      <c r="E53" s="158"/>
      <c r="F53" s="158"/>
      <c r="G53" s="158"/>
      <c r="H53" s="158"/>
    </row>
    <row r="56" customFormat="false" ht="16.4" hidden="false" customHeight="false" outlineLevel="0" collapsed="false">
      <c r="A56" s="165" t="s">
        <v>1352</v>
      </c>
      <c r="B56" s="165"/>
      <c r="C56" s="165"/>
      <c r="D56" s="165"/>
      <c r="E56" s="165"/>
      <c r="F56" s="165"/>
      <c r="G56" s="165"/>
      <c r="H56" s="165"/>
    </row>
    <row r="57" customFormat="false" ht="12.65" hidden="false" customHeight="false" outlineLevel="0" collapsed="false">
      <c r="A57" s="166" t="s">
        <v>1353</v>
      </c>
      <c r="B57" s="166"/>
      <c r="C57" s="166"/>
      <c r="D57" s="166"/>
      <c r="E57" s="166"/>
      <c r="F57" s="166"/>
      <c r="G57" s="166"/>
      <c r="H57" s="166"/>
    </row>
    <row r="58" customFormat="false" ht="15" hidden="false" customHeight="true" outlineLevel="0" collapsed="false">
      <c r="A58" s="154" t="s">
        <v>1259</v>
      </c>
      <c r="B58" s="167"/>
      <c r="C58" s="167"/>
      <c r="D58" s="154" t="s">
        <v>1260</v>
      </c>
      <c r="E58" s="154"/>
      <c r="F58" s="168"/>
      <c r="G58" s="168"/>
      <c r="H58" s="168"/>
    </row>
    <row r="59" customFormat="false" ht="15" hidden="false" customHeight="true" outlineLevel="0" collapsed="false">
      <c r="A59" s="154" t="s">
        <v>22</v>
      </c>
      <c r="B59" s="167"/>
      <c r="C59" s="167"/>
      <c r="D59" s="154" t="s">
        <v>1261</v>
      </c>
      <c r="E59" s="154"/>
      <c r="F59" s="167"/>
      <c r="G59" s="167"/>
      <c r="H59" s="167"/>
    </row>
    <row r="60" customFormat="false" ht="11.9" hidden="false" customHeight="false" outlineLevel="0" collapsed="false">
      <c r="A60" s="169" t="s">
        <v>1262</v>
      </c>
      <c r="B60" s="169"/>
      <c r="C60" s="169"/>
      <c r="D60" s="169"/>
      <c r="E60" s="169"/>
      <c r="F60" s="169"/>
      <c r="G60" s="169"/>
      <c r="H60" s="169"/>
    </row>
    <row r="61" customFormat="false" ht="15" hidden="false" customHeight="false" outlineLevel="0" collapsed="false">
      <c r="A61" s="151" t="s">
        <v>34</v>
      </c>
      <c r="B61" s="151" t="s">
        <v>863</v>
      </c>
      <c r="C61" s="151" t="s">
        <v>864</v>
      </c>
      <c r="D61" s="151" t="s">
        <v>866</v>
      </c>
      <c r="E61" s="151" t="s">
        <v>1263</v>
      </c>
      <c r="F61" s="151" t="s">
        <v>523</v>
      </c>
      <c r="G61" s="151" t="s">
        <v>1264</v>
      </c>
      <c r="H61" s="151" t="s">
        <v>1265</v>
      </c>
    </row>
    <row r="62" customFormat="false" ht="99.75" hidden="false" customHeight="true" outlineLevel="0" collapsed="false">
      <c r="A62" s="170" t="s">
        <v>1039</v>
      </c>
      <c r="B62" s="171" t="s">
        <v>1040</v>
      </c>
      <c r="C62" s="171" t="s">
        <v>1354</v>
      </c>
      <c r="D62" s="178" t="s">
        <v>910</v>
      </c>
      <c r="E62" s="173"/>
      <c r="F62" s="174"/>
      <c r="G62" s="173"/>
      <c r="H62" s="175" t="s">
        <v>1355</v>
      </c>
    </row>
    <row r="63" customFormat="false" ht="99.75" hidden="false" customHeight="true" outlineLevel="0" collapsed="false">
      <c r="A63" s="170" t="s">
        <v>1046</v>
      </c>
      <c r="B63" s="176" t="s">
        <v>1356</v>
      </c>
      <c r="C63" s="176" t="s">
        <v>1357</v>
      </c>
      <c r="D63" s="172" t="s">
        <v>879</v>
      </c>
      <c r="E63" s="173"/>
      <c r="F63" s="174"/>
      <c r="G63" s="173"/>
      <c r="H63" s="175" t="s">
        <v>1308</v>
      </c>
    </row>
    <row r="64" customFormat="false" ht="99.75" hidden="false" customHeight="true" outlineLevel="0" collapsed="false">
      <c r="A64" s="170" t="s">
        <v>1050</v>
      </c>
      <c r="B64" s="176" t="s">
        <v>1358</v>
      </c>
      <c r="C64" s="171" t="s">
        <v>1359</v>
      </c>
      <c r="D64" s="172" t="s">
        <v>879</v>
      </c>
      <c r="E64" s="173"/>
      <c r="F64" s="174"/>
      <c r="G64" s="173"/>
      <c r="H64" s="175" t="s">
        <v>1360</v>
      </c>
    </row>
    <row r="65" customFormat="false" ht="99.75" hidden="false" customHeight="true" outlineLevel="0" collapsed="false">
      <c r="A65" s="170" t="s">
        <v>1055</v>
      </c>
      <c r="B65" s="171" t="s">
        <v>1056</v>
      </c>
      <c r="C65" s="171" t="s">
        <v>1361</v>
      </c>
      <c r="D65" s="178" t="s">
        <v>910</v>
      </c>
      <c r="E65" s="173"/>
      <c r="F65" s="174"/>
      <c r="G65" s="173"/>
      <c r="H65" s="175" t="s">
        <v>1335</v>
      </c>
    </row>
    <row r="66" customFormat="false" ht="99.75" hidden="false" customHeight="true" outlineLevel="0" collapsed="false">
      <c r="A66" s="170" t="s">
        <v>1058</v>
      </c>
      <c r="B66" s="176" t="s">
        <v>1362</v>
      </c>
      <c r="C66" s="176" t="s">
        <v>1363</v>
      </c>
      <c r="D66" s="178" t="s">
        <v>910</v>
      </c>
      <c r="E66" s="173"/>
      <c r="F66" s="174"/>
      <c r="G66" s="173"/>
      <c r="H66" s="175" t="s">
        <v>1364</v>
      </c>
    </row>
    <row r="67" customFormat="false" ht="21.6" hidden="false" customHeight="false" outlineLevel="0" collapsed="false">
      <c r="A67" s="154" t="s">
        <v>729</v>
      </c>
      <c r="B67" s="179" t="str">
        <f aca="false">COUNTIF(F62:F66,"ผ่าน")&amp;" ผ่าน, "&amp;COUNTIF(F62:F66,"ไม่ผ่าน")&amp;" ไม่ผ่าน, "&amp;COUNTIF(F62:F66,"ไม่เกี่ยว")&amp;" ไม่เกี่ยว, "&amp;COUNTBLANK(F62:F66)&amp;" ยังไม่ตรวจ"</f>
        <v>0 ผ่าน, 0 ไม่ผ่าน, 0 ไม่เกี่ยว, 5 ยังไม่ตรวจ</v>
      </c>
      <c r="C67" s="179" t="str">
        <f aca="false">IF(COUNTIF(F62:F66,"ไม่ผ่าน")&gt;0,"ยังไม่ผ่าน: แก้แล้วตรวจซ้ำ",IF(COUNTBLANK(F62:F66)=0,"ผ่านครบ ลงนามได้",""))</f>
        <v/>
      </c>
      <c r="D67" s="179"/>
      <c r="E67" s="179"/>
      <c r="F67" s="179"/>
      <c r="G67" s="179"/>
      <c r="H67" s="179"/>
    </row>
    <row r="69" customFormat="false" ht="30" hidden="false" customHeight="true" outlineLevel="0" collapsed="false">
      <c r="A69" s="154" t="s">
        <v>1324</v>
      </c>
      <c r="B69" s="154"/>
      <c r="C69" s="158"/>
      <c r="D69" s="158"/>
      <c r="E69" s="158"/>
      <c r="F69" s="158"/>
      <c r="G69" s="158"/>
      <c r="H69" s="158"/>
    </row>
    <row r="71" customFormat="false" ht="30" hidden="false" customHeight="true" outlineLevel="0" collapsed="false">
      <c r="A71" s="154" t="s">
        <v>1325</v>
      </c>
      <c r="B71" s="154"/>
      <c r="C71" s="158"/>
      <c r="D71" s="158"/>
      <c r="E71" s="158"/>
      <c r="F71" s="158"/>
      <c r="G71" s="158"/>
      <c r="H71" s="158"/>
    </row>
    <row r="74" customFormat="false" ht="16.4" hidden="false" customHeight="false" outlineLevel="0" collapsed="false">
      <c r="A74" s="165" t="s">
        <v>1365</v>
      </c>
      <c r="B74" s="165"/>
      <c r="C74" s="165"/>
      <c r="D74" s="165"/>
      <c r="E74" s="165"/>
      <c r="F74" s="165"/>
      <c r="G74" s="165"/>
      <c r="H74" s="165"/>
    </row>
    <row r="75" customFormat="false" ht="12.65" hidden="false" customHeight="false" outlineLevel="0" collapsed="false">
      <c r="A75" s="166" t="s">
        <v>1366</v>
      </c>
      <c r="B75" s="166"/>
      <c r="C75" s="166"/>
      <c r="D75" s="166"/>
      <c r="E75" s="166"/>
      <c r="F75" s="166"/>
      <c r="G75" s="166"/>
      <c r="H75" s="166"/>
    </row>
    <row r="76" customFormat="false" ht="15" hidden="false" customHeight="true" outlineLevel="0" collapsed="false">
      <c r="A76" s="154" t="s">
        <v>1259</v>
      </c>
      <c r="B76" s="167"/>
      <c r="C76" s="167"/>
      <c r="D76" s="154" t="s">
        <v>1260</v>
      </c>
      <c r="E76" s="154"/>
      <c r="F76" s="168"/>
      <c r="G76" s="168"/>
      <c r="H76" s="168"/>
    </row>
    <row r="77" customFormat="false" ht="15" hidden="false" customHeight="true" outlineLevel="0" collapsed="false">
      <c r="A77" s="154" t="s">
        <v>22</v>
      </c>
      <c r="B77" s="167"/>
      <c r="C77" s="167"/>
      <c r="D77" s="154" t="s">
        <v>1261</v>
      </c>
      <c r="E77" s="154"/>
      <c r="F77" s="167"/>
      <c r="G77" s="167"/>
      <c r="H77" s="167"/>
    </row>
    <row r="78" customFormat="false" ht="11.9" hidden="false" customHeight="false" outlineLevel="0" collapsed="false">
      <c r="A78" s="169" t="s">
        <v>1262</v>
      </c>
      <c r="B78" s="169"/>
      <c r="C78" s="169"/>
      <c r="D78" s="169"/>
      <c r="E78" s="169"/>
      <c r="F78" s="169"/>
      <c r="G78" s="169"/>
      <c r="H78" s="169"/>
    </row>
    <row r="79" customFormat="false" ht="15" hidden="false" customHeight="false" outlineLevel="0" collapsed="false">
      <c r="A79" s="151" t="s">
        <v>34</v>
      </c>
      <c r="B79" s="151" t="s">
        <v>863</v>
      </c>
      <c r="C79" s="151" t="s">
        <v>864</v>
      </c>
      <c r="D79" s="151" t="s">
        <v>866</v>
      </c>
      <c r="E79" s="151" t="s">
        <v>1263</v>
      </c>
      <c r="F79" s="151" t="s">
        <v>523</v>
      </c>
      <c r="G79" s="151" t="s">
        <v>1264</v>
      </c>
      <c r="H79" s="151" t="s">
        <v>1265</v>
      </c>
    </row>
    <row r="80" customFormat="false" ht="99.75" hidden="false" customHeight="true" outlineLevel="0" collapsed="false">
      <c r="A80" s="170" t="s">
        <v>1066</v>
      </c>
      <c r="B80" s="171" t="s">
        <v>1367</v>
      </c>
      <c r="C80" s="171" t="s">
        <v>1368</v>
      </c>
      <c r="D80" s="178" t="s">
        <v>910</v>
      </c>
      <c r="E80" s="173"/>
      <c r="F80" s="174"/>
      <c r="G80" s="173"/>
      <c r="H80" s="175" t="s">
        <v>1339</v>
      </c>
    </row>
    <row r="81" customFormat="false" ht="99.75" hidden="false" customHeight="true" outlineLevel="0" collapsed="false">
      <c r="A81" s="170" t="s">
        <v>1070</v>
      </c>
      <c r="B81" s="176" t="s">
        <v>1369</v>
      </c>
      <c r="C81" s="171" t="s">
        <v>1370</v>
      </c>
      <c r="D81" s="178" t="s">
        <v>910</v>
      </c>
      <c r="E81" s="173"/>
      <c r="F81" s="174"/>
      <c r="G81" s="173"/>
      <c r="H81" s="175" t="s">
        <v>1305</v>
      </c>
    </row>
    <row r="82" customFormat="false" ht="99.75" hidden="false" customHeight="true" outlineLevel="0" collapsed="false">
      <c r="A82" s="170" t="s">
        <v>1073</v>
      </c>
      <c r="B82" s="171" t="s">
        <v>1371</v>
      </c>
      <c r="C82" s="171" t="s">
        <v>1372</v>
      </c>
      <c r="D82" s="172" t="s">
        <v>879</v>
      </c>
      <c r="E82" s="173"/>
      <c r="F82" s="174"/>
      <c r="G82" s="173"/>
      <c r="H82" s="175" t="s">
        <v>1373</v>
      </c>
    </row>
    <row r="83" customFormat="false" ht="21.6" hidden="false" customHeight="false" outlineLevel="0" collapsed="false">
      <c r="A83" s="154" t="s">
        <v>729</v>
      </c>
      <c r="B83" s="179" t="str">
        <f aca="false">COUNTIF(F80:F82,"ผ่าน")&amp;" ผ่าน, "&amp;COUNTIF(F80:F82,"ไม่ผ่าน")&amp;" ไม่ผ่าน, "&amp;COUNTIF(F80:F82,"ไม่เกี่ยว")&amp;" ไม่เกี่ยว, "&amp;COUNTBLANK(F80:F82)&amp;" ยังไม่ตรวจ"</f>
        <v>0 ผ่าน, 0 ไม่ผ่าน, 0 ไม่เกี่ยว, 3 ยังไม่ตรวจ</v>
      </c>
      <c r="C83" s="179" t="str">
        <f aca="false">IF(COUNTIF(F80:F82,"ไม่ผ่าน")&gt;0,"ยังไม่ผ่าน: แก้แล้วตรวจซ้ำ",IF(COUNTBLANK(F80:F82)=0,"ผ่านครบ ลงนามได้",""))</f>
        <v/>
      </c>
      <c r="D83" s="179"/>
      <c r="E83" s="179"/>
      <c r="F83" s="179"/>
      <c r="G83" s="179"/>
      <c r="H83" s="179"/>
    </row>
    <row r="85" customFormat="false" ht="30" hidden="false" customHeight="true" outlineLevel="0" collapsed="false">
      <c r="A85" s="154" t="s">
        <v>1324</v>
      </c>
      <c r="B85" s="154"/>
      <c r="C85" s="158"/>
      <c r="D85" s="158"/>
      <c r="E85" s="158"/>
      <c r="F85" s="158"/>
      <c r="G85" s="158"/>
      <c r="H85" s="158"/>
    </row>
    <row r="87" customFormat="false" ht="30" hidden="false" customHeight="true" outlineLevel="0" collapsed="false">
      <c r="A87" s="154" t="s">
        <v>1325</v>
      </c>
      <c r="B87" s="154"/>
      <c r="C87" s="158"/>
      <c r="D87" s="158"/>
      <c r="E87" s="158"/>
      <c r="F87" s="158"/>
      <c r="G87" s="158"/>
      <c r="H87" s="158"/>
    </row>
    <row r="90" customFormat="false" ht="16.4" hidden="false" customHeight="false" outlineLevel="0" collapsed="false">
      <c r="A90" s="165" t="s">
        <v>1374</v>
      </c>
      <c r="B90" s="165"/>
      <c r="C90" s="165"/>
      <c r="D90" s="165"/>
      <c r="E90" s="165"/>
      <c r="F90" s="165"/>
      <c r="G90" s="165"/>
      <c r="H90" s="165"/>
    </row>
    <row r="91" customFormat="false" ht="12.65" hidden="false" customHeight="false" outlineLevel="0" collapsed="false">
      <c r="A91" s="166" t="s">
        <v>1375</v>
      </c>
      <c r="B91" s="166"/>
      <c r="C91" s="166"/>
      <c r="D91" s="166"/>
      <c r="E91" s="166"/>
      <c r="F91" s="166"/>
      <c r="G91" s="166"/>
      <c r="H91" s="166"/>
    </row>
    <row r="92" customFormat="false" ht="15" hidden="false" customHeight="true" outlineLevel="0" collapsed="false">
      <c r="A92" s="154" t="s">
        <v>1259</v>
      </c>
      <c r="B92" s="167"/>
      <c r="C92" s="167"/>
      <c r="D92" s="154" t="s">
        <v>1260</v>
      </c>
      <c r="E92" s="154"/>
      <c r="F92" s="168"/>
      <c r="G92" s="168"/>
      <c r="H92" s="168"/>
    </row>
    <row r="93" customFormat="false" ht="15" hidden="false" customHeight="true" outlineLevel="0" collapsed="false">
      <c r="A93" s="154" t="s">
        <v>22</v>
      </c>
      <c r="B93" s="167"/>
      <c r="C93" s="167"/>
      <c r="D93" s="154" t="s">
        <v>1261</v>
      </c>
      <c r="E93" s="154"/>
      <c r="F93" s="167"/>
      <c r="G93" s="167"/>
      <c r="H93" s="167"/>
    </row>
    <row r="94" customFormat="false" ht="11.9" hidden="false" customHeight="false" outlineLevel="0" collapsed="false">
      <c r="A94" s="169" t="s">
        <v>1262</v>
      </c>
      <c r="B94" s="169"/>
      <c r="C94" s="169"/>
      <c r="D94" s="169"/>
      <c r="E94" s="169"/>
      <c r="F94" s="169"/>
      <c r="G94" s="169"/>
      <c r="H94" s="169"/>
    </row>
    <row r="95" customFormat="false" ht="15" hidden="false" customHeight="false" outlineLevel="0" collapsed="false">
      <c r="A95" s="151" t="s">
        <v>34</v>
      </c>
      <c r="B95" s="151" t="s">
        <v>863</v>
      </c>
      <c r="C95" s="151" t="s">
        <v>864</v>
      </c>
      <c r="D95" s="151" t="s">
        <v>866</v>
      </c>
      <c r="E95" s="151" t="s">
        <v>1263</v>
      </c>
      <c r="F95" s="151" t="s">
        <v>523</v>
      </c>
      <c r="G95" s="151" t="s">
        <v>1264</v>
      </c>
      <c r="H95" s="151" t="s">
        <v>1265</v>
      </c>
    </row>
    <row r="96" customFormat="false" ht="99.75" hidden="false" customHeight="true" outlineLevel="0" collapsed="false">
      <c r="A96" s="170" t="s">
        <v>1082</v>
      </c>
      <c r="B96" s="171" t="s">
        <v>1376</v>
      </c>
      <c r="C96" s="171" t="s">
        <v>1377</v>
      </c>
      <c r="D96" s="172" t="s">
        <v>879</v>
      </c>
      <c r="E96" s="173"/>
      <c r="F96" s="174"/>
      <c r="G96" s="173"/>
      <c r="H96" s="175" t="s">
        <v>1305</v>
      </c>
    </row>
    <row r="97" customFormat="false" ht="99.75" hidden="false" customHeight="true" outlineLevel="0" collapsed="false">
      <c r="A97" s="170" t="s">
        <v>1088</v>
      </c>
      <c r="B97" s="171" t="s">
        <v>1378</v>
      </c>
      <c r="C97" s="171" t="s">
        <v>1379</v>
      </c>
      <c r="D97" s="172" t="s">
        <v>879</v>
      </c>
      <c r="E97" s="173"/>
      <c r="F97" s="174"/>
      <c r="G97" s="173"/>
      <c r="H97" s="175" t="s">
        <v>1294</v>
      </c>
    </row>
    <row r="98" customFormat="false" ht="99.75" hidden="false" customHeight="true" outlineLevel="0" collapsed="false">
      <c r="A98" s="170" t="s">
        <v>1092</v>
      </c>
      <c r="B98" s="176" t="s">
        <v>1380</v>
      </c>
      <c r="C98" s="171" t="s">
        <v>1381</v>
      </c>
      <c r="D98" s="178" t="s">
        <v>910</v>
      </c>
      <c r="E98" s="173"/>
      <c r="F98" s="174"/>
      <c r="G98" s="173"/>
      <c r="H98" s="175" t="s">
        <v>1382</v>
      </c>
    </row>
    <row r="99" customFormat="false" ht="99.75" hidden="false" customHeight="true" outlineLevel="0" collapsed="false">
      <c r="A99" s="170" t="s">
        <v>1096</v>
      </c>
      <c r="B99" s="171" t="s">
        <v>1097</v>
      </c>
      <c r="C99" s="176" t="s">
        <v>1383</v>
      </c>
      <c r="D99" s="178" t="s">
        <v>910</v>
      </c>
      <c r="E99" s="173"/>
      <c r="F99" s="174"/>
      <c r="G99" s="173"/>
      <c r="H99" s="175" t="s">
        <v>1305</v>
      </c>
    </row>
    <row r="100" customFormat="false" ht="99.75" hidden="false" customHeight="true" outlineLevel="0" collapsed="false">
      <c r="A100" s="170" t="s">
        <v>1099</v>
      </c>
      <c r="B100" s="171" t="s">
        <v>1384</v>
      </c>
      <c r="C100" s="171" t="s">
        <v>1385</v>
      </c>
      <c r="D100" s="172" t="s">
        <v>879</v>
      </c>
      <c r="E100" s="173"/>
      <c r="F100" s="174"/>
      <c r="G100" s="173"/>
      <c r="H100" s="175" t="s">
        <v>1308</v>
      </c>
    </row>
    <row r="101" customFormat="false" ht="99.75" hidden="false" customHeight="true" outlineLevel="0" collapsed="false">
      <c r="A101" s="170" t="s">
        <v>1103</v>
      </c>
      <c r="B101" s="171" t="s">
        <v>1386</v>
      </c>
      <c r="C101" s="171" t="s">
        <v>1387</v>
      </c>
      <c r="D101" s="177" t="s">
        <v>888</v>
      </c>
      <c r="E101" s="173"/>
      <c r="F101" s="174"/>
      <c r="G101" s="173"/>
      <c r="H101" s="175" t="s">
        <v>1388</v>
      </c>
    </row>
    <row r="102" customFormat="false" ht="99.75" hidden="false" customHeight="true" outlineLevel="0" collapsed="false">
      <c r="A102" s="170" t="s">
        <v>1108</v>
      </c>
      <c r="B102" s="171" t="s">
        <v>1389</v>
      </c>
      <c r="C102" s="171" t="s">
        <v>1390</v>
      </c>
      <c r="D102" s="178" t="s">
        <v>910</v>
      </c>
      <c r="E102" s="173"/>
      <c r="F102" s="174"/>
      <c r="G102" s="173"/>
      <c r="H102" s="175" t="s">
        <v>1305</v>
      </c>
    </row>
    <row r="103" customFormat="false" ht="21.6" hidden="false" customHeight="false" outlineLevel="0" collapsed="false">
      <c r="A103" s="154" t="s">
        <v>729</v>
      </c>
      <c r="B103" s="179" t="str">
        <f aca="false">COUNTIF(F96:F102,"ผ่าน")&amp;" ผ่าน, "&amp;COUNTIF(F96:F102,"ไม่ผ่าน")&amp;" ไม่ผ่าน, "&amp;COUNTIF(F96:F102,"ไม่เกี่ยว")&amp;" ไม่เกี่ยว, "&amp;COUNTBLANK(F96:F102)&amp;" ยังไม่ตรวจ"</f>
        <v>0 ผ่าน, 0 ไม่ผ่าน, 0 ไม่เกี่ยว, 7 ยังไม่ตรวจ</v>
      </c>
      <c r="C103" s="179" t="str">
        <f aca="false">IF(COUNTIF(F96:F102,"ไม่ผ่าน")&gt;0,"ยังไม่ผ่าน: แก้แล้วตรวจซ้ำ",IF(COUNTBLANK(F96:F102)=0,"ผ่านครบ ลงนามได้",""))</f>
        <v/>
      </c>
      <c r="D103" s="179"/>
      <c r="E103" s="179"/>
      <c r="F103" s="179"/>
      <c r="G103" s="179"/>
      <c r="H103" s="179"/>
    </row>
    <row r="105" customFormat="false" ht="30" hidden="false" customHeight="true" outlineLevel="0" collapsed="false">
      <c r="A105" s="154" t="s">
        <v>1324</v>
      </c>
      <c r="B105" s="154"/>
      <c r="C105" s="158"/>
      <c r="D105" s="158"/>
      <c r="E105" s="158"/>
      <c r="F105" s="158"/>
      <c r="G105" s="158"/>
      <c r="H105" s="158"/>
    </row>
    <row r="107" customFormat="false" ht="30" hidden="false" customHeight="true" outlineLevel="0" collapsed="false">
      <c r="A107" s="154" t="s">
        <v>1325</v>
      </c>
      <c r="B107" s="154"/>
      <c r="C107" s="158"/>
      <c r="D107" s="158"/>
      <c r="E107" s="158"/>
      <c r="F107" s="158"/>
      <c r="G107" s="158"/>
      <c r="H107" s="158"/>
    </row>
    <row r="110" customFormat="false" ht="16.4" hidden="false" customHeight="false" outlineLevel="0" collapsed="false">
      <c r="A110" s="165" t="s">
        <v>1391</v>
      </c>
      <c r="B110" s="165"/>
      <c r="C110" s="165"/>
      <c r="D110" s="165"/>
      <c r="E110" s="165"/>
      <c r="F110" s="165"/>
      <c r="G110" s="165"/>
      <c r="H110" s="165"/>
    </row>
    <row r="111" customFormat="false" ht="12.65" hidden="false" customHeight="false" outlineLevel="0" collapsed="false">
      <c r="A111" s="166" t="s">
        <v>1392</v>
      </c>
      <c r="B111" s="166"/>
      <c r="C111" s="166"/>
      <c r="D111" s="166"/>
      <c r="E111" s="166"/>
      <c r="F111" s="166"/>
      <c r="G111" s="166"/>
      <c r="H111" s="166"/>
    </row>
    <row r="112" customFormat="false" ht="15" hidden="false" customHeight="true" outlineLevel="0" collapsed="false">
      <c r="A112" s="154" t="s">
        <v>1259</v>
      </c>
      <c r="B112" s="167"/>
      <c r="C112" s="167"/>
      <c r="D112" s="154" t="s">
        <v>1260</v>
      </c>
      <c r="E112" s="154"/>
      <c r="F112" s="168"/>
      <c r="G112" s="168"/>
      <c r="H112" s="168"/>
    </row>
    <row r="113" customFormat="false" ht="15" hidden="false" customHeight="true" outlineLevel="0" collapsed="false">
      <c r="A113" s="154" t="s">
        <v>22</v>
      </c>
      <c r="B113" s="167"/>
      <c r="C113" s="167"/>
      <c r="D113" s="154" t="s">
        <v>1261</v>
      </c>
      <c r="E113" s="154"/>
      <c r="F113" s="167"/>
      <c r="G113" s="167"/>
      <c r="H113" s="167"/>
    </row>
    <row r="114" customFormat="false" ht="11.9" hidden="false" customHeight="false" outlineLevel="0" collapsed="false">
      <c r="A114" s="169" t="s">
        <v>1262</v>
      </c>
      <c r="B114" s="169"/>
      <c r="C114" s="169"/>
      <c r="D114" s="169"/>
      <c r="E114" s="169"/>
      <c r="F114" s="169"/>
      <c r="G114" s="169"/>
      <c r="H114" s="169"/>
    </row>
    <row r="115" customFormat="false" ht="15" hidden="false" customHeight="false" outlineLevel="0" collapsed="false">
      <c r="A115" s="151" t="s">
        <v>34</v>
      </c>
      <c r="B115" s="151" t="s">
        <v>863</v>
      </c>
      <c r="C115" s="151" t="s">
        <v>864</v>
      </c>
      <c r="D115" s="151" t="s">
        <v>866</v>
      </c>
      <c r="E115" s="151" t="s">
        <v>1263</v>
      </c>
      <c r="F115" s="151" t="s">
        <v>523</v>
      </c>
      <c r="G115" s="151" t="s">
        <v>1264</v>
      </c>
      <c r="H115" s="151" t="s">
        <v>1265</v>
      </c>
    </row>
    <row r="116" customFormat="false" ht="99.75" hidden="false" customHeight="true" outlineLevel="0" collapsed="false">
      <c r="A116" s="170" t="s">
        <v>1115</v>
      </c>
      <c r="B116" s="171" t="s">
        <v>1393</v>
      </c>
      <c r="C116" s="171" t="s">
        <v>1394</v>
      </c>
      <c r="D116" s="178" t="s">
        <v>910</v>
      </c>
      <c r="E116" s="173"/>
      <c r="F116" s="174"/>
      <c r="G116" s="173"/>
      <c r="H116" s="175" t="s">
        <v>1305</v>
      </c>
    </row>
    <row r="117" customFormat="false" ht="99.75" hidden="false" customHeight="true" outlineLevel="0" collapsed="false">
      <c r="A117" s="170" t="s">
        <v>1120</v>
      </c>
      <c r="B117" s="176" t="s">
        <v>1395</v>
      </c>
      <c r="C117" s="171" t="s">
        <v>1396</v>
      </c>
      <c r="D117" s="177" t="s">
        <v>888</v>
      </c>
      <c r="E117" s="173"/>
      <c r="F117" s="174"/>
      <c r="G117" s="173"/>
      <c r="H117" s="175" t="s">
        <v>1397</v>
      </c>
    </row>
    <row r="118" customFormat="false" ht="99.75" hidden="false" customHeight="true" outlineLevel="0" collapsed="false">
      <c r="A118" s="170" t="s">
        <v>1125</v>
      </c>
      <c r="B118" s="171" t="s">
        <v>1126</v>
      </c>
      <c r="C118" s="176" t="s">
        <v>1398</v>
      </c>
      <c r="D118" s="172" t="s">
        <v>879</v>
      </c>
      <c r="E118" s="173"/>
      <c r="F118" s="174"/>
      <c r="G118" s="173"/>
      <c r="H118" s="175" t="s">
        <v>1399</v>
      </c>
    </row>
    <row r="119" customFormat="false" ht="99.75" hidden="false" customHeight="true" outlineLevel="0" collapsed="false">
      <c r="A119" s="170" t="s">
        <v>1132</v>
      </c>
      <c r="B119" s="171" t="s">
        <v>1400</v>
      </c>
      <c r="C119" s="176" t="s">
        <v>1401</v>
      </c>
      <c r="D119" s="172" t="s">
        <v>879</v>
      </c>
      <c r="E119" s="173"/>
      <c r="F119" s="174"/>
      <c r="G119" s="173"/>
      <c r="H119" s="175" t="s">
        <v>1308</v>
      </c>
    </row>
    <row r="120" customFormat="false" ht="99.75" hidden="false" customHeight="true" outlineLevel="0" collapsed="false">
      <c r="A120" s="170" t="s">
        <v>1137</v>
      </c>
      <c r="B120" s="171" t="s">
        <v>1138</v>
      </c>
      <c r="C120" s="171" t="s">
        <v>1402</v>
      </c>
      <c r="D120" s="177" t="s">
        <v>888</v>
      </c>
      <c r="E120" s="173"/>
      <c r="F120" s="174"/>
      <c r="G120" s="173"/>
      <c r="H120" s="175" t="s">
        <v>1403</v>
      </c>
    </row>
    <row r="121" customFormat="false" ht="99.75" hidden="false" customHeight="true" outlineLevel="0" collapsed="false">
      <c r="A121" s="170" t="s">
        <v>1142</v>
      </c>
      <c r="B121" s="171" t="s">
        <v>1404</v>
      </c>
      <c r="C121" s="171" t="s">
        <v>1405</v>
      </c>
      <c r="D121" s="172" t="s">
        <v>879</v>
      </c>
      <c r="E121" s="173"/>
      <c r="F121" s="174"/>
      <c r="G121" s="173"/>
      <c r="H121" s="175" t="s">
        <v>1294</v>
      </c>
    </row>
    <row r="122" customFormat="false" ht="21.6" hidden="false" customHeight="false" outlineLevel="0" collapsed="false">
      <c r="A122" s="154" t="s">
        <v>729</v>
      </c>
      <c r="B122" s="179" t="str">
        <f aca="false">COUNTIF(F116:F121,"ผ่าน")&amp;" ผ่าน, "&amp;COUNTIF(F116:F121,"ไม่ผ่าน")&amp;" ไม่ผ่าน, "&amp;COUNTIF(F116:F121,"ไม่เกี่ยว")&amp;" ไม่เกี่ยว, "&amp;COUNTBLANK(F116:F121)&amp;" ยังไม่ตรวจ"</f>
        <v>0 ผ่าน, 0 ไม่ผ่าน, 0 ไม่เกี่ยว, 6 ยังไม่ตรวจ</v>
      </c>
      <c r="C122" s="179" t="str">
        <f aca="false">IF(COUNTIF(F116:F121,"ไม่ผ่าน")&gt;0,"ยังไม่ผ่าน: แก้แล้วตรวจซ้ำ",IF(COUNTBLANK(F116:F121)=0,"ผ่านครบ ลงนามได้",""))</f>
        <v/>
      </c>
      <c r="D122" s="179"/>
      <c r="E122" s="179"/>
      <c r="F122" s="179"/>
      <c r="G122" s="179"/>
      <c r="H122" s="179"/>
    </row>
    <row r="124" customFormat="false" ht="30" hidden="false" customHeight="true" outlineLevel="0" collapsed="false">
      <c r="A124" s="154" t="s">
        <v>1324</v>
      </c>
      <c r="B124" s="154"/>
      <c r="C124" s="158"/>
      <c r="D124" s="158"/>
      <c r="E124" s="158"/>
      <c r="F124" s="158"/>
      <c r="G124" s="158"/>
      <c r="H124" s="158"/>
    </row>
    <row r="126" customFormat="false" ht="30" hidden="false" customHeight="true" outlineLevel="0" collapsed="false">
      <c r="A126" s="154" t="s">
        <v>1325</v>
      </c>
      <c r="B126" s="154"/>
      <c r="C126" s="158"/>
      <c r="D126" s="158"/>
      <c r="E126" s="158"/>
      <c r="F126" s="158"/>
      <c r="G126" s="158"/>
      <c r="H126" s="158"/>
    </row>
    <row r="129" customFormat="false" ht="16.4" hidden="false" customHeight="false" outlineLevel="0" collapsed="false">
      <c r="A129" s="165" t="s">
        <v>1406</v>
      </c>
      <c r="B129" s="165"/>
      <c r="C129" s="165"/>
      <c r="D129" s="165"/>
      <c r="E129" s="165"/>
      <c r="F129" s="165"/>
      <c r="G129" s="165"/>
      <c r="H129" s="165"/>
    </row>
    <row r="130" customFormat="false" ht="12.65" hidden="false" customHeight="false" outlineLevel="0" collapsed="false">
      <c r="A130" s="166" t="s">
        <v>1407</v>
      </c>
      <c r="B130" s="166"/>
      <c r="C130" s="166"/>
      <c r="D130" s="166"/>
      <c r="E130" s="166"/>
      <c r="F130" s="166"/>
      <c r="G130" s="166"/>
      <c r="H130" s="166"/>
    </row>
    <row r="131" customFormat="false" ht="15" hidden="false" customHeight="true" outlineLevel="0" collapsed="false">
      <c r="A131" s="154" t="s">
        <v>1259</v>
      </c>
      <c r="B131" s="167"/>
      <c r="C131" s="167"/>
      <c r="D131" s="154" t="s">
        <v>1260</v>
      </c>
      <c r="E131" s="154"/>
      <c r="F131" s="168"/>
      <c r="G131" s="168"/>
      <c r="H131" s="168"/>
    </row>
    <row r="132" customFormat="false" ht="15" hidden="false" customHeight="true" outlineLevel="0" collapsed="false">
      <c r="A132" s="154" t="s">
        <v>22</v>
      </c>
      <c r="B132" s="167"/>
      <c r="C132" s="167"/>
      <c r="D132" s="154" t="s">
        <v>1261</v>
      </c>
      <c r="E132" s="154"/>
      <c r="F132" s="167"/>
      <c r="G132" s="167"/>
      <c r="H132" s="167"/>
    </row>
    <row r="133" customFormat="false" ht="11.9" hidden="false" customHeight="false" outlineLevel="0" collapsed="false">
      <c r="A133" s="169" t="s">
        <v>1262</v>
      </c>
      <c r="B133" s="169"/>
      <c r="C133" s="169"/>
      <c r="D133" s="169"/>
      <c r="E133" s="169"/>
      <c r="F133" s="169"/>
      <c r="G133" s="169"/>
      <c r="H133" s="169"/>
    </row>
    <row r="134" customFormat="false" ht="15" hidden="false" customHeight="false" outlineLevel="0" collapsed="false">
      <c r="A134" s="151" t="s">
        <v>34</v>
      </c>
      <c r="B134" s="151" t="s">
        <v>863</v>
      </c>
      <c r="C134" s="151" t="s">
        <v>864</v>
      </c>
      <c r="D134" s="151" t="s">
        <v>866</v>
      </c>
      <c r="E134" s="151" t="s">
        <v>1263</v>
      </c>
      <c r="F134" s="151" t="s">
        <v>523</v>
      </c>
      <c r="G134" s="151" t="s">
        <v>1264</v>
      </c>
      <c r="H134" s="151" t="s">
        <v>1265</v>
      </c>
    </row>
    <row r="135" customFormat="false" ht="99.75" hidden="false" customHeight="true" outlineLevel="0" collapsed="false">
      <c r="A135" s="170" t="s">
        <v>1149</v>
      </c>
      <c r="B135" s="171" t="s">
        <v>1408</v>
      </c>
      <c r="C135" s="176" t="s">
        <v>1409</v>
      </c>
      <c r="D135" s="178" t="s">
        <v>910</v>
      </c>
      <c r="E135" s="173"/>
      <c r="F135" s="174"/>
      <c r="G135" s="173"/>
      <c r="H135" s="175" t="s">
        <v>1339</v>
      </c>
    </row>
    <row r="136" customFormat="false" ht="99.75" hidden="false" customHeight="true" outlineLevel="0" collapsed="false">
      <c r="A136" s="170" t="s">
        <v>1155</v>
      </c>
      <c r="B136" s="171" t="s">
        <v>1410</v>
      </c>
      <c r="C136" s="176" t="s">
        <v>1411</v>
      </c>
      <c r="D136" s="172" t="s">
        <v>879</v>
      </c>
      <c r="E136" s="173"/>
      <c r="F136" s="174"/>
      <c r="G136" s="173"/>
      <c r="H136" s="175" t="s">
        <v>1412</v>
      </c>
    </row>
    <row r="137" customFormat="false" ht="99.75" hidden="false" customHeight="true" outlineLevel="0" collapsed="false">
      <c r="A137" s="170" t="s">
        <v>1160</v>
      </c>
      <c r="B137" s="176" t="s">
        <v>1413</v>
      </c>
      <c r="C137" s="176" t="s">
        <v>1414</v>
      </c>
      <c r="D137" s="172" t="s">
        <v>879</v>
      </c>
      <c r="E137" s="173"/>
      <c r="F137" s="174"/>
      <c r="G137" s="173"/>
      <c r="H137" s="175" t="s">
        <v>1415</v>
      </c>
    </row>
    <row r="138" customFormat="false" ht="99.75" hidden="false" customHeight="true" outlineLevel="0" collapsed="false">
      <c r="A138" s="170" t="s">
        <v>1165</v>
      </c>
      <c r="B138" s="171" t="s">
        <v>1166</v>
      </c>
      <c r="C138" s="171" t="s">
        <v>1416</v>
      </c>
      <c r="D138" s="178" t="s">
        <v>910</v>
      </c>
      <c r="E138" s="173"/>
      <c r="F138" s="174"/>
      <c r="G138" s="173"/>
      <c r="H138" s="175" t="s">
        <v>1305</v>
      </c>
    </row>
    <row r="139" customFormat="false" ht="21.6" hidden="false" customHeight="false" outlineLevel="0" collapsed="false">
      <c r="A139" s="154" t="s">
        <v>729</v>
      </c>
      <c r="B139" s="179" t="str">
        <f aca="false">COUNTIF(F135:F138,"ผ่าน")&amp;" ผ่าน, "&amp;COUNTIF(F135:F138,"ไม่ผ่าน")&amp;" ไม่ผ่าน, "&amp;COUNTIF(F135:F138,"ไม่เกี่ยว")&amp;" ไม่เกี่ยว, "&amp;COUNTBLANK(F135:F138)&amp;" ยังไม่ตรวจ"</f>
        <v>0 ผ่าน, 0 ไม่ผ่าน, 0 ไม่เกี่ยว, 4 ยังไม่ตรวจ</v>
      </c>
      <c r="C139" s="179" t="str">
        <f aca="false">IF(COUNTIF(F135:F138,"ไม่ผ่าน")&gt;0,"ยังไม่ผ่าน: แก้แล้วตรวจซ้ำ",IF(COUNTBLANK(F135:F138)=0,"ผ่านครบ ลงนามได้",""))</f>
        <v/>
      </c>
      <c r="D139" s="179"/>
      <c r="E139" s="179"/>
      <c r="F139" s="179"/>
      <c r="G139" s="179"/>
      <c r="H139" s="179"/>
    </row>
    <row r="141" customFormat="false" ht="30" hidden="false" customHeight="true" outlineLevel="0" collapsed="false">
      <c r="A141" s="154" t="s">
        <v>1324</v>
      </c>
      <c r="B141" s="154"/>
      <c r="C141" s="158"/>
      <c r="D141" s="158"/>
      <c r="E141" s="158"/>
      <c r="F141" s="158"/>
      <c r="G141" s="158"/>
      <c r="H141" s="158"/>
    </row>
    <row r="143" customFormat="false" ht="30" hidden="false" customHeight="true" outlineLevel="0" collapsed="false">
      <c r="A143" s="154" t="s">
        <v>1325</v>
      </c>
      <c r="B143" s="154"/>
      <c r="C143" s="158"/>
      <c r="D143" s="158"/>
      <c r="E143" s="158"/>
      <c r="F143" s="158"/>
      <c r="G143" s="158"/>
      <c r="H143" s="158"/>
    </row>
    <row r="146" customFormat="false" ht="16.4" hidden="false" customHeight="false" outlineLevel="0" collapsed="false">
      <c r="A146" s="165" t="s">
        <v>1417</v>
      </c>
      <c r="B146" s="165"/>
      <c r="C146" s="165"/>
      <c r="D146" s="165"/>
      <c r="E146" s="165"/>
      <c r="F146" s="165"/>
      <c r="G146" s="165"/>
      <c r="H146" s="165"/>
    </row>
    <row r="147" customFormat="false" ht="12.65" hidden="false" customHeight="false" outlineLevel="0" collapsed="false">
      <c r="A147" s="166" t="s">
        <v>1418</v>
      </c>
      <c r="B147" s="166"/>
      <c r="C147" s="166"/>
      <c r="D147" s="166"/>
      <c r="E147" s="166"/>
      <c r="F147" s="166"/>
      <c r="G147" s="166"/>
      <c r="H147" s="166"/>
    </row>
    <row r="148" customFormat="false" ht="15" hidden="false" customHeight="true" outlineLevel="0" collapsed="false">
      <c r="A148" s="154" t="s">
        <v>1259</v>
      </c>
      <c r="B148" s="167"/>
      <c r="C148" s="167"/>
      <c r="D148" s="154" t="s">
        <v>1260</v>
      </c>
      <c r="E148" s="154"/>
      <c r="F148" s="168"/>
      <c r="G148" s="168"/>
      <c r="H148" s="168"/>
    </row>
    <row r="149" customFormat="false" ht="15" hidden="false" customHeight="true" outlineLevel="0" collapsed="false">
      <c r="A149" s="154" t="s">
        <v>22</v>
      </c>
      <c r="B149" s="167"/>
      <c r="C149" s="167"/>
      <c r="D149" s="154" t="s">
        <v>1261</v>
      </c>
      <c r="E149" s="154"/>
      <c r="F149" s="167"/>
      <c r="G149" s="167"/>
      <c r="H149" s="167"/>
    </row>
    <row r="150" customFormat="false" ht="11.9" hidden="false" customHeight="false" outlineLevel="0" collapsed="false">
      <c r="A150" s="169" t="s">
        <v>1262</v>
      </c>
      <c r="B150" s="169"/>
      <c r="C150" s="169"/>
      <c r="D150" s="169"/>
      <c r="E150" s="169"/>
      <c r="F150" s="169"/>
      <c r="G150" s="169"/>
      <c r="H150" s="169"/>
    </row>
    <row r="151" customFormat="false" ht="15" hidden="false" customHeight="false" outlineLevel="0" collapsed="false">
      <c r="A151" s="151" t="s">
        <v>34</v>
      </c>
      <c r="B151" s="151" t="s">
        <v>863</v>
      </c>
      <c r="C151" s="151" t="s">
        <v>864</v>
      </c>
      <c r="D151" s="151" t="s">
        <v>866</v>
      </c>
      <c r="E151" s="151" t="s">
        <v>1263</v>
      </c>
      <c r="F151" s="151" t="s">
        <v>523</v>
      </c>
      <c r="G151" s="151" t="s">
        <v>1264</v>
      </c>
      <c r="H151" s="151" t="s">
        <v>1265</v>
      </c>
    </row>
    <row r="152" customFormat="false" ht="99.75" hidden="false" customHeight="true" outlineLevel="0" collapsed="false">
      <c r="A152" s="170" t="s">
        <v>1171</v>
      </c>
      <c r="B152" s="171" t="s">
        <v>1419</v>
      </c>
      <c r="C152" s="176" t="s">
        <v>1420</v>
      </c>
      <c r="D152" s="177" t="s">
        <v>888</v>
      </c>
      <c r="E152" s="173"/>
      <c r="F152" s="174"/>
      <c r="G152" s="173"/>
      <c r="H152" s="175" t="s">
        <v>1421</v>
      </c>
    </row>
    <row r="153" customFormat="false" ht="99.75" hidden="false" customHeight="true" outlineLevel="0" collapsed="false">
      <c r="A153" s="170" t="s">
        <v>1176</v>
      </c>
      <c r="B153" s="171" t="s">
        <v>1422</v>
      </c>
      <c r="C153" s="171" t="s">
        <v>1423</v>
      </c>
      <c r="D153" s="172" t="s">
        <v>879</v>
      </c>
      <c r="E153" s="173"/>
      <c r="F153" s="174"/>
      <c r="G153" s="173"/>
      <c r="H153" s="175" t="s">
        <v>1424</v>
      </c>
    </row>
    <row r="154" customFormat="false" ht="99.75" hidden="false" customHeight="true" outlineLevel="0" collapsed="false">
      <c r="A154" s="170" t="s">
        <v>1181</v>
      </c>
      <c r="B154" s="171" t="s">
        <v>1425</v>
      </c>
      <c r="C154" s="171" t="s">
        <v>1426</v>
      </c>
      <c r="D154" s="172" t="s">
        <v>879</v>
      </c>
      <c r="E154" s="173"/>
      <c r="F154" s="174"/>
      <c r="G154" s="173"/>
      <c r="H154" s="175" t="s">
        <v>1415</v>
      </c>
    </row>
    <row r="155" customFormat="false" ht="99.75" hidden="false" customHeight="true" outlineLevel="0" collapsed="false">
      <c r="A155" s="170" t="s">
        <v>1186</v>
      </c>
      <c r="B155" s="171" t="s">
        <v>1187</v>
      </c>
      <c r="C155" s="176" t="s">
        <v>1427</v>
      </c>
      <c r="D155" s="172" t="s">
        <v>879</v>
      </c>
      <c r="E155" s="173"/>
      <c r="F155" s="174"/>
      <c r="G155" s="173"/>
      <c r="H155" s="175" t="s">
        <v>1428</v>
      </c>
    </row>
    <row r="156" customFormat="false" ht="21.6" hidden="false" customHeight="false" outlineLevel="0" collapsed="false">
      <c r="A156" s="154" t="s">
        <v>729</v>
      </c>
      <c r="B156" s="179" t="str">
        <f aca="false">COUNTIF(F152:F155,"ผ่าน")&amp;" ผ่าน, "&amp;COUNTIF(F152:F155,"ไม่ผ่าน")&amp;" ไม่ผ่าน, "&amp;COUNTIF(F152:F155,"ไม่เกี่ยว")&amp;" ไม่เกี่ยว, "&amp;COUNTBLANK(F152:F155)&amp;" ยังไม่ตรวจ"</f>
        <v>0 ผ่าน, 0 ไม่ผ่าน, 0 ไม่เกี่ยว, 4 ยังไม่ตรวจ</v>
      </c>
      <c r="C156" s="179" t="str">
        <f aca="false">IF(COUNTIF(F152:F155,"ไม่ผ่าน")&gt;0,"ยังไม่ผ่าน: แก้แล้วตรวจซ้ำ",IF(COUNTBLANK(F152:F155)=0,"ผ่านครบ ลงนามได้",""))</f>
        <v/>
      </c>
      <c r="D156" s="179"/>
      <c r="E156" s="179"/>
      <c r="F156" s="179"/>
      <c r="G156" s="179"/>
      <c r="H156" s="179"/>
    </row>
    <row r="158" customFormat="false" ht="30" hidden="false" customHeight="true" outlineLevel="0" collapsed="false">
      <c r="A158" s="154" t="s">
        <v>1324</v>
      </c>
      <c r="B158" s="154"/>
      <c r="C158" s="158"/>
      <c r="D158" s="158"/>
      <c r="E158" s="158"/>
      <c r="F158" s="158"/>
      <c r="G158" s="158"/>
      <c r="H158" s="158"/>
    </row>
    <row r="160" customFormat="false" ht="30" hidden="false" customHeight="true" outlineLevel="0" collapsed="false">
      <c r="A160" s="154" t="s">
        <v>1325</v>
      </c>
      <c r="B160" s="154"/>
      <c r="C160" s="158"/>
      <c r="D160" s="158"/>
      <c r="E160" s="158"/>
      <c r="F160" s="158"/>
      <c r="G160" s="158"/>
      <c r="H160" s="158"/>
    </row>
    <row r="163" customFormat="false" ht="16.4" hidden="false" customHeight="false" outlineLevel="0" collapsed="false">
      <c r="A163" s="165" t="s">
        <v>1429</v>
      </c>
      <c r="B163" s="165"/>
      <c r="C163" s="165"/>
      <c r="D163" s="165"/>
      <c r="E163" s="165"/>
      <c r="F163" s="165"/>
      <c r="G163" s="165"/>
      <c r="H163" s="165"/>
    </row>
    <row r="164" customFormat="false" ht="12.65" hidden="false" customHeight="false" outlineLevel="0" collapsed="false">
      <c r="A164" s="166" t="s">
        <v>1430</v>
      </c>
      <c r="B164" s="166"/>
      <c r="C164" s="166"/>
      <c r="D164" s="166"/>
      <c r="E164" s="166"/>
      <c r="F164" s="166"/>
      <c r="G164" s="166"/>
      <c r="H164" s="166"/>
    </row>
    <row r="165" customFormat="false" ht="15" hidden="false" customHeight="true" outlineLevel="0" collapsed="false">
      <c r="A165" s="154" t="s">
        <v>1259</v>
      </c>
      <c r="B165" s="167"/>
      <c r="C165" s="167"/>
      <c r="D165" s="154" t="s">
        <v>1260</v>
      </c>
      <c r="E165" s="154"/>
      <c r="F165" s="168"/>
      <c r="G165" s="168"/>
      <c r="H165" s="168"/>
    </row>
    <row r="166" customFormat="false" ht="15" hidden="false" customHeight="true" outlineLevel="0" collapsed="false">
      <c r="A166" s="154" t="s">
        <v>22</v>
      </c>
      <c r="B166" s="167"/>
      <c r="C166" s="167"/>
      <c r="D166" s="154" t="s">
        <v>1261</v>
      </c>
      <c r="E166" s="154"/>
      <c r="F166" s="167"/>
      <c r="G166" s="167"/>
      <c r="H166" s="167"/>
    </row>
    <row r="167" customFormat="false" ht="11.9" hidden="false" customHeight="false" outlineLevel="0" collapsed="false">
      <c r="A167" s="169" t="s">
        <v>1262</v>
      </c>
      <c r="B167" s="169"/>
      <c r="C167" s="169"/>
      <c r="D167" s="169"/>
      <c r="E167" s="169"/>
      <c r="F167" s="169"/>
      <c r="G167" s="169"/>
      <c r="H167" s="169"/>
    </row>
    <row r="168" customFormat="false" ht="15" hidden="false" customHeight="false" outlineLevel="0" collapsed="false">
      <c r="A168" s="151" t="s">
        <v>34</v>
      </c>
      <c r="B168" s="151" t="s">
        <v>863</v>
      </c>
      <c r="C168" s="151" t="s">
        <v>864</v>
      </c>
      <c r="D168" s="151" t="s">
        <v>866</v>
      </c>
      <c r="E168" s="151" t="s">
        <v>1263</v>
      </c>
      <c r="F168" s="151" t="s">
        <v>523</v>
      </c>
      <c r="G168" s="151" t="s">
        <v>1264</v>
      </c>
      <c r="H168" s="151" t="s">
        <v>1265</v>
      </c>
    </row>
    <row r="169" customFormat="false" ht="99.75" hidden="false" customHeight="true" outlineLevel="0" collapsed="false">
      <c r="A169" s="170" t="s">
        <v>1194</v>
      </c>
      <c r="B169" s="176" t="s">
        <v>1195</v>
      </c>
      <c r="C169" s="171" t="s">
        <v>1431</v>
      </c>
      <c r="D169" s="172" t="s">
        <v>879</v>
      </c>
      <c r="E169" s="173"/>
      <c r="F169" s="174"/>
      <c r="G169" s="173"/>
      <c r="H169" s="175" t="s">
        <v>1432</v>
      </c>
    </row>
    <row r="170" customFormat="false" ht="99.75" hidden="false" customHeight="true" outlineLevel="0" collapsed="false">
      <c r="A170" s="170" t="s">
        <v>1199</v>
      </c>
      <c r="B170" s="176" t="s">
        <v>1200</v>
      </c>
      <c r="C170" s="176" t="s">
        <v>1433</v>
      </c>
      <c r="D170" s="178" t="s">
        <v>910</v>
      </c>
      <c r="E170" s="173"/>
      <c r="F170" s="174"/>
      <c r="G170" s="173"/>
      <c r="H170" s="175" t="s">
        <v>1434</v>
      </c>
    </row>
    <row r="171" customFormat="false" ht="21.6" hidden="false" customHeight="false" outlineLevel="0" collapsed="false">
      <c r="A171" s="154" t="s">
        <v>729</v>
      </c>
      <c r="B171" s="179" t="str">
        <f aca="false">COUNTIF(F169:F170,"ผ่าน")&amp;" ผ่าน, "&amp;COUNTIF(F169:F170,"ไม่ผ่าน")&amp;" ไม่ผ่าน, "&amp;COUNTIF(F169:F170,"ไม่เกี่ยว")&amp;" ไม่เกี่ยว, "&amp;COUNTBLANK(F169:F170)&amp;" ยังไม่ตรวจ"</f>
        <v>0 ผ่าน, 0 ไม่ผ่าน, 0 ไม่เกี่ยว, 2 ยังไม่ตรวจ</v>
      </c>
      <c r="C171" s="179" t="str">
        <f aca="false">IF(COUNTIF(F169:F170,"ไม่ผ่าน")&gt;0,"ยังไม่ผ่าน: แก้แล้วตรวจซ้ำ",IF(COUNTBLANK(F169:F170)=0,"ผ่านครบ ลงนามได้",""))</f>
        <v/>
      </c>
      <c r="D171" s="179"/>
      <c r="E171" s="179"/>
      <c r="F171" s="179"/>
      <c r="G171" s="179"/>
      <c r="H171" s="179"/>
    </row>
    <row r="173" customFormat="false" ht="30" hidden="false" customHeight="true" outlineLevel="0" collapsed="false">
      <c r="A173" s="154" t="s">
        <v>1324</v>
      </c>
      <c r="B173" s="154"/>
      <c r="C173" s="158"/>
      <c r="D173" s="158"/>
      <c r="E173" s="158"/>
      <c r="F173" s="158"/>
      <c r="G173" s="158"/>
      <c r="H173" s="158"/>
    </row>
    <row r="175" customFormat="false" ht="30" hidden="false" customHeight="true" outlineLevel="0" collapsed="false">
      <c r="A175" s="154" t="s">
        <v>1325</v>
      </c>
      <c r="B175" s="154"/>
      <c r="C175" s="158"/>
      <c r="D175" s="158"/>
      <c r="E175" s="158"/>
      <c r="F175" s="158"/>
      <c r="G175" s="158"/>
      <c r="H175" s="158"/>
    </row>
    <row r="178" customFormat="false" ht="16.4" hidden="false" customHeight="false" outlineLevel="0" collapsed="false">
      <c r="A178" s="165" t="s">
        <v>1435</v>
      </c>
      <c r="B178" s="165"/>
      <c r="C178" s="165"/>
      <c r="D178" s="165"/>
      <c r="E178" s="165"/>
      <c r="F178" s="165"/>
      <c r="G178" s="165"/>
      <c r="H178" s="165"/>
    </row>
    <row r="179" customFormat="false" ht="12.65" hidden="false" customHeight="false" outlineLevel="0" collapsed="false">
      <c r="A179" s="166" t="s">
        <v>1436</v>
      </c>
      <c r="B179" s="166"/>
      <c r="C179" s="166"/>
      <c r="D179" s="166"/>
      <c r="E179" s="166"/>
      <c r="F179" s="166"/>
      <c r="G179" s="166"/>
      <c r="H179" s="166"/>
    </row>
    <row r="180" customFormat="false" ht="15" hidden="false" customHeight="true" outlineLevel="0" collapsed="false">
      <c r="A180" s="154" t="s">
        <v>1259</v>
      </c>
      <c r="B180" s="167"/>
      <c r="C180" s="167"/>
      <c r="D180" s="154" t="s">
        <v>1260</v>
      </c>
      <c r="E180" s="154"/>
      <c r="F180" s="168"/>
      <c r="G180" s="168"/>
      <c r="H180" s="168"/>
    </row>
    <row r="181" customFormat="false" ht="15" hidden="false" customHeight="true" outlineLevel="0" collapsed="false">
      <c r="A181" s="154" t="s">
        <v>22</v>
      </c>
      <c r="B181" s="167"/>
      <c r="C181" s="167"/>
      <c r="D181" s="154" t="s">
        <v>1261</v>
      </c>
      <c r="E181" s="154"/>
      <c r="F181" s="167"/>
      <c r="G181" s="167"/>
      <c r="H181" s="167"/>
    </row>
    <row r="182" customFormat="false" ht="11.9" hidden="false" customHeight="false" outlineLevel="0" collapsed="false">
      <c r="A182" s="169" t="s">
        <v>1262</v>
      </c>
      <c r="B182" s="169"/>
      <c r="C182" s="169"/>
      <c r="D182" s="169"/>
      <c r="E182" s="169"/>
      <c r="F182" s="169"/>
      <c r="G182" s="169"/>
      <c r="H182" s="169"/>
    </row>
    <row r="183" customFormat="false" ht="15" hidden="false" customHeight="false" outlineLevel="0" collapsed="false">
      <c r="A183" s="151" t="s">
        <v>34</v>
      </c>
      <c r="B183" s="151" t="s">
        <v>863</v>
      </c>
      <c r="C183" s="151" t="s">
        <v>864</v>
      </c>
      <c r="D183" s="151" t="s">
        <v>866</v>
      </c>
      <c r="E183" s="151" t="s">
        <v>1263</v>
      </c>
      <c r="F183" s="151" t="s">
        <v>523</v>
      </c>
      <c r="G183" s="151" t="s">
        <v>1264</v>
      </c>
      <c r="H183" s="151" t="s">
        <v>1265</v>
      </c>
    </row>
    <row r="184" customFormat="false" ht="99.75" hidden="false" customHeight="true" outlineLevel="0" collapsed="false">
      <c r="A184" s="170" t="s">
        <v>1208</v>
      </c>
      <c r="B184" s="176" t="s">
        <v>1209</v>
      </c>
      <c r="C184" s="176" t="s">
        <v>1437</v>
      </c>
      <c r="D184" s="177" t="s">
        <v>888</v>
      </c>
      <c r="E184" s="173"/>
      <c r="F184" s="174"/>
      <c r="G184" s="173"/>
      <c r="H184" s="175" t="s">
        <v>1438</v>
      </c>
    </row>
    <row r="185" customFormat="false" ht="99.75" hidden="false" customHeight="true" outlineLevel="0" collapsed="false">
      <c r="A185" s="170" t="s">
        <v>1214</v>
      </c>
      <c r="B185" s="176" t="s">
        <v>1439</v>
      </c>
      <c r="C185" s="171" t="s">
        <v>1440</v>
      </c>
      <c r="D185" s="172" t="s">
        <v>879</v>
      </c>
      <c r="E185" s="173"/>
      <c r="F185" s="174"/>
      <c r="G185" s="173"/>
      <c r="H185" s="175" t="s">
        <v>1441</v>
      </c>
    </row>
    <row r="186" customFormat="false" ht="99.75" hidden="false" customHeight="true" outlineLevel="0" collapsed="false">
      <c r="A186" s="170" t="s">
        <v>1219</v>
      </c>
      <c r="B186" s="176" t="s">
        <v>1442</v>
      </c>
      <c r="C186" s="176" t="s">
        <v>1443</v>
      </c>
      <c r="D186" s="172" t="s">
        <v>879</v>
      </c>
      <c r="E186" s="173"/>
      <c r="F186" s="174"/>
      <c r="G186" s="173"/>
      <c r="H186" s="175" t="s">
        <v>1444</v>
      </c>
    </row>
    <row r="187" customFormat="false" ht="99.75" hidden="false" customHeight="true" outlineLevel="0" collapsed="false">
      <c r="A187" s="170" t="s">
        <v>1223</v>
      </c>
      <c r="B187" s="176" t="s">
        <v>1445</v>
      </c>
      <c r="C187" s="171" t="s">
        <v>1446</v>
      </c>
      <c r="D187" s="172" t="s">
        <v>879</v>
      </c>
      <c r="E187" s="173"/>
      <c r="F187" s="174"/>
      <c r="G187" s="173"/>
      <c r="H187" s="175" t="s">
        <v>1444</v>
      </c>
    </row>
    <row r="188" customFormat="false" ht="99.75" hidden="false" customHeight="true" outlineLevel="0" collapsed="false">
      <c r="A188" s="170" t="s">
        <v>1226</v>
      </c>
      <c r="B188" s="176" t="s">
        <v>1447</v>
      </c>
      <c r="C188" s="171" t="s">
        <v>1448</v>
      </c>
      <c r="D188" s="178" t="s">
        <v>910</v>
      </c>
      <c r="E188" s="173"/>
      <c r="F188" s="174"/>
      <c r="G188" s="173"/>
      <c r="H188" s="175" t="s">
        <v>1449</v>
      </c>
    </row>
    <row r="189" customFormat="false" ht="99.75" hidden="false" customHeight="true" outlineLevel="0" collapsed="false">
      <c r="A189" s="170" t="s">
        <v>1232</v>
      </c>
      <c r="B189" s="176" t="s">
        <v>1233</v>
      </c>
      <c r="C189" s="171" t="s">
        <v>1450</v>
      </c>
      <c r="D189" s="172" t="s">
        <v>879</v>
      </c>
      <c r="E189" s="173"/>
      <c r="F189" s="174"/>
      <c r="G189" s="173"/>
      <c r="H189" s="175" t="s">
        <v>1451</v>
      </c>
    </row>
    <row r="190" customFormat="false" ht="99.75" hidden="false" customHeight="true" outlineLevel="0" collapsed="false">
      <c r="A190" s="170" t="s">
        <v>1238</v>
      </c>
      <c r="B190" s="176" t="s">
        <v>1452</v>
      </c>
      <c r="C190" s="176" t="s">
        <v>1453</v>
      </c>
      <c r="D190" s="177" t="s">
        <v>888</v>
      </c>
      <c r="E190" s="173"/>
      <c r="F190" s="174"/>
      <c r="G190" s="173"/>
      <c r="H190" s="175" t="s">
        <v>1454</v>
      </c>
    </row>
    <row r="191" customFormat="false" ht="99.75" hidden="false" customHeight="true" outlineLevel="0" collapsed="false">
      <c r="A191" s="170" t="s">
        <v>1244</v>
      </c>
      <c r="B191" s="176" t="s">
        <v>1245</v>
      </c>
      <c r="C191" s="171" t="s">
        <v>1455</v>
      </c>
      <c r="D191" s="177" t="s">
        <v>888</v>
      </c>
      <c r="E191" s="173"/>
      <c r="F191" s="174"/>
      <c r="G191" s="173"/>
      <c r="H191" s="175" t="s">
        <v>1456</v>
      </c>
    </row>
    <row r="192" customFormat="false" ht="99.75" hidden="false" customHeight="true" outlineLevel="0" collapsed="false">
      <c r="A192" s="170" t="s">
        <v>1250</v>
      </c>
      <c r="B192" s="176" t="s">
        <v>1457</v>
      </c>
      <c r="C192" s="176" t="s">
        <v>1458</v>
      </c>
      <c r="D192" s="178" t="s">
        <v>910</v>
      </c>
      <c r="E192" s="173"/>
      <c r="F192" s="174"/>
      <c r="G192" s="173"/>
      <c r="H192" s="175" t="s">
        <v>1459</v>
      </c>
    </row>
    <row r="193" customFormat="false" ht="21.6" hidden="false" customHeight="false" outlineLevel="0" collapsed="false">
      <c r="A193" s="154" t="s">
        <v>729</v>
      </c>
      <c r="B193" s="179" t="str">
        <f aca="false">COUNTIF(F184:F192,"ผ่าน")&amp;" ผ่าน, "&amp;COUNTIF(F184:F192,"ไม่ผ่าน")&amp;" ไม่ผ่าน, "&amp;COUNTIF(F184:F192,"ไม่เกี่ยว")&amp;" ไม่เกี่ยว, "&amp;COUNTBLANK(F184:F192)&amp;" ยังไม่ตรวจ"</f>
        <v>0 ผ่าน, 0 ไม่ผ่าน, 0 ไม่เกี่ยว, 9 ยังไม่ตรวจ</v>
      </c>
      <c r="C193" s="179" t="str">
        <f aca="false">IF(COUNTIF(F184:F192,"ไม่ผ่าน")&gt;0,"ยังไม่ผ่าน: แก้แล้วตรวจซ้ำ",IF(COUNTBLANK(F184:F192)=0,"ผ่านครบ ลงนามได้",""))</f>
        <v/>
      </c>
      <c r="D193" s="179"/>
      <c r="E193" s="179"/>
      <c r="F193" s="179"/>
      <c r="G193" s="179"/>
      <c r="H193" s="179"/>
    </row>
    <row r="195" customFormat="false" ht="30" hidden="false" customHeight="true" outlineLevel="0" collapsed="false">
      <c r="A195" s="154" t="s">
        <v>1324</v>
      </c>
      <c r="B195" s="154"/>
      <c r="C195" s="158"/>
      <c r="D195" s="158"/>
      <c r="E195" s="158"/>
      <c r="F195" s="158"/>
      <c r="G195" s="158"/>
      <c r="H195" s="158"/>
    </row>
    <row r="197" customFormat="false" ht="30" hidden="false" customHeight="true" outlineLevel="0" collapsed="false">
      <c r="A197" s="154" t="s">
        <v>1325</v>
      </c>
      <c r="B197" s="154"/>
      <c r="C197" s="158"/>
      <c r="D197" s="158"/>
      <c r="E197" s="158"/>
      <c r="F197" s="158"/>
      <c r="G197" s="158"/>
      <c r="H197" s="158"/>
    </row>
  </sheetData>
  <mergeCells count="140">
    <mergeCell ref="A1:H1"/>
    <mergeCell ref="A2:H2"/>
    <mergeCell ref="B3:C3"/>
    <mergeCell ref="D3:E3"/>
    <mergeCell ref="F3:H3"/>
    <mergeCell ref="B4:C4"/>
    <mergeCell ref="D4:E4"/>
    <mergeCell ref="F4:H4"/>
    <mergeCell ref="A5:H5"/>
    <mergeCell ref="C27:H27"/>
    <mergeCell ref="A29:B29"/>
    <mergeCell ref="C29:H29"/>
    <mergeCell ref="A31:B31"/>
    <mergeCell ref="C31:H31"/>
    <mergeCell ref="A34:H34"/>
    <mergeCell ref="A35:H35"/>
    <mergeCell ref="B36:C36"/>
    <mergeCell ref="D36:E36"/>
    <mergeCell ref="F36:H36"/>
    <mergeCell ref="B37:C37"/>
    <mergeCell ref="D37:E37"/>
    <mergeCell ref="F37:H37"/>
    <mergeCell ref="A38:H38"/>
    <mergeCell ref="C49:H49"/>
    <mergeCell ref="A51:B51"/>
    <mergeCell ref="C51:H51"/>
    <mergeCell ref="A53:B53"/>
    <mergeCell ref="C53:H53"/>
    <mergeCell ref="A56:H56"/>
    <mergeCell ref="A57:H57"/>
    <mergeCell ref="B58:C58"/>
    <mergeCell ref="D58:E58"/>
    <mergeCell ref="F58:H58"/>
    <mergeCell ref="B59:C59"/>
    <mergeCell ref="D59:E59"/>
    <mergeCell ref="F59:H59"/>
    <mergeCell ref="A60:H60"/>
    <mergeCell ref="C67:H67"/>
    <mergeCell ref="A69:B69"/>
    <mergeCell ref="C69:H69"/>
    <mergeCell ref="A71:B71"/>
    <mergeCell ref="C71:H71"/>
    <mergeCell ref="A74:H74"/>
    <mergeCell ref="A75:H75"/>
    <mergeCell ref="B76:C76"/>
    <mergeCell ref="D76:E76"/>
    <mergeCell ref="F76:H76"/>
    <mergeCell ref="B77:C77"/>
    <mergeCell ref="D77:E77"/>
    <mergeCell ref="F77:H77"/>
    <mergeCell ref="A78:H78"/>
    <mergeCell ref="C83:H83"/>
    <mergeCell ref="A85:B85"/>
    <mergeCell ref="C85:H85"/>
    <mergeCell ref="A87:B87"/>
    <mergeCell ref="C87:H87"/>
    <mergeCell ref="A90:H90"/>
    <mergeCell ref="A91:H91"/>
    <mergeCell ref="B92:C92"/>
    <mergeCell ref="D92:E92"/>
    <mergeCell ref="F92:H92"/>
    <mergeCell ref="B93:C93"/>
    <mergeCell ref="D93:E93"/>
    <mergeCell ref="F93:H93"/>
    <mergeCell ref="A94:H94"/>
    <mergeCell ref="C103:H103"/>
    <mergeCell ref="A105:B105"/>
    <mergeCell ref="C105:H105"/>
    <mergeCell ref="A107:B107"/>
    <mergeCell ref="C107:H107"/>
    <mergeCell ref="A110:H110"/>
    <mergeCell ref="A111:H111"/>
    <mergeCell ref="B112:C112"/>
    <mergeCell ref="D112:E112"/>
    <mergeCell ref="F112:H112"/>
    <mergeCell ref="B113:C113"/>
    <mergeCell ref="D113:E113"/>
    <mergeCell ref="F113:H113"/>
    <mergeCell ref="A114:H114"/>
    <mergeCell ref="C122:H122"/>
    <mergeCell ref="A124:B124"/>
    <mergeCell ref="C124:H124"/>
    <mergeCell ref="A126:B126"/>
    <mergeCell ref="C126:H126"/>
    <mergeCell ref="A129:H129"/>
    <mergeCell ref="A130:H130"/>
    <mergeCell ref="B131:C131"/>
    <mergeCell ref="D131:E131"/>
    <mergeCell ref="F131:H131"/>
    <mergeCell ref="B132:C132"/>
    <mergeCell ref="D132:E132"/>
    <mergeCell ref="F132:H132"/>
    <mergeCell ref="A133:H133"/>
    <mergeCell ref="C139:H139"/>
    <mergeCell ref="A141:B141"/>
    <mergeCell ref="C141:H141"/>
    <mergeCell ref="A143:B143"/>
    <mergeCell ref="C143:H143"/>
    <mergeCell ref="A146:H146"/>
    <mergeCell ref="A147:H147"/>
    <mergeCell ref="B148:C148"/>
    <mergeCell ref="D148:E148"/>
    <mergeCell ref="F148:H148"/>
    <mergeCell ref="B149:C149"/>
    <mergeCell ref="D149:E149"/>
    <mergeCell ref="F149:H149"/>
    <mergeCell ref="A150:H150"/>
    <mergeCell ref="C156:H156"/>
    <mergeCell ref="A158:B158"/>
    <mergeCell ref="C158:H158"/>
    <mergeCell ref="A160:B160"/>
    <mergeCell ref="C160:H160"/>
    <mergeCell ref="A163:H163"/>
    <mergeCell ref="A164:H164"/>
    <mergeCell ref="B165:C165"/>
    <mergeCell ref="D165:E165"/>
    <mergeCell ref="F165:H165"/>
    <mergeCell ref="B166:C166"/>
    <mergeCell ref="D166:E166"/>
    <mergeCell ref="F166:H166"/>
    <mergeCell ref="A167:H167"/>
    <mergeCell ref="C171:H171"/>
    <mergeCell ref="A173:B173"/>
    <mergeCell ref="C173:H173"/>
    <mergeCell ref="A175:B175"/>
    <mergeCell ref="C175:H175"/>
    <mergeCell ref="A178:H178"/>
    <mergeCell ref="A179:H179"/>
    <mergeCell ref="B180:C180"/>
    <mergeCell ref="D180:E180"/>
    <mergeCell ref="F180:H180"/>
    <mergeCell ref="B181:C181"/>
    <mergeCell ref="D181:E181"/>
    <mergeCell ref="F181:H181"/>
    <mergeCell ref="A182:H182"/>
    <mergeCell ref="C193:H193"/>
    <mergeCell ref="A195:B195"/>
    <mergeCell ref="C195:H195"/>
    <mergeCell ref="A197:B197"/>
    <mergeCell ref="C197:H197"/>
  </mergeCells>
  <conditionalFormatting sqref="F7:F26">
    <cfRule type="cellIs" priority="2" operator="equal" aboveAverage="0" equalAverage="0" bottom="0" percent="0" rank="0" text="" dxfId="5">
      <formula>"ไม่ผ่าน"</formula>
    </cfRule>
  </conditionalFormatting>
  <conditionalFormatting sqref="F40:F48">
    <cfRule type="cellIs" priority="3" operator="equal" aboveAverage="0" equalAverage="0" bottom="0" percent="0" rank="0" text="" dxfId="5">
      <formula>"ไม่ผ่าน"</formula>
    </cfRule>
  </conditionalFormatting>
  <conditionalFormatting sqref="F62:F66">
    <cfRule type="cellIs" priority="4" operator="equal" aboveAverage="0" equalAverage="0" bottom="0" percent="0" rank="0" text="" dxfId="5">
      <formula>"ไม่ผ่าน"</formula>
    </cfRule>
  </conditionalFormatting>
  <conditionalFormatting sqref="F80:F82">
    <cfRule type="cellIs" priority="5" operator="equal" aboveAverage="0" equalAverage="0" bottom="0" percent="0" rank="0" text="" dxfId="5">
      <formula>"ไม่ผ่าน"</formula>
    </cfRule>
  </conditionalFormatting>
  <conditionalFormatting sqref="F96:F102">
    <cfRule type="cellIs" priority="6" operator="equal" aboveAverage="0" equalAverage="0" bottom="0" percent="0" rank="0" text="" dxfId="5">
      <formula>"ไม่ผ่าน"</formula>
    </cfRule>
  </conditionalFormatting>
  <conditionalFormatting sqref="F116:F121">
    <cfRule type="cellIs" priority="7" operator="equal" aboveAverage="0" equalAverage="0" bottom="0" percent="0" rank="0" text="" dxfId="5">
      <formula>"ไม่ผ่าน"</formula>
    </cfRule>
  </conditionalFormatting>
  <conditionalFormatting sqref="F135:F138">
    <cfRule type="cellIs" priority="8" operator="equal" aboveAverage="0" equalAverage="0" bottom="0" percent="0" rank="0" text="" dxfId="5">
      <formula>"ไม่ผ่าน"</formula>
    </cfRule>
  </conditionalFormatting>
  <conditionalFormatting sqref="F152:F155">
    <cfRule type="cellIs" priority="9" operator="equal" aboveAverage="0" equalAverage="0" bottom="0" percent="0" rank="0" text="" dxfId="5">
      <formula>"ไม่ผ่าน"</formula>
    </cfRule>
  </conditionalFormatting>
  <conditionalFormatting sqref="F169:F170">
    <cfRule type="cellIs" priority="10" operator="equal" aboveAverage="0" equalAverage="0" bottom="0" percent="0" rank="0" text="" dxfId="5">
      <formula>"ไม่ผ่าน"</formula>
    </cfRule>
  </conditionalFormatting>
  <conditionalFormatting sqref="F184:F192">
    <cfRule type="cellIs" priority="11" operator="equal" aboveAverage="0" equalAverage="0" bottom="0" percent="0" rank="0" text="" dxfId="5">
      <formula>"ไม่ผ่าน"</formula>
    </cfRule>
  </conditionalFormatting>
  <dataValidations count="2">
    <dataValidation allowBlank="true" errorStyle="stop" operator="between" showDropDown="false" showErrorMessage="false" showInputMessage="false" sqref="F7:F26 F40:F48 F62:F66 F80:F82 F96:F102 F116:F121 F135:F138 F152:F155 F169:F170 F184:F192" type="list">
      <formula1>"ผ่าน,ไม่ผ่าน,ไม่เกี่ยว"</formula1>
      <formula2>0</formula2>
    </dataValidation>
    <dataValidation allowBlank="true" errorStyle="stop" operator="between" showDropDown="false" showErrorMessage="false" showInputMessage="false" sqref="B3 B36 B58 B76 B92 B112 B131 B148 B165 B180" type="list">
      <formula1>INVS_ID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33" man="true" max="16383" min="0"/>
    <brk id="55" man="true" max="16383" min="0"/>
    <brk id="73" man="true" max="16383" min="0"/>
    <brk id="89" man="true" max="16383" min="0"/>
    <brk id="109" man="true" max="16383" min="0"/>
    <brk id="128" man="true" max="16383" min="0"/>
    <brk id="145" man="true" max="16383" min="0"/>
    <brk id="162" man="true" max="16383" min="0"/>
    <brk id="177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1" min="9" style="0" width="8"/>
    <col collapsed="false" customWidth="true" hidden="false" outlineLevel="0" max="12" min="12" style="0" width="12"/>
    <col collapsed="false" customWidth="true" hidden="false" outlineLevel="0" max="15" min="13" style="0" width="8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9"/>
  </cols>
  <sheetData>
    <row r="1" customFormat="false" ht="18.65" hidden="false" customHeight="false" outlineLevel="0" collapsed="false">
      <c r="A1" s="62" t="s">
        <v>1460</v>
      </c>
    </row>
    <row r="2" customFormat="false" ht="15" hidden="false" customHeight="false" outlineLevel="0" collapsed="false">
      <c r="A2" s="180" t="s">
        <v>1461</v>
      </c>
    </row>
    <row r="3" customFormat="false" ht="27.75" hidden="false" customHeight="true" outlineLevel="0" collapsed="false">
      <c r="A3" s="4" t="s">
        <v>1462</v>
      </c>
      <c r="B3" s="4"/>
      <c r="C3" s="3" t="s">
        <v>1463</v>
      </c>
      <c r="D3" s="3"/>
      <c r="E3" s="3" t="s">
        <v>1464</v>
      </c>
      <c r="F3" s="3"/>
      <c r="G3" s="3" t="s">
        <v>1465</v>
      </c>
      <c r="H3" s="3"/>
      <c r="I3" s="4" t="s">
        <v>1466</v>
      </c>
      <c r="J3" s="4"/>
      <c r="K3" s="3" t="s">
        <v>1467</v>
      </c>
      <c r="L3" s="3"/>
    </row>
    <row r="4" customFormat="false" ht="24" hidden="false" customHeight="true" outlineLevel="0" collapsed="false">
      <c r="A4" s="181" t="n">
        <f aca="false">SUM(H7:H16)</f>
        <v>0</v>
      </c>
      <c r="B4" s="181"/>
      <c r="C4" s="182" t="n">
        <f aca="false">SUM(I7:I16)</f>
        <v>0</v>
      </c>
      <c r="D4" s="182"/>
      <c r="E4" s="70" t="n">
        <f aca="false">SUM(J7:J16)</f>
        <v>0</v>
      </c>
      <c r="F4" s="70"/>
      <c r="G4" s="183" t="n">
        <f aca="false">IFERROR(SUM(I7:I16)/SUM(H7:H16),0)</f>
        <v>0</v>
      </c>
      <c r="H4" s="183"/>
      <c r="I4" s="67" t="str">
        <f aca="false">TEXT(D16,"d mmm yy")&amp;" → "&amp;TEXT(E16,"d mmm yy")</f>
        <v>18 Feb 27 → 15 Feb 27</v>
      </c>
      <c r="J4" s="67"/>
      <c r="K4" s="181" t="n">
        <f aca="true">MAX(0,TODAY()-ASOF)</f>
        <v>0</v>
      </c>
      <c r="L4" s="181"/>
    </row>
    <row r="5" customFormat="false" ht="15" hidden="false" customHeight="false" outlineLevel="0" collapsed="false">
      <c r="D5" s="42" t="s">
        <v>1468</v>
      </c>
      <c r="E5" s="42"/>
      <c r="F5" s="42"/>
      <c r="G5" s="42"/>
      <c r="H5" s="42" t="s">
        <v>1469</v>
      </c>
      <c r="I5" s="42"/>
      <c r="J5" s="42"/>
      <c r="K5" s="42"/>
      <c r="L5" s="42"/>
      <c r="M5" s="42" t="s">
        <v>1470</v>
      </c>
      <c r="N5" s="42"/>
      <c r="O5" s="42"/>
      <c r="P5" s="42" t="s">
        <v>1471</v>
      </c>
      <c r="Q5" s="42"/>
      <c r="R5" s="42"/>
      <c r="S5" s="42"/>
    </row>
    <row r="6" customFormat="false" ht="39.75" hidden="false" customHeight="true" outlineLevel="0" collapsed="false">
      <c r="A6" s="29" t="s">
        <v>1472</v>
      </c>
      <c r="B6" s="29" t="s">
        <v>197</v>
      </c>
      <c r="C6" s="28" t="s">
        <v>1473</v>
      </c>
      <c r="D6" s="29" t="s">
        <v>1474</v>
      </c>
      <c r="E6" s="28" t="s">
        <v>1475</v>
      </c>
      <c r="F6" s="28" t="s">
        <v>38</v>
      </c>
      <c r="G6" s="28" t="s">
        <v>1476</v>
      </c>
      <c r="H6" s="28" t="s">
        <v>1477</v>
      </c>
      <c r="I6" s="28" t="s">
        <v>1463</v>
      </c>
      <c r="J6" s="28" t="s">
        <v>1464</v>
      </c>
      <c r="K6" s="29" t="s">
        <v>1478</v>
      </c>
      <c r="L6" s="28" t="s">
        <v>574</v>
      </c>
      <c r="M6" s="28" t="s">
        <v>1479</v>
      </c>
      <c r="N6" s="28" t="s">
        <v>1480</v>
      </c>
      <c r="O6" s="28" t="s">
        <v>1481</v>
      </c>
      <c r="P6" s="28" t="s">
        <v>1482</v>
      </c>
      <c r="Q6" s="28" t="s">
        <v>1483</v>
      </c>
      <c r="R6" s="28" t="s">
        <v>1484</v>
      </c>
      <c r="S6" s="28" t="s">
        <v>1485</v>
      </c>
    </row>
    <row r="7" customFormat="false" ht="19.5" hidden="false" customHeight="true" outlineLevel="0" collapsed="false">
      <c r="A7" s="184" t="s">
        <v>1486</v>
      </c>
      <c r="B7" s="185" t="s">
        <v>1487</v>
      </c>
      <c r="C7" s="186" t="n">
        <f aca="false">COUNTIFS('Master Plan'!$A$8:$A$27,"&lt;&gt;")</f>
        <v>20</v>
      </c>
      <c r="D7" s="187" t="n">
        <f aca="false">MAX('Master Plan'!$H$8:$H$27)+(-13)</f>
        <v>46390</v>
      </c>
      <c r="E7" s="187" t="n">
        <f aca="false">MAX('Master Plan'!$Y$8:$Y$27)</f>
        <v>46349</v>
      </c>
      <c r="F7" s="188" t="n">
        <f aca="false">E7-D7</f>
        <v>-41</v>
      </c>
      <c r="G7" s="187" t="str">
        <f aca="false">IF(COUNTIFS('Master Plan'!$N$8:$N$27,"&lt;="&amp;ASOF,'Master Plan'!$N$8:$N$27,"&gt;0")=C7,MAX('Master Plan'!$N$8:$N$27),"")</f>
        <v/>
      </c>
      <c r="H7" s="186" t="n">
        <f aca="false">COUNTIFS('Master Plan'!$H$8:$H$27,"&lt;="&amp;(ASOF-(-13)))</f>
        <v>0</v>
      </c>
      <c r="I7" s="186" t="n">
        <f aca="false">COUNTIFS('Master Plan'!$N$8:$N$27,"&lt;="&amp;ASOF,'Master Plan'!$N$8:$N$27,"&gt;0")</f>
        <v>0</v>
      </c>
      <c r="J7" s="189" t="n">
        <f aca="false">MAX(0,H7-I7)</f>
        <v>0</v>
      </c>
      <c r="K7" s="190" t="n">
        <f aca="false">IFERROR(I7/C7,0)</f>
        <v>0</v>
      </c>
      <c r="L7" s="191" t="str">
        <f aca="false">IF(I7=C7,"ครบแล้ว",IF(J7=0,"ตามแผน",IF(J7&lt;=0.1*MAX(1,H7),"ล่าช้าเล็กน้อย","ล่าช้า")))</f>
        <v>ตามแผน</v>
      </c>
      <c r="M7" s="186" t="n">
        <f aca="false">MAX(0,COUNTIFS('Master Plan'!$H$8:$H$27,"&lt;="&amp;(ASOF-(-13)),'Master Plan'!$L$8:$L$27,"S")-COUNTIFS('Master Plan'!$N$8:$N$27,"&lt;="&amp;ASOF,'Master Plan'!$N$8:$N$27,"&gt;0",'Master Plan'!$L$8:$L$27,"S"))</f>
        <v>0</v>
      </c>
      <c r="N7" s="186" t="n">
        <f aca="false">MAX(0,COUNTIFS('Master Plan'!$H$8:$H$27,"&lt;="&amp;(ASOF-(-13)),'Master Plan'!$L$8:$L$27,"C")-COUNTIFS('Master Plan'!$N$8:$N$27,"&lt;="&amp;ASOF,'Master Plan'!$N$8:$N$27,"&gt;0",'Master Plan'!$L$8:$L$27,"C"))</f>
        <v>0</v>
      </c>
      <c r="O7" s="186" t="n">
        <f aca="false">MAX(0,COUNTIFS('Master Plan'!$H$8:$H$27,"&lt;="&amp;(ASOF-(-13)),'Master Plan'!$L$8:$L$27,"B")-COUNTIFS('Master Plan'!$N$8:$N$27,"&lt;="&amp;ASOF,'Master Plan'!$N$8:$N$27,"&gt;0",'Master Plan'!$L$8:$L$27,"B"))</f>
        <v>0</v>
      </c>
      <c r="P7" s="186" t="n">
        <f aca="false">COUNTIFS('Master Plan'!$N$8:$N$27,"&gt;"&amp;(ASOF-28),'Master Plan'!$N$8:$N$27,"&lt;="&amp;ASOF)</f>
        <v>0</v>
      </c>
      <c r="Q7" s="192" t="n">
        <f aca="false">P7/4</f>
        <v>0</v>
      </c>
      <c r="R7" s="187" t="str">
        <f aca="false">IF(I7&gt;=C7,"ครบแล้ว",IF(Q7=0,"ไม่มีความคืบหน้า",ASOF+7*(C7-I7)/Q7))</f>
        <v>ไม่มีความคืบหน้า</v>
      </c>
      <c r="S7" s="193" t="str">
        <f aca="false">IF(ISNUMBER(R7),ROUND(R7-E7,0),"")</f>
        <v/>
      </c>
    </row>
    <row r="8" customFormat="false" ht="19.5" hidden="false" customHeight="true" outlineLevel="0" collapsed="false">
      <c r="A8" s="184" t="s">
        <v>1488</v>
      </c>
      <c r="B8" s="185" t="s">
        <v>1489</v>
      </c>
      <c r="C8" s="186" t="n">
        <f aca="false">COUNTIFS('Master Plan'!$A$8:$A$27,"&lt;&gt;")</f>
        <v>20</v>
      </c>
      <c r="D8" s="187" t="n">
        <f aca="false">MAX('Master Plan'!$H$8:$H$27)+(-12)</f>
        <v>46391</v>
      </c>
      <c r="E8" s="187" t="n">
        <f aca="false">MAX('Master Plan'!$AC$8:$AC$27)</f>
        <v>46356</v>
      </c>
      <c r="F8" s="188" t="n">
        <f aca="false">E8-D8</f>
        <v>-35</v>
      </c>
      <c r="G8" s="187" t="str">
        <f aca="false">IF(COUNTIFS('Master Plan'!$R$8:$R$27,"&lt;="&amp;ASOF,'Master Plan'!$R$8:$R$27,"&gt;0")=C8,MAX('Master Plan'!$R$8:$R$27),"")</f>
        <v/>
      </c>
      <c r="H8" s="186" t="n">
        <f aca="false">COUNTIFS('Master Plan'!$H$8:$H$27,"&lt;="&amp;(ASOF-(-12)))</f>
        <v>0</v>
      </c>
      <c r="I8" s="186" t="n">
        <f aca="false">COUNTIFS('Master Plan'!$R$8:$R$27,"&lt;="&amp;ASOF,'Master Plan'!$R$8:$R$27,"&gt;0")</f>
        <v>0</v>
      </c>
      <c r="J8" s="189" t="n">
        <f aca="false">MAX(0,H8-I8)</f>
        <v>0</v>
      </c>
      <c r="K8" s="190" t="n">
        <f aca="false">IFERROR(I8/C8,0)</f>
        <v>0</v>
      </c>
      <c r="L8" s="191" t="str">
        <f aca="false">IF(I8=C8,"ครบแล้ว",IF(J8=0,"ตามแผน",IF(J8&lt;=0.1*MAX(1,H8),"ล่าช้าเล็กน้อย","ล่าช้า")))</f>
        <v>ตามแผน</v>
      </c>
      <c r="M8" s="186" t="n">
        <f aca="false">MAX(0,COUNTIFS('Master Plan'!$H$8:$H$27,"&lt;="&amp;(ASOF-(-12)),'Master Plan'!$L$8:$L$27,"S")-COUNTIFS('Master Plan'!$R$8:$R$27,"&lt;="&amp;ASOF,'Master Plan'!$R$8:$R$27,"&gt;0",'Master Plan'!$L$8:$L$27,"S"))</f>
        <v>0</v>
      </c>
      <c r="N8" s="186" t="n">
        <f aca="false">MAX(0,COUNTIFS('Master Plan'!$H$8:$H$27,"&lt;="&amp;(ASOF-(-12)),'Master Plan'!$L$8:$L$27,"C")-COUNTIFS('Master Plan'!$R$8:$R$27,"&lt;="&amp;ASOF,'Master Plan'!$R$8:$R$27,"&gt;0",'Master Plan'!$L$8:$L$27,"C"))</f>
        <v>0</v>
      </c>
      <c r="O8" s="186" t="n">
        <f aca="false">MAX(0,COUNTIFS('Master Plan'!$H$8:$H$27,"&lt;="&amp;(ASOF-(-12)),'Master Plan'!$L$8:$L$27,"B")-COUNTIFS('Master Plan'!$R$8:$R$27,"&lt;="&amp;ASOF,'Master Plan'!$R$8:$R$27,"&gt;0",'Master Plan'!$L$8:$L$27,"B"))</f>
        <v>0</v>
      </c>
      <c r="P8" s="186" t="n">
        <f aca="false">COUNTIFS('Master Plan'!$R$8:$R$27,"&gt;"&amp;(ASOF-28),'Master Plan'!$R$8:$R$27,"&lt;="&amp;ASOF)</f>
        <v>0</v>
      </c>
      <c r="Q8" s="192" t="n">
        <f aca="false">P8/4</f>
        <v>0</v>
      </c>
      <c r="R8" s="187" t="str">
        <f aca="false">IF(I8&gt;=C8,"ครบแล้ว",IF(Q8=0,"ไม่มีความคืบหน้า",ASOF+7*(C8-I8)/Q8))</f>
        <v>ไม่มีความคืบหน้า</v>
      </c>
      <c r="S8" s="193" t="str">
        <f aca="false">IF(ISNUMBER(R8),ROUND(R8-E8,0),"")</f>
        <v/>
      </c>
    </row>
    <row r="9" customFormat="false" ht="19.5" hidden="false" customHeight="true" outlineLevel="0" collapsed="false">
      <c r="A9" s="184" t="s">
        <v>1490</v>
      </c>
      <c r="B9" s="185" t="s">
        <v>1491</v>
      </c>
      <c r="C9" s="186" t="n">
        <f aca="false">COUNTIFS('Master Plan'!$A$8:$A$27,"&lt;&gt;",'Master Plan'!$M$8:$M$27,"Y")</f>
        <v>10</v>
      </c>
      <c r="D9" s="187" t="n">
        <f aca="false">_xlfn.MAXIFS('Master Plan'!$H$8:$H$27,'Master Plan'!$M$8:$M$27,"Y")+(-12)</f>
        <v>46391</v>
      </c>
      <c r="E9" s="187" t="n">
        <f aca="false">MAX('Master Plan'!$AG$8:$AG$27)</f>
        <v>46356</v>
      </c>
      <c r="F9" s="188" t="n">
        <f aca="false">E9-D9</f>
        <v>-35</v>
      </c>
      <c r="G9" s="187" t="str">
        <f aca="false">IF(COUNTIFS('Master Plan'!$W$8:$W$27,"&lt;="&amp;ASOF,'Master Plan'!$W$8:$W$27,"&gt;0",'Master Plan'!$M$8:$M$27,"Y")=C9,MAX('Master Plan'!$W$8:$W$27),"")</f>
        <v/>
      </c>
      <c r="H9" s="186" t="n">
        <f aca="false">COUNTIFS('Master Plan'!$H$8:$H$27,"&lt;="&amp;(ASOF-(-12)),'Master Plan'!$M$8:$M$27,"Y")</f>
        <v>0</v>
      </c>
      <c r="I9" s="186" t="n">
        <f aca="false">COUNTIFS('Master Plan'!$W$8:$W$27,"&lt;="&amp;ASOF,'Master Plan'!$W$8:$W$27,"&gt;0",'Master Plan'!$M$8:$M$27,"Y")</f>
        <v>0</v>
      </c>
      <c r="J9" s="189" t="n">
        <f aca="false">MAX(0,H9-I9)</f>
        <v>0</v>
      </c>
      <c r="K9" s="190" t="n">
        <f aca="false">IFERROR(I9/C9,0)</f>
        <v>0</v>
      </c>
      <c r="L9" s="191" t="str">
        <f aca="false">IF(I9=C9,"ครบแล้ว",IF(J9=0,"ตามแผน",IF(J9&lt;=0.1*MAX(1,H9),"ล่าช้าเล็กน้อย","ล่าช้า")))</f>
        <v>ตามแผน</v>
      </c>
      <c r="M9" s="186" t="n">
        <f aca="false">MAX(0,COUNTIFS('Master Plan'!$H$8:$H$27,"&lt;="&amp;(ASOF-(-12)),'Master Plan'!$M$8:$M$27,"Y",'Master Plan'!$L$8:$L$27,"S")-COUNTIFS('Master Plan'!$W$8:$W$27,"&lt;="&amp;ASOF,'Master Plan'!$W$8:$W$27,"&gt;0",'Master Plan'!$M$8:$M$27,"Y",'Master Plan'!$L$8:$L$27,"S"))</f>
        <v>0</v>
      </c>
      <c r="N9" s="186" t="n">
        <f aca="false">MAX(0,COUNTIFS('Master Plan'!$H$8:$H$27,"&lt;="&amp;(ASOF-(-12)),'Master Plan'!$M$8:$M$27,"Y",'Master Plan'!$L$8:$L$27,"C")-COUNTIFS('Master Plan'!$W$8:$W$27,"&lt;="&amp;ASOF,'Master Plan'!$W$8:$W$27,"&gt;0",'Master Plan'!$M$8:$M$27,"Y",'Master Plan'!$L$8:$L$27,"C"))</f>
        <v>0</v>
      </c>
      <c r="O9" s="186" t="n">
        <f aca="false">MAX(0,COUNTIFS('Master Plan'!$H$8:$H$27,"&lt;="&amp;(ASOF-(-12)),'Master Plan'!$M$8:$M$27,"Y",'Master Plan'!$L$8:$L$27,"B")-COUNTIFS('Master Plan'!$W$8:$W$27,"&lt;="&amp;ASOF,'Master Plan'!$W$8:$W$27,"&gt;0",'Master Plan'!$M$8:$M$27,"Y",'Master Plan'!$L$8:$L$27,"B"))</f>
        <v>0</v>
      </c>
      <c r="P9" s="186" t="n">
        <f aca="false">COUNTIFS('Master Plan'!$W$8:$W$27,"&gt;"&amp;(ASOF-28),'Master Plan'!$W$8:$W$27,"&lt;="&amp;ASOF,'Master Plan'!$M$8:$M$27,"Y")</f>
        <v>0</v>
      </c>
      <c r="Q9" s="192" t="n">
        <f aca="false">P9/4</f>
        <v>0</v>
      </c>
      <c r="R9" s="187" t="str">
        <f aca="false">IF(I9&gt;=C9,"ครบแล้ว",IF(Q9=0,"ไม่มีความคืบหน้า",ASOF+7*(C9-I9)/Q9))</f>
        <v>ไม่มีความคืบหน้า</v>
      </c>
      <c r="S9" s="193" t="str">
        <f aca="false">IF(ISNUMBER(R9),ROUND(R9-E9,0),"")</f>
        <v/>
      </c>
    </row>
    <row r="10" customFormat="false" ht="19.5" hidden="false" customHeight="true" outlineLevel="0" collapsed="false">
      <c r="A10" s="184" t="s">
        <v>1492</v>
      </c>
      <c r="B10" s="185" t="s">
        <v>1493</v>
      </c>
      <c r="C10" s="186" t="n">
        <f aca="false">COUNTIFS('Master Plan'!$A$8:$A$27,"&lt;&gt;")</f>
        <v>20</v>
      </c>
      <c r="D10" s="187" t="n">
        <f aca="false">MAX('Master Plan'!$H$8:$H$27)+(-10)</f>
        <v>46393</v>
      </c>
      <c r="E10" s="187" t="n">
        <f aca="false">MAX('Master Plan'!$Z$8:$Z$27)</f>
        <v>46356</v>
      </c>
      <c r="F10" s="188" t="n">
        <f aca="false">E10-D10</f>
        <v>-37</v>
      </c>
      <c r="G10" s="187" t="str">
        <f aca="false">IF(COUNTIFS('Master Plan'!$O$8:$O$27,"&lt;="&amp;ASOF,'Master Plan'!$O$8:$O$27,"&gt;0")=C10,MAX('Master Plan'!$O$8:$O$27),"")</f>
        <v/>
      </c>
      <c r="H10" s="186" t="n">
        <f aca="false">COUNTIFS('Master Plan'!$H$8:$H$27,"&lt;="&amp;(ASOF-(-10)))</f>
        <v>0</v>
      </c>
      <c r="I10" s="186" t="n">
        <f aca="false">COUNTIFS('Master Plan'!$O$8:$O$27,"&lt;="&amp;ASOF,'Master Plan'!$O$8:$O$27,"&gt;0")</f>
        <v>0</v>
      </c>
      <c r="J10" s="189" t="n">
        <f aca="false">MAX(0,H10-I10)</f>
        <v>0</v>
      </c>
      <c r="K10" s="190" t="n">
        <f aca="false">IFERROR(I10/C10,0)</f>
        <v>0</v>
      </c>
      <c r="L10" s="191" t="str">
        <f aca="false">IF(I10=C10,"ครบแล้ว",IF(J10=0,"ตามแผน",IF(J10&lt;=0.1*MAX(1,H10),"ล่าช้าเล็กน้อย","ล่าช้า")))</f>
        <v>ตามแผน</v>
      </c>
      <c r="M10" s="186" t="n">
        <f aca="false">MAX(0,COUNTIFS('Master Plan'!$H$8:$H$27,"&lt;="&amp;(ASOF-(-10)),'Master Plan'!$L$8:$L$27,"S")-COUNTIFS('Master Plan'!$O$8:$O$27,"&lt;="&amp;ASOF,'Master Plan'!$O$8:$O$27,"&gt;0",'Master Plan'!$L$8:$L$27,"S"))</f>
        <v>0</v>
      </c>
      <c r="N10" s="186" t="n">
        <f aca="false">MAX(0,COUNTIFS('Master Plan'!$H$8:$H$27,"&lt;="&amp;(ASOF-(-10)),'Master Plan'!$L$8:$L$27,"C")-COUNTIFS('Master Plan'!$O$8:$O$27,"&lt;="&amp;ASOF,'Master Plan'!$O$8:$O$27,"&gt;0",'Master Plan'!$L$8:$L$27,"C"))</f>
        <v>0</v>
      </c>
      <c r="O10" s="186" t="n">
        <f aca="false">MAX(0,COUNTIFS('Master Plan'!$H$8:$H$27,"&lt;="&amp;(ASOF-(-10)),'Master Plan'!$L$8:$L$27,"B")-COUNTIFS('Master Plan'!$O$8:$O$27,"&lt;="&amp;ASOF,'Master Plan'!$O$8:$O$27,"&gt;0",'Master Plan'!$L$8:$L$27,"B"))</f>
        <v>0</v>
      </c>
      <c r="P10" s="186" t="n">
        <f aca="false">COUNTIFS('Master Plan'!$O$8:$O$27,"&gt;"&amp;(ASOF-28),'Master Plan'!$O$8:$O$27,"&lt;="&amp;ASOF)</f>
        <v>0</v>
      </c>
      <c r="Q10" s="192" t="n">
        <f aca="false">P10/4</f>
        <v>0</v>
      </c>
      <c r="R10" s="187" t="str">
        <f aca="false">IF(I10&gt;=C10,"ครบแล้ว",IF(Q10=0,"ไม่มีความคืบหน้า",ASOF+7*(C10-I10)/Q10))</f>
        <v>ไม่มีความคืบหน้า</v>
      </c>
      <c r="S10" s="193" t="str">
        <f aca="false">IF(ISNUMBER(R10),ROUND(R10-E10,0),"")</f>
        <v/>
      </c>
    </row>
    <row r="11" customFormat="false" ht="19.5" hidden="false" customHeight="true" outlineLevel="0" collapsed="false">
      <c r="A11" s="184" t="s">
        <v>1494</v>
      </c>
      <c r="B11" s="185" t="s">
        <v>1205</v>
      </c>
      <c r="C11" s="186" t="n">
        <f aca="false">COUNTIFS('Master Plan'!$A$8:$A$27,"&lt;&gt;")</f>
        <v>20</v>
      </c>
      <c r="D11" s="187" t="n">
        <f aca="false">MAX('Master Plan'!$H$8:$H$27)+(-10)</f>
        <v>46393</v>
      </c>
      <c r="E11" s="187" t="n">
        <f aca="false">MAX('Master Plan'!$AA$8:$AA$27)</f>
        <v>46359</v>
      </c>
      <c r="F11" s="188" t="n">
        <f aca="false">E11-D11</f>
        <v>-34</v>
      </c>
      <c r="G11" s="187" t="str">
        <f aca="false">IF(COUNTIFS('Master Plan'!$P$8:$P$27,"&lt;="&amp;ASOF,'Master Plan'!$P$8:$P$27,"&gt;0")=C11,MAX('Master Plan'!$P$8:$P$27),"")</f>
        <v/>
      </c>
      <c r="H11" s="186" t="n">
        <f aca="false">COUNTIFS('Master Plan'!$H$8:$H$27,"&lt;="&amp;(ASOF-(-10)))</f>
        <v>0</v>
      </c>
      <c r="I11" s="186" t="n">
        <f aca="false">COUNTIFS('Master Plan'!$P$8:$P$27,"&lt;="&amp;ASOF,'Master Plan'!$P$8:$P$27,"&gt;0")</f>
        <v>0</v>
      </c>
      <c r="J11" s="189" t="n">
        <f aca="false">MAX(0,H11-I11)</f>
        <v>0</v>
      </c>
      <c r="K11" s="190" t="n">
        <f aca="false">IFERROR(I11/C11,0)</f>
        <v>0</v>
      </c>
      <c r="L11" s="191" t="str">
        <f aca="false">IF(I11=C11,"ครบแล้ว",IF(J11=0,"ตามแผน",IF(J11&lt;=0.1*MAX(1,H11),"ล่าช้าเล็กน้อย","ล่าช้า")))</f>
        <v>ตามแผน</v>
      </c>
      <c r="M11" s="186" t="n">
        <f aca="false">MAX(0,COUNTIFS('Master Plan'!$H$8:$H$27,"&lt;="&amp;(ASOF-(-10)),'Master Plan'!$L$8:$L$27,"S")-COUNTIFS('Master Plan'!$P$8:$P$27,"&lt;="&amp;ASOF,'Master Plan'!$P$8:$P$27,"&gt;0",'Master Plan'!$L$8:$L$27,"S"))</f>
        <v>0</v>
      </c>
      <c r="N11" s="186" t="n">
        <f aca="false">MAX(0,COUNTIFS('Master Plan'!$H$8:$H$27,"&lt;="&amp;(ASOF-(-10)),'Master Plan'!$L$8:$L$27,"C")-COUNTIFS('Master Plan'!$P$8:$P$27,"&lt;="&amp;ASOF,'Master Plan'!$P$8:$P$27,"&gt;0",'Master Plan'!$L$8:$L$27,"C"))</f>
        <v>0</v>
      </c>
      <c r="O11" s="186" t="n">
        <f aca="false">MAX(0,COUNTIFS('Master Plan'!$H$8:$H$27,"&lt;="&amp;(ASOF-(-10)),'Master Plan'!$L$8:$L$27,"B")-COUNTIFS('Master Plan'!$P$8:$P$27,"&lt;="&amp;ASOF,'Master Plan'!$P$8:$P$27,"&gt;0",'Master Plan'!$L$8:$L$27,"B"))</f>
        <v>0</v>
      </c>
      <c r="P11" s="186" t="n">
        <f aca="false">COUNTIFS('Master Plan'!$P$8:$P$27,"&gt;"&amp;(ASOF-28),'Master Plan'!$P$8:$P$27,"&lt;="&amp;ASOF)</f>
        <v>0</v>
      </c>
      <c r="Q11" s="192" t="n">
        <f aca="false">P11/4</f>
        <v>0</v>
      </c>
      <c r="R11" s="187" t="str">
        <f aca="false">IF(I11&gt;=C11,"ครบแล้ว",IF(Q11=0,"ไม่มีความคืบหน้า",ASOF+7*(C11-I11)/Q11))</f>
        <v>ไม่มีความคืบหน้า</v>
      </c>
      <c r="S11" s="193" t="str">
        <f aca="false">IF(ISNUMBER(R11),ROUND(R11-E11,0),"")</f>
        <v/>
      </c>
    </row>
    <row r="12" customFormat="false" ht="19.5" hidden="false" customHeight="true" outlineLevel="0" collapsed="false">
      <c r="A12" s="184" t="s">
        <v>1495</v>
      </c>
      <c r="B12" s="185" t="s">
        <v>1496</v>
      </c>
      <c r="C12" s="186" t="n">
        <f aca="false">COUNTIFS('Master Plan'!$A$8:$A$27,"&lt;&gt;")</f>
        <v>20</v>
      </c>
      <c r="D12" s="187" t="n">
        <f aca="false">MAX('Master Plan'!$H$8:$H$27)+(0)</f>
        <v>46403</v>
      </c>
      <c r="E12" s="187" t="n">
        <f aca="false">MAX('Master Plan'!$AB$8:$AB$27)</f>
        <v>46367</v>
      </c>
      <c r="F12" s="188" t="n">
        <f aca="false">E12-D12</f>
        <v>-36</v>
      </c>
      <c r="G12" s="187" t="str">
        <f aca="false">IF(COUNTIFS('Master Plan'!$Q$8:$Q$27,"&lt;="&amp;ASOF,'Master Plan'!$Q$8:$Q$27,"&gt;0")=C12,MAX('Master Plan'!$Q$8:$Q$27),"")</f>
        <v/>
      </c>
      <c r="H12" s="186" t="n">
        <f aca="false">COUNTIFS('Master Plan'!$H$8:$H$27,"&lt;="&amp;(ASOF-(0)))</f>
        <v>0</v>
      </c>
      <c r="I12" s="186" t="n">
        <f aca="false">COUNTIFS('Master Plan'!$Q$8:$Q$27,"&lt;="&amp;ASOF,'Master Plan'!$Q$8:$Q$27,"&gt;0")</f>
        <v>0</v>
      </c>
      <c r="J12" s="189" t="n">
        <f aca="false">MAX(0,H12-I12)</f>
        <v>0</v>
      </c>
      <c r="K12" s="190" t="n">
        <f aca="false">IFERROR(I12/C12,0)</f>
        <v>0</v>
      </c>
      <c r="L12" s="191" t="str">
        <f aca="false">IF(I12=C12,"ครบแล้ว",IF(J12=0,"ตามแผน",IF(J12&lt;=0.1*MAX(1,H12),"ล่าช้าเล็กน้อย","ล่าช้า")))</f>
        <v>ตามแผน</v>
      </c>
      <c r="M12" s="186" t="n">
        <f aca="false">MAX(0,COUNTIFS('Master Plan'!$H$8:$H$27,"&lt;="&amp;(ASOF-(0)),'Master Plan'!$L$8:$L$27,"S")-COUNTIFS('Master Plan'!$Q$8:$Q$27,"&lt;="&amp;ASOF,'Master Plan'!$Q$8:$Q$27,"&gt;0",'Master Plan'!$L$8:$L$27,"S"))</f>
        <v>0</v>
      </c>
      <c r="N12" s="186" t="n">
        <f aca="false">MAX(0,COUNTIFS('Master Plan'!$H$8:$H$27,"&lt;="&amp;(ASOF-(0)),'Master Plan'!$L$8:$L$27,"C")-COUNTIFS('Master Plan'!$Q$8:$Q$27,"&lt;="&amp;ASOF,'Master Plan'!$Q$8:$Q$27,"&gt;0",'Master Plan'!$L$8:$L$27,"C"))</f>
        <v>0</v>
      </c>
      <c r="O12" s="186" t="n">
        <f aca="false">MAX(0,COUNTIFS('Master Plan'!$H$8:$H$27,"&lt;="&amp;(ASOF-(0)),'Master Plan'!$L$8:$L$27,"B")-COUNTIFS('Master Plan'!$Q$8:$Q$27,"&lt;="&amp;ASOF,'Master Plan'!$Q$8:$Q$27,"&gt;0",'Master Plan'!$L$8:$L$27,"B"))</f>
        <v>0</v>
      </c>
      <c r="P12" s="186" t="n">
        <f aca="false">COUNTIFS('Master Plan'!$Q$8:$Q$27,"&gt;"&amp;(ASOF-28),'Master Plan'!$Q$8:$Q$27,"&lt;="&amp;ASOF)</f>
        <v>0</v>
      </c>
      <c r="Q12" s="192" t="n">
        <f aca="false">P12/4</f>
        <v>0</v>
      </c>
      <c r="R12" s="187" t="str">
        <f aca="false">IF(I12&gt;=C12,"ครบแล้ว",IF(Q12=0,"ไม่มีความคืบหน้า",ASOF+7*(C12-I12)/Q12))</f>
        <v>ไม่มีความคืบหน้า</v>
      </c>
      <c r="S12" s="193" t="str">
        <f aca="false">IF(ISNUMBER(R12),ROUND(R12-E12,0),"")</f>
        <v/>
      </c>
    </row>
    <row r="13" customFormat="false" ht="19.5" hidden="false" customHeight="true" outlineLevel="0" collapsed="false">
      <c r="A13" s="184" t="s">
        <v>1497</v>
      </c>
      <c r="B13" s="185" t="s">
        <v>1498</v>
      </c>
      <c r="C13" s="186" t="n">
        <f aca="false">COUNTIFS('Master Plan'!$A$8:$A$27,"&lt;&gt;")</f>
        <v>20</v>
      </c>
      <c r="D13" s="187" t="n">
        <f aca="false">MAX('Master Plan'!$H$8:$H$27)+(9)</f>
        <v>46412</v>
      </c>
      <c r="E13" s="187" t="n">
        <f aca="false">MAX('Master Plan'!$AD$8:$AD$27)</f>
        <v>46379</v>
      </c>
      <c r="F13" s="188" t="n">
        <f aca="false">E13-D13</f>
        <v>-33</v>
      </c>
      <c r="G13" s="187" t="str">
        <f aca="false">IF(COUNTIFS('Master Plan'!$T$8:$T$27,"&lt;="&amp;ASOF,'Master Plan'!$T$8:$T$27,"&gt;0")=C13,MAX('Master Plan'!$T$8:$T$27),"")</f>
        <v/>
      </c>
      <c r="H13" s="186" t="n">
        <f aca="false">COUNTIFS('Master Plan'!$H$8:$H$27,"&lt;="&amp;(ASOF-(9)))</f>
        <v>0</v>
      </c>
      <c r="I13" s="186" t="n">
        <f aca="false">COUNTIFS('Master Plan'!$T$8:$T$27,"&lt;="&amp;ASOF,'Master Plan'!$T$8:$T$27,"&gt;0")</f>
        <v>0</v>
      </c>
      <c r="J13" s="189" t="n">
        <f aca="false">MAX(0,H13-I13)</f>
        <v>0</v>
      </c>
      <c r="K13" s="190" t="n">
        <f aca="false">IFERROR(I13/C13,0)</f>
        <v>0</v>
      </c>
      <c r="L13" s="191" t="str">
        <f aca="false">IF(I13=C13,"ครบแล้ว",IF(J13=0,"ตามแผน",IF(J13&lt;=0.1*MAX(1,H13),"ล่าช้าเล็กน้อย","ล่าช้า")))</f>
        <v>ตามแผน</v>
      </c>
      <c r="M13" s="186" t="n">
        <f aca="false">MAX(0,COUNTIFS('Master Plan'!$H$8:$H$27,"&lt;="&amp;(ASOF-(9)),'Master Plan'!$L$8:$L$27,"S")-COUNTIFS('Master Plan'!$T$8:$T$27,"&lt;="&amp;ASOF,'Master Plan'!$T$8:$T$27,"&gt;0",'Master Plan'!$L$8:$L$27,"S"))</f>
        <v>0</v>
      </c>
      <c r="N13" s="186" t="n">
        <f aca="false">MAX(0,COUNTIFS('Master Plan'!$H$8:$H$27,"&lt;="&amp;(ASOF-(9)),'Master Plan'!$L$8:$L$27,"C")-COUNTIFS('Master Plan'!$T$8:$T$27,"&lt;="&amp;ASOF,'Master Plan'!$T$8:$T$27,"&gt;0",'Master Plan'!$L$8:$L$27,"C"))</f>
        <v>0</v>
      </c>
      <c r="O13" s="186" t="n">
        <f aca="false">MAX(0,COUNTIFS('Master Plan'!$H$8:$H$27,"&lt;="&amp;(ASOF-(9)),'Master Plan'!$L$8:$L$27,"B")-COUNTIFS('Master Plan'!$T$8:$T$27,"&lt;="&amp;ASOF,'Master Plan'!$T$8:$T$27,"&gt;0",'Master Plan'!$L$8:$L$27,"B"))</f>
        <v>0</v>
      </c>
      <c r="P13" s="186" t="s">
        <v>1499</v>
      </c>
      <c r="Q13" s="192" t="s">
        <v>1499</v>
      </c>
      <c r="R13" s="194" t="s">
        <v>1500</v>
      </c>
      <c r="S13" s="193" t="s">
        <v>1499</v>
      </c>
    </row>
    <row r="14" customFormat="false" ht="19.5" hidden="false" customHeight="true" outlineLevel="0" collapsed="false">
      <c r="A14" s="184" t="s">
        <v>1501</v>
      </c>
      <c r="B14" s="185" t="s">
        <v>1502</v>
      </c>
      <c r="C14" s="186" t="n">
        <f aca="false">COUNTIFS('Master Plan'!$A$8:$A$27,"&lt;&gt;")</f>
        <v>20</v>
      </c>
      <c r="D14" s="187" t="n">
        <f aca="false">MAX('Master Plan'!$H$8:$H$27)+(16)</f>
        <v>46419</v>
      </c>
      <c r="E14" s="187" t="n">
        <f aca="false">MAX('Master Plan'!$AE$8:$AE$27)</f>
        <v>46386</v>
      </c>
      <c r="F14" s="188" t="n">
        <f aca="false">E14-D14</f>
        <v>-33</v>
      </c>
      <c r="G14" s="187" t="str">
        <f aca="false">IF(COUNTIFS('Master Plan'!$U$8:$U$27,"&lt;="&amp;ASOF,'Master Plan'!$U$8:$U$27,"&gt;0")=C14,MAX('Master Plan'!$U$8:$U$27),"")</f>
        <v/>
      </c>
      <c r="H14" s="186" t="n">
        <f aca="false">COUNTIFS('Master Plan'!$H$8:$H$27,"&lt;="&amp;(ASOF-(16)))</f>
        <v>0</v>
      </c>
      <c r="I14" s="186" t="n">
        <f aca="false">COUNTIFS('Master Plan'!$U$8:$U$27,"&lt;="&amp;ASOF,'Master Plan'!$U$8:$U$27,"&gt;0")</f>
        <v>0</v>
      </c>
      <c r="J14" s="189" t="n">
        <f aca="false">MAX(0,H14-I14)</f>
        <v>0</v>
      </c>
      <c r="K14" s="190" t="n">
        <f aca="false">IFERROR(I14/C14,0)</f>
        <v>0</v>
      </c>
      <c r="L14" s="191" t="str">
        <f aca="false">IF(I14=C14,"ครบแล้ว",IF(J14=0,"ตามแผน",IF(J14&lt;=0.1*MAX(1,H14),"ล่าช้าเล็กน้อย","ล่าช้า")))</f>
        <v>ตามแผน</v>
      </c>
      <c r="M14" s="186" t="n">
        <f aca="false">MAX(0,COUNTIFS('Master Plan'!$H$8:$H$27,"&lt;="&amp;(ASOF-(16)),'Master Plan'!$L$8:$L$27,"S")-COUNTIFS('Master Plan'!$U$8:$U$27,"&lt;="&amp;ASOF,'Master Plan'!$U$8:$U$27,"&gt;0",'Master Plan'!$L$8:$L$27,"S"))</f>
        <v>0</v>
      </c>
      <c r="N14" s="186" t="n">
        <f aca="false">MAX(0,COUNTIFS('Master Plan'!$H$8:$H$27,"&lt;="&amp;(ASOF-(16)),'Master Plan'!$L$8:$L$27,"C")-COUNTIFS('Master Plan'!$U$8:$U$27,"&lt;="&amp;ASOF,'Master Plan'!$U$8:$U$27,"&gt;0",'Master Plan'!$L$8:$L$27,"C"))</f>
        <v>0</v>
      </c>
      <c r="O14" s="186" t="n">
        <f aca="false">MAX(0,COUNTIFS('Master Plan'!$H$8:$H$27,"&lt;="&amp;(ASOF-(16)),'Master Plan'!$L$8:$L$27,"B")-COUNTIFS('Master Plan'!$U$8:$U$27,"&lt;="&amp;ASOF,'Master Plan'!$U$8:$U$27,"&gt;0",'Master Plan'!$L$8:$L$27,"B"))</f>
        <v>0</v>
      </c>
      <c r="P14" s="186" t="s">
        <v>1499</v>
      </c>
      <c r="Q14" s="192" t="s">
        <v>1499</v>
      </c>
      <c r="R14" s="194" t="s">
        <v>1500</v>
      </c>
      <c r="S14" s="193" t="s">
        <v>1499</v>
      </c>
    </row>
    <row r="15" customFormat="false" ht="19.5" hidden="false" customHeight="true" outlineLevel="0" collapsed="false">
      <c r="A15" s="184" t="s">
        <v>1503</v>
      </c>
      <c r="B15" s="185" t="s">
        <v>1504</v>
      </c>
      <c r="C15" s="186" t="n">
        <f aca="false">COUNTIFS('Master Plan'!$A$8:$A$27,"&lt;&gt;")</f>
        <v>20</v>
      </c>
      <c r="D15" s="187" t="n">
        <f aca="false">MAX('Master Plan'!$H$8:$H$27)+(17)</f>
        <v>46420</v>
      </c>
      <c r="E15" s="187" t="n">
        <f aca="false">MAX('Master Plan'!$AF$8:$AF$27)</f>
        <v>46391</v>
      </c>
      <c r="F15" s="188" t="n">
        <f aca="false">E15-D15</f>
        <v>-29</v>
      </c>
      <c r="G15" s="187" t="str">
        <f aca="false">IF(COUNTIFS('Master Plan'!$V$8:$V$27,"&lt;="&amp;ASOF,'Master Plan'!$V$8:$V$27,"&gt;0")=C15,MAX('Master Plan'!$V$8:$V$27),"")</f>
        <v/>
      </c>
      <c r="H15" s="186" t="n">
        <f aca="false">COUNTIFS('Master Plan'!$H$8:$H$27,"&lt;="&amp;(ASOF-(17)))</f>
        <v>0</v>
      </c>
      <c r="I15" s="186" t="n">
        <f aca="false">COUNTIFS('Master Plan'!$V$8:$V$27,"&lt;="&amp;ASOF,'Master Plan'!$V$8:$V$27,"&gt;0")</f>
        <v>0</v>
      </c>
      <c r="J15" s="189" t="n">
        <f aca="false">MAX(0,H15-I15)</f>
        <v>0</v>
      </c>
      <c r="K15" s="190" t="n">
        <f aca="false">IFERROR(I15/C15,0)</f>
        <v>0</v>
      </c>
      <c r="L15" s="191" t="str">
        <f aca="false">IF(I15=C15,"ครบแล้ว",IF(J15=0,"ตามแผน",IF(J15&lt;=0.1*MAX(1,H15),"ล่าช้าเล็กน้อย","ล่าช้า")))</f>
        <v>ตามแผน</v>
      </c>
      <c r="M15" s="186" t="n">
        <f aca="false">MAX(0,COUNTIFS('Master Plan'!$H$8:$H$27,"&lt;="&amp;(ASOF-(17)),'Master Plan'!$L$8:$L$27,"S")-COUNTIFS('Master Plan'!$V$8:$V$27,"&lt;="&amp;ASOF,'Master Plan'!$V$8:$V$27,"&gt;0",'Master Plan'!$L$8:$L$27,"S"))</f>
        <v>0</v>
      </c>
      <c r="N15" s="186" t="n">
        <f aca="false">MAX(0,COUNTIFS('Master Plan'!$H$8:$H$27,"&lt;="&amp;(ASOF-(17)),'Master Plan'!$L$8:$L$27,"C")-COUNTIFS('Master Plan'!$V$8:$V$27,"&lt;="&amp;ASOF,'Master Plan'!$V$8:$V$27,"&gt;0",'Master Plan'!$L$8:$L$27,"C"))</f>
        <v>0</v>
      </c>
      <c r="O15" s="186" t="n">
        <f aca="false">MAX(0,COUNTIFS('Master Plan'!$H$8:$H$27,"&lt;="&amp;(ASOF-(17)),'Master Plan'!$L$8:$L$27,"B")-COUNTIFS('Master Plan'!$V$8:$V$27,"&lt;="&amp;ASOF,'Master Plan'!$V$8:$V$27,"&gt;0",'Master Plan'!$L$8:$L$27,"B"))</f>
        <v>0</v>
      </c>
      <c r="P15" s="186" t="s">
        <v>1499</v>
      </c>
      <c r="Q15" s="192" t="s">
        <v>1499</v>
      </c>
      <c r="R15" s="194" t="s">
        <v>1500</v>
      </c>
      <c r="S15" s="193" t="s">
        <v>1499</v>
      </c>
    </row>
    <row r="16" customFormat="false" ht="19.5" hidden="false" customHeight="true" outlineLevel="0" collapsed="false">
      <c r="A16" s="184" t="s">
        <v>1505</v>
      </c>
      <c r="B16" s="185" t="s">
        <v>1506</v>
      </c>
      <c r="C16" s="186" t="n">
        <f aca="false">COUNTIFS('Master Plan'!$A$8:$A$27,"&lt;&gt;")</f>
        <v>20</v>
      </c>
      <c r="D16" s="187" t="n">
        <f aca="false">MAX('Master Plan'!$H$8:$H$27)+(33)</f>
        <v>46436</v>
      </c>
      <c r="E16" s="187" t="n">
        <f aca="false">MAX('Master Plan'!$AH$8:$AH$27)</f>
        <v>46433</v>
      </c>
      <c r="F16" s="188" t="n">
        <f aca="false">E16-D16</f>
        <v>-3</v>
      </c>
      <c r="G16" s="187" t="str">
        <f aca="false">IF(COUNTIFS('Master Plan'!$X$8:$X$27,"&lt;="&amp;ASOF,'Master Plan'!$X$8:$X$27,"&gt;0")=C16,MAX('Master Plan'!$X$8:$X$27),"")</f>
        <v/>
      </c>
      <c r="H16" s="186" t="n">
        <f aca="false">COUNTIFS('Master Plan'!$H$8:$H$27,"&lt;="&amp;(ASOF-(33)))</f>
        <v>0</v>
      </c>
      <c r="I16" s="186" t="n">
        <f aca="false">COUNTIFS('Master Plan'!$X$8:$X$27,"&lt;="&amp;ASOF,'Master Plan'!$X$8:$X$27,"&gt;0")</f>
        <v>0</v>
      </c>
      <c r="J16" s="189" t="n">
        <f aca="false">MAX(0,H16-I16)</f>
        <v>0</v>
      </c>
      <c r="K16" s="190" t="n">
        <f aca="false">IFERROR(I16/C16,0)</f>
        <v>0</v>
      </c>
      <c r="L16" s="191" t="str">
        <f aca="false">IF(I16=C16,"ครบแล้ว",IF(J16=0,"ตามแผน",IF(J16&lt;=0.1*MAX(1,H16),"ล่าช้าเล็กน้อย","ล่าช้า")))</f>
        <v>ตามแผน</v>
      </c>
      <c r="M16" s="186" t="n">
        <f aca="false">MAX(0,COUNTIFS('Master Plan'!$H$8:$H$27,"&lt;="&amp;(ASOF-(33)),'Master Plan'!$L$8:$L$27,"S")-COUNTIFS('Master Plan'!$X$8:$X$27,"&lt;="&amp;ASOF,'Master Plan'!$X$8:$X$27,"&gt;0",'Master Plan'!$L$8:$L$27,"S"))</f>
        <v>0</v>
      </c>
      <c r="N16" s="186" t="n">
        <f aca="false">MAX(0,COUNTIFS('Master Plan'!$H$8:$H$27,"&lt;="&amp;(ASOF-(33)),'Master Plan'!$L$8:$L$27,"C")-COUNTIFS('Master Plan'!$X$8:$X$27,"&lt;="&amp;ASOF,'Master Plan'!$X$8:$X$27,"&gt;0",'Master Plan'!$L$8:$L$27,"C"))</f>
        <v>0</v>
      </c>
      <c r="O16" s="186" t="n">
        <f aca="false">MAX(0,COUNTIFS('Master Plan'!$H$8:$H$27,"&lt;="&amp;(ASOF-(33)),'Master Plan'!$L$8:$L$27,"B")-COUNTIFS('Master Plan'!$X$8:$X$27,"&lt;="&amp;ASOF,'Master Plan'!$X$8:$X$27,"&gt;0",'Master Plan'!$L$8:$L$27,"B"))</f>
        <v>0</v>
      </c>
      <c r="P16" s="186" t="n">
        <f aca="false">COUNTIFS('Master Plan'!$X$8:$X$27,"&gt;"&amp;(ASOF-28),'Master Plan'!$X$8:$X$27,"&lt;="&amp;ASOF)</f>
        <v>0</v>
      </c>
      <c r="Q16" s="192" t="n">
        <f aca="false">P16/4</f>
        <v>0</v>
      </c>
      <c r="R16" s="187" t="str">
        <f aca="false">IF(I16&gt;=C16,"ครบแล้ว",IF(Q16=0,"ไม่มีความคืบหน้า",ASOF+7*(C16-I16)/Q16))</f>
        <v>ไม่มีความคืบหน้า</v>
      </c>
      <c r="S16" s="193" t="str">
        <f aca="false">IF(ISNUMBER(R16),ROUND(R16-E16,0),"")</f>
        <v/>
      </c>
    </row>
    <row r="18" customFormat="false" ht="15" hidden="false" customHeight="false" outlineLevel="0" collapsed="false">
      <c r="A18" s="38" t="s">
        <v>1507</v>
      </c>
    </row>
    <row r="20" customFormat="false" ht="15" hidden="false" customHeight="false" outlineLevel="0" collapsed="false">
      <c r="A20" s="195" t="s">
        <v>1508</v>
      </c>
    </row>
    <row r="21" customFormat="false" ht="15" hidden="false" customHeight="false" outlineLevel="0" collapsed="false">
      <c r="A21" s="196" t="s">
        <v>1472</v>
      </c>
      <c r="B21" s="197" t="n">
        <v>46296</v>
      </c>
      <c r="C21" s="197" t="n">
        <v>46327</v>
      </c>
      <c r="D21" s="197" t="n">
        <v>46357</v>
      </c>
      <c r="E21" s="197" t="n">
        <v>46388</v>
      </c>
      <c r="F21" s="197" t="n">
        <v>46419</v>
      </c>
      <c r="G21" s="197" t="n">
        <v>46447</v>
      </c>
      <c r="H21" s="197" t="n">
        <v>46478</v>
      </c>
      <c r="I21" s="197" t="n">
        <v>46508</v>
      </c>
      <c r="J21" s="197" t="n">
        <v>46539</v>
      </c>
      <c r="K21" s="197" t="n">
        <v>46569</v>
      </c>
      <c r="L21" s="197" t="n">
        <v>46600</v>
      </c>
      <c r="M21" s="197" t="n">
        <v>46631</v>
      </c>
      <c r="N21" s="197" t="n">
        <v>46661</v>
      </c>
      <c r="O21" s="197" t="n">
        <v>46692</v>
      </c>
      <c r="P21" s="197" t="n">
        <v>46722</v>
      </c>
    </row>
    <row r="22" customFormat="false" ht="15" hidden="false" customHeight="false" outlineLevel="0" collapsed="false">
      <c r="A22" s="31" t="s">
        <v>1509</v>
      </c>
      <c r="B22" s="198" t="str">
        <f aca="false">IF(AND($E7&gt;=B$21,$E7&lt;EDATE(B$21,1)),"◆ ","")&amp;IF(COUNTIFS('Master Plan'!$Y$8:$Y$27,"&gt;="&amp;B$21,'Master Plan'!$Y$8:$Y$27,"&lt;"&amp;EDATE(B$21,1))=0,"",COUNTIFS('Master Plan'!$Y$8:$Y$27,"&gt;="&amp;B$21,'Master Plan'!$Y$8:$Y$27,"&lt;"&amp;EDATE(B$21,1)))</f>
        <v/>
      </c>
      <c r="C22" s="198" t="str">
        <f aca="false">IF(AND($E7&gt;=C$21,$E7&lt;EDATE(C$21,1)),"◆ ","")&amp;IF(COUNTIFS('Master Plan'!$Y$8:$Y$27,"&gt;="&amp;C$21,'Master Plan'!$Y$8:$Y$27,"&lt;"&amp;EDATE(C$21,1))=0,"",COUNTIFS('Master Plan'!$Y$8:$Y$27,"&gt;="&amp;C$21,'Master Plan'!$Y$8:$Y$27,"&lt;"&amp;EDATE(C$21,1)))</f>
        <v>◆ 20</v>
      </c>
      <c r="D22" s="198" t="str">
        <f aca="false">IF(AND($E7&gt;=D$21,$E7&lt;EDATE(D$21,1)),"◆ ","")&amp;IF(COUNTIFS('Master Plan'!$Y$8:$Y$27,"&gt;="&amp;D$21,'Master Plan'!$Y$8:$Y$27,"&lt;"&amp;EDATE(D$21,1))=0,"",COUNTIFS('Master Plan'!$Y$8:$Y$27,"&gt;="&amp;D$21,'Master Plan'!$Y$8:$Y$27,"&lt;"&amp;EDATE(D$21,1)))</f>
        <v/>
      </c>
      <c r="E22" s="198" t="str">
        <f aca="false">IF(AND($E7&gt;=E$21,$E7&lt;EDATE(E$21,1)),"◆ ","")&amp;IF(COUNTIFS('Master Plan'!$Y$8:$Y$27,"&gt;="&amp;E$21,'Master Plan'!$Y$8:$Y$27,"&lt;"&amp;EDATE(E$21,1))=0,"",COUNTIFS('Master Plan'!$Y$8:$Y$27,"&gt;="&amp;E$21,'Master Plan'!$Y$8:$Y$27,"&lt;"&amp;EDATE(E$21,1)))</f>
        <v/>
      </c>
      <c r="F22" s="198" t="str">
        <f aca="false">IF(AND($E7&gt;=F$21,$E7&lt;EDATE(F$21,1)),"◆ ","")&amp;IF(COUNTIFS('Master Plan'!$Y$8:$Y$27,"&gt;="&amp;F$21,'Master Plan'!$Y$8:$Y$27,"&lt;"&amp;EDATE(F$21,1))=0,"",COUNTIFS('Master Plan'!$Y$8:$Y$27,"&gt;="&amp;F$21,'Master Plan'!$Y$8:$Y$27,"&lt;"&amp;EDATE(F$21,1)))</f>
        <v/>
      </c>
      <c r="G22" s="198" t="str">
        <f aca="false">IF(AND($E7&gt;=G$21,$E7&lt;EDATE(G$21,1)),"◆ ","")&amp;IF(COUNTIFS('Master Plan'!$Y$8:$Y$27,"&gt;="&amp;G$21,'Master Plan'!$Y$8:$Y$27,"&lt;"&amp;EDATE(G$21,1))=0,"",COUNTIFS('Master Plan'!$Y$8:$Y$27,"&gt;="&amp;G$21,'Master Plan'!$Y$8:$Y$27,"&lt;"&amp;EDATE(G$21,1)))</f>
        <v/>
      </c>
      <c r="H22" s="198" t="str">
        <f aca="false">IF(AND($E7&gt;=H$21,$E7&lt;EDATE(H$21,1)),"◆ ","")&amp;IF(COUNTIFS('Master Plan'!$Y$8:$Y$27,"&gt;="&amp;H$21,'Master Plan'!$Y$8:$Y$27,"&lt;"&amp;EDATE(H$21,1))=0,"",COUNTIFS('Master Plan'!$Y$8:$Y$27,"&gt;="&amp;H$21,'Master Plan'!$Y$8:$Y$27,"&lt;"&amp;EDATE(H$21,1)))</f>
        <v/>
      </c>
      <c r="I22" s="198" t="str">
        <f aca="false">IF(AND($E7&gt;=I$21,$E7&lt;EDATE(I$21,1)),"◆ ","")&amp;IF(COUNTIFS('Master Plan'!$Y$8:$Y$27,"&gt;="&amp;I$21,'Master Plan'!$Y$8:$Y$27,"&lt;"&amp;EDATE(I$21,1))=0,"",COUNTIFS('Master Plan'!$Y$8:$Y$27,"&gt;="&amp;I$21,'Master Plan'!$Y$8:$Y$27,"&lt;"&amp;EDATE(I$21,1)))</f>
        <v/>
      </c>
      <c r="J22" s="198" t="str">
        <f aca="false">IF(AND($E7&gt;=J$21,$E7&lt;EDATE(J$21,1)),"◆ ","")&amp;IF(COUNTIFS('Master Plan'!$Y$8:$Y$27,"&gt;="&amp;J$21,'Master Plan'!$Y$8:$Y$27,"&lt;"&amp;EDATE(J$21,1))=0,"",COUNTIFS('Master Plan'!$Y$8:$Y$27,"&gt;="&amp;J$21,'Master Plan'!$Y$8:$Y$27,"&lt;"&amp;EDATE(J$21,1)))</f>
        <v/>
      </c>
      <c r="K22" s="198" t="str">
        <f aca="false">IF(AND($E7&gt;=K$21,$E7&lt;EDATE(K$21,1)),"◆ ","")&amp;IF(COUNTIFS('Master Plan'!$Y$8:$Y$27,"&gt;="&amp;K$21,'Master Plan'!$Y$8:$Y$27,"&lt;"&amp;EDATE(K$21,1))=0,"",COUNTIFS('Master Plan'!$Y$8:$Y$27,"&gt;="&amp;K$21,'Master Plan'!$Y$8:$Y$27,"&lt;"&amp;EDATE(K$21,1)))</f>
        <v/>
      </c>
      <c r="L22" s="198" t="str">
        <f aca="false">IF(AND($E7&gt;=L$21,$E7&lt;EDATE(L$21,1)),"◆ ","")&amp;IF(COUNTIFS('Master Plan'!$Y$8:$Y$27,"&gt;="&amp;L$21,'Master Plan'!$Y$8:$Y$27,"&lt;"&amp;EDATE(L$21,1))=0,"",COUNTIFS('Master Plan'!$Y$8:$Y$27,"&gt;="&amp;L$21,'Master Plan'!$Y$8:$Y$27,"&lt;"&amp;EDATE(L$21,1)))</f>
        <v/>
      </c>
      <c r="M22" s="198" t="str">
        <f aca="false">IF(AND($E7&gt;=M$21,$E7&lt;EDATE(M$21,1)),"◆ ","")&amp;IF(COUNTIFS('Master Plan'!$Y$8:$Y$27,"&gt;="&amp;M$21,'Master Plan'!$Y$8:$Y$27,"&lt;"&amp;EDATE(M$21,1))=0,"",COUNTIFS('Master Plan'!$Y$8:$Y$27,"&gt;="&amp;M$21,'Master Plan'!$Y$8:$Y$27,"&lt;"&amp;EDATE(M$21,1)))</f>
        <v/>
      </c>
      <c r="N22" s="198" t="str">
        <f aca="false">IF(AND($E7&gt;=N$21,$E7&lt;EDATE(N$21,1)),"◆ ","")&amp;IF(COUNTIFS('Master Plan'!$Y$8:$Y$27,"&gt;="&amp;N$21,'Master Plan'!$Y$8:$Y$27,"&lt;"&amp;EDATE(N$21,1))=0,"",COUNTIFS('Master Plan'!$Y$8:$Y$27,"&gt;="&amp;N$21,'Master Plan'!$Y$8:$Y$27,"&lt;"&amp;EDATE(N$21,1)))</f>
        <v/>
      </c>
      <c r="O22" s="198" t="str">
        <f aca="false">IF(AND($E7&gt;=O$21,$E7&lt;EDATE(O$21,1)),"◆ ","")&amp;IF(COUNTIFS('Master Plan'!$Y$8:$Y$27,"&gt;="&amp;O$21,'Master Plan'!$Y$8:$Y$27,"&lt;"&amp;EDATE(O$21,1))=0,"",COUNTIFS('Master Plan'!$Y$8:$Y$27,"&gt;="&amp;O$21,'Master Plan'!$Y$8:$Y$27,"&lt;"&amp;EDATE(O$21,1)))</f>
        <v/>
      </c>
      <c r="P22" s="198" t="str">
        <f aca="false">IF(AND($E7&gt;=P$21,$E7&lt;EDATE(P$21,1)),"◆ ","")&amp;IF(COUNTIFS('Master Plan'!$Y$8:$Y$27,"&gt;="&amp;P$21,'Master Plan'!$Y$8:$Y$27,"&lt;"&amp;EDATE(P$21,1))=0,"",COUNTIFS('Master Plan'!$Y$8:$Y$27,"&gt;="&amp;P$21,'Master Plan'!$Y$8:$Y$27,"&lt;"&amp;EDATE(P$21,1)))</f>
        <v/>
      </c>
    </row>
    <row r="23" customFormat="false" ht="15" hidden="false" customHeight="false" outlineLevel="0" collapsed="false">
      <c r="A23" s="31" t="s">
        <v>1510</v>
      </c>
      <c r="B23" s="198" t="str">
        <f aca="false">IF(AND($E8&gt;=B$21,$E8&lt;EDATE(B$21,1)),"◆ ","")&amp;IF(COUNTIFS('Master Plan'!$AC$8:$AC$27,"&gt;="&amp;B$21,'Master Plan'!$AC$8:$AC$27,"&lt;"&amp;EDATE(B$21,1))=0,"",COUNTIFS('Master Plan'!$AC$8:$AC$27,"&gt;="&amp;B$21,'Master Plan'!$AC$8:$AC$27,"&lt;"&amp;EDATE(B$21,1)))</f>
        <v/>
      </c>
      <c r="C23" s="198" t="str">
        <f aca="false">IF(AND($E8&gt;=C$21,$E8&lt;EDATE(C$21,1)),"◆ ","")&amp;IF(COUNTIFS('Master Plan'!$AC$8:$AC$27,"&gt;="&amp;C$21,'Master Plan'!$AC$8:$AC$27,"&lt;"&amp;EDATE(C$21,1))=0,"",COUNTIFS('Master Plan'!$AC$8:$AC$27,"&gt;="&amp;C$21,'Master Plan'!$AC$8:$AC$27,"&lt;"&amp;EDATE(C$21,1)))</f>
        <v>◆ 20</v>
      </c>
      <c r="D23" s="198" t="str">
        <f aca="false">IF(AND($E8&gt;=D$21,$E8&lt;EDATE(D$21,1)),"◆ ","")&amp;IF(COUNTIFS('Master Plan'!$AC$8:$AC$27,"&gt;="&amp;D$21,'Master Plan'!$AC$8:$AC$27,"&lt;"&amp;EDATE(D$21,1))=0,"",COUNTIFS('Master Plan'!$AC$8:$AC$27,"&gt;="&amp;D$21,'Master Plan'!$AC$8:$AC$27,"&lt;"&amp;EDATE(D$21,1)))</f>
        <v/>
      </c>
      <c r="E23" s="198" t="str">
        <f aca="false">IF(AND($E8&gt;=E$21,$E8&lt;EDATE(E$21,1)),"◆ ","")&amp;IF(COUNTIFS('Master Plan'!$AC$8:$AC$27,"&gt;="&amp;E$21,'Master Plan'!$AC$8:$AC$27,"&lt;"&amp;EDATE(E$21,1))=0,"",COUNTIFS('Master Plan'!$AC$8:$AC$27,"&gt;="&amp;E$21,'Master Plan'!$AC$8:$AC$27,"&lt;"&amp;EDATE(E$21,1)))</f>
        <v/>
      </c>
      <c r="F23" s="198" t="str">
        <f aca="false">IF(AND($E8&gt;=F$21,$E8&lt;EDATE(F$21,1)),"◆ ","")&amp;IF(COUNTIFS('Master Plan'!$AC$8:$AC$27,"&gt;="&amp;F$21,'Master Plan'!$AC$8:$AC$27,"&lt;"&amp;EDATE(F$21,1))=0,"",COUNTIFS('Master Plan'!$AC$8:$AC$27,"&gt;="&amp;F$21,'Master Plan'!$AC$8:$AC$27,"&lt;"&amp;EDATE(F$21,1)))</f>
        <v/>
      </c>
      <c r="G23" s="198" t="str">
        <f aca="false">IF(AND($E8&gt;=G$21,$E8&lt;EDATE(G$21,1)),"◆ ","")&amp;IF(COUNTIFS('Master Plan'!$AC$8:$AC$27,"&gt;="&amp;G$21,'Master Plan'!$AC$8:$AC$27,"&lt;"&amp;EDATE(G$21,1))=0,"",COUNTIFS('Master Plan'!$AC$8:$AC$27,"&gt;="&amp;G$21,'Master Plan'!$AC$8:$AC$27,"&lt;"&amp;EDATE(G$21,1)))</f>
        <v/>
      </c>
      <c r="H23" s="198" t="str">
        <f aca="false">IF(AND($E8&gt;=H$21,$E8&lt;EDATE(H$21,1)),"◆ ","")&amp;IF(COUNTIFS('Master Plan'!$AC$8:$AC$27,"&gt;="&amp;H$21,'Master Plan'!$AC$8:$AC$27,"&lt;"&amp;EDATE(H$21,1))=0,"",COUNTIFS('Master Plan'!$AC$8:$AC$27,"&gt;="&amp;H$21,'Master Plan'!$AC$8:$AC$27,"&lt;"&amp;EDATE(H$21,1)))</f>
        <v/>
      </c>
      <c r="I23" s="198" t="str">
        <f aca="false">IF(AND($E8&gt;=I$21,$E8&lt;EDATE(I$21,1)),"◆ ","")&amp;IF(COUNTIFS('Master Plan'!$AC$8:$AC$27,"&gt;="&amp;I$21,'Master Plan'!$AC$8:$AC$27,"&lt;"&amp;EDATE(I$21,1))=0,"",COUNTIFS('Master Plan'!$AC$8:$AC$27,"&gt;="&amp;I$21,'Master Plan'!$AC$8:$AC$27,"&lt;"&amp;EDATE(I$21,1)))</f>
        <v/>
      </c>
      <c r="J23" s="198" t="str">
        <f aca="false">IF(AND($E8&gt;=J$21,$E8&lt;EDATE(J$21,1)),"◆ ","")&amp;IF(COUNTIFS('Master Plan'!$AC$8:$AC$27,"&gt;="&amp;J$21,'Master Plan'!$AC$8:$AC$27,"&lt;"&amp;EDATE(J$21,1))=0,"",COUNTIFS('Master Plan'!$AC$8:$AC$27,"&gt;="&amp;J$21,'Master Plan'!$AC$8:$AC$27,"&lt;"&amp;EDATE(J$21,1)))</f>
        <v/>
      </c>
      <c r="K23" s="198" t="str">
        <f aca="false">IF(AND($E8&gt;=K$21,$E8&lt;EDATE(K$21,1)),"◆ ","")&amp;IF(COUNTIFS('Master Plan'!$AC$8:$AC$27,"&gt;="&amp;K$21,'Master Plan'!$AC$8:$AC$27,"&lt;"&amp;EDATE(K$21,1))=0,"",COUNTIFS('Master Plan'!$AC$8:$AC$27,"&gt;="&amp;K$21,'Master Plan'!$AC$8:$AC$27,"&lt;"&amp;EDATE(K$21,1)))</f>
        <v/>
      </c>
      <c r="L23" s="198" t="str">
        <f aca="false">IF(AND($E8&gt;=L$21,$E8&lt;EDATE(L$21,1)),"◆ ","")&amp;IF(COUNTIFS('Master Plan'!$AC$8:$AC$27,"&gt;="&amp;L$21,'Master Plan'!$AC$8:$AC$27,"&lt;"&amp;EDATE(L$21,1))=0,"",COUNTIFS('Master Plan'!$AC$8:$AC$27,"&gt;="&amp;L$21,'Master Plan'!$AC$8:$AC$27,"&lt;"&amp;EDATE(L$21,1)))</f>
        <v/>
      </c>
      <c r="M23" s="198" t="str">
        <f aca="false">IF(AND($E8&gt;=M$21,$E8&lt;EDATE(M$21,1)),"◆ ","")&amp;IF(COUNTIFS('Master Plan'!$AC$8:$AC$27,"&gt;="&amp;M$21,'Master Plan'!$AC$8:$AC$27,"&lt;"&amp;EDATE(M$21,1))=0,"",COUNTIFS('Master Plan'!$AC$8:$AC$27,"&gt;="&amp;M$21,'Master Plan'!$AC$8:$AC$27,"&lt;"&amp;EDATE(M$21,1)))</f>
        <v/>
      </c>
      <c r="N23" s="198" t="str">
        <f aca="false">IF(AND($E8&gt;=N$21,$E8&lt;EDATE(N$21,1)),"◆ ","")&amp;IF(COUNTIFS('Master Plan'!$AC$8:$AC$27,"&gt;="&amp;N$21,'Master Plan'!$AC$8:$AC$27,"&lt;"&amp;EDATE(N$21,1))=0,"",COUNTIFS('Master Plan'!$AC$8:$AC$27,"&gt;="&amp;N$21,'Master Plan'!$AC$8:$AC$27,"&lt;"&amp;EDATE(N$21,1)))</f>
        <v/>
      </c>
      <c r="O23" s="198" t="str">
        <f aca="false">IF(AND($E8&gt;=O$21,$E8&lt;EDATE(O$21,1)),"◆ ","")&amp;IF(COUNTIFS('Master Plan'!$AC$8:$AC$27,"&gt;="&amp;O$21,'Master Plan'!$AC$8:$AC$27,"&lt;"&amp;EDATE(O$21,1))=0,"",COUNTIFS('Master Plan'!$AC$8:$AC$27,"&gt;="&amp;O$21,'Master Plan'!$AC$8:$AC$27,"&lt;"&amp;EDATE(O$21,1)))</f>
        <v/>
      </c>
      <c r="P23" s="198" t="str">
        <f aca="false">IF(AND($E8&gt;=P$21,$E8&lt;EDATE(P$21,1)),"◆ ","")&amp;IF(COUNTIFS('Master Plan'!$AC$8:$AC$27,"&gt;="&amp;P$21,'Master Plan'!$AC$8:$AC$27,"&lt;"&amp;EDATE(P$21,1))=0,"",COUNTIFS('Master Plan'!$AC$8:$AC$27,"&gt;="&amp;P$21,'Master Plan'!$AC$8:$AC$27,"&lt;"&amp;EDATE(P$21,1)))</f>
        <v/>
      </c>
    </row>
    <row r="24" customFormat="false" ht="15" hidden="false" customHeight="false" outlineLevel="0" collapsed="false">
      <c r="A24" s="31" t="s">
        <v>1511</v>
      </c>
      <c r="B24" s="198" t="str">
        <f aca="false">IF(AND($E9&gt;=B$21,$E9&lt;EDATE(B$21,1)),"◆ ","")&amp;IF(COUNTIFS('Master Plan'!$AG$8:$AG$27,"&gt;="&amp;B$21,'Master Plan'!$AG$8:$AG$27,"&lt;"&amp;EDATE(B$21,1))=0,"",COUNTIFS('Master Plan'!$AG$8:$AG$27,"&gt;="&amp;B$21,'Master Plan'!$AG$8:$AG$27,"&lt;"&amp;EDATE(B$21,1)))</f>
        <v/>
      </c>
      <c r="C24" s="198" t="str">
        <f aca="false">IF(AND($E9&gt;=C$21,$E9&lt;EDATE(C$21,1)),"◆ ","")&amp;IF(COUNTIFS('Master Plan'!$AG$8:$AG$27,"&gt;="&amp;C$21,'Master Plan'!$AG$8:$AG$27,"&lt;"&amp;EDATE(C$21,1))=0,"",COUNTIFS('Master Plan'!$AG$8:$AG$27,"&gt;="&amp;C$21,'Master Plan'!$AG$8:$AG$27,"&lt;"&amp;EDATE(C$21,1)))</f>
        <v>◆ 10</v>
      </c>
      <c r="D24" s="198" t="str">
        <f aca="false">IF(AND($E9&gt;=D$21,$E9&lt;EDATE(D$21,1)),"◆ ","")&amp;IF(COUNTIFS('Master Plan'!$AG$8:$AG$27,"&gt;="&amp;D$21,'Master Plan'!$AG$8:$AG$27,"&lt;"&amp;EDATE(D$21,1))=0,"",COUNTIFS('Master Plan'!$AG$8:$AG$27,"&gt;="&amp;D$21,'Master Plan'!$AG$8:$AG$27,"&lt;"&amp;EDATE(D$21,1)))</f>
        <v/>
      </c>
      <c r="E24" s="198" t="str">
        <f aca="false">IF(AND($E9&gt;=E$21,$E9&lt;EDATE(E$21,1)),"◆ ","")&amp;IF(COUNTIFS('Master Plan'!$AG$8:$AG$27,"&gt;="&amp;E$21,'Master Plan'!$AG$8:$AG$27,"&lt;"&amp;EDATE(E$21,1))=0,"",COUNTIFS('Master Plan'!$AG$8:$AG$27,"&gt;="&amp;E$21,'Master Plan'!$AG$8:$AG$27,"&lt;"&amp;EDATE(E$21,1)))</f>
        <v/>
      </c>
      <c r="F24" s="198" t="str">
        <f aca="false">IF(AND($E9&gt;=F$21,$E9&lt;EDATE(F$21,1)),"◆ ","")&amp;IF(COUNTIFS('Master Plan'!$AG$8:$AG$27,"&gt;="&amp;F$21,'Master Plan'!$AG$8:$AG$27,"&lt;"&amp;EDATE(F$21,1))=0,"",COUNTIFS('Master Plan'!$AG$8:$AG$27,"&gt;="&amp;F$21,'Master Plan'!$AG$8:$AG$27,"&lt;"&amp;EDATE(F$21,1)))</f>
        <v/>
      </c>
      <c r="G24" s="198" t="str">
        <f aca="false">IF(AND($E9&gt;=G$21,$E9&lt;EDATE(G$21,1)),"◆ ","")&amp;IF(COUNTIFS('Master Plan'!$AG$8:$AG$27,"&gt;="&amp;G$21,'Master Plan'!$AG$8:$AG$27,"&lt;"&amp;EDATE(G$21,1))=0,"",COUNTIFS('Master Plan'!$AG$8:$AG$27,"&gt;="&amp;G$21,'Master Plan'!$AG$8:$AG$27,"&lt;"&amp;EDATE(G$21,1)))</f>
        <v/>
      </c>
      <c r="H24" s="198" t="str">
        <f aca="false">IF(AND($E9&gt;=H$21,$E9&lt;EDATE(H$21,1)),"◆ ","")&amp;IF(COUNTIFS('Master Plan'!$AG$8:$AG$27,"&gt;="&amp;H$21,'Master Plan'!$AG$8:$AG$27,"&lt;"&amp;EDATE(H$21,1))=0,"",COUNTIFS('Master Plan'!$AG$8:$AG$27,"&gt;="&amp;H$21,'Master Plan'!$AG$8:$AG$27,"&lt;"&amp;EDATE(H$21,1)))</f>
        <v/>
      </c>
      <c r="I24" s="198" t="str">
        <f aca="false">IF(AND($E9&gt;=I$21,$E9&lt;EDATE(I$21,1)),"◆ ","")&amp;IF(COUNTIFS('Master Plan'!$AG$8:$AG$27,"&gt;="&amp;I$21,'Master Plan'!$AG$8:$AG$27,"&lt;"&amp;EDATE(I$21,1))=0,"",COUNTIFS('Master Plan'!$AG$8:$AG$27,"&gt;="&amp;I$21,'Master Plan'!$AG$8:$AG$27,"&lt;"&amp;EDATE(I$21,1)))</f>
        <v/>
      </c>
      <c r="J24" s="198" t="str">
        <f aca="false">IF(AND($E9&gt;=J$21,$E9&lt;EDATE(J$21,1)),"◆ ","")&amp;IF(COUNTIFS('Master Plan'!$AG$8:$AG$27,"&gt;="&amp;J$21,'Master Plan'!$AG$8:$AG$27,"&lt;"&amp;EDATE(J$21,1))=0,"",COUNTIFS('Master Plan'!$AG$8:$AG$27,"&gt;="&amp;J$21,'Master Plan'!$AG$8:$AG$27,"&lt;"&amp;EDATE(J$21,1)))</f>
        <v/>
      </c>
      <c r="K24" s="198" t="str">
        <f aca="false">IF(AND($E9&gt;=K$21,$E9&lt;EDATE(K$21,1)),"◆ ","")&amp;IF(COUNTIFS('Master Plan'!$AG$8:$AG$27,"&gt;="&amp;K$21,'Master Plan'!$AG$8:$AG$27,"&lt;"&amp;EDATE(K$21,1))=0,"",COUNTIFS('Master Plan'!$AG$8:$AG$27,"&gt;="&amp;K$21,'Master Plan'!$AG$8:$AG$27,"&lt;"&amp;EDATE(K$21,1)))</f>
        <v/>
      </c>
      <c r="L24" s="198" t="str">
        <f aca="false">IF(AND($E9&gt;=L$21,$E9&lt;EDATE(L$21,1)),"◆ ","")&amp;IF(COUNTIFS('Master Plan'!$AG$8:$AG$27,"&gt;="&amp;L$21,'Master Plan'!$AG$8:$AG$27,"&lt;"&amp;EDATE(L$21,1))=0,"",COUNTIFS('Master Plan'!$AG$8:$AG$27,"&gt;="&amp;L$21,'Master Plan'!$AG$8:$AG$27,"&lt;"&amp;EDATE(L$21,1)))</f>
        <v/>
      </c>
      <c r="M24" s="198" t="str">
        <f aca="false">IF(AND($E9&gt;=M$21,$E9&lt;EDATE(M$21,1)),"◆ ","")&amp;IF(COUNTIFS('Master Plan'!$AG$8:$AG$27,"&gt;="&amp;M$21,'Master Plan'!$AG$8:$AG$27,"&lt;"&amp;EDATE(M$21,1))=0,"",COUNTIFS('Master Plan'!$AG$8:$AG$27,"&gt;="&amp;M$21,'Master Plan'!$AG$8:$AG$27,"&lt;"&amp;EDATE(M$21,1)))</f>
        <v/>
      </c>
      <c r="N24" s="198" t="str">
        <f aca="false">IF(AND($E9&gt;=N$21,$E9&lt;EDATE(N$21,1)),"◆ ","")&amp;IF(COUNTIFS('Master Plan'!$AG$8:$AG$27,"&gt;="&amp;N$21,'Master Plan'!$AG$8:$AG$27,"&lt;"&amp;EDATE(N$21,1))=0,"",COUNTIFS('Master Plan'!$AG$8:$AG$27,"&gt;="&amp;N$21,'Master Plan'!$AG$8:$AG$27,"&lt;"&amp;EDATE(N$21,1)))</f>
        <v/>
      </c>
      <c r="O24" s="198" t="str">
        <f aca="false">IF(AND($E9&gt;=O$21,$E9&lt;EDATE(O$21,1)),"◆ ","")&amp;IF(COUNTIFS('Master Plan'!$AG$8:$AG$27,"&gt;="&amp;O$21,'Master Plan'!$AG$8:$AG$27,"&lt;"&amp;EDATE(O$21,1))=0,"",COUNTIFS('Master Plan'!$AG$8:$AG$27,"&gt;="&amp;O$21,'Master Plan'!$AG$8:$AG$27,"&lt;"&amp;EDATE(O$21,1)))</f>
        <v/>
      </c>
      <c r="P24" s="198" t="str">
        <f aca="false">IF(AND($E9&gt;=P$21,$E9&lt;EDATE(P$21,1)),"◆ ","")&amp;IF(COUNTIFS('Master Plan'!$AG$8:$AG$27,"&gt;="&amp;P$21,'Master Plan'!$AG$8:$AG$27,"&lt;"&amp;EDATE(P$21,1))=0,"",COUNTIFS('Master Plan'!$AG$8:$AG$27,"&gt;="&amp;P$21,'Master Plan'!$AG$8:$AG$27,"&lt;"&amp;EDATE(P$21,1)))</f>
        <v/>
      </c>
    </row>
    <row r="25" customFormat="false" ht="15" hidden="false" customHeight="false" outlineLevel="0" collapsed="false">
      <c r="A25" s="31" t="s">
        <v>1512</v>
      </c>
      <c r="B25" s="198" t="str">
        <f aca="false">IF(AND($E10&gt;=B$21,$E10&lt;EDATE(B$21,1)),"◆ ","")&amp;IF(COUNTIFS('Master Plan'!$Z$8:$Z$27,"&gt;="&amp;B$21,'Master Plan'!$Z$8:$Z$27,"&lt;"&amp;EDATE(B$21,1))=0,"",COUNTIFS('Master Plan'!$Z$8:$Z$27,"&gt;="&amp;B$21,'Master Plan'!$Z$8:$Z$27,"&lt;"&amp;EDATE(B$21,1)))</f>
        <v/>
      </c>
      <c r="C25" s="198" t="str">
        <f aca="false">IF(AND($E10&gt;=C$21,$E10&lt;EDATE(C$21,1)),"◆ ","")&amp;IF(COUNTIFS('Master Plan'!$Z$8:$Z$27,"&gt;="&amp;C$21,'Master Plan'!$Z$8:$Z$27,"&lt;"&amp;EDATE(C$21,1))=0,"",COUNTIFS('Master Plan'!$Z$8:$Z$27,"&gt;="&amp;C$21,'Master Plan'!$Z$8:$Z$27,"&lt;"&amp;EDATE(C$21,1)))</f>
        <v>◆ 20</v>
      </c>
      <c r="D25" s="198" t="str">
        <f aca="false">IF(AND($E10&gt;=D$21,$E10&lt;EDATE(D$21,1)),"◆ ","")&amp;IF(COUNTIFS('Master Plan'!$Z$8:$Z$27,"&gt;="&amp;D$21,'Master Plan'!$Z$8:$Z$27,"&lt;"&amp;EDATE(D$21,1))=0,"",COUNTIFS('Master Plan'!$Z$8:$Z$27,"&gt;="&amp;D$21,'Master Plan'!$Z$8:$Z$27,"&lt;"&amp;EDATE(D$21,1)))</f>
        <v/>
      </c>
      <c r="E25" s="198" t="str">
        <f aca="false">IF(AND($E10&gt;=E$21,$E10&lt;EDATE(E$21,1)),"◆ ","")&amp;IF(COUNTIFS('Master Plan'!$Z$8:$Z$27,"&gt;="&amp;E$21,'Master Plan'!$Z$8:$Z$27,"&lt;"&amp;EDATE(E$21,1))=0,"",COUNTIFS('Master Plan'!$Z$8:$Z$27,"&gt;="&amp;E$21,'Master Plan'!$Z$8:$Z$27,"&lt;"&amp;EDATE(E$21,1)))</f>
        <v/>
      </c>
      <c r="F25" s="198" t="str">
        <f aca="false">IF(AND($E10&gt;=F$21,$E10&lt;EDATE(F$21,1)),"◆ ","")&amp;IF(COUNTIFS('Master Plan'!$Z$8:$Z$27,"&gt;="&amp;F$21,'Master Plan'!$Z$8:$Z$27,"&lt;"&amp;EDATE(F$21,1))=0,"",COUNTIFS('Master Plan'!$Z$8:$Z$27,"&gt;="&amp;F$21,'Master Plan'!$Z$8:$Z$27,"&lt;"&amp;EDATE(F$21,1)))</f>
        <v/>
      </c>
      <c r="G25" s="198" t="str">
        <f aca="false">IF(AND($E10&gt;=G$21,$E10&lt;EDATE(G$21,1)),"◆ ","")&amp;IF(COUNTIFS('Master Plan'!$Z$8:$Z$27,"&gt;="&amp;G$21,'Master Plan'!$Z$8:$Z$27,"&lt;"&amp;EDATE(G$21,1))=0,"",COUNTIFS('Master Plan'!$Z$8:$Z$27,"&gt;="&amp;G$21,'Master Plan'!$Z$8:$Z$27,"&lt;"&amp;EDATE(G$21,1)))</f>
        <v/>
      </c>
      <c r="H25" s="198" t="str">
        <f aca="false">IF(AND($E10&gt;=H$21,$E10&lt;EDATE(H$21,1)),"◆ ","")&amp;IF(COUNTIFS('Master Plan'!$Z$8:$Z$27,"&gt;="&amp;H$21,'Master Plan'!$Z$8:$Z$27,"&lt;"&amp;EDATE(H$21,1))=0,"",COUNTIFS('Master Plan'!$Z$8:$Z$27,"&gt;="&amp;H$21,'Master Plan'!$Z$8:$Z$27,"&lt;"&amp;EDATE(H$21,1)))</f>
        <v/>
      </c>
      <c r="I25" s="198" t="str">
        <f aca="false">IF(AND($E10&gt;=I$21,$E10&lt;EDATE(I$21,1)),"◆ ","")&amp;IF(COUNTIFS('Master Plan'!$Z$8:$Z$27,"&gt;="&amp;I$21,'Master Plan'!$Z$8:$Z$27,"&lt;"&amp;EDATE(I$21,1))=0,"",COUNTIFS('Master Plan'!$Z$8:$Z$27,"&gt;="&amp;I$21,'Master Plan'!$Z$8:$Z$27,"&lt;"&amp;EDATE(I$21,1)))</f>
        <v/>
      </c>
      <c r="J25" s="198" t="str">
        <f aca="false">IF(AND($E10&gt;=J$21,$E10&lt;EDATE(J$21,1)),"◆ ","")&amp;IF(COUNTIFS('Master Plan'!$Z$8:$Z$27,"&gt;="&amp;J$21,'Master Plan'!$Z$8:$Z$27,"&lt;"&amp;EDATE(J$21,1))=0,"",COUNTIFS('Master Plan'!$Z$8:$Z$27,"&gt;="&amp;J$21,'Master Plan'!$Z$8:$Z$27,"&lt;"&amp;EDATE(J$21,1)))</f>
        <v/>
      </c>
      <c r="K25" s="198" t="str">
        <f aca="false">IF(AND($E10&gt;=K$21,$E10&lt;EDATE(K$21,1)),"◆ ","")&amp;IF(COUNTIFS('Master Plan'!$Z$8:$Z$27,"&gt;="&amp;K$21,'Master Plan'!$Z$8:$Z$27,"&lt;"&amp;EDATE(K$21,1))=0,"",COUNTIFS('Master Plan'!$Z$8:$Z$27,"&gt;="&amp;K$21,'Master Plan'!$Z$8:$Z$27,"&lt;"&amp;EDATE(K$21,1)))</f>
        <v/>
      </c>
      <c r="L25" s="198" t="str">
        <f aca="false">IF(AND($E10&gt;=L$21,$E10&lt;EDATE(L$21,1)),"◆ ","")&amp;IF(COUNTIFS('Master Plan'!$Z$8:$Z$27,"&gt;="&amp;L$21,'Master Plan'!$Z$8:$Z$27,"&lt;"&amp;EDATE(L$21,1))=0,"",COUNTIFS('Master Plan'!$Z$8:$Z$27,"&gt;="&amp;L$21,'Master Plan'!$Z$8:$Z$27,"&lt;"&amp;EDATE(L$21,1)))</f>
        <v/>
      </c>
      <c r="M25" s="198" t="str">
        <f aca="false">IF(AND($E10&gt;=M$21,$E10&lt;EDATE(M$21,1)),"◆ ","")&amp;IF(COUNTIFS('Master Plan'!$Z$8:$Z$27,"&gt;="&amp;M$21,'Master Plan'!$Z$8:$Z$27,"&lt;"&amp;EDATE(M$21,1))=0,"",COUNTIFS('Master Plan'!$Z$8:$Z$27,"&gt;="&amp;M$21,'Master Plan'!$Z$8:$Z$27,"&lt;"&amp;EDATE(M$21,1)))</f>
        <v/>
      </c>
      <c r="N25" s="198" t="str">
        <f aca="false">IF(AND($E10&gt;=N$21,$E10&lt;EDATE(N$21,1)),"◆ ","")&amp;IF(COUNTIFS('Master Plan'!$Z$8:$Z$27,"&gt;="&amp;N$21,'Master Plan'!$Z$8:$Z$27,"&lt;"&amp;EDATE(N$21,1))=0,"",COUNTIFS('Master Plan'!$Z$8:$Z$27,"&gt;="&amp;N$21,'Master Plan'!$Z$8:$Z$27,"&lt;"&amp;EDATE(N$21,1)))</f>
        <v/>
      </c>
      <c r="O25" s="198" t="str">
        <f aca="false">IF(AND($E10&gt;=O$21,$E10&lt;EDATE(O$21,1)),"◆ ","")&amp;IF(COUNTIFS('Master Plan'!$Z$8:$Z$27,"&gt;="&amp;O$21,'Master Plan'!$Z$8:$Z$27,"&lt;"&amp;EDATE(O$21,1))=0,"",COUNTIFS('Master Plan'!$Z$8:$Z$27,"&gt;="&amp;O$21,'Master Plan'!$Z$8:$Z$27,"&lt;"&amp;EDATE(O$21,1)))</f>
        <v/>
      </c>
      <c r="P25" s="198" t="str">
        <f aca="false">IF(AND($E10&gt;=P$21,$E10&lt;EDATE(P$21,1)),"◆ ","")&amp;IF(COUNTIFS('Master Plan'!$Z$8:$Z$27,"&gt;="&amp;P$21,'Master Plan'!$Z$8:$Z$27,"&lt;"&amp;EDATE(P$21,1))=0,"",COUNTIFS('Master Plan'!$Z$8:$Z$27,"&gt;="&amp;P$21,'Master Plan'!$Z$8:$Z$27,"&lt;"&amp;EDATE(P$21,1)))</f>
        <v/>
      </c>
    </row>
    <row r="26" customFormat="false" ht="15" hidden="false" customHeight="false" outlineLevel="0" collapsed="false">
      <c r="A26" s="31" t="s">
        <v>1513</v>
      </c>
      <c r="B26" s="198" t="str">
        <f aca="false">IF(AND($E11&gt;=B$21,$E11&lt;EDATE(B$21,1)),"◆ ","")&amp;IF(COUNTIFS('Master Plan'!$AA$8:$AA$27,"&gt;="&amp;B$21,'Master Plan'!$AA$8:$AA$27,"&lt;"&amp;EDATE(B$21,1))=0,"",COUNTIFS('Master Plan'!$AA$8:$AA$27,"&gt;="&amp;B$21,'Master Plan'!$AA$8:$AA$27,"&lt;"&amp;EDATE(B$21,1)))</f>
        <v/>
      </c>
      <c r="C26" s="198" t="str">
        <f aca="false">IF(AND($E11&gt;=C$21,$E11&lt;EDATE(C$21,1)),"◆ ","")&amp;IF(COUNTIFS('Master Plan'!$AA$8:$AA$27,"&gt;="&amp;C$21,'Master Plan'!$AA$8:$AA$27,"&lt;"&amp;EDATE(C$21,1))=0,"",COUNTIFS('Master Plan'!$AA$8:$AA$27,"&gt;="&amp;C$21,'Master Plan'!$AA$8:$AA$27,"&lt;"&amp;EDATE(C$21,1)))</f>
        <v/>
      </c>
      <c r="D26" s="198" t="str">
        <f aca="false">IF(AND($E11&gt;=D$21,$E11&lt;EDATE(D$21,1)),"◆ ","")&amp;IF(COUNTIFS('Master Plan'!$AA$8:$AA$27,"&gt;="&amp;D$21,'Master Plan'!$AA$8:$AA$27,"&lt;"&amp;EDATE(D$21,1))=0,"",COUNTIFS('Master Plan'!$AA$8:$AA$27,"&gt;="&amp;D$21,'Master Plan'!$AA$8:$AA$27,"&lt;"&amp;EDATE(D$21,1)))</f>
        <v>◆ 20</v>
      </c>
      <c r="E26" s="198" t="str">
        <f aca="false">IF(AND($E11&gt;=E$21,$E11&lt;EDATE(E$21,1)),"◆ ","")&amp;IF(COUNTIFS('Master Plan'!$AA$8:$AA$27,"&gt;="&amp;E$21,'Master Plan'!$AA$8:$AA$27,"&lt;"&amp;EDATE(E$21,1))=0,"",COUNTIFS('Master Plan'!$AA$8:$AA$27,"&gt;="&amp;E$21,'Master Plan'!$AA$8:$AA$27,"&lt;"&amp;EDATE(E$21,1)))</f>
        <v/>
      </c>
      <c r="F26" s="198" t="str">
        <f aca="false">IF(AND($E11&gt;=F$21,$E11&lt;EDATE(F$21,1)),"◆ ","")&amp;IF(COUNTIFS('Master Plan'!$AA$8:$AA$27,"&gt;="&amp;F$21,'Master Plan'!$AA$8:$AA$27,"&lt;"&amp;EDATE(F$21,1))=0,"",COUNTIFS('Master Plan'!$AA$8:$AA$27,"&gt;="&amp;F$21,'Master Plan'!$AA$8:$AA$27,"&lt;"&amp;EDATE(F$21,1)))</f>
        <v/>
      </c>
      <c r="G26" s="198" t="str">
        <f aca="false">IF(AND($E11&gt;=G$21,$E11&lt;EDATE(G$21,1)),"◆ ","")&amp;IF(COUNTIFS('Master Plan'!$AA$8:$AA$27,"&gt;="&amp;G$21,'Master Plan'!$AA$8:$AA$27,"&lt;"&amp;EDATE(G$21,1))=0,"",COUNTIFS('Master Plan'!$AA$8:$AA$27,"&gt;="&amp;G$21,'Master Plan'!$AA$8:$AA$27,"&lt;"&amp;EDATE(G$21,1)))</f>
        <v/>
      </c>
      <c r="H26" s="198" t="str">
        <f aca="false">IF(AND($E11&gt;=H$21,$E11&lt;EDATE(H$21,1)),"◆ ","")&amp;IF(COUNTIFS('Master Plan'!$AA$8:$AA$27,"&gt;="&amp;H$21,'Master Plan'!$AA$8:$AA$27,"&lt;"&amp;EDATE(H$21,1))=0,"",COUNTIFS('Master Plan'!$AA$8:$AA$27,"&gt;="&amp;H$21,'Master Plan'!$AA$8:$AA$27,"&lt;"&amp;EDATE(H$21,1)))</f>
        <v/>
      </c>
      <c r="I26" s="198" t="str">
        <f aca="false">IF(AND($E11&gt;=I$21,$E11&lt;EDATE(I$21,1)),"◆ ","")&amp;IF(COUNTIFS('Master Plan'!$AA$8:$AA$27,"&gt;="&amp;I$21,'Master Plan'!$AA$8:$AA$27,"&lt;"&amp;EDATE(I$21,1))=0,"",COUNTIFS('Master Plan'!$AA$8:$AA$27,"&gt;="&amp;I$21,'Master Plan'!$AA$8:$AA$27,"&lt;"&amp;EDATE(I$21,1)))</f>
        <v/>
      </c>
      <c r="J26" s="198" t="str">
        <f aca="false">IF(AND($E11&gt;=J$21,$E11&lt;EDATE(J$21,1)),"◆ ","")&amp;IF(COUNTIFS('Master Plan'!$AA$8:$AA$27,"&gt;="&amp;J$21,'Master Plan'!$AA$8:$AA$27,"&lt;"&amp;EDATE(J$21,1))=0,"",COUNTIFS('Master Plan'!$AA$8:$AA$27,"&gt;="&amp;J$21,'Master Plan'!$AA$8:$AA$27,"&lt;"&amp;EDATE(J$21,1)))</f>
        <v/>
      </c>
      <c r="K26" s="198" t="str">
        <f aca="false">IF(AND($E11&gt;=K$21,$E11&lt;EDATE(K$21,1)),"◆ ","")&amp;IF(COUNTIFS('Master Plan'!$AA$8:$AA$27,"&gt;="&amp;K$21,'Master Plan'!$AA$8:$AA$27,"&lt;"&amp;EDATE(K$21,1))=0,"",COUNTIFS('Master Plan'!$AA$8:$AA$27,"&gt;="&amp;K$21,'Master Plan'!$AA$8:$AA$27,"&lt;"&amp;EDATE(K$21,1)))</f>
        <v/>
      </c>
      <c r="L26" s="198" t="str">
        <f aca="false">IF(AND($E11&gt;=L$21,$E11&lt;EDATE(L$21,1)),"◆ ","")&amp;IF(COUNTIFS('Master Plan'!$AA$8:$AA$27,"&gt;="&amp;L$21,'Master Plan'!$AA$8:$AA$27,"&lt;"&amp;EDATE(L$21,1))=0,"",COUNTIFS('Master Plan'!$AA$8:$AA$27,"&gt;="&amp;L$21,'Master Plan'!$AA$8:$AA$27,"&lt;"&amp;EDATE(L$21,1)))</f>
        <v/>
      </c>
      <c r="M26" s="198" t="str">
        <f aca="false">IF(AND($E11&gt;=M$21,$E11&lt;EDATE(M$21,1)),"◆ ","")&amp;IF(COUNTIFS('Master Plan'!$AA$8:$AA$27,"&gt;="&amp;M$21,'Master Plan'!$AA$8:$AA$27,"&lt;"&amp;EDATE(M$21,1))=0,"",COUNTIFS('Master Plan'!$AA$8:$AA$27,"&gt;="&amp;M$21,'Master Plan'!$AA$8:$AA$27,"&lt;"&amp;EDATE(M$21,1)))</f>
        <v/>
      </c>
      <c r="N26" s="198" t="str">
        <f aca="false">IF(AND($E11&gt;=N$21,$E11&lt;EDATE(N$21,1)),"◆ ","")&amp;IF(COUNTIFS('Master Plan'!$AA$8:$AA$27,"&gt;="&amp;N$21,'Master Plan'!$AA$8:$AA$27,"&lt;"&amp;EDATE(N$21,1))=0,"",COUNTIFS('Master Plan'!$AA$8:$AA$27,"&gt;="&amp;N$21,'Master Plan'!$AA$8:$AA$27,"&lt;"&amp;EDATE(N$21,1)))</f>
        <v/>
      </c>
      <c r="O26" s="198" t="str">
        <f aca="false">IF(AND($E11&gt;=O$21,$E11&lt;EDATE(O$21,1)),"◆ ","")&amp;IF(COUNTIFS('Master Plan'!$AA$8:$AA$27,"&gt;="&amp;O$21,'Master Plan'!$AA$8:$AA$27,"&lt;"&amp;EDATE(O$21,1))=0,"",COUNTIFS('Master Plan'!$AA$8:$AA$27,"&gt;="&amp;O$21,'Master Plan'!$AA$8:$AA$27,"&lt;"&amp;EDATE(O$21,1)))</f>
        <v/>
      </c>
      <c r="P26" s="198" t="str">
        <f aca="false">IF(AND($E11&gt;=P$21,$E11&lt;EDATE(P$21,1)),"◆ ","")&amp;IF(COUNTIFS('Master Plan'!$AA$8:$AA$27,"&gt;="&amp;P$21,'Master Plan'!$AA$8:$AA$27,"&lt;"&amp;EDATE(P$21,1))=0,"",COUNTIFS('Master Plan'!$AA$8:$AA$27,"&gt;="&amp;P$21,'Master Plan'!$AA$8:$AA$27,"&lt;"&amp;EDATE(P$21,1)))</f>
        <v/>
      </c>
    </row>
    <row r="27" customFormat="false" ht="15" hidden="false" customHeight="false" outlineLevel="0" collapsed="false">
      <c r="A27" s="31" t="s">
        <v>1495</v>
      </c>
      <c r="B27" s="198" t="str">
        <f aca="false">IF(AND($E12&gt;=B$21,$E12&lt;EDATE(B$21,1)),"◆ ","")&amp;IF(COUNTIFS('Master Plan'!$AB$8:$AB$27,"&gt;="&amp;B$21,'Master Plan'!$AB$8:$AB$27,"&lt;"&amp;EDATE(B$21,1))=0,"",COUNTIFS('Master Plan'!$AB$8:$AB$27,"&gt;="&amp;B$21,'Master Plan'!$AB$8:$AB$27,"&lt;"&amp;EDATE(B$21,1)))</f>
        <v/>
      </c>
      <c r="C27" s="198" t="str">
        <f aca="false">IF(AND($E12&gt;=C$21,$E12&lt;EDATE(C$21,1)),"◆ ","")&amp;IF(COUNTIFS('Master Plan'!$AB$8:$AB$27,"&gt;="&amp;C$21,'Master Plan'!$AB$8:$AB$27,"&lt;"&amp;EDATE(C$21,1))=0,"",COUNTIFS('Master Plan'!$AB$8:$AB$27,"&gt;="&amp;C$21,'Master Plan'!$AB$8:$AB$27,"&lt;"&amp;EDATE(C$21,1)))</f>
        <v/>
      </c>
      <c r="D27" s="198" t="str">
        <f aca="false">IF(AND($E12&gt;=D$21,$E12&lt;EDATE(D$21,1)),"◆ ","")&amp;IF(COUNTIFS('Master Plan'!$AB$8:$AB$27,"&gt;="&amp;D$21,'Master Plan'!$AB$8:$AB$27,"&lt;"&amp;EDATE(D$21,1))=0,"",COUNTIFS('Master Plan'!$AB$8:$AB$27,"&gt;="&amp;D$21,'Master Plan'!$AB$8:$AB$27,"&lt;"&amp;EDATE(D$21,1)))</f>
        <v>◆ 20</v>
      </c>
      <c r="E27" s="198" t="str">
        <f aca="false">IF(AND($E12&gt;=E$21,$E12&lt;EDATE(E$21,1)),"◆ ","")&amp;IF(COUNTIFS('Master Plan'!$AB$8:$AB$27,"&gt;="&amp;E$21,'Master Plan'!$AB$8:$AB$27,"&lt;"&amp;EDATE(E$21,1))=0,"",COUNTIFS('Master Plan'!$AB$8:$AB$27,"&gt;="&amp;E$21,'Master Plan'!$AB$8:$AB$27,"&lt;"&amp;EDATE(E$21,1)))</f>
        <v/>
      </c>
      <c r="F27" s="198" t="str">
        <f aca="false">IF(AND($E12&gt;=F$21,$E12&lt;EDATE(F$21,1)),"◆ ","")&amp;IF(COUNTIFS('Master Plan'!$AB$8:$AB$27,"&gt;="&amp;F$21,'Master Plan'!$AB$8:$AB$27,"&lt;"&amp;EDATE(F$21,1))=0,"",COUNTIFS('Master Plan'!$AB$8:$AB$27,"&gt;="&amp;F$21,'Master Plan'!$AB$8:$AB$27,"&lt;"&amp;EDATE(F$21,1)))</f>
        <v/>
      </c>
      <c r="G27" s="198" t="str">
        <f aca="false">IF(AND($E12&gt;=G$21,$E12&lt;EDATE(G$21,1)),"◆ ","")&amp;IF(COUNTIFS('Master Plan'!$AB$8:$AB$27,"&gt;="&amp;G$21,'Master Plan'!$AB$8:$AB$27,"&lt;"&amp;EDATE(G$21,1))=0,"",COUNTIFS('Master Plan'!$AB$8:$AB$27,"&gt;="&amp;G$21,'Master Plan'!$AB$8:$AB$27,"&lt;"&amp;EDATE(G$21,1)))</f>
        <v/>
      </c>
      <c r="H27" s="198" t="str">
        <f aca="false">IF(AND($E12&gt;=H$21,$E12&lt;EDATE(H$21,1)),"◆ ","")&amp;IF(COUNTIFS('Master Plan'!$AB$8:$AB$27,"&gt;="&amp;H$21,'Master Plan'!$AB$8:$AB$27,"&lt;"&amp;EDATE(H$21,1))=0,"",COUNTIFS('Master Plan'!$AB$8:$AB$27,"&gt;="&amp;H$21,'Master Plan'!$AB$8:$AB$27,"&lt;"&amp;EDATE(H$21,1)))</f>
        <v/>
      </c>
      <c r="I27" s="198" t="str">
        <f aca="false">IF(AND($E12&gt;=I$21,$E12&lt;EDATE(I$21,1)),"◆ ","")&amp;IF(COUNTIFS('Master Plan'!$AB$8:$AB$27,"&gt;="&amp;I$21,'Master Plan'!$AB$8:$AB$27,"&lt;"&amp;EDATE(I$21,1))=0,"",COUNTIFS('Master Plan'!$AB$8:$AB$27,"&gt;="&amp;I$21,'Master Plan'!$AB$8:$AB$27,"&lt;"&amp;EDATE(I$21,1)))</f>
        <v/>
      </c>
      <c r="J27" s="198" t="str">
        <f aca="false">IF(AND($E12&gt;=J$21,$E12&lt;EDATE(J$21,1)),"◆ ","")&amp;IF(COUNTIFS('Master Plan'!$AB$8:$AB$27,"&gt;="&amp;J$21,'Master Plan'!$AB$8:$AB$27,"&lt;"&amp;EDATE(J$21,1))=0,"",COUNTIFS('Master Plan'!$AB$8:$AB$27,"&gt;="&amp;J$21,'Master Plan'!$AB$8:$AB$27,"&lt;"&amp;EDATE(J$21,1)))</f>
        <v/>
      </c>
      <c r="K27" s="198" t="str">
        <f aca="false">IF(AND($E12&gt;=K$21,$E12&lt;EDATE(K$21,1)),"◆ ","")&amp;IF(COUNTIFS('Master Plan'!$AB$8:$AB$27,"&gt;="&amp;K$21,'Master Plan'!$AB$8:$AB$27,"&lt;"&amp;EDATE(K$21,1))=0,"",COUNTIFS('Master Plan'!$AB$8:$AB$27,"&gt;="&amp;K$21,'Master Plan'!$AB$8:$AB$27,"&lt;"&amp;EDATE(K$21,1)))</f>
        <v/>
      </c>
      <c r="L27" s="198" t="str">
        <f aca="false">IF(AND($E12&gt;=L$21,$E12&lt;EDATE(L$21,1)),"◆ ","")&amp;IF(COUNTIFS('Master Plan'!$AB$8:$AB$27,"&gt;="&amp;L$21,'Master Plan'!$AB$8:$AB$27,"&lt;"&amp;EDATE(L$21,1))=0,"",COUNTIFS('Master Plan'!$AB$8:$AB$27,"&gt;="&amp;L$21,'Master Plan'!$AB$8:$AB$27,"&lt;"&amp;EDATE(L$21,1)))</f>
        <v/>
      </c>
      <c r="M27" s="198" t="str">
        <f aca="false">IF(AND($E12&gt;=M$21,$E12&lt;EDATE(M$21,1)),"◆ ","")&amp;IF(COUNTIFS('Master Plan'!$AB$8:$AB$27,"&gt;="&amp;M$21,'Master Plan'!$AB$8:$AB$27,"&lt;"&amp;EDATE(M$21,1))=0,"",COUNTIFS('Master Plan'!$AB$8:$AB$27,"&gt;="&amp;M$21,'Master Plan'!$AB$8:$AB$27,"&lt;"&amp;EDATE(M$21,1)))</f>
        <v/>
      </c>
      <c r="N27" s="198" t="str">
        <f aca="false">IF(AND($E12&gt;=N$21,$E12&lt;EDATE(N$21,1)),"◆ ","")&amp;IF(COUNTIFS('Master Plan'!$AB$8:$AB$27,"&gt;="&amp;N$21,'Master Plan'!$AB$8:$AB$27,"&lt;"&amp;EDATE(N$21,1))=0,"",COUNTIFS('Master Plan'!$AB$8:$AB$27,"&gt;="&amp;N$21,'Master Plan'!$AB$8:$AB$27,"&lt;"&amp;EDATE(N$21,1)))</f>
        <v/>
      </c>
      <c r="O27" s="198" t="str">
        <f aca="false">IF(AND($E12&gt;=O$21,$E12&lt;EDATE(O$21,1)),"◆ ","")&amp;IF(COUNTIFS('Master Plan'!$AB$8:$AB$27,"&gt;="&amp;O$21,'Master Plan'!$AB$8:$AB$27,"&lt;"&amp;EDATE(O$21,1))=0,"",COUNTIFS('Master Plan'!$AB$8:$AB$27,"&gt;="&amp;O$21,'Master Plan'!$AB$8:$AB$27,"&lt;"&amp;EDATE(O$21,1)))</f>
        <v/>
      </c>
      <c r="P27" s="198" t="str">
        <f aca="false">IF(AND($E12&gt;=P$21,$E12&lt;EDATE(P$21,1)),"◆ ","")&amp;IF(COUNTIFS('Master Plan'!$AB$8:$AB$27,"&gt;="&amp;P$21,'Master Plan'!$AB$8:$AB$27,"&lt;"&amp;EDATE(P$21,1))=0,"",COUNTIFS('Master Plan'!$AB$8:$AB$27,"&gt;="&amp;P$21,'Master Plan'!$AB$8:$AB$27,"&lt;"&amp;EDATE(P$21,1)))</f>
        <v/>
      </c>
    </row>
    <row r="28" customFormat="false" ht="15" hidden="false" customHeight="false" outlineLevel="0" collapsed="false">
      <c r="A28" s="31" t="s">
        <v>1514</v>
      </c>
      <c r="B28" s="198" t="str">
        <f aca="false">IF(AND($E13&gt;=B$21,$E13&lt;EDATE(B$21,1)),"◆ ","")&amp;IF(COUNTIFS('Master Plan'!$AD$8:$AD$27,"&gt;="&amp;B$21,'Master Plan'!$AD$8:$AD$27,"&lt;"&amp;EDATE(B$21,1))=0,"",COUNTIFS('Master Plan'!$AD$8:$AD$27,"&gt;="&amp;B$21,'Master Plan'!$AD$8:$AD$27,"&lt;"&amp;EDATE(B$21,1)))</f>
        <v/>
      </c>
      <c r="C28" s="198" t="str">
        <f aca="false">IF(AND($E13&gt;=C$21,$E13&lt;EDATE(C$21,1)),"◆ ","")&amp;IF(COUNTIFS('Master Plan'!$AD$8:$AD$27,"&gt;="&amp;C$21,'Master Plan'!$AD$8:$AD$27,"&lt;"&amp;EDATE(C$21,1))=0,"",COUNTIFS('Master Plan'!$AD$8:$AD$27,"&gt;="&amp;C$21,'Master Plan'!$AD$8:$AD$27,"&lt;"&amp;EDATE(C$21,1)))</f>
        <v/>
      </c>
      <c r="D28" s="198" t="str">
        <f aca="false">IF(AND($E13&gt;=D$21,$E13&lt;EDATE(D$21,1)),"◆ ","")&amp;IF(COUNTIFS('Master Plan'!$AD$8:$AD$27,"&gt;="&amp;D$21,'Master Plan'!$AD$8:$AD$27,"&lt;"&amp;EDATE(D$21,1))=0,"",COUNTIFS('Master Plan'!$AD$8:$AD$27,"&gt;="&amp;D$21,'Master Plan'!$AD$8:$AD$27,"&lt;"&amp;EDATE(D$21,1)))</f>
        <v>◆ 20</v>
      </c>
      <c r="E28" s="198" t="str">
        <f aca="false">IF(AND($E13&gt;=E$21,$E13&lt;EDATE(E$21,1)),"◆ ","")&amp;IF(COUNTIFS('Master Plan'!$AD$8:$AD$27,"&gt;="&amp;E$21,'Master Plan'!$AD$8:$AD$27,"&lt;"&amp;EDATE(E$21,1))=0,"",COUNTIFS('Master Plan'!$AD$8:$AD$27,"&gt;="&amp;E$21,'Master Plan'!$AD$8:$AD$27,"&lt;"&amp;EDATE(E$21,1)))</f>
        <v/>
      </c>
      <c r="F28" s="198" t="str">
        <f aca="false">IF(AND($E13&gt;=F$21,$E13&lt;EDATE(F$21,1)),"◆ ","")&amp;IF(COUNTIFS('Master Plan'!$AD$8:$AD$27,"&gt;="&amp;F$21,'Master Plan'!$AD$8:$AD$27,"&lt;"&amp;EDATE(F$21,1))=0,"",COUNTIFS('Master Plan'!$AD$8:$AD$27,"&gt;="&amp;F$21,'Master Plan'!$AD$8:$AD$27,"&lt;"&amp;EDATE(F$21,1)))</f>
        <v/>
      </c>
      <c r="G28" s="198" t="str">
        <f aca="false">IF(AND($E13&gt;=G$21,$E13&lt;EDATE(G$21,1)),"◆ ","")&amp;IF(COUNTIFS('Master Plan'!$AD$8:$AD$27,"&gt;="&amp;G$21,'Master Plan'!$AD$8:$AD$27,"&lt;"&amp;EDATE(G$21,1))=0,"",COUNTIFS('Master Plan'!$AD$8:$AD$27,"&gt;="&amp;G$21,'Master Plan'!$AD$8:$AD$27,"&lt;"&amp;EDATE(G$21,1)))</f>
        <v/>
      </c>
      <c r="H28" s="198" t="str">
        <f aca="false">IF(AND($E13&gt;=H$21,$E13&lt;EDATE(H$21,1)),"◆ ","")&amp;IF(COUNTIFS('Master Plan'!$AD$8:$AD$27,"&gt;="&amp;H$21,'Master Plan'!$AD$8:$AD$27,"&lt;"&amp;EDATE(H$21,1))=0,"",COUNTIFS('Master Plan'!$AD$8:$AD$27,"&gt;="&amp;H$21,'Master Plan'!$AD$8:$AD$27,"&lt;"&amp;EDATE(H$21,1)))</f>
        <v/>
      </c>
      <c r="I28" s="198" t="str">
        <f aca="false">IF(AND($E13&gt;=I$21,$E13&lt;EDATE(I$21,1)),"◆ ","")&amp;IF(COUNTIFS('Master Plan'!$AD$8:$AD$27,"&gt;="&amp;I$21,'Master Plan'!$AD$8:$AD$27,"&lt;"&amp;EDATE(I$21,1))=0,"",COUNTIFS('Master Plan'!$AD$8:$AD$27,"&gt;="&amp;I$21,'Master Plan'!$AD$8:$AD$27,"&lt;"&amp;EDATE(I$21,1)))</f>
        <v/>
      </c>
      <c r="J28" s="198" t="str">
        <f aca="false">IF(AND($E13&gt;=J$21,$E13&lt;EDATE(J$21,1)),"◆ ","")&amp;IF(COUNTIFS('Master Plan'!$AD$8:$AD$27,"&gt;="&amp;J$21,'Master Plan'!$AD$8:$AD$27,"&lt;"&amp;EDATE(J$21,1))=0,"",COUNTIFS('Master Plan'!$AD$8:$AD$27,"&gt;="&amp;J$21,'Master Plan'!$AD$8:$AD$27,"&lt;"&amp;EDATE(J$21,1)))</f>
        <v/>
      </c>
      <c r="K28" s="198" t="str">
        <f aca="false">IF(AND($E13&gt;=K$21,$E13&lt;EDATE(K$21,1)),"◆ ","")&amp;IF(COUNTIFS('Master Plan'!$AD$8:$AD$27,"&gt;="&amp;K$21,'Master Plan'!$AD$8:$AD$27,"&lt;"&amp;EDATE(K$21,1))=0,"",COUNTIFS('Master Plan'!$AD$8:$AD$27,"&gt;="&amp;K$21,'Master Plan'!$AD$8:$AD$27,"&lt;"&amp;EDATE(K$21,1)))</f>
        <v/>
      </c>
      <c r="L28" s="198" t="str">
        <f aca="false">IF(AND($E13&gt;=L$21,$E13&lt;EDATE(L$21,1)),"◆ ","")&amp;IF(COUNTIFS('Master Plan'!$AD$8:$AD$27,"&gt;="&amp;L$21,'Master Plan'!$AD$8:$AD$27,"&lt;"&amp;EDATE(L$21,1))=0,"",COUNTIFS('Master Plan'!$AD$8:$AD$27,"&gt;="&amp;L$21,'Master Plan'!$AD$8:$AD$27,"&lt;"&amp;EDATE(L$21,1)))</f>
        <v/>
      </c>
      <c r="M28" s="198" t="str">
        <f aca="false">IF(AND($E13&gt;=M$21,$E13&lt;EDATE(M$21,1)),"◆ ","")&amp;IF(COUNTIFS('Master Plan'!$AD$8:$AD$27,"&gt;="&amp;M$21,'Master Plan'!$AD$8:$AD$27,"&lt;"&amp;EDATE(M$21,1))=0,"",COUNTIFS('Master Plan'!$AD$8:$AD$27,"&gt;="&amp;M$21,'Master Plan'!$AD$8:$AD$27,"&lt;"&amp;EDATE(M$21,1)))</f>
        <v/>
      </c>
      <c r="N28" s="198" t="str">
        <f aca="false">IF(AND($E13&gt;=N$21,$E13&lt;EDATE(N$21,1)),"◆ ","")&amp;IF(COUNTIFS('Master Plan'!$AD$8:$AD$27,"&gt;="&amp;N$21,'Master Plan'!$AD$8:$AD$27,"&lt;"&amp;EDATE(N$21,1))=0,"",COUNTIFS('Master Plan'!$AD$8:$AD$27,"&gt;="&amp;N$21,'Master Plan'!$AD$8:$AD$27,"&lt;"&amp;EDATE(N$21,1)))</f>
        <v/>
      </c>
      <c r="O28" s="198" t="str">
        <f aca="false">IF(AND($E13&gt;=O$21,$E13&lt;EDATE(O$21,1)),"◆ ","")&amp;IF(COUNTIFS('Master Plan'!$AD$8:$AD$27,"&gt;="&amp;O$21,'Master Plan'!$AD$8:$AD$27,"&lt;"&amp;EDATE(O$21,1))=0,"",COUNTIFS('Master Plan'!$AD$8:$AD$27,"&gt;="&amp;O$21,'Master Plan'!$AD$8:$AD$27,"&lt;"&amp;EDATE(O$21,1)))</f>
        <v/>
      </c>
      <c r="P28" s="198" t="str">
        <f aca="false">IF(AND($E13&gt;=P$21,$E13&lt;EDATE(P$21,1)),"◆ ","")&amp;IF(COUNTIFS('Master Plan'!$AD$8:$AD$27,"&gt;="&amp;P$21,'Master Plan'!$AD$8:$AD$27,"&lt;"&amp;EDATE(P$21,1))=0,"",COUNTIFS('Master Plan'!$AD$8:$AD$27,"&gt;="&amp;P$21,'Master Plan'!$AD$8:$AD$27,"&lt;"&amp;EDATE(P$21,1)))</f>
        <v/>
      </c>
    </row>
    <row r="29" customFormat="false" ht="15" hidden="false" customHeight="false" outlineLevel="0" collapsed="false">
      <c r="A29" s="31" t="s">
        <v>1515</v>
      </c>
      <c r="B29" s="198" t="str">
        <f aca="false">IF(AND($E14&gt;=B$21,$E14&lt;EDATE(B$21,1)),"◆ ","")&amp;IF(COUNTIFS('Master Plan'!$AE$8:$AE$27,"&gt;="&amp;B$21,'Master Plan'!$AE$8:$AE$27,"&lt;"&amp;EDATE(B$21,1))=0,"",COUNTIFS('Master Plan'!$AE$8:$AE$27,"&gt;="&amp;B$21,'Master Plan'!$AE$8:$AE$27,"&lt;"&amp;EDATE(B$21,1)))</f>
        <v/>
      </c>
      <c r="C29" s="198" t="str">
        <f aca="false">IF(AND($E14&gt;=C$21,$E14&lt;EDATE(C$21,1)),"◆ ","")&amp;IF(COUNTIFS('Master Plan'!$AE$8:$AE$27,"&gt;="&amp;C$21,'Master Plan'!$AE$8:$AE$27,"&lt;"&amp;EDATE(C$21,1))=0,"",COUNTIFS('Master Plan'!$AE$8:$AE$27,"&gt;="&amp;C$21,'Master Plan'!$AE$8:$AE$27,"&lt;"&amp;EDATE(C$21,1)))</f>
        <v/>
      </c>
      <c r="D29" s="198" t="str">
        <f aca="false">IF(AND($E14&gt;=D$21,$E14&lt;EDATE(D$21,1)),"◆ ","")&amp;IF(COUNTIFS('Master Plan'!$AE$8:$AE$27,"&gt;="&amp;D$21,'Master Plan'!$AE$8:$AE$27,"&lt;"&amp;EDATE(D$21,1))=0,"",COUNTIFS('Master Plan'!$AE$8:$AE$27,"&gt;="&amp;D$21,'Master Plan'!$AE$8:$AE$27,"&lt;"&amp;EDATE(D$21,1)))</f>
        <v>◆ 20</v>
      </c>
      <c r="E29" s="198" t="str">
        <f aca="false">IF(AND($E14&gt;=E$21,$E14&lt;EDATE(E$21,1)),"◆ ","")&amp;IF(COUNTIFS('Master Plan'!$AE$8:$AE$27,"&gt;="&amp;E$21,'Master Plan'!$AE$8:$AE$27,"&lt;"&amp;EDATE(E$21,1))=0,"",COUNTIFS('Master Plan'!$AE$8:$AE$27,"&gt;="&amp;E$21,'Master Plan'!$AE$8:$AE$27,"&lt;"&amp;EDATE(E$21,1)))</f>
        <v/>
      </c>
      <c r="F29" s="198" t="str">
        <f aca="false">IF(AND($E14&gt;=F$21,$E14&lt;EDATE(F$21,1)),"◆ ","")&amp;IF(COUNTIFS('Master Plan'!$AE$8:$AE$27,"&gt;="&amp;F$21,'Master Plan'!$AE$8:$AE$27,"&lt;"&amp;EDATE(F$21,1))=0,"",COUNTIFS('Master Plan'!$AE$8:$AE$27,"&gt;="&amp;F$21,'Master Plan'!$AE$8:$AE$27,"&lt;"&amp;EDATE(F$21,1)))</f>
        <v/>
      </c>
      <c r="G29" s="198" t="str">
        <f aca="false">IF(AND($E14&gt;=G$21,$E14&lt;EDATE(G$21,1)),"◆ ","")&amp;IF(COUNTIFS('Master Plan'!$AE$8:$AE$27,"&gt;="&amp;G$21,'Master Plan'!$AE$8:$AE$27,"&lt;"&amp;EDATE(G$21,1))=0,"",COUNTIFS('Master Plan'!$AE$8:$AE$27,"&gt;="&amp;G$21,'Master Plan'!$AE$8:$AE$27,"&lt;"&amp;EDATE(G$21,1)))</f>
        <v/>
      </c>
      <c r="H29" s="198" t="str">
        <f aca="false">IF(AND($E14&gt;=H$21,$E14&lt;EDATE(H$21,1)),"◆ ","")&amp;IF(COUNTIFS('Master Plan'!$AE$8:$AE$27,"&gt;="&amp;H$21,'Master Plan'!$AE$8:$AE$27,"&lt;"&amp;EDATE(H$21,1))=0,"",COUNTIFS('Master Plan'!$AE$8:$AE$27,"&gt;="&amp;H$21,'Master Plan'!$AE$8:$AE$27,"&lt;"&amp;EDATE(H$21,1)))</f>
        <v/>
      </c>
      <c r="I29" s="198" t="str">
        <f aca="false">IF(AND($E14&gt;=I$21,$E14&lt;EDATE(I$21,1)),"◆ ","")&amp;IF(COUNTIFS('Master Plan'!$AE$8:$AE$27,"&gt;="&amp;I$21,'Master Plan'!$AE$8:$AE$27,"&lt;"&amp;EDATE(I$21,1))=0,"",COUNTIFS('Master Plan'!$AE$8:$AE$27,"&gt;="&amp;I$21,'Master Plan'!$AE$8:$AE$27,"&lt;"&amp;EDATE(I$21,1)))</f>
        <v/>
      </c>
      <c r="J29" s="198" t="str">
        <f aca="false">IF(AND($E14&gt;=J$21,$E14&lt;EDATE(J$21,1)),"◆ ","")&amp;IF(COUNTIFS('Master Plan'!$AE$8:$AE$27,"&gt;="&amp;J$21,'Master Plan'!$AE$8:$AE$27,"&lt;"&amp;EDATE(J$21,1))=0,"",COUNTIFS('Master Plan'!$AE$8:$AE$27,"&gt;="&amp;J$21,'Master Plan'!$AE$8:$AE$27,"&lt;"&amp;EDATE(J$21,1)))</f>
        <v/>
      </c>
      <c r="K29" s="198" t="str">
        <f aca="false">IF(AND($E14&gt;=K$21,$E14&lt;EDATE(K$21,1)),"◆ ","")&amp;IF(COUNTIFS('Master Plan'!$AE$8:$AE$27,"&gt;="&amp;K$21,'Master Plan'!$AE$8:$AE$27,"&lt;"&amp;EDATE(K$21,1))=0,"",COUNTIFS('Master Plan'!$AE$8:$AE$27,"&gt;="&amp;K$21,'Master Plan'!$AE$8:$AE$27,"&lt;"&amp;EDATE(K$21,1)))</f>
        <v/>
      </c>
      <c r="L29" s="198" t="str">
        <f aca="false">IF(AND($E14&gt;=L$21,$E14&lt;EDATE(L$21,1)),"◆ ","")&amp;IF(COUNTIFS('Master Plan'!$AE$8:$AE$27,"&gt;="&amp;L$21,'Master Plan'!$AE$8:$AE$27,"&lt;"&amp;EDATE(L$21,1))=0,"",COUNTIFS('Master Plan'!$AE$8:$AE$27,"&gt;="&amp;L$21,'Master Plan'!$AE$8:$AE$27,"&lt;"&amp;EDATE(L$21,1)))</f>
        <v/>
      </c>
      <c r="M29" s="198" t="str">
        <f aca="false">IF(AND($E14&gt;=M$21,$E14&lt;EDATE(M$21,1)),"◆ ","")&amp;IF(COUNTIFS('Master Plan'!$AE$8:$AE$27,"&gt;="&amp;M$21,'Master Plan'!$AE$8:$AE$27,"&lt;"&amp;EDATE(M$21,1))=0,"",COUNTIFS('Master Plan'!$AE$8:$AE$27,"&gt;="&amp;M$21,'Master Plan'!$AE$8:$AE$27,"&lt;"&amp;EDATE(M$21,1)))</f>
        <v/>
      </c>
      <c r="N29" s="198" t="str">
        <f aca="false">IF(AND($E14&gt;=N$21,$E14&lt;EDATE(N$21,1)),"◆ ","")&amp;IF(COUNTIFS('Master Plan'!$AE$8:$AE$27,"&gt;="&amp;N$21,'Master Plan'!$AE$8:$AE$27,"&lt;"&amp;EDATE(N$21,1))=0,"",COUNTIFS('Master Plan'!$AE$8:$AE$27,"&gt;="&amp;N$21,'Master Plan'!$AE$8:$AE$27,"&lt;"&amp;EDATE(N$21,1)))</f>
        <v/>
      </c>
      <c r="O29" s="198" t="str">
        <f aca="false">IF(AND($E14&gt;=O$21,$E14&lt;EDATE(O$21,1)),"◆ ","")&amp;IF(COUNTIFS('Master Plan'!$AE$8:$AE$27,"&gt;="&amp;O$21,'Master Plan'!$AE$8:$AE$27,"&lt;"&amp;EDATE(O$21,1))=0,"",COUNTIFS('Master Plan'!$AE$8:$AE$27,"&gt;="&amp;O$21,'Master Plan'!$AE$8:$AE$27,"&lt;"&amp;EDATE(O$21,1)))</f>
        <v/>
      </c>
      <c r="P29" s="198" t="str">
        <f aca="false">IF(AND($E14&gt;=P$21,$E14&lt;EDATE(P$21,1)),"◆ ","")&amp;IF(COUNTIFS('Master Plan'!$AE$8:$AE$27,"&gt;="&amp;P$21,'Master Plan'!$AE$8:$AE$27,"&lt;"&amp;EDATE(P$21,1))=0,"",COUNTIFS('Master Plan'!$AE$8:$AE$27,"&gt;="&amp;P$21,'Master Plan'!$AE$8:$AE$27,"&lt;"&amp;EDATE(P$21,1)))</f>
        <v/>
      </c>
    </row>
    <row r="30" customFormat="false" ht="15" hidden="false" customHeight="false" outlineLevel="0" collapsed="false">
      <c r="A30" s="31" t="s">
        <v>1503</v>
      </c>
      <c r="B30" s="198" t="str">
        <f aca="false">IF(AND($E15&gt;=B$21,$E15&lt;EDATE(B$21,1)),"◆ ","")&amp;IF(COUNTIFS('Master Plan'!$AF$8:$AF$27,"&gt;="&amp;B$21,'Master Plan'!$AF$8:$AF$27,"&lt;"&amp;EDATE(B$21,1))=0,"",COUNTIFS('Master Plan'!$AF$8:$AF$27,"&gt;="&amp;B$21,'Master Plan'!$AF$8:$AF$27,"&lt;"&amp;EDATE(B$21,1)))</f>
        <v/>
      </c>
      <c r="C30" s="198" t="str">
        <f aca="false">IF(AND($E15&gt;=C$21,$E15&lt;EDATE(C$21,1)),"◆ ","")&amp;IF(COUNTIFS('Master Plan'!$AF$8:$AF$27,"&gt;="&amp;C$21,'Master Plan'!$AF$8:$AF$27,"&lt;"&amp;EDATE(C$21,1))=0,"",COUNTIFS('Master Plan'!$AF$8:$AF$27,"&gt;="&amp;C$21,'Master Plan'!$AF$8:$AF$27,"&lt;"&amp;EDATE(C$21,1)))</f>
        <v/>
      </c>
      <c r="D30" s="198" t="str">
        <f aca="false">IF(AND($E15&gt;=D$21,$E15&lt;EDATE(D$21,1)),"◆ ","")&amp;IF(COUNTIFS('Master Plan'!$AF$8:$AF$27,"&gt;="&amp;D$21,'Master Plan'!$AF$8:$AF$27,"&lt;"&amp;EDATE(D$21,1))=0,"",COUNTIFS('Master Plan'!$AF$8:$AF$27,"&gt;="&amp;D$21,'Master Plan'!$AF$8:$AF$27,"&lt;"&amp;EDATE(D$21,1)))</f>
        <v/>
      </c>
      <c r="E30" s="198" t="str">
        <f aca="false">IF(AND($E15&gt;=E$21,$E15&lt;EDATE(E$21,1)),"◆ ","")&amp;IF(COUNTIFS('Master Plan'!$AF$8:$AF$27,"&gt;="&amp;E$21,'Master Plan'!$AF$8:$AF$27,"&lt;"&amp;EDATE(E$21,1))=0,"",COUNTIFS('Master Plan'!$AF$8:$AF$27,"&gt;="&amp;E$21,'Master Plan'!$AF$8:$AF$27,"&lt;"&amp;EDATE(E$21,1)))</f>
        <v>◆ 20</v>
      </c>
      <c r="F30" s="198" t="str">
        <f aca="false">IF(AND($E15&gt;=F$21,$E15&lt;EDATE(F$21,1)),"◆ ","")&amp;IF(COUNTIFS('Master Plan'!$AF$8:$AF$27,"&gt;="&amp;F$21,'Master Plan'!$AF$8:$AF$27,"&lt;"&amp;EDATE(F$21,1))=0,"",COUNTIFS('Master Plan'!$AF$8:$AF$27,"&gt;="&amp;F$21,'Master Plan'!$AF$8:$AF$27,"&lt;"&amp;EDATE(F$21,1)))</f>
        <v/>
      </c>
      <c r="G30" s="198" t="str">
        <f aca="false">IF(AND($E15&gt;=G$21,$E15&lt;EDATE(G$21,1)),"◆ ","")&amp;IF(COUNTIFS('Master Plan'!$AF$8:$AF$27,"&gt;="&amp;G$21,'Master Plan'!$AF$8:$AF$27,"&lt;"&amp;EDATE(G$21,1))=0,"",COUNTIFS('Master Plan'!$AF$8:$AF$27,"&gt;="&amp;G$21,'Master Plan'!$AF$8:$AF$27,"&lt;"&amp;EDATE(G$21,1)))</f>
        <v/>
      </c>
      <c r="H30" s="198" t="str">
        <f aca="false">IF(AND($E15&gt;=H$21,$E15&lt;EDATE(H$21,1)),"◆ ","")&amp;IF(COUNTIFS('Master Plan'!$AF$8:$AF$27,"&gt;="&amp;H$21,'Master Plan'!$AF$8:$AF$27,"&lt;"&amp;EDATE(H$21,1))=0,"",COUNTIFS('Master Plan'!$AF$8:$AF$27,"&gt;="&amp;H$21,'Master Plan'!$AF$8:$AF$27,"&lt;"&amp;EDATE(H$21,1)))</f>
        <v/>
      </c>
      <c r="I30" s="198" t="str">
        <f aca="false">IF(AND($E15&gt;=I$21,$E15&lt;EDATE(I$21,1)),"◆ ","")&amp;IF(COUNTIFS('Master Plan'!$AF$8:$AF$27,"&gt;="&amp;I$21,'Master Plan'!$AF$8:$AF$27,"&lt;"&amp;EDATE(I$21,1))=0,"",COUNTIFS('Master Plan'!$AF$8:$AF$27,"&gt;="&amp;I$21,'Master Plan'!$AF$8:$AF$27,"&lt;"&amp;EDATE(I$21,1)))</f>
        <v/>
      </c>
      <c r="J30" s="198" t="str">
        <f aca="false">IF(AND($E15&gt;=J$21,$E15&lt;EDATE(J$21,1)),"◆ ","")&amp;IF(COUNTIFS('Master Plan'!$AF$8:$AF$27,"&gt;="&amp;J$21,'Master Plan'!$AF$8:$AF$27,"&lt;"&amp;EDATE(J$21,1))=0,"",COUNTIFS('Master Plan'!$AF$8:$AF$27,"&gt;="&amp;J$21,'Master Plan'!$AF$8:$AF$27,"&lt;"&amp;EDATE(J$21,1)))</f>
        <v/>
      </c>
      <c r="K30" s="198" t="str">
        <f aca="false">IF(AND($E15&gt;=K$21,$E15&lt;EDATE(K$21,1)),"◆ ","")&amp;IF(COUNTIFS('Master Plan'!$AF$8:$AF$27,"&gt;="&amp;K$21,'Master Plan'!$AF$8:$AF$27,"&lt;"&amp;EDATE(K$21,1))=0,"",COUNTIFS('Master Plan'!$AF$8:$AF$27,"&gt;="&amp;K$21,'Master Plan'!$AF$8:$AF$27,"&lt;"&amp;EDATE(K$21,1)))</f>
        <v/>
      </c>
      <c r="L30" s="198" t="str">
        <f aca="false">IF(AND($E15&gt;=L$21,$E15&lt;EDATE(L$21,1)),"◆ ","")&amp;IF(COUNTIFS('Master Plan'!$AF$8:$AF$27,"&gt;="&amp;L$21,'Master Plan'!$AF$8:$AF$27,"&lt;"&amp;EDATE(L$21,1))=0,"",COUNTIFS('Master Plan'!$AF$8:$AF$27,"&gt;="&amp;L$21,'Master Plan'!$AF$8:$AF$27,"&lt;"&amp;EDATE(L$21,1)))</f>
        <v/>
      </c>
      <c r="M30" s="198" t="str">
        <f aca="false">IF(AND($E15&gt;=M$21,$E15&lt;EDATE(M$21,1)),"◆ ","")&amp;IF(COUNTIFS('Master Plan'!$AF$8:$AF$27,"&gt;="&amp;M$21,'Master Plan'!$AF$8:$AF$27,"&lt;"&amp;EDATE(M$21,1))=0,"",COUNTIFS('Master Plan'!$AF$8:$AF$27,"&gt;="&amp;M$21,'Master Plan'!$AF$8:$AF$27,"&lt;"&amp;EDATE(M$21,1)))</f>
        <v/>
      </c>
      <c r="N30" s="198" t="str">
        <f aca="false">IF(AND($E15&gt;=N$21,$E15&lt;EDATE(N$21,1)),"◆ ","")&amp;IF(COUNTIFS('Master Plan'!$AF$8:$AF$27,"&gt;="&amp;N$21,'Master Plan'!$AF$8:$AF$27,"&lt;"&amp;EDATE(N$21,1))=0,"",COUNTIFS('Master Plan'!$AF$8:$AF$27,"&gt;="&amp;N$21,'Master Plan'!$AF$8:$AF$27,"&lt;"&amp;EDATE(N$21,1)))</f>
        <v/>
      </c>
      <c r="O30" s="198" t="str">
        <f aca="false">IF(AND($E15&gt;=O$21,$E15&lt;EDATE(O$21,1)),"◆ ","")&amp;IF(COUNTIFS('Master Plan'!$AF$8:$AF$27,"&gt;="&amp;O$21,'Master Plan'!$AF$8:$AF$27,"&lt;"&amp;EDATE(O$21,1))=0,"",COUNTIFS('Master Plan'!$AF$8:$AF$27,"&gt;="&amp;O$21,'Master Plan'!$AF$8:$AF$27,"&lt;"&amp;EDATE(O$21,1)))</f>
        <v/>
      </c>
      <c r="P30" s="198" t="str">
        <f aca="false">IF(AND($E15&gt;=P$21,$E15&lt;EDATE(P$21,1)),"◆ ","")&amp;IF(COUNTIFS('Master Plan'!$AF$8:$AF$27,"&gt;="&amp;P$21,'Master Plan'!$AF$8:$AF$27,"&lt;"&amp;EDATE(P$21,1))=0,"",COUNTIFS('Master Plan'!$AF$8:$AF$27,"&gt;="&amp;P$21,'Master Plan'!$AF$8:$AF$27,"&lt;"&amp;EDATE(P$21,1)))</f>
        <v/>
      </c>
    </row>
    <row r="31" customFormat="false" ht="15" hidden="false" customHeight="false" outlineLevel="0" collapsed="false">
      <c r="A31" s="31" t="s">
        <v>1516</v>
      </c>
      <c r="B31" s="198" t="str">
        <f aca="false">IF(AND($E16&gt;=B$21,$E16&lt;EDATE(B$21,1)),"◆ ","")&amp;IF(COUNTIFS('Master Plan'!$AH$8:$AH$27,"&gt;="&amp;B$21,'Master Plan'!$AH$8:$AH$27,"&lt;"&amp;EDATE(B$21,1))=0,"",COUNTIFS('Master Plan'!$AH$8:$AH$27,"&gt;="&amp;B$21,'Master Plan'!$AH$8:$AH$27,"&lt;"&amp;EDATE(B$21,1)))</f>
        <v/>
      </c>
      <c r="C31" s="198" t="str">
        <f aca="false">IF(AND($E16&gt;=C$21,$E16&lt;EDATE(C$21,1)),"◆ ","")&amp;IF(COUNTIFS('Master Plan'!$AH$8:$AH$27,"&gt;="&amp;C$21,'Master Plan'!$AH$8:$AH$27,"&lt;"&amp;EDATE(C$21,1))=0,"",COUNTIFS('Master Plan'!$AH$8:$AH$27,"&gt;="&amp;C$21,'Master Plan'!$AH$8:$AH$27,"&lt;"&amp;EDATE(C$21,1)))</f>
        <v/>
      </c>
      <c r="D31" s="198" t="str">
        <f aca="false">IF(AND($E16&gt;=D$21,$E16&lt;EDATE(D$21,1)),"◆ ","")&amp;IF(COUNTIFS('Master Plan'!$AH$8:$AH$27,"&gt;="&amp;D$21,'Master Plan'!$AH$8:$AH$27,"&lt;"&amp;EDATE(D$21,1))=0,"",COUNTIFS('Master Plan'!$AH$8:$AH$27,"&gt;="&amp;D$21,'Master Plan'!$AH$8:$AH$27,"&lt;"&amp;EDATE(D$21,1)))</f>
        <v/>
      </c>
      <c r="E31" s="198" t="str">
        <f aca="false">IF(AND($E16&gt;=E$21,$E16&lt;EDATE(E$21,1)),"◆ ","")&amp;IF(COUNTIFS('Master Plan'!$AH$8:$AH$27,"&gt;="&amp;E$21,'Master Plan'!$AH$8:$AH$27,"&lt;"&amp;EDATE(E$21,1))=0,"",COUNTIFS('Master Plan'!$AH$8:$AH$27,"&gt;="&amp;E$21,'Master Plan'!$AH$8:$AH$27,"&lt;"&amp;EDATE(E$21,1)))</f>
        <v/>
      </c>
      <c r="F31" s="198" t="str">
        <f aca="false">IF(AND($E16&gt;=F$21,$E16&lt;EDATE(F$21,1)),"◆ ","")&amp;IF(COUNTIFS('Master Plan'!$AH$8:$AH$27,"&gt;="&amp;F$21,'Master Plan'!$AH$8:$AH$27,"&lt;"&amp;EDATE(F$21,1))=0,"",COUNTIFS('Master Plan'!$AH$8:$AH$27,"&gt;="&amp;F$21,'Master Plan'!$AH$8:$AH$27,"&lt;"&amp;EDATE(F$21,1)))</f>
        <v>◆ 20</v>
      </c>
      <c r="G31" s="198" t="str">
        <f aca="false">IF(AND($E16&gt;=G$21,$E16&lt;EDATE(G$21,1)),"◆ ","")&amp;IF(COUNTIFS('Master Plan'!$AH$8:$AH$27,"&gt;="&amp;G$21,'Master Plan'!$AH$8:$AH$27,"&lt;"&amp;EDATE(G$21,1))=0,"",COUNTIFS('Master Plan'!$AH$8:$AH$27,"&gt;="&amp;G$21,'Master Plan'!$AH$8:$AH$27,"&lt;"&amp;EDATE(G$21,1)))</f>
        <v/>
      </c>
      <c r="H31" s="198" t="str">
        <f aca="false">IF(AND($E16&gt;=H$21,$E16&lt;EDATE(H$21,1)),"◆ ","")&amp;IF(COUNTIFS('Master Plan'!$AH$8:$AH$27,"&gt;="&amp;H$21,'Master Plan'!$AH$8:$AH$27,"&lt;"&amp;EDATE(H$21,1))=0,"",COUNTIFS('Master Plan'!$AH$8:$AH$27,"&gt;="&amp;H$21,'Master Plan'!$AH$8:$AH$27,"&lt;"&amp;EDATE(H$21,1)))</f>
        <v/>
      </c>
      <c r="I31" s="198" t="str">
        <f aca="false">IF(AND($E16&gt;=I$21,$E16&lt;EDATE(I$21,1)),"◆ ","")&amp;IF(COUNTIFS('Master Plan'!$AH$8:$AH$27,"&gt;="&amp;I$21,'Master Plan'!$AH$8:$AH$27,"&lt;"&amp;EDATE(I$21,1))=0,"",COUNTIFS('Master Plan'!$AH$8:$AH$27,"&gt;="&amp;I$21,'Master Plan'!$AH$8:$AH$27,"&lt;"&amp;EDATE(I$21,1)))</f>
        <v/>
      </c>
      <c r="J31" s="198" t="str">
        <f aca="false">IF(AND($E16&gt;=J$21,$E16&lt;EDATE(J$21,1)),"◆ ","")&amp;IF(COUNTIFS('Master Plan'!$AH$8:$AH$27,"&gt;="&amp;J$21,'Master Plan'!$AH$8:$AH$27,"&lt;"&amp;EDATE(J$21,1))=0,"",COUNTIFS('Master Plan'!$AH$8:$AH$27,"&gt;="&amp;J$21,'Master Plan'!$AH$8:$AH$27,"&lt;"&amp;EDATE(J$21,1)))</f>
        <v/>
      </c>
      <c r="K31" s="198" t="str">
        <f aca="false">IF(AND($E16&gt;=K$21,$E16&lt;EDATE(K$21,1)),"◆ ","")&amp;IF(COUNTIFS('Master Plan'!$AH$8:$AH$27,"&gt;="&amp;K$21,'Master Plan'!$AH$8:$AH$27,"&lt;"&amp;EDATE(K$21,1))=0,"",COUNTIFS('Master Plan'!$AH$8:$AH$27,"&gt;="&amp;K$21,'Master Plan'!$AH$8:$AH$27,"&lt;"&amp;EDATE(K$21,1)))</f>
        <v/>
      </c>
      <c r="L31" s="198" t="str">
        <f aca="false">IF(AND($E16&gt;=L$21,$E16&lt;EDATE(L$21,1)),"◆ ","")&amp;IF(COUNTIFS('Master Plan'!$AH$8:$AH$27,"&gt;="&amp;L$21,'Master Plan'!$AH$8:$AH$27,"&lt;"&amp;EDATE(L$21,1))=0,"",COUNTIFS('Master Plan'!$AH$8:$AH$27,"&gt;="&amp;L$21,'Master Plan'!$AH$8:$AH$27,"&lt;"&amp;EDATE(L$21,1)))</f>
        <v/>
      </c>
      <c r="M31" s="198" t="str">
        <f aca="false">IF(AND($E16&gt;=M$21,$E16&lt;EDATE(M$21,1)),"◆ ","")&amp;IF(COUNTIFS('Master Plan'!$AH$8:$AH$27,"&gt;="&amp;M$21,'Master Plan'!$AH$8:$AH$27,"&lt;"&amp;EDATE(M$21,1))=0,"",COUNTIFS('Master Plan'!$AH$8:$AH$27,"&gt;="&amp;M$21,'Master Plan'!$AH$8:$AH$27,"&lt;"&amp;EDATE(M$21,1)))</f>
        <v/>
      </c>
      <c r="N31" s="198" t="str">
        <f aca="false">IF(AND($E16&gt;=N$21,$E16&lt;EDATE(N$21,1)),"◆ ","")&amp;IF(COUNTIFS('Master Plan'!$AH$8:$AH$27,"&gt;="&amp;N$21,'Master Plan'!$AH$8:$AH$27,"&lt;"&amp;EDATE(N$21,1))=0,"",COUNTIFS('Master Plan'!$AH$8:$AH$27,"&gt;="&amp;N$21,'Master Plan'!$AH$8:$AH$27,"&lt;"&amp;EDATE(N$21,1)))</f>
        <v/>
      </c>
      <c r="O31" s="198" t="str">
        <f aca="false">IF(AND($E16&gt;=O$21,$E16&lt;EDATE(O$21,1)),"◆ ","")&amp;IF(COUNTIFS('Master Plan'!$AH$8:$AH$27,"&gt;="&amp;O$21,'Master Plan'!$AH$8:$AH$27,"&lt;"&amp;EDATE(O$21,1))=0,"",COUNTIFS('Master Plan'!$AH$8:$AH$27,"&gt;="&amp;O$21,'Master Plan'!$AH$8:$AH$27,"&lt;"&amp;EDATE(O$21,1)))</f>
        <v/>
      </c>
      <c r="P31" s="198" t="str">
        <f aca="false">IF(AND($E16&gt;=P$21,$E16&lt;EDATE(P$21,1)),"◆ ","")&amp;IF(COUNTIFS('Master Plan'!$AH$8:$AH$27,"&gt;="&amp;P$21,'Master Plan'!$AH$8:$AH$27,"&lt;"&amp;EDATE(P$21,1))=0,"",COUNTIFS('Master Plan'!$AH$8:$AH$27,"&gt;="&amp;P$21,'Master Plan'!$AH$8:$AH$27,"&lt;"&amp;EDATE(P$21,1)))</f>
        <v/>
      </c>
    </row>
  </sheetData>
  <sheetProtection sheet="true" formatColumns="false" formatRows="false" sort="false" autoFilter="false"/>
  <mergeCells count="16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D5:G5"/>
    <mergeCell ref="H5:L5"/>
    <mergeCell ref="M5:O5"/>
    <mergeCell ref="P5:S5"/>
  </mergeCells>
  <conditionalFormatting sqref="L7:L16">
    <cfRule type="expression" priority="2" aboveAverage="0" equalAverage="0" bottom="0" percent="0" rank="0" text="" dxfId="39">
      <formula>L7="ครบแล้ว"</formula>
    </cfRule>
    <cfRule type="expression" priority="3" aboveAverage="0" equalAverage="0" bottom="0" percent="0" rank="0" text="" dxfId="11">
      <formula>L7="ตามแผน"</formula>
    </cfRule>
    <cfRule type="expression" priority="4" aboveAverage="0" equalAverage="0" bottom="0" percent="0" rank="0" text="" dxfId="40">
      <formula>L7="ล่าช้าเล็กน้อย"</formula>
    </cfRule>
    <cfRule type="expression" priority="5" aboveAverage="0" equalAverage="0" bottom="0" percent="0" rank="0" text="" dxfId="41">
      <formula>L7="ล่าช้า"</formula>
    </cfRule>
  </conditionalFormatting>
  <conditionalFormatting sqref="J7:J16">
    <cfRule type="expression" priority="6" aboveAverage="0" equalAverage="0" bottom="0" percent="0" rank="0" text="" dxfId="31">
      <formula>J7&gt;0</formula>
    </cfRule>
  </conditionalFormatting>
  <conditionalFormatting sqref="M7:O16">
    <cfRule type="expression" priority="7" aboveAverage="0" equalAverage="0" bottom="0" percent="0" rank="0" text="" dxfId="42">
      <formula>M7&gt;0</formula>
    </cfRule>
  </conditionalFormatting>
  <conditionalFormatting sqref="F7:F16">
    <cfRule type="expression" priority="8" aboveAverage="0" equalAverage="0" bottom="0" percent="0" rank="0" text="" dxfId="31">
      <formula>F7&gt;0</formula>
    </cfRule>
  </conditionalFormatting>
  <conditionalFormatting sqref="K4">
    <cfRule type="expression" priority="9" aboveAverage="0" equalAverage="0" bottom="0" percent="0" rank="0" text="" dxfId="14">
      <formula>K4&gt;7</formula>
    </cfRule>
  </conditionalFormatting>
  <conditionalFormatting sqref="S7:S16">
    <cfRule type="expression" priority="10" aboveAverage="0" equalAverage="0" bottom="0" percent="0" rank="0" text="" dxfId="41">
      <formula>AND(ISNUMBER(S7),S7&gt;14)</formula>
    </cfRule>
    <cfRule type="expression" priority="11" aboveAverage="0" equalAverage="0" bottom="0" percent="0" rank="0" text="" dxfId="17">
      <formula>AND(ISNUMBER(S7),S7&lt;-14)</formula>
    </cfRule>
  </conditionalFormatting>
  <conditionalFormatting sqref="R7:R16">
    <cfRule type="expression" priority="12" aboveAverage="0" equalAverage="0" bottom="0" percent="0" rank="0" text="" dxfId="41">
      <formula>R7="ไม่มีความคืบหน้า"</formula>
    </cfRule>
  </conditionalFormatting>
  <conditionalFormatting sqref="B22:P31">
    <cfRule type="expression" priority="13" aboveAverage="0" equalAverage="0" bottom="0" percent="0" rank="0" text="" dxfId="43">
      <formula>AND(B22&lt;&gt;"",EDATE(B$21,1)&lt;=ASOF)</formula>
    </cfRule>
    <cfRule type="expression" priority="14" aboveAverage="0" equalAverage="0" bottom="0" percent="0" rank="0" text="" dxfId="44">
      <formula>ISNUMBER(SEARCH("◆",B22))</formula>
    </cfRule>
    <cfRule type="expression" priority="15" aboveAverage="0" equalAverage="0" bottom="0" percent="0" rank="0" text="" dxfId="45">
      <formula>B22&lt;&gt;""</formula>
    </cfRule>
  </conditionalFormatting>
  <conditionalFormatting sqref="B21:P31">
    <cfRule type="expression" priority="16" aboveAverage="0" equalAverage="0" bottom="0" percent="0" rank="0" text="" dxfId="46">
      <formula>AND(ASOF&gt;=B$21,ASOF&lt;EDATE(B$21,1))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6" min="2" style="0" width="11"/>
  </cols>
  <sheetData>
    <row r="1" customFormat="false" ht="16.4" hidden="false" customHeight="false" outlineLevel="0" collapsed="false">
      <c r="A1" s="199" t="s">
        <v>1517</v>
      </c>
    </row>
    <row r="2" customFormat="false" ht="15" hidden="false" customHeight="false" outlineLevel="0" collapsed="false">
      <c r="A2" s="180" t="s">
        <v>1518</v>
      </c>
    </row>
    <row r="4" customFormat="false" ht="15" hidden="false" customHeight="false" outlineLevel="0" collapsed="false">
      <c r="A4" s="200" t="s">
        <v>1519</v>
      </c>
      <c r="B4" s="200" t="s">
        <v>1520</v>
      </c>
      <c r="C4" s="200" t="s">
        <v>1521</v>
      </c>
      <c r="D4" s="201" t="s">
        <v>1522</v>
      </c>
      <c r="E4" s="201" t="s">
        <v>1523</v>
      </c>
      <c r="F4" s="201" t="s">
        <v>1524</v>
      </c>
    </row>
    <row r="5" customFormat="false" ht="15" hidden="false" customHeight="false" outlineLevel="0" collapsed="false">
      <c r="A5" s="36" t="s">
        <v>1525</v>
      </c>
      <c r="B5" s="33" t="n">
        <f aca="false">'Master Plan'!BH7</f>
        <v>46321</v>
      </c>
      <c r="C5" s="33" t="n">
        <f aca="false">B5+6</f>
        <v>46327</v>
      </c>
      <c r="D5" s="202" t="n">
        <f aca="false">(W_INST*SUMPRODUCT(('Master Plan'!$H$8:$H$27&lt;&gt;"")*('Master Plan'!$H$8:$H$27+(-13)&lt;=C5)*'Master Plan'!$F$8:$F$27)+W_IEC*SUMPRODUCT(('Master Plan'!$H$8:$H$27&lt;&gt;"")*('Master Plan'!$H$8:$H$27+(-10)&lt;=C5)*'Master Plan'!$F$8:$F$27)+W_HO*SUMPRODUCT(('Master Plan'!$H$8:$H$27&lt;&gt;"")*('Master Plan'!$H$8:$H$27+(0)&lt;=C5)*'Master Plan'!$F$8:$F$27)+W_GRID*SUMPRODUCT(('Master Plan'!$H$8:$H$27&lt;&gt;"")*('Master Plan'!$H$8:$H$27+(-12)&lt;=C5)*'Master Plan'!$F$8:$F$27)+W_SYNC*SUMPRODUCT(('Master Plan'!$H$8:$H$27&lt;&gt;"")*('Master Plan'!$H$8:$H$27+(33)&lt;=C5)*'Master Plan'!$F$8:$F$27))/100/SUM('Master Plan'!$F$8:$F$27)</f>
        <v>0</v>
      </c>
      <c r="E5" s="202" t="n">
        <f aca="false">(W_INST*SUMPRODUCT(('Master Plan'!$Y$8:$Y$27&lt;&gt;"")*('Master Plan'!$Y$8:$Y$27&lt;=C5)*'Master Plan'!$F$8:$F$27)+W_IEC*SUMPRODUCT(('Master Plan'!$AA$8:$AA$27&lt;&gt;"")*('Master Plan'!$AA$8:$AA$27&lt;=C5)*'Master Plan'!$F$8:$F$27)+W_HO*SUMPRODUCT(('Master Plan'!$AB$8:$AB$27&lt;&gt;"")*('Master Plan'!$AB$8:$AB$27&lt;=C5)*'Master Plan'!$F$8:$F$27)+W_GRID*SUMPRODUCT(('Master Plan'!$AC$8:$AC$27&lt;&gt;"")*('Master Plan'!$AC$8:$AC$27&lt;=C5)*'Master Plan'!$F$8:$F$27)+W_SYNC*SUMPRODUCT(('Master Plan'!$AH$8:$AH$27&lt;&gt;"")*('Master Plan'!$AH$8:$AH$27&lt;=C5)*'Master Plan'!$F$8:$F$27))/100/SUM('Master Plan'!$F$8:$F$27)</f>
        <v>0</v>
      </c>
      <c r="F5" s="202" t="n">
        <f aca="false">IF(B5&gt;ASOF,"",(W_INST*SUMPRODUCT(('Master Plan'!$N$8:$N$27&lt;&gt;"")*('Master Plan'!$N$8:$N$27&lt;=MIN(C5,ASOF))*'Master Plan'!$F$8:$F$27)+W_IEC*SUMPRODUCT(('Master Plan'!$P$8:$P$27&lt;&gt;"")*('Master Plan'!$P$8:$P$27&lt;=MIN(C5,ASOF))*'Master Plan'!$F$8:$F$27)+W_HO*SUMPRODUCT(('Master Plan'!$Q$8:$Q$27&lt;&gt;"")*('Master Plan'!$Q$8:$Q$27&lt;=MIN(C5,ASOF))*'Master Plan'!$F$8:$F$27)+W_GRID*SUMPRODUCT(('Master Plan'!$R$8:$R$27&lt;&gt;"")*('Master Plan'!$R$8:$R$27&lt;=MIN(C5,ASOF))*'Master Plan'!$F$8:$F$27)+W_SYNC*SUMPRODUCT(('Master Plan'!$X$8:$X$27&lt;&gt;"")*('Master Plan'!$X$8:$X$27&lt;=MIN(C5,ASOF))*'Master Plan'!$F$8:$F$27))/100/SUM('Master Plan'!$F$8:$F$27))</f>
        <v>0</v>
      </c>
    </row>
    <row r="6" customFormat="false" ht="15" hidden="false" customHeight="false" outlineLevel="0" collapsed="false">
      <c r="A6" s="36" t="s">
        <v>1526</v>
      </c>
      <c r="B6" s="33" t="n">
        <f aca="false">'Master Plan'!BI7</f>
        <v>46328</v>
      </c>
      <c r="C6" s="33" t="n">
        <f aca="false">B6+6</f>
        <v>46334</v>
      </c>
      <c r="D6" s="202" t="n">
        <f aca="false">(W_INST*SUMPRODUCT(('Master Plan'!$H$8:$H$27&lt;&gt;"")*('Master Plan'!$H$8:$H$27+(-13)&lt;=C6)*'Master Plan'!$F$8:$F$27)+W_IEC*SUMPRODUCT(('Master Plan'!$H$8:$H$27&lt;&gt;"")*('Master Plan'!$H$8:$H$27+(-10)&lt;=C6)*'Master Plan'!$F$8:$F$27)+W_HO*SUMPRODUCT(('Master Plan'!$H$8:$H$27&lt;&gt;"")*('Master Plan'!$H$8:$H$27+(0)&lt;=C6)*'Master Plan'!$F$8:$F$27)+W_GRID*SUMPRODUCT(('Master Plan'!$H$8:$H$27&lt;&gt;"")*('Master Plan'!$H$8:$H$27+(-12)&lt;=C6)*'Master Plan'!$F$8:$F$27)+W_SYNC*SUMPRODUCT(('Master Plan'!$H$8:$H$27&lt;&gt;"")*('Master Plan'!$H$8:$H$27+(33)&lt;=C6)*'Master Plan'!$F$8:$F$27))/100/SUM('Master Plan'!$F$8:$F$27)</f>
        <v>0</v>
      </c>
      <c r="E6" s="202" t="n">
        <f aca="false">(W_INST*SUMPRODUCT(('Master Plan'!$Y$8:$Y$27&lt;&gt;"")*('Master Plan'!$Y$8:$Y$27&lt;=C6)*'Master Plan'!$F$8:$F$27)+W_IEC*SUMPRODUCT(('Master Plan'!$AA$8:$AA$27&lt;&gt;"")*('Master Plan'!$AA$8:$AA$27&lt;=C6)*'Master Plan'!$F$8:$F$27)+W_HO*SUMPRODUCT(('Master Plan'!$AB$8:$AB$27&lt;&gt;"")*('Master Plan'!$AB$8:$AB$27&lt;=C6)*'Master Plan'!$F$8:$F$27)+W_GRID*SUMPRODUCT(('Master Plan'!$AC$8:$AC$27&lt;&gt;"")*('Master Plan'!$AC$8:$AC$27&lt;=C6)*'Master Plan'!$F$8:$F$27)+W_SYNC*SUMPRODUCT(('Master Plan'!$AH$8:$AH$27&lt;&gt;"")*('Master Plan'!$AH$8:$AH$27&lt;=C6)*'Master Plan'!$F$8:$F$27))/100/SUM('Master Plan'!$F$8:$F$27)</f>
        <v>0</v>
      </c>
      <c r="F6" s="202" t="n">
        <f aca="false">IF(B6&gt;ASOF,"",(W_INST*SUMPRODUCT(('Master Plan'!$N$8:$N$27&lt;&gt;"")*('Master Plan'!$N$8:$N$27&lt;=MIN(C6,ASOF))*'Master Plan'!$F$8:$F$27)+W_IEC*SUMPRODUCT(('Master Plan'!$P$8:$P$27&lt;&gt;"")*('Master Plan'!$P$8:$P$27&lt;=MIN(C6,ASOF))*'Master Plan'!$F$8:$F$27)+W_HO*SUMPRODUCT(('Master Plan'!$Q$8:$Q$27&lt;&gt;"")*('Master Plan'!$Q$8:$Q$27&lt;=MIN(C6,ASOF))*'Master Plan'!$F$8:$F$27)+W_GRID*SUMPRODUCT(('Master Plan'!$R$8:$R$27&lt;&gt;"")*('Master Plan'!$R$8:$R$27&lt;=MIN(C6,ASOF))*'Master Plan'!$F$8:$F$27)+W_SYNC*SUMPRODUCT(('Master Plan'!$X$8:$X$27&lt;&gt;"")*('Master Plan'!$X$8:$X$27&lt;=MIN(C6,ASOF))*'Master Plan'!$F$8:$F$27))/100/SUM('Master Plan'!$F$8:$F$27))</f>
        <v>0</v>
      </c>
    </row>
    <row r="7" customFormat="false" ht="15" hidden="false" customHeight="false" outlineLevel="0" collapsed="false">
      <c r="A7" s="36" t="s">
        <v>1527</v>
      </c>
      <c r="B7" s="33" t="n">
        <f aca="false">'Master Plan'!BJ7</f>
        <v>46335</v>
      </c>
      <c r="C7" s="33" t="n">
        <f aca="false">B7+6</f>
        <v>46341</v>
      </c>
      <c r="D7" s="202" t="n">
        <f aca="false">(W_INST*SUMPRODUCT(('Master Plan'!$H$8:$H$27&lt;&gt;"")*('Master Plan'!$H$8:$H$27+(-13)&lt;=C7)*'Master Plan'!$F$8:$F$27)+W_IEC*SUMPRODUCT(('Master Plan'!$H$8:$H$27&lt;&gt;"")*('Master Plan'!$H$8:$H$27+(-10)&lt;=C7)*'Master Plan'!$F$8:$F$27)+W_HO*SUMPRODUCT(('Master Plan'!$H$8:$H$27&lt;&gt;"")*('Master Plan'!$H$8:$H$27+(0)&lt;=C7)*'Master Plan'!$F$8:$F$27)+W_GRID*SUMPRODUCT(('Master Plan'!$H$8:$H$27&lt;&gt;"")*('Master Plan'!$H$8:$H$27+(-12)&lt;=C7)*'Master Plan'!$F$8:$F$27)+W_SYNC*SUMPRODUCT(('Master Plan'!$H$8:$H$27&lt;&gt;"")*('Master Plan'!$H$8:$H$27+(33)&lt;=C7)*'Master Plan'!$F$8:$F$27))/100/SUM('Master Plan'!$F$8:$F$27)</f>
        <v>0</v>
      </c>
      <c r="E7" s="202" t="n">
        <f aca="false">(W_INST*SUMPRODUCT(('Master Plan'!$Y$8:$Y$27&lt;&gt;"")*('Master Plan'!$Y$8:$Y$27&lt;=C7)*'Master Plan'!$F$8:$F$27)+W_IEC*SUMPRODUCT(('Master Plan'!$AA$8:$AA$27&lt;&gt;"")*('Master Plan'!$AA$8:$AA$27&lt;=C7)*'Master Plan'!$F$8:$F$27)+W_HO*SUMPRODUCT(('Master Plan'!$AB$8:$AB$27&lt;&gt;"")*('Master Plan'!$AB$8:$AB$27&lt;=C7)*'Master Plan'!$F$8:$F$27)+W_GRID*SUMPRODUCT(('Master Plan'!$AC$8:$AC$27&lt;&gt;"")*('Master Plan'!$AC$8:$AC$27&lt;=C7)*'Master Plan'!$F$8:$F$27)+W_SYNC*SUMPRODUCT(('Master Plan'!$AH$8:$AH$27&lt;&gt;"")*('Master Plan'!$AH$8:$AH$27&lt;=C7)*'Master Plan'!$F$8:$F$27))/100/SUM('Master Plan'!$F$8:$F$27)</f>
        <v>0</v>
      </c>
      <c r="F7" s="202" t="str">
        <f aca="false">IF(B7&gt;ASOF,"",(W_INST*SUMPRODUCT(('Master Plan'!$N$8:$N$27&lt;&gt;"")*('Master Plan'!$N$8:$N$27&lt;=MIN(C7,ASOF))*'Master Plan'!$F$8:$F$27)+W_IEC*SUMPRODUCT(('Master Plan'!$P$8:$P$27&lt;&gt;"")*('Master Plan'!$P$8:$P$27&lt;=MIN(C7,ASOF))*'Master Plan'!$F$8:$F$27)+W_HO*SUMPRODUCT(('Master Plan'!$Q$8:$Q$27&lt;&gt;"")*('Master Plan'!$Q$8:$Q$27&lt;=MIN(C7,ASOF))*'Master Plan'!$F$8:$F$27)+W_GRID*SUMPRODUCT(('Master Plan'!$R$8:$R$27&lt;&gt;"")*('Master Plan'!$R$8:$R$27&lt;=MIN(C7,ASOF))*'Master Plan'!$F$8:$F$27)+W_SYNC*SUMPRODUCT(('Master Plan'!$X$8:$X$27&lt;&gt;"")*('Master Plan'!$X$8:$X$27&lt;=MIN(C7,ASOF))*'Master Plan'!$F$8:$F$27))/100/SUM('Master Plan'!$F$8:$F$27))</f>
        <v/>
      </c>
    </row>
    <row r="8" customFormat="false" ht="15" hidden="false" customHeight="false" outlineLevel="0" collapsed="false">
      <c r="A8" s="36" t="s">
        <v>1528</v>
      </c>
      <c r="B8" s="33" t="n">
        <f aca="false">'Master Plan'!BK7</f>
        <v>46342</v>
      </c>
      <c r="C8" s="33" t="n">
        <f aca="false">B8+6</f>
        <v>46348</v>
      </c>
      <c r="D8" s="202" t="n">
        <f aca="false">(W_INST*SUMPRODUCT(('Master Plan'!$H$8:$H$27&lt;&gt;"")*('Master Plan'!$H$8:$H$27+(-13)&lt;=C8)*'Master Plan'!$F$8:$F$27)+W_IEC*SUMPRODUCT(('Master Plan'!$H$8:$H$27&lt;&gt;"")*('Master Plan'!$H$8:$H$27+(-10)&lt;=C8)*'Master Plan'!$F$8:$F$27)+W_HO*SUMPRODUCT(('Master Plan'!$H$8:$H$27&lt;&gt;"")*('Master Plan'!$H$8:$H$27+(0)&lt;=C8)*'Master Plan'!$F$8:$F$27)+W_GRID*SUMPRODUCT(('Master Plan'!$H$8:$H$27&lt;&gt;"")*('Master Plan'!$H$8:$H$27+(-12)&lt;=C8)*'Master Plan'!$F$8:$F$27)+W_SYNC*SUMPRODUCT(('Master Plan'!$H$8:$H$27&lt;&gt;"")*('Master Plan'!$H$8:$H$27+(33)&lt;=C8)*'Master Plan'!$F$8:$F$27))/100/SUM('Master Plan'!$F$8:$F$27)</f>
        <v>0</v>
      </c>
      <c r="E8" s="202" t="n">
        <f aca="false">(W_INST*SUMPRODUCT(('Master Plan'!$Y$8:$Y$27&lt;&gt;"")*('Master Plan'!$Y$8:$Y$27&lt;=C8)*'Master Plan'!$F$8:$F$27)+W_IEC*SUMPRODUCT(('Master Plan'!$AA$8:$AA$27&lt;&gt;"")*('Master Plan'!$AA$8:$AA$27&lt;=C8)*'Master Plan'!$F$8:$F$27)+W_HO*SUMPRODUCT(('Master Plan'!$AB$8:$AB$27&lt;&gt;"")*('Master Plan'!$AB$8:$AB$27&lt;=C8)*'Master Plan'!$F$8:$F$27)+W_GRID*SUMPRODUCT(('Master Plan'!$AC$8:$AC$27&lt;&gt;"")*('Master Plan'!$AC$8:$AC$27&lt;=C8)*'Master Plan'!$F$8:$F$27)+W_SYNC*SUMPRODUCT(('Master Plan'!$AH$8:$AH$27&lt;&gt;"")*('Master Plan'!$AH$8:$AH$27&lt;=C8)*'Master Plan'!$F$8:$F$27))/100/SUM('Master Plan'!$F$8:$F$27)</f>
        <v>0</v>
      </c>
      <c r="F8" s="202" t="str">
        <f aca="false">IF(B8&gt;ASOF,"",(W_INST*SUMPRODUCT(('Master Plan'!$N$8:$N$27&lt;&gt;"")*('Master Plan'!$N$8:$N$27&lt;=MIN(C8,ASOF))*'Master Plan'!$F$8:$F$27)+W_IEC*SUMPRODUCT(('Master Plan'!$P$8:$P$27&lt;&gt;"")*('Master Plan'!$P$8:$P$27&lt;=MIN(C8,ASOF))*'Master Plan'!$F$8:$F$27)+W_HO*SUMPRODUCT(('Master Plan'!$Q$8:$Q$27&lt;&gt;"")*('Master Plan'!$Q$8:$Q$27&lt;=MIN(C8,ASOF))*'Master Plan'!$F$8:$F$27)+W_GRID*SUMPRODUCT(('Master Plan'!$R$8:$R$27&lt;&gt;"")*('Master Plan'!$R$8:$R$27&lt;=MIN(C8,ASOF))*'Master Plan'!$F$8:$F$27)+W_SYNC*SUMPRODUCT(('Master Plan'!$X$8:$X$27&lt;&gt;"")*('Master Plan'!$X$8:$X$27&lt;=MIN(C8,ASOF))*'Master Plan'!$F$8:$F$27))/100/SUM('Master Plan'!$F$8:$F$27))</f>
        <v/>
      </c>
    </row>
    <row r="9" customFormat="false" ht="15" hidden="false" customHeight="false" outlineLevel="0" collapsed="false">
      <c r="A9" s="36" t="s">
        <v>1529</v>
      </c>
      <c r="B9" s="33" t="n">
        <f aca="false">'Master Plan'!BL7</f>
        <v>46349</v>
      </c>
      <c r="C9" s="33" t="n">
        <f aca="false">B9+6</f>
        <v>46355</v>
      </c>
      <c r="D9" s="202" t="n">
        <f aca="false">(W_INST*SUMPRODUCT(('Master Plan'!$H$8:$H$27&lt;&gt;"")*('Master Plan'!$H$8:$H$27+(-13)&lt;=C9)*'Master Plan'!$F$8:$F$27)+W_IEC*SUMPRODUCT(('Master Plan'!$H$8:$H$27&lt;&gt;"")*('Master Plan'!$H$8:$H$27+(-10)&lt;=C9)*'Master Plan'!$F$8:$F$27)+W_HO*SUMPRODUCT(('Master Plan'!$H$8:$H$27&lt;&gt;"")*('Master Plan'!$H$8:$H$27+(0)&lt;=C9)*'Master Plan'!$F$8:$F$27)+W_GRID*SUMPRODUCT(('Master Plan'!$H$8:$H$27&lt;&gt;"")*('Master Plan'!$H$8:$H$27+(-12)&lt;=C9)*'Master Plan'!$F$8:$F$27)+W_SYNC*SUMPRODUCT(('Master Plan'!$H$8:$H$27&lt;&gt;"")*('Master Plan'!$H$8:$H$27+(33)&lt;=C9)*'Master Plan'!$F$8:$F$27))/100/SUM('Master Plan'!$F$8:$F$27)</f>
        <v>0</v>
      </c>
      <c r="E9" s="202" t="n">
        <f aca="false">(W_INST*SUMPRODUCT(('Master Plan'!$Y$8:$Y$27&lt;&gt;"")*('Master Plan'!$Y$8:$Y$27&lt;=C9)*'Master Plan'!$F$8:$F$27)+W_IEC*SUMPRODUCT(('Master Plan'!$AA$8:$AA$27&lt;&gt;"")*('Master Plan'!$AA$8:$AA$27&lt;=C9)*'Master Plan'!$F$8:$F$27)+W_HO*SUMPRODUCT(('Master Plan'!$AB$8:$AB$27&lt;&gt;"")*('Master Plan'!$AB$8:$AB$27&lt;=C9)*'Master Plan'!$F$8:$F$27)+W_GRID*SUMPRODUCT(('Master Plan'!$AC$8:$AC$27&lt;&gt;"")*('Master Plan'!$AC$8:$AC$27&lt;=C9)*'Master Plan'!$F$8:$F$27)+W_SYNC*SUMPRODUCT(('Master Plan'!$AH$8:$AH$27&lt;&gt;"")*('Master Plan'!$AH$8:$AH$27&lt;=C9)*'Master Plan'!$F$8:$F$27))/100/SUM('Master Plan'!$F$8:$F$27)</f>
        <v>0.9</v>
      </c>
      <c r="F9" s="202" t="str">
        <f aca="false">IF(B9&gt;ASOF,"",(W_INST*SUMPRODUCT(('Master Plan'!$N$8:$N$27&lt;&gt;"")*('Master Plan'!$N$8:$N$27&lt;=MIN(C9,ASOF))*'Master Plan'!$F$8:$F$27)+W_IEC*SUMPRODUCT(('Master Plan'!$P$8:$P$27&lt;&gt;"")*('Master Plan'!$P$8:$P$27&lt;=MIN(C9,ASOF))*'Master Plan'!$F$8:$F$27)+W_HO*SUMPRODUCT(('Master Plan'!$Q$8:$Q$27&lt;&gt;"")*('Master Plan'!$Q$8:$Q$27&lt;=MIN(C9,ASOF))*'Master Plan'!$F$8:$F$27)+W_GRID*SUMPRODUCT(('Master Plan'!$R$8:$R$27&lt;&gt;"")*('Master Plan'!$R$8:$R$27&lt;=MIN(C9,ASOF))*'Master Plan'!$F$8:$F$27)+W_SYNC*SUMPRODUCT(('Master Plan'!$X$8:$X$27&lt;&gt;"")*('Master Plan'!$X$8:$X$27&lt;=MIN(C9,ASOF))*'Master Plan'!$F$8:$F$27))/100/SUM('Master Plan'!$F$8:$F$27))</f>
        <v/>
      </c>
    </row>
    <row r="10" customFormat="false" ht="15" hidden="false" customHeight="false" outlineLevel="0" collapsed="false">
      <c r="A10" s="36" t="s">
        <v>1530</v>
      </c>
      <c r="B10" s="33" t="n">
        <f aca="false">'Master Plan'!BM7</f>
        <v>46356</v>
      </c>
      <c r="C10" s="33" t="n">
        <f aca="false">B10+6</f>
        <v>46362</v>
      </c>
      <c r="D10" s="202" t="n">
        <f aca="false">(W_INST*SUMPRODUCT(('Master Plan'!$H$8:$H$27&lt;&gt;"")*('Master Plan'!$H$8:$H$27+(-13)&lt;=C10)*'Master Plan'!$F$8:$F$27)+W_IEC*SUMPRODUCT(('Master Plan'!$H$8:$H$27&lt;&gt;"")*('Master Plan'!$H$8:$H$27+(-10)&lt;=C10)*'Master Plan'!$F$8:$F$27)+W_HO*SUMPRODUCT(('Master Plan'!$H$8:$H$27&lt;&gt;"")*('Master Plan'!$H$8:$H$27+(0)&lt;=C10)*'Master Plan'!$F$8:$F$27)+W_GRID*SUMPRODUCT(('Master Plan'!$H$8:$H$27&lt;&gt;"")*('Master Plan'!$H$8:$H$27+(-12)&lt;=C10)*'Master Plan'!$F$8:$F$27)+W_SYNC*SUMPRODUCT(('Master Plan'!$H$8:$H$27&lt;&gt;"")*('Master Plan'!$H$8:$H$27+(33)&lt;=C10)*'Master Plan'!$F$8:$F$27))/100/SUM('Master Plan'!$F$8:$F$27)</f>
        <v>0</v>
      </c>
      <c r="E10" s="202" t="n">
        <f aca="false">(W_INST*SUMPRODUCT(('Master Plan'!$Y$8:$Y$27&lt;&gt;"")*('Master Plan'!$Y$8:$Y$27&lt;=C10)*'Master Plan'!$F$8:$F$27)+W_IEC*SUMPRODUCT(('Master Plan'!$AA$8:$AA$27&lt;&gt;"")*('Master Plan'!$AA$8:$AA$27&lt;=C10)*'Master Plan'!$F$8:$F$27)+W_HO*SUMPRODUCT(('Master Plan'!$AB$8:$AB$27&lt;&gt;"")*('Master Plan'!$AB$8:$AB$27&lt;=C10)*'Master Plan'!$F$8:$F$27)+W_GRID*SUMPRODUCT(('Master Plan'!$AC$8:$AC$27&lt;&gt;"")*('Master Plan'!$AC$8:$AC$27&lt;=C10)*'Master Plan'!$F$8:$F$27)+W_SYNC*SUMPRODUCT(('Master Plan'!$AH$8:$AH$27&lt;&gt;"")*('Master Plan'!$AH$8:$AH$27&lt;=C10)*'Master Plan'!$F$8:$F$27))/100/SUM('Master Plan'!$F$8:$F$27)</f>
        <v>0.95</v>
      </c>
      <c r="F10" s="202" t="str">
        <f aca="false">IF(B10&gt;ASOF,"",(W_INST*SUMPRODUCT(('Master Plan'!$N$8:$N$27&lt;&gt;"")*('Master Plan'!$N$8:$N$27&lt;=MIN(C10,ASOF))*'Master Plan'!$F$8:$F$27)+W_IEC*SUMPRODUCT(('Master Plan'!$P$8:$P$27&lt;&gt;"")*('Master Plan'!$P$8:$P$27&lt;=MIN(C10,ASOF))*'Master Plan'!$F$8:$F$27)+W_HO*SUMPRODUCT(('Master Plan'!$Q$8:$Q$27&lt;&gt;"")*('Master Plan'!$Q$8:$Q$27&lt;=MIN(C10,ASOF))*'Master Plan'!$F$8:$F$27)+W_GRID*SUMPRODUCT(('Master Plan'!$R$8:$R$27&lt;&gt;"")*('Master Plan'!$R$8:$R$27&lt;=MIN(C10,ASOF))*'Master Plan'!$F$8:$F$27)+W_SYNC*SUMPRODUCT(('Master Plan'!$X$8:$X$27&lt;&gt;"")*('Master Plan'!$X$8:$X$27&lt;=MIN(C10,ASOF))*'Master Plan'!$F$8:$F$27))/100/SUM('Master Plan'!$F$8:$F$27))</f>
        <v/>
      </c>
    </row>
    <row r="11" customFormat="false" ht="15" hidden="false" customHeight="false" outlineLevel="0" collapsed="false">
      <c r="A11" s="36" t="s">
        <v>1531</v>
      </c>
      <c r="B11" s="33" t="n">
        <f aca="false">'Master Plan'!BN7</f>
        <v>46363</v>
      </c>
      <c r="C11" s="33" t="n">
        <f aca="false">B11+6</f>
        <v>46369</v>
      </c>
      <c r="D11" s="202" t="n">
        <f aca="false">(W_INST*SUMPRODUCT(('Master Plan'!$H$8:$H$27&lt;&gt;"")*('Master Plan'!$H$8:$H$27+(-13)&lt;=C11)*'Master Plan'!$F$8:$F$27)+W_IEC*SUMPRODUCT(('Master Plan'!$H$8:$H$27&lt;&gt;"")*('Master Plan'!$H$8:$H$27+(-10)&lt;=C11)*'Master Plan'!$F$8:$F$27)+W_HO*SUMPRODUCT(('Master Plan'!$H$8:$H$27&lt;&gt;"")*('Master Plan'!$H$8:$H$27+(0)&lt;=C11)*'Master Plan'!$F$8:$F$27)+W_GRID*SUMPRODUCT(('Master Plan'!$H$8:$H$27&lt;&gt;"")*('Master Plan'!$H$8:$H$27+(-12)&lt;=C11)*'Master Plan'!$F$8:$F$27)+W_SYNC*SUMPRODUCT(('Master Plan'!$H$8:$H$27&lt;&gt;"")*('Master Plan'!$H$8:$H$27+(33)&lt;=C11)*'Master Plan'!$F$8:$F$27))/100/SUM('Master Plan'!$F$8:$F$27)</f>
        <v>0</v>
      </c>
      <c r="E11" s="202" t="n">
        <f aca="false">(W_INST*SUMPRODUCT(('Master Plan'!$Y$8:$Y$27&lt;&gt;"")*('Master Plan'!$Y$8:$Y$27&lt;=C11)*'Master Plan'!$F$8:$F$27)+W_IEC*SUMPRODUCT(('Master Plan'!$AA$8:$AA$27&lt;&gt;"")*('Master Plan'!$AA$8:$AA$27&lt;=C11)*'Master Plan'!$F$8:$F$27)+W_HO*SUMPRODUCT(('Master Plan'!$AB$8:$AB$27&lt;&gt;"")*('Master Plan'!$AB$8:$AB$27&lt;=C11)*'Master Plan'!$F$8:$F$27)+W_GRID*SUMPRODUCT(('Master Plan'!$AC$8:$AC$27&lt;&gt;"")*('Master Plan'!$AC$8:$AC$27&lt;=C11)*'Master Plan'!$F$8:$F$27)+W_SYNC*SUMPRODUCT(('Master Plan'!$AH$8:$AH$27&lt;&gt;"")*('Master Plan'!$AH$8:$AH$27&lt;=C11)*'Master Plan'!$F$8:$F$27))/100/SUM('Master Plan'!$F$8:$F$27)</f>
        <v>0.975</v>
      </c>
      <c r="F11" s="202" t="str">
        <f aca="false">IF(B11&gt;ASOF,"",(W_INST*SUMPRODUCT(('Master Plan'!$N$8:$N$27&lt;&gt;"")*('Master Plan'!$N$8:$N$27&lt;=MIN(C11,ASOF))*'Master Plan'!$F$8:$F$27)+W_IEC*SUMPRODUCT(('Master Plan'!$P$8:$P$27&lt;&gt;"")*('Master Plan'!$P$8:$P$27&lt;=MIN(C11,ASOF))*'Master Plan'!$F$8:$F$27)+W_HO*SUMPRODUCT(('Master Plan'!$Q$8:$Q$27&lt;&gt;"")*('Master Plan'!$Q$8:$Q$27&lt;=MIN(C11,ASOF))*'Master Plan'!$F$8:$F$27)+W_GRID*SUMPRODUCT(('Master Plan'!$R$8:$R$27&lt;&gt;"")*('Master Plan'!$R$8:$R$27&lt;=MIN(C11,ASOF))*'Master Plan'!$F$8:$F$27)+W_SYNC*SUMPRODUCT(('Master Plan'!$X$8:$X$27&lt;&gt;"")*('Master Plan'!$X$8:$X$27&lt;=MIN(C11,ASOF))*'Master Plan'!$F$8:$F$27))/100/SUM('Master Plan'!$F$8:$F$27))</f>
        <v/>
      </c>
    </row>
    <row r="12" customFormat="false" ht="15" hidden="false" customHeight="false" outlineLevel="0" collapsed="false">
      <c r="A12" s="36" t="s">
        <v>1532</v>
      </c>
      <c r="B12" s="33" t="n">
        <f aca="false">'Master Plan'!BO7</f>
        <v>46370</v>
      </c>
      <c r="C12" s="33" t="n">
        <f aca="false">B12+6</f>
        <v>46376</v>
      </c>
      <c r="D12" s="202" t="n">
        <f aca="false">(W_INST*SUMPRODUCT(('Master Plan'!$H$8:$H$27&lt;&gt;"")*('Master Plan'!$H$8:$H$27+(-13)&lt;=C12)*'Master Plan'!$F$8:$F$27)+W_IEC*SUMPRODUCT(('Master Plan'!$H$8:$H$27&lt;&gt;"")*('Master Plan'!$H$8:$H$27+(-10)&lt;=C12)*'Master Plan'!$F$8:$F$27)+W_HO*SUMPRODUCT(('Master Plan'!$H$8:$H$27&lt;&gt;"")*('Master Plan'!$H$8:$H$27+(0)&lt;=C12)*'Master Plan'!$F$8:$F$27)+W_GRID*SUMPRODUCT(('Master Plan'!$H$8:$H$27&lt;&gt;"")*('Master Plan'!$H$8:$H$27+(-12)&lt;=C12)*'Master Plan'!$F$8:$F$27)+W_SYNC*SUMPRODUCT(('Master Plan'!$H$8:$H$27&lt;&gt;"")*('Master Plan'!$H$8:$H$27+(33)&lt;=C12)*'Master Plan'!$F$8:$F$27))/100/SUM('Master Plan'!$F$8:$F$27)</f>
        <v>0</v>
      </c>
      <c r="E12" s="202" t="n">
        <f aca="false">(W_INST*SUMPRODUCT(('Master Plan'!$Y$8:$Y$27&lt;&gt;"")*('Master Plan'!$Y$8:$Y$27&lt;=C12)*'Master Plan'!$F$8:$F$27)+W_IEC*SUMPRODUCT(('Master Plan'!$AA$8:$AA$27&lt;&gt;"")*('Master Plan'!$AA$8:$AA$27&lt;=C12)*'Master Plan'!$F$8:$F$27)+W_HO*SUMPRODUCT(('Master Plan'!$AB$8:$AB$27&lt;&gt;"")*('Master Plan'!$AB$8:$AB$27&lt;=C12)*'Master Plan'!$F$8:$F$27)+W_GRID*SUMPRODUCT(('Master Plan'!$AC$8:$AC$27&lt;&gt;"")*('Master Plan'!$AC$8:$AC$27&lt;=C12)*'Master Plan'!$F$8:$F$27)+W_SYNC*SUMPRODUCT(('Master Plan'!$AH$8:$AH$27&lt;&gt;"")*('Master Plan'!$AH$8:$AH$27&lt;=C12)*'Master Plan'!$F$8:$F$27))/100/SUM('Master Plan'!$F$8:$F$27)</f>
        <v>0.975</v>
      </c>
      <c r="F12" s="202" t="str">
        <f aca="false">IF(B12&gt;ASOF,"",(W_INST*SUMPRODUCT(('Master Plan'!$N$8:$N$27&lt;&gt;"")*('Master Plan'!$N$8:$N$27&lt;=MIN(C12,ASOF))*'Master Plan'!$F$8:$F$27)+W_IEC*SUMPRODUCT(('Master Plan'!$P$8:$P$27&lt;&gt;"")*('Master Plan'!$P$8:$P$27&lt;=MIN(C12,ASOF))*'Master Plan'!$F$8:$F$27)+W_HO*SUMPRODUCT(('Master Plan'!$Q$8:$Q$27&lt;&gt;"")*('Master Plan'!$Q$8:$Q$27&lt;=MIN(C12,ASOF))*'Master Plan'!$F$8:$F$27)+W_GRID*SUMPRODUCT(('Master Plan'!$R$8:$R$27&lt;&gt;"")*('Master Plan'!$R$8:$R$27&lt;=MIN(C12,ASOF))*'Master Plan'!$F$8:$F$27)+W_SYNC*SUMPRODUCT(('Master Plan'!$X$8:$X$27&lt;&gt;"")*('Master Plan'!$X$8:$X$27&lt;=MIN(C12,ASOF))*'Master Plan'!$F$8:$F$27))/100/SUM('Master Plan'!$F$8:$F$27))</f>
        <v/>
      </c>
    </row>
    <row r="13" customFormat="false" ht="15" hidden="false" customHeight="false" outlineLevel="0" collapsed="false">
      <c r="A13" s="36" t="s">
        <v>1533</v>
      </c>
      <c r="B13" s="33" t="n">
        <f aca="false">'Master Plan'!BP7</f>
        <v>46377</v>
      </c>
      <c r="C13" s="33" t="n">
        <f aca="false">B13+6</f>
        <v>46383</v>
      </c>
      <c r="D13" s="202" t="n">
        <f aca="false">(W_INST*SUMPRODUCT(('Master Plan'!$H$8:$H$27&lt;&gt;"")*('Master Plan'!$H$8:$H$27+(-13)&lt;=C13)*'Master Plan'!$F$8:$F$27)+W_IEC*SUMPRODUCT(('Master Plan'!$H$8:$H$27&lt;&gt;"")*('Master Plan'!$H$8:$H$27+(-10)&lt;=C13)*'Master Plan'!$F$8:$F$27)+W_HO*SUMPRODUCT(('Master Plan'!$H$8:$H$27&lt;&gt;"")*('Master Plan'!$H$8:$H$27+(0)&lt;=C13)*'Master Plan'!$F$8:$F$27)+W_GRID*SUMPRODUCT(('Master Plan'!$H$8:$H$27&lt;&gt;"")*('Master Plan'!$H$8:$H$27+(-12)&lt;=C13)*'Master Plan'!$F$8:$F$27)+W_SYNC*SUMPRODUCT(('Master Plan'!$H$8:$H$27&lt;&gt;"")*('Master Plan'!$H$8:$H$27+(33)&lt;=C13)*'Master Plan'!$F$8:$F$27))/100/SUM('Master Plan'!$F$8:$F$27)</f>
        <v>0</v>
      </c>
      <c r="E13" s="202" t="n">
        <f aca="false">(W_INST*SUMPRODUCT(('Master Plan'!$Y$8:$Y$27&lt;&gt;"")*('Master Plan'!$Y$8:$Y$27&lt;=C13)*'Master Plan'!$F$8:$F$27)+W_IEC*SUMPRODUCT(('Master Plan'!$AA$8:$AA$27&lt;&gt;"")*('Master Plan'!$AA$8:$AA$27&lt;=C13)*'Master Plan'!$F$8:$F$27)+W_HO*SUMPRODUCT(('Master Plan'!$AB$8:$AB$27&lt;&gt;"")*('Master Plan'!$AB$8:$AB$27&lt;=C13)*'Master Plan'!$F$8:$F$27)+W_GRID*SUMPRODUCT(('Master Plan'!$AC$8:$AC$27&lt;&gt;"")*('Master Plan'!$AC$8:$AC$27&lt;=C13)*'Master Plan'!$F$8:$F$27)+W_SYNC*SUMPRODUCT(('Master Plan'!$AH$8:$AH$27&lt;&gt;"")*('Master Plan'!$AH$8:$AH$27&lt;=C13)*'Master Plan'!$F$8:$F$27))/100/SUM('Master Plan'!$F$8:$F$27)</f>
        <v>0.975</v>
      </c>
      <c r="F13" s="202" t="str">
        <f aca="false">IF(B13&gt;ASOF,"",(W_INST*SUMPRODUCT(('Master Plan'!$N$8:$N$27&lt;&gt;"")*('Master Plan'!$N$8:$N$27&lt;=MIN(C13,ASOF))*'Master Plan'!$F$8:$F$27)+W_IEC*SUMPRODUCT(('Master Plan'!$P$8:$P$27&lt;&gt;"")*('Master Plan'!$P$8:$P$27&lt;=MIN(C13,ASOF))*'Master Plan'!$F$8:$F$27)+W_HO*SUMPRODUCT(('Master Plan'!$Q$8:$Q$27&lt;&gt;"")*('Master Plan'!$Q$8:$Q$27&lt;=MIN(C13,ASOF))*'Master Plan'!$F$8:$F$27)+W_GRID*SUMPRODUCT(('Master Plan'!$R$8:$R$27&lt;&gt;"")*('Master Plan'!$R$8:$R$27&lt;=MIN(C13,ASOF))*'Master Plan'!$F$8:$F$27)+W_SYNC*SUMPRODUCT(('Master Plan'!$X$8:$X$27&lt;&gt;"")*('Master Plan'!$X$8:$X$27&lt;=MIN(C13,ASOF))*'Master Plan'!$F$8:$F$27))/100/SUM('Master Plan'!$F$8:$F$27))</f>
        <v/>
      </c>
    </row>
    <row r="14" customFormat="false" ht="15" hidden="false" customHeight="false" outlineLevel="0" collapsed="false">
      <c r="A14" s="36" t="s">
        <v>1534</v>
      </c>
      <c r="B14" s="33" t="n">
        <f aca="false">'Master Plan'!BQ7</f>
        <v>46384</v>
      </c>
      <c r="C14" s="33" t="n">
        <f aca="false">B14+6</f>
        <v>46390</v>
      </c>
      <c r="D14" s="202" t="n">
        <f aca="false">(W_INST*SUMPRODUCT(('Master Plan'!$H$8:$H$27&lt;&gt;"")*('Master Plan'!$H$8:$H$27+(-13)&lt;=C14)*'Master Plan'!$F$8:$F$27)+W_IEC*SUMPRODUCT(('Master Plan'!$H$8:$H$27&lt;&gt;"")*('Master Plan'!$H$8:$H$27+(-10)&lt;=C14)*'Master Plan'!$F$8:$F$27)+W_HO*SUMPRODUCT(('Master Plan'!$H$8:$H$27&lt;&gt;"")*('Master Plan'!$H$8:$H$27+(0)&lt;=C14)*'Master Plan'!$F$8:$F$27)+W_GRID*SUMPRODUCT(('Master Plan'!$H$8:$H$27&lt;&gt;"")*('Master Plan'!$H$8:$H$27+(-12)&lt;=C14)*'Master Plan'!$F$8:$F$27)+W_SYNC*SUMPRODUCT(('Master Plan'!$H$8:$H$27&lt;&gt;"")*('Master Plan'!$H$8:$H$27+(33)&lt;=C14)*'Master Plan'!$F$8:$F$27))/100/SUM('Master Plan'!$F$8:$F$27)</f>
        <v>0.9</v>
      </c>
      <c r="E14" s="202" t="n">
        <f aca="false">(W_INST*SUMPRODUCT(('Master Plan'!$Y$8:$Y$27&lt;&gt;"")*('Master Plan'!$Y$8:$Y$27&lt;=C14)*'Master Plan'!$F$8:$F$27)+W_IEC*SUMPRODUCT(('Master Plan'!$AA$8:$AA$27&lt;&gt;"")*('Master Plan'!$AA$8:$AA$27&lt;=C14)*'Master Plan'!$F$8:$F$27)+W_HO*SUMPRODUCT(('Master Plan'!$AB$8:$AB$27&lt;&gt;"")*('Master Plan'!$AB$8:$AB$27&lt;=C14)*'Master Plan'!$F$8:$F$27)+W_GRID*SUMPRODUCT(('Master Plan'!$AC$8:$AC$27&lt;&gt;"")*('Master Plan'!$AC$8:$AC$27&lt;=C14)*'Master Plan'!$F$8:$F$27)+W_SYNC*SUMPRODUCT(('Master Plan'!$AH$8:$AH$27&lt;&gt;"")*('Master Plan'!$AH$8:$AH$27&lt;=C14)*'Master Plan'!$F$8:$F$27))/100/SUM('Master Plan'!$F$8:$F$27)</f>
        <v>0.975</v>
      </c>
      <c r="F14" s="202" t="str">
        <f aca="false">IF(B14&gt;ASOF,"",(W_INST*SUMPRODUCT(('Master Plan'!$N$8:$N$27&lt;&gt;"")*('Master Plan'!$N$8:$N$27&lt;=MIN(C14,ASOF))*'Master Plan'!$F$8:$F$27)+W_IEC*SUMPRODUCT(('Master Plan'!$P$8:$P$27&lt;&gt;"")*('Master Plan'!$P$8:$P$27&lt;=MIN(C14,ASOF))*'Master Plan'!$F$8:$F$27)+W_HO*SUMPRODUCT(('Master Plan'!$Q$8:$Q$27&lt;&gt;"")*('Master Plan'!$Q$8:$Q$27&lt;=MIN(C14,ASOF))*'Master Plan'!$F$8:$F$27)+W_GRID*SUMPRODUCT(('Master Plan'!$R$8:$R$27&lt;&gt;"")*('Master Plan'!$R$8:$R$27&lt;=MIN(C14,ASOF))*'Master Plan'!$F$8:$F$27)+W_SYNC*SUMPRODUCT(('Master Plan'!$X$8:$X$27&lt;&gt;"")*('Master Plan'!$X$8:$X$27&lt;=MIN(C14,ASOF))*'Master Plan'!$F$8:$F$27))/100/SUM('Master Plan'!$F$8:$F$27))</f>
        <v/>
      </c>
    </row>
    <row r="15" customFormat="false" ht="15" hidden="false" customHeight="false" outlineLevel="0" collapsed="false">
      <c r="A15" s="36" t="s">
        <v>1535</v>
      </c>
      <c r="B15" s="33" t="n">
        <f aca="false">'Master Plan'!BR7</f>
        <v>46391</v>
      </c>
      <c r="C15" s="33" t="n">
        <f aca="false">B15+6</f>
        <v>46397</v>
      </c>
      <c r="D15" s="202" t="n">
        <f aca="false">(W_INST*SUMPRODUCT(('Master Plan'!$H$8:$H$27&lt;&gt;"")*('Master Plan'!$H$8:$H$27+(-13)&lt;=C15)*'Master Plan'!$F$8:$F$27)+W_IEC*SUMPRODUCT(('Master Plan'!$H$8:$H$27&lt;&gt;"")*('Master Plan'!$H$8:$H$27+(-10)&lt;=C15)*'Master Plan'!$F$8:$F$27)+W_HO*SUMPRODUCT(('Master Plan'!$H$8:$H$27&lt;&gt;"")*('Master Plan'!$H$8:$H$27+(0)&lt;=C15)*'Master Plan'!$F$8:$F$27)+W_GRID*SUMPRODUCT(('Master Plan'!$H$8:$H$27&lt;&gt;"")*('Master Plan'!$H$8:$H$27+(-12)&lt;=C15)*'Master Plan'!$F$8:$F$27)+W_SYNC*SUMPRODUCT(('Master Plan'!$H$8:$H$27&lt;&gt;"")*('Master Plan'!$H$8:$H$27+(33)&lt;=C15)*'Master Plan'!$F$8:$F$27))/100/SUM('Master Plan'!$F$8:$F$27)</f>
        <v>0.95</v>
      </c>
      <c r="E15" s="202" t="n">
        <f aca="false">(W_INST*SUMPRODUCT(('Master Plan'!$Y$8:$Y$27&lt;&gt;"")*('Master Plan'!$Y$8:$Y$27&lt;=C15)*'Master Plan'!$F$8:$F$27)+W_IEC*SUMPRODUCT(('Master Plan'!$AA$8:$AA$27&lt;&gt;"")*('Master Plan'!$AA$8:$AA$27&lt;=C15)*'Master Plan'!$F$8:$F$27)+W_HO*SUMPRODUCT(('Master Plan'!$AB$8:$AB$27&lt;&gt;"")*('Master Plan'!$AB$8:$AB$27&lt;=C15)*'Master Plan'!$F$8:$F$27)+W_GRID*SUMPRODUCT(('Master Plan'!$AC$8:$AC$27&lt;&gt;"")*('Master Plan'!$AC$8:$AC$27&lt;=C15)*'Master Plan'!$F$8:$F$27)+W_SYNC*SUMPRODUCT(('Master Plan'!$AH$8:$AH$27&lt;&gt;"")*('Master Plan'!$AH$8:$AH$27&lt;=C15)*'Master Plan'!$F$8:$F$27))/100/SUM('Master Plan'!$F$8:$F$27)</f>
        <v>0.975</v>
      </c>
      <c r="F15" s="202" t="str">
        <f aca="false">IF(B15&gt;ASOF,"",(W_INST*SUMPRODUCT(('Master Plan'!$N$8:$N$27&lt;&gt;"")*('Master Plan'!$N$8:$N$27&lt;=MIN(C15,ASOF))*'Master Plan'!$F$8:$F$27)+W_IEC*SUMPRODUCT(('Master Plan'!$P$8:$P$27&lt;&gt;"")*('Master Plan'!$P$8:$P$27&lt;=MIN(C15,ASOF))*'Master Plan'!$F$8:$F$27)+W_HO*SUMPRODUCT(('Master Plan'!$Q$8:$Q$27&lt;&gt;"")*('Master Plan'!$Q$8:$Q$27&lt;=MIN(C15,ASOF))*'Master Plan'!$F$8:$F$27)+W_GRID*SUMPRODUCT(('Master Plan'!$R$8:$R$27&lt;&gt;"")*('Master Plan'!$R$8:$R$27&lt;=MIN(C15,ASOF))*'Master Plan'!$F$8:$F$27)+W_SYNC*SUMPRODUCT(('Master Plan'!$X$8:$X$27&lt;&gt;"")*('Master Plan'!$X$8:$X$27&lt;=MIN(C15,ASOF))*'Master Plan'!$F$8:$F$27))/100/SUM('Master Plan'!$F$8:$F$27))</f>
        <v/>
      </c>
    </row>
    <row r="16" customFormat="false" ht="15" hidden="false" customHeight="false" outlineLevel="0" collapsed="false">
      <c r="A16" s="36" t="s">
        <v>1536</v>
      </c>
      <c r="B16" s="33" t="n">
        <f aca="false">'Master Plan'!BS7</f>
        <v>46398</v>
      </c>
      <c r="C16" s="33" t="n">
        <f aca="false">B16+6</f>
        <v>46404</v>
      </c>
      <c r="D16" s="202" t="n">
        <f aca="false">(W_INST*SUMPRODUCT(('Master Plan'!$H$8:$H$27&lt;&gt;"")*('Master Plan'!$H$8:$H$27+(-13)&lt;=C16)*'Master Plan'!$F$8:$F$27)+W_IEC*SUMPRODUCT(('Master Plan'!$H$8:$H$27&lt;&gt;"")*('Master Plan'!$H$8:$H$27+(-10)&lt;=C16)*'Master Plan'!$F$8:$F$27)+W_HO*SUMPRODUCT(('Master Plan'!$H$8:$H$27&lt;&gt;"")*('Master Plan'!$H$8:$H$27+(0)&lt;=C16)*'Master Plan'!$F$8:$F$27)+W_GRID*SUMPRODUCT(('Master Plan'!$H$8:$H$27&lt;&gt;"")*('Master Plan'!$H$8:$H$27+(-12)&lt;=C16)*'Master Plan'!$F$8:$F$27)+W_SYNC*SUMPRODUCT(('Master Plan'!$H$8:$H$27&lt;&gt;"")*('Master Plan'!$H$8:$H$27+(33)&lt;=C16)*'Master Plan'!$F$8:$F$27))/100/SUM('Master Plan'!$F$8:$F$27)</f>
        <v>0.975</v>
      </c>
      <c r="E16" s="202" t="n">
        <f aca="false">(W_INST*SUMPRODUCT(('Master Plan'!$Y$8:$Y$27&lt;&gt;"")*('Master Plan'!$Y$8:$Y$27&lt;=C16)*'Master Plan'!$F$8:$F$27)+W_IEC*SUMPRODUCT(('Master Plan'!$AA$8:$AA$27&lt;&gt;"")*('Master Plan'!$AA$8:$AA$27&lt;=C16)*'Master Plan'!$F$8:$F$27)+W_HO*SUMPRODUCT(('Master Plan'!$AB$8:$AB$27&lt;&gt;"")*('Master Plan'!$AB$8:$AB$27&lt;=C16)*'Master Plan'!$F$8:$F$27)+W_GRID*SUMPRODUCT(('Master Plan'!$AC$8:$AC$27&lt;&gt;"")*('Master Plan'!$AC$8:$AC$27&lt;=C16)*'Master Plan'!$F$8:$F$27)+W_SYNC*SUMPRODUCT(('Master Plan'!$AH$8:$AH$27&lt;&gt;"")*('Master Plan'!$AH$8:$AH$27&lt;=C16)*'Master Plan'!$F$8:$F$27))/100/SUM('Master Plan'!$F$8:$F$27)</f>
        <v>0.975</v>
      </c>
      <c r="F16" s="202" t="str">
        <f aca="false">IF(B16&gt;ASOF,"",(W_INST*SUMPRODUCT(('Master Plan'!$N$8:$N$27&lt;&gt;"")*('Master Plan'!$N$8:$N$27&lt;=MIN(C16,ASOF))*'Master Plan'!$F$8:$F$27)+W_IEC*SUMPRODUCT(('Master Plan'!$P$8:$P$27&lt;&gt;"")*('Master Plan'!$P$8:$P$27&lt;=MIN(C16,ASOF))*'Master Plan'!$F$8:$F$27)+W_HO*SUMPRODUCT(('Master Plan'!$Q$8:$Q$27&lt;&gt;"")*('Master Plan'!$Q$8:$Q$27&lt;=MIN(C16,ASOF))*'Master Plan'!$F$8:$F$27)+W_GRID*SUMPRODUCT(('Master Plan'!$R$8:$R$27&lt;&gt;"")*('Master Plan'!$R$8:$R$27&lt;=MIN(C16,ASOF))*'Master Plan'!$F$8:$F$27)+W_SYNC*SUMPRODUCT(('Master Plan'!$X$8:$X$27&lt;&gt;"")*('Master Plan'!$X$8:$X$27&lt;=MIN(C16,ASOF))*'Master Plan'!$F$8:$F$27))/100/SUM('Master Plan'!$F$8:$F$27))</f>
        <v/>
      </c>
    </row>
    <row r="17" customFormat="false" ht="15" hidden="false" customHeight="false" outlineLevel="0" collapsed="false">
      <c r="A17" s="36" t="s">
        <v>1537</v>
      </c>
      <c r="B17" s="33" t="n">
        <f aca="false">'Master Plan'!BT7</f>
        <v>46405</v>
      </c>
      <c r="C17" s="33" t="n">
        <f aca="false">B17+6</f>
        <v>46411</v>
      </c>
      <c r="D17" s="202" t="n">
        <f aca="false">(W_INST*SUMPRODUCT(('Master Plan'!$H$8:$H$27&lt;&gt;"")*('Master Plan'!$H$8:$H$27+(-13)&lt;=C17)*'Master Plan'!$F$8:$F$27)+W_IEC*SUMPRODUCT(('Master Plan'!$H$8:$H$27&lt;&gt;"")*('Master Plan'!$H$8:$H$27+(-10)&lt;=C17)*'Master Plan'!$F$8:$F$27)+W_HO*SUMPRODUCT(('Master Plan'!$H$8:$H$27&lt;&gt;"")*('Master Plan'!$H$8:$H$27+(0)&lt;=C17)*'Master Plan'!$F$8:$F$27)+W_GRID*SUMPRODUCT(('Master Plan'!$H$8:$H$27&lt;&gt;"")*('Master Plan'!$H$8:$H$27+(-12)&lt;=C17)*'Master Plan'!$F$8:$F$27)+W_SYNC*SUMPRODUCT(('Master Plan'!$H$8:$H$27&lt;&gt;"")*('Master Plan'!$H$8:$H$27+(33)&lt;=C17)*'Master Plan'!$F$8:$F$27))/100/SUM('Master Plan'!$F$8:$F$27)</f>
        <v>0.975</v>
      </c>
      <c r="E17" s="202" t="n">
        <f aca="false">(W_INST*SUMPRODUCT(('Master Plan'!$Y$8:$Y$27&lt;&gt;"")*('Master Plan'!$Y$8:$Y$27&lt;=C17)*'Master Plan'!$F$8:$F$27)+W_IEC*SUMPRODUCT(('Master Plan'!$AA$8:$AA$27&lt;&gt;"")*('Master Plan'!$AA$8:$AA$27&lt;=C17)*'Master Plan'!$F$8:$F$27)+W_HO*SUMPRODUCT(('Master Plan'!$AB$8:$AB$27&lt;&gt;"")*('Master Plan'!$AB$8:$AB$27&lt;=C17)*'Master Plan'!$F$8:$F$27)+W_GRID*SUMPRODUCT(('Master Plan'!$AC$8:$AC$27&lt;&gt;"")*('Master Plan'!$AC$8:$AC$27&lt;=C17)*'Master Plan'!$F$8:$F$27)+W_SYNC*SUMPRODUCT(('Master Plan'!$AH$8:$AH$27&lt;&gt;"")*('Master Plan'!$AH$8:$AH$27&lt;=C17)*'Master Plan'!$F$8:$F$27))/100/SUM('Master Plan'!$F$8:$F$27)</f>
        <v>0.975</v>
      </c>
      <c r="F17" s="202" t="str">
        <f aca="false">IF(B17&gt;ASOF,"",(W_INST*SUMPRODUCT(('Master Plan'!$N$8:$N$27&lt;&gt;"")*('Master Plan'!$N$8:$N$27&lt;=MIN(C17,ASOF))*'Master Plan'!$F$8:$F$27)+W_IEC*SUMPRODUCT(('Master Plan'!$P$8:$P$27&lt;&gt;"")*('Master Plan'!$P$8:$P$27&lt;=MIN(C17,ASOF))*'Master Plan'!$F$8:$F$27)+W_HO*SUMPRODUCT(('Master Plan'!$Q$8:$Q$27&lt;&gt;"")*('Master Plan'!$Q$8:$Q$27&lt;=MIN(C17,ASOF))*'Master Plan'!$F$8:$F$27)+W_GRID*SUMPRODUCT(('Master Plan'!$R$8:$R$27&lt;&gt;"")*('Master Plan'!$R$8:$R$27&lt;=MIN(C17,ASOF))*'Master Plan'!$F$8:$F$27)+W_SYNC*SUMPRODUCT(('Master Plan'!$X$8:$X$27&lt;&gt;"")*('Master Plan'!$X$8:$X$27&lt;=MIN(C17,ASOF))*'Master Plan'!$F$8:$F$27))/100/SUM('Master Plan'!$F$8:$F$27))</f>
        <v/>
      </c>
    </row>
    <row r="18" customFormat="false" ht="15" hidden="false" customHeight="false" outlineLevel="0" collapsed="false">
      <c r="A18" s="36" t="s">
        <v>1538</v>
      </c>
      <c r="B18" s="33" t="n">
        <f aca="false">'Master Plan'!BU7</f>
        <v>46412</v>
      </c>
      <c r="C18" s="33" t="n">
        <f aca="false">B18+6</f>
        <v>46418</v>
      </c>
      <c r="D18" s="202" t="n">
        <f aca="false">(W_INST*SUMPRODUCT(('Master Plan'!$H$8:$H$27&lt;&gt;"")*('Master Plan'!$H$8:$H$27+(-13)&lt;=C18)*'Master Plan'!$F$8:$F$27)+W_IEC*SUMPRODUCT(('Master Plan'!$H$8:$H$27&lt;&gt;"")*('Master Plan'!$H$8:$H$27+(-10)&lt;=C18)*'Master Plan'!$F$8:$F$27)+W_HO*SUMPRODUCT(('Master Plan'!$H$8:$H$27&lt;&gt;"")*('Master Plan'!$H$8:$H$27+(0)&lt;=C18)*'Master Plan'!$F$8:$F$27)+W_GRID*SUMPRODUCT(('Master Plan'!$H$8:$H$27&lt;&gt;"")*('Master Plan'!$H$8:$H$27+(-12)&lt;=C18)*'Master Plan'!$F$8:$F$27)+W_SYNC*SUMPRODUCT(('Master Plan'!$H$8:$H$27&lt;&gt;"")*('Master Plan'!$H$8:$H$27+(33)&lt;=C18)*'Master Plan'!$F$8:$F$27))/100/SUM('Master Plan'!$F$8:$F$27)</f>
        <v>0.975</v>
      </c>
      <c r="E18" s="202" t="n">
        <f aca="false">(W_INST*SUMPRODUCT(('Master Plan'!$Y$8:$Y$27&lt;&gt;"")*('Master Plan'!$Y$8:$Y$27&lt;=C18)*'Master Plan'!$F$8:$F$27)+W_IEC*SUMPRODUCT(('Master Plan'!$AA$8:$AA$27&lt;&gt;"")*('Master Plan'!$AA$8:$AA$27&lt;=C18)*'Master Plan'!$F$8:$F$27)+W_HO*SUMPRODUCT(('Master Plan'!$AB$8:$AB$27&lt;&gt;"")*('Master Plan'!$AB$8:$AB$27&lt;=C18)*'Master Plan'!$F$8:$F$27)+W_GRID*SUMPRODUCT(('Master Plan'!$AC$8:$AC$27&lt;&gt;"")*('Master Plan'!$AC$8:$AC$27&lt;=C18)*'Master Plan'!$F$8:$F$27)+W_SYNC*SUMPRODUCT(('Master Plan'!$AH$8:$AH$27&lt;&gt;"")*('Master Plan'!$AH$8:$AH$27&lt;=C18)*'Master Plan'!$F$8:$F$27))/100/SUM('Master Plan'!$F$8:$F$27)</f>
        <v>0.975</v>
      </c>
      <c r="F18" s="202" t="str">
        <f aca="false">IF(B18&gt;ASOF,"",(W_INST*SUMPRODUCT(('Master Plan'!$N$8:$N$27&lt;&gt;"")*('Master Plan'!$N$8:$N$27&lt;=MIN(C18,ASOF))*'Master Plan'!$F$8:$F$27)+W_IEC*SUMPRODUCT(('Master Plan'!$P$8:$P$27&lt;&gt;"")*('Master Plan'!$P$8:$P$27&lt;=MIN(C18,ASOF))*'Master Plan'!$F$8:$F$27)+W_HO*SUMPRODUCT(('Master Plan'!$Q$8:$Q$27&lt;&gt;"")*('Master Plan'!$Q$8:$Q$27&lt;=MIN(C18,ASOF))*'Master Plan'!$F$8:$F$27)+W_GRID*SUMPRODUCT(('Master Plan'!$R$8:$R$27&lt;&gt;"")*('Master Plan'!$R$8:$R$27&lt;=MIN(C18,ASOF))*'Master Plan'!$F$8:$F$27)+W_SYNC*SUMPRODUCT(('Master Plan'!$X$8:$X$27&lt;&gt;"")*('Master Plan'!$X$8:$X$27&lt;=MIN(C18,ASOF))*'Master Plan'!$F$8:$F$27))/100/SUM('Master Plan'!$F$8:$F$27))</f>
        <v/>
      </c>
    </row>
    <row r="19" customFormat="false" ht="15" hidden="false" customHeight="false" outlineLevel="0" collapsed="false">
      <c r="A19" s="36" t="s">
        <v>1539</v>
      </c>
      <c r="B19" s="33" t="n">
        <f aca="false">'Master Plan'!BV7</f>
        <v>46419</v>
      </c>
      <c r="C19" s="33" t="n">
        <f aca="false">B19+6</f>
        <v>46425</v>
      </c>
      <c r="D19" s="202" t="n">
        <f aca="false">(W_INST*SUMPRODUCT(('Master Plan'!$H$8:$H$27&lt;&gt;"")*('Master Plan'!$H$8:$H$27+(-13)&lt;=C19)*'Master Plan'!$F$8:$F$27)+W_IEC*SUMPRODUCT(('Master Plan'!$H$8:$H$27&lt;&gt;"")*('Master Plan'!$H$8:$H$27+(-10)&lt;=C19)*'Master Plan'!$F$8:$F$27)+W_HO*SUMPRODUCT(('Master Plan'!$H$8:$H$27&lt;&gt;"")*('Master Plan'!$H$8:$H$27+(0)&lt;=C19)*'Master Plan'!$F$8:$F$27)+W_GRID*SUMPRODUCT(('Master Plan'!$H$8:$H$27&lt;&gt;"")*('Master Plan'!$H$8:$H$27+(-12)&lt;=C19)*'Master Plan'!$F$8:$F$27)+W_SYNC*SUMPRODUCT(('Master Plan'!$H$8:$H$27&lt;&gt;"")*('Master Plan'!$H$8:$H$27+(33)&lt;=C19)*'Master Plan'!$F$8:$F$27))/100/SUM('Master Plan'!$F$8:$F$27)</f>
        <v>0.975</v>
      </c>
      <c r="E19" s="202" t="n">
        <f aca="false">(W_INST*SUMPRODUCT(('Master Plan'!$Y$8:$Y$27&lt;&gt;"")*('Master Plan'!$Y$8:$Y$27&lt;=C19)*'Master Plan'!$F$8:$F$27)+W_IEC*SUMPRODUCT(('Master Plan'!$AA$8:$AA$27&lt;&gt;"")*('Master Plan'!$AA$8:$AA$27&lt;=C19)*'Master Plan'!$F$8:$F$27)+W_HO*SUMPRODUCT(('Master Plan'!$AB$8:$AB$27&lt;&gt;"")*('Master Plan'!$AB$8:$AB$27&lt;=C19)*'Master Plan'!$F$8:$F$27)+W_GRID*SUMPRODUCT(('Master Plan'!$AC$8:$AC$27&lt;&gt;"")*('Master Plan'!$AC$8:$AC$27&lt;=C19)*'Master Plan'!$F$8:$F$27)+W_SYNC*SUMPRODUCT(('Master Plan'!$AH$8:$AH$27&lt;&gt;"")*('Master Plan'!$AH$8:$AH$27&lt;=C19)*'Master Plan'!$F$8:$F$27))/100/SUM('Master Plan'!$F$8:$F$27)</f>
        <v>0.975</v>
      </c>
      <c r="F19" s="202" t="str">
        <f aca="false">IF(B19&gt;ASOF,"",(W_INST*SUMPRODUCT(('Master Plan'!$N$8:$N$27&lt;&gt;"")*('Master Plan'!$N$8:$N$27&lt;=MIN(C19,ASOF))*'Master Plan'!$F$8:$F$27)+W_IEC*SUMPRODUCT(('Master Plan'!$P$8:$P$27&lt;&gt;"")*('Master Plan'!$P$8:$P$27&lt;=MIN(C19,ASOF))*'Master Plan'!$F$8:$F$27)+W_HO*SUMPRODUCT(('Master Plan'!$Q$8:$Q$27&lt;&gt;"")*('Master Plan'!$Q$8:$Q$27&lt;=MIN(C19,ASOF))*'Master Plan'!$F$8:$F$27)+W_GRID*SUMPRODUCT(('Master Plan'!$R$8:$R$27&lt;&gt;"")*('Master Plan'!$R$8:$R$27&lt;=MIN(C19,ASOF))*'Master Plan'!$F$8:$F$27)+W_SYNC*SUMPRODUCT(('Master Plan'!$X$8:$X$27&lt;&gt;"")*('Master Plan'!$X$8:$X$27&lt;=MIN(C19,ASOF))*'Master Plan'!$F$8:$F$27))/100/SUM('Master Plan'!$F$8:$F$27))</f>
        <v/>
      </c>
    </row>
    <row r="20" customFormat="false" ht="15" hidden="false" customHeight="false" outlineLevel="0" collapsed="false">
      <c r="A20" s="36" t="s">
        <v>1540</v>
      </c>
      <c r="B20" s="33" t="n">
        <f aca="false">'Master Plan'!BW7</f>
        <v>46426</v>
      </c>
      <c r="C20" s="33" t="n">
        <f aca="false">B20+6</f>
        <v>46432</v>
      </c>
      <c r="D20" s="202" t="n">
        <f aca="false">(W_INST*SUMPRODUCT(('Master Plan'!$H$8:$H$27&lt;&gt;"")*('Master Plan'!$H$8:$H$27+(-13)&lt;=C20)*'Master Plan'!$F$8:$F$27)+W_IEC*SUMPRODUCT(('Master Plan'!$H$8:$H$27&lt;&gt;"")*('Master Plan'!$H$8:$H$27+(-10)&lt;=C20)*'Master Plan'!$F$8:$F$27)+W_HO*SUMPRODUCT(('Master Plan'!$H$8:$H$27&lt;&gt;"")*('Master Plan'!$H$8:$H$27+(0)&lt;=C20)*'Master Plan'!$F$8:$F$27)+W_GRID*SUMPRODUCT(('Master Plan'!$H$8:$H$27&lt;&gt;"")*('Master Plan'!$H$8:$H$27+(-12)&lt;=C20)*'Master Plan'!$F$8:$F$27)+W_SYNC*SUMPRODUCT(('Master Plan'!$H$8:$H$27&lt;&gt;"")*('Master Plan'!$H$8:$H$27+(33)&lt;=C20)*'Master Plan'!$F$8:$F$27))/100/SUM('Master Plan'!$F$8:$F$27)</f>
        <v>0.975</v>
      </c>
      <c r="E20" s="202" t="n">
        <f aca="false">(W_INST*SUMPRODUCT(('Master Plan'!$Y$8:$Y$27&lt;&gt;"")*('Master Plan'!$Y$8:$Y$27&lt;=C20)*'Master Plan'!$F$8:$F$27)+W_IEC*SUMPRODUCT(('Master Plan'!$AA$8:$AA$27&lt;&gt;"")*('Master Plan'!$AA$8:$AA$27&lt;=C20)*'Master Plan'!$F$8:$F$27)+W_HO*SUMPRODUCT(('Master Plan'!$AB$8:$AB$27&lt;&gt;"")*('Master Plan'!$AB$8:$AB$27&lt;=C20)*'Master Plan'!$F$8:$F$27)+W_GRID*SUMPRODUCT(('Master Plan'!$AC$8:$AC$27&lt;&gt;"")*('Master Plan'!$AC$8:$AC$27&lt;=C20)*'Master Plan'!$F$8:$F$27)+W_SYNC*SUMPRODUCT(('Master Plan'!$AH$8:$AH$27&lt;&gt;"")*('Master Plan'!$AH$8:$AH$27&lt;=C20)*'Master Plan'!$F$8:$F$27))/100/SUM('Master Plan'!$F$8:$F$27)</f>
        <v>0.975</v>
      </c>
      <c r="F20" s="202" t="str">
        <f aca="false">IF(B20&gt;ASOF,"",(W_INST*SUMPRODUCT(('Master Plan'!$N$8:$N$27&lt;&gt;"")*('Master Plan'!$N$8:$N$27&lt;=MIN(C20,ASOF))*'Master Plan'!$F$8:$F$27)+W_IEC*SUMPRODUCT(('Master Plan'!$P$8:$P$27&lt;&gt;"")*('Master Plan'!$P$8:$P$27&lt;=MIN(C20,ASOF))*'Master Plan'!$F$8:$F$27)+W_HO*SUMPRODUCT(('Master Plan'!$Q$8:$Q$27&lt;&gt;"")*('Master Plan'!$Q$8:$Q$27&lt;=MIN(C20,ASOF))*'Master Plan'!$F$8:$F$27)+W_GRID*SUMPRODUCT(('Master Plan'!$R$8:$R$27&lt;&gt;"")*('Master Plan'!$R$8:$R$27&lt;=MIN(C20,ASOF))*'Master Plan'!$F$8:$F$27)+W_SYNC*SUMPRODUCT(('Master Plan'!$X$8:$X$27&lt;&gt;"")*('Master Plan'!$X$8:$X$27&lt;=MIN(C20,ASOF))*'Master Plan'!$F$8:$F$27))/100/SUM('Master Plan'!$F$8:$F$27))</f>
        <v/>
      </c>
    </row>
    <row r="21" customFormat="false" ht="15" hidden="false" customHeight="false" outlineLevel="0" collapsed="false">
      <c r="A21" s="36" t="s">
        <v>1541</v>
      </c>
      <c r="B21" s="33" t="n">
        <f aca="false">'Master Plan'!BX7</f>
        <v>46433</v>
      </c>
      <c r="C21" s="33" t="n">
        <f aca="false">B21+6</f>
        <v>46439</v>
      </c>
      <c r="D21" s="202" t="n">
        <f aca="false">(W_INST*SUMPRODUCT(('Master Plan'!$H$8:$H$27&lt;&gt;"")*('Master Plan'!$H$8:$H$27+(-13)&lt;=C21)*'Master Plan'!$F$8:$F$27)+W_IEC*SUMPRODUCT(('Master Plan'!$H$8:$H$27&lt;&gt;"")*('Master Plan'!$H$8:$H$27+(-10)&lt;=C21)*'Master Plan'!$F$8:$F$27)+W_HO*SUMPRODUCT(('Master Plan'!$H$8:$H$27&lt;&gt;"")*('Master Plan'!$H$8:$H$27+(0)&lt;=C21)*'Master Plan'!$F$8:$F$27)+W_GRID*SUMPRODUCT(('Master Plan'!$H$8:$H$27&lt;&gt;"")*('Master Plan'!$H$8:$H$27+(-12)&lt;=C21)*'Master Plan'!$F$8:$F$27)+W_SYNC*SUMPRODUCT(('Master Plan'!$H$8:$H$27&lt;&gt;"")*('Master Plan'!$H$8:$H$27+(33)&lt;=C21)*'Master Plan'!$F$8:$F$27))/100/SUM('Master Plan'!$F$8:$F$27)</f>
        <v>1</v>
      </c>
      <c r="E21" s="202" t="n">
        <f aca="false">(W_INST*SUMPRODUCT(('Master Plan'!$Y$8:$Y$27&lt;&gt;"")*('Master Plan'!$Y$8:$Y$27&lt;=C21)*'Master Plan'!$F$8:$F$27)+W_IEC*SUMPRODUCT(('Master Plan'!$AA$8:$AA$27&lt;&gt;"")*('Master Plan'!$AA$8:$AA$27&lt;=C21)*'Master Plan'!$F$8:$F$27)+W_HO*SUMPRODUCT(('Master Plan'!$AB$8:$AB$27&lt;&gt;"")*('Master Plan'!$AB$8:$AB$27&lt;=C21)*'Master Plan'!$F$8:$F$27)+W_GRID*SUMPRODUCT(('Master Plan'!$AC$8:$AC$27&lt;&gt;"")*('Master Plan'!$AC$8:$AC$27&lt;=C21)*'Master Plan'!$F$8:$F$27)+W_SYNC*SUMPRODUCT(('Master Plan'!$AH$8:$AH$27&lt;&gt;"")*('Master Plan'!$AH$8:$AH$27&lt;=C21)*'Master Plan'!$F$8:$F$27))/100/SUM('Master Plan'!$F$8:$F$27)</f>
        <v>1</v>
      </c>
      <c r="F21" s="202" t="str">
        <f aca="false">IF(B21&gt;ASOF,"",(W_INST*SUMPRODUCT(('Master Plan'!$N$8:$N$27&lt;&gt;"")*('Master Plan'!$N$8:$N$27&lt;=MIN(C21,ASOF))*'Master Plan'!$F$8:$F$27)+W_IEC*SUMPRODUCT(('Master Plan'!$P$8:$P$27&lt;&gt;"")*('Master Plan'!$P$8:$P$27&lt;=MIN(C21,ASOF))*'Master Plan'!$F$8:$F$27)+W_HO*SUMPRODUCT(('Master Plan'!$Q$8:$Q$27&lt;&gt;"")*('Master Plan'!$Q$8:$Q$27&lt;=MIN(C21,ASOF))*'Master Plan'!$F$8:$F$27)+W_GRID*SUMPRODUCT(('Master Plan'!$R$8:$R$27&lt;&gt;"")*('Master Plan'!$R$8:$R$27&lt;=MIN(C21,ASOF))*'Master Plan'!$F$8:$F$27)+W_SYNC*SUMPRODUCT(('Master Plan'!$X$8:$X$27&lt;&gt;"")*('Master Plan'!$X$8:$X$27&lt;=MIN(C21,ASOF))*'Master Plan'!$F$8:$F$27))/100/SUM('Master Plan'!$F$8:$F$27))</f>
        <v/>
      </c>
    </row>
    <row r="22" customFormat="false" ht="15" hidden="false" customHeight="false" outlineLevel="0" collapsed="false">
      <c r="A22" s="36" t="s">
        <v>1542</v>
      </c>
      <c r="B22" s="33" t="n">
        <f aca="false">'Master Plan'!BY7</f>
        <v>46440</v>
      </c>
      <c r="C22" s="33" t="n">
        <f aca="false">B22+6</f>
        <v>46446</v>
      </c>
      <c r="D22" s="202" t="n">
        <f aca="false">(W_INST*SUMPRODUCT(('Master Plan'!$H$8:$H$27&lt;&gt;"")*('Master Plan'!$H$8:$H$27+(-13)&lt;=C22)*'Master Plan'!$F$8:$F$27)+W_IEC*SUMPRODUCT(('Master Plan'!$H$8:$H$27&lt;&gt;"")*('Master Plan'!$H$8:$H$27+(-10)&lt;=C22)*'Master Plan'!$F$8:$F$27)+W_HO*SUMPRODUCT(('Master Plan'!$H$8:$H$27&lt;&gt;"")*('Master Plan'!$H$8:$H$27+(0)&lt;=C22)*'Master Plan'!$F$8:$F$27)+W_GRID*SUMPRODUCT(('Master Plan'!$H$8:$H$27&lt;&gt;"")*('Master Plan'!$H$8:$H$27+(-12)&lt;=C22)*'Master Plan'!$F$8:$F$27)+W_SYNC*SUMPRODUCT(('Master Plan'!$H$8:$H$27&lt;&gt;"")*('Master Plan'!$H$8:$H$27+(33)&lt;=C22)*'Master Plan'!$F$8:$F$27))/100/SUM('Master Plan'!$F$8:$F$27)</f>
        <v>1</v>
      </c>
      <c r="E22" s="202" t="n">
        <f aca="false">(W_INST*SUMPRODUCT(('Master Plan'!$Y$8:$Y$27&lt;&gt;"")*('Master Plan'!$Y$8:$Y$27&lt;=C22)*'Master Plan'!$F$8:$F$27)+W_IEC*SUMPRODUCT(('Master Plan'!$AA$8:$AA$27&lt;&gt;"")*('Master Plan'!$AA$8:$AA$27&lt;=C22)*'Master Plan'!$F$8:$F$27)+W_HO*SUMPRODUCT(('Master Plan'!$AB$8:$AB$27&lt;&gt;"")*('Master Plan'!$AB$8:$AB$27&lt;=C22)*'Master Plan'!$F$8:$F$27)+W_GRID*SUMPRODUCT(('Master Plan'!$AC$8:$AC$27&lt;&gt;"")*('Master Plan'!$AC$8:$AC$27&lt;=C22)*'Master Plan'!$F$8:$F$27)+W_SYNC*SUMPRODUCT(('Master Plan'!$AH$8:$AH$27&lt;&gt;"")*('Master Plan'!$AH$8:$AH$27&lt;=C22)*'Master Plan'!$F$8:$F$27))/100/SUM('Master Plan'!$F$8:$F$27)</f>
        <v>1</v>
      </c>
      <c r="F22" s="202" t="str">
        <f aca="false">IF(B22&gt;ASOF,"",(W_INST*SUMPRODUCT(('Master Plan'!$N$8:$N$27&lt;&gt;"")*('Master Plan'!$N$8:$N$27&lt;=MIN(C22,ASOF))*'Master Plan'!$F$8:$F$27)+W_IEC*SUMPRODUCT(('Master Plan'!$P$8:$P$27&lt;&gt;"")*('Master Plan'!$P$8:$P$27&lt;=MIN(C22,ASOF))*'Master Plan'!$F$8:$F$27)+W_HO*SUMPRODUCT(('Master Plan'!$Q$8:$Q$27&lt;&gt;"")*('Master Plan'!$Q$8:$Q$27&lt;=MIN(C22,ASOF))*'Master Plan'!$F$8:$F$27)+W_GRID*SUMPRODUCT(('Master Plan'!$R$8:$R$27&lt;&gt;"")*('Master Plan'!$R$8:$R$27&lt;=MIN(C22,ASOF))*'Master Plan'!$F$8:$F$27)+W_SYNC*SUMPRODUCT(('Master Plan'!$X$8:$X$27&lt;&gt;"")*('Master Plan'!$X$8:$X$27&lt;=MIN(C22,ASOF))*'Master Plan'!$F$8:$F$27))/100/SUM('Master Plan'!$F$8:$F$27))</f>
        <v/>
      </c>
    </row>
    <row r="23" customFormat="false" ht="15" hidden="false" customHeight="false" outlineLevel="0" collapsed="false">
      <c r="A23" s="36" t="s">
        <v>1543</v>
      </c>
      <c r="B23" s="33" t="n">
        <f aca="false">'Master Plan'!BZ7</f>
        <v>46447</v>
      </c>
      <c r="C23" s="33" t="n">
        <f aca="false">B23+6</f>
        <v>46453</v>
      </c>
      <c r="D23" s="202" t="n">
        <f aca="false">(W_INST*SUMPRODUCT(('Master Plan'!$H$8:$H$27&lt;&gt;"")*('Master Plan'!$H$8:$H$27+(-13)&lt;=C23)*'Master Plan'!$F$8:$F$27)+W_IEC*SUMPRODUCT(('Master Plan'!$H$8:$H$27&lt;&gt;"")*('Master Plan'!$H$8:$H$27+(-10)&lt;=C23)*'Master Plan'!$F$8:$F$27)+W_HO*SUMPRODUCT(('Master Plan'!$H$8:$H$27&lt;&gt;"")*('Master Plan'!$H$8:$H$27+(0)&lt;=C23)*'Master Plan'!$F$8:$F$27)+W_GRID*SUMPRODUCT(('Master Plan'!$H$8:$H$27&lt;&gt;"")*('Master Plan'!$H$8:$H$27+(-12)&lt;=C23)*'Master Plan'!$F$8:$F$27)+W_SYNC*SUMPRODUCT(('Master Plan'!$H$8:$H$27&lt;&gt;"")*('Master Plan'!$H$8:$H$27+(33)&lt;=C23)*'Master Plan'!$F$8:$F$27))/100/SUM('Master Plan'!$F$8:$F$27)</f>
        <v>1</v>
      </c>
      <c r="E23" s="202" t="n">
        <f aca="false">(W_INST*SUMPRODUCT(('Master Plan'!$Y$8:$Y$27&lt;&gt;"")*('Master Plan'!$Y$8:$Y$27&lt;=C23)*'Master Plan'!$F$8:$F$27)+W_IEC*SUMPRODUCT(('Master Plan'!$AA$8:$AA$27&lt;&gt;"")*('Master Plan'!$AA$8:$AA$27&lt;=C23)*'Master Plan'!$F$8:$F$27)+W_HO*SUMPRODUCT(('Master Plan'!$AB$8:$AB$27&lt;&gt;"")*('Master Plan'!$AB$8:$AB$27&lt;=C23)*'Master Plan'!$F$8:$F$27)+W_GRID*SUMPRODUCT(('Master Plan'!$AC$8:$AC$27&lt;&gt;"")*('Master Plan'!$AC$8:$AC$27&lt;=C23)*'Master Plan'!$F$8:$F$27)+W_SYNC*SUMPRODUCT(('Master Plan'!$AH$8:$AH$27&lt;&gt;"")*('Master Plan'!$AH$8:$AH$27&lt;=C23)*'Master Plan'!$F$8:$F$27))/100/SUM('Master Plan'!$F$8:$F$27)</f>
        <v>1</v>
      </c>
      <c r="F23" s="202" t="str">
        <f aca="false">IF(B23&gt;ASOF,"",(W_INST*SUMPRODUCT(('Master Plan'!$N$8:$N$27&lt;&gt;"")*('Master Plan'!$N$8:$N$27&lt;=MIN(C23,ASOF))*'Master Plan'!$F$8:$F$27)+W_IEC*SUMPRODUCT(('Master Plan'!$P$8:$P$27&lt;&gt;"")*('Master Plan'!$P$8:$P$27&lt;=MIN(C23,ASOF))*'Master Plan'!$F$8:$F$27)+W_HO*SUMPRODUCT(('Master Plan'!$Q$8:$Q$27&lt;&gt;"")*('Master Plan'!$Q$8:$Q$27&lt;=MIN(C23,ASOF))*'Master Plan'!$F$8:$F$27)+W_GRID*SUMPRODUCT(('Master Plan'!$R$8:$R$27&lt;&gt;"")*('Master Plan'!$R$8:$R$27&lt;=MIN(C23,ASOF))*'Master Plan'!$F$8:$F$27)+W_SYNC*SUMPRODUCT(('Master Plan'!$X$8:$X$27&lt;&gt;"")*('Master Plan'!$X$8:$X$27&lt;=MIN(C23,ASOF))*'Master Plan'!$F$8:$F$27))/100/SUM('Master Plan'!$F$8:$F$27))</f>
        <v/>
      </c>
    </row>
    <row r="24" customFormat="false" ht="15" hidden="false" customHeight="false" outlineLevel="0" collapsed="false">
      <c r="A24" s="36" t="s">
        <v>1544</v>
      </c>
      <c r="B24" s="33" t="n">
        <f aca="false">'Master Plan'!CA7</f>
        <v>46454</v>
      </c>
      <c r="C24" s="33" t="n">
        <f aca="false">B24+6</f>
        <v>46460</v>
      </c>
      <c r="D24" s="202" t="n">
        <f aca="false">(W_INST*SUMPRODUCT(('Master Plan'!$H$8:$H$27&lt;&gt;"")*('Master Plan'!$H$8:$H$27+(-13)&lt;=C24)*'Master Plan'!$F$8:$F$27)+W_IEC*SUMPRODUCT(('Master Plan'!$H$8:$H$27&lt;&gt;"")*('Master Plan'!$H$8:$H$27+(-10)&lt;=C24)*'Master Plan'!$F$8:$F$27)+W_HO*SUMPRODUCT(('Master Plan'!$H$8:$H$27&lt;&gt;"")*('Master Plan'!$H$8:$H$27+(0)&lt;=C24)*'Master Plan'!$F$8:$F$27)+W_GRID*SUMPRODUCT(('Master Plan'!$H$8:$H$27&lt;&gt;"")*('Master Plan'!$H$8:$H$27+(-12)&lt;=C24)*'Master Plan'!$F$8:$F$27)+W_SYNC*SUMPRODUCT(('Master Plan'!$H$8:$H$27&lt;&gt;"")*('Master Plan'!$H$8:$H$27+(33)&lt;=C24)*'Master Plan'!$F$8:$F$27))/100/SUM('Master Plan'!$F$8:$F$27)</f>
        <v>1</v>
      </c>
      <c r="E24" s="202" t="n">
        <f aca="false">(W_INST*SUMPRODUCT(('Master Plan'!$Y$8:$Y$27&lt;&gt;"")*('Master Plan'!$Y$8:$Y$27&lt;=C24)*'Master Plan'!$F$8:$F$27)+W_IEC*SUMPRODUCT(('Master Plan'!$AA$8:$AA$27&lt;&gt;"")*('Master Plan'!$AA$8:$AA$27&lt;=C24)*'Master Plan'!$F$8:$F$27)+W_HO*SUMPRODUCT(('Master Plan'!$AB$8:$AB$27&lt;&gt;"")*('Master Plan'!$AB$8:$AB$27&lt;=C24)*'Master Plan'!$F$8:$F$27)+W_GRID*SUMPRODUCT(('Master Plan'!$AC$8:$AC$27&lt;&gt;"")*('Master Plan'!$AC$8:$AC$27&lt;=C24)*'Master Plan'!$F$8:$F$27)+W_SYNC*SUMPRODUCT(('Master Plan'!$AH$8:$AH$27&lt;&gt;"")*('Master Plan'!$AH$8:$AH$27&lt;=C24)*'Master Plan'!$F$8:$F$27))/100/SUM('Master Plan'!$F$8:$F$27)</f>
        <v>1</v>
      </c>
      <c r="F24" s="202" t="str">
        <f aca="false">IF(B24&gt;ASOF,"",(W_INST*SUMPRODUCT(('Master Plan'!$N$8:$N$27&lt;&gt;"")*('Master Plan'!$N$8:$N$27&lt;=MIN(C24,ASOF))*'Master Plan'!$F$8:$F$27)+W_IEC*SUMPRODUCT(('Master Plan'!$P$8:$P$27&lt;&gt;"")*('Master Plan'!$P$8:$P$27&lt;=MIN(C24,ASOF))*'Master Plan'!$F$8:$F$27)+W_HO*SUMPRODUCT(('Master Plan'!$Q$8:$Q$27&lt;&gt;"")*('Master Plan'!$Q$8:$Q$27&lt;=MIN(C24,ASOF))*'Master Plan'!$F$8:$F$27)+W_GRID*SUMPRODUCT(('Master Plan'!$R$8:$R$27&lt;&gt;"")*('Master Plan'!$R$8:$R$27&lt;=MIN(C24,ASOF))*'Master Plan'!$F$8:$F$27)+W_SYNC*SUMPRODUCT(('Master Plan'!$X$8:$X$27&lt;&gt;"")*('Master Plan'!$X$8:$X$27&lt;=MIN(C24,ASOF))*'Master Plan'!$F$8:$F$27))/100/SUM('Master Plan'!$F$8:$F$27))</f>
        <v/>
      </c>
    </row>
    <row r="25" customFormat="false" ht="15" hidden="false" customHeight="false" outlineLevel="0" collapsed="false">
      <c r="A25" s="36" t="s">
        <v>1545</v>
      </c>
      <c r="B25" s="33" t="n">
        <f aca="false">'Master Plan'!CB7</f>
        <v>46461</v>
      </c>
      <c r="C25" s="33" t="n">
        <f aca="false">B25+6</f>
        <v>46467</v>
      </c>
      <c r="D25" s="202" t="n">
        <f aca="false">(W_INST*SUMPRODUCT(('Master Plan'!$H$8:$H$27&lt;&gt;"")*('Master Plan'!$H$8:$H$27+(-13)&lt;=C25)*'Master Plan'!$F$8:$F$27)+W_IEC*SUMPRODUCT(('Master Plan'!$H$8:$H$27&lt;&gt;"")*('Master Plan'!$H$8:$H$27+(-10)&lt;=C25)*'Master Plan'!$F$8:$F$27)+W_HO*SUMPRODUCT(('Master Plan'!$H$8:$H$27&lt;&gt;"")*('Master Plan'!$H$8:$H$27+(0)&lt;=C25)*'Master Plan'!$F$8:$F$27)+W_GRID*SUMPRODUCT(('Master Plan'!$H$8:$H$27&lt;&gt;"")*('Master Plan'!$H$8:$H$27+(-12)&lt;=C25)*'Master Plan'!$F$8:$F$27)+W_SYNC*SUMPRODUCT(('Master Plan'!$H$8:$H$27&lt;&gt;"")*('Master Plan'!$H$8:$H$27+(33)&lt;=C25)*'Master Plan'!$F$8:$F$27))/100/SUM('Master Plan'!$F$8:$F$27)</f>
        <v>1</v>
      </c>
      <c r="E25" s="202" t="n">
        <f aca="false">(W_INST*SUMPRODUCT(('Master Plan'!$Y$8:$Y$27&lt;&gt;"")*('Master Plan'!$Y$8:$Y$27&lt;=C25)*'Master Plan'!$F$8:$F$27)+W_IEC*SUMPRODUCT(('Master Plan'!$AA$8:$AA$27&lt;&gt;"")*('Master Plan'!$AA$8:$AA$27&lt;=C25)*'Master Plan'!$F$8:$F$27)+W_HO*SUMPRODUCT(('Master Plan'!$AB$8:$AB$27&lt;&gt;"")*('Master Plan'!$AB$8:$AB$27&lt;=C25)*'Master Plan'!$F$8:$F$27)+W_GRID*SUMPRODUCT(('Master Plan'!$AC$8:$AC$27&lt;&gt;"")*('Master Plan'!$AC$8:$AC$27&lt;=C25)*'Master Plan'!$F$8:$F$27)+W_SYNC*SUMPRODUCT(('Master Plan'!$AH$8:$AH$27&lt;&gt;"")*('Master Plan'!$AH$8:$AH$27&lt;=C25)*'Master Plan'!$F$8:$F$27))/100/SUM('Master Plan'!$F$8:$F$27)</f>
        <v>1</v>
      </c>
      <c r="F25" s="202" t="str">
        <f aca="false">IF(B25&gt;ASOF,"",(W_INST*SUMPRODUCT(('Master Plan'!$N$8:$N$27&lt;&gt;"")*('Master Plan'!$N$8:$N$27&lt;=MIN(C25,ASOF))*'Master Plan'!$F$8:$F$27)+W_IEC*SUMPRODUCT(('Master Plan'!$P$8:$P$27&lt;&gt;"")*('Master Plan'!$P$8:$P$27&lt;=MIN(C25,ASOF))*'Master Plan'!$F$8:$F$27)+W_HO*SUMPRODUCT(('Master Plan'!$Q$8:$Q$27&lt;&gt;"")*('Master Plan'!$Q$8:$Q$27&lt;=MIN(C25,ASOF))*'Master Plan'!$F$8:$F$27)+W_GRID*SUMPRODUCT(('Master Plan'!$R$8:$R$27&lt;&gt;"")*('Master Plan'!$R$8:$R$27&lt;=MIN(C25,ASOF))*'Master Plan'!$F$8:$F$27)+W_SYNC*SUMPRODUCT(('Master Plan'!$X$8:$X$27&lt;&gt;"")*('Master Plan'!$X$8:$X$27&lt;=MIN(C25,ASOF))*'Master Plan'!$F$8:$F$27))/100/SUM('Master Plan'!$F$8:$F$27))</f>
        <v/>
      </c>
    </row>
    <row r="26" customFormat="false" ht="15" hidden="false" customHeight="false" outlineLevel="0" collapsed="false">
      <c r="A26" s="36" t="s">
        <v>1546</v>
      </c>
      <c r="B26" s="33" t="n">
        <f aca="false">'Master Plan'!CC7</f>
        <v>46468</v>
      </c>
      <c r="C26" s="33" t="n">
        <f aca="false">B26+6</f>
        <v>46474</v>
      </c>
      <c r="D26" s="202" t="n">
        <f aca="false">(W_INST*SUMPRODUCT(('Master Plan'!$H$8:$H$27&lt;&gt;"")*('Master Plan'!$H$8:$H$27+(-13)&lt;=C26)*'Master Plan'!$F$8:$F$27)+W_IEC*SUMPRODUCT(('Master Plan'!$H$8:$H$27&lt;&gt;"")*('Master Plan'!$H$8:$H$27+(-10)&lt;=C26)*'Master Plan'!$F$8:$F$27)+W_HO*SUMPRODUCT(('Master Plan'!$H$8:$H$27&lt;&gt;"")*('Master Plan'!$H$8:$H$27+(0)&lt;=C26)*'Master Plan'!$F$8:$F$27)+W_GRID*SUMPRODUCT(('Master Plan'!$H$8:$H$27&lt;&gt;"")*('Master Plan'!$H$8:$H$27+(-12)&lt;=C26)*'Master Plan'!$F$8:$F$27)+W_SYNC*SUMPRODUCT(('Master Plan'!$H$8:$H$27&lt;&gt;"")*('Master Plan'!$H$8:$H$27+(33)&lt;=C26)*'Master Plan'!$F$8:$F$27))/100/SUM('Master Plan'!$F$8:$F$27)</f>
        <v>1</v>
      </c>
      <c r="E26" s="202" t="n">
        <f aca="false">(W_INST*SUMPRODUCT(('Master Plan'!$Y$8:$Y$27&lt;&gt;"")*('Master Plan'!$Y$8:$Y$27&lt;=C26)*'Master Plan'!$F$8:$F$27)+W_IEC*SUMPRODUCT(('Master Plan'!$AA$8:$AA$27&lt;&gt;"")*('Master Plan'!$AA$8:$AA$27&lt;=C26)*'Master Plan'!$F$8:$F$27)+W_HO*SUMPRODUCT(('Master Plan'!$AB$8:$AB$27&lt;&gt;"")*('Master Plan'!$AB$8:$AB$27&lt;=C26)*'Master Plan'!$F$8:$F$27)+W_GRID*SUMPRODUCT(('Master Plan'!$AC$8:$AC$27&lt;&gt;"")*('Master Plan'!$AC$8:$AC$27&lt;=C26)*'Master Plan'!$F$8:$F$27)+W_SYNC*SUMPRODUCT(('Master Plan'!$AH$8:$AH$27&lt;&gt;"")*('Master Plan'!$AH$8:$AH$27&lt;=C26)*'Master Plan'!$F$8:$F$27))/100/SUM('Master Plan'!$F$8:$F$27)</f>
        <v>1</v>
      </c>
      <c r="F26" s="202" t="str">
        <f aca="false">IF(B26&gt;ASOF,"",(W_INST*SUMPRODUCT(('Master Plan'!$N$8:$N$27&lt;&gt;"")*('Master Plan'!$N$8:$N$27&lt;=MIN(C26,ASOF))*'Master Plan'!$F$8:$F$27)+W_IEC*SUMPRODUCT(('Master Plan'!$P$8:$P$27&lt;&gt;"")*('Master Plan'!$P$8:$P$27&lt;=MIN(C26,ASOF))*'Master Plan'!$F$8:$F$27)+W_HO*SUMPRODUCT(('Master Plan'!$Q$8:$Q$27&lt;&gt;"")*('Master Plan'!$Q$8:$Q$27&lt;=MIN(C26,ASOF))*'Master Plan'!$F$8:$F$27)+W_GRID*SUMPRODUCT(('Master Plan'!$R$8:$R$27&lt;&gt;"")*('Master Plan'!$R$8:$R$27&lt;=MIN(C26,ASOF))*'Master Plan'!$F$8:$F$27)+W_SYNC*SUMPRODUCT(('Master Plan'!$X$8:$X$27&lt;&gt;"")*('Master Plan'!$X$8:$X$27&lt;=MIN(C26,ASOF))*'Master Plan'!$F$8:$F$27))/100/SUM('Master Plan'!$F$8:$F$27))</f>
        <v/>
      </c>
    </row>
    <row r="27" customFormat="false" ht="15" hidden="false" customHeight="false" outlineLevel="0" collapsed="false">
      <c r="A27" s="36" t="s">
        <v>1547</v>
      </c>
      <c r="B27" s="33" t="n">
        <f aca="false">'Master Plan'!CD7</f>
        <v>46475</v>
      </c>
      <c r="C27" s="33" t="n">
        <f aca="false">B27+6</f>
        <v>46481</v>
      </c>
      <c r="D27" s="202" t="n">
        <f aca="false">(W_INST*SUMPRODUCT(('Master Plan'!$H$8:$H$27&lt;&gt;"")*('Master Plan'!$H$8:$H$27+(-13)&lt;=C27)*'Master Plan'!$F$8:$F$27)+W_IEC*SUMPRODUCT(('Master Plan'!$H$8:$H$27&lt;&gt;"")*('Master Plan'!$H$8:$H$27+(-10)&lt;=C27)*'Master Plan'!$F$8:$F$27)+W_HO*SUMPRODUCT(('Master Plan'!$H$8:$H$27&lt;&gt;"")*('Master Plan'!$H$8:$H$27+(0)&lt;=C27)*'Master Plan'!$F$8:$F$27)+W_GRID*SUMPRODUCT(('Master Plan'!$H$8:$H$27&lt;&gt;"")*('Master Plan'!$H$8:$H$27+(-12)&lt;=C27)*'Master Plan'!$F$8:$F$27)+W_SYNC*SUMPRODUCT(('Master Plan'!$H$8:$H$27&lt;&gt;"")*('Master Plan'!$H$8:$H$27+(33)&lt;=C27)*'Master Plan'!$F$8:$F$27))/100/SUM('Master Plan'!$F$8:$F$27)</f>
        <v>1</v>
      </c>
      <c r="E27" s="202" t="n">
        <f aca="false">(W_INST*SUMPRODUCT(('Master Plan'!$Y$8:$Y$27&lt;&gt;"")*('Master Plan'!$Y$8:$Y$27&lt;=C27)*'Master Plan'!$F$8:$F$27)+W_IEC*SUMPRODUCT(('Master Plan'!$AA$8:$AA$27&lt;&gt;"")*('Master Plan'!$AA$8:$AA$27&lt;=C27)*'Master Plan'!$F$8:$F$27)+W_HO*SUMPRODUCT(('Master Plan'!$AB$8:$AB$27&lt;&gt;"")*('Master Plan'!$AB$8:$AB$27&lt;=C27)*'Master Plan'!$F$8:$F$27)+W_GRID*SUMPRODUCT(('Master Plan'!$AC$8:$AC$27&lt;&gt;"")*('Master Plan'!$AC$8:$AC$27&lt;=C27)*'Master Plan'!$F$8:$F$27)+W_SYNC*SUMPRODUCT(('Master Plan'!$AH$8:$AH$27&lt;&gt;"")*('Master Plan'!$AH$8:$AH$27&lt;=C27)*'Master Plan'!$F$8:$F$27))/100/SUM('Master Plan'!$F$8:$F$27)</f>
        <v>1</v>
      </c>
      <c r="F27" s="202" t="str">
        <f aca="false">IF(B27&gt;ASOF,"",(W_INST*SUMPRODUCT(('Master Plan'!$N$8:$N$27&lt;&gt;"")*('Master Plan'!$N$8:$N$27&lt;=MIN(C27,ASOF))*'Master Plan'!$F$8:$F$27)+W_IEC*SUMPRODUCT(('Master Plan'!$P$8:$P$27&lt;&gt;"")*('Master Plan'!$P$8:$P$27&lt;=MIN(C27,ASOF))*'Master Plan'!$F$8:$F$27)+W_HO*SUMPRODUCT(('Master Plan'!$Q$8:$Q$27&lt;&gt;"")*('Master Plan'!$Q$8:$Q$27&lt;=MIN(C27,ASOF))*'Master Plan'!$F$8:$F$27)+W_GRID*SUMPRODUCT(('Master Plan'!$R$8:$R$27&lt;&gt;"")*('Master Plan'!$R$8:$R$27&lt;=MIN(C27,ASOF))*'Master Plan'!$F$8:$F$27)+W_SYNC*SUMPRODUCT(('Master Plan'!$X$8:$X$27&lt;&gt;"")*('Master Plan'!$X$8:$X$27&lt;=MIN(C27,ASOF))*'Master Plan'!$F$8:$F$27))/100/SUM('Master Plan'!$F$8:$F$27))</f>
        <v/>
      </c>
    </row>
    <row r="28" customFormat="false" ht="15" hidden="false" customHeight="false" outlineLevel="0" collapsed="false">
      <c r="A28" s="36" t="s">
        <v>1548</v>
      </c>
      <c r="B28" s="33" t="n">
        <f aca="false">'Master Plan'!CE7</f>
        <v>46482</v>
      </c>
      <c r="C28" s="33" t="n">
        <f aca="false">B28+6</f>
        <v>46488</v>
      </c>
      <c r="D28" s="202" t="n">
        <f aca="false">(W_INST*SUMPRODUCT(('Master Plan'!$H$8:$H$27&lt;&gt;"")*('Master Plan'!$H$8:$H$27+(-13)&lt;=C28)*'Master Plan'!$F$8:$F$27)+W_IEC*SUMPRODUCT(('Master Plan'!$H$8:$H$27&lt;&gt;"")*('Master Plan'!$H$8:$H$27+(-10)&lt;=C28)*'Master Plan'!$F$8:$F$27)+W_HO*SUMPRODUCT(('Master Plan'!$H$8:$H$27&lt;&gt;"")*('Master Plan'!$H$8:$H$27+(0)&lt;=C28)*'Master Plan'!$F$8:$F$27)+W_GRID*SUMPRODUCT(('Master Plan'!$H$8:$H$27&lt;&gt;"")*('Master Plan'!$H$8:$H$27+(-12)&lt;=C28)*'Master Plan'!$F$8:$F$27)+W_SYNC*SUMPRODUCT(('Master Plan'!$H$8:$H$27&lt;&gt;"")*('Master Plan'!$H$8:$H$27+(33)&lt;=C28)*'Master Plan'!$F$8:$F$27))/100/SUM('Master Plan'!$F$8:$F$27)</f>
        <v>1</v>
      </c>
      <c r="E28" s="202" t="n">
        <f aca="false">(W_INST*SUMPRODUCT(('Master Plan'!$Y$8:$Y$27&lt;&gt;"")*('Master Plan'!$Y$8:$Y$27&lt;=C28)*'Master Plan'!$F$8:$F$27)+W_IEC*SUMPRODUCT(('Master Plan'!$AA$8:$AA$27&lt;&gt;"")*('Master Plan'!$AA$8:$AA$27&lt;=C28)*'Master Plan'!$F$8:$F$27)+W_HO*SUMPRODUCT(('Master Plan'!$AB$8:$AB$27&lt;&gt;"")*('Master Plan'!$AB$8:$AB$27&lt;=C28)*'Master Plan'!$F$8:$F$27)+W_GRID*SUMPRODUCT(('Master Plan'!$AC$8:$AC$27&lt;&gt;"")*('Master Plan'!$AC$8:$AC$27&lt;=C28)*'Master Plan'!$F$8:$F$27)+W_SYNC*SUMPRODUCT(('Master Plan'!$AH$8:$AH$27&lt;&gt;"")*('Master Plan'!$AH$8:$AH$27&lt;=C28)*'Master Plan'!$F$8:$F$27))/100/SUM('Master Plan'!$F$8:$F$27)</f>
        <v>1</v>
      </c>
      <c r="F28" s="202" t="str">
        <f aca="false">IF(B28&gt;ASOF,"",(W_INST*SUMPRODUCT(('Master Plan'!$N$8:$N$27&lt;&gt;"")*('Master Plan'!$N$8:$N$27&lt;=MIN(C28,ASOF))*'Master Plan'!$F$8:$F$27)+W_IEC*SUMPRODUCT(('Master Plan'!$P$8:$P$27&lt;&gt;"")*('Master Plan'!$P$8:$P$27&lt;=MIN(C28,ASOF))*'Master Plan'!$F$8:$F$27)+W_HO*SUMPRODUCT(('Master Plan'!$Q$8:$Q$27&lt;&gt;"")*('Master Plan'!$Q$8:$Q$27&lt;=MIN(C28,ASOF))*'Master Plan'!$F$8:$F$27)+W_GRID*SUMPRODUCT(('Master Plan'!$R$8:$R$27&lt;&gt;"")*('Master Plan'!$R$8:$R$27&lt;=MIN(C28,ASOF))*'Master Plan'!$F$8:$F$27)+W_SYNC*SUMPRODUCT(('Master Plan'!$X$8:$X$27&lt;&gt;"")*('Master Plan'!$X$8:$X$27&lt;=MIN(C28,ASOF))*'Master Plan'!$F$8:$F$27))/100/SUM('Master Plan'!$F$8:$F$27))</f>
        <v/>
      </c>
    </row>
    <row r="29" customFormat="false" ht="15" hidden="false" customHeight="false" outlineLevel="0" collapsed="false">
      <c r="A29" s="36" t="s">
        <v>1549</v>
      </c>
      <c r="B29" s="33" t="n">
        <f aca="false">'Master Plan'!CF7</f>
        <v>46489</v>
      </c>
      <c r="C29" s="33" t="n">
        <f aca="false">B29+6</f>
        <v>46495</v>
      </c>
      <c r="D29" s="202" t="n">
        <f aca="false">(W_INST*SUMPRODUCT(('Master Plan'!$H$8:$H$27&lt;&gt;"")*('Master Plan'!$H$8:$H$27+(-13)&lt;=C29)*'Master Plan'!$F$8:$F$27)+W_IEC*SUMPRODUCT(('Master Plan'!$H$8:$H$27&lt;&gt;"")*('Master Plan'!$H$8:$H$27+(-10)&lt;=C29)*'Master Plan'!$F$8:$F$27)+W_HO*SUMPRODUCT(('Master Plan'!$H$8:$H$27&lt;&gt;"")*('Master Plan'!$H$8:$H$27+(0)&lt;=C29)*'Master Plan'!$F$8:$F$27)+W_GRID*SUMPRODUCT(('Master Plan'!$H$8:$H$27&lt;&gt;"")*('Master Plan'!$H$8:$H$27+(-12)&lt;=C29)*'Master Plan'!$F$8:$F$27)+W_SYNC*SUMPRODUCT(('Master Plan'!$H$8:$H$27&lt;&gt;"")*('Master Plan'!$H$8:$H$27+(33)&lt;=C29)*'Master Plan'!$F$8:$F$27))/100/SUM('Master Plan'!$F$8:$F$27)</f>
        <v>1</v>
      </c>
      <c r="E29" s="202" t="n">
        <f aca="false">(W_INST*SUMPRODUCT(('Master Plan'!$Y$8:$Y$27&lt;&gt;"")*('Master Plan'!$Y$8:$Y$27&lt;=C29)*'Master Plan'!$F$8:$F$27)+W_IEC*SUMPRODUCT(('Master Plan'!$AA$8:$AA$27&lt;&gt;"")*('Master Plan'!$AA$8:$AA$27&lt;=C29)*'Master Plan'!$F$8:$F$27)+W_HO*SUMPRODUCT(('Master Plan'!$AB$8:$AB$27&lt;&gt;"")*('Master Plan'!$AB$8:$AB$27&lt;=C29)*'Master Plan'!$F$8:$F$27)+W_GRID*SUMPRODUCT(('Master Plan'!$AC$8:$AC$27&lt;&gt;"")*('Master Plan'!$AC$8:$AC$27&lt;=C29)*'Master Plan'!$F$8:$F$27)+W_SYNC*SUMPRODUCT(('Master Plan'!$AH$8:$AH$27&lt;&gt;"")*('Master Plan'!$AH$8:$AH$27&lt;=C29)*'Master Plan'!$F$8:$F$27))/100/SUM('Master Plan'!$F$8:$F$27)</f>
        <v>1</v>
      </c>
      <c r="F29" s="202" t="str">
        <f aca="false">IF(B29&gt;ASOF,"",(W_INST*SUMPRODUCT(('Master Plan'!$N$8:$N$27&lt;&gt;"")*('Master Plan'!$N$8:$N$27&lt;=MIN(C29,ASOF))*'Master Plan'!$F$8:$F$27)+W_IEC*SUMPRODUCT(('Master Plan'!$P$8:$P$27&lt;&gt;"")*('Master Plan'!$P$8:$P$27&lt;=MIN(C29,ASOF))*'Master Plan'!$F$8:$F$27)+W_HO*SUMPRODUCT(('Master Plan'!$Q$8:$Q$27&lt;&gt;"")*('Master Plan'!$Q$8:$Q$27&lt;=MIN(C29,ASOF))*'Master Plan'!$F$8:$F$27)+W_GRID*SUMPRODUCT(('Master Plan'!$R$8:$R$27&lt;&gt;"")*('Master Plan'!$R$8:$R$27&lt;=MIN(C29,ASOF))*'Master Plan'!$F$8:$F$27)+W_SYNC*SUMPRODUCT(('Master Plan'!$X$8:$X$27&lt;&gt;"")*('Master Plan'!$X$8:$X$27&lt;=MIN(C29,ASOF))*'Master Plan'!$F$8:$F$27))/100/SUM('Master Plan'!$F$8:$F$27))</f>
        <v/>
      </c>
    </row>
    <row r="30" customFormat="false" ht="15" hidden="false" customHeight="false" outlineLevel="0" collapsed="false">
      <c r="A30" s="36" t="s">
        <v>1550</v>
      </c>
      <c r="B30" s="33" t="n">
        <f aca="false">'Master Plan'!CG7</f>
        <v>46496</v>
      </c>
      <c r="C30" s="33" t="n">
        <f aca="false">B30+6</f>
        <v>46502</v>
      </c>
      <c r="D30" s="202" t="n">
        <f aca="false">(W_INST*SUMPRODUCT(('Master Plan'!$H$8:$H$27&lt;&gt;"")*('Master Plan'!$H$8:$H$27+(-13)&lt;=C30)*'Master Plan'!$F$8:$F$27)+W_IEC*SUMPRODUCT(('Master Plan'!$H$8:$H$27&lt;&gt;"")*('Master Plan'!$H$8:$H$27+(-10)&lt;=C30)*'Master Plan'!$F$8:$F$27)+W_HO*SUMPRODUCT(('Master Plan'!$H$8:$H$27&lt;&gt;"")*('Master Plan'!$H$8:$H$27+(0)&lt;=C30)*'Master Plan'!$F$8:$F$27)+W_GRID*SUMPRODUCT(('Master Plan'!$H$8:$H$27&lt;&gt;"")*('Master Plan'!$H$8:$H$27+(-12)&lt;=C30)*'Master Plan'!$F$8:$F$27)+W_SYNC*SUMPRODUCT(('Master Plan'!$H$8:$H$27&lt;&gt;"")*('Master Plan'!$H$8:$H$27+(33)&lt;=C30)*'Master Plan'!$F$8:$F$27))/100/SUM('Master Plan'!$F$8:$F$27)</f>
        <v>1</v>
      </c>
      <c r="E30" s="202" t="n">
        <f aca="false">(W_INST*SUMPRODUCT(('Master Plan'!$Y$8:$Y$27&lt;&gt;"")*('Master Plan'!$Y$8:$Y$27&lt;=C30)*'Master Plan'!$F$8:$F$27)+W_IEC*SUMPRODUCT(('Master Plan'!$AA$8:$AA$27&lt;&gt;"")*('Master Plan'!$AA$8:$AA$27&lt;=C30)*'Master Plan'!$F$8:$F$27)+W_HO*SUMPRODUCT(('Master Plan'!$AB$8:$AB$27&lt;&gt;"")*('Master Plan'!$AB$8:$AB$27&lt;=C30)*'Master Plan'!$F$8:$F$27)+W_GRID*SUMPRODUCT(('Master Plan'!$AC$8:$AC$27&lt;&gt;"")*('Master Plan'!$AC$8:$AC$27&lt;=C30)*'Master Plan'!$F$8:$F$27)+W_SYNC*SUMPRODUCT(('Master Plan'!$AH$8:$AH$27&lt;&gt;"")*('Master Plan'!$AH$8:$AH$27&lt;=C30)*'Master Plan'!$F$8:$F$27))/100/SUM('Master Plan'!$F$8:$F$27)</f>
        <v>1</v>
      </c>
      <c r="F30" s="202" t="str">
        <f aca="false">IF(B30&gt;ASOF,"",(W_INST*SUMPRODUCT(('Master Plan'!$N$8:$N$27&lt;&gt;"")*('Master Plan'!$N$8:$N$27&lt;=MIN(C30,ASOF))*'Master Plan'!$F$8:$F$27)+W_IEC*SUMPRODUCT(('Master Plan'!$P$8:$P$27&lt;&gt;"")*('Master Plan'!$P$8:$P$27&lt;=MIN(C30,ASOF))*'Master Plan'!$F$8:$F$27)+W_HO*SUMPRODUCT(('Master Plan'!$Q$8:$Q$27&lt;&gt;"")*('Master Plan'!$Q$8:$Q$27&lt;=MIN(C30,ASOF))*'Master Plan'!$F$8:$F$27)+W_GRID*SUMPRODUCT(('Master Plan'!$R$8:$R$27&lt;&gt;"")*('Master Plan'!$R$8:$R$27&lt;=MIN(C30,ASOF))*'Master Plan'!$F$8:$F$27)+W_SYNC*SUMPRODUCT(('Master Plan'!$X$8:$X$27&lt;&gt;"")*('Master Plan'!$X$8:$X$27&lt;=MIN(C30,ASOF))*'Master Plan'!$F$8:$F$27))/100/SUM('Master Plan'!$F$8:$F$27))</f>
        <v/>
      </c>
    </row>
    <row r="31" customFormat="false" ht="15" hidden="false" customHeight="false" outlineLevel="0" collapsed="false">
      <c r="A31" s="36" t="s">
        <v>1551</v>
      </c>
      <c r="B31" s="33" t="n">
        <f aca="false">'Master Plan'!CH7</f>
        <v>46503</v>
      </c>
      <c r="C31" s="33" t="n">
        <f aca="false">B31+6</f>
        <v>46509</v>
      </c>
      <c r="D31" s="202" t="n">
        <f aca="false">(W_INST*SUMPRODUCT(('Master Plan'!$H$8:$H$27&lt;&gt;"")*('Master Plan'!$H$8:$H$27+(-13)&lt;=C31)*'Master Plan'!$F$8:$F$27)+W_IEC*SUMPRODUCT(('Master Plan'!$H$8:$H$27&lt;&gt;"")*('Master Plan'!$H$8:$H$27+(-10)&lt;=C31)*'Master Plan'!$F$8:$F$27)+W_HO*SUMPRODUCT(('Master Plan'!$H$8:$H$27&lt;&gt;"")*('Master Plan'!$H$8:$H$27+(0)&lt;=C31)*'Master Plan'!$F$8:$F$27)+W_GRID*SUMPRODUCT(('Master Plan'!$H$8:$H$27&lt;&gt;"")*('Master Plan'!$H$8:$H$27+(-12)&lt;=C31)*'Master Plan'!$F$8:$F$27)+W_SYNC*SUMPRODUCT(('Master Plan'!$H$8:$H$27&lt;&gt;"")*('Master Plan'!$H$8:$H$27+(33)&lt;=C31)*'Master Plan'!$F$8:$F$27))/100/SUM('Master Plan'!$F$8:$F$27)</f>
        <v>1</v>
      </c>
      <c r="E31" s="202" t="n">
        <f aca="false">(W_INST*SUMPRODUCT(('Master Plan'!$Y$8:$Y$27&lt;&gt;"")*('Master Plan'!$Y$8:$Y$27&lt;=C31)*'Master Plan'!$F$8:$F$27)+W_IEC*SUMPRODUCT(('Master Plan'!$AA$8:$AA$27&lt;&gt;"")*('Master Plan'!$AA$8:$AA$27&lt;=C31)*'Master Plan'!$F$8:$F$27)+W_HO*SUMPRODUCT(('Master Plan'!$AB$8:$AB$27&lt;&gt;"")*('Master Plan'!$AB$8:$AB$27&lt;=C31)*'Master Plan'!$F$8:$F$27)+W_GRID*SUMPRODUCT(('Master Plan'!$AC$8:$AC$27&lt;&gt;"")*('Master Plan'!$AC$8:$AC$27&lt;=C31)*'Master Plan'!$F$8:$F$27)+W_SYNC*SUMPRODUCT(('Master Plan'!$AH$8:$AH$27&lt;&gt;"")*('Master Plan'!$AH$8:$AH$27&lt;=C31)*'Master Plan'!$F$8:$F$27))/100/SUM('Master Plan'!$F$8:$F$27)</f>
        <v>1</v>
      </c>
      <c r="F31" s="202" t="str">
        <f aca="false">IF(B31&gt;ASOF,"",(W_INST*SUMPRODUCT(('Master Plan'!$N$8:$N$27&lt;&gt;"")*('Master Plan'!$N$8:$N$27&lt;=MIN(C31,ASOF))*'Master Plan'!$F$8:$F$27)+W_IEC*SUMPRODUCT(('Master Plan'!$P$8:$P$27&lt;&gt;"")*('Master Plan'!$P$8:$P$27&lt;=MIN(C31,ASOF))*'Master Plan'!$F$8:$F$27)+W_HO*SUMPRODUCT(('Master Plan'!$Q$8:$Q$27&lt;&gt;"")*('Master Plan'!$Q$8:$Q$27&lt;=MIN(C31,ASOF))*'Master Plan'!$F$8:$F$27)+W_GRID*SUMPRODUCT(('Master Plan'!$R$8:$R$27&lt;&gt;"")*('Master Plan'!$R$8:$R$27&lt;=MIN(C31,ASOF))*'Master Plan'!$F$8:$F$27)+W_SYNC*SUMPRODUCT(('Master Plan'!$X$8:$X$27&lt;&gt;"")*('Master Plan'!$X$8:$X$27&lt;=MIN(C31,ASOF))*'Master Plan'!$F$8:$F$27))/100/SUM('Master Plan'!$F$8:$F$27))</f>
        <v/>
      </c>
    </row>
    <row r="32" customFormat="false" ht="15" hidden="false" customHeight="false" outlineLevel="0" collapsed="false">
      <c r="A32" s="36" t="s">
        <v>1552</v>
      </c>
      <c r="B32" s="33" t="n">
        <f aca="false">'Master Plan'!CI7</f>
        <v>46510</v>
      </c>
      <c r="C32" s="33" t="n">
        <f aca="false">B32+6</f>
        <v>46516</v>
      </c>
      <c r="D32" s="202" t="n">
        <f aca="false">(W_INST*SUMPRODUCT(('Master Plan'!$H$8:$H$27&lt;&gt;"")*('Master Plan'!$H$8:$H$27+(-13)&lt;=C32)*'Master Plan'!$F$8:$F$27)+W_IEC*SUMPRODUCT(('Master Plan'!$H$8:$H$27&lt;&gt;"")*('Master Plan'!$H$8:$H$27+(-10)&lt;=C32)*'Master Plan'!$F$8:$F$27)+W_HO*SUMPRODUCT(('Master Plan'!$H$8:$H$27&lt;&gt;"")*('Master Plan'!$H$8:$H$27+(0)&lt;=C32)*'Master Plan'!$F$8:$F$27)+W_GRID*SUMPRODUCT(('Master Plan'!$H$8:$H$27&lt;&gt;"")*('Master Plan'!$H$8:$H$27+(-12)&lt;=C32)*'Master Plan'!$F$8:$F$27)+W_SYNC*SUMPRODUCT(('Master Plan'!$H$8:$H$27&lt;&gt;"")*('Master Plan'!$H$8:$H$27+(33)&lt;=C32)*'Master Plan'!$F$8:$F$27))/100/SUM('Master Plan'!$F$8:$F$27)</f>
        <v>1</v>
      </c>
      <c r="E32" s="202" t="n">
        <f aca="false">(W_INST*SUMPRODUCT(('Master Plan'!$Y$8:$Y$27&lt;&gt;"")*('Master Plan'!$Y$8:$Y$27&lt;=C32)*'Master Plan'!$F$8:$F$27)+W_IEC*SUMPRODUCT(('Master Plan'!$AA$8:$AA$27&lt;&gt;"")*('Master Plan'!$AA$8:$AA$27&lt;=C32)*'Master Plan'!$F$8:$F$27)+W_HO*SUMPRODUCT(('Master Plan'!$AB$8:$AB$27&lt;&gt;"")*('Master Plan'!$AB$8:$AB$27&lt;=C32)*'Master Plan'!$F$8:$F$27)+W_GRID*SUMPRODUCT(('Master Plan'!$AC$8:$AC$27&lt;&gt;"")*('Master Plan'!$AC$8:$AC$27&lt;=C32)*'Master Plan'!$F$8:$F$27)+W_SYNC*SUMPRODUCT(('Master Plan'!$AH$8:$AH$27&lt;&gt;"")*('Master Plan'!$AH$8:$AH$27&lt;=C32)*'Master Plan'!$F$8:$F$27))/100/SUM('Master Plan'!$F$8:$F$27)</f>
        <v>1</v>
      </c>
      <c r="F32" s="202" t="str">
        <f aca="false">IF(B32&gt;ASOF,"",(W_INST*SUMPRODUCT(('Master Plan'!$N$8:$N$27&lt;&gt;"")*('Master Plan'!$N$8:$N$27&lt;=MIN(C32,ASOF))*'Master Plan'!$F$8:$F$27)+W_IEC*SUMPRODUCT(('Master Plan'!$P$8:$P$27&lt;&gt;"")*('Master Plan'!$P$8:$P$27&lt;=MIN(C32,ASOF))*'Master Plan'!$F$8:$F$27)+W_HO*SUMPRODUCT(('Master Plan'!$Q$8:$Q$27&lt;&gt;"")*('Master Plan'!$Q$8:$Q$27&lt;=MIN(C32,ASOF))*'Master Plan'!$F$8:$F$27)+W_GRID*SUMPRODUCT(('Master Plan'!$R$8:$R$27&lt;&gt;"")*('Master Plan'!$R$8:$R$27&lt;=MIN(C32,ASOF))*'Master Plan'!$F$8:$F$27)+W_SYNC*SUMPRODUCT(('Master Plan'!$X$8:$X$27&lt;&gt;"")*('Master Plan'!$X$8:$X$27&lt;=MIN(C32,ASOF))*'Master Plan'!$F$8:$F$27))/100/SUM('Master Plan'!$F$8:$F$27))</f>
        <v/>
      </c>
    </row>
    <row r="33" customFormat="false" ht="15" hidden="false" customHeight="false" outlineLevel="0" collapsed="false">
      <c r="A33" s="36" t="s">
        <v>1553</v>
      </c>
      <c r="B33" s="33" t="n">
        <f aca="false">'Master Plan'!CJ7</f>
        <v>46517</v>
      </c>
      <c r="C33" s="33" t="n">
        <f aca="false">B33+6</f>
        <v>46523</v>
      </c>
      <c r="D33" s="202" t="n">
        <f aca="false">(W_INST*SUMPRODUCT(('Master Plan'!$H$8:$H$27&lt;&gt;"")*('Master Plan'!$H$8:$H$27+(-13)&lt;=C33)*'Master Plan'!$F$8:$F$27)+W_IEC*SUMPRODUCT(('Master Plan'!$H$8:$H$27&lt;&gt;"")*('Master Plan'!$H$8:$H$27+(-10)&lt;=C33)*'Master Plan'!$F$8:$F$27)+W_HO*SUMPRODUCT(('Master Plan'!$H$8:$H$27&lt;&gt;"")*('Master Plan'!$H$8:$H$27+(0)&lt;=C33)*'Master Plan'!$F$8:$F$27)+W_GRID*SUMPRODUCT(('Master Plan'!$H$8:$H$27&lt;&gt;"")*('Master Plan'!$H$8:$H$27+(-12)&lt;=C33)*'Master Plan'!$F$8:$F$27)+W_SYNC*SUMPRODUCT(('Master Plan'!$H$8:$H$27&lt;&gt;"")*('Master Plan'!$H$8:$H$27+(33)&lt;=C33)*'Master Plan'!$F$8:$F$27))/100/SUM('Master Plan'!$F$8:$F$27)</f>
        <v>1</v>
      </c>
      <c r="E33" s="202" t="n">
        <f aca="false">(W_INST*SUMPRODUCT(('Master Plan'!$Y$8:$Y$27&lt;&gt;"")*('Master Plan'!$Y$8:$Y$27&lt;=C33)*'Master Plan'!$F$8:$F$27)+W_IEC*SUMPRODUCT(('Master Plan'!$AA$8:$AA$27&lt;&gt;"")*('Master Plan'!$AA$8:$AA$27&lt;=C33)*'Master Plan'!$F$8:$F$27)+W_HO*SUMPRODUCT(('Master Plan'!$AB$8:$AB$27&lt;&gt;"")*('Master Plan'!$AB$8:$AB$27&lt;=C33)*'Master Plan'!$F$8:$F$27)+W_GRID*SUMPRODUCT(('Master Plan'!$AC$8:$AC$27&lt;&gt;"")*('Master Plan'!$AC$8:$AC$27&lt;=C33)*'Master Plan'!$F$8:$F$27)+W_SYNC*SUMPRODUCT(('Master Plan'!$AH$8:$AH$27&lt;&gt;"")*('Master Plan'!$AH$8:$AH$27&lt;=C33)*'Master Plan'!$F$8:$F$27))/100/SUM('Master Plan'!$F$8:$F$27)</f>
        <v>1</v>
      </c>
      <c r="F33" s="202" t="str">
        <f aca="false">IF(B33&gt;ASOF,"",(W_INST*SUMPRODUCT(('Master Plan'!$N$8:$N$27&lt;&gt;"")*('Master Plan'!$N$8:$N$27&lt;=MIN(C33,ASOF))*'Master Plan'!$F$8:$F$27)+W_IEC*SUMPRODUCT(('Master Plan'!$P$8:$P$27&lt;&gt;"")*('Master Plan'!$P$8:$P$27&lt;=MIN(C33,ASOF))*'Master Plan'!$F$8:$F$27)+W_HO*SUMPRODUCT(('Master Plan'!$Q$8:$Q$27&lt;&gt;"")*('Master Plan'!$Q$8:$Q$27&lt;=MIN(C33,ASOF))*'Master Plan'!$F$8:$F$27)+W_GRID*SUMPRODUCT(('Master Plan'!$R$8:$R$27&lt;&gt;"")*('Master Plan'!$R$8:$R$27&lt;=MIN(C33,ASOF))*'Master Plan'!$F$8:$F$27)+W_SYNC*SUMPRODUCT(('Master Plan'!$X$8:$X$27&lt;&gt;"")*('Master Plan'!$X$8:$X$27&lt;=MIN(C33,ASOF))*'Master Plan'!$F$8:$F$27))/100/SUM('Master Plan'!$F$8:$F$27))</f>
        <v/>
      </c>
    </row>
    <row r="34" customFormat="false" ht="15" hidden="false" customHeight="false" outlineLevel="0" collapsed="false">
      <c r="A34" s="36" t="s">
        <v>1554</v>
      </c>
      <c r="B34" s="33" t="n">
        <f aca="false">'Master Plan'!CK7</f>
        <v>46524</v>
      </c>
      <c r="C34" s="33" t="n">
        <f aca="false">B34+6</f>
        <v>46530</v>
      </c>
      <c r="D34" s="202" t="n">
        <f aca="false">(W_INST*SUMPRODUCT(('Master Plan'!$H$8:$H$27&lt;&gt;"")*('Master Plan'!$H$8:$H$27+(-13)&lt;=C34)*'Master Plan'!$F$8:$F$27)+W_IEC*SUMPRODUCT(('Master Plan'!$H$8:$H$27&lt;&gt;"")*('Master Plan'!$H$8:$H$27+(-10)&lt;=C34)*'Master Plan'!$F$8:$F$27)+W_HO*SUMPRODUCT(('Master Plan'!$H$8:$H$27&lt;&gt;"")*('Master Plan'!$H$8:$H$27+(0)&lt;=C34)*'Master Plan'!$F$8:$F$27)+W_GRID*SUMPRODUCT(('Master Plan'!$H$8:$H$27&lt;&gt;"")*('Master Plan'!$H$8:$H$27+(-12)&lt;=C34)*'Master Plan'!$F$8:$F$27)+W_SYNC*SUMPRODUCT(('Master Plan'!$H$8:$H$27&lt;&gt;"")*('Master Plan'!$H$8:$H$27+(33)&lt;=C34)*'Master Plan'!$F$8:$F$27))/100/SUM('Master Plan'!$F$8:$F$27)</f>
        <v>1</v>
      </c>
      <c r="E34" s="202" t="n">
        <f aca="false">(W_INST*SUMPRODUCT(('Master Plan'!$Y$8:$Y$27&lt;&gt;"")*('Master Plan'!$Y$8:$Y$27&lt;=C34)*'Master Plan'!$F$8:$F$27)+W_IEC*SUMPRODUCT(('Master Plan'!$AA$8:$AA$27&lt;&gt;"")*('Master Plan'!$AA$8:$AA$27&lt;=C34)*'Master Plan'!$F$8:$F$27)+W_HO*SUMPRODUCT(('Master Plan'!$AB$8:$AB$27&lt;&gt;"")*('Master Plan'!$AB$8:$AB$27&lt;=C34)*'Master Plan'!$F$8:$F$27)+W_GRID*SUMPRODUCT(('Master Plan'!$AC$8:$AC$27&lt;&gt;"")*('Master Plan'!$AC$8:$AC$27&lt;=C34)*'Master Plan'!$F$8:$F$27)+W_SYNC*SUMPRODUCT(('Master Plan'!$AH$8:$AH$27&lt;&gt;"")*('Master Plan'!$AH$8:$AH$27&lt;=C34)*'Master Plan'!$F$8:$F$27))/100/SUM('Master Plan'!$F$8:$F$27)</f>
        <v>1</v>
      </c>
      <c r="F34" s="202" t="str">
        <f aca="false">IF(B34&gt;ASOF,"",(W_INST*SUMPRODUCT(('Master Plan'!$N$8:$N$27&lt;&gt;"")*('Master Plan'!$N$8:$N$27&lt;=MIN(C34,ASOF))*'Master Plan'!$F$8:$F$27)+W_IEC*SUMPRODUCT(('Master Plan'!$P$8:$P$27&lt;&gt;"")*('Master Plan'!$P$8:$P$27&lt;=MIN(C34,ASOF))*'Master Plan'!$F$8:$F$27)+W_HO*SUMPRODUCT(('Master Plan'!$Q$8:$Q$27&lt;&gt;"")*('Master Plan'!$Q$8:$Q$27&lt;=MIN(C34,ASOF))*'Master Plan'!$F$8:$F$27)+W_GRID*SUMPRODUCT(('Master Plan'!$R$8:$R$27&lt;&gt;"")*('Master Plan'!$R$8:$R$27&lt;=MIN(C34,ASOF))*'Master Plan'!$F$8:$F$27)+W_SYNC*SUMPRODUCT(('Master Plan'!$X$8:$X$27&lt;&gt;"")*('Master Plan'!$X$8:$X$27&lt;=MIN(C34,ASOF))*'Master Plan'!$F$8:$F$27))/100/SUM('Master Plan'!$F$8:$F$27))</f>
        <v/>
      </c>
    </row>
    <row r="35" customFormat="false" ht="15" hidden="false" customHeight="false" outlineLevel="0" collapsed="false">
      <c r="A35" s="36" t="s">
        <v>1555</v>
      </c>
      <c r="B35" s="33" t="n">
        <f aca="false">'Master Plan'!CL7</f>
        <v>46531</v>
      </c>
      <c r="C35" s="33" t="n">
        <f aca="false">B35+6</f>
        <v>46537</v>
      </c>
      <c r="D35" s="202" t="n">
        <f aca="false">(W_INST*SUMPRODUCT(('Master Plan'!$H$8:$H$27&lt;&gt;"")*('Master Plan'!$H$8:$H$27+(-13)&lt;=C35)*'Master Plan'!$F$8:$F$27)+W_IEC*SUMPRODUCT(('Master Plan'!$H$8:$H$27&lt;&gt;"")*('Master Plan'!$H$8:$H$27+(-10)&lt;=C35)*'Master Plan'!$F$8:$F$27)+W_HO*SUMPRODUCT(('Master Plan'!$H$8:$H$27&lt;&gt;"")*('Master Plan'!$H$8:$H$27+(0)&lt;=C35)*'Master Plan'!$F$8:$F$27)+W_GRID*SUMPRODUCT(('Master Plan'!$H$8:$H$27&lt;&gt;"")*('Master Plan'!$H$8:$H$27+(-12)&lt;=C35)*'Master Plan'!$F$8:$F$27)+W_SYNC*SUMPRODUCT(('Master Plan'!$H$8:$H$27&lt;&gt;"")*('Master Plan'!$H$8:$H$27+(33)&lt;=C35)*'Master Plan'!$F$8:$F$27))/100/SUM('Master Plan'!$F$8:$F$27)</f>
        <v>1</v>
      </c>
      <c r="E35" s="202" t="n">
        <f aca="false">(W_INST*SUMPRODUCT(('Master Plan'!$Y$8:$Y$27&lt;&gt;"")*('Master Plan'!$Y$8:$Y$27&lt;=C35)*'Master Plan'!$F$8:$F$27)+W_IEC*SUMPRODUCT(('Master Plan'!$AA$8:$AA$27&lt;&gt;"")*('Master Plan'!$AA$8:$AA$27&lt;=C35)*'Master Plan'!$F$8:$F$27)+W_HO*SUMPRODUCT(('Master Plan'!$AB$8:$AB$27&lt;&gt;"")*('Master Plan'!$AB$8:$AB$27&lt;=C35)*'Master Plan'!$F$8:$F$27)+W_GRID*SUMPRODUCT(('Master Plan'!$AC$8:$AC$27&lt;&gt;"")*('Master Plan'!$AC$8:$AC$27&lt;=C35)*'Master Plan'!$F$8:$F$27)+W_SYNC*SUMPRODUCT(('Master Plan'!$AH$8:$AH$27&lt;&gt;"")*('Master Plan'!$AH$8:$AH$27&lt;=C35)*'Master Plan'!$F$8:$F$27))/100/SUM('Master Plan'!$F$8:$F$27)</f>
        <v>1</v>
      </c>
      <c r="F35" s="202" t="str">
        <f aca="false">IF(B35&gt;ASOF,"",(W_INST*SUMPRODUCT(('Master Plan'!$N$8:$N$27&lt;&gt;"")*('Master Plan'!$N$8:$N$27&lt;=MIN(C35,ASOF))*'Master Plan'!$F$8:$F$27)+W_IEC*SUMPRODUCT(('Master Plan'!$P$8:$P$27&lt;&gt;"")*('Master Plan'!$P$8:$P$27&lt;=MIN(C35,ASOF))*'Master Plan'!$F$8:$F$27)+W_HO*SUMPRODUCT(('Master Plan'!$Q$8:$Q$27&lt;&gt;"")*('Master Plan'!$Q$8:$Q$27&lt;=MIN(C35,ASOF))*'Master Plan'!$F$8:$F$27)+W_GRID*SUMPRODUCT(('Master Plan'!$R$8:$R$27&lt;&gt;"")*('Master Plan'!$R$8:$R$27&lt;=MIN(C35,ASOF))*'Master Plan'!$F$8:$F$27)+W_SYNC*SUMPRODUCT(('Master Plan'!$X$8:$X$27&lt;&gt;"")*('Master Plan'!$X$8:$X$27&lt;=MIN(C35,ASOF))*'Master Plan'!$F$8:$F$27))/100/SUM('Master Plan'!$F$8:$F$27))</f>
        <v/>
      </c>
    </row>
    <row r="36" customFormat="false" ht="15" hidden="false" customHeight="false" outlineLevel="0" collapsed="false">
      <c r="A36" s="36" t="s">
        <v>1556</v>
      </c>
      <c r="B36" s="33" t="n">
        <f aca="false">'Master Plan'!CM7</f>
        <v>46538</v>
      </c>
      <c r="C36" s="33" t="n">
        <f aca="false">B36+6</f>
        <v>46544</v>
      </c>
      <c r="D36" s="202" t="n">
        <f aca="false">(W_INST*SUMPRODUCT(('Master Plan'!$H$8:$H$27&lt;&gt;"")*('Master Plan'!$H$8:$H$27+(-13)&lt;=C36)*'Master Plan'!$F$8:$F$27)+W_IEC*SUMPRODUCT(('Master Plan'!$H$8:$H$27&lt;&gt;"")*('Master Plan'!$H$8:$H$27+(-10)&lt;=C36)*'Master Plan'!$F$8:$F$27)+W_HO*SUMPRODUCT(('Master Plan'!$H$8:$H$27&lt;&gt;"")*('Master Plan'!$H$8:$H$27+(0)&lt;=C36)*'Master Plan'!$F$8:$F$27)+W_GRID*SUMPRODUCT(('Master Plan'!$H$8:$H$27&lt;&gt;"")*('Master Plan'!$H$8:$H$27+(-12)&lt;=C36)*'Master Plan'!$F$8:$F$27)+W_SYNC*SUMPRODUCT(('Master Plan'!$H$8:$H$27&lt;&gt;"")*('Master Plan'!$H$8:$H$27+(33)&lt;=C36)*'Master Plan'!$F$8:$F$27))/100/SUM('Master Plan'!$F$8:$F$27)</f>
        <v>1</v>
      </c>
      <c r="E36" s="202" t="n">
        <f aca="false">(W_INST*SUMPRODUCT(('Master Plan'!$Y$8:$Y$27&lt;&gt;"")*('Master Plan'!$Y$8:$Y$27&lt;=C36)*'Master Plan'!$F$8:$F$27)+W_IEC*SUMPRODUCT(('Master Plan'!$AA$8:$AA$27&lt;&gt;"")*('Master Plan'!$AA$8:$AA$27&lt;=C36)*'Master Plan'!$F$8:$F$27)+W_HO*SUMPRODUCT(('Master Plan'!$AB$8:$AB$27&lt;&gt;"")*('Master Plan'!$AB$8:$AB$27&lt;=C36)*'Master Plan'!$F$8:$F$27)+W_GRID*SUMPRODUCT(('Master Plan'!$AC$8:$AC$27&lt;&gt;"")*('Master Plan'!$AC$8:$AC$27&lt;=C36)*'Master Plan'!$F$8:$F$27)+W_SYNC*SUMPRODUCT(('Master Plan'!$AH$8:$AH$27&lt;&gt;"")*('Master Plan'!$AH$8:$AH$27&lt;=C36)*'Master Plan'!$F$8:$F$27))/100/SUM('Master Plan'!$F$8:$F$27)</f>
        <v>1</v>
      </c>
      <c r="F36" s="202" t="str">
        <f aca="false">IF(B36&gt;ASOF,"",(W_INST*SUMPRODUCT(('Master Plan'!$N$8:$N$27&lt;&gt;"")*('Master Plan'!$N$8:$N$27&lt;=MIN(C36,ASOF))*'Master Plan'!$F$8:$F$27)+W_IEC*SUMPRODUCT(('Master Plan'!$P$8:$P$27&lt;&gt;"")*('Master Plan'!$P$8:$P$27&lt;=MIN(C36,ASOF))*'Master Plan'!$F$8:$F$27)+W_HO*SUMPRODUCT(('Master Plan'!$Q$8:$Q$27&lt;&gt;"")*('Master Plan'!$Q$8:$Q$27&lt;=MIN(C36,ASOF))*'Master Plan'!$F$8:$F$27)+W_GRID*SUMPRODUCT(('Master Plan'!$R$8:$R$27&lt;&gt;"")*('Master Plan'!$R$8:$R$27&lt;=MIN(C36,ASOF))*'Master Plan'!$F$8:$F$27)+W_SYNC*SUMPRODUCT(('Master Plan'!$X$8:$X$27&lt;&gt;"")*('Master Plan'!$X$8:$X$27&lt;=MIN(C36,ASOF))*'Master Plan'!$F$8:$F$27))/100/SUM('Master Plan'!$F$8:$F$27))</f>
        <v/>
      </c>
    </row>
    <row r="37" customFormat="false" ht="15" hidden="false" customHeight="false" outlineLevel="0" collapsed="false">
      <c r="A37" s="36" t="s">
        <v>1557</v>
      </c>
      <c r="B37" s="33" t="n">
        <f aca="false">'Master Plan'!CN7</f>
        <v>46545</v>
      </c>
      <c r="C37" s="33" t="n">
        <f aca="false">B37+6</f>
        <v>46551</v>
      </c>
      <c r="D37" s="202" t="n">
        <f aca="false">(W_INST*SUMPRODUCT(('Master Plan'!$H$8:$H$27&lt;&gt;"")*('Master Plan'!$H$8:$H$27+(-13)&lt;=C37)*'Master Plan'!$F$8:$F$27)+W_IEC*SUMPRODUCT(('Master Plan'!$H$8:$H$27&lt;&gt;"")*('Master Plan'!$H$8:$H$27+(-10)&lt;=C37)*'Master Plan'!$F$8:$F$27)+W_HO*SUMPRODUCT(('Master Plan'!$H$8:$H$27&lt;&gt;"")*('Master Plan'!$H$8:$H$27+(0)&lt;=C37)*'Master Plan'!$F$8:$F$27)+W_GRID*SUMPRODUCT(('Master Plan'!$H$8:$H$27&lt;&gt;"")*('Master Plan'!$H$8:$H$27+(-12)&lt;=C37)*'Master Plan'!$F$8:$F$27)+W_SYNC*SUMPRODUCT(('Master Plan'!$H$8:$H$27&lt;&gt;"")*('Master Plan'!$H$8:$H$27+(33)&lt;=C37)*'Master Plan'!$F$8:$F$27))/100/SUM('Master Plan'!$F$8:$F$27)</f>
        <v>1</v>
      </c>
      <c r="E37" s="202" t="n">
        <f aca="false">(W_INST*SUMPRODUCT(('Master Plan'!$Y$8:$Y$27&lt;&gt;"")*('Master Plan'!$Y$8:$Y$27&lt;=C37)*'Master Plan'!$F$8:$F$27)+W_IEC*SUMPRODUCT(('Master Plan'!$AA$8:$AA$27&lt;&gt;"")*('Master Plan'!$AA$8:$AA$27&lt;=C37)*'Master Plan'!$F$8:$F$27)+W_HO*SUMPRODUCT(('Master Plan'!$AB$8:$AB$27&lt;&gt;"")*('Master Plan'!$AB$8:$AB$27&lt;=C37)*'Master Plan'!$F$8:$F$27)+W_GRID*SUMPRODUCT(('Master Plan'!$AC$8:$AC$27&lt;&gt;"")*('Master Plan'!$AC$8:$AC$27&lt;=C37)*'Master Plan'!$F$8:$F$27)+W_SYNC*SUMPRODUCT(('Master Plan'!$AH$8:$AH$27&lt;&gt;"")*('Master Plan'!$AH$8:$AH$27&lt;=C37)*'Master Plan'!$F$8:$F$27))/100/SUM('Master Plan'!$F$8:$F$27)</f>
        <v>1</v>
      </c>
      <c r="F37" s="202" t="str">
        <f aca="false">IF(B37&gt;ASOF,"",(W_INST*SUMPRODUCT(('Master Plan'!$N$8:$N$27&lt;&gt;"")*('Master Plan'!$N$8:$N$27&lt;=MIN(C37,ASOF))*'Master Plan'!$F$8:$F$27)+W_IEC*SUMPRODUCT(('Master Plan'!$P$8:$P$27&lt;&gt;"")*('Master Plan'!$P$8:$P$27&lt;=MIN(C37,ASOF))*'Master Plan'!$F$8:$F$27)+W_HO*SUMPRODUCT(('Master Plan'!$Q$8:$Q$27&lt;&gt;"")*('Master Plan'!$Q$8:$Q$27&lt;=MIN(C37,ASOF))*'Master Plan'!$F$8:$F$27)+W_GRID*SUMPRODUCT(('Master Plan'!$R$8:$R$27&lt;&gt;"")*('Master Plan'!$R$8:$R$27&lt;=MIN(C37,ASOF))*'Master Plan'!$F$8:$F$27)+W_SYNC*SUMPRODUCT(('Master Plan'!$X$8:$X$27&lt;&gt;"")*('Master Plan'!$X$8:$X$27&lt;=MIN(C37,ASOF))*'Master Plan'!$F$8:$F$27))/100/SUM('Master Plan'!$F$8:$F$27))</f>
        <v/>
      </c>
    </row>
    <row r="38" customFormat="false" ht="15" hidden="false" customHeight="false" outlineLevel="0" collapsed="false">
      <c r="A38" s="36" t="s">
        <v>1558</v>
      </c>
      <c r="B38" s="33" t="n">
        <f aca="false">'Master Plan'!CO7</f>
        <v>46552</v>
      </c>
      <c r="C38" s="33" t="n">
        <f aca="false">B38+6</f>
        <v>46558</v>
      </c>
      <c r="D38" s="202" t="n">
        <f aca="false">(W_INST*SUMPRODUCT(('Master Plan'!$H$8:$H$27&lt;&gt;"")*('Master Plan'!$H$8:$H$27+(-13)&lt;=C38)*'Master Plan'!$F$8:$F$27)+W_IEC*SUMPRODUCT(('Master Plan'!$H$8:$H$27&lt;&gt;"")*('Master Plan'!$H$8:$H$27+(-10)&lt;=C38)*'Master Plan'!$F$8:$F$27)+W_HO*SUMPRODUCT(('Master Plan'!$H$8:$H$27&lt;&gt;"")*('Master Plan'!$H$8:$H$27+(0)&lt;=C38)*'Master Plan'!$F$8:$F$27)+W_GRID*SUMPRODUCT(('Master Plan'!$H$8:$H$27&lt;&gt;"")*('Master Plan'!$H$8:$H$27+(-12)&lt;=C38)*'Master Plan'!$F$8:$F$27)+W_SYNC*SUMPRODUCT(('Master Plan'!$H$8:$H$27&lt;&gt;"")*('Master Plan'!$H$8:$H$27+(33)&lt;=C38)*'Master Plan'!$F$8:$F$27))/100/SUM('Master Plan'!$F$8:$F$27)</f>
        <v>1</v>
      </c>
      <c r="E38" s="202" t="n">
        <f aca="false">(W_INST*SUMPRODUCT(('Master Plan'!$Y$8:$Y$27&lt;&gt;"")*('Master Plan'!$Y$8:$Y$27&lt;=C38)*'Master Plan'!$F$8:$F$27)+W_IEC*SUMPRODUCT(('Master Plan'!$AA$8:$AA$27&lt;&gt;"")*('Master Plan'!$AA$8:$AA$27&lt;=C38)*'Master Plan'!$F$8:$F$27)+W_HO*SUMPRODUCT(('Master Plan'!$AB$8:$AB$27&lt;&gt;"")*('Master Plan'!$AB$8:$AB$27&lt;=C38)*'Master Plan'!$F$8:$F$27)+W_GRID*SUMPRODUCT(('Master Plan'!$AC$8:$AC$27&lt;&gt;"")*('Master Plan'!$AC$8:$AC$27&lt;=C38)*'Master Plan'!$F$8:$F$27)+W_SYNC*SUMPRODUCT(('Master Plan'!$AH$8:$AH$27&lt;&gt;"")*('Master Plan'!$AH$8:$AH$27&lt;=C38)*'Master Plan'!$F$8:$F$27))/100/SUM('Master Plan'!$F$8:$F$27)</f>
        <v>1</v>
      </c>
      <c r="F38" s="202" t="str">
        <f aca="false">IF(B38&gt;ASOF,"",(W_INST*SUMPRODUCT(('Master Plan'!$N$8:$N$27&lt;&gt;"")*('Master Plan'!$N$8:$N$27&lt;=MIN(C38,ASOF))*'Master Plan'!$F$8:$F$27)+W_IEC*SUMPRODUCT(('Master Plan'!$P$8:$P$27&lt;&gt;"")*('Master Plan'!$P$8:$P$27&lt;=MIN(C38,ASOF))*'Master Plan'!$F$8:$F$27)+W_HO*SUMPRODUCT(('Master Plan'!$Q$8:$Q$27&lt;&gt;"")*('Master Plan'!$Q$8:$Q$27&lt;=MIN(C38,ASOF))*'Master Plan'!$F$8:$F$27)+W_GRID*SUMPRODUCT(('Master Plan'!$R$8:$R$27&lt;&gt;"")*('Master Plan'!$R$8:$R$27&lt;=MIN(C38,ASOF))*'Master Plan'!$F$8:$F$27)+W_SYNC*SUMPRODUCT(('Master Plan'!$X$8:$X$27&lt;&gt;"")*('Master Plan'!$X$8:$X$27&lt;=MIN(C38,ASOF))*'Master Plan'!$F$8:$F$27))/100/SUM('Master Plan'!$F$8:$F$27))</f>
        <v/>
      </c>
    </row>
    <row r="39" customFormat="false" ht="15" hidden="false" customHeight="false" outlineLevel="0" collapsed="false">
      <c r="A39" s="36" t="s">
        <v>1559</v>
      </c>
      <c r="B39" s="33" t="n">
        <f aca="false">'Master Plan'!CP7</f>
        <v>46559</v>
      </c>
      <c r="C39" s="33" t="n">
        <f aca="false">B39+6</f>
        <v>46565</v>
      </c>
      <c r="D39" s="202" t="n">
        <f aca="false">(W_INST*SUMPRODUCT(('Master Plan'!$H$8:$H$27&lt;&gt;"")*('Master Plan'!$H$8:$H$27+(-13)&lt;=C39)*'Master Plan'!$F$8:$F$27)+W_IEC*SUMPRODUCT(('Master Plan'!$H$8:$H$27&lt;&gt;"")*('Master Plan'!$H$8:$H$27+(-10)&lt;=C39)*'Master Plan'!$F$8:$F$27)+W_HO*SUMPRODUCT(('Master Plan'!$H$8:$H$27&lt;&gt;"")*('Master Plan'!$H$8:$H$27+(0)&lt;=C39)*'Master Plan'!$F$8:$F$27)+W_GRID*SUMPRODUCT(('Master Plan'!$H$8:$H$27&lt;&gt;"")*('Master Plan'!$H$8:$H$27+(-12)&lt;=C39)*'Master Plan'!$F$8:$F$27)+W_SYNC*SUMPRODUCT(('Master Plan'!$H$8:$H$27&lt;&gt;"")*('Master Plan'!$H$8:$H$27+(33)&lt;=C39)*'Master Plan'!$F$8:$F$27))/100/SUM('Master Plan'!$F$8:$F$27)</f>
        <v>1</v>
      </c>
      <c r="E39" s="202" t="n">
        <f aca="false">(W_INST*SUMPRODUCT(('Master Plan'!$Y$8:$Y$27&lt;&gt;"")*('Master Plan'!$Y$8:$Y$27&lt;=C39)*'Master Plan'!$F$8:$F$27)+W_IEC*SUMPRODUCT(('Master Plan'!$AA$8:$AA$27&lt;&gt;"")*('Master Plan'!$AA$8:$AA$27&lt;=C39)*'Master Plan'!$F$8:$F$27)+W_HO*SUMPRODUCT(('Master Plan'!$AB$8:$AB$27&lt;&gt;"")*('Master Plan'!$AB$8:$AB$27&lt;=C39)*'Master Plan'!$F$8:$F$27)+W_GRID*SUMPRODUCT(('Master Plan'!$AC$8:$AC$27&lt;&gt;"")*('Master Plan'!$AC$8:$AC$27&lt;=C39)*'Master Plan'!$F$8:$F$27)+W_SYNC*SUMPRODUCT(('Master Plan'!$AH$8:$AH$27&lt;&gt;"")*('Master Plan'!$AH$8:$AH$27&lt;=C39)*'Master Plan'!$F$8:$F$27))/100/SUM('Master Plan'!$F$8:$F$27)</f>
        <v>1</v>
      </c>
      <c r="F39" s="202" t="str">
        <f aca="false">IF(B39&gt;ASOF,"",(W_INST*SUMPRODUCT(('Master Plan'!$N$8:$N$27&lt;&gt;"")*('Master Plan'!$N$8:$N$27&lt;=MIN(C39,ASOF))*'Master Plan'!$F$8:$F$27)+W_IEC*SUMPRODUCT(('Master Plan'!$P$8:$P$27&lt;&gt;"")*('Master Plan'!$P$8:$P$27&lt;=MIN(C39,ASOF))*'Master Plan'!$F$8:$F$27)+W_HO*SUMPRODUCT(('Master Plan'!$Q$8:$Q$27&lt;&gt;"")*('Master Plan'!$Q$8:$Q$27&lt;=MIN(C39,ASOF))*'Master Plan'!$F$8:$F$27)+W_GRID*SUMPRODUCT(('Master Plan'!$R$8:$R$27&lt;&gt;"")*('Master Plan'!$R$8:$R$27&lt;=MIN(C39,ASOF))*'Master Plan'!$F$8:$F$27)+W_SYNC*SUMPRODUCT(('Master Plan'!$X$8:$X$27&lt;&gt;"")*('Master Plan'!$X$8:$X$27&lt;=MIN(C39,ASOF))*'Master Plan'!$F$8:$F$27))/100/SUM('Master Plan'!$F$8:$F$27))</f>
        <v/>
      </c>
    </row>
    <row r="40" customFormat="false" ht="15" hidden="false" customHeight="false" outlineLevel="0" collapsed="false">
      <c r="A40" s="36" t="s">
        <v>1560</v>
      </c>
      <c r="B40" s="33" t="n">
        <f aca="false">'Master Plan'!CQ7</f>
        <v>46566</v>
      </c>
      <c r="C40" s="33" t="n">
        <f aca="false">B40+6</f>
        <v>46572</v>
      </c>
      <c r="D40" s="202" t="n">
        <f aca="false">(W_INST*SUMPRODUCT(('Master Plan'!$H$8:$H$27&lt;&gt;"")*('Master Plan'!$H$8:$H$27+(-13)&lt;=C40)*'Master Plan'!$F$8:$F$27)+W_IEC*SUMPRODUCT(('Master Plan'!$H$8:$H$27&lt;&gt;"")*('Master Plan'!$H$8:$H$27+(-10)&lt;=C40)*'Master Plan'!$F$8:$F$27)+W_HO*SUMPRODUCT(('Master Plan'!$H$8:$H$27&lt;&gt;"")*('Master Plan'!$H$8:$H$27+(0)&lt;=C40)*'Master Plan'!$F$8:$F$27)+W_GRID*SUMPRODUCT(('Master Plan'!$H$8:$H$27&lt;&gt;"")*('Master Plan'!$H$8:$H$27+(-12)&lt;=C40)*'Master Plan'!$F$8:$F$27)+W_SYNC*SUMPRODUCT(('Master Plan'!$H$8:$H$27&lt;&gt;"")*('Master Plan'!$H$8:$H$27+(33)&lt;=C40)*'Master Plan'!$F$8:$F$27))/100/SUM('Master Plan'!$F$8:$F$27)</f>
        <v>1</v>
      </c>
      <c r="E40" s="202" t="n">
        <f aca="false">(W_INST*SUMPRODUCT(('Master Plan'!$Y$8:$Y$27&lt;&gt;"")*('Master Plan'!$Y$8:$Y$27&lt;=C40)*'Master Plan'!$F$8:$F$27)+W_IEC*SUMPRODUCT(('Master Plan'!$AA$8:$AA$27&lt;&gt;"")*('Master Plan'!$AA$8:$AA$27&lt;=C40)*'Master Plan'!$F$8:$F$27)+W_HO*SUMPRODUCT(('Master Plan'!$AB$8:$AB$27&lt;&gt;"")*('Master Plan'!$AB$8:$AB$27&lt;=C40)*'Master Plan'!$F$8:$F$27)+W_GRID*SUMPRODUCT(('Master Plan'!$AC$8:$AC$27&lt;&gt;"")*('Master Plan'!$AC$8:$AC$27&lt;=C40)*'Master Plan'!$F$8:$F$27)+W_SYNC*SUMPRODUCT(('Master Plan'!$AH$8:$AH$27&lt;&gt;"")*('Master Plan'!$AH$8:$AH$27&lt;=C40)*'Master Plan'!$F$8:$F$27))/100/SUM('Master Plan'!$F$8:$F$27)</f>
        <v>1</v>
      </c>
      <c r="F40" s="202" t="str">
        <f aca="false">IF(B40&gt;ASOF,"",(W_INST*SUMPRODUCT(('Master Plan'!$N$8:$N$27&lt;&gt;"")*('Master Plan'!$N$8:$N$27&lt;=MIN(C40,ASOF))*'Master Plan'!$F$8:$F$27)+W_IEC*SUMPRODUCT(('Master Plan'!$P$8:$P$27&lt;&gt;"")*('Master Plan'!$P$8:$P$27&lt;=MIN(C40,ASOF))*'Master Plan'!$F$8:$F$27)+W_HO*SUMPRODUCT(('Master Plan'!$Q$8:$Q$27&lt;&gt;"")*('Master Plan'!$Q$8:$Q$27&lt;=MIN(C40,ASOF))*'Master Plan'!$F$8:$F$27)+W_GRID*SUMPRODUCT(('Master Plan'!$R$8:$R$27&lt;&gt;"")*('Master Plan'!$R$8:$R$27&lt;=MIN(C40,ASOF))*'Master Plan'!$F$8:$F$27)+W_SYNC*SUMPRODUCT(('Master Plan'!$X$8:$X$27&lt;&gt;"")*('Master Plan'!$X$8:$X$27&lt;=MIN(C40,ASOF))*'Master Plan'!$F$8:$F$27))/100/SUM('Master Plan'!$F$8:$F$27))</f>
        <v/>
      </c>
    </row>
    <row r="41" customFormat="false" ht="15" hidden="false" customHeight="false" outlineLevel="0" collapsed="false">
      <c r="A41" s="36" t="s">
        <v>1561</v>
      </c>
      <c r="B41" s="33" t="n">
        <f aca="false">'Master Plan'!CR7</f>
        <v>46573</v>
      </c>
      <c r="C41" s="33" t="n">
        <f aca="false">B41+6</f>
        <v>46579</v>
      </c>
      <c r="D41" s="202" t="n">
        <f aca="false">(W_INST*SUMPRODUCT(('Master Plan'!$H$8:$H$27&lt;&gt;"")*('Master Plan'!$H$8:$H$27+(-13)&lt;=C41)*'Master Plan'!$F$8:$F$27)+W_IEC*SUMPRODUCT(('Master Plan'!$H$8:$H$27&lt;&gt;"")*('Master Plan'!$H$8:$H$27+(-10)&lt;=C41)*'Master Plan'!$F$8:$F$27)+W_HO*SUMPRODUCT(('Master Plan'!$H$8:$H$27&lt;&gt;"")*('Master Plan'!$H$8:$H$27+(0)&lt;=C41)*'Master Plan'!$F$8:$F$27)+W_GRID*SUMPRODUCT(('Master Plan'!$H$8:$H$27&lt;&gt;"")*('Master Plan'!$H$8:$H$27+(-12)&lt;=C41)*'Master Plan'!$F$8:$F$27)+W_SYNC*SUMPRODUCT(('Master Plan'!$H$8:$H$27&lt;&gt;"")*('Master Plan'!$H$8:$H$27+(33)&lt;=C41)*'Master Plan'!$F$8:$F$27))/100/SUM('Master Plan'!$F$8:$F$27)</f>
        <v>1</v>
      </c>
      <c r="E41" s="202" t="n">
        <f aca="false">(W_INST*SUMPRODUCT(('Master Plan'!$Y$8:$Y$27&lt;&gt;"")*('Master Plan'!$Y$8:$Y$27&lt;=C41)*'Master Plan'!$F$8:$F$27)+W_IEC*SUMPRODUCT(('Master Plan'!$AA$8:$AA$27&lt;&gt;"")*('Master Plan'!$AA$8:$AA$27&lt;=C41)*'Master Plan'!$F$8:$F$27)+W_HO*SUMPRODUCT(('Master Plan'!$AB$8:$AB$27&lt;&gt;"")*('Master Plan'!$AB$8:$AB$27&lt;=C41)*'Master Plan'!$F$8:$F$27)+W_GRID*SUMPRODUCT(('Master Plan'!$AC$8:$AC$27&lt;&gt;"")*('Master Plan'!$AC$8:$AC$27&lt;=C41)*'Master Plan'!$F$8:$F$27)+W_SYNC*SUMPRODUCT(('Master Plan'!$AH$8:$AH$27&lt;&gt;"")*('Master Plan'!$AH$8:$AH$27&lt;=C41)*'Master Plan'!$F$8:$F$27))/100/SUM('Master Plan'!$F$8:$F$27)</f>
        <v>1</v>
      </c>
      <c r="F41" s="202" t="str">
        <f aca="false">IF(B41&gt;ASOF,"",(W_INST*SUMPRODUCT(('Master Plan'!$N$8:$N$27&lt;&gt;"")*('Master Plan'!$N$8:$N$27&lt;=MIN(C41,ASOF))*'Master Plan'!$F$8:$F$27)+W_IEC*SUMPRODUCT(('Master Plan'!$P$8:$P$27&lt;&gt;"")*('Master Plan'!$P$8:$P$27&lt;=MIN(C41,ASOF))*'Master Plan'!$F$8:$F$27)+W_HO*SUMPRODUCT(('Master Plan'!$Q$8:$Q$27&lt;&gt;"")*('Master Plan'!$Q$8:$Q$27&lt;=MIN(C41,ASOF))*'Master Plan'!$F$8:$F$27)+W_GRID*SUMPRODUCT(('Master Plan'!$R$8:$R$27&lt;&gt;"")*('Master Plan'!$R$8:$R$27&lt;=MIN(C41,ASOF))*'Master Plan'!$F$8:$F$27)+W_SYNC*SUMPRODUCT(('Master Plan'!$X$8:$X$27&lt;&gt;"")*('Master Plan'!$X$8:$X$27&lt;=MIN(C41,ASOF))*'Master Plan'!$F$8:$F$27))/100/SUM('Master Plan'!$F$8:$F$27))</f>
        <v/>
      </c>
    </row>
    <row r="42" customFormat="false" ht="15" hidden="false" customHeight="false" outlineLevel="0" collapsed="false">
      <c r="A42" s="36" t="s">
        <v>1562</v>
      </c>
      <c r="B42" s="33" t="n">
        <f aca="false">'Master Plan'!CS7</f>
        <v>46580</v>
      </c>
      <c r="C42" s="33" t="n">
        <f aca="false">B42+6</f>
        <v>46586</v>
      </c>
      <c r="D42" s="202" t="n">
        <f aca="false">(W_INST*SUMPRODUCT(('Master Plan'!$H$8:$H$27&lt;&gt;"")*('Master Plan'!$H$8:$H$27+(-13)&lt;=C42)*'Master Plan'!$F$8:$F$27)+W_IEC*SUMPRODUCT(('Master Plan'!$H$8:$H$27&lt;&gt;"")*('Master Plan'!$H$8:$H$27+(-10)&lt;=C42)*'Master Plan'!$F$8:$F$27)+W_HO*SUMPRODUCT(('Master Plan'!$H$8:$H$27&lt;&gt;"")*('Master Plan'!$H$8:$H$27+(0)&lt;=C42)*'Master Plan'!$F$8:$F$27)+W_GRID*SUMPRODUCT(('Master Plan'!$H$8:$H$27&lt;&gt;"")*('Master Plan'!$H$8:$H$27+(-12)&lt;=C42)*'Master Plan'!$F$8:$F$27)+W_SYNC*SUMPRODUCT(('Master Plan'!$H$8:$H$27&lt;&gt;"")*('Master Plan'!$H$8:$H$27+(33)&lt;=C42)*'Master Plan'!$F$8:$F$27))/100/SUM('Master Plan'!$F$8:$F$27)</f>
        <v>1</v>
      </c>
      <c r="E42" s="202" t="n">
        <f aca="false">(W_INST*SUMPRODUCT(('Master Plan'!$Y$8:$Y$27&lt;&gt;"")*('Master Plan'!$Y$8:$Y$27&lt;=C42)*'Master Plan'!$F$8:$F$27)+W_IEC*SUMPRODUCT(('Master Plan'!$AA$8:$AA$27&lt;&gt;"")*('Master Plan'!$AA$8:$AA$27&lt;=C42)*'Master Plan'!$F$8:$F$27)+W_HO*SUMPRODUCT(('Master Plan'!$AB$8:$AB$27&lt;&gt;"")*('Master Plan'!$AB$8:$AB$27&lt;=C42)*'Master Plan'!$F$8:$F$27)+W_GRID*SUMPRODUCT(('Master Plan'!$AC$8:$AC$27&lt;&gt;"")*('Master Plan'!$AC$8:$AC$27&lt;=C42)*'Master Plan'!$F$8:$F$27)+W_SYNC*SUMPRODUCT(('Master Plan'!$AH$8:$AH$27&lt;&gt;"")*('Master Plan'!$AH$8:$AH$27&lt;=C42)*'Master Plan'!$F$8:$F$27))/100/SUM('Master Plan'!$F$8:$F$27)</f>
        <v>1</v>
      </c>
      <c r="F42" s="202" t="str">
        <f aca="false">IF(B42&gt;ASOF,"",(W_INST*SUMPRODUCT(('Master Plan'!$N$8:$N$27&lt;&gt;"")*('Master Plan'!$N$8:$N$27&lt;=MIN(C42,ASOF))*'Master Plan'!$F$8:$F$27)+W_IEC*SUMPRODUCT(('Master Plan'!$P$8:$P$27&lt;&gt;"")*('Master Plan'!$P$8:$P$27&lt;=MIN(C42,ASOF))*'Master Plan'!$F$8:$F$27)+W_HO*SUMPRODUCT(('Master Plan'!$Q$8:$Q$27&lt;&gt;"")*('Master Plan'!$Q$8:$Q$27&lt;=MIN(C42,ASOF))*'Master Plan'!$F$8:$F$27)+W_GRID*SUMPRODUCT(('Master Plan'!$R$8:$R$27&lt;&gt;"")*('Master Plan'!$R$8:$R$27&lt;=MIN(C42,ASOF))*'Master Plan'!$F$8:$F$27)+W_SYNC*SUMPRODUCT(('Master Plan'!$X$8:$X$27&lt;&gt;"")*('Master Plan'!$X$8:$X$27&lt;=MIN(C42,ASOF))*'Master Plan'!$F$8:$F$27))/100/SUM('Master Plan'!$F$8:$F$27))</f>
        <v/>
      </c>
    </row>
    <row r="43" customFormat="false" ht="15" hidden="false" customHeight="false" outlineLevel="0" collapsed="false">
      <c r="A43" s="36" t="s">
        <v>1563</v>
      </c>
      <c r="B43" s="33" t="n">
        <f aca="false">'Master Plan'!CT7</f>
        <v>46587</v>
      </c>
      <c r="C43" s="33" t="n">
        <f aca="false">B43+6</f>
        <v>46593</v>
      </c>
      <c r="D43" s="202" t="n">
        <f aca="false">(W_INST*SUMPRODUCT(('Master Plan'!$H$8:$H$27&lt;&gt;"")*('Master Plan'!$H$8:$H$27+(-13)&lt;=C43)*'Master Plan'!$F$8:$F$27)+W_IEC*SUMPRODUCT(('Master Plan'!$H$8:$H$27&lt;&gt;"")*('Master Plan'!$H$8:$H$27+(-10)&lt;=C43)*'Master Plan'!$F$8:$F$27)+W_HO*SUMPRODUCT(('Master Plan'!$H$8:$H$27&lt;&gt;"")*('Master Plan'!$H$8:$H$27+(0)&lt;=C43)*'Master Plan'!$F$8:$F$27)+W_GRID*SUMPRODUCT(('Master Plan'!$H$8:$H$27&lt;&gt;"")*('Master Plan'!$H$8:$H$27+(-12)&lt;=C43)*'Master Plan'!$F$8:$F$27)+W_SYNC*SUMPRODUCT(('Master Plan'!$H$8:$H$27&lt;&gt;"")*('Master Plan'!$H$8:$H$27+(33)&lt;=C43)*'Master Plan'!$F$8:$F$27))/100/SUM('Master Plan'!$F$8:$F$27)</f>
        <v>1</v>
      </c>
      <c r="E43" s="202" t="n">
        <f aca="false">(W_INST*SUMPRODUCT(('Master Plan'!$Y$8:$Y$27&lt;&gt;"")*('Master Plan'!$Y$8:$Y$27&lt;=C43)*'Master Plan'!$F$8:$F$27)+W_IEC*SUMPRODUCT(('Master Plan'!$AA$8:$AA$27&lt;&gt;"")*('Master Plan'!$AA$8:$AA$27&lt;=C43)*'Master Plan'!$F$8:$F$27)+W_HO*SUMPRODUCT(('Master Plan'!$AB$8:$AB$27&lt;&gt;"")*('Master Plan'!$AB$8:$AB$27&lt;=C43)*'Master Plan'!$F$8:$F$27)+W_GRID*SUMPRODUCT(('Master Plan'!$AC$8:$AC$27&lt;&gt;"")*('Master Plan'!$AC$8:$AC$27&lt;=C43)*'Master Plan'!$F$8:$F$27)+W_SYNC*SUMPRODUCT(('Master Plan'!$AH$8:$AH$27&lt;&gt;"")*('Master Plan'!$AH$8:$AH$27&lt;=C43)*'Master Plan'!$F$8:$F$27))/100/SUM('Master Plan'!$F$8:$F$27)</f>
        <v>1</v>
      </c>
      <c r="F43" s="202" t="str">
        <f aca="false">IF(B43&gt;ASOF,"",(W_INST*SUMPRODUCT(('Master Plan'!$N$8:$N$27&lt;&gt;"")*('Master Plan'!$N$8:$N$27&lt;=MIN(C43,ASOF))*'Master Plan'!$F$8:$F$27)+W_IEC*SUMPRODUCT(('Master Plan'!$P$8:$P$27&lt;&gt;"")*('Master Plan'!$P$8:$P$27&lt;=MIN(C43,ASOF))*'Master Plan'!$F$8:$F$27)+W_HO*SUMPRODUCT(('Master Plan'!$Q$8:$Q$27&lt;&gt;"")*('Master Plan'!$Q$8:$Q$27&lt;=MIN(C43,ASOF))*'Master Plan'!$F$8:$F$27)+W_GRID*SUMPRODUCT(('Master Plan'!$R$8:$R$27&lt;&gt;"")*('Master Plan'!$R$8:$R$27&lt;=MIN(C43,ASOF))*'Master Plan'!$F$8:$F$27)+W_SYNC*SUMPRODUCT(('Master Plan'!$X$8:$X$27&lt;&gt;"")*('Master Plan'!$X$8:$X$27&lt;=MIN(C43,ASOF))*'Master Plan'!$F$8:$F$27))/100/SUM('Master Plan'!$F$8:$F$27))</f>
        <v/>
      </c>
    </row>
    <row r="44" customFormat="false" ht="15" hidden="false" customHeight="false" outlineLevel="0" collapsed="false">
      <c r="A44" s="36" t="s">
        <v>1564</v>
      </c>
      <c r="B44" s="33" t="n">
        <f aca="false">'Master Plan'!CU7</f>
        <v>46594</v>
      </c>
      <c r="C44" s="33" t="n">
        <f aca="false">B44+6</f>
        <v>46600</v>
      </c>
      <c r="D44" s="202" t="n">
        <f aca="false">(W_INST*SUMPRODUCT(('Master Plan'!$H$8:$H$27&lt;&gt;"")*('Master Plan'!$H$8:$H$27+(-13)&lt;=C44)*'Master Plan'!$F$8:$F$27)+W_IEC*SUMPRODUCT(('Master Plan'!$H$8:$H$27&lt;&gt;"")*('Master Plan'!$H$8:$H$27+(-10)&lt;=C44)*'Master Plan'!$F$8:$F$27)+W_HO*SUMPRODUCT(('Master Plan'!$H$8:$H$27&lt;&gt;"")*('Master Plan'!$H$8:$H$27+(0)&lt;=C44)*'Master Plan'!$F$8:$F$27)+W_GRID*SUMPRODUCT(('Master Plan'!$H$8:$H$27&lt;&gt;"")*('Master Plan'!$H$8:$H$27+(-12)&lt;=C44)*'Master Plan'!$F$8:$F$27)+W_SYNC*SUMPRODUCT(('Master Plan'!$H$8:$H$27&lt;&gt;"")*('Master Plan'!$H$8:$H$27+(33)&lt;=C44)*'Master Plan'!$F$8:$F$27))/100/SUM('Master Plan'!$F$8:$F$27)</f>
        <v>1</v>
      </c>
      <c r="E44" s="202" t="n">
        <f aca="false">(W_INST*SUMPRODUCT(('Master Plan'!$Y$8:$Y$27&lt;&gt;"")*('Master Plan'!$Y$8:$Y$27&lt;=C44)*'Master Plan'!$F$8:$F$27)+W_IEC*SUMPRODUCT(('Master Plan'!$AA$8:$AA$27&lt;&gt;"")*('Master Plan'!$AA$8:$AA$27&lt;=C44)*'Master Plan'!$F$8:$F$27)+W_HO*SUMPRODUCT(('Master Plan'!$AB$8:$AB$27&lt;&gt;"")*('Master Plan'!$AB$8:$AB$27&lt;=C44)*'Master Plan'!$F$8:$F$27)+W_GRID*SUMPRODUCT(('Master Plan'!$AC$8:$AC$27&lt;&gt;"")*('Master Plan'!$AC$8:$AC$27&lt;=C44)*'Master Plan'!$F$8:$F$27)+W_SYNC*SUMPRODUCT(('Master Plan'!$AH$8:$AH$27&lt;&gt;"")*('Master Plan'!$AH$8:$AH$27&lt;=C44)*'Master Plan'!$F$8:$F$27))/100/SUM('Master Plan'!$F$8:$F$27)</f>
        <v>1</v>
      </c>
      <c r="F44" s="202" t="str">
        <f aca="false">IF(B44&gt;ASOF,"",(W_INST*SUMPRODUCT(('Master Plan'!$N$8:$N$27&lt;&gt;"")*('Master Plan'!$N$8:$N$27&lt;=MIN(C44,ASOF))*'Master Plan'!$F$8:$F$27)+W_IEC*SUMPRODUCT(('Master Plan'!$P$8:$P$27&lt;&gt;"")*('Master Plan'!$P$8:$P$27&lt;=MIN(C44,ASOF))*'Master Plan'!$F$8:$F$27)+W_HO*SUMPRODUCT(('Master Plan'!$Q$8:$Q$27&lt;&gt;"")*('Master Plan'!$Q$8:$Q$27&lt;=MIN(C44,ASOF))*'Master Plan'!$F$8:$F$27)+W_GRID*SUMPRODUCT(('Master Plan'!$R$8:$R$27&lt;&gt;"")*('Master Plan'!$R$8:$R$27&lt;=MIN(C44,ASOF))*'Master Plan'!$F$8:$F$27)+W_SYNC*SUMPRODUCT(('Master Plan'!$X$8:$X$27&lt;&gt;"")*('Master Plan'!$X$8:$X$27&lt;=MIN(C44,ASOF))*'Master Plan'!$F$8:$F$27))/100/SUM('Master Plan'!$F$8:$F$27))</f>
        <v/>
      </c>
    </row>
    <row r="45" customFormat="false" ht="15" hidden="false" customHeight="false" outlineLevel="0" collapsed="false">
      <c r="A45" s="36" t="s">
        <v>1565</v>
      </c>
      <c r="B45" s="33" t="n">
        <f aca="false">'Master Plan'!CV7</f>
        <v>46601</v>
      </c>
      <c r="C45" s="33" t="n">
        <f aca="false">B45+6</f>
        <v>46607</v>
      </c>
      <c r="D45" s="202" t="n">
        <f aca="false">(W_INST*SUMPRODUCT(('Master Plan'!$H$8:$H$27&lt;&gt;"")*('Master Plan'!$H$8:$H$27+(-13)&lt;=C45)*'Master Plan'!$F$8:$F$27)+W_IEC*SUMPRODUCT(('Master Plan'!$H$8:$H$27&lt;&gt;"")*('Master Plan'!$H$8:$H$27+(-10)&lt;=C45)*'Master Plan'!$F$8:$F$27)+W_HO*SUMPRODUCT(('Master Plan'!$H$8:$H$27&lt;&gt;"")*('Master Plan'!$H$8:$H$27+(0)&lt;=C45)*'Master Plan'!$F$8:$F$27)+W_GRID*SUMPRODUCT(('Master Plan'!$H$8:$H$27&lt;&gt;"")*('Master Plan'!$H$8:$H$27+(-12)&lt;=C45)*'Master Plan'!$F$8:$F$27)+W_SYNC*SUMPRODUCT(('Master Plan'!$H$8:$H$27&lt;&gt;"")*('Master Plan'!$H$8:$H$27+(33)&lt;=C45)*'Master Plan'!$F$8:$F$27))/100/SUM('Master Plan'!$F$8:$F$27)</f>
        <v>1</v>
      </c>
      <c r="E45" s="202" t="n">
        <f aca="false">(W_INST*SUMPRODUCT(('Master Plan'!$Y$8:$Y$27&lt;&gt;"")*('Master Plan'!$Y$8:$Y$27&lt;=C45)*'Master Plan'!$F$8:$F$27)+W_IEC*SUMPRODUCT(('Master Plan'!$AA$8:$AA$27&lt;&gt;"")*('Master Plan'!$AA$8:$AA$27&lt;=C45)*'Master Plan'!$F$8:$F$27)+W_HO*SUMPRODUCT(('Master Plan'!$AB$8:$AB$27&lt;&gt;"")*('Master Plan'!$AB$8:$AB$27&lt;=C45)*'Master Plan'!$F$8:$F$27)+W_GRID*SUMPRODUCT(('Master Plan'!$AC$8:$AC$27&lt;&gt;"")*('Master Plan'!$AC$8:$AC$27&lt;=C45)*'Master Plan'!$F$8:$F$27)+W_SYNC*SUMPRODUCT(('Master Plan'!$AH$8:$AH$27&lt;&gt;"")*('Master Plan'!$AH$8:$AH$27&lt;=C45)*'Master Plan'!$F$8:$F$27))/100/SUM('Master Plan'!$F$8:$F$27)</f>
        <v>1</v>
      </c>
      <c r="F45" s="202" t="str">
        <f aca="false">IF(B45&gt;ASOF,"",(W_INST*SUMPRODUCT(('Master Plan'!$N$8:$N$27&lt;&gt;"")*('Master Plan'!$N$8:$N$27&lt;=MIN(C45,ASOF))*'Master Plan'!$F$8:$F$27)+W_IEC*SUMPRODUCT(('Master Plan'!$P$8:$P$27&lt;&gt;"")*('Master Plan'!$P$8:$P$27&lt;=MIN(C45,ASOF))*'Master Plan'!$F$8:$F$27)+W_HO*SUMPRODUCT(('Master Plan'!$Q$8:$Q$27&lt;&gt;"")*('Master Plan'!$Q$8:$Q$27&lt;=MIN(C45,ASOF))*'Master Plan'!$F$8:$F$27)+W_GRID*SUMPRODUCT(('Master Plan'!$R$8:$R$27&lt;&gt;"")*('Master Plan'!$R$8:$R$27&lt;=MIN(C45,ASOF))*'Master Plan'!$F$8:$F$27)+W_SYNC*SUMPRODUCT(('Master Plan'!$X$8:$X$27&lt;&gt;"")*('Master Plan'!$X$8:$X$27&lt;=MIN(C45,ASOF))*'Master Plan'!$F$8:$F$27))/100/SUM('Master Plan'!$F$8:$F$27))</f>
        <v/>
      </c>
    </row>
    <row r="46" customFormat="false" ht="15" hidden="false" customHeight="false" outlineLevel="0" collapsed="false">
      <c r="A46" s="36" t="s">
        <v>1566</v>
      </c>
      <c r="B46" s="33" t="n">
        <f aca="false">'Master Plan'!CW7</f>
        <v>46608</v>
      </c>
      <c r="C46" s="33" t="n">
        <f aca="false">B46+6</f>
        <v>46614</v>
      </c>
      <c r="D46" s="202" t="n">
        <f aca="false">(W_INST*SUMPRODUCT(('Master Plan'!$H$8:$H$27&lt;&gt;"")*('Master Plan'!$H$8:$H$27+(-13)&lt;=C46)*'Master Plan'!$F$8:$F$27)+W_IEC*SUMPRODUCT(('Master Plan'!$H$8:$H$27&lt;&gt;"")*('Master Plan'!$H$8:$H$27+(-10)&lt;=C46)*'Master Plan'!$F$8:$F$27)+W_HO*SUMPRODUCT(('Master Plan'!$H$8:$H$27&lt;&gt;"")*('Master Plan'!$H$8:$H$27+(0)&lt;=C46)*'Master Plan'!$F$8:$F$27)+W_GRID*SUMPRODUCT(('Master Plan'!$H$8:$H$27&lt;&gt;"")*('Master Plan'!$H$8:$H$27+(-12)&lt;=C46)*'Master Plan'!$F$8:$F$27)+W_SYNC*SUMPRODUCT(('Master Plan'!$H$8:$H$27&lt;&gt;"")*('Master Plan'!$H$8:$H$27+(33)&lt;=C46)*'Master Plan'!$F$8:$F$27))/100/SUM('Master Plan'!$F$8:$F$27)</f>
        <v>1</v>
      </c>
      <c r="E46" s="202" t="n">
        <f aca="false">(W_INST*SUMPRODUCT(('Master Plan'!$Y$8:$Y$27&lt;&gt;"")*('Master Plan'!$Y$8:$Y$27&lt;=C46)*'Master Plan'!$F$8:$F$27)+W_IEC*SUMPRODUCT(('Master Plan'!$AA$8:$AA$27&lt;&gt;"")*('Master Plan'!$AA$8:$AA$27&lt;=C46)*'Master Plan'!$F$8:$F$27)+W_HO*SUMPRODUCT(('Master Plan'!$AB$8:$AB$27&lt;&gt;"")*('Master Plan'!$AB$8:$AB$27&lt;=C46)*'Master Plan'!$F$8:$F$27)+W_GRID*SUMPRODUCT(('Master Plan'!$AC$8:$AC$27&lt;&gt;"")*('Master Plan'!$AC$8:$AC$27&lt;=C46)*'Master Plan'!$F$8:$F$27)+W_SYNC*SUMPRODUCT(('Master Plan'!$AH$8:$AH$27&lt;&gt;"")*('Master Plan'!$AH$8:$AH$27&lt;=C46)*'Master Plan'!$F$8:$F$27))/100/SUM('Master Plan'!$F$8:$F$27)</f>
        <v>1</v>
      </c>
      <c r="F46" s="202" t="str">
        <f aca="false">IF(B46&gt;ASOF,"",(W_INST*SUMPRODUCT(('Master Plan'!$N$8:$N$27&lt;&gt;"")*('Master Plan'!$N$8:$N$27&lt;=MIN(C46,ASOF))*'Master Plan'!$F$8:$F$27)+W_IEC*SUMPRODUCT(('Master Plan'!$P$8:$P$27&lt;&gt;"")*('Master Plan'!$P$8:$P$27&lt;=MIN(C46,ASOF))*'Master Plan'!$F$8:$F$27)+W_HO*SUMPRODUCT(('Master Plan'!$Q$8:$Q$27&lt;&gt;"")*('Master Plan'!$Q$8:$Q$27&lt;=MIN(C46,ASOF))*'Master Plan'!$F$8:$F$27)+W_GRID*SUMPRODUCT(('Master Plan'!$R$8:$R$27&lt;&gt;"")*('Master Plan'!$R$8:$R$27&lt;=MIN(C46,ASOF))*'Master Plan'!$F$8:$F$27)+W_SYNC*SUMPRODUCT(('Master Plan'!$X$8:$X$27&lt;&gt;"")*('Master Plan'!$X$8:$X$27&lt;=MIN(C46,ASOF))*'Master Plan'!$F$8:$F$27))/100/SUM('Master Plan'!$F$8:$F$27))</f>
        <v/>
      </c>
    </row>
    <row r="47" customFormat="false" ht="15" hidden="false" customHeight="false" outlineLevel="0" collapsed="false">
      <c r="A47" s="36" t="s">
        <v>1567</v>
      </c>
      <c r="B47" s="33" t="n">
        <f aca="false">'Master Plan'!CX7</f>
        <v>46615</v>
      </c>
      <c r="C47" s="33" t="n">
        <f aca="false">B47+6</f>
        <v>46621</v>
      </c>
      <c r="D47" s="202" t="n">
        <f aca="false">(W_INST*SUMPRODUCT(('Master Plan'!$H$8:$H$27&lt;&gt;"")*('Master Plan'!$H$8:$H$27+(-13)&lt;=C47)*'Master Plan'!$F$8:$F$27)+W_IEC*SUMPRODUCT(('Master Plan'!$H$8:$H$27&lt;&gt;"")*('Master Plan'!$H$8:$H$27+(-10)&lt;=C47)*'Master Plan'!$F$8:$F$27)+W_HO*SUMPRODUCT(('Master Plan'!$H$8:$H$27&lt;&gt;"")*('Master Plan'!$H$8:$H$27+(0)&lt;=C47)*'Master Plan'!$F$8:$F$27)+W_GRID*SUMPRODUCT(('Master Plan'!$H$8:$H$27&lt;&gt;"")*('Master Plan'!$H$8:$H$27+(-12)&lt;=C47)*'Master Plan'!$F$8:$F$27)+W_SYNC*SUMPRODUCT(('Master Plan'!$H$8:$H$27&lt;&gt;"")*('Master Plan'!$H$8:$H$27+(33)&lt;=C47)*'Master Plan'!$F$8:$F$27))/100/SUM('Master Plan'!$F$8:$F$27)</f>
        <v>1</v>
      </c>
      <c r="E47" s="202" t="n">
        <f aca="false">(W_INST*SUMPRODUCT(('Master Plan'!$Y$8:$Y$27&lt;&gt;"")*('Master Plan'!$Y$8:$Y$27&lt;=C47)*'Master Plan'!$F$8:$F$27)+W_IEC*SUMPRODUCT(('Master Plan'!$AA$8:$AA$27&lt;&gt;"")*('Master Plan'!$AA$8:$AA$27&lt;=C47)*'Master Plan'!$F$8:$F$27)+W_HO*SUMPRODUCT(('Master Plan'!$AB$8:$AB$27&lt;&gt;"")*('Master Plan'!$AB$8:$AB$27&lt;=C47)*'Master Plan'!$F$8:$F$27)+W_GRID*SUMPRODUCT(('Master Plan'!$AC$8:$AC$27&lt;&gt;"")*('Master Plan'!$AC$8:$AC$27&lt;=C47)*'Master Plan'!$F$8:$F$27)+W_SYNC*SUMPRODUCT(('Master Plan'!$AH$8:$AH$27&lt;&gt;"")*('Master Plan'!$AH$8:$AH$27&lt;=C47)*'Master Plan'!$F$8:$F$27))/100/SUM('Master Plan'!$F$8:$F$27)</f>
        <v>1</v>
      </c>
      <c r="F47" s="202" t="str">
        <f aca="false">IF(B47&gt;ASOF,"",(W_INST*SUMPRODUCT(('Master Plan'!$N$8:$N$27&lt;&gt;"")*('Master Plan'!$N$8:$N$27&lt;=MIN(C47,ASOF))*'Master Plan'!$F$8:$F$27)+W_IEC*SUMPRODUCT(('Master Plan'!$P$8:$P$27&lt;&gt;"")*('Master Plan'!$P$8:$P$27&lt;=MIN(C47,ASOF))*'Master Plan'!$F$8:$F$27)+W_HO*SUMPRODUCT(('Master Plan'!$Q$8:$Q$27&lt;&gt;"")*('Master Plan'!$Q$8:$Q$27&lt;=MIN(C47,ASOF))*'Master Plan'!$F$8:$F$27)+W_GRID*SUMPRODUCT(('Master Plan'!$R$8:$R$27&lt;&gt;"")*('Master Plan'!$R$8:$R$27&lt;=MIN(C47,ASOF))*'Master Plan'!$F$8:$F$27)+W_SYNC*SUMPRODUCT(('Master Plan'!$X$8:$X$27&lt;&gt;"")*('Master Plan'!$X$8:$X$27&lt;=MIN(C47,ASOF))*'Master Plan'!$F$8:$F$27))/100/SUM('Master Plan'!$F$8:$F$27))</f>
        <v/>
      </c>
    </row>
    <row r="48" customFormat="false" ht="15" hidden="false" customHeight="false" outlineLevel="0" collapsed="false">
      <c r="A48" s="36" t="s">
        <v>1568</v>
      </c>
      <c r="B48" s="33" t="n">
        <f aca="false">'Master Plan'!CY7</f>
        <v>46622</v>
      </c>
      <c r="C48" s="33" t="n">
        <f aca="false">B48+6</f>
        <v>46628</v>
      </c>
      <c r="D48" s="202" t="n">
        <f aca="false">(W_INST*SUMPRODUCT(('Master Plan'!$H$8:$H$27&lt;&gt;"")*('Master Plan'!$H$8:$H$27+(-13)&lt;=C48)*'Master Plan'!$F$8:$F$27)+W_IEC*SUMPRODUCT(('Master Plan'!$H$8:$H$27&lt;&gt;"")*('Master Plan'!$H$8:$H$27+(-10)&lt;=C48)*'Master Plan'!$F$8:$F$27)+W_HO*SUMPRODUCT(('Master Plan'!$H$8:$H$27&lt;&gt;"")*('Master Plan'!$H$8:$H$27+(0)&lt;=C48)*'Master Plan'!$F$8:$F$27)+W_GRID*SUMPRODUCT(('Master Plan'!$H$8:$H$27&lt;&gt;"")*('Master Plan'!$H$8:$H$27+(-12)&lt;=C48)*'Master Plan'!$F$8:$F$27)+W_SYNC*SUMPRODUCT(('Master Plan'!$H$8:$H$27&lt;&gt;"")*('Master Plan'!$H$8:$H$27+(33)&lt;=C48)*'Master Plan'!$F$8:$F$27))/100/SUM('Master Plan'!$F$8:$F$27)</f>
        <v>1</v>
      </c>
      <c r="E48" s="202" t="n">
        <f aca="false">(W_INST*SUMPRODUCT(('Master Plan'!$Y$8:$Y$27&lt;&gt;"")*('Master Plan'!$Y$8:$Y$27&lt;=C48)*'Master Plan'!$F$8:$F$27)+W_IEC*SUMPRODUCT(('Master Plan'!$AA$8:$AA$27&lt;&gt;"")*('Master Plan'!$AA$8:$AA$27&lt;=C48)*'Master Plan'!$F$8:$F$27)+W_HO*SUMPRODUCT(('Master Plan'!$AB$8:$AB$27&lt;&gt;"")*('Master Plan'!$AB$8:$AB$27&lt;=C48)*'Master Plan'!$F$8:$F$27)+W_GRID*SUMPRODUCT(('Master Plan'!$AC$8:$AC$27&lt;&gt;"")*('Master Plan'!$AC$8:$AC$27&lt;=C48)*'Master Plan'!$F$8:$F$27)+W_SYNC*SUMPRODUCT(('Master Plan'!$AH$8:$AH$27&lt;&gt;"")*('Master Plan'!$AH$8:$AH$27&lt;=C48)*'Master Plan'!$F$8:$F$27))/100/SUM('Master Plan'!$F$8:$F$27)</f>
        <v>1</v>
      </c>
      <c r="F48" s="202" t="str">
        <f aca="false">IF(B48&gt;ASOF,"",(W_INST*SUMPRODUCT(('Master Plan'!$N$8:$N$27&lt;&gt;"")*('Master Plan'!$N$8:$N$27&lt;=MIN(C48,ASOF))*'Master Plan'!$F$8:$F$27)+W_IEC*SUMPRODUCT(('Master Plan'!$P$8:$P$27&lt;&gt;"")*('Master Plan'!$P$8:$P$27&lt;=MIN(C48,ASOF))*'Master Plan'!$F$8:$F$27)+W_HO*SUMPRODUCT(('Master Plan'!$Q$8:$Q$27&lt;&gt;"")*('Master Plan'!$Q$8:$Q$27&lt;=MIN(C48,ASOF))*'Master Plan'!$F$8:$F$27)+W_GRID*SUMPRODUCT(('Master Plan'!$R$8:$R$27&lt;&gt;"")*('Master Plan'!$R$8:$R$27&lt;=MIN(C48,ASOF))*'Master Plan'!$F$8:$F$27)+W_SYNC*SUMPRODUCT(('Master Plan'!$X$8:$X$27&lt;&gt;"")*('Master Plan'!$X$8:$X$27&lt;=MIN(C48,ASOF))*'Master Plan'!$F$8:$F$27))/100/SUM('Master Plan'!$F$8:$F$27))</f>
        <v/>
      </c>
    </row>
    <row r="49" customFormat="false" ht="15" hidden="false" customHeight="false" outlineLevel="0" collapsed="false">
      <c r="A49" s="36" t="s">
        <v>1569</v>
      </c>
      <c r="B49" s="33" t="n">
        <f aca="false">'Master Plan'!CZ7</f>
        <v>46629</v>
      </c>
      <c r="C49" s="33" t="n">
        <f aca="false">B49+6</f>
        <v>46635</v>
      </c>
      <c r="D49" s="202" t="n">
        <f aca="false">(W_INST*SUMPRODUCT(('Master Plan'!$H$8:$H$27&lt;&gt;"")*('Master Plan'!$H$8:$H$27+(-13)&lt;=C49)*'Master Plan'!$F$8:$F$27)+W_IEC*SUMPRODUCT(('Master Plan'!$H$8:$H$27&lt;&gt;"")*('Master Plan'!$H$8:$H$27+(-10)&lt;=C49)*'Master Plan'!$F$8:$F$27)+W_HO*SUMPRODUCT(('Master Plan'!$H$8:$H$27&lt;&gt;"")*('Master Plan'!$H$8:$H$27+(0)&lt;=C49)*'Master Plan'!$F$8:$F$27)+W_GRID*SUMPRODUCT(('Master Plan'!$H$8:$H$27&lt;&gt;"")*('Master Plan'!$H$8:$H$27+(-12)&lt;=C49)*'Master Plan'!$F$8:$F$27)+W_SYNC*SUMPRODUCT(('Master Plan'!$H$8:$H$27&lt;&gt;"")*('Master Plan'!$H$8:$H$27+(33)&lt;=C49)*'Master Plan'!$F$8:$F$27))/100/SUM('Master Plan'!$F$8:$F$27)</f>
        <v>1</v>
      </c>
      <c r="E49" s="202" t="n">
        <f aca="false">(W_INST*SUMPRODUCT(('Master Plan'!$Y$8:$Y$27&lt;&gt;"")*('Master Plan'!$Y$8:$Y$27&lt;=C49)*'Master Plan'!$F$8:$F$27)+W_IEC*SUMPRODUCT(('Master Plan'!$AA$8:$AA$27&lt;&gt;"")*('Master Plan'!$AA$8:$AA$27&lt;=C49)*'Master Plan'!$F$8:$F$27)+W_HO*SUMPRODUCT(('Master Plan'!$AB$8:$AB$27&lt;&gt;"")*('Master Plan'!$AB$8:$AB$27&lt;=C49)*'Master Plan'!$F$8:$F$27)+W_GRID*SUMPRODUCT(('Master Plan'!$AC$8:$AC$27&lt;&gt;"")*('Master Plan'!$AC$8:$AC$27&lt;=C49)*'Master Plan'!$F$8:$F$27)+W_SYNC*SUMPRODUCT(('Master Plan'!$AH$8:$AH$27&lt;&gt;"")*('Master Plan'!$AH$8:$AH$27&lt;=C49)*'Master Plan'!$F$8:$F$27))/100/SUM('Master Plan'!$F$8:$F$27)</f>
        <v>1</v>
      </c>
      <c r="F49" s="202" t="str">
        <f aca="false">IF(B49&gt;ASOF,"",(W_INST*SUMPRODUCT(('Master Plan'!$N$8:$N$27&lt;&gt;"")*('Master Plan'!$N$8:$N$27&lt;=MIN(C49,ASOF))*'Master Plan'!$F$8:$F$27)+W_IEC*SUMPRODUCT(('Master Plan'!$P$8:$P$27&lt;&gt;"")*('Master Plan'!$P$8:$P$27&lt;=MIN(C49,ASOF))*'Master Plan'!$F$8:$F$27)+W_HO*SUMPRODUCT(('Master Plan'!$Q$8:$Q$27&lt;&gt;"")*('Master Plan'!$Q$8:$Q$27&lt;=MIN(C49,ASOF))*'Master Plan'!$F$8:$F$27)+W_GRID*SUMPRODUCT(('Master Plan'!$R$8:$R$27&lt;&gt;"")*('Master Plan'!$R$8:$R$27&lt;=MIN(C49,ASOF))*'Master Plan'!$F$8:$F$27)+W_SYNC*SUMPRODUCT(('Master Plan'!$X$8:$X$27&lt;&gt;"")*('Master Plan'!$X$8:$X$27&lt;=MIN(C49,ASOF))*'Master Plan'!$F$8:$F$27))/100/SUM('Master Plan'!$F$8:$F$27))</f>
        <v/>
      </c>
    </row>
    <row r="50" customFormat="false" ht="15" hidden="false" customHeight="false" outlineLevel="0" collapsed="false">
      <c r="A50" s="36" t="s">
        <v>1570</v>
      </c>
      <c r="B50" s="33" t="n">
        <f aca="false">'Master Plan'!DA7</f>
        <v>46636</v>
      </c>
      <c r="C50" s="33" t="n">
        <f aca="false">B50+6</f>
        <v>46642</v>
      </c>
      <c r="D50" s="202" t="n">
        <f aca="false">(W_INST*SUMPRODUCT(('Master Plan'!$H$8:$H$27&lt;&gt;"")*('Master Plan'!$H$8:$H$27+(-13)&lt;=C50)*'Master Plan'!$F$8:$F$27)+W_IEC*SUMPRODUCT(('Master Plan'!$H$8:$H$27&lt;&gt;"")*('Master Plan'!$H$8:$H$27+(-10)&lt;=C50)*'Master Plan'!$F$8:$F$27)+W_HO*SUMPRODUCT(('Master Plan'!$H$8:$H$27&lt;&gt;"")*('Master Plan'!$H$8:$H$27+(0)&lt;=C50)*'Master Plan'!$F$8:$F$27)+W_GRID*SUMPRODUCT(('Master Plan'!$H$8:$H$27&lt;&gt;"")*('Master Plan'!$H$8:$H$27+(-12)&lt;=C50)*'Master Plan'!$F$8:$F$27)+W_SYNC*SUMPRODUCT(('Master Plan'!$H$8:$H$27&lt;&gt;"")*('Master Plan'!$H$8:$H$27+(33)&lt;=C50)*'Master Plan'!$F$8:$F$27))/100/SUM('Master Plan'!$F$8:$F$27)</f>
        <v>1</v>
      </c>
      <c r="E50" s="202" t="n">
        <f aca="false">(W_INST*SUMPRODUCT(('Master Plan'!$Y$8:$Y$27&lt;&gt;"")*('Master Plan'!$Y$8:$Y$27&lt;=C50)*'Master Plan'!$F$8:$F$27)+W_IEC*SUMPRODUCT(('Master Plan'!$AA$8:$AA$27&lt;&gt;"")*('Master Plan'!$AA$8:$AA$27&lt;=C50)*'Master Plan'!$F$8:$F$27)+W_HO*SUMPRODUCT(('Master Plan'!$AB$8:$AB$27&lt;&gt;"")*('Master Plan'!$AB$8:$AB$27&lt;=C50)*'Master Plan'!$F$8:$F$27)+W_GRID*SUMPRODUCT(('Master Plan'!$AC$8:$AC$27&lt;&gt;"")*('Master Plan'!$AC$8:$AC$27&lt;=C50)*'Master Plan'!$F$8:$F$27)+W_SYNC*SUMPRODUCT(('Master Plan'!$AH$8:$AH$27&lt;&gt;"")*('Master Plan'!$AH$8:$AH$27&lt;=C50)*'Master Plan'!$F$8:$F$27))/100/SUM('Master Plan'!$F$8:$F$27)</f>
        <v>1</v>
      </c>
      <c r="F50" s="202" t="str">
        <f aca="false">IF(B50&gt;ASOF,"",(W_INST*SUMPRODUCT(('Master Plan'!$N$8:$N$27&lt;&gt;"")*('Master Plan'!$N$8:$N$27&lt;=MIN(C50,ASOF))*'Master Plan'!$F$8:$F$27)+W_IEC*SUMPRODUCT(('Master Plan'!$P$8:$P$27&lt;&gt;"")*('Master Plan'!$P$8:$P$27&lt;=MIN(C50,ASOF))*'Master Plan'!$F$8:$F$27)+W_HO*SUMPRODUCT(('Master Plan'!$Q$8:$Q$27&lt;&gt;"")*('Master Plan'!$Q$8:$Q$27&lt;=MIN(C50,ASOF))*'Master Plan'!$F$8:$F$27)+W_GRID*SUMPRODUCT(('Master Plan'!$R$8:$R$27&lt;&gt;"")*('Master Plan'!$R$8:$R$27&lt;=MIN(C50,ASOF))*'Master Plan'!$F$8:$F$27)+W_SYNC*SUMPRODUCT(('Master Plan'!$X$8:$X$27&lt;&gt;"")*('Master Plan'!$X$8:$X$27&lt;=MIN(C50,ASOF))*'Master Plan'!$F$8:$F$27))/100/SUM('Master Plan'!$F$8:$F$27))</f>
        <v/>
      </c>
    </row>
    <row r="51" customFormat="false" ht="15" hidden="false" customHeight="false" outlineLevel="0" collapsed="false">
      <c r="A51" s="36" t="s">
        <v>1571</v>
      </c>
      <c r="B51" s="33" t="n">
        <f aca="false">'Master Plan'!DB7</f>
        <v>46643</v>
      </c>
      <c r="C51" s="33" t="n">
        <f aca="false">B51+6</f>
        <v>46649</v>
      </c>
      <c r="D51" s="202" t="n">
        <f aca="false">(W_INST*SUMPRODUCT(('Master Plan'!$H$8:$H$27&lt;&gt;"")*('Master Plan'!$H$8:$H$27+(-13)&lt;=C51)*'Master Plan'!$F$8:$F$27)+W_IEC*SUMPRODUCT(('Master Plan'!$H$8:$H$27&lt;&gt;"")*('Master Plan'!$H$8:$H$27+(-10)&lt;=C51)*'Master Plan'!$F$8:$F$27)+W_HO*SUMPRODUCT(('Master Plan'!$H$8:$H$27&lt;&gt;"")*('Master Plan'!$H$8:$H$27+(0)&lt;=C51)*'Master Plan'!$F$8:$F$27)+W_GRID*SUMPRODUCT(('Master Plan'!$H$8:$H$27&lt;&gt;"")*('Master Plan'!$H$8:$H$27+(-12)&lt;=C51)*'Master Plan'!$F$8:$F$27)+W_SYNC*SUMPRODUCT(('Master Plan'!$H$8:$H$27&lt;&gt;"")*('Master Plan'!$H$8:$H$27+(33)&lt;=C51)*'Master Plan'!$F$8:$F$27))/100/SUM('Master Plan'!$F$8:$F$27)</f>
        <v>1</v>
      </c>
      <c r="E51" s="202" t="n">
        <f aca="false">(W_INST*SUMPRODUCT(('Master Plan'!$Y$8:$Y$27&lt;&gt;"")*('Master Plan'!$Y$8:$Y$27&lt;=C51)*'Master Plan'!$F$8:$F$27)+W_IEC*SUMPRODUCT(('Master Plan'!$AA$8:$AA$27&lt;&gt;"")*('Master Plan'!$AA$8:$AA$27&lt;=C51)*'Master Plan'!$F$8:$F$27)+W_HO*SUMPRODUCT(('Master Plan'!$AB$8:$AB$27&lt;&gt;"")*('Master Plan'!$AB$8:$AB$27&lt;=C51)*'Master Plan'!$F$8:$F$27)+W_GRID*SUMPRODUCT(('Master Plan'!$AC$8:$AC$27&lt;&gt;"")*('Master Plan'!$AC$8:$AC$27&lt;=C51)*'Master Plan'!$F$8:$F$27)+W_SYNC*SUMPRODUCT(('Master Plan'!$AH$8:$AH$27&lt;&gt;"")*('Master Plan'!$AH$8:$AH$27&lt;=C51)*'Master Plan'!$F$8:$F$27))/100/SUM('Master Plan'!$F$8:$F$27)</f>
        <v>1</v>
      </c>
      <c r="F51" s="202" t="str">
        <f aca="false">IF(B51&gt;ASOF,"",(W_INST*SUMPRODUCT(('Master Plan'!$N$8:$N$27&lt;&gt;"")*('Master Plan'!$N$8:$N$27&lt;=MIN(C51,ASOF))*'Master Plan'!$F$8:$F$27)+W_IEC*SUMPRODUCT(('Master Plan'!$P$8:$P$27&lt;&gt;"")*('Master Plan'!$P$8:$P$27&lt;=MIN(C51,ASOF))*'Master Plan'!$F$8:$F$27)+W_HO*SUMPRODUCT(('Master Plan'!$Q$8:$Q$27&lt;&gt;"")*('Master Plan'!$Q$8:$Q$27&lt;=MIN(C51,ASOF))*'Master Plan'!$F$8:$F$27)+W_GRID*SUMPRODUCT(('Master Plan'!$R$8:$R$27&lt;&gt;"")*('Master Plan'!$R$8:$R$27&lt;=MIN(C51,ASOF))*'Master Plan'!$F$8:$F$27)+W_SYNC*SUMPRODUCT(('Master Plan'!$X$8:$X$27&lt;&gt;"")*('Master Plan'!$X$8:$X$27&lt;=MIN(C51,ASOF))*'Master Plan'!$F$8:$F$27))/100/SUM('Master Plan'!$F$8:$F$27))</f>
        <v/>
      </c>
    </row>
    <row r="52" customFormat="false" ht="15" hidden="false" customHeight="false" outlineLevel="0" collapsed="false">
      <c r="A52" s="36" t="s">
        <v>1572</v>
      </c>
      <c r="B52" s="33" t="n">
        <f aca="false">'Master Plan'!DC7</f>
        <v>46650</v>
      </c>
      <c r="C52" s="33" t="n">
        <f aca="false">B52+6</f>
        <v>46656</v>
      </c>
      <c r="D52" s="202" t="n">
        <f aca="false">(W_INST*SUMPRODUCT(('Master Plan'!$H$8:$H$27&lt;&gt;"")*('Master Plan'!$H$8:$H$27+(-13)&lt;=C52)*'Master Plan'!$F$8:$F$27)+W_IEC*SUMPRODUCT(('Master Plan'!$H$8:$H$27&lt;&gt;"")*('Master Plan'!$H$8:$H$27+(-10)&lt;=C52)*'Master Plan'!$F$8:$F$27)+W_HO*SUMPRODUCT(('Master Plan'!$H$8:$H$27&lt;&gt;"")*('Master Plan'!$H$8:$H$27+(0)&lt;=C52)*'Master Plan'!$F$8:$F$27)+W_GRID*SUMPRODUCT(('Master Plan'!$H$8:$H$27&lt;&gt;"")*('Master Plan'!$H$8:$H$27+(-12)&lt;=C52)*'Master Plan'!$F$8:$F$27)+W_SYNC*SUMPRODUCT(('Master Plan'!$H$8:$H$27&lt;&gt;"")*('Master Plan'!$H$8:$H$27+(33)&lt;=C52)*'Master Plan'!$F$8:$F$27))/100/SUM('Master Plan'!$F$8:$F$27)</f>
        <v>1</v>
      </c>
      <c r="E52" s="202" t="n">
        <f aca="false">(W_INST*SUMPRODUCT(('Master Plan'!$Y$8:$Y$27&lt;&gt;"")*('Master Plan'!$Y$8:$Y$27&lt;=C52)*'Master Plan'!$F$8:$F$27)+W_IEC*SUMPRODUCT(('Master Plan'!$AA$8:$AA$27&lt;&gt;"")*('Master Plan'!$AA$8:$AA$27&lt;=C52)*'Master Plan'!$F$8:$F$27)+W_HO*SUMPRODUCT(('Master Plan'!$AB$8:$AB$27&lt;&gt;"")*('Master Plan'!$AB$8:$AB$27&lt;=C52)*'Master Plan'!$F$8:$F$27)+W_GRID*SUMPRODUCT(('Master Plan'!$AC$8:$AC$27&lt;&gt;"")*('Master Plan'!$AC$8:$AC$27&lt;=C52)*'Master Plan'!$F$8:$F$27)+W_SYNC*SUMPRODUCT(('Master Plan'!$AH$8:$AH$27&lt;&gt;"")*('Master Plan'!$AH$8:$AH$27&lt;=C52)*'Master Plan'!$F$8:$F$27))/100/SUM('Master Plan'!$F$8:$F$27)</f>
        <v>1</v>
      </c>
      <c r="F52" s="202" t="str">
        <f aca="false">IF(B52&gt;ASOF,"",(W_INST*SUMPRODUCT(('Master Plan'!$N$8:$N$27&lt;&gt;"")*('Master Plan'!$N$8:$N$27&lt;=MIN(C52,ASOF))*'Master Plan'!$F$8:$F$27)+W_IEC*SUMPRODUCT(('Master Plan'!$P$8:$P$27&lt;&gt;"")*('Master Plan'!$P$8:$P$27&lt;=MIN(C52,ASOF))*'Master Plan'!$F$8:$F$27)+W_HO*SUMPRODUCT(('Master Plan'!$Q$8:$Q$27&lt;&gt;"")*('Master Plan'!$Q$8:$Q$27&lt;=MIN(C52,ASOF))*'Master Plan'!$F$8:$F$27)+W_GRID*SUMPRODUCT(('Master Plan'!$R$8:$R$27&lt;&gt;"")*('Master Plan'!$R$8:$R$27&lt;=MIN(C52,ASOF))*'Master Plan'!$F$8:$F$27)+W_SYNC*SUMPRODUCT(('Master Plan'!$X$8:$X$27&lt;&gt;"")*('Master Plan'!$X$8:$X$27&lt;=MIN(C52,ASOF))*'Master Plan'!$F$8:$F$27))/100/SUM('Master Plan'!$F$8:$F$27))</f>
        <v/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5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4" min="13" style="0" width="6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38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5" min="25" style="0" width="12"/>
    <col collapsed="false" customWidth="true" hidden="false" outlineLevel="0" max="30" min="26" style="0" width="5"/>
  </cols>
  <sheetData>
    <row r="1" customFormat="false" ht="18.65" hidden="false" customHeight="false" outlineLevel="0" collapsed="false">
      <c r="A1" s="37" t="s">
        <v>1573</v>
      </c>
    </row>
    <row r="2" customFormat="false" ht="15" hidden="false" customHeight="false" outlineLevel="0" collapsed="false">
      <c r="A2" s="38" t="s">
        <v>1574</v>
      </c>
    </row>
    <row r="3" customFormat="false" ht="27.75" hidden="false" customHeight="true" outlineLevel="0" collapsed="false">
      <c r="A3" s="3" t="s">
        <v>1575</v>
      </c>
      <c r="B3" s="3"/>
      <c r="C3" s="3" t="s">
        <v>1576</v>
      </c>
      <c r="D3" s="3"/>
      <c r="E3" s="4" t="s">
        <v>1577</v>
      </c>
      <c r="F3" s="4"/>
      <c r="G3" s="3" t="s">
        <v>1578</v>
      </c>
      <c r="H3" s="3"/>
      <c r="I3" s="4" t="s">
        <v>3</v>
      </c>
      <c r="J3" s="4"/>
      <c r="K3" s="4" t="s">
        <v>1579</v>
      </c>
      <c r="L3" s="4"/>
    </row>
    <row r="4" customFormat="false" ht="24" hidden="false" customHeight="true" outlineLevel="0" collapsed="false">
      <c r="A4" s="181" t="n">
        <f aca="false">COUNTIFS($A$7:$A$31,"&lt;&gt;",$T$7:$T$31,"&lt;&gt;ปิด")</f>
        <v>13</v>
      </c>
      <c r="B4" s="181"/>
      <c r="C4" s="70" t="n">
        <f aca="false">COUNTIFS($N$7:$N$31,"สูง",$T$7:$T$31,"&lt;&gt;ปิด")</f>
        <v>2</v>
      </c>
      <c r="D4" s="70"/>
      <c r="E4" s="70" t="n">
        <f aca="false">COUNTIF($J$7:$J$31,"⚠")</f>
        <v>3</v>
      </c>
      <c r="F4" s="70"/>
      <c r="G4" s="68" t="str">
        <f aca="false">ROUND(SUM($P$7:$P$31),0)&amp;" + "&amp;MGMT_RES</f>
        <v>74 + 11</v>
      </c>
      <c r="H4" s="68"/>
      <c r="I4" s="65" t="n">
        <f aca="false">MAX('Master Plan'!$AH$8:$AH$27)</f>
        <v>46433</v>
      </c>
      <c r="J4" s="65"/>
      <c r="K4" s="66" t="n">
        <f aca="false">WORKDAY(MAX('Master Plan'!$AH$8:$AH$27),ROUND(SUM($P$7:$P$31)+MGMT_RES,0),HOLIDAYS)</f>
        <v>46563</v>
      </c>
      <c r="L4" s="66"/>
    </row>
    <row r="5" customFormat="false" ht="15" hidden="false" customHeight="false" outlineLevel="0" collapsed="false">
      <c r="Y5" s="39" t="s">
        <v>1580</v>
      </c>
    </row>
    <row r="6" customFormat="false" ht="39.75" hidden="false" customHeight="true" outlineLevel="0" collapsed="false">
      <c r="A6" s="28" t="s">
        <v>34</v>
      </c>
      <c r="B6" s="28" t="s">
        <v>1581</v>
      </c>
      <c r="C6" s="28" t="s">
        <v>871</v>
      </c>
      <c r="D6" s="28" t="s">
        <v>1582</v>
      </c>
      <c r="E6" s="28" t="s">
        <v>1583</v>
      </c>
      <c r="F6" s="29" t="s">
        <v>1584</v>
      </c>
      <c r="G6" s="28" t="s">
        <v>1585</v>
      </c>
      <c r="H6" s="28" t="s">
        <v>1586</v>
      </c>
      <c r="I6" s="28" t="s">
        <v>1587</v>
      </c>
      <c r="J6" s="28" t="s">
        <v>1588</v>
      </c>
      <c r="K6" s="28" t="s">
        <v>1589</v>
      </c>
      <c r="L6" s="28" t="s">
        <v>1590</v>
      </c>
      <c r="M6" s="28" t="s">
        <v>1591</v>
      </c>
      <c r="N6" s="28" t="s">
        <v>1592</v>
      </c>
      <c r="O6" s="28" t="s">
        <v>1593</v>
      </c>
      <c r="P6" s="28" t="s">
        <v>1594</v>
      </c>
      <c r="Q6" s="28" t="s">
        <v>1595</v>
      </c>
      <c r="R6" s="28" t="s">
        <v>1596</v>
      </c>
      <c r="S6" s="28" t="s">
        <v>520</v>
      </c>
      <c r="T6" s="28" t="s">
        <v>574</v>
      </c>
      <c r="U6" s="28" t="s">
        <v>1597</v>
      </c>
      <c r="V6" s="28" t="s">
        <v>1598</v>
      </c>
      <c r="W6" s="28" t="s">
        <v>1599</v>
      </c>
      <c r="Y6" s="28" t="s">
        <v>1600</v>
      </c>
      <c r="Z6" s="28" t="n">
        <v>1</v>
      </c>
      <c r="AA6" s="28" t="n">
        <v>2</v>
      </c>
      <c r="AB6" s="28" t="n">
        <v>3</v>
      </c>
      <c r="AC6" s="28" t="n">
        <v>4</v>
      </c>
      <c r="AD6" s="28" t="n">
        <v>5</v>
      </c>
    </row>
    <row r="7" customFormat="false" ht="36" hidden="false" customHeight="true" outlineLevel="0" collapsed="false">
      <c r="A7" s="60" t="s">
        <v>1601</v>
      </c>
      <c r="B7" s="114" t="s">
        <v>1602</v>
      </c>
      <c r="C7" s="114" t="s">
        <v>1603</v>
      </c>
      <c r="D7" s="114" t="s">
        <v>1604</v>
      </c>
      <c r="E7" s="114" t="s">
        <v>1605</v>
      </c>
      <c r="F7" s="60" t="s">
        <v>1606</v>
      </c>
      <c r="G7" s="114" t="s">
        <v>1607</v>
      </c>
      <c r="H7" s="203" t="n">
        <f aca="false">SUMPRODUCT(ISNUMBER('Master Plan'!$V$8:$V$27)*('Master Plan'!$X$8:$X$27=""))</f>
        <v>0</v>
      </c>
      <c r="I7" s="116" t="n">
        <v>20</v>
      </c>
      <c r="J7" s="204" t="str">
        <f aca="false">IF(AND(ISNUMBER(H7),ISNUMBER(I7)),IF(H7&gt;=I7,"⚠",""),"")</f>
        <v/>
      </c>
      <c r="K7" s="116" t="n">
        <v>4</v>
      </c>
      <c r="L7" s="116" t="n">
        <v>4</v>
      </c>
      <c r="M7" s="203" t="n">
        <f aca="false">IF(AND(ISNUMBER(K7),ISNUMBER(L7)),K7*L7,"")</f>
        <v>16</v>
      </c>
      <c r="N7" s="118" t="str">
        <f aca="false">IF(M7="","",IF(M7&gt;=15,"สูง",IF(M7&gt;=8,"กลาง","ต่ำ")))</f>
        <v>สูง</v>
      </c>
      <c r="O7" s="116" t="n">
        <v>20</v>
      </c>
      <c r="P7" s="205" t="n">
        <f aca="false">IF(OR(O7="",K7=""),0,IF(T7="เกิดแล้ว",O7,IF(OR(T7="เปิด",T7="เฝ้าระวัง"),CHOOSE(MIN(5,MAX(1,K7)),0.1,0.3,0.5,0.7,0.9)*O7,0)))</f>
        <v>14</v>
      </c>
      <c r="Q7" s="114" t="s">
        <v>1608</v>
      </c>
      <c r="R7" s="114" t="s">
        <v>1609</v>
      </c>
      <c r="S7" s="60" t="s">
        <v>131</v>
      </c>
      <c r="T7" s="114" t="s">
        <v>1610</v>
      </c>
      <c r="U7" s="60"/>
      <c r="V7" s="206" t="n">
        <f aca="false">IF(A7="","",COUNTIFS(CR_RISK,A7,CR_STAT,"อนุมัติ"))</f>
        <v>0</v>
      </c>
      <c r="W7" s="207" t="n">
        <v>46328</v>
      </c>
      <c r="Y7" s="208" t="n">
        <v>5</v>
      </c>
      <c r="Z7" s="209" t="n">
        <f aca="false">COUNTIFS($K$7:$K$31,5,$L$7:$L$31,1,$T$7:$T$31,"&lt;&gt;ปิด")</f>
        <v>0</v>
      </c>
      <c r="AA7" s="210" t="n">
        <f aca="false">COUNTIFS($K$7:$K$31,5,$L$7:$L$31,2,$T$7:$T$31,"&lt;&gt;ปิด")</f>
        <v>0</v>
      </c>
      <c r="AB7" s="211" t="n">
        <f aca="false">COUNTIFS($K$7:$K$31,5,$L$7:$L$31,3,$T$7:$T$31,"&lt;&gt;ปิด")</f>
        <v>0</v>
      </c>
      <c r="AC7" s="211" t="n">
        <f aca="false">COUNTIFS($K$7:$K$31,5,$L$7:$L$31,4,$T$7:$T$31,"&lt;&gt;ปิด")</f>
        <v>0</v>
      </c>
      <c r="AD7" s="211" t="n">
        <f aca="false">COUNTIFS($K$7:$K$31,5,$L$7:$L$31,5,$T$7:$T$31,"&lt;&gt;ปิด")</f>
        <v>0</v>
      </c>
    </row>
    <row r="8" customFormat="false" ht="36" hidden="false" customHeight="true" outlineLevel="0" collapsed="false">
      <c r="A8" s="60" t="s">
        <v>1611</v>
      </c>
      <c r="B8" s="60" t="s">
        <v>1612</v>
      </c>
      <c r="C8" s="114" t="s">
        <v>1613</v>
      </c>
      <c r="D8" s="114" t="s">
        <v>1614</v>
      </c>
      <c r="E8" s="114" t="s">
        <v>1605</v>
      </c>
      <c r="F8" s="60" t="s">
        <v>1615</v>
      </c>
      <c r="G8" s="114" t="s">
        <v>1616</v>
      </c>
      <c r="H8" s="203" t="n">
        <f aca="false">SUMPRODUCT((LEFT(RW_TYPE,4)="PPIM")*(RW_DONE&lt;&gt;"Y"))</f>
        <v>0</v>
      </c>
      <c r="I8" s="116" t="n">
        <v>5</v>
      </c>
      <c r="J8" s="204" t="str">
        <f aca="false">IF(AND(ISNUMBER(H8),ISNUMBER(I8)),IF(H8&gt;=I8,"⚠",""),"")</f>
        <v/>
      </c>
      <c r="K8" s="116" t="n">
        <v>4</v>
      </c>
      <c r="L8" s="116" t="n">
        <v>3</v>
      </c>
      <c r="M8" s="203" t="n">
        <f aca="false">IF(AND(ISNUMBER(K8),ISNUMBER(L8)),K8*L8,"")</f>
        <v>12</v>
      </c>
      <c r="N8" s="118" t="str">
        <f aca="false">IF(M8="","",IF(M8&gt;=15,"สูง",IF(M8&gt;=8,"กลาง","ต่ำ")))</f>
        <v>กลาง</v>
      </c>
      <c r="O8" s="116" t="n">
        <v>10</v>
      </c>
      <c r="P8" s="205" t="n">
        <f aca="false">IF(OR(O8="",K8=""),0,IF(T8="เกิดแล้ว",O8,IF(OR(T8="เปิด",T8="เฝ้าระวัง"),CHOOSE(MIN(5,MAX(1,K8)),0.1,0.3,0.5,0.7,0.9)*O8,0)))</f>
        <v>7</v>
      </c>
      <c r="Q8" s="114" t="s">
        <v>1617</v>
      </c>
      <c r="R8" s="114" t="s">
        <v>1618</v>
      </c>
      <c r="S8" s="60" t="s">
        <v>131</v>
      </c>
      <c r="T8" s="114" t="s">
        <v>1610</v>
      </c>
      <c r="U8" s="60"/>
      <c r="V8" s="206" t="n">
        <f aca="false">IF(A8="","",COUNTIFS(CR_RISK,A8,CR_STAT,"อนุมัติ"))</f>
        <v>0</v>
      </c>
      <c r="W8" s="207" t="n">
        <v>46328</v>
      </c>
      <c r="Y8" s="208" t="n">
        <v>4</v>
      </c>
      <c r="Z8" s="209" t="n">
        <f aca="false">COUNTIFS($K$7:$K$31,4,$L$7:$L$31,1,$T$7:$T$31,"&lt;&gt;ปิด")</f>
        <v>0</v>
      </c>
      <c r="AA8" s="210" t="n">
        <f aca="false">COUNTIFS($K$7:$K$31,4,$L$7:$L$31,2,$T$7:$T$31,"&lt;&gt;ปิด")</f>
        <v>1</v>
      </c>
      <c r="AB8" s="210" t="n">
        <f aca="false">COUNTIFS($K$7:$K$31,4,$L$7:$L$31,3,$T$7:$T$31,"&lt;&gt;ปิด")</f>
        <v>2</v>
      </c>
      <c r="AC8" s="211" t="n">
        <f aca="false">COUNTIFS($K$7:$K$31,4,$L$7:$L$31,4,$T$7:$T$31,"&lt;&gt;ปิด")</f>
        <v>1</v>
      </c>
      <c r="AD8" s="211" t="n">
        <f aca="false">COUNTIFS($K$7:$K$31,4,$L$7:$L$31,5,$T$7:$T$31,"&lt;&gt;ปิด")</f>
        <v>1</v>
      </c>
    </row>
    <row r="9" customFormat="false" ht="36" hidden="false" customHeight="true" outlineLevel="0" collapsed="false">
      <c r="A9" s="60" t="s">
        <v>1619</v>
      </c>
      <c r="B9" s="114" t="s">
        <v>1620</v>
      </c>
      <c r="C9" s="114" t="s">
        <v>1621</v>
      </c>
      <c r="D9" s="114" t="s">
        <v>1622</v>
      </c>
      <c r="E9" s="114" t="s">
        <v>1623</v>
      </c>
      <c r="F9" s="60" t="s">
        <v>1624</v>
      </c>
      <c r="G9" s="114" t="s">
        <v>1625</v>
      </c>
      <c r="H9" s="203" t="n">
        <f aca="false">SUMPRODUCT(('Master Plan'!$L$8:$L$27="S")*ISNUMBER('Master Plan'!$AJ$8:$AJ$27)*('Master Plan'!$AJ$8:$AJ$27&gt;0))</f>
        <v>0</v>
      </c>
      <c r="I9" s="116" t="n">
        <v>10</v>
      </c>
      <c r="J9" s="204" t="str">
        <f aca="false">IF(AND(ISNUMBER(H9),ISNUMBER(I9)),IF(H9&gt;=I9,"⚠",""),"")</f>
        <v/>
      </c>
      <c r="K9" s="116" t="n">
        <v>4</v>
      </c>
      <c r="L9" s="116" t="n">
        <v>5</v>
      </c>
      <c r="M9" s="203" t="n">
        <f aca="false">IF(AND(ISNUMBER(K9),ISNUMBER(L9)),K9*L9,"")</f>
        <v>20</v>
      </c>
      <c r="N9" s="118" t="str">
        <f aca="false">IF(M9="","",IF(M9&gt;=15,"สูง",IF(M9&gt;=8,"กลาง","ต่ำ")))</f>
        <v>สูง</v>
      </c>
      <c r="O9" s="116" t="n">
        <v>30</v>
      </c>
      <c r="P9" s="205" t="n">
        <f aca="false">IF(OR(O9="",K9=""),0,IF(T9="เกิดแล้ว",O9,IF(OR(T9="เปิด",T9="เฝ้าระวัง"),CHOOSE(MIN(5,MAX(1,K9)),0.1,0.3,0.5,0.7,0.9)*O9,0)))</f>
        <v>21</v>
      </c>
      <c r="Q9" s="114" t="s">
        <v>1617</v>
      </c>
      <c r="R9" s="114" t="s">
        <v>1626</v>
      </c>
      <c r="S9" s="60" t="s">
        <v>1627</v>
      </c>
      <c r="T9" s="114" t="s">
        <v>1610</v>
      </c>
      <c r="U9" s="60"/>
      <c r="V9" s="206" t="n">
        <f aca="false">IF(A9="","",COUNTIFS(CR_RISK,A9,CR_STAT,"อนุมัติ"))</f>
        <v>0</v>
      </c>
      <c r="W9" s="207" t="n">
        <v>46328</v>
      </c>
      <c r="Y9" s="208" t="n">
        <v>3</v>
      </c>
      <c r="Z9" s="209" t="n">
        <f aca="false">COUNTIFS($K$7:$K$31,3,$L$7:$L$31,1,$T$7:$T$31,"&lt;&gt;ปิด")</f>
        <v>0</v>
      </c>
      <c r="AA9" s="209" t="n">
        <f aca="false">COUNTIFS($K$7:$K$31,3,$L$7:$L$31,2,$T$7:$T$31,"&lt;&gt;ปิด")</f>
        <v>3</v>
      </c>
      <c r="AB9" s="210" t="n">
        <f aca="false">COUNTIFS($K$7:$K$31,3,$L$7:$L$31,3,$T$7:$T$31,"&lt;&gt;ปิด")</f>
        <v>3</v>
      </c>
      <c r="AC9" s="210" t="n">
        <f aca="false">COUNTIFS($K$7:$K$31,3,$L$7:$L$31,4,$T$7:$T$31,"&lt;&gt;ปิด")</f>
        <v>0</v>
      </c>
      <c r="AD9" s="211" t="n">
        <f aca="false">COUNTIFS($K$7:$K$31,3,$L$7:$L$31,5,$T$7:$T$31,"&lt;&gt;ปิด")</f>
        <v>0</v>
      </c>
    </row>
    <row r="10" customFormat="false" ht="36" hidden="false" customHeight="true" outlineLevel="0" collapsed="false">
      <c r="A10" s="60" t="s">
        <v>1628</v>
      </c>
      <c r="B10" s="114" t="s">
        <v>1629</v>
      </c>
      <c r="C10" s="114" t="s">
        <v>1603</v>
      </c>
      <c r="D10" s="114" t="s">
        <v>1630</v>
      </c>
      <c r="E10" s="114" t="s">
        <v>1631</v>
      </c>
      <c r="F10" s="60" t="s">
        <v>1493</v>
      </c>
      <c r="G10" s="114" t="s">
        <v>1632</v>
      </c>
      <c r="H10" s="203" t="n">
        <f aca="false">COUNTIF('Master Plan'!$BE$8:$BE$27,"&gt;=14")</f>
        <v>0</v>
      </c>
      <c r="I10" s="116" t="n">
        <v>5</v>
      </c>
      <c r="J10" s="204" t="str">
        <f aca="false">IF(AND(ISNUMBER(H10),ISNUMBER(I10)),IF(H10&gt;=I10,"⚠",""),"")</f>
        <v/>
      </c>
      <c r="K10" s="116" t="n">
        <v>3</v>
      </c>
      <c r="L10" s="116" t="n">
        <v>3</v>
      </c>
      <c r="M10" s="203" t="n">
        <f aca="false">IF(AND(ISNUMBER(K10),ISNUMBER(L10)),K10*L10,"")</f>
        <v>9</v>
      </c>
      <c r="N10" s="118" t="str">
        <f aca="false">IF(M10="","",IF(M10&gt;=15,"สูง",IF(M10&gt;=8,"กลาง","ต่ำ")))</f>
        <v>กลาง</v>
      </c>
      <c r="O10" s="116" t="n">
        <v>7</v>
      </c>
      <c r="P10" s="205" t="n">
        <f aca="false">IF(OR(O10="",K10=""),0,IF(T10="เกิดแล้ว",O10,IF(OR(T10="เปิด",T10="เฝ้าระวัง"),CHOOSE(MIN(5,MAX(1,K10)),0.1,0.3,0.5,0.7,0.9)*O10,0)))</f>
        <v>3.5</v>
      </c>
      <c r="Q10" s="114" t="s">
        <v>1617</v>
      </c>
      <c r="R10" s="114" t="s">
        <v>1633</v>
      </c>
      <c r="S10" s="114" t="s">
        <v>15</v>
      </c>
      <c r="T10" s="114" t="s">
        <v>1610</v>
      </c>
      <c r="U10" s="60"/>
      <c r="V10" s="206" t="n">
        <f aca="false">IF(A10="","",COUNTIFS(CR_RISK,A10,CR_STAT,"อนุมัติ"))</f>
        <v>0</v>
      </c>
      <c r="W10" s="207" t="n">
        <v>46328</v>
      </c>
      <c r="Y10" s="208" t="n">
        <v>2</v>
      </c>
      <c r="Z10" s="209" t="n">
        <f aca="false">COUNTIFS($K$7:$K$31,2,$L$7:$L$31,1,$T$7:$T$31,"&lt;&gt;ปิด")</f>
        <v>0</v>
      </c>
      <c r="AA10" s="209" t="n">
        <f aca="false">COUNTIFS($K$7:$K$31,2,$L$7:$L$31,2,$T$7:$T$31,"&lt;&gt;ปิด")</f>
        <v>0</v>
      </c>
      <c r="AB10" s="209" t="n">
        <f aca="false">COUNTIFS($K$7:$K$31,2,$L$7:$L$31,3,$T$7:$T$31,"&lt;&gt;ปิด")</f>
        <v>1</v>
      </c>
      <c r="AC10" s="210" t="n">
        <f aca="false">COUNTIFS($K$7:$K$31,2,$L$7:$L$31,4,$T$7:$T$31,"&lt;&gt;ปิด")</f>
        <v>1</v>
      </c>
      <c r="AD10" s="210" t="n">
        <f aca="false">COUNTIFS($K$7:$K$31,2,$L$7:$L$31,5,$T$7:$T$31,"&lt;&gt;ปิด")</f>
        <v>0</v>
      </c>
    </row>
    <row r="11" customFormat="false" ht="36" hidden="false" customHeight="true" outlineLevel="0" collapsed="false">
      <c r="A11" s="60" t="s">
        <v>1634</v>
      </c>
      <c r="B11" s="114" t="s">
        <v>1635</v>
      </c>
      <c r="C11" s="114" t="s">
        <v>1636</v>
      </c>
      <c r="D11" s="114" t="s">
        <v>1637</v>
      </c>
      <c r="E11" s="114" t="s">
        <v>1638</v>
      </c>
      <c r="F11" s="60" t="s">
        <v>1639</v>
      </c>
      <c r="G11" s="114" t="s">
        <v>1640</v>
      </c>
      <c r="H11" s="203" t="n">
        <f aca="false">SUMPRODUCT((อัปเดตรายสัปดาห์!$AF$8:$AF$27="")*(อัปเดตรายสัปดาห์!$I$8:$I$27=""))</f>
        <v>20</v>
      </c>
      <c r="I11" s="116" t="n">
        <v>10</v>
      </c>
      <c r="J11" s="204" t="str">
        <f aca="false">IF(AND(ISNUMBER(H11),ISNUMBER(I11)),IF(H11&gt;=I11,"⚠",""),"")</f>
        <v>⚠</v>
      </c>
      <c r="K11" s="116" t="n">
        <v>3</v>
      </c>
      <c r="L11" s="116" t="n">
        <v>3</v>
      </c>
      <c r="M11" s="203" t="n">
        <f aca="false">IF(AND(ISNUMBER(K11),ISNUMBER(L11)),K11*L11,"")</f>
        <v>9</v>
      </c>
      <c r="N11" s="118" t="str">
        <f aca="false">IF(M11="","",IF(M11&gt;=15,"สูง",IF(M11&gt;=8,"กลาง","ต่ำ")))</f>
        <v>กลาง</v>
      </c>
      <c r="O11" s="116" t="n">
        <v>7</v>
      </c>
      <c r="P11" s="205" t="n">
        <f aca="false">IF(OR(O11="",K11=""),0,IF(T11="เกิดแล้ว",O11,IF(OR(T11="เปิด",T11="เฝ้าระวัง"),CHOOSE(MIN(5,MAX(1,K11)),0.1,0.3,0.5,0.7,0.9)*O11,0)))</f>
        <v>3.5</v>
      </c>
      <c r="Q11" s="114" t="s">
        <v>1641</v>
      </c>
      <c r="R11" s="114" t="s">
        <v>1642</v>
      </c>
      <c r="S11" s="60" t="s">
        <v>131</v>
      </c>
      <c r="T11" s="114" t="s">
        <v>1610</v>
      </c>
      <c r="U11" s="60"/>
      <c r="V11" s="206" t="n">
        <f aca="false">IF(A11="","",COUNTIFS(CR_RISK,A11,CR_STAT,"อนุมัติ"))</f>
        <v>0</v>
      </c>
      <c r="W11" s="207" t="n">
        <v>46328</v>
      </c>
      <c r="Y11" s="208" t="n">
        <v>1</v>
      </c>
      <c r="Z11" s="209" t="n">
        <f aca="false">COUNTIFS($K$7:$K$31,1,$L$7:$L$31,1,$T$7:$T$31,"&lt;&gt;ปิด")</f>
        <v>0</v>
      </c>
      <c r="AA11" s="209" t="n">
        <f aca="false">COUNTIFS($K$7:$K$31,1,$L$7:$L$31,2,$T$7:$T$31,"&lt;&gt;ปิด")</f>
        <v>0</v>
      </c>
      <c r="AB11" s="209" t="n">
        <f aca="false">COUNTIFS($K$7:$K$31,1,$L$7:$L$31,3,$T$7:$T$31,"&lt;&gt;ปิด")</f>
        <v>0</v>
      </c>
      <c r="AC11" s="209" t="n">
        <f aca="false">COUNTIFS($K$7:$K$31,1,$L$7:$L$31,4,$T$7:$T$31,"&lt;&gt;ปิด")</f>
        <v>0</v>
      </c>
      <c r="AD11" s="209" t="n">
        <f aca="false">COUNTIFS($K$7:$K$31,1,$L$7:$L$31,5,$T$7:$T$31,"&lt;&gt;ปิด")</f>
        <v>0</v>
      </c>
    </row>
    <row r="12" customFormat="false" ht="36" hidden="false" customHeight="true" outlineLevel="0" collapsed="false">
      <c r="A12" s="60" t="s">
        <v>1643</v>
      </c>
      <c r="B12" s="114" t="s">
        <v>1644</v>
      </c>
      <c r="C12" s="114" t="s">
        <v>1645</v>
      </c>
      <c r="D12" s="114" t="s">
        <v>1646</v>
      </c>
      <c r="E12" s="114" t="s">
        <v>1605</v>
      </c>
      <c r="F12" s="60" t="s">
        <v>1647</v>
      </c>
      <c r="G12" s="60" t="s">
        <v>1499</v>
      </c>
      <c r="H12" s="203"/>
      <c r="I12" s="116"/>
      <c r="J12" s="204" t="str">
        <f aca="false">IF(AND(ISNUMBER(H12),ISNUMBER(I12)),IF(H12&gt;=I12,"⚠",""),"")</f>
        <v/>
      </c>
      <c r="K12" s="116" t="n">
        <v>3</v>
      </c>
      <c r="L12" s="116" t="n">
        <v>2</v>
      </c>
      <c r="M12" s="203" t="n">
        <f aca="false">IF(AND(ISNUMBER(K12),ISNUMBER(L12)),K12*L12,"")</f>
        <v>6</v>
      </c>
      <c r="N12" s="118" t="str">
        <f aca="false">IF(M12="","",IF(M12&gt;=15,"สูง",IF(M12&gt;=8,"กลาง","ต่ำ")))</f>
        <v>ต่ำ</v>
      </c>
      <c r="O12" s="116" t="n">
        <v>5</v>
      </c>
      <c r="P12" s="205" t="n">
        <f aca="false">IF(OR(O12="",K12=""),0,IF(T12="เกิดแล้ว",O12,IF(OR(T12="เปิด",T12="เฝ้าระวัง"),CHOOSE(MIN(5,MAX(1,K12)),0.1,0.3,0.5,0.7,0.9)*O12,0)))</f>
        <v>2.5</v>
      </c>
      <c r="Q12" s="114" t="s">
        <v>1648</v>
      </c>
      <c r="R12" s="114" t="s">
        <v>1649</v>
      </c>
      <c r="S12" s="114" t="s">
        <v>1621</v>
      </c>
      <c r="T12" s="114" t="s">
        <v>1610</v>
      </c>
      <c r="U12" s="60"/>
      <c r="V12" s="206" t="n">
        <f aca="false">IF(A12="","",COUNTIFS(CR_RISK,A12,CR_STAT,"อนุมัติ"))</f>
        <v>0</v>
      </c>
      <c r="W12" s="207" t="n">
        <v>46328</v>
      </c>
    </row>
    <row r="13" customFormat="false" ht="36" hidden="false" customHeight="true" outlineLevel="0" collapsed="false">
      <c r="A13" s="60" t="s">
        <v>1650</v>
      </c>
      <c r="B13" s="114" t="s">
        <v>1651</v>
      </c>
      <c r="C13" s="114" t="s">
        <v>1652</v>
      </c>
      <c r="D13" s="114" t="s">
        <v>1653</v>
      </c>
      <c r="E13" s="114" t="s">
        <v>1638</v>
      </c>
      <c r="F13" s="60" t="s">
        <v>1654</v>
      </c>
      <c r="G13" s="114" t="s">
        <v>1655</v>
      </c>
      <c r="H13" s="203" t="n">
        <f aca="false">SUMPRODUCT(--ISNUMBER(SEARCH("ตรงวันหยุด",'Master Plan'!$AN$8:$AN$27)))</f>
        <v>0</v>
      </c>
      <c r="I13" s="116" t="n">
        <v>1</v>
      </c>
      <c r="J13" s="204" t="str">
        <f aca="false">IF(AND(ISNUMBER(H13),ISNUMBER(I13)),IF(H13&gt;=I13,"⚠",""),"")</f>
        <v/>
      </c>
      <c r="K13" s="116" t="n">
        <v>3</v>
      </c>
      <c r="L13" s="116" t="n">
        <v>2</v>
      </c>
      <c r="M13" s="203" t="n">
        <f aca="false">IF(AND(ISNUMBER(K13),ISNUMBER(L13)),K13*L13,"")</f>
        <v>6</v>
      </c>
      <c r="N13" s="118" t="str">
        <f aca="false">IF(M13="","",IF(M13&gt;=15,"สูง",IF(M13&gt;=8,"กลาง","ต่ำ")))</f>
        <v>ต่ำ</v>
      </c>
      <c r="O13" s="116" t="n">
        <v>3</v>
      </c>
      <c r="P13" s="205" t="n">
        <f aca="false">IF(OR(O13="",K13=""),0,IF(T13="เกิดแล้ว",O13,IF(OR(T13="เปิด",T13="เฝ้าระวัง"),CHOOSE(MIN(5,MAX(1,K13)),0.1,0.3,0.5,0.7,0.9)*O13,0)))</f>
        <v>1.5</v>
      </c>
      <c r="Q13" s="114" t="s">
        <v>1641</v>
      </c>
      <c r="R13" s="114" t="s">
        <v>1656</v>
      </c>
      <c r="S13" s="60" t="s">
        <v>131</v>
      </c>
      <c r="T13" s="114" t="s">
        <v>1610</v>
      </c>
      <c r="U13" s="60"/>
      <c r="V13" s="206" t="n">
        <f aca="false">IF(A13="","",COUNTIFS(CR_RISK,A13,CR_STAT,"อนุมัติ"))</f>
        <v>0</v>
      </c>
      <c r="W13" s="207" t="n">
        <v>46328</v>
      </c>
    </row>
    <row r="14" customFormat="false" ht="36" hidden="false" customHeight="true" outlineLevel="0" collapsed="false">
      <c r="A14" s="60" t="s">
        <v>1657</v>
      </c>
      <c r="B14" s="114" t="s">
        <v>1658</v>
      </c>
      <c r="C14" s="114" t="s">
        <v>1652</v>
      </c>
      <c r="D14" s="114" t="s">
        <v>1659</v>
      </c>
      <c r="E14" s="114" t="s">
        <v>1605</v>
      </c>
      <c r="F14" s="60" t="s">
        <v>1660</v>
      </c>
      <c r="G14" s="114" t="s">
        <v>1661</v>
      </c>
      <c r="H14" s="203" t="n">
        <f aca="false">SUMPRODUCT(--(LEN('Master Plan'!$AN$8:$AN$27)&gt;0))</f>
        <v>0</v>
      </c>
      <c r="I14" s="116" t="n">
        <v>1</v>
      </c>
      <c r="J14" s="204" t="str">
        <f aca="false">IF(AND(ISNUMBER(H14),ISNUMBER(I14)),IF(H14&gt;=I14,"⚠",""),"")</f>
        <v/>
      </c>
      <c r="K14" s="116" t="n">
        <v>4</v>
      </c>
      <c r="L14" s="116" t="n">
        <v>2</v>
      </c>
      <c r="M14" s="203" t="n">
        <f aca="false">IF(AND(ISNUMBER(K14),ISNUMBER(L14)),K14*L14,"")</f>
        <v>8</v>
      </c>
      <c r="N14" s="118" t="str">
        <f aca="false">IF(M14="","",IF(M14&gt;=15,"สูง",IF(M14&gt;=8,"กลาง","ต่ำ")))</f>
        <v>กลาง</v>
      </c>
      <c r="O14" s="116" t="n">
        <v>3</v>
      </c>
      <c r="P14" s="205" t="n">
        <f aca="false">IF(OR(O14="",K14=""),0,IF(T14="เกิดแล้ว",O14,IF(OR(T14="เปิด",T14="เฝ้าระวัง"),CHOOSE(MIN(5,MAX(1,K14)),0.1,0.3,0.5,0.7,0.9)*O14,0)))</f>
        <v>2.1</v>
      </c>
      <c r="Q14" s="114" t="s">
        <v>1617</v>
      </c>
      <c r="R14" s="114" t="s">
        <v>1662</v>
      </c>
      <c r="S14" s="60" t="s">
        <v>131</v>
      </c>
      <c r="T14" s="114" t="s">
        <v>1610</v>
      </c>
      <c r="U14" s="60"/>
      <c r="V14" s="206" t="n">
        <f aca="false">IF(A14="","",COUNTIFS(CR_RISK,A14,CR_STAT,"อนุมัติ"))</f>
        <v>0</v>
      </c>
      <c r="W14" s="207" t="n">
        <v>46328</v>
      </c>
      <c r="Y14" s="212" t="s">
        <v>1663</v>
      </c>
      <c r="AC14" s="213" t="n">
        <v>0.1</v>
      </c>
    </row>
    <row r="15" customFormat="false" ht="36" hidden="false" customHeight="true" outlineLevel="0" collapsed="false">
      <c r="A15" s="60" t="s">
        <v>1664</v>
      </c>
      <c r="B15" s="114" t="s">
        <v>1665</v>
      </c>
      <c r="C15" s="114" t="s">
        <v>1621</v>
      </c>
      <c r="D15" s="60" t="s">
        <v>1666</v>
      </c>
      <c r="E15" s="114" t="s">
        <v>1667</v>
      </c>
      <c r="F15" s="60" t="s">
        <v>1668</v>
      </c>
      <c r="G15" s="114" t="s">
        <v>1669</v>
      </c>
      <c r="H15" s="203" t="n">
        <f aca="false">COUNTIF('Master Plan'!$AI$8:$AI$27,"&gt;30")</f>
        <v>0</v>
      </c>
      <c r="I15" s="116" t="n">
        <v>10</v>
      </c>
      <c r="J15" s="204" t="str">
        <f aca="false">IF(AND(ISNUMBER(H15),ISNUMBER(I15)),IF(H15&gt;=I15,"⚠",""),"")</f>
        <v/>
      </c>
      <c r="K15" s="116" t="n">
        <v>4</v>
      </c>
      <c r="L15" s="116" t="n">
        <v>3</v>
      </c>
      <c r="M15" s="203" t="n">
        <f aca="false">IF(AND(ISNUMBER(K15),ISNUMBER(L15)),K15*L15,"")</f>
        <v>12</v>
      </c>
      <c r="N15" s="118" t="str">
        <f aca="false">IF(M15="","",IF(M15&gt;=15,"สูง",IF(M15&gt;=8,"กลาง","ต่ำ")))</f>
        <v>กลาง</v>
      </c>
      <c r="O15" s="116" t="n">
        <v>7</v>
      </c>
      <c r="P15" s="205" t="n">
        <f aca="false">IF(OR(O15="",K15=""),0,IF(T15="เกิดแล้ว",O15,IF(OR(T15="เปิด",T15="เฝ้าระวัง"),CHOOSE(MIN(5,MAX(1,K15)),0.1,0.3,0.5,0.7,0.9)*O15,0)))</f>
        <v>4.9</v>
      </c>
      <c r="Q15" s="114" t="s">
        <v>1670</v>
      </c>
      <c r="R15" s="114" t="s">
        <v>1671</v>
      </c>
      <c r="S15" s="114" t="s">
        <v>15</v>
      </c>
      <c r="T15" s="114" t="s">
        <v>1610</v>
      </c>
      <c r="U15" s="60"/>
      <c r="V15" s="206" t="n">
        <f aca="false">IF(A15="","",COUNTIFS(CR_RISK,A15,CR_STAT,"อนุมัติ"))</f>
        <v>0</v>
      </c>
      <c r="W15" s="207" t="n">
        <v>46328</v>
      </c>
      <c r="Y15" s="133" t="s">
        <v>1672</v>
      </c>
      <c r="AC15" s="214" t="n">
        <f aca="false">ROUND(MGMT_PCT*MAX(0,MAX('Master Plan'!$AH$8:$AH$27)-ASOF),0)</f>
        <v>11</v>
      </c>
    </row>
    <row r="16" customFormat="false" ht="36" hidden="false" customHeight="true" outlineLevel="0" collapsed="false">
      <c r="A16" s="60" t="s">
        <v>1673</v>
      </c>
      <c r="B16" s="114" t="s">
        <v>1674</v>
      </c>
      <c r="C16" s="114" t="s">
        <v>1675</v>
      </c>
      <c r="D16" s="114" t="s">
        <v>1676</v>
      </c>
      <c r="E16" s="114" t="s">
        <v>1677</v>
      </c>
      <c r="F16" s="60" t="s">
        <v>1491</v>
      </c>
      <c r="G16" s="114" t="s">
        <v>1678</v>
      </c>
      <c r="H16" s="203" t="n">
        <f aca="false">SUMPRODUCT(('Master Plan'!$M$8:$M$27="Y")*('Master Plan'!$W$8:$W$27=""))</f>
        <v>10</v>
      </c>
      <c r="I16" s="116" t="n">
        <v>10</v>
      </c>
      <c r="J16" s="204" t="str">
        <f aca="false">IF(AND(ISNUMBER(H16),ISNUMBER(I16)),IF(H16&gt;=I16,"⚠",""),"")</f>
        <v>⚠</v>
      </c>
      <c r="K16" s="116" t="n">
        <v>3</v>
      </c>
      <c r="L16" s="116" t="n">
        <v>3</v>
      </c>
      <c r="M16" s="203" t="n">
        <f aca="false">IF(AND(ISNUMBER(K16),ISNUMBER(L16)),K16*L16,"")</f>
        <v>9</v>
      </c>
      <c r="N16" s="118" t="str">
        <f aca="false">IF(M16="","",IF(M16&gt;=15,"สูง",IF(M16&gt;=8,"กลาง","ต่ำ")))</f>
        <v>กลาง</v>
      </c>
      <c r="O16" s="116" t="n">
        <v>10</v>
      </c>
      <c r="P16" s="205" t="n">
        <f aca="false">IF(OR(O16="",K16=""),0,IF(T16="เกิดแล้ว",O16,IF(OR(T16="เปิด",T16="เฝ้าระวัง"),CHOOSE(MIN(5,MAX(1,K16)),0.1,0.3,0.5,0.7,0.9)*O16,0)))</f>
        <v>5</v>
      </c>
      <c r="Q16" s="114" t="s">
        <v>1617</v>
      </c>
      <c r="R16" s="114" t="s">
        <v>1679</v>
      </c>
      <c r="S16" s="60" t="s">
        <v>131</v>
      </c>
      <c r="T16" s="114" t="s">
        <v>1610</v>
      </c>
      <c r="U16" s="60"/>
      <c r="V16" s="206" t="n">
        <f aca="false">IF(A16="","",COUNTIFS(CR_RISK,A16,CR_STAT,"อนุมัติ"))</f>
        <v>0</v>
      </c>
      <c r="W16" s="207" t="n">
        <v>46328</v>
      </c>
      <c r="Y16" s="72" t="s">
        <v>1680</v>
      </c>
    </row>
    <row r="17" customFormat="false" ht="36" hidden="false" customHeight="true" outlineLevel="0" collapsed="false">
      <c r="A17" s="60" t="s">
        <v>1681</v>
      </c>
      <c r="B17" s="114" t="s">
        <v>1682</v>
      </c>
      <c r="C17" s="114" t="s">
        <v>1683</v>
      </c>
      <c r="D17" s="114" t="s">
        <v>1684</v>
      </c>
      <c r="E17" s="114" t="s">
        <v>1605</v>
      </c>
      <c r="F17" s="60" t="s">
        <v>1685</v>
      </c>
      <c r="G17" s="114" t="s">
        <v>1686</v>
      </c>
      <c r="H17" s="203" t="n">
        <f aca="false">SUMPRODUCT((อัปเดตรายสัปดาห์!$AF$8:$AF$27="")*(อัปเดตรายสัปดาห์!$H$8:$H$27=""))</f>
        <v>20</v>
      </c>
      <c r="I17" s="116" t="n">
        <v>10</v>
      </c>
      <c r="J17" s="204" t="str">
        <f aca="false">IF(AND(ISNUMBER(H17),ISNUMBER(I17)),IF(H17&gt;=I17,"⚠",""),"")</f>
        <v>⚠</v>
      </c>
      <c r="K17" s="116" t="n">
        <v>2</v>
      </c>
      <c r="L17" s="116" t="n">
        <v>4</v>
      </c>
      <c r="M17" s="203" t="n">
        <f aca="false">IF(AND(ISNUMBER(K17),ISNUMBER(L17)),K17*L17,"")</f>
        <v>8</v>
      </c>
      <c r="N17" s="118" t="str">
        <f aca="false">IF(M17="","",IF(M17&gt;=15,"สูง",IF(M17&gt;=8,"กลาง","ต่ำ")))</f>
        <v>กลาง</v>
      </c>
      <c r="O17" s="116" t="n">
        <v>14</v>
      </c>
      <c r="P17" s="205" t="n">
        <f aca="false">IF(OR(O17="",K17=""),0,IF(T17="เกิดแล้ว",O17,IF(OR(T17="เปิด",T17="เฝ้าระวัง"),CHOOSE(MIN(5,MAX(1,K17)),0.1,0.3,0.5,0.7,0.9)*O17,0)))</f>
        <v>4.2</v>
      </c>
      <c r="Q17" s="114" t="s">
        <v>1670</v>
      </c>
      <c r="R17" s="114" t="s">
        <v>1687</v>
      </c>
      <c r="S17" s="114" t="s">
        <v>1688</v>
      </c>
      <c r="T17" s="114" t="s">
        <v>1610</v>
      </c>
      <c r="U17" s="60"/>
      <c r="V17" s="206" t="n">
        <f aca="false">IF(A17="","",COUNTIFS(CR_RISK,A17,CR_STAT,"อนุมัติ"))</f>
        <v>0</v>
      </c>
      <c r="W17" s="207" t="n">
        <v>46328</v>
      </c>
    </row>
    <row r="18" customFormat="false" ht="36" hidden="false" customHeight="true" outlineLevel="0" collapsed="false">
      <c r="A18" s="60" t="s">
        <v>1689</v>
      </c>
      <c r="B18" s="114" t="s">
        <v>1690</v>
      </c>
      <c r="C18" s="114" t="s">
        <v>1613</v>
      </c>
      <c r="D18" s="114" t="s">
        <v>1691</v>
      </c>
      <c r="E18" s="114" t="s">
        <v>1638</v>
      </c>
      <c r="F18" s="60" t="s">
        <v>1502</v>
      </c>
      <c r="G18" s="114" t="s">
        <v>1692</v>
      </c>
      <c r="H18" s="203" t="n">
        <f aca="false">SUMPRODUCT(('Master Plan'!$T$8:$T$27&lt;&gt;"")*('Master Plan'!$U$8:$U$27=""))</f>
        <v>0</v>
      </c>
      <c r="I18" s="116" t="n">
        <v>5</v>
      </c>
      <c r="J18" s="204" t="str">
        <f aca="false">IF(AND(ISNUMBER(H18),ISNUMBER(I18)),IF(H18&gt;=I18,"⚠",""),"")</f>
        <v/>
      </c>
      <c r="K18" s="116" t="n">
        <v>2</v>
      </c>
      <c r="L18" s="116" t="n">
        <v>3</v>
      </c>
      <c r="M18" s="203" t="n">
        <f aca="false">IF(AND(ISNUMBER(K18),ISNUMBER(L18)),K18*L18,"")</f>
        <v>6</v>
      </c>
      <c r="N18" s="118" t="str">
        <f aca="false">IF(M18="","",IF(M18&gt;=15,"สูง",IF(M18&gt;=8,"กลาง","ต่ำ")))</f>
        <v>ต่ำ</v>
      </c>
      <c r="O18" s="116" t="n">
        <v>7</v>
      </c>
      <c r="P18" s="205" t="n">
        <f aca="false">IF(OR(O18="",K18=""),0,IF(T18="เกิดแล้ว",O18,IF(OR(T18="เปิด",T18="เฝ้าระวัง"),CHOOSE(MIN(5,MAX(1,K18)),0.1,0.3,0.5,0.7,0.9)*O18,0)))</f>
        <v>2.1</v>
      </c>
      <c r="Q18" s="114" t="s">
        <v>1641</v>
      </c>
      <c r="R18" s="114" t="s">
        <v>1693</v>
      </c>
      <c r="S18" s="60" t="s">
        <v>131</v>
      </c>
      <c r="T18" s="114" t="s">
        <v>1610</v>
      </c>
      <c r="U18" s="60"/>
      <c r="V18" s="206" t="n">
        <f aca="false">IF(A18="","",COUNTIFS(CR_RISK,A18,CR_STAT,"อนุมัติ"))</f>
        <v>0</v>
      </c>
      <c r="W18" s="207" t="n">
        <v>46328</v>
      </c>
      <c r="Y18" s="212" t="s">
        <v>1694</v>
      </c>
      <c r="AC18" s="207" t="n">
        <v>46370</v>
      </c>
    </row>
    <row r="19" customFormat="false" ht="36" hidden="false" customHeight="true" outlineLevel="0" collapsed="false">
      <c r="A19" s="60" t="s">
        <v>1695</v>
      </c>
      <c r="B19" s="114" t="s">
        <v>1696</v>
      </c>
      <c r="C19" s="114" t="s">
        <v>1697</v>
      </c>
      <c r="D19" s="114" t="s">
        <v>1698</v>
      </c>
      <c r="E19" s="114" t="s">
        <v>1699</v>
      </c>
      <c r="F19" s="60" t="s">
        <v>1700</v>
      </c>
      <c r="G19" s="114" t="s">
        <v>1701</v>
      </c>
      <c r="H19" s="203" t="n">
        <f aca="false">COUNTIF('Master Plan'!$BF$8:$BF$27,"&gt;=14")</f>
        <v>0</v>
      </c>
      <c r="I19" s="116" t="n">
        <v>5</v>
      </c>
      <c r="J19" s="204" t="str">
        <f aca="false">IF(AND(ISNUMBER(H19),ISNUMBER(I19)),IF(H19&gt;=I19,"⚠",""),"")</f>
        <v/>
      </c>
      <c r="K19" s="116" t="n">
        <v>3</v>
      </c>
      <c r="L19" s="116" t="n">
        <v>2</v>
      </c>
      <c r="M19" s="203" t="n">
        <f aca="false">IF(AND(ISNUMBER(K19),ISNUMBER(L19)),K19*L19,"")</f>
        <v>6</v>
      </c>
      <c r="N19" s="118" t="str">
        <f aca="false">IF(M19="","",IF(M19&gt;=15,"สูง",IF(M19&gt;=8,"กลาง","ต่ำ")))</f>
        <v>ต่ำ</v>
      </c>
      <c r="O19" s="116" t="n">
        <v>5</v>
      </c>
      <c r="P19" s="205" t="n">
        <f aca="false">IF(OR(O19="",K19=""),0,IF(T19="เกิดแล้ว",O19,IF(OR(T19="เปิด",T19="เฝ้าระวัง"),CHOOSE(MIN(5,MAX(1,K19)),0.1,0.3,0.5,0.7,0.9)*O19,0)))</f>
        <v>2.5</v>
      </c>
      <c r="Q19" s="114" t="s">
        <v>1617</v>
      </c>
      <c r="R19" s="114" t="s">
        <v>1702</v>
      </c>
      <c r="S19" s="60" t="s">
        <v>1627</v>
      </c>
      <c r="T19" s="114" t="s">
        <v>1610</v>
      </c>
      <c r="U19" s="60"/>
      <c r="V19" s="206" t="n">
        <f aca="false">IF(A19="","",COUNTIFS(CR_RISK,A19,CR_STAT,"อนุมัติ"))</f>
        <v>0</v>
      </c>
      <c r="W19" s="207" t="n">
        <v>46328</v>
      </c>
      <c r="Y19" s="72" t="s">
        <v>1703</v>
      </c>
    </row>
    <row r="20" customFormat="false" ht="18" hidden="false" customHeight="true" outlineLevel="0" collapsed="false">
      <c r="A20" s="60"/>
      <c r="B20" s="60"/>
      <c r="C20" s="114"/>
      <c r="D20" s="60"/>
      <c r="E20" s="60"/>
      <c r="F20" s="60"/>
      <c r="G20" s="60"/>
      <c r="H20" s="203"/>
      <c r="I20" s="116"/>
      <c r="J20" s="204" t="str">
        <f aca="false">IF(AND(ISNUMBER(H20),ISNUMBER(I20)),IF(H20&gt;=I20,"⚠",""),"")</f>
        <v/>
      </c>
      <c r="K20" s="116"/>
      <c r="L20" s="116"/>
      <c r="M20" s="203" t="str">
        <f aca="false">IF(AND(ISNUMBER(K20),ISNUMBER(L20)),K20*L20,"")</f>
        <v/>
      </c>
      <c r="N20" s="118" t="str">
        <f aca="false">IF(M20="","",IF(M20&gt;=15,"สูง",IF(M20&gt;=8,"กลาง","ต่ำ")))</f>
        <v/>
      </c>
      <c r="O20" s="116"/>
      <c r="P20" s="205" t="n">
        <f aca="false">IF(OR(O20="",K20=""),0,IF(T20="เกิดแล้ว",O20,IF(OR(T20="เปิด",T20="เฝ้าระวัง"),CHOOSE(MIN(5,MAX(1,K20)),0.1,0.3,0.5,0.7,0.9)*O20,0)))</f>
        <v>0</v>
      </c>
      <c r="Q20" s="114"/>
      <c r="R20" s="60"/>
      <c r="S20" s="60"/>
      <c r="T20" s="114"/>
      <c r="U20" s="60"/>
      <c r="V20" s="206" t="str">
        <f aca="false">IF(A20="","",COUNTIFS(CR_RISK,A20,CR_STAT,"อนุมัติ"))</f>
        <v/>
      </c>
      <c r="W20" s="207"/>
    </row>
    <row r="21" customFormat="false" ht="18" hidden="false" customHeight="true" outlineLevel="0" collapsed="false">
      <c r="A21" s="60"/>
      <c r="B21" s="60"/>
      <c r="C21" s="114"/>
      <c r="D21" s="60"/>
      <c r="E21" s="60"/>
      <c r="F21" s="60"/>
      <c r="G21" s="60"/>
      <c r="H21" s="203"/>
      <c r="I21" s="116"/>
      <c r="J21" s="204" t="str">
        <f aca="false">IF(AND(ISNUMBER(H21),ISNUMBER(I21)),IF(H21&gt;=I21,"⚠",""),"")</f>
        <v/>
      </c>
      <c r="K21" s="116"/>
      <c r="L21" s="116"/>
      <c r="M21" s="203" t="str">
        <f aca="false">IF(AND(ISNUMBER(K21),ISNUMBER(L21)),K21*L21,"")</f>
        <v/>
      </c>
      <c r="N21" s="118" t="str">
        <f aca="false">IF(M21="","",IF(M21&gt;=15,"สูง",IF(M21&gt;=8,"กลาง","ต่ำ")))</f>
        <v/>
      </c>
      <c r="O21" s="116"/>
      <c r="P21" s="205" t="n">
        <f aca="false">IF(OR(O21="",K21=""),0,IF(T21="เกิดแล้ว",O21,IF(OR(T21="เปิด",T21="เฝ้าระวัง"),CHOOSE(MIN(5,MAX(1,K21)),0.1,0.3,0.5,0.7,0.9)*O21,0)))</f>
        <v>0</v>
      </c>
      <c r="Q21" s="114"/>
      <c r="R21" s="60"/>
      <c r="S21" s="60"/>
      <c r="T21" s="114"/>
      <c r="U21" s="60"/>
      <c r="V21" s="206" t="str">
        <f aca="false">IF(A21="","",COUNTIFS(CR_RISK,A21,CR_STAT,"อนุมัติ"))</f>
        <v/>
      </c>
      <c r="W21" s="207"/>
    </row>
    <row r="22" customFormat="false" ht="18" hidden="false" customHeight="true" outlineLevel="0" collapsed="false">
      <c r="A22" s="60"/>
      <c r="B22" s="60"/>
      <c r="C22" s="114"/>
      <c r="D22" s="60"/>
      <c r="E22" s="60"/>
      <c r="F22" s="60"/>
      <c r="G22" s="60"/>
      <c r="H22" s="203"/>
      <c r="I22" s="116"/>
      <c r="J22" s="204" t="str">
        <f aca="false">IF(AND(ISNUMBER(H22),ISNUMBER(I22)),IF(H22&gt;=I22,"⚠",""),"")</f>
        <v/>
      </c>
      <c r="K22" s="116"/>
      <c r="L22" s="116"/>
      <c r="M22" s="203" t="str">
        <f aca="false">IF(AND(ISNUMBER(K22),ISNUMBER(L22)),K22*L22,"")</f>
        <v/>
      </c>
      <c r="N22" s="118" t="str">
        <f aca="false">IF(M22="","",IF(M22&gt;=15,"สูง",IF(M22&gt;=8,"กลาง","ต่ำ")))</f>
        <v/>
      </c>
      <c r="O22" s="116"/>
      <c r="P22" s="205" t="n">
        <f aca="false">IF(OR(O22="",K22=""),0,IF(T22="เกิดแล้ว",O22,IF(OR(T22="เปิด",T22="เฝ้าระวัง"),CHOOSE(MIN(5,MAX(1,K22)),0.1,0.3,0.5,0.7,0.9)*O22,0)))</f>
        <v>0</v>
      </c>
      <c r="Q22" s="114"/>
      <c r="R22" s="60"/>
      <c r="S22" s="60"/>
      <c r="T22" s="114"/>
      <c r="U22" s="60"/>
      <c r="V22" s="206" t="str">
        <f aca="false">IF(A22="","",COUNTIFS(CR_RISK,A22,CR_STAT,"อนุมัติ"))</f>
        <v/>
      </c>
      <c r="W22" s="207"/>
    </row>
    <row r="23" customFormat="false" ht="18" hidden="false" customHeight="true" outlineLevel="0" collapsed="false">
      <c r="A23" s="60"/>
      <c r="B23" s="60"/>
      <c r="C23" s="114"/>
      <c r="D23" s="60"/>
      <c r="E23" s="60"/>
      <c r="F23" s="60"/>
      <c r="G23" s="60"/>
      <c r="H23" s="203"/>
      <c r="I23" s="116"/>
      <c r="J23" s="204" t="str">
        <f aca="false">IF(AND(ISNUMBER(H23),ISNUMBER(I23)),IF(H23&gt;=I23,"⚠",""),"")</f>
        <v/>
      </c>
      <c r="K23" s="116"/>
      <c r="L23" s="116"/>
      <c r="M23" s="203" t="str">
        <f aca="false">IF(AND(ISNUMBER(K23),ISNUMBER(L23)),K23*L23,"")</f>
        <v/>
      </c>
      <c r="N23" s="118" t="str">
        <f aca="false">IF(M23="","",IF(M23&gt;=15,"สูง",IF(M23&gt;=8,"กลาง","ต่ำ")))</f>
        <v/>
      </c>
      <c r="O23" s="116"/>
      <c r="P23" s="205" t="n">
        <f aca="false">IF(OR(O23="",K23=""),0,IF(T23="เกิดแล้ว",O23,IF(OR(T23="เปิด",T23="เฝ้าระวัง"),CHOOSE(MIN(5,MAX(1,K23)),0.1,0.3,0.5,0.7,0.9)*O23,0)))</f>
        <v>0</v>
      </c>
      <c r="Q23" s="114"/>
      <c r="R23" s="60"/>
      <c r="S23" s="60"/>
      <c r="T23" s="114"/>
      <c r="U23" s="60"/>
      <c r="V23" s="206" t="str">
        <f aca="false">IF(A23="","",COUNTIFS(CR_RISK,A23,CR_STAT,"อนุมัติ"))</f>
        <v/>
      </c>
      <c r="W23" s="207"/>
    </row>
    <row r="24" customFormat="false" ht="18" hidden="false" customHeight="true" outlineLevel="0" collapsed="false">
      <c r="A24" s="60"/>
      <c r="B24" s="60"/>
      <c r="C24" s="114"/>
      <c r="D24" s="60"/>
      <c r="E24" s="60"/>
      <c r="F24" s="60"/>
      <c r="G24" s="60"/>
      <c r="H24" s="203"/>
      <c r="I24" s="116"/>
      <c r="J24" s="204" t="str">
        <f aca="false">IF(AND(ISNUMBER(H24),ISNUMBER(I24)),IF(H24&gt;=I24,"⚠",""),"")</f>
        <v/>
      </c>
      <c r="K24" s="116"/>
      <c r="L24" s="116"/>
      <c r="M24" s="203" t="str">
        <f aca="false">IF(AND(ISNUMBER(K24),ISNUMBER(L24)),K24*L24,"")</f>
        <v/>
      </c>
      <c r="N24" s="118" t="str">
        <f aca="false">IF(M24="","",IF(M24&gt;=15,"สูง",IF(M24&gt;=8,"กลาง","ต่ำ")))</f>
        <v/>
      </c>
      <c r="O24" s="116"/>
      <c r="P24" s="205" t="n">
        <f aca="false">IF(OR(O24="",K24=""),0,IF(T24="เกิดแล้ว",O24,IF(OR(T24="เปิด",T24="เฝ้าระวัง"),CHOOSE(MIN(5,MAX(1,K24)),0.1,0.3,0.5,0.7,0.9)*O24,0)))</f>
        <v>0</v>
      </c>
      <c r="Q24" s="114"/>
      <c r="R24" s="60"/>
      <c r="S24" s="60"/>
      <c r="T24" s="114"/>
      <c r="U24" s="60"/>
      <c r="V24" s="206" t="str">
        <f aca="false">IF(A24="","",COUNTIFS(CR_RISK,A24,CR_STAT,"อนุมัติ"))</f>
        <v/>
      </c>
      <c r="W24" s="207"/>
    </row>
    <row r="25" customFormat="false" ht="18" hidden="false" customHeight="true" outlineLevel="0" collapsed="false">
      <c r="A25" s="60"/>
      <c r="B25" s="60"/>
      <c r="C25" s="114"/>
      <c r="D25" s="60"/>
      <c r="E25" s="60"/>
      <c r="F25" s="60"/>
      <c r="G25" s="60"/>
      <c r="H25" s="203"/>
      <c r="I25" s="116"/>
      <c r="J25" s="204" t="str">
        <f aca="false">IF(AND(ISNUMBER(H25),ISNUMBER(I25)),IF(H25&gt;=I25,"⚠",""),"")</f>
        <v/>
      </c>
      <c r="K25" s="116"/>
      <c r="L25" s="116"/>
      <c r="M25" s="203" t="str">
        <f aca="false">IF(AND(ISNUMBER(K25),ISNUMBER(L25)),K25*L25,"")</f>
        <v/>
      </c>
      <c r="N25" s="118" t="str">
        <f aca="false">IF(M25="","",IF(M25&gt;=15,"สูง",IF(M25&gt;=8,"กลาง","ต่ำ")))</f>
        <v/>
      </c>
      <c r="O25" s="116"/>
      <c r="P25" s="205" t="n">
        <f aca="false">IF(OR(O25="",K25=""),0,IF(T25="เกิดแล้ว",O25,IF(OR(T25="เปิด",T25="เฝ้าระวัง"),CHOOSE(MIN(5,MAX(1,K25)),0.1,0.3,0.5,0.7,0.9)*O25,0)))</f>
        <v>0</v>
      </c>
      <c r="Q25" s="114"/>
      <c r="R25" s="60"/>
      <c r="S25" s="60"/>
      <c r="T25" s="114"/>
      <c r="U25" s="60"/>
      <c r="V25" s="206" t="str">
        <f aca="false">IF(A25="","",COUNTIFS(CR_RISK,A25,CR_STAT,"อนุมัติ"))</f>
        <v/>
      </c>
      <c r="W25" s="207"/>
    </row>
    <row r="26" customFormat="false" ht="18" hidden="false" customHeight="true" outlineLevel="0" collapsed="false">
      <c r="A26" s="60"/>
      <c r="B26" s="60"/>
      <c r="C26" s="114"/>
      <c r="D26" s="60"/>
      <c r="E26" s="60"/>
      <c r="F26" s="60"/>
      <c r="G26" s="60"/>
      <c r="H26" s="203"/>
      <c r="I26" s="116"/>
      <c r="J26" s="204" t="str">
        <f aca="false">IF(AND(ISNUMBER(H26),ISNUMBER(I26)),IF(H26&gt;=I26,"⚠",""),"")</f>
        <v/>
      </c>
      <c r="K26" s="116"/>
      <c r="L26" s="116"/>
      <c r="M26" s="203" t="str">
        <f aca="false">IF(AND(ISNUMBER(K26),ISNUMBER(L26)),K26*L26,"")</f>
        <v/>
      </c>
      <c r="N26" s="118" t="str">
        <f aca="false">IF(M26="","",IF(M26&gt;=15,"สูง",IF(M26&gt;=8,"กลาง","ต่ำ")))</f>
        <v/>
      </c>
      <c r="O26" s="116"/>
      <c r="P26" s="205" t="n">
        <f aca="false">IF(OR(O26="",K26=""),0,IF(T26="เกิดแล้ว",O26,IF(OR(T26="เปิด",T26="เฝ้าระวัง"),CHOOSE(MIN(5,MAX(1,K26)),0.1,0.3,0.5,0.7,0.9)*O26,0)))</f>
        <v>0</v>
      </c>
      <c r="Q26" s="114"/>
      <c r="R26" s="60"/>
      <c r="S26" s="60"/>
      <c r="T26" s="114"/>
      <c r="U26" s="60"/>
      <c r="V26" s="206" t="str">
        <f aca="false">IF(A26="","",COUNTIFS(CR_RISK,A26,CR_STAT,"อนุมัติ"))</f>
        <v/>
      </c>
      <c r="W26" s="207"/>
    </row>
    <row r="27" customFormat="false" ht="18" hidden="false" customHeight="true" outlineLevel="0" collapsed="false">
      <c r="A27" s="60"/>
      <c r="B27" s="60"/>
      <c r="C27" s="114"/>
      <c r="D27" s="60"/>
      <c r="E27" s="60"/>
      <c r="F27" s="60"/>
      <c r="G27" s="60"/>
      <c r="H27" s="203"/>
      <c r="I27" s="116"/>
      <c r="J27" s="204" t="str">
        <f aca="false">IF(AND(ISNUMBER(H27),ISNUMBER(I27)),IF(H27&gt;=I27,"⚠",""),"")</f>
        <v/>
      </c>
      <c r="K27" s="116"/>
      <c r="L27" s="116"/>
      <c r="M27" s="203" t="str">
        <f aca="false">IF(AND(ISNUMBER(K27),ISNUMBER(L27)),K27*L27,"")</f>
        <v/>
      </c>
      <c r="N27" s="118" t="str">
        <f aca="false">IF(M27="","",IF(M27&gt;=15,"สูง",IF(M27&gt;=8,"กลาง","ต่ำ")))</f>
        <v/>
      </c>
      <c r="O27" s="116"/>
      <c r="P27" s="205" t="n">
        <f aca="false">IF(OR(O27="",K27=""),0,IF(T27="เกิดแล้ว",O27,IF(OR(T27="เปิด",T27="เฝ้าระวัง"),CHOOSE(MIN(5,MAX(1,K27)),0.1,0.3,0.5,0.7,0.9)*O27,0)))</f>
        <v>0</v>
      </c>
      <c r="Q27" s="114"/>
      <c r="R27" s="60"/>
      <c r="S27" s="60"/>
      <c r="T27" s="114"/>
      <c r="U27" s="60"/>
      <c r="V27" s="206" t="str">
        <f aca="false">IF(A27="","",COUNTIFS(CR_RISK,A27,CR_STAT,"อนุมัติ"))</f>
        <v/>
      </c>
      <c r="W27" s="207"/>
    </row>
    <row r="28" customFormat="false" ht="18" hidden="false" customHeight="true" outlineLevel="0" collapsed="false">
      <c r="A28" s="60"/>
      <c r="B28" s="60"/>
      <c r="C28" s="114"/>
      <c r="D28" s="60"/>
      <c r="E28" s="60"/>
      <c r="F28" s="60"/>
      <c r="G28" s="60"/>
      <c r="H28" s="203"/>
      <c r="I28" s="116"/>
      <c r="J28" s="204" t="str">
        <f aca="false">IF(AND(ISNUMBER(H28),ISNUMBER(I28)),IF(H28&gt;=I28,"⚠",""),"")</f>
        <v/>
      </c>
      <c r="K28" s="116"/>
      <c r="L28" s="116"/>
      <c r="M28" s="203" t="str">
        <f aca="false">IF(AND(ISNUMBER(K28),ISNUMBER(L28)),K28*L28,"")</f>
        <v/>
      </c>
      <c r="N28" s="118" t="str">
        <f aca="false">IF(M28="","",IF(M28&gt;=15,"สูง",IF(M28&gt;=8,"กลาง","ต่ำ")))</f>
        <v/>
      </c>
      <c r="O28" s="116"/>
      <c r="P28" s="205" t="n">
        <f aca="false">IF(OR(O28="",K28=""),0,IF(T28="เกิดแล้ว",O28,IF(OR(T28="เปิด",T28="เฝ้าระวัง"),CHOOSE(MIN(5,MAX(1,K28)),0.1,0.3,0.5,0.7,0.9)*O28,0)))</f>
        <v>0</v>
      </c>
      <c r="Q28" s="114"/>
      <c r="R28" s="60"/>
      <c r="S28" s="60"/>
      <c r="T28" s="114"/>
      <c r="U28" s="60"/>
      <c r="V28" s="206" t="str">
        <f aca="false">IF(A28="","",COUNTIFS(CR_RISK,A28,CR_STAT,"อนุมัติ"))</f>
        <v/>
      </c>
      <c r="W28" s="207"/>
    </row>
    <row r="29" customFormat="false" ht="18" hidden="false" customHeight="true" outlineLevel="0" collapsed="false">
      <c r="A29" s="60"/>
      <c r="B29" s="60"/>
      <c r="C29" s="114"/>
      <c r="D29" s="60"/>
      <c r="E29" s="60"/>
      <c r="F29" s="60"/>
      <c r="G29" s="60"/>
      <c r="H29" s="203"/>
      <c r="I29" s="116"/>
      <c r="J29" s="204" t="str">
        <f aca="false">IF(AND(ISNUMBER(H29),ISNUMBER(I29)),IF(H29&gt;=I29,"⚠",""),"")</f>
        <v/>
      </c>
      <c r="K29" s="116"/>
      <c r="L29" s="116"/>
      <c r="M29" s="203" t="str">
        <f aca="false">IF(AND(ISNUMBER(K29),ISNUMBER(L29)),K29*L29,"")</f>
        <v/>
      </c>
      <c r="N29" s="118" t="str">
        <f aca="false">IF(M29="","",IF(M29&gt;=15,"สูง",IF(M29&gt;=8,"กลาง","ต่ำ")))</f>
        <v/>
      </c>
      <c r="O29" s="116"/>
      <c r="P29" s="205" t="n">
        <f aca="false">IF(OR(O29="",K29=""),0,IF(T29="เกิดแล้ว",O29,IF(OR(T29="เปิด",T29="เฝ้าระวัง"),CHOOSE(MIN(5,MAX(1,K29)),0.1,0.3,0.5,0.7,0.9)*O29,0)))</f>
        <v>0</v>
      </c>
      <c r="Q29" s="114"/>
      <c r="R29" s="60"/>
      <c r="S29" s="60"/>
      <c r="T29" s="114"/>
      <c r="U29" s="60"/>
      <c r="V29" s="206" t="str">
        <f aca="false">IF(A29="","",COUNTIFS(CR_RISK,A29,CR_STAT,"อนุมัติ"))</f>
        <v/>
      </c>
      <c r="W29" s="207"/>
    </row>
    <row r="30" customFormat="false" ht="18" hidden="false" customHeight="true" outlineLevel="0" collapsed="false">
      <c r="A30" s="60"/>
      <c r="B30" s="60"/>
      <c r="C30" s="114"/>
      <c r="D30" s="60"/>
      <c r="E30" s="60"/>
      <c r="F30" s="60"/>
      <c r="G30" s="60"/>
      <c r="H30" s="203"/>
      <c r="I30" s="116"/>
      <c r="J30" s="204" t="str">
        <f aca="false">IF(AND(ISNUMBER(H30),ISNUMBER(I30)),IF(H30&gt;=I30,"⚠",""),"")</f>
        <v/>
      </c>
      <c r="K30" s="116"/>
      <c r="L30" s="116"/>
      <c r="M30" s="203" t="str">
        <f aca="false">IF(AND(ISNUMBER(K30),ISNUMBER(L30)),K30*L30,"")</f>
        <v/>
      </c>
      <c r="N30" s="118" t="str">
        <f aca="false">IF(M30="","",IF(M30&gt;=15,"สูง",IF(M30&gt;=8,"กลาง","ต่ำ")))</f>
        <v/>
      </c>
      <c r="O30" s="116"/>
      <c r="P30" s="205" t="n">
        <f aca="false">IF(OR(O30="",K30=""),0,IF(T30="เกิดแล้ว",O30,IF(OR(T30="เปิด",T30="เฝ้าระวัง"),CHOOSE(MIN(5,MAX(1,K30)),0.1,0.3,0.5,0.7,0.9)*O30,0)))</f>
        <v>0</v>
      </c>
      <c r="Q30" s="114"/>
      <c r="R30" s="60"/>
      <c r="S30" s="60"/>
      <c r="T30" s="114"/>
      <c r="U30" s="60"/>
      <c r="V30" s="206" t="str">
        <f aca="false">IF(A30="","",COUNTIFS(CR_RISK,A30,CR_STAT,"อนุมัติ"))</f>
        <v/>
      </c>
      <c r="W30" s="207"/>
    </row>
    <row r="31" customFormat="false" ht="18" hidden="false" customHeight="true" outlineLevel="0" collapsed="false">
      <c r="A31" s="60"/>
      <c r="B31" s="60"/>
      <c r="C31" s="114"/>
      <c r="D31" s="60"/>
      <c r="E31" s="60"/>
      <c r="F31" s="60"/>
      <c r="G31" s="60"/>
      <c r="H31" s="203"/>
      <c r="I31" s="116"/>
      <c r="J31" s="204" t="str">
        <f aca="false">IF(AND(ISNUMBER(H31),ISNUMBER(I31)),IF(H31&gt;=I31,"⚠",""),"")</f>
        <v/>
      </c>
      <c r="K31" s="116"/>
      <c r="L31" s="116"/>
      <c r="M31" s="203" t="str">
        <f aca="false">IF(AND(ISNUMBER(K31),ISNUMBER(L31)),K31*L31,"")</f>
        <v/>
      </c>
      <c r="N31" s="118" t="str">
        <f aca="false">IF(M31="","",IF(M31&gt;=15,"สูง",IF(M31&gt;=8,"กลาง","ต่ำ")))</f>
        <v/>
      </c>
      <c r="O31" s="116"/>
      <c r="P31" s="205" t="n">
        <f aca="false">IF(OR(O31="",K31=""),0,IF(T31="เกิดแล้ว",O31,IF(OR(T31="เปิด",T31="เฝ้าระวัง"),CHOOSE(MIN(5,MAX(1,K31)),0.1,0.3,0.5,0.7,0.9)*O31,0)))</f>
        <v>0</v>
      </c>
      <c r="Q31" s="114"/>
      <c r="R31" s="60"/>
      <c r="S31" s="60"/>
      <c r="T31" s="114"/>
      <c r="U31" s="60"/>
      <c r="V31" s="206" t="str">
        <f aca="false">IF(A31="","",COUNTIFS(CR_RISK,A31,CR_STAT,"อนุมัติ"))</f>
        <v/>
      </c>
      <c r="W31" s="207"/>
    </row>
  </sheetData>
  <sheetProtection sheet="true" formatColumns="false" formatRows="false" sort="false" autoFilter="false"/>
  <autoFilter ref="A6:W31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U7:U31">
    <cfRule type="expression" priority="2" aboveAverage="0" equalAverage="0" bottom="0" percent="0" rank="0" text="" dxfId="50">
      <formula>AND($T7="ปิด",U7="")</formula>
    </cfRule>
  </conditionalFormatting>
  <conditionalFormatting sqref="N7:N31">
    <cfRule type="expression" priority="3" aboveAverage="0" equalAverage="0" bottom="0" percent="0" rank="0" text="" dxfId="41">
      <formula>N7="สูง"</formula>
    </cfRule>
    <cfRule type="expression" priority="4" aboveAverage="0" equalAverage="0" bottom="0" percent="0" rank="0" text="" dxfId="27">
      <formula>N7="กลาง"</formula>
    </cfRule>
    <cfRule type="expression" priority="5" aboveAverage="0" equalAverage="0" bottom="0" percent="0" rank="0" text="" dxfId="51">
      <formula>N7="ต่ำ"</formula>
    </cfRule>
  </conditionalFormatting>
  <conditionalFormatting sqref="J7:J31">
    <cfRule type="expression" priority="6" aboveAverage="0" equalAverage="0" bottom="0" percent="0" rank="0" text="" dxfId="14">
      <formula>J7="⚠"</formula>
    </cfRule>
  </conditionalFormatting>
  <conditionalFormatting sqref="A7:W31">
    <cfRule type="expression" priority="7" aboveAverage="0" equalAverage="0" bottom="0" percent="0" rank="0" text="" dxfId="52">
      <formula>$T7="ปิด"</formula>
    </cfRule>
  </conditionalFormatting>
  <conditionalFormatting sqref="W7:W31">
    <cfRule type="expression" priority="8" aboveAverage="0" equalAverage="0" bottom="0" percent="0" rank="0" text="" dxfId="27">
      <formula>AND(ISNUMBER(W7),ASOF-W7&gt;14,$T7&lt;&gt;"ปิด")</formula>
    </cfRule>
  </conditionalFormatting>
  <conditionalFormatting sqref="AC18">
    <cfRule type="expression" priority="9" aboveAverage="0" equalAverage="0" bottom="0" percent="0" rank="0" text="" dxfId="14">
      <formula>AC18&lt;=ASOF</formula>
    </cfRule>
  </conditionalFormatting>
  <dataValidations count="6">
    <dataValidation allowBlank="true" error="เลือกจากรายการ" errorStyle="stop" operator="between" showDropDown="false" showErrorMessage="true" showInputMessage="false" sqref="T7:T31" type="list">
      <formula1>"เปิด,เฝ้าระวัง,เกิดแล้ว,ปิด"</formula1>
      <formula2>0</formula2>
    </dataValidation>
    <dataValidation allowBlank="true" error="เลือกจากรายการ" errorStyle="stop" operator="between" prompt="เมื่อปิดความเสี่ยง ให้บันทึกว่าไม่เกิดเพราะการจัดการหรือเพราะโชค" showDropDown="false" showErrorMessage="true" showInputMessage="true" sqref="U7:U31" type="list">
      <formula1>"จัดการได้ผล,ไม่เกิดเอง (โชค),พ้นช่วงแล้ว,ย้ายไปความเสี่ยงอื่น"</formula1>
      <formula2>0</formula2>
    </dataValidation>
    <dataValidation allowBlank="true" error="เลือกจากรายการ" errorStyle="stop" operator="between" prompt="หลีกเลี่ยง=ตัดสาเหตุ, โอนย้าย=ให้ผู้อื่นรับผิดชอบตามสัญญา, ลดผลกระทบ=ลดโอกาส/ผล, ยอมรับ=เผื่อเวลา, ยกระดับ=ส่งให้ผู้บริหาร/โปรแกรม" showDropDown="false" showErrorMessage="true" showInputMessage="true" sqref="Q7:Q31" type="list">
      <formula1>"หลีกเลี่ยง,โอนย้าย,ลดผลกระทบ,ยอมรับ,ยกระดับ"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C7:C31" type="list">
      <formula1>"กฟภ.,ผรม.,สถานี/กปภ.,เอกสาร,ราชการ,วัสดุ,อากาศ,ทีม TC,แผน/ข้อมูล,อื่น ๆ"</formula1>
      <formula2>0</formula2>
    </dataValidation>
    <dataValidation allowBlank="true" error="1–5" errorStyle="stop" operator="between" showDropDown="false" showErrorMessage="true" showInputMessage="false" sqref="K7:L31" type="whole">
      <formula1>1</formula1>
      <formula2>5</formula2>
    </dataValidation>
    <dataValidation allowBlank="true" error="ใส่วันที่ (2568–2571)" errorStyle="stop" operator="between" showDropDown="false" showErrorMessage="true" showInputMessage="false" sqref="W7:W31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5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36"/>
    <col collapsed="false" customWidth="true" hidden="false" outlineLevel="0" max="13" min="13" style="0" width="7"/>
    <col collapsed="false" customWidth="true" hidden="false" outlineLevel="0" max="15" min="14" style="0" width="10"/>
    <col collapsed="false" customWidth="true" hidden="false" outlineLevel="0" max="16" min="16" style="0" width="16"/>
    <col collapsed="false" customWidth="true" hidden="false" outlineLevel="0" max="19" min="17" style="0" width="10"/>
    <col collapsed="false" customWidth="true" hidden="false" outlineLevel="0" max="21" min="21" style="0" width="16"/>
    <col collapsed="false" customWidth="true" hidden="false" outlineLevel="0" max="22" min="22" style="0" width="7"/>
    <col collapsed="false" customWidth="true" hidden="false" outlineLevel="0" max="23" min="23" style="0" width="34"/>
    <col collapsed="false" customWidth="true" hidden="false" outlineLevel="0" max="24" min="24" style="0" width="7"/>
  </cols>
  <sheetData>
    <row r="1" customFormat="false" ht="18.65" hidden="false" customHeight="false" outlineLevel="0" collapsed="false">
      <c r="A1" s="37" t="s">
        <v>1704</v>
      </c>
    </row>
    <row r="2" customFormat="false" ht="15" hidden="false" customHeight="false" outlineLevel="0" collapsed="false">
      <c r="A2" s="38" t="s">
        <v>1705</v>
      </c>
    </row>
    <row r="3" customFormat="false" ht="27.75" hidden="false" customHeight="true" outlineLevel="0" collapsed="false">
      <c r="A3" s="3" t="s">
        <v>1706</v>
      </c>
      <c r="B3" s="3"/>
      <c r="C3" s="3" t="s">
        <v>1707</v>
      </c>
      <c r="D3" s="3"/>
      <c r="E3" s="3" t="s">
        <v>1708</v>
      </c>
      <c r="F3" s="3"/>
      <c r="G3" s="3" t="s">
        <v>1709</v>
      </c>
      <c r="H3" s="3"/>
      <c r="I3" s="3" t="s">
        <v>1710</v>
      </c>
      <c r="J3" s="3"/>
      <c r="K3" s="4" t="s">
        <v>1711</v>
      </c>
      <c r="L3" s="4"/>
    </row>
    <row r="4" customFormat="false" ht="24" hidden="false" customHeight="true" outlineLevel="0" collapsed="false">
      <c r="A4" s="181" t="n">
        <f aca="false">COUNTIF($B$7:$B$306,"&gt;0")</f>
        <v>0</v>
      </c>
      <c r="B4" s="181"/>
      <c r="C4" s="71" t="n">
        <f aca="false">COUNTIF(CR_STAT,"รออนุมัติ")</f>
        <v>0</v>
      </c>
      <c r="D4" s="71"/>
      <c r="E4" s="182" t="n">
        <f aca="false">COUNTIF(CR_STAT,"อนุมัติ")</f>
        <v>0</v>
      </c>
      <c r="F4" s="182"/>
      <c r="G4" s="181" t="n">
        <f aca="false">SUMIFS(CR_COD,CR_STAT,"อนุมัติ")</f>
        <v>0</v>
      </c>
      <c r="H4" s="181"/>
      <c r="I4" s="70" t="n">
        <f aca="false">COUNTIF('Master Plan'!$AP$8:$AP$27,"&gt;0")</f>
        <v>0</v>
      </c>
      <c r="J4" s="70"/>
      <c r="K4" s="68" t="str">
        <f aca="false">COUNTIF($B$7:$B$306,"&gt;"&amp;(ASOF-28))&amp;" / "&amp;COUNTIF($S$7:$S$306,"&gt;"&amp;(ASOF-28))</f>
        <v>0 / 0</v>
      </c>
      <c r="L4" s="68"/>
    </row>
    <row r="5" customFormat="false" ht="15" hidden="false" customHeight="false" outlineLevel="0" collapsed="false">
      <c r="K5" s="72" t="s">
        <v>1712</v>
      </c>
      <c r="U5" s="39" t="s">
        <v>1713</v>
      </c>
    </row>
    <row r="6" customFormat="false" ht="31.5" hidden="false" customHeight="true" outlineLevel="0" collapsed="false">
      <c r="A6" s="28" t="s">
        <v>1714</v>
      </c>
      <c r="B6" s="28" t="s">
        <v>1715</v>
      </c>
      <c r="C6" s="28" t="s">
        <v>581</v>
      </c>
      <c r="D6" s="28" t="s">
        <v>35</v>
      </c>
      <c r="E6" s="28" t="s">
        <v>36</v>
      </c>
      <c r="F6" s="28" t="s">
        <v>1716</v>
      </c>
      <c r="G6" s="28" t="s">
        <v>1717</v>
      </c>
      <c r="H6" s="28" t="s">
        <v>1718</v>
      </c>
      <c r="I6" s="28" t="s">
        <v>1719</v>
      </c>
      <c r="J6" s="28" t="s">
        <v>1720</v>
      </c>
      <c r="K6" s="28" t="s">
        <v>1721</v>
      </c>
      <c r="L6" s="28" t="s">
        <v>1722</v>
      </c>
      <c r="M6" s="28" t="s">
        <v>1723</v>
      </c>
      <c r="N6" s="28" t="s">
        <v>1724</v>
      </c>
      <c r="O6" s="28" t="s">
        <v>1725</v>
      </c>
      <c r="P6" s="28" t="s">
        <v>1726</v>
      </c>
      <c r="Q6" s="28" t="s">
        <v>574</v>
      </c>
      <c r="R6" s="28" t="s">
        <v>1727</v>
      </c>
      <c r="S6" s="28" t="s">
        <v>1728</v>
      </c>
      <c r="U6" s="28" t="s">
        <v>1729</v>
      </c>
      <c r="V6" s="28" t="s">
        <v>1730</v>
      </c>
      <c r="W6" s="28" t="s">
        <v>1731</v>
      </c>
      <c r="X6" s="28" t="s">
        <v>1732</v>
      </c>
    </row>
    <row r="7" customFormat="false" ht="15" hidden="false" customHeight="false" outlineLevel="0" collapsed="false">
      <c r="A7" s="138" t="str">
        <f aca="false">IF(B7="","","CR-"&amp;TEXT(ROW()-6,"000"))</f>
        <v/>
      </c>
      <c r="B7" s="207"/>
      <c r="C7" s="60"/>
      <c r="D7" s="131" t="str">
        <f aca="false">IF(C7="","",IF(OR(C7="ทั้งเฟส",LEFT(C7,4)="ผรม.",LEFT(C7,3)="เขต"),C7,IFERROR(INDEX('Master Plan'!$B$8:$B$27,MATCH(C7,'Master Plan'!$A$8:$A$27,0)),"?")))</f>
        <v/>
      </c>
      <c r="E7" s="204" t="str">
        <f aca="false">IF(LEFT(C7,4)="ผรม.",TRIM(MID(C7,5,5)),IF(OR(C7="ทั้งเฟส",LEFT(C7,3)="เขต"),"",IF(C7="","",IF(OR(C7="ทั้งเฟส",LEFT(C7,4)="ผรม.",LEFT(C7,3)="เขต"),C7,IFERROR(INDEX('Master Plan'!$L$8:$L$27,MATCH(C7,'Master Plan'!$A$8:$A$27,0)),"?")))))</f>
        <v/>
      </c>
      <c r="F7" s="60"/>
      <c r="G7" s="207"/>
      <c r="H7" s="207"/>
      <c r="I7" s="215" t="str">
        <f aca="false">IF(AND(ISNUMBER(G7),ISNUMBER(H7)),H7-G7,"")</f>
        <v/>
      </c>
      <c r="J7" s="216"/>
      <c r="K7" s="60"/>
      <c r="L7" s="60"/>
      <c r="M7" s="113"/>
      <c r="N7" s="60"/>
      <c r="O7" s="60"/>
      <c r="P7" s="131" t="str">
        <f aca="false">IF(B7="","",IF(LEFT(F7,8)="Baseline","ผู้บริหาร + กปภ.",IF(ABS(N(J7))=0,"วิศวกร / ทีม",IF(ABS(N(J7))&lt;=CR_T1,"PM",IF(ABS(N(J7))&lt;=CR_T2,"Change Board","ผู้บริหาร + กปภ.")))))</f>
        <v/>
      </c>
      <c r="Q7" s="60"/>
      <c r="R7" s="60"/>
      <c r="S7" s="207"/>
      <c r="U7" s="138" t="s">
        <v>1733</v>
      </c>
      <c r="V7" s="217" t="n">
        <f aca="false">COUNTIFS(CR_CAUSE,U7,CR_STAT,"อนุมัติ")</f>
        <v>0</v>
      </c>
      <c r="W7" s="218" t="n">
        <f aca="false">SUMIFS(CR_COD,CR_CAUSE,U7,CR_STAT,"อนุมัติ")</f>
        <v>0</v>
      </c>
      <c r="X7" s="219" t="str">
        <f aca="false">IFERROR(W7/SUMIFS(CR_COD,CR_STAT,"อนุมัติ"),"")</f>
        <v/>
      </c>
    </row>
    <row r="8" customFormat="false" ht="15" hidden="false" customHeight="false" outlineLevel="0" collapsed="false">
      <c r="A8" s="138" t="str">
        <f aca="false">IF(B8="","","CR-"&amp;TEXT(ROW()-6,"000"))</f>
        <v/>
      </c>
      <c r="B8" s="207"/>
      <c r="C8" s="60"/>
      <c r="D8" s="131" t="str">
        <f aca="false">IF(C8="","",IF(OR(C8="ทั้งเฟส",LEFT(C8,4)="ผรม.",LEFT(C8,3)="เขต"),C8,IFERROR(INDEX('Master Plan'!$B$8:$B$27,MATCH(C8,'Master Plan'!$A$8:$A$27,0)),"?")))</f>
        <v/>
      </c>
      <c r="E8" s="204" t="str">
        <f aca="false">IF(LEFT(C8,4)="ผรม.",TRIM(MID(C8,5,5)),IF(OR(C8="ทั้งเฟส",LEFT(C8,3)="เขต"),"",IF(C8="","",IF(OR(C8="ทั้งเฟส",LEFT(C8,4)="ผรม.",LEFT(C8,3)="เขต"),C8,IFERROR(INDEX('Master Plan'!$L$8:$L$27,MATCH(C8,'Master Plan'!$A$8:$A$27,0)),"?")))))</f>
        <v/>
      </c>
      <c r="F8" s="60"/>
      <c r="G8" s="207"/>
      <c r="H8" s="207"/>
      <c r="I8" s="215" t="str">
        <f aca="false">IF(AND(ISNUMBER(G8),ISNUMBER(H8)),H8-G8,"")</f>
        <v/>
      </c>
      <c r="J8" s="216"/>
      <c r="K8" s="60"/>
      <c r="L8" s="60"/>
      <c r="M8" s="113"/>
      <c r="N8" s="60"/>
      <c r="O8" s="60"/>
      <c r="P8" s="131" t="str">
        <f aca="false">IF(B8="","",IF(LEFT(F8,8)="Baseline","ผู้บริหาร + กปภ.",IF(ABS(N(J8))=0,"วิศวกร / ทีม",IF(ABS(N(J8))&lt;=CR_T1,"PM",IF(ABS(N(J8))&lt;=CR_T2,"Change Board","ผู้บริหาร + กปภ.")))))</f>
        <v/>
      </c>
      <c r="Q8" s="60"/>
      <c r="R8" s="60"/>
      <c r="S8" s="207"/>
      <c r="U8" s="138" t="s">
        <v>1734</v>
      </c>
      <c r="V8" s="217" t="n">
        <f aca="false">COUNTIFS(CR_CAUSE,U8,CR_STAT,"อนุมัติ")</f>
        <v>0</v>
      </c>
      <c r="W8" s="218" t="n">
        <f aca="false">SUMIFS(CR_COD,CR_CAUSE,U8,CR_STAT,"อนุมัติ")</f>
        <v>0</v>
      </c>
      <c r="X8" s="219" t="str">
        <f aca="false">IFERROR(W8/SUMIFS(CR_COD,CR_STAT,"อนุมัติ"),"")</f>
        <v/>
      </c>
    </row>
    <row r="9" customFormat="false" ht="15" hidden="false" customHeight="false" outlineLevel="0" collapsed="false">
      <c r="A9" s="138" t="str">
        <f aca="false">IF(B9="","","CR-"&amp;TEXT(ROW()-6,"000"))</f>
        <v/>
      </c>
      <c r="B9" s="207"/>
      <c r="C9" s="60"/>
      <c r="D9" s="131" t="str">
        <f aca="false">IF(C9="","",IF(OR(C9="ทั้งเฟส",LEFT(C9,4)="ผรม.",LEFT(C9,3)="เขต"),C9,IFERROR(INDEX('Master Plan'!$B$8:$B$27,MATCH(C9,'Master Plan'!$A$8:$A$27,0)),"?")))</f>
        <v/>
      </c>
      <c r="E9" s="204" t="str">
        <f aca="false">IF(LEFT(C9,4)="ผรม.",TRIM(MID(C9,5,5)),IF(OR(C9="ทั้งเฟส",LEFT(C9,3)="เขต"),"",IF(C9="","",IF(OR(C9="ทั้งเฟส",LEFT(C9,4)="ผรม.",LEFT(C9,3)="เขต"),C9,IFERROR(INDEX('Master Plan'!$L$8:$L$27,MATCH(C9,'Master Plan'!$A$8:$A$27,0)),"?")))))</f>
        <v/>
      </c>
      <c r="F9" s="60"/>
      <c r="G9" s="207"/>
      <c r="H9" s="207"/>
      <c r="I9" s="215" t="str">
        <f aca="false">IF(AND(ISNUMBER(G9),ISNUMBER(H9)),H9-G9,"")</f>
        <v/>
      </c>
      <c r="J9" s="216"/>
      <c r="K9" s="60"/>
      <c r="L9" s="60"/>
      <c r="M9" s="113"/>
      <c r="N9" s="60"/>
      <c r="O9" s="60"/>
      <c r="P9" s="131" t="str">
        <f aca="false">IF(B9="","",IF(LEFT(F9,8)="Baseline","ผู้บริหาร + กปภ.",IF(ABS(N(J9))=0,"วิศวกร / ทีม",IF(ABS(N(J9))&lt;=CR_T1,"PM",IF(ABS(N(J9))&lt;=CR_T2,"Change Board","ผู้บริหาร + กปภ.")))))</f>
        <v/>
      </c>
      <c r="Q9" s="60"/>
      <c r="R9" s="60"/>
      <c r="S9" s="207"/>
      <c r="U9" s="138" t="s">
        <v>1735</v>
      </c>
      <c r="V9" s="217" t="n">
        <f aca="false">COUNTIFS(CR_CAUSE,U9,CR_STAT,"อนุมัติ")</f>
        <v>0</v>
      </c>
      <c r="W9" s="218" t="n">
        <f aca="false">SUMIFS(CR_COD,CR_CAUSE,U9,CR_STAT,"อนุมัติ")</f>
        <v>0</v>
      </c>
      <c r="X9" s="219" t="str">
        <f aca="false">IFERROR(W9/SUMIFS(CR_COD,CR_STAT,"อนุมัติ"),"")</f>
        <v/>
      </c>
    </row>
    <row r="10" customFormat="false" ht="15" hidden="false" customHeight="false" outlineLevel="0" collapsed="false">
      <c r="A10" s="138" t="str">
        <f aca="false">IF(B10="","","CR-"&amp;TEXT(ROW()-6,"000"))</f>
        <v/>
      </c>
      <c r="B10" s="207"/>
      <c r="C10" s="60"/>
      <c r="D10" s="131" t="str">
        <f aca="false">IF(C10="","",IF(OR(C10="ทั้งเฟส",LEFT(C10,4)="ผรม.",LEFT(C10,3)="เขต"),C10,IFERROR(INDEX('Master Plan'!$B$8:$B$27,MATCH(C10,'Master Plan'!$A$8:$A$27,0)),"?")))</f>
        <v/>
      </c>
      <c r="E10" s="204" t="str">
        <f aca="false">IF(LEFT(C10,4)="ผรม.",TRIM(MID(C10,5,5)),IF(OR(C10="ทั้งเฟส",LEFT(C10,3)="เขต"),"",IF(C10="","",IF(OR(C10="ทั้งเฟส",LEFT(C10,4)="ผรม.",LEFT(C10,3)="เขต"),C10,IFERROR(INDEX('Master Plan'!$L$8:$L$27,MATCH(C10,'Master Plan'!$A$8:$A$27,0)),"?")))))</f>
        <v/>
      </c>
      <c r="F10" s="60"/>
      <c r="G10" s="207"/>
      <c r="H10" s="207"/>
      <c r="I10" s="215" t="str">
        <f aca="false">IF(AND(ISNUMBER(G10),ISNUMBER(H10)),H10-G10,"")</f>
        <v/>
      </c>
      <c r="J10" s="216"/>
      <c r="K10" s="60"/>
      <c r="L10" s="60"/>
      <c r="M10" s="113"/>
      <c r="N10" s="60"/>
      <c r="O10" s="60"/>
      <c r="P10" s="131" t="str">
        <f aca="false">IF(B10="","",IF(LEFT(F10,8)="Baseline","ผู้บริหาร + กปภ.",IF(ABS(N(J10))=0,"วิศวกร / ทีม",IF(ABS(N(J10))&lt;=CR_T1,"PM",IF(ABS(N(J10))&lt;=CR_T2,"Change Board","ผู้บริหาร + กปภ.")))))</f>
        <v/>
      </c>
      <c r="Q10" s="60"/>
      <c r="R10" s="60"/>
      <c r="S10" s="207"/>
      <c r="U10" s="138" t="s">
        <v>1736</v>
      </c>
      <c r="V10" s="217" t="n">
        <f aca="false">COUNTIFS(CR_CAUSE,U10,CR_STAT,"อนุมัติ")</f>
        <v>0</v>
      </c>
      <c r="W10" s="218" t="n">
        <f aca="false">SUMIFS(CR_COD,CR_CAUSE,U10,CR_STAT,"อนุมัติ")</f>
        <v>0</v>
      </c>
      <c r="X10" s="219" t="str">
        <f aca="false">IFERROR(W10/SUMIFS(CR_COD,CR_STAT,"อนุมัติ"),"")</f>
        <v/>
      </c>
    </row>
    <row r="11" customFormat="false" ht="15" hidden="false" customHeight="false" outlineLevel="0" collapsed="false">
      <c r="A11" s="138" t="str">
        <f aca="false">IF(B11="","","CR-"&amp;TEXT(ROW()-6,"000"))</f>
        <v/>
      </c>
      <c r="B11" s="207"/>
      <c r="C11" s="60"/>
      <c r="D11" s="131" t="str">
        <f aca="false">IF(C11="","",IF(OR(C11="ทั้งเฟส",LEFT(C11,4)="ผรม.",LEFT(C11,3)="เขต"),C11,IFERROR(INDEX('Master Plan'!$B$8:$B$27,MATCH(C11,'Master Plan'!$A$8:$A$27,0)),"?")))</f>
        <v/>
      </c>
      <c r="E11" s="204" t="str">
        <f aca="false">IF(LEFT(C11,4)="ผรม.",TRIM(MID(C11,5,5)),IF(OR(C11="ทั้งเฟส",LEFT(C11,3)="เขต"),"",IF(C11="","",IF(OR(C11="ทั้งเฟส",LEFT(C11,4)="ผรม.",LEFT(C11,3)="เขต"),C11,IFERROR(INDEX('Master Plan'!$L$8:$L$27,MATCH(C11,'Master Plan'!$A$8:$A$27,0)),"?")))))</f>
        <v/>
      </c>
      <c r="F11" s="60"/>
      <c r="G11" s="207"/>
      <c r="H11" s="207"/>
      <c r="I11" s="215" t="str">
        <f aca="false">IF(AND(ISNUMBER(G11),ISNUMBER(H11)),H11-G11,"")</f>
        <v/>
      </c>
      <c r="J11" s="216"/>
      <c r="K11" s="60"/>
      <c r="L11" s="60"/>
      <c r="M11" s="113"/>
      <c r="N11" s="60"/>
      <c r="O11" s="60"/>
      <c r="P11" s="131" t="str">
        <f aca="false">IF(B11="","",IF(LEFT(F11,8)="Baseline","ผู้บริหาร + กปภ.",IF(ABS(N(J11))=0,"วิศวกร / ทีม",IF(ABS(N(J11))&lt;=CR_T1,"PM",IF(ABS(N(J11))&lt;=CR_T2,"Change Board","ผู้บริหาร + กปภ.")))))</f>
        <v/>
      </c>
      <c r="Q11" s="60"/>
      <c r="R11" s="60"/>
      <c r="S11" s="207"/>
      <c r="U11" s="138" t="s">
        <v>1645</v>
      </c>
      <c r="V11" s="217" t="n">
        <f aca="false">COUNTIFS(CR_CAUSE,U11,CR_STAT,"อนุมัติ")</f>
        <v>0</v>
      </c>
      <c r="W11" s="218" t="n">
        <f aca="false">SUMIFS(CR_COD,CR_CAUSE,U11,CR_STAT,"อนุมัติ")</f>
        <v>0</v>
      </c>
      <c r="X11" s="219" t="str">
        <f aca="false">IFERROR(W11/SUMIFS(CR_COD,CR_STAT,"อนุมัติ"),"")</f>
        <v/>
      </c>
    </row>
    <row r="12" customFormat="false" ht="15" hidden="false" customHeight="false" outlineLevel="0" collapsed="false">
      <c r="A12" s="138" t="str">
        <f aca="false">IF(B12="","","CR-"&amp;TEXT(ROW()-6,"000"))</f>
        <v/>
      </c>
      <c r="B12" s="207"/>
      <c r="C12" s="60"/>
      <c r="D12" s="131" t="str">
        <f aca="false">IF(C12="","",IF(OR(C12="ทั้งเฟส",LEFT(C12,4)="ผรม.",LEFT(C12,3)="เขต"),C12,IFERROR(INDEX('Master Plan'!$B$8:$B$27,MATCH(C12,'Master Plan'!$A$8:$A$27,0)),"?")))</f>
        <v/>
      </c>
      <c r="E12" s="204" t="str">
        <f aca="false">IF(LEFT(C12,4)="ผรม.",TRIM(MID(C12,5,5)),IF(OR(C12="ทั้งเฟส",LEFT(C12,3)="เขต"),"",IF(C12="","",IF(OR(C12="ทั้งเฟส",LEFT(C12,4)="ผรม.",LEFT(C12,3)="เขต"),C12,IFERROR(INDEX('Master Plan'!$L$8:$L$27,MATCH(C12,'Master Plan'!$A$8:$A$27,0)),"?")))))</f>
        <v/>
      </c>
      <c r="F12" s="60"/>
      <c r="G12" s="207"/>
      <c r="H12" s="207"/>
      <c r="I12" s="215" t="str">
        <f aca="false">IF(AND(ISNUMBER(G12),ISNUMBER(H12)),H12-G12,"")</f>
        <v/>
      </c>
      <c r="J12" s="216"/>
      <c r="K12" s="60"/>
      <c r="L12" s="60"/>
      <c r="M12" s="113"/>
      <c r="N12" s="60"/>
      <c r="O12" s="60"/>
      <c r="P12" s="131" t="str">
        <f aca="false">IF(B12="","",IF(LEFT(F12,8)="Baseline","ผู้บริหาร + กปภ.",IF(ABS(N(J12))=0,"วิศวกร / ทีม",IF(ABS(N(J12))&lt;=CR_T1,"PM",IF(ABS(N(J12))&lt;=CR_T2,"Change Board","ผู้บริหาร + กปภ.")))))</f>
        <v/>
      </c>
      <c r="Q12" s="60"/>
      <c r="R12" s="60"/>
      <c r="S12" s="207"/>
      <c r="U12" s="138" t="s">
        <v>1737</v>
      </c>
      <c r="V12" s="217" t="n">
        <f aca="false">COUNTIFS(CR_CAUSE,U12,CR_STAT,"อนุมัติ")</f>
        <v>0</v>
      </c>
      <c r="W12" s="218" t="n">
        <f aca="false">SUMIFS(CR_COD,CR_CAUSE,U12,CR_STAT,"อนุมัติ")</f>
        <v>0</v>
      </c>
      <c r="X12" s="219" t="str">
        <f aca="false">IFERROR(W12/SUMIFS(CR_COD,CR_STAT,"อนุมัติ"),"")</f>
        <v/>
      </c>
    </row>
    <row r="13" customFormat="false" ht="15" hidden="false" customHeight="false" outlineLevel="0" collapsed="false">
      <c r="A13" s="138" t="str">
        <f aca="false">IF(B13="","","CR-"&amp;TEXT(ROW()-6,"000"))</f>
        <v/>
      </c>
      <c r="B13" s="207"/>
      <c r="C13" s="60"/>
      <c r="D13" s="131" t="str">
        <f aca="false">IF(C13="","",IF(OR(C13="ทั้งเฟส",LEFT(C13,4)="ผรม.",LEFT(C13,3)="เขต"),C13,IFERROR(INDEX('Master Plan'!$B$8:$B$27,MATCH(C13,'Master Plan'!$A$8:$A$27,0)),"?")))</f>
        <v/>
      </c>
      <c r="E13" s="204" t="str">
        <f aca="false">IF(LEFT(C13,4)="ผรม.",TRIM(MID(C13,5,5)),IF(OR(C13="ทั้งเฟส",LEFT(C13,3)="เขต"),"",IF(C13="","",IF(OR(C13="ทั้งเฟส",LEFT(C13,4)="ผรม.",LEFT(C13,3)="เขต"),C13,IFERROR(INDEX('Master Plan'!$L$8:$L$27,MATCH(C13,'Master Plan'!$A$8:$A$27,0)),"?")))))</f>
        <v/>
      </c>
      <c r="F13" s="60"/>
      <c r="G13" s="207"/>
      <c r="H13" s="207"/>
      <c r="I13" s="215" t="str">
        <f aca="false">IF(AND(ISNUMBER(G13),ISNUMBER(H13)),H13-G13,"")</f>
        <v/>
      </c>
      <c r="J13" s="216"/>
      <c r="K13" s="60"/>
      <c r="L13" s="60"/>
      <c r="M13" s="113"/>
      <c r="N13" s="60"/>
      <c r="O13" s="60"/>
      <c r="P13" s="131" t="str">
        <f aca="false">IF(B13="","",IF(LEFT(F13,8)="Baseline","ผู้บริหาร + กปภ.",IF(ABS(N(J13))=0,"วิศวกร / ทีม",IF(ABS(N(J13))&lt;=CR_T1,"PM",IF(ABS(N(J13))&lt;=CR_T2,"Change Board","ผู้บริหาร + กปภ.")))))</f>
        <v/>
      </c>
      <c r="Q13" s="60"/>
      <c r="R13" s="60"/>
      <c r="S13" s="207"/>
      <c r="U13" s="138" t="s">
        <v>1738</v>
      </c>
      <c r="V13" s="217" t="n">
        <f aca="false">COUNTIFS(CR_CAUSE,U13,CR_STAT,"อนุมัติ")</f>
        <v>0</v>
      </c>
      <c r="W13" s="218" t="n">
        <f aca="false">SUMIFS(CR_COD,CR_CAUSE,U13,CR_STAT,"อนุมัติ")</f>
        <v>0</v>
      </c>
      <c r="X13" s="219" t="str">
        <f aca="false">IFERROR(W13/SUMIFS(CR_COD,CR_STAT,"อนุมัติ"),"")</f>
        <v/>
      </c>
    </row>
    <row r="14" customFormat="false" ht="15" hidden="false" customHeight="false" outlineLevel="0" collapsed="false">
      <c r="A14" s="138" t="str">
        <f aca="false">IF(B14="","","CR-"&amp;TEXT(ROW()-6,"000"))</f>
        <v/>
      </c>
      <c r="B14" s="207"/>
      <c r="C14" s="60"/>
      <c r="D14" s="131" t="str">
        <f aca="false">IF(C14="","",IF(OR(C14="ทั้งเฟส",LEFT(C14,4)="ผรม.",LEFT(C14,3)="เขต"),C14,IFERROR(INDEX('Master Plan'!$B$8:$B$27,MATCH(C14,'Master Plan'!$A$8:$A$27,0)),"?")))</f>
        <v/>
      </c>
      <c r="E14" s="204" t="str">
        <f aca="false">IF(LEFT(C14,4)="ผรม.",TRIM(MID(C14,5,5)),IF(OR(C14="ทั้งเฟส",LEFT(C14,3)="เขต"),"",IF(C14="","",IF(OR(C14="ทั้งเฟส",LEFT(C14,4)="ผรม.",LEFT(C14,3)="เขต"),C14,IFERROR(INDEX('Master Plan'!$L$8:$L$27,MATCH(C14,'Master Plan'!$A$8:$A$27,0)),"?")))))</f>
        <v/>
      </c>
      <c r="F14" s="60"/>
      <c r="G14" s="207"/>
      <c r="H14" s="207"/>
      <c r="I14" s="215" t="str">
        <f aca="false">IF(AND(ISNUMBER(G14),ISNUMBER(H14)),H14-G14,"")</f>
        <v/>
      </c>
      <c r="J14" s="216"/>
      <c r="K14" s="60"/>
      <c r="L14" s="60"/>
      <c r="M14" s="113"/>
      <c r="N14" s="60"/>
      <c r="O14" s="60"/>
      <c r="P14" s="131" t="str">
        <f aca="false">IF(B14="","",IF(LEFT(F14,8)="Baseline","ผู้บริหาร + กปภ.",IF(ABS(N(J14))=0,"วิศวกร / ทีม",IF(ABS(N(J14))&lt;=CR_T1,"PM",IF(ABS(N(J14))&lt;=CR_T2,"Change Board","ผู้บริหาร + กปภ.")))))</f>
        <v/>
      </c>
      <c r="Q14" s="60"/>
      <c r="R14" s="60"/>
      <c r="S14" s="207"/>
      <c r="U14" s="138" t="s">
        <v>1739</v>
      </c>
      <c r="V14" s="217" t="n">
        <f aca="false">COUNTIFS(CR_CAUSE,U14,CR_STAT,"อนุมัติ")</f>
        <v>0</v>
      </c>
      <c r="W14" s="218" t="n">
        <f aca="false">SUMIFS(CR_COD,CR_CAUSE,U14,CR_STAT,"อนุมัติ")</f>
        <v>0</v>
      </c>
      <c r="X14" s="219" t="str">
        <f aca="false">IFERROR(W14/SUMIFS(CR_COD,CR_STAT,"อนุมัติ"),"")</f>
        <v/>
      </c>
    </row>
    <row r="15" customFormat="false" ht="15" hidden="false" customHeight="false" outlineLevel="0" collapsed="false">
      <c r="A15" s="138" t="str">
        <f aca="false">IF(B15="","","CR-"&amp;TEXT(ROW()-6,"000"))</f>
        <v/>
      </c>
      <c r="B15" s="207"/>
      <c r="C15" s="60"/>
      <c r="D15" s="131" t="str">
        <f aca="false">IF(C15="","",IF(OR(C15="ทั้งเฟส",LEFT(C15,4)="ผรม.",LEFT(C15,3)="เขต"),C15,IFERROR(INDEX('Master Plan'!$B$8:$B$27,MATCH(C15,'Master Plan'!$A$8:$A$27,0)),"?")))</f>
        <v/>
      </c>
      <c r="E15" s="204" t="str">
        <f aca="false">IF(LEFT(C15,4)="ผรม.",TRIM(MID(C15,5,5)),IF(OR(C15="ทั้งเฟส",LEFT(C15,3)="เขต"),"",IF(C15="","",IF(OR(C15="ทั้งเฟส",LEFT(C15,4)="ผรม.",LEFT(C15,3)="เขต"),C15,IFERROR(INDEX('Master Plan'!$L$8:$L$27,MATCH(C15,'Master Plan'!$A$8:$A$27,0)),"?")))))</f>
        <v/>
      </c>
      <c r="F15" s="60"/>
      <c r="G15" s="207"/>
      <c r="H15" s="207"/>
      <c r="I15" s="215" t="str">
        <f aca="false">IF(AND(ISNUMBER(G15),ISNUMBER(H15)),H15-G15,"")</f>
        <v/>
      </c>
      <c r="J15" s="216"/>
      <c r="K15" s="60"/>
      <c r="L15" s="60"/>
      <c r="M15" s="113"/>
      <c r="N15" s="60"/>
      <c r="O15" s="60"/>
      <c r="P15" s="131" t="str">
        <f aca="false">IF(B15="","",IF(LEFT(F15,8)="Baseline","ผู้บริหาร + กปภ.",IF(ABS(N(J15))=0,"วิศวกร / ทีม",IF(ABS(N(J15))&lt;=CR_T1,"PM",IF(ABS(N(J15))&lt;=CR_T2,"Change Board","ผู้บริหาร + กปภ.")))))</f>
        <v/>
      </c>
      <c r="Q15" s="60"/>
      <c r="R15" s="60"/>
      <c r="S15" s="207"/>
      <c r="U15" s="138" t="s">
        <v>1740</v>
      </c>
      <c r="V15" s="217" t="n">
        <f aca="false">COUNTIFS(CR_CAUSE,U15,CR_STAT,"อนุมัติ")</f>
        <v>0</v>
      </c>
      <c r="W15" s="218" t="n">
        <f aca="false">SUMIFS(CR_COD,CR_CAUSE,U15,CR_STAT,"อนุมัติ")</f>
        <v>0</v>
      </c>
      <c r="X15" s="219" t="str">
        <f aca="false">IFERROR(W15/SUMIFS(CR_COD,CR_STAT,"อนุมัติ"),"")</f>
        <v/>
      </c>
    </row>
    <row r="16" customFormat="false" ht="15" hidden="false" customHeight="false" outlineLevel="0" collapsed="false">
      <c r="A16" s="138" t="str">
        <f aca="false">IF(B16="","","CR-"&amp;TEXT(ROW()-6,"000"))</f>
        <v/>
      </c>
      <c r="B16" s="207"/>
      <c r="C16" s="60"/>
      <c r="D16" s="131" t="str">
        <f aca="false">IF(C16="","",IF(OR(C16="ทั้งเฟส",LEFT(C16,4)="ผรม.",LEFT(C16,3)="เขต"),C16,IFERROR(INDEX('Master Plan'!$B$8:$B$27,MATCH(C16,'Master Plan'!$A$8:$A$27,0)),"?")))</f>
        <v/>
      </c>
      <c r="E16" s="204" t="str">
        <f aca="false">IF(LEFT(C16,4)="ผรม.",TRIM(MID(C16,5,5)),IF(OR(C16="ทั้งเฟส",LEFT(C16,3)="เขต"),"",IF(C16="","",IF(OR(C16="ทั้งเฟส",LEFT(C16,4)="ผรม.",LEFT(C16,3)="เขต"),C16,IFERROR(INDEX('Master Plan'!$L$8:$L$27,MATCH(C16,'Master Plan'!$A$8:$A$27,0)),"?")))))</f>
        <v/>
      </c>
      <c r="F16" s="60"/>
      <c r="G16" s="207"/>
      <c r="H16" s="207"/>
      <c r="I16" s="215" t="str">
        <f aca="false">IF(AND(ISNUMBER(G16),ISNUMBER(H16)),H16-G16,"")</f>
        <v/>
      </c>
      <c r="J16" s="216"/>
      <c r="K16" s="60"/>
      <c r="L16" s="60"/>
      <c r="M16" s="113"/>
      <c r="N16" s="60"/>
      <c r="O16" s="60"/>
      <c r="P16" s="131" t="str">
        <f aca="false">IF(B16="","",IF(LEFT(F16,8)="Baseline","ผู้บริหาร + กปภ.",IF(ABS(N(J16))=0,"วิศวกร / ทีม",IF(ABS(N(J16))&lt;=CR_T1,"PM",IF(ABS(N(J16))&lt;=CR_T2,"Change Board","ผู้บริหาร + กปภ.")))))</f>
        <v/>
      </c>
      <c r="Q16" s="60"/>
      <c r="R16" s="60"/>
      <c r="S16" s="207"/>
      <c r="U16" s="220" t="s">
        <v>1741</v>
      </c>
      <c r="V16" s="214" t="n">
        <f aca="false">SUM(V7:V15)</f>
        <v>0</v>
      </c>
      <c r="W16" s="214" t="n">
        <f aca="false">SUM(W7:W15)</f>
        <v>0</v>
      </c>
    </row>
    <row r="17" customFormat="false" ht="15" hidden="false" customHeight="false" outlineLevel="0" collapsed="false">
      <c r="A17" s="138" t="str">
        <f aca="false">IF(B17="","","CR-"&amp;TEXT(ROW()-6,"000"))</f>
        <v/>
      </c>
      <c r="B17" s="207"/>
      <c r="C17" s="60"/>
      <c r="D17" s="131" t="str">
        <f aca="false">IF(C17="","",IF(OR(C17="ทั้งเฟส",LEFT(C17,4)="ผรม.",LEFT(C17,3)="เขต"),C17,IFERROR(INDEX('Master Plan'!$B$8:$B$27,MATCH(C17,'Master Plan'!$A$8:$A$27,0)),"?")))</f>
        <v/>
      </c>
      <c r="E17" s="204" t="str">
        <f aca="false">IF(LEFT(C17,4)="ผรม.",TRIM(MID(C17,5,5)),IF(OR(C17="ทั้งเฟส",LEFT(C17,3)="เขต"),"",IF(C17="","",IF(OR(C17="ทั้งเฟส",LEFT(C17,4)="ผรม.",LEFT(C17,3)="เขต"),C17,IFERROR(INDEX('Master Plan'!$L$8:$L$27,MATCH(C17,'Master Plan'!$A$8:$A$27,0)),"?")))))</f>
        <v/>
      </c>
      <c r="F17" s="60"/>
      <c r="G17" s="207"/>
      <c r="H17" s="207"/>
      <c r="I17" s="215" t="str">
        <f aca="false">IF(AND(ISNUMBER(G17),ISNUMBER(H17)),H17-G17,"")</f>
        <v/>
      </c>
      <c r="J17" s="216"/>
      <c r="K17" s="60"/>
      <c r="L17" s="60"/>
      <c r="M17" s="113"/>
      <c r="N17" s="60"/>
      <c r="O17" s="60"/>
      <c r="P17" s="131" t="str">
        <f aca="false">IF(B17="","",IF(LEFT(F17,8)="Baseline","ผู้บริหาร + กปภ.",IF(ABS(N(J17))=0,"วิศวกร / ทีม",IF(ABS(N(J17))&lt;=CR_T1,"PM",IF(ABS(N(J17))&lt;=CR_T2,"Change Board","ผู้บริหาร + กปภ.")))))</f>
        <v/>
      </c>
      <c r="Q17" s="60"/>
      <c r="R17" s="60"/>
      <c r="S17" s="207"/>
    </row>
    <row r="18" customFormat="false" ht="15" hidden="false" customHeight="false" outlineLevel="0" collapsed="false">
      <c r="A18" s="138" t="str">
        <f aca="false">IF(B18="","","CR-"&amp;TEXT(ROW()-6,"000"))</f>
        <v/>
      </c>
      <c r="B18" s="207"/>
      <c r="C18" s="60"/>
      <c r="D18" s="131" t="str">
        <f aca="false">IF(C18="","",IF(OR(C18="ทั้งเฟส",LEFT(C18,4)="ผรม.",LEFT(C18,3)="เขต"),C18,IFERROR(INDEX('Master Plan'!$B$8:$B$27,MATCH(C18,'Master Plan'!$A$8:$A$27,0)),"?")))</f>
        <v/>
      </c>
      <c r="E18" s="204" t="str">
        <f aca="false">IF(LEFT(C18,4)="ผรม.",TRIM(MID(C18,5,5)),IF(OR(C18="ทั้งเฟส",LEFT(C18,3)="เขต"),"",IF(C18="","",IF(OR(C18="ทั้งเฟส",LEFT(C18,4)="ผรม.",LEFT(C18,3)="เขต"),C18,IFERROR(INDEX('Master Plan'!$L$8:$L$27,MATCH(C18,'Master Plan'!$A$8:$A$27,0)),"?")))))</f>
        <v/>
      </c>
      <c r="F18" s="60"/>
      <c r="G18" s="207"/>
      <c r="H18" s="207"/>
      <c r="I18" s="215" t="str">
        <f aca="false">IF(AND(ISNUMBER(G18),ISNUMBER(H18)),H18-G18,"")</f>
        <v/>
      </c>
      <c r="J18" s="216"/>
      <c r="K18" s="60"/>
      <c r="L18" s="60"/>
      <c r="M18" s="113"/>
      <c r="N18" s="60"/>
      <c r="O18" s="60"/>
      <c r="P18" s="131" t="str">
        <f aca="false">IF(B18="","",IF(LEFT(F18,8)="Baseline","ผู้บริหาร + กปภ.",IF(ABS(N(J18))=0,"วิศวกร / ทีม",IF(ABS(N(J18))&lt;=CR_T1,"PM",IF(ABS(N(J18))&lt;=CR_T2,"Change Board","ผู้บริหาร + กปภ.")))))</f>
        <v/>
      </c>
      <c r="Q18" s="60"/>
      <c r="R18" s="60"/>
      <c r="S18" s="207"/>
      <c r="U18" s="39" t="s">
        <v>1742</v>
      </c>
    </row>
    <row r="19" customFormat="false" ht="21.6" hidden="false" customHeight="false" outlineLevel="0" collapsed="false">
      <c r="A19" s="138" t="str">
        <f aca="false">IF(B19="","","CR-"&amp;TEXT(ROW()-6,"000"))</f>
        <v/>
      </c>
      <c r="B19" s="207"/>
      <c r="C19" s="60"/>
      <c r="D19" s="131" t="str">
        <f aca="false">IF(C19="","",IF(OR(C19="ทั้งเฟส",LEFT(C19,4)="ผรม.",LEFT(C19,3)="เขต"),C19,IFERROR(INDEX('Master Plan'!$B$8:$B$27,MATCH(C19,'Master Plan'!$A$8:$A$27,0)),"?")))</f>
        <v/>
      </c>
      <c r="E19" s="204" t="str">
        <f aca="false">IF(LEFT(C19,4)="ผรม.",TRIM(MID(C19,5,5)),IF(OR(C19="ทั้งเฟส",LEFT(C19,3)="เขต"),"",IF(C19="","",IF(OR(C19="ทั้งเฟส",LEFT(C19,4)="ผรม.",LEFT(C19,3)="เขต"),C19,IFERROR(INDEX('Master Plan'!$L$8:$L$27,MATCH(C19,'Master Plan'!$A$8:$A$27,0)),"?")))))</f>
        <v/>
      </c>
      <c r="F19" s="60"/>
      <c r="G19" s="207"/>
      <c r="H19" s="207"/>
      <c r="I19" s="215" t="str">
        <f aca="false">IF(AND(ISNUMBER(G19),ISNUMBER(H19)),H19-G19,"")</f>
        <v/>
      </c>
      <c r="J19" s="216"/>
      <c r="K19" s="60"/>
      <c r="L19" s="60"/>
      <c r="M19" s="113"/>
      <c r="N19" s="60"/>
      <c r="O19" s="60"/>
      <c r="P19" s="131" t="str">
        <f aca="false">IF(B19="","",IF(LEFT(F19,8)="Baseline","ผู้บริหาร + กปภ.",IF(ABS(N(J19))=0,"วิศวกร / ทีม",IF(ABS(N(J19))&lt;=CR_T1,"PM",IF(ABS(N(J19))&lt;=CR_T2,"Change Board","ผู้บริหาร + กปภ.")))))</f>
        <v/>
      </c>
      <c r="Q19" s="60"/>
      <c r="R19" s="60"/>
      <c r="S19" s="207"/>
      <c r="U19" s="28" t="s">
        <v>36</v>
      </c>
      <c r="V19" s="28" t="s">
        <v>1730</v>
      </c>
      <c r="W19" s="28" t="s">
        <v>1731</v>
      </c>
      <c r="X19" s="28" t="s">
        <v>1743</v>
      </c>
    </row>
    <row r="20" customFormat="false" ht="15" hidden="false" customHeight="false" outlineLevel="0" collapsed="false">
      <c r="A20" s="138" t="str">
        <f aca="false">IF(B20="","","CR-"&amp;TEXT(ROW()-6,"000"))</f>
        <v/>
      </c>
      <c r="B20" s="207"/>
      <c r="C20" s="60"/>
      <c r="D20" s="131" t="str">
        <f aca="false">IF(C20="","",IF(OR(C20="ทั้งเฟส",LEFT(C20,4)="ผรม.",LEFT(C20,3)="เขต"),C20,IFERROR(INDEX('Master Plan'!$B$8:$B$27,MATCH(C20,'Master Plan'!$A$8:$A$27,0)),"?")))</f>
        <v/>
      </c>
      <c r="E20" s="204" t="str">
        <f aca="false">IF(LEFT(C20,4)="ผรม.",TRIM(MID(C20,5,5)),IF(OR(C20="ทั้งเฟส",LEFT(C20,3)="เขต"),"",IF(C20="","",IF(OR(C20="ทั้งเฟส",LEFT(C20,4)="ผรม.",LEFT(C20,3)="เขต"),C20,IFERROR(INDEX('Master Plan'!$L$8:$L$27,MATCH(C20,'Master Plan'!$A$8:$A$27,0)),"?")))))</f>
        <v/>
      </c>
      <c r="F20" s="60"/>
      <c r="G20" s="207"/>
      <c r="H20" s="207"/>
      <c r="I20" s="215" t="str">
        <f aca="false">IF(AND(ISNUMBER(G20),ISNUMBER(H20)),H20-G20,"")</f>
        <v/>
      </c>
      <c r="J20" s="216"/>
      <c r="K20" s="60"/>
      <c r="L20" s="60"/>
      <c r="M20" s="113"/>
      <c r="N20" s="60"/>
      <c r="O20" s="60"/>
      <c r="P20" s="131" t="str">
        <f aca="false">IF(B20="","",IF(LEFT(F20,8)="Baseline","ผู้บริหาร + กปภ.",IF(ABS(N(J20))=0,"วิศวกร / ทีม",IF(ABS(N(J20))&lt;=CR_T1,"PM",IF(ABS(N(J20))&lt;=CR_T2,"Change Board","ผู้บริหาร + กปภ.")))))</f>
        <v/>
      </c>
      <c r="Q20" s="60"/>
      <c r="R20" s="60"/>
      <c r="S20" s="207"/>
      <c r="U20" s="131" t="s">
        <v>1744</v>
      </c>
      <c r="V20" s="217" t="n">
        <f aca="false">COUNTIFS(CR_CON,U20,CR_STAT,"อนุมัติ")</f>
        <v>0</v>
      </c>
      <c r="W20" s="218" t="n">
        <f aca="false">SUMIFS(CR_COD,CR_CON,U20,CR_STAT,"อนุมัติ")</f>
        <v>0</v>
      </c>
      <c r="X20" s="217" t="n">
        <f aca="false">COUNTIFS(CR_CON,U20,CR_STAT,"อนุมัติ",CR_CAUSE,"ผรม.")</f>
        <v>0</v>
      </c>
    </row>
    <row r="21" customFormat="false" ht="15" hidden="false" customHeight="false" outlineLevel="0" collapsed="false">
      <c r="A21" s="138" t="str">
        <f aca="false">IF(B21="","","CR-"&amp;TEXT(ROW()-6,"000"))</f>
        <v/>
      </c>
      <c r="B21" s="207"/>
      <c r="C21" s="60"/>
      <c r="D21" s="131" t="str">
        <f aca="false">IF(C21="","",IF(OR(C21="ทั้งเฟส",LEFT(C21,4)="ผรม.",LEFT(C21,3)="เขต"),C21,IFERROR(INDEX('Master Plan'!$B$8:$B$27,MATCH(C21,'Master Plan'!$A$8:$A$27,0)),"?")))</f>
        <v/>
      </c>
      <c r="E21" s="204" t="str">
        <f aca="false">IF(LEFT(C21,4)="ผรม.",TRIM(MID(C21,5,5)),IF(OR(C21="ทั้งเฟส",LEFT(C21,3)="เขต"),"",IF(C21="","",IF(OR(C21="ทั้งเฟส",LEFT(C21,4)="ผรม.",LEFT(C21,3)="เขต"),C21,IFERROR(INDEX('Master Plan'!$L$8:$L$27,MATCH(C21,'Master Plan'!$A$8:$A$27,0)),"?")))))</f>
        <v/>
      </c>
      <c r="F21" s="60"/>
      <c r="G21" s="207"/>
      <c r="H21" s="207"/>
      <c r="I21" s="215" t="str">
        <f aca="false">IF(AND(ISNUMBER(G21),ISNUMBER(H21)),H21-G21,"")</f>
        <v/>
      </c>
      <c r="J21" s="216"/>
      <c r="K21" s="60"/>
      <c r="L21" s="60"/>
      <c r="M21" s="113"/>
      <c r="N21" s="60"/>
      <c r="O21" s="60"/>
      <c r="P21" s="131" t="str">
        <f aca="false">IF(B21="","",IF(LEFT(F21,8)="Baseline","ผู้บริหาร + กปภ.",IF(ABS(N(J21))=0,"วิศวกร / ทีม",IF(ABS(N(J21))&lt;=CR_T1,"PM",IF(ABS(N(J21))&lt;=CR_T2,"Change Board","ผู้บริหาร + กปภ.")))))</f>
        <v/>
      </c>
      <c r="Q21" s="60"/>
      <c r="R21" s="60"/>
      <c r="S21" s="207"/>
      <c r="U21" s="131" t="s">
        <v>1745</v>
      </c>
      <c r="V21" s="217" t="n">
        <f aca="false">COUNTIFS(CR_CON,U21,CR_STAT,"อนุมัติ")</f>
        <v>0</v>
      </c>
      <c r="W21" s="218" t="n">
        <f aca="false">SUMIFS(CR_COD,CR_CON,U21,CR_STAT,"อนุมัติ")</f>
        <v>0</v>
      </c>
      <c r="X21" s="217" t="n">
        <f aca="false">COUNTIFS(CR_CON,U21,CR_STAT,"อนุมัติ",CR_CAUSE,"ผรม.")</f>
        <v>0</v>
      </c>
    </row>
    <row r="22" customFormat="false" ht="15" hidden="false" customHeight="false" outlineLevel="0" collapsed="false">
      <c r="A22" s="138" t="str">
        <f aca="false">IF(B22="","","CR-"&amp;TEXT(ROW()-6,"000"))</f>
        <v/>
      </c>
      <c r="B22" s="207"/>
      <c r="C22" s="60"/>
      <c r="D22" s="131" t="str">
        <f aca="false">IF(C22="","",IF(OR(C22="ทั้งเฟส",LEFT(C22,4)="ผรม.",LEFT(C22,3)="เขต"),C22,IFERROR(INDEX('Master Plan'!$B$8:$B$27,MATCH(C22,'Master Plan'!$A$8:$A$27,0)),"?")))</f>
        <v/>
      </c>
      <c r="E22" s="204" t="str">
        <f aca="false">IF(LEFT(C22,4)="ผรม.",TRIM(MID(C22,5,5)),IF(OR(C22="ทั้งเฟส",LEFT(C22,3)="เขต"),"",IF(C22="","",IF(OR(C22="ทั้งเฟส",LEFT(C22,4)="ผรม.",LEFT(C22,3)="เขต"),C22,IFERROR(INDEX('Master Plan'!$L$8:$L$27,MATCH(C22,'Master Plan'!$A$8:$A$27,0)),"?")))))</f>
        <v/>
      </c>
      <c r="F22" s="60"/>
      <c r="G22" s="207"/>
      <c r="H22" s="207"/>
      <c r="I22" s="215" t="str">
        <f aca="false">IF(AND(ISNUMBER(G22),ISNUMBER(H22)),H22-G22,"")</f>
        <v/>
      </c>
      <c r="J22" s="216"/>
      <c r="K22" s="60"/>
      <c r="L22" s="60"/>
      <c r="M22" s="113"/>
      <c r="N22" s="60"/>
      <c r="O22" s="60"/>
      <c r="P22" s="131" t="str">
        <f aca="false">IF(B22="","",IF(LEFT(F22,8)="Baseline","ผู้บริหาร + กปภ.",IF(ABS(N(J22))=0,"วิศวกร / ทีม",IF(ABS(N(J22))&lt;=CR_T1,"PM",IF(ABS(N(J22))&lt;=CR_T2,"Change Board","ผู้บริหาร + กปภ.")))))</f>
        <v/>
      </c>
      <c r="Q22" s="60"/>
      <c r="R22" s="60"/>
      <c r="S22" s="207"/>
      <c r="U22" s="131" t="s">
        <v>1746</v>
      </c>
      <c r="V22" s="217" t="n">
        <f aca="false">COUNTIFS(CR_CON,U22,CR_STAT,"อนุมัติ")</f>
        <v>0</v>
      </c>
      <c r="W22" s="218" t="n">
        <f aca="false">SUMIFS(CR_COD,CR_CON,U22,CR_STAT,"อนุมัติ")</f>
        <v>0</v>
      </c>
      <c r="X22" s="217" t="n">
        <f aca="false">COUNTIFS(CR_CON,U22,CR_STAT,"อนุมัติ",CR_CAUSE,"ผรม.")</f>
        <v>0</v>
      </c>
    </row>
    <row r="23" customFormat="false" ht="15" hidden="false" customHeight="false" outlineLevel="0" collapsed="false">
      <c r="A23" s="138" t="str">
        <f aca="false">IF(B23="","","CR-"&amp;TEXT(ROW()-6,"000"))</f>
        <v/>
      </c>
      <c r="B23" s="207"/>
      <c r="C23" s="60"/>
      <c r="D23" s="131" t="str">
        <f aca="false">IF(C23="","",IF(OR(C23="ทั้งเฟส",LEFT(C23,4)="ผรม.",LEFT(C23,3)="เขต"),C23,IFERROR(INDEX('Master Plan'!$B$8:$B$27,MATCH(C23,'Master Plan'!$A$8:$A$27,0)),"?")))</f>
        <v/>
      </c>
      <c r="E23" s="204" t="str">
        <f aca="false">IF(LEFT(C23,4)="ผรม.",TRIM(MID(C23,5,5)),IF(OR(C23="ทั้งเฟส",LEFT(C23,3)="เขต"),"",IF(C23="","",IF(OR(C23="ทั้งเฟส",LEFT(C23,4)="ผรม.",LEFT(C23,3)="เขต"),C23,IFERROR(INDEX('Master Plan'!$L$8:$L$27,MATCH(C23,'Master Plan'!$A$8:$A$27,0)),"?")))))</f>
        <v/>
      </c>
      <c r="F23" s="60"/>
      <c r="G23" s="207"/>
      <c r="H23" s="207"/>
      <c r="I23" s="215" t="str">
        <f aca="false">IF(AND(ISNUMBER(G23),ISNUMBER(H23)),H23-G23,"")</f>
        <v/>
      </c>
      <c r="J23" s="216"/>
      <c r="K23" s="60"/>
      <c r="L23" s="60"/>
      <c r="M23" s="113"/>
      <c r="N23" s="60"/>
      <c r="O23" s="60"/>
      <c r="P23" s="131" t="str">
        <f aca="false">IF(B23="","",IF(LEFT(F23,8)="Baseline","ผู้บริหาร + กปภ.",IF(ABS(N(J23))=0,"วิศวกร / ทีม",IF(ABS(N(J23))&lt;=CR_T1,"PM",IF(ABS(N(J23))&lt;=CR_T2,"Change Board","ผู้บริหาร + กปภ.")))))</f>
        <v/>
      </c>
      <c r="Q23" s="60"/>
      <c r="R23" s="60"/>
      <c r="S23" s="207"/>
    </row>
    <row r="24" customFormat="false" ht="15" hidden="false" customHeight="false" outlineLevel="0" collapsed="false">
      <c r="A24" s="138" t="str">
        <f aca="false">IF(B24="","","CR-"&amp;TEXT(ROW()-6,"000"))</f>
        <v/>
      </c>
      <c r="B24" s="207"/>
      <c r="C24" s="60"/>
      <c r="D24" s="131" t="str">
        <f aca="false">IF(C24="","",IF(OR(C24="ทั้งเฟส",LEFT(C24,4)="ผรม.",LEFT(C24,3)="เขต"),C24,IFERROR(INDEX('Master Plan'!$B$8:$B$27,MATCH(C24,'Master Plan'!$A$8:$A$27,0)),"?")))</f>
        <v/>
      </c>
      <c r="E24" s="204" t="str">
        <f aca="false">IF(LEFT(C24,4)="ผรม.",TRIM(MID(C24,5,5)),IF(OR(C24="ทั้งเฟส",LEFT(C24,3)="เขต"),"",IF(C24="","",IF(OR(C24="ทั้งเฟส",LEFT(C24,4)="ผรม.",LEFT(C24,3)="เขต"),C24,IFERROR(INDEX('Master Plan'!$L$8:$L$27,MATCH(C24,'Master Plan'!$A$8:$A$27,0)),"?")))))</f>
        <v/>
      </c>
      <c r="F24" s="60"/>
      <c r="G24" s="207"/>
      <c r="H24" s="207"/>
      <c r="I24" s="215" t="str">
        <f aca="false">IF(AND(ISNUMBER(G24),ISNUMBER(H24)),H24-G24,"")</f>
        <v/>
      </c>
      <c r="J24" s="216"/>
      <c r="K24" s="60"/>
      <c r="L24" s="60"/>
      <c r="M24" s="113"/>
      <c r="N24" s="60"/>
      <c r="O24" s="60"/>
      <c r="P24" s="131" t="str">
        <f aca="false">IF(B24="","",IF(LEFT(F24,8)="Baseline","ผู้บริหาร + กปภ.",IF(ABS(N(J24))=0,"วิศวกร / ทีม",IF(ABS(N(J24))&lt;=CR_T1,"PM",IF(ABS(N(J24))&lt;=CR_T2,"Change Board","ผู้บริหาร + กปภ.")))))</f>
        <v/>
      </c>
      <c r="Q24" s="60"/>
      <c r="R24" s="60"/>
      <c r="S24" s="207"/>
      <c r="U24" s="39" t="s">
        <v>1747</v>
      </c>
    </row>
    <row r="25" customFormat="false" ht="21.6" hidden="false" customHeight="false" outlineLevel="0" collapsed="false">
      <c r="A25" s="138" t="str">
        <f aca="false">IF(B25="","","CR-"&amp;TEXT(ROW()-6,"000"))</f>
        <v/>
      </c>
      <c r="B25" s="207"/>
      <c r="C25" s="60"/>
      <c r="D25" s="131" t="str">
        <f aca="false">IF(C25="","",IF(OR(C25="ทั้งเฟส",LEFT(C25,4)="ผรม.",LEFT(C25,3)="เขต"),C25,IFERROR(INDEX('Master Plan'!$B$8:$B$27,MATCH(C25,'Master Plan'!$A$8:$A$27,0)),"?")))</f>
        <v/>
      </c>
      <c r="E25" s="204" t="str">
        <f aca="false">IF(LEFT(C25,4)="ผรม.",TRIM(MID(C25,5,5)),IF(OR(C25="ทั้งเฟส",LEFT(C25,3)="เขต"),"",IF(C25="","",IF(OR(C25="ทั้งเฟส",LEFT(C25,4)="ผรม.",LEFT(C25,3)="เขต"),C25,IFERROR(INDEX('Master Plan'!$L$8:$L$27,MATCH(C25,'Master Plan'!$A$8:$A$27,0)),"?")))))</f>
        <v/>
      </c>
      <c r="F25" s="60"/>
      <c r="G25" s="207"/>
      <c r="H25" s="207"/>
      <c r="I25" s="215" t="str">
        <f aca="false">IF(AND(ISNUMBER(G25),ISNUMBER(H25)),H25-G25,"")</f>
        <v/>
      </c>
      <c r="J25" s="216"/>
      <c r="K25" s="60"/>
      <c r="L25" s="60"/>
      <c r="M25" s="113"/>
      <c r="N25" s="60"/>
      <c r="O25" s="60"/>
      <c r="P25" s="131" t="str">
        <f aca="false">IF(B25="","",IF(LEFT(F25,8)="Baseline","ผู้บริหาร + กปภ.",IF(ABS(N(J25))=0,"วิศวกร / ทีม",IF(ABS(N(J25))&lt;=CR_T1,"PM",IF(ABS(N(J25))&lt;=CR_T2,"Change Board","ผู้บริหาร + กปภ.")))))</f>
        <v/>
      </c>
      <c r="Q25" s="60"/>
      <c r="R25" s="60"/>
      <c r="S25" s="207"/>
      <c r="U25" s="28" t="s">
        <v>1592</v>
      </c>
      <c r="V25" s="28" t="s">
        <v>1748</v>
      </c>
      <c r="W25" s="28" t="s">
        <v>1749</v>
      </c>
    </row>
    <row r="26" customFormat="false" ht="15" hidden="false" customHeight="false" outlineLevel="0" collapsed="false">
      <c r="A26" s="138" t="str">
        <f aca="false">IF(B26="","","CR-"&amp;TEXT(ROW()-6,"000"))</f>
        <v/>
      </c>
      <c r="B26" s="207"/>
      <c r="C26" s="60"/>
      <c r="D26" s="131" t="str">
        <f aca="false">IF(C26="","",IF(OR(C26="ทั้งเฟส",LEFT(C26,4)="ผรม.",LEFT(C26,3)="เขต"),C26,IFERROR(INDEX('Master Plan'!$B$8:$B$27,MATCH(C26,'Master Plan'!$A$8:$A$27,0)),"?")))</f>
        <v/>
      </c>
      <c r="E26" s="204" t="str">
        <f aca="false">IF(LEFT(C26,4)="ผรม.",TRIM(MID(C26,5,5)),IF(OR(C26="ทั้งเฟส",LEFT(C26,3)="เขต"),"",IF(C26="","",IF(OR(C26="ทั้งเฟส",LEFT(C26,4)="ผรม.",LEFT(C26,3)="เขต"),C26,IFERROR(INDEX('Master Plan'!$L$8:$L$27,MATCH(C26,'Master Plan'!$A$8:$A$27,0)),"?")))))</f>
        <v/>
      </c>
      <c r="F26" s="60"/>
      <c r="G26" s="207"/>
      <c r="H26" s="207"/>
      <c r="I26" s="215" t="str">
        <f aca="false">IF(AND(ISNUMBER(G26),ISNUMBER(H26)),H26-G26,"")</f>
        <v/>
      </c>
      <c r="J26" s="216"/>
      <c r="K26" s="60"/>
      <c r="L26" s="60"/>
      <c r="M26" s="113"/>
      <c r="N26" s="60"/>
      <c r="O26" s="60"/>
      <c r="P26" s="131" t="str">
        <f aca="false">IF(B26="","",IF(LEFT(F26,8)="Baseline","ผู้บริหาร + กปภ.",IF(ABS(N(J26))=0,"วิศวกร / ทีม",IF(ABS(N(J26))&lt;=CR_T1,"PM",IF(ABS(N(J26))&lt;=CR_T2,"Change Board","ผู้บริหาร + กปภ.")))))</f>
        <v/>
      </c>
      <c r="Q26" s="60"/>
      <c r="R26" s="60"/>
      <c r="S26" s="207"/>
      <c r="U26" s="220" t="s">
        <v>1750</v>
      </c>
      <c r="V26" s="221" t="n">
        <v>0</v>
      </c>
      <c r="W26" s="138" t="s">
        <v>1751</v>
      </c>
    </row>
    <row r="27" customFormat="false" ht="15" hidden="false" customHeight="false" outlineLevel="0" collapsed="false">
      <c r="A27" s="138" t="str">
        <f aca="false">IF(B27="","","CR-"&amp;TEXT(ROW()-6,"000"))</f>
        <v/>
      </c>
      <c r="B27" s="207"/>
      <c r="C27" s="60"/>
      <c r="D27" s="131" t="str">
        <f aca="false">IF(C27="","",IF(OR(C27="ทั้งเฟส",LEFT(C27,4)="ผรม.",LEFT(C27,3)="เขต"),C27,IFERROR(INDEX('Master Plan'!$B$8:$B$27,MATCH(C27,'Master Plan'!$A$8:$A$27,0)),"?")))</f>
        <v/>
      </c>
      <c r="E27" s="204" t="str">
        <f aca="false">IF(LEFT(C27,4)="ผรม.",TRIM(MID(C27,5,5)),IF(OR(C27="ทั้งเฟส",LEFT(C27,3)="เขต"),"",IF(C27="","",IF(OR(C27="ทั้งเฟส",LEFT(C27,4)="ผรม.",LEFT(C27,3)="เขต"),C27,IFERROR(INDEX('Master Plan'!$L$8:$L$27,MATCH(C27,'Master Plan'!$A$8:$A$27,0)),"?")))))</f>
        <v/>
      </c>
      <c r="F27" s="60"/>
      <c r="G27" s="207"/>
      <c r="H27" s="207"/>
      <c r="I27" s="215" t="str">
        <f aca="false">IF(AND(ISNUMBER(G27),ISNUMBER(H27)),H27-G27,"")</f>
        <v/>
      </c>
      <c r="J27" s="216"/>
      <c r="K27" s="60"/>
      <c r="L27" s="60"/>
      <c r="M27" s="113"/>
      <c r="N27" s="60"/>
      <c r="O27" s="60"/>
      <c r="P27" s="131" t="str">
        <f aca="false">IF(B27="","",IF(LEFT(F27,8)="Baseline","ผู้บริหาร + กปภ.",IF(ABS(N(J27))=0,"วิศวกร / ทีม",IF(ABS(N(J27))&lt;=CR_T1,"PM",IF(ABS(N(J27))&lt;=CR_T2,"Change Board","ผู้บริหาร + กปภ.")))))</f>
        <v/>
      </c>
      <c r="Q27" s="60"/>
      <c r="R27" s="60"/>
      <c r="S27" s="207"/>
      <c r="U27" s="222" t="s">
        <v>1627</v>
      </c>
      <c r="V27" s="111" t="n">
        <v>7</v>
      </c>
      <c r="W27" s="138" t="s">
        <v>1752</v>
      </c>
    </row>
    <row r="28" customFormat="false" ht="21.6" hidden="false" customHeight="false" outlineLevel="0" collapsed="false">
      <c r="A28" s="138" t="str">
        <f aca="false">IF(B28="","","CR-"&amp;TEXT(ROW()-6,"000"))</f>
        <v/>
      </c>
      <c r="B28" s="207"/>
      <c r="C28" s="60"/>
      <c r="D28" s="131" t="str">
        <f aca="false">IF(C28="","",IF(OR(C28="ทั้งเฟส",LEFT(C28,4)="ผรม.",LEFT(C28,3)="เขต"),C28,IFERROR(INDEX('Master Plan'!$B$8:$B$27,MATCH(C28,'Master Plan'!$A$8:$A$27,0)),"?")))</f>
        <v/>
      </c>
      <c r="E28" s="204" t="str">
        <f aca="false">IF(LEFT(C28,4)="ผรม.",TRIM(MID(C28,5,5)),IF(OR(C28="ทั้งเฟส",LEFT(C28,3)="เขต"),"",IF(C28="","",IF(OR(C28="ทั้งเฟส",LEFT(C28,4)="ผรม.",LEFT(C28,3)="เขต"),C28,IFERROR(INDEX('Master Plan'!$L$8:$L$27,MATCH(C28,'Master Plan'!$A$8:$A$27,0)),"?")))))</f>
        <v/>
      </c>
      <c r="F28" s="60"/>
      <c r="G28" s="207"/>
      <c r="H28" s="207"/>
      <c r="I28" s="215" t="str">
        <f aca="false">IF(AND(ISNUMBER(G28),ISNUMBER(H28)),H28-G28,"")</f>
        <v/>
      </c>
      <c r="J28" s="216"/>
      <c r="K28" s="60"/>
      <c r="L28" s="60"/>
      <c r="M28" s="113"/>
      <c r="N28" s="60"/>
      <c r="O28" s="60"/>
      <c r="P28" s="131" t="str">
        <f aca="false">IF(B28="","",IF(LEFT(F28,8)="Baseline","ผู้บริหาร + กปภ.",IF(ABS(N(J28))=0,"วิศวกร / ทีม",IF(ABS(N(J28))&lt;=CR_T1,"PM",IF(ABS(N(J28))&lt;=CR_T2,"Change Board","ผู้บริหาร + กปภ.")))))</f>
        <v/>
      </c>
      <c r="Q28" s="60"/>
      <c r="R28" s="60"/>
      <c r="S28" s="207"/>
      <c r="U28" s="222" t="s">
        <v>1753</v>
      </c>
      <c r="V28" s="111" t="n">
        <v>30</v>
      </c>
      <c r="W28" s="131" t="s">
        <v>1754</v>
      </c>
    </row>
    <row r="29" customFormat="false" ht="15" hidden="false" customHeight="false" outlineLevel="0" collapsed="false">
      <c r="A29" s="138" t="str">
        <f aca="false">IF(B29="","","CR-"&amp;TEXT(ROW()-6,"000"))</f>
        <v/>
      </c>
      <c r="B29" s="207"/>
      <c r="C29" s="60"/>
      <c r="D29" s="131" t="str">
        <f aca="false">IF(C29="","",IF(OR(C29="ทั้งเฟส",LEFT(C29,4)="ผรม.",LEFT(C29,3)="เขต"),C29,IFERROR(INDEX('Master Plan'!$B$8:$B$27,MATCH(C29,'Master Plan'!$A$8:$A$27,0)),"?")))</f>
        <v/>
      </c>
      <c r="E29" s="204" t="str">
        <f aca="false">IF(LEFT(C29,4)="ผรม.",TRIM(MID(C29,5,5)),IF(OR(C29="ทั้งเฟส",LEFT(C29,3)="เขต"),"",IF(C29="","",IF(OR(C29="ทั้งเฟส",LEFT(C29,4)="ผรม.",LEFT(C29,3)="เขต"),C29,IFERROR(INDEX('Master Plan'!$L$8:$L$27,MATCH(C29,'Master Plan'!$A$8:$A$27,0)),"?")))))</f>
        <v/>
      </c>
      <c r="F29" s="60"/>
      <c r="G29" s="207"/>
      <c r="H29" s="207"/>
      <c r="I29" s="215" t="str">
        <f aca="false">IF(AND(ISNUMBER(G29),ISNUMBER(H29)),H29-G29,"")</f>
        <v/>
      </c>
      <c r="J29" s="216"/>
      <c r="K29" s="60"/>
      <c r="L29" s="60"/>
      <c r="M29" s="113"/>
      <c r="N29" s="60"/>
      <c r="O29" s="60"/>
      <c r="P29" s="131" t="str">
        <f aca="false">IF(B29="","",IF(LEFT(F29,8)="Baseline","ผู้บริหาร + กปภ.",IF(ABS(N(J29))=0,"วิศวกร / ทีม",IF(ABS(N(J29))&lt;=CR_T1,"PM",IF(ABS(N(J29))&lt;=CR_T2,"Change Board","ผู้บริหาร + กปภ.")))))</f>
        <v/>
      </c>
      <c r="Q29" s="60"/>
      <c r="R29" s="60"/>
      <c r="S29" s="207"/>
      <c r="U29" s="220" t="s">
        <v>1755</v>
      </c>
      <c r="V29" s="221"/>
      <c r="W29" s="138" t="s">
        <v>1756</v>
      </c>
    </row>
    <row r="30" customFormat="false" ht="15" hidden="false" customHeight="false" outlineLevel="0" collapsed="false">
      <c r="A30" s="138" t="str">
        <f aca="false">IF(B30="","","CR-"&amp;TEXT(ROW()-6,"000"))</f>
        <v/>
      </c>
      <c r="B30" s="207"/>
      <c r="C30" s="60"/>
      <c r="D30" s="131" t="str">
        <f aca="false">IF(C30="","",IF(OR(C30="ทั้งเฟส",LEFT(C30,4)="ผรม.",LEFT(C30,3)="เขต"),C30,IFERROR(INDEX('Master Plan'!$B$8:$B$27,MATCH(C30,'Master Plan'!$A$8:$A$27,0)),"?")))</f>
        <v/>
      </c>
      <c r="E30" s="204" t="str">
        <f aca="false">IF(LEFT(C30,4)="ผรม.",TRIM(MID(C30,5,5)),IF(OR(C30="ทั้งเฟส",LEFT(C30,3)="เขต"),"",IF(C30="","",IF(OR(C30="ทั้งเฟส",LEFT(C30,4)="ผรม.",LEFT(C30,3)="เขต"),C30,IFERROR(INDEX('Master Plan'!$L$8:$L$27,MATCH(C30,'Master Plan'!$A$8:$A$27,0)),"?")))))</f>
        <v/>
      </c>
      <c r="F30" s="60"/>
      <c r="G30" s="207"/>
      <c r="H30" s="207"/>
      <c r="I30" s="215" t="str">
        <f aca="false">IF(AND(ISNUMBER(G30),ISNUMBER(H30)),H30-G30,"")</f>
        <v/>
      </c>
      <c r="J30" s="216"/>
      <c r="K30" s="60"/>
      <c r="L30" s="60"/>
      <c r="M30" s="113"/>
      <c r="N30" s="60"/>
      <c r="O30" s="60"/>
      <c r="P30" s="131" t="str">
        <f aca="false">IF(B30="","",IF(LEFT(F30,8)="Baseline","ผู้บริหาร + กปภ.",IF(ABS(N(J30))=0,"วิศวกร / ทีม",IF(ABS(N(J30))&lt;=CR_T1,"PM",IF(ABS(N(J30))&lt;=CR_T2,"Change Board","ผู้บริหาร + กปภ.")))))</f>
        <v/>
      </c>
      <c r="Q30" s="60"/>
      <c r="R30" s="60"/>
      <c r="S30" s="207"/>
    </row>
    <row r="31" customFormat="false" ht="15" hidden="false" customHeight="false" outlineLevel="0" collapsed="false">
      <c r="A31" s="138" t="str">
        <f aca="false">IF(B31="","","CR-"&amp;TEXT(ROW()-6,"000"))</f>
        <v/>
      </c>
      <c r="B31" s="207"/>
      <c r="C31" s="60"/>
      <c r="D31" s="131" t="str">
        <f aca="false">IF(C31="","",IF(OR(C31="ทั้งเฟส",LEFT(C31,4)="ผรม.",LEFT(C31,3)="เขต"),C31,IFERROR(INDEX('Master Plan'!$B$8:$B$27,MATCH(C31,'Master Plan'!$A$8:$A$27,0)),"?")))</f>
        <v/>
      </c>
      <c r="E31" s="204" t="str">
        <f aca="false">IF(LEFT(C31,4)="ผรม.",TRIM(MID(C31,5,5)),IF(OR(C31="ทั้งเฟส",LEFT(C31,3)="เขต"),"",IF(C31="","",IF(OR(C31="ทั้งเฟส",LEFT(C31,4)="ผรม.",LEFT(C31,3)="เขต"),C31,IFERROR(INDEX('Master Plan'!$L$8:$L$27,MATCH(C31,'Master Plan'!$A$8:$A$27,0)),"?")))))</f>
        <v/>
      </c>
      <c r="F31" s="60"/>
      <c r="G31" s="207"/>
      <c r="H31" s="207"/>
      <c r="I31" s="215" t="str">
        <f aca="false">IF(AND(ISNUMBER(G31),ISNUMBER(H31)),H31-G31,"")</f>
        <v/>
      </c>
      <c r="J31" s="216"/>
      <c r="K31" s="60"/>
      <c r="L31" s="60"/>
      <c r="M31" s="113"/>
      <c r="N31" s="60"/>
      <c r="O31" s="60"/>
      <c r="P31" s="131" t="str">
        <f aca="false">IF(B31="","",IF(LEFT(F31,8)="Baseline","ผู้บริหาร + กปภ.",IF(ABS(N(J31))=0,"วิศวกร / ทีม",IF(ABS(N(J31))&lt;=CR_T1,"PM",IF(ABS(N(J31))&lt;=CR_T2,"Change Board","ผู้บริหาร + กปภ.")))))</f>
        <v/>
      </c>
      <c r="Q31" s="60"/>
      <c r="R31" s="60"/>
      <c r="S31" s="207"/>
    </row>
    <row r="32" customFormat="false" ht="15" hidden="false" customHeight="false" outlineLevel="0" collapsed="false">
      <c r="A32" s="138" t="str">
        <f aca="false">IF(B32="","","CR-"&amp;TEXT(ROW()-6,"000"))</f>
        <v/>
      </c>
      <c r="B32" s="207"/>
      <c r="C32" s="60"/>
      <c r="D32" s="131" t="str">
        <f aca="false">IF(C32="","",IF(OR(C32="ทั้งเฟส",LEFT(C32,4)="ผรม.",LEFT(C32,3)="เขต"),C32,IFERROR(INDEX('Master Plan'!$B$8:$B$27,MATCH(C32,'Master Plan'!$A$8:$A$27,0)),"?")))</f>
        <v/>
      </c>
      <c r="E32" s="204" t="str">
        <f aca="false">IF(LEFT(C32,4)="ผรม.",TRIM(MID(C32,5,5)),IF(OR(C32="ทั้งเฟส",LEFT(C32,3)="เขต"),"",IF(C32="","",IF(OR(C32="ทั้งเฟส",LEFT(C32,4)="ผรม.",LEFT(C32,3)="เขต"),C32,IFERROR(INDEX('Master Plan'!$L$8:$L$27,MATCH(C32,'Master Plan'!$A$8:$A$27,0)),"?")))))</f>
        <v/>
      </c>
      <c r="F32" s="60"/>
      <c r="G32" s="207"/>
      <c r="H32" s="207"/>
      <c r="I32" s="215" t="str">
        <f aca="false">IF(AND(ISNUMBER(G32),ISNUMBER(H32)),H32-G32,"")</f>
        <v/>
      </c>
      <c r="J32" s="216"/>
      <c r="K32" s="60"/>
      <c r="L32" s="60"/>
      <c r="M32" s="113"/>
      <c r="N32" s="60"/>
      <c r="O32" s="60"/>
      <c r="P32" s="131" t="str">
        <f aca="false">IF(B32="","",IF(LEFT(F32,8)="Baseline","ผู้บริหาร + กปภ.",IF(ABS(N(J32))=0,"วิศวกร / ทีม",IF(ABS(N(J32))&lt;=CR_T1,"PM",IF(ABS(N(J32))&lt;=CR_T2,"Change Board","ผู้บริหาร + กปภ.")))))</f>
        <v/>
      </c>
      <c r="Q32" s="60"/>
      <c r="R32" s="60"/>
      <c r="S32" s="207"/>
    </row>
    <row r="33" customFormat="false" ht="15" hidden="false" customHeight="false" outlineLevel="0" collapsed="false">
      <c r="A33" s="138" t="str">
        <f aca="false">IF(B33="","","CR-"&amp;TEXT(ROW()-6,"000"))</f>
        <v/>
      </c>
      <c r="B33" s="207"/>
      <c r="C33" s="60"/>
      <c r="D33" s="131" t="str">
        <f aca="false">IF(C33="","",IF(OR(C33="ทั้งเฟส",LEFT(C33,4)="ผรม.",LEFT(C33,3)="เขต"),C33,IFERROR(INDEX('Master Plan'!$B$8:$B$27,MATCH(C33,'Master Plan'!$A$8:$A$27,0)),"?")))</f>
        <v/>
      </c>
      <c r="E33" s="204" t="str">
        <f aca="false">IF(LEFT(C33,4)="ผรม.",TRIM(MID(C33,5,5)),IF(OR(C33="ทั้งเฟส",LEFT(C33,3)="เขต"),"",IF(C33="","",IF(OR(C33="ทั้งเฟส",LEFT(C33,4)="ผรม.",LEFT(C33,3)="เขต"),C33,IFERROR(INDEX('Master Plan'!$L$8:$L$27,MATCH(C33,'Master Plan'!$A$8:$A$27,0)),"?")))))</f>
        <v/>
      </c>
      <c r="F33" s="60"/>
      <c r="G33" s="207"/>
      <c r="H33" s="207"/>
      <c r="I33" s="215" t="str">
        <f aca="false">IF(AND(ISNUMBER(G33),ISNUMBER(H33)),H33-G33,"")</f>
        <v/>
      </c>
      <c r="J33" s="216"/>
      <c r="K33" s="60"/>
      <c r="L33" s="60"/>
      <c r="M33" s="113"/>
      <c r="N33" s="60"/>
      <c r="O33" s="60"/>
      <c r="P33" s="131" t="str">
        <f aca="false">IF(B33="","",IF(LEFT(F33,8)="Baseline","ผู้บริหาร + กปภ.",IF(ABS(N(J33))=0,"วิศวกร / ทีม",IF(ABS(N(J33))&lt;=CR_T1,"PM",IF(ABS(N(J33))&lt;=CR_T2,"Change Board","ผู้บริหาร + กปภ.")))))</f>
        <v/>
      </c>
      <c r="Q33" s="60"/>
      <c r="R33" s="60"/>
      <c r="S33" s="207"/>
    </row>
    <row r="34" customFormat="false" ht="15" hidden="false" customHeight="false" outlineLevel="0" collapsed="false">
      <c r="A34" s="138" t="str">
        <f aca="false">IF(B34="","","CR-"&amp;TEXT(ROW()-6,"000"))</f>
        <v/>
      </c>
      <c r="B34" s="207"/>
      <c r="C34" s="60"/>
      <c r="D34" s="131" t="str">
        <f aca="false">IF(C34="","",IF(OR(C34="ทั้งเฟส",LEFT(C34,4)="ผรม.",LEFT(C34,3)="เขต"),C34,IFERROR(INDEX('Master Plan'!$B$8:$B$27,MATCH(C34,'Master Plan'!$A$8:$A$27,0)),"?")))</f>
        <v/>
      </c>
      <c r="E34" s="204" t="str">
        <f aca="false">IF(LEFT(C34,4)="ผรม.",TRIM(MID(C34,5,5)),IF(OR(C34="ทั้งเฟส",LEFT(C34,3)="เขต"),"",IF(C34="","",IF(OR(C34="ทั้งเฟส",LEFT(C34,4)="ผรม.",LEFT(C34,3)="เขต"),C34,IFERROR(INDEX('Master Plan'!$L$8:$L$27,MATCH(C34,'Master Plan'!$A$8:$A$27,0)),"?")))))</f>
        <v/>
      </c>
      <c r="F34" s="60"/>
      <c r="G34" s="207"/>
      <c r="H34" s="207"/>
      <c r="I34" s="215" t="str">
        <f aca="false">IF(AND(ISNUMBER(G34),ISNUMBER(H34)),H34-G34,"")</f>
        <v/>
      </c>
      <c r="J34" s="216"/>
      <c r="K34" s="60"/>
      <c r="L34" s="60"/>
      <c r="M34" s="113"/>
      <c r="N34" s="60"/>
      <c r="O34" s="60"/>
      <c r="P34" s="131" t="str">
        <f aca="false">IF(B34="","",IF(LEFT(F34,8)="Baseline","ผู้บริหาร + กปภ.",IF(ABS(N(J34))=0,"วิศวกร / ทีม",IF(ABS(N(J34))&lt;=CR_T1,"PM",IF(ABS(N(J34))&lt;=CR_T2,"Change Board","ผู้บริหาร + กปภ.")))))</f>
        <v/>
      </c>
      <c r="Q34" s="60"/>
      <c r="R34" s="60"/>
      <c r="S34" s="207"/>
    </row>
    <row r="35" customFormat="false" ht="15" hidden="false" customHeight="false" outlineLevel="0" collapsed="false">
      <c r="A35" s="138" t="str">
        <f aca="false">IF(B35="","","CR-"&amp;TEXT(ROW()-6,"000"))</f>
        <v/>
      </c>
      <c r="B35" s="207"/>
      <c r="C35" s="60"/>
      <c r="D35" s="131" t="str">
        <f aca="false">IF(C35="","",IF(OR(C35="ทั้งเฟส",LEFT(C35,4)="ผรม.",LEFT(C35,3)="เขต"),C35,IFERROR(INDEX('Master Plan'!$B$8:$B$27,MATCH(C35,'Master Plan'!$A$8:$A$27,0)),"?")))</f>
        <v/>
      </c>
      <c r="E35" s="204" t="str">
        <f aca="false">IF(LEFT(C35,4)="ผรม.",TRIM(MID(C35,5,5)),IF(OR(C35="ทั้งเฟส",LEFT(C35,3)="เขต"),"",IF(C35="","",IF(OR(C35="ทั้งเฟส",LEFT(C35,4)="ผรม.",LEFT(C35,3)="เขต"),C35,IFERROR(INDEX('Master Plan'!$L$8:$L$27,MATCH(C35,'Master Plan'!$A$8:$A$27,0)),"?")))))</f>
        <v/>
      </c>
      <c r="F35" s="60"/>
      <c r="G35" s="207"/>
      <c r="H35" s="207"/>
      <c r="I35" s="215" t="str">
        <f aca="false">IF(AND(ISNUMBER(G35),ISNUMBER(H35)),H35-G35,"")</f>
        <v/>
      </c>
      <c r="J35" s="216"/>
      <c r="K35" s="60"/>
      <c r="L35" s="60"/>
      <c r="M35" s="113"/>
      <c r="N35" s="60"/>
      <c r="O35" s="60"/>
      <c r="P35" s="131" t="str">
        <f aca="false">IF(B35="","",IF(LEFT(F35,8)="Baseline","ผู้บริหาร + กปภ.",IF(ABS(N(J35))=0,"วิศวกร / ทีม",IF(ABS(N(J35))&lt;=CR_T1,"PM",IF(ABS(N(J35))&lt;=CR_T2,"Change Board","ผู้บริหาร + กปภ.")))))</f>
        <v/>
      </c>
      <c r="Q35" s="60"/>
      <c r="R35" s="60"/>
      <c r="S35" s="207"/>
    </row>
    <row r="36" customFormat="false" ht="15" hidden="false" customHeight="false" outlineLevel="0" collapsed="false">
      <c r="A36" s="138" t="str">
        <f aca="false">IF(B36="","","CR-"&amp;TEXT(ROW()-6,"000"))</f>
        <v/>
      </c>
      <c r="B36" s="207"/>
      <c r="C36" s="60"/>
      <c r="D36" s="131" t="str">
        <f aca="false">IF(C36="","",IF(OR(C36="ทั้งเฟส",LEFT(C36,4)="ผรม.",LEFT(C36,3)="เขต"),C36,IFERROR(INDEX('Master Plan'!$B$8:$B$27,MATCH(C36,'Master Plan'!$A$8:$A$27,0)),"?")))</f>
        <v/>
      </c>
      <c r="E36" s="204" t="str">
        <f aca="false">IF(LEFT(C36,4)="ผรม.",TRIM(MID(C36,5,5)),IF(OR(C36="ทั้งเฟส",LEFT(C36,3)="เขต"),"",IF(C36="","",IF(OR(C36="ทั้งเฟส",LEFT(C36,4)="ผรม.",LEFT(C36,3)="เขต"),C36,IFERROR(INDEX('Master Plan'!$L$8:$L$27,MATCH(C36,'Master Plan'!$A$8:$A$27,0)),"?")))))</f>
        <v/>
      </c>
      <c r="F36" s="60"/>
      <c r="G36" s="207"/>
      <c r="H36" s="207"/>
      <c r="I36" s="215" t="str">
        <f aca="false">IF(AND(ISNUMBER(G36),ISNUMBER(H36)),H36-G36,"")</f>
        <v/>
      </c>
      <c r="J36" s="216"/>
      <c r="K36" s="60"/>
      <c r="L36" s="60"/>
      <c r="M36" s="113"/>
      <c r="N36" s="60"/>
      <c r="O36" s="60"/>
      <c r="P36" s="131" t="str">
        <f aca="false">IF(B36="","",IF(LEFT(F36,8)="Baseline","ผู้บริหาร + กปภ.",IF(ABS(N(J36))=0,"วิศวกร / ทีม",IF(ABS(N(J36))&lt;=CR_T1,"PM",IF(ABS(N(J36))&lt;=CR_T2,"Change Board","ผู้บริหาร + กปภ.")))))</f>
        <v/>
      </c>
      <c r="Q36" s="60"/>
      <c r="R36" s="60"/>
      <c r="S36" s="207"/>
    </row>
    <row r="37" customFormat="false" ht="15" hidden="false" customHeight="false" outlineLevel="0" collapsed="false">
      <c r="A37" s="138" t="str">
        <f aca="false">IF(B37="","","CR-"&amp;TEXT(ROW()-6,"000"))</f>
        <v/>
      </c>
      <c r="B37" s="207"/>
      <c r="C37" s="60"/>
      <c r="D37" s="131" t="str">
        <f aca="false">IF(C37="","",IF(OR(C37="ทั้งเฟส",LEFT(C37,4)="ผรม.",LEFT(C37,3)="เขต"),C37,IFERROR(INDEX('Master Plan'!$B$8:$B$27,MATCH(C37,'Master Plan'!$A$8:$A$27,0)),"?")))</f>
        <v/>
      </c>
      <c r="E37" s="204" t="str">
        <f aca="false">IF(LEFT(C37,4)="ผรม.",TRIM(MID(C37,5,5)),IF(OR(C37="ทั้งเฟส",LEFT(C37,3)="เขต"),"",IF(C37="","",IF(OR(C37="ทั้งเฟส",LEFT(C37,4)="ผรม.",LEFT(C37,3)="เขต"),C37,IFERROR(INDEX('Master Plan'!$L$8:$L$27,MATCH(C37,'Master Plan'!$A$8:$A$27,0)),"?")))))</f>
        <v/>
      </c>
      <c r="F37" s="60"/>
      <c r="G37" s="207"/>
      <c r="H37" s="207"/>
      <c r="I37" s="215" t="str">
        <f aca="false">IF(AND(ISNUMBER(G37),ISNUMBER(H37)),H37-G37,"")</f>
        <v/>
      </c>
      <c r="J37" s="216"/>
      <c r="K37" s="60"/>
      <c r="L37" s="60"/>
      <c r="M37" s="113"/>
      <c r="N37" s="60"/>
      <c r="O37" s="60"/>
      <c r="P37" s="131" t="str">
        <f aca="false">IF(B37="","",IF(LEFT(F37,8)="Baseline","ผู้บริหาร + กปภ.",IF(ABS(N(J37))=0,"วิศวกร / ทีม",IF(ABS(N(J37))&lt;=CR_T1,"PM",IF(ABS(N(J37))&lt;=CR_T2,"Change Board","ผู้บริหาร + กปภ.")))))</f>
        <v/>
      </c>
      <c r="Q37" s="60"/>
      <c r="R37" s="60"/>
      <c r="S37" s="207"/>
    </row>
    <row r="38" customFormat="false" ht="15" hidden="false" customHeight="false" outlineLevel="0" collapsed="false">
      <c r="A38" s="138" t="str">
        <f aca="false">IF(B38="","","CR-"&amp;TEXT(ROW()-6,"000"))</f>
        <v/>
      </c>
      <c r="B38" s="207"/>
      <c r="C38" s="60"/>
      <c r="D38" s="131" t="str">
        <f aca="false">IF(C38="","",IF(OR(C38="ทั้งเฟส",LEFT(C38,4)="ผรม.",LEFT(C38,3)="เขต"),C38,IFERROR(INDEX('Master Plan'!$B$8:$B$27,MATCH(C38,'Master Plan'!$A$8:$A$27,0)),"?")))</f>
        <v/>
      </c>
      <c r="E38" s="204" t="str">
        <f aca="false">IF(LEFT(C38,4)="ผรม.",TRIM(MID(C38,5,5)),IF(OR(C38="ทั้งเฟส",LEFT(C38,3)="เขต"),"",IF(C38="","",IF(OR(C38="ทั้งเฟส",LEFT(C38,4)="ผรม.",LEFT(C38,3)="เขต"),C38,IFERROR(INDEX('Master Plan'!$L$8:$L$27,MATCH(C38,'Master Plan'!$A$8:$A$27,0)),"?")))))</f>
        <v/>
      </c>
      <c r="F38" s="60"/>
      <c r="G38" s="207"/>
      <c r="H38" s="207"/>
      <c r="I38" s="215" t="str">
        <f aca="false">IF(AND(ISNUMBER(G38),ISNUMBER(H38)),H38-G38,"")</f>
        <v/>
      </c>
      <c r="J38" s="216"/>
      <c r="K38" s="60"/>
      <c r="L38" s="60"/>
      <c r="M38" s="113"/>
      <c r="N38" s="60"/>
      <c r="O38" s="60"/>
      <c r="P38" s="131" t="str">
        <f aca="false">IF(B38="","",IF(LEFT(F38,8)="Baseline","ผู้บริหาร + กปภ.",IF(ABS(N(J38))=0,"วิศวกร / ทีม",IF(ABS(N(J38))&lt;=CR_T1,"PM",IF(ABS(N(J38))&lt;=CR_T2,"Change Board","ผู้บริหาร + กปภ.")))))</f>
        <v/>
      </c>
      <c r="Q38" s="60"/>
      <c r="R38" s="60"/>
      <c r="S38" s="207"/>
    </row>
    <row r="39" customFormat="false" ht="15" hidden="false" customHeight="false" outlineLevel="0" collapsed="false">
      <c r="A39" s="138" t="str">
        <f aca="false">IF(B39="","","CR-"&amp;TEXT(ROW()-6,"000"))</f>
        <v/>
      </c>
      <c r="B39" s="207"/>
      <c r="C39" s="60"/>
      <c r="D39" s="131" t="str">
        <f aca="false">IF(C39="","",IF(OR(C39="ทั้งเฟส",LEFT(C39,4)="ผรม.",LEFT(C39,3)="เขต"),C39,IFERROR(INDEX('Master Plan'!$B$8:$B$27,MATCH(C39,'Master Plan'!$A$8:$A$27,0)),"?")))</f>
        <v/>
      </c>
      <c r="E39" s="204" t="str">
        <f aca="false">IF(LEFT(C39,4)="ผรม.",TRIM(MID(C39,5,5)),IF(OR(C39="ทั้งเฟส",LEFT(C39,3)="เขต"),"",IF(C39="","",IF(OR(C39="ทั้งเฟส",LEFT(C39,4)="ผรม.",LEFT(C39,3)="เขต"),C39,IFERROR(INDEX('Master Plan'!$L$8:$L$27,MATCH(C39,'Master Plan'!$A$8:$A$27,0)),"?")))))</f>
        <v/>
      </c>
      <c r="F39" s="60"/>
      <c r="G39" s="207"/>
      <c r="H39" s="207"/>
      <c r="I39" s="215" t="str">
        <f aca="false">IF(AND(ISNUMBER(G39),ISNUMBER(H39)),H39-G39,"")</f>
        <v/>
      </c>
      <c r="J39" s="216"/>
      <c r="K39" s="60"/>
      <c r="L39" s="60"/>
      <c r="M39" s="113"/>
      <c r="N39" s="60"/>
      <c r="O39" s="60"/>
      <c r="P39" s="131" t="str">
        <f aca="false">IF(B39="","",IF(LEFT(F39,8)="Baseline","ผู้บริหาร + กปภ.",IF(ABS(N(J39))=0,"วิศวกร / ทีม",IF(ABS(N(J39))&lt;=CR_T1,"PM",IF(ABS(N(J39))&lt;=CR_T2,"Change Board","ผู้บริหาร + กปภ.")))))</f>
        <v/>
      </c>
      <c r="Q39" s="60"/>
      <c r="R39" s="60"/>
      <c r="S39" s="207"/>
    </row>
    <row r="40" customFormat="false" ht="15" hidden="false" customHeight="false" outlineLevel="0" collapsed="false">
      <c r="A40" s="138" t="str">
        <f aca="false">IF(B40="","","CR-"&amp;TEXT(ROW()-6,"000"))</f>
        <v/>
      </c>
      <c r="B40" s="207"/>
      <c r="C40" s="60"/>
      <c r="D40" s="131" t="str">
        <f aca="false">IF(C40="","",IF(OR(C40="ทั้งเฟส",LEFT(C40,4)="ผรม.",LEFT(C40,3)="เขต"),C40,IFERROR(INDEX('Master Plan'!$B$8:$B$27,MATCH(C40,'Master Plan'!$A$8:$A$27,0)),"?")))</f>
        <v/>
      </c>
      <c r="E40" s="204" t="str">
        <f aca="false">IF(LEFT(C40,4)="ผรม.",TRIM(MID(C40,5,5)),IF(OR(C40="ทั้งเฟส",LEFT(C40,3)="เขต"),"",IF(C40="","",IF(OR(C40="ทั้งเฟส",LEFT(C40,4)="ผรม.",LEFT(C40,3)="เขต"),C40,IFERROR(INDEX('Master Plan'!$L$8:$L$27,MATCH(C40,'Master Plan'!$A$8:$A$27,0)),"?")))))</f>
        <v/>
      </c>
      <c r="F40" s="60"/>
      <c r="G40" s="207"/>
      <c r="H40" s="207"/>
      <c r="I40" s="215" t="str">
        <f aca="false">IF(AND(ISNUMBER(G40),ISNUMBER(H40)),H40-G40,"")</f>
        <v/>
      </c>
      <c r="J40" s="216"/>
      <c r="K40" s="60"/>
      <c r="L40" s="60"/>
      <c r="M40" s="113"/>
      <c r="N40" s="60"/>
      <c r="O40" s="60"/>
      <c r="P40" s="131" t="str">
        <f aca="false">IF(B40="","",IF(LEFT(F40,8)="Baseline","ผู้บริหาร + กปภ.",IF(ABS(N(J40))=0,"วิศวกร / ทีม",IF(ABS(N(J40))&lt;=CR_T1,"PM",IF(ABS(N(J40))&lt;=CR_T2,"Change Board","ผู้บริหาร + กปภ.")))))</f>
        <v/>
      </c>
      <c r="Q40" s="60"/>
      <c r="R40" s="60"/>
      <c r="S40" s="207"/>
    </row>
    <row r="41" customFormat="false" ht="15" hidden="false" customHeight="false" outlineLevel="0" collapsed="false">
      <c r="A41" s="138" t="str">
        <f aca="false">IF(B41="","","CR-"&amp;TEXT(ROW()-6,"000"))</f>
        <v/>
      </c>
      <c r="B41" s="207"/>
      <c r="C41" s="60"/>
      <c r="D41" s="131" t="str">
        <f aca="false">IF(C41="","",IF(OR(C41="ทั้งเฟส",LEFT(C41,4)="ผรม.",LEFT(C41,3)="เขต"),C41,IFERROR(INDEX('Master Plan'!$B$8:$B$27,MATCH(C41,'Master Plan'!$A$8:$A$27,0)),"?")))</f>
        <v/>
      </c>
      <c r="E41" s="204" t="str">
        <f aca="false">IF(LEFT(C41,4)="ผรม.",TRIM(MID(C41,5,5)),IF(OR(C41="ทั้งเฟส",LEFT(C41,3)="เขต"),"",IF(C41="","",IF(OR(C41="ทั้งเฟส",LEFT(C41,4)="ผรม.",LEFT(C41,3)="เขต"),C41,IFERROR(INDEX('Master Plan'!$L$8:$L$27,MATCH(C41,'Master Plan'!$A$8:$A$27,0)),"?")))))</f>
        <v/>
      </c>
      <c r="F41" s="60"/>
      <c r="G41" s="207"/>
      <c r="H41" s="207"/>
      <c r="I41" s="215" t="str">
        <f aca="false">IF(AND(ISNUMBER(G41),ISNUMBER(H41)),H41-G41,"")</f>
        <v/>
      </c>
      <c r="J41" s="216"/>
      <c r="K41" s="60"/>
      <c r="L41" s="60"/>
      <c r="M41" s="113"/>
      <c r="N41" s="60"/>
      <c r="O41" s="60"/>
      <c r="P41" s="131" t="str">
        <f aca="false">IF(B41="","",IF(LEFT(F41,8)="Baseline","ผู้บริหาร + กปภ.",IF(ABS(N(J41))=0,"วิศวกร / ทีม",IF(ABS(N(J41))&lt;=CR_T1,"PM",IF(ABS(N(J41))&lt;=CR_T2,"Change Board","ผู้บริหาร + กปภ.")))))</f>
        <v/>
      </c>
      <c r="Q41" s="60"/>
      <c r="R41" s="60"/>
      <c r="S41" s="207"/>
    </row>
    <row r="42" customFormat="false" ht="15" hidden="false" customHeight="false" outlineLevel="0" collapsed="false">
      <c r="A42" s="138" t="str">
        <f aca="false">IF(B42="","","CR-"&amp;TEXT(ROW()-6,"000"))</f>
        <v/>
      </c>
      <c r="B42" s="207"/>
      <c r="C42" s="60"/>
      <c r="D42" s="131" t="str">
        <f aca="false">IF(C42="","",IF(OR(C42="ทั้งเฟส",LEFT(C42,4)="ผรม.",LEFT(C42,3)="เขต"),C42,IFERROR(INDEX('Master Plan'!$B$8:$B$27,MATCH(C42,'Master Plan'!$A$8:$A$27,0)),"?")))</f>
        <v/>
      </c>
      <c r="E42" s="204" t="str">
        <f aca="false">IF(LEFT(C42,4)="ผรม.",TRIM(MID(C42,5,5)),IF(OR(C42="ทั้งเฟส",LEFT(C42,3)="เขต"),"",IF(C42="","",IF(OR(C42="ทั้งเฟส",LEFT(C42,4)="ผรม.",LEFT(C42,3)="เขต"),C42,IFERROR(INDEX('Master Plan'!$L$8:$L$27,MATCH(C42,'Master Plan'!$A$8:$A$27,0)),"?")))))</f>
        <v/>
      </c>
      <c r="F42" s="60"/>
      <c r="G42" s="207"/>
      <c r="H42" s="207"/>
      <c r="I42" s="215" t="str">
        <f aca="false">IF(AND(ISNUMBER(G42),ISNUMBER(H42)),H42-G42,"")</f>
        <v/>
      </c>
      <c r="J42" s="216"/>
      <c r="K42" s="60"/>
      <c r="L42" s="60"/>
      <c r="M42" s="113"/>
      <c r="N42" s="60"/>
      <c r="O42" s="60"/>
      <c r="P42" s="131" t="str">
        <f aca="false">IF(B42="","",IF(LEFT(F42,8)="Baseline","ผู้บริหาร + กปภ.",IF(ABS(N(J42))=0,"วิศวกร / ทีม",IF(ABS(N(J42))&lt;=CR_T1,"PM",IF(ABS(N(J42))&lt;=CR_T2,"Change Board","ผู้บริหาร + กปภ.")))))</f>
        <v/>
      </c>
      <c r="Q42" s="60"/>
      <c r="R42" s="60"/>
      <c r="S42" s="207"/>
    </row>
    <row r="43" customFormat="false" ht="15" hidden="false" customHeight="false" outlineLevel="0" collapsed="false">
      <c r="A43" s="138" t="str">
        <f aca="false">IF(B43="","","CR-"&amp;TEXT(ROW()-6,"000"))</f>
        <v/>
      </c>
      <c r="B43" s="207"/>
      <c r="C43" s="60"/>
      <c r="D43" s="131" t="str">
        <f aca="false">IF(C43="","",IF(OR(C43="ทั้งเฟส",LEFT(C43,4)="ผรม.",LEFT(C43,3)="เขต"),C43,IFERROR(INDEX('Master Plan'!$B$8:$B$27,MATCH(C43,'Master Plan'!$A$8:$A$27,0)),"?")))</f>
        <v/>
      </c>
      <c r="E43" s="204" t="str">
        <f aca="false">IF(LEFT(C43,4)="ผรม.",TRIM(MID(C43,5,5)),IF(OR(C43="ทั้งเฟส",LEFT(C43,3)="เขต"),"",IF(C43="","",IF(OR(C43="ทั้งเฟส",LEFT(C43,4)="ผรม.",LEFT(C43,3)="เขต"),C43,IFERROR(INDEX('Master Plan'!$L$8:$L$27,MATCH(C43,'Master Plan'!$A$8:$A$27,0)),"?")))))</f>
        <v/>
      </c>
      <c r="F43" s="60"/>
      <c r="G43" s="207"/>
      <c r="H43" s="207"/>
      <c r="I43" s="215" t="str">
        <f aca="false">IF(AND(ISNUMBER(G43),ISNUMBER(H43)),H43-G43,"")</f>
        <v/>
      </c>
      <c r="J43" s="216"/>
      <c r="K43" s="60"/>
      <c r="L43" s="60"/>
      <c r="M43" s="113"/>
      <c r="N43" s="60"/>
      <c r="O43" s="60"/>
      <c r="P43" s="131" t="str">
        <f aca="false">IF(B43="","",IF(LEFT(F43,8)="Baseline","ผู้บริหาร + กปภ.",IF(ABS(N(J43))=0,"วิศวกร / ทีม",IF(ABS(N(J43))&lt;=CR_T1,"PM",IF(ABS(N(J43))&lt;=CR_T2,"Change Board","ผู้บริหาร + กปภ.")))))</f>
        <v/>
      </c>
      <c r="Q43" s="60"/>
      <c r="R43" s="60"/>
      <c r="S43" s="207"/>
    </row>
    <row r="44" customFormat="false" ht="15" hidden="false" customHeight="false" outlineLevel="0" collapsed="false">
      <c r="A44" s="138" t="str">
        <f aca="false">IF(B44="","","CR-"&amp;TEXT(ROW()-6,"000"))</f>
        <v/>
      </c>
      <c r="B44" s="207"/>
      <c r="C44" s="60"/>
      <c r="D44" s="131" t="str">
        <f aca="false">IF(C44="","",IF(OR(C44="ทั้งเฟส",LEFT(C44,4)="ผรม.",LEFT(C44,3)="เขต"),C44,IFERROR(INDEX('Master Plan'!$B$8:$B$27,MATCH(C44,'Master Plan'!$A$8:$A$27,0)),"?")))</f>
        <v/>
      </c>
      <c r="E44" s="204" t="str">
        <f aca="false">IF(LEFT(C44,4)="ผรม.",TRIM(MID(C44,5,5)),IF(OR(C44="ทั้งเฟส",LEFT(C44,3)="เขต"),"",IF(C44="","",IF(OR(C44="ทั้งเฟส",LEFT(C44,4)="ผรม.",LEFT(C44,3)="เขต"),C44,IFERROR(INDEX('Master Plan'!$L$8:$L$27,MATCH(C44,'Master Plan'!$A$8:$A$27,0)),"?")))))</f>
        <v/>
      </c>
      <c r="F44" s="60"/>
      <c r="G44" s="207"/>
      <c r="H44" s="207"/>
      <c r="I44" s="215" t="str">
        <f aca="false">IF(AND(ISNUMBER(G44),ISNUMBER(H44)),H44-G44,"")</f>
        <v/>
      </c>
      <c r="J44" s="216"/>
      <c r="K44" s="60"/>
      <c r="L44" s="60"/>
      <c r="M44" s="113"/>
      <c r="N44" s="60"/>
      <c r="O44" s="60"/>
      <c r="P44" s="131" t="str">
        <f aca="false">IF(B44="","",IF(LEFT(F44,8)="Baseline","ผู้บริหาร + กปภ.",IF(ABS(N(J44))=0,"วิศวกร / ทีม",IF(ABS(N(J44))&lt;=CR_T1,"PM",IF(ABS(N(J44))&lt;=CR_T2,"Change Board","ผู้บริหาร + กปภ.")))))</f>
        <v/>
      </c>
      <c r="Q44" s="60"/>
      <c r="R44" s="60"/>
      <c r="S44" s="207"/>
    </row>
    <row r="45" customFormat="false" ht="15" hidden="false" customHeight="false" outlineLevel="0" collapsed="false">
      <c r="A45" s="138" t="str">
        <f aca="false">IF(B45="","","CR-"&amp;TEXT(ROW()-6,"000"))</f>
        <v/>
      </c>
      <c r="B45" s="207"/>
      <c r="C45" s="60"/>
      <c r="D45" s="131" t="str">
        <f aca="false">IF(C45="","",IF(OR(C45="ทั้งเฟส",LEFT(C45,4)="ผรม.",LEFT(C45,3)="เขต"),C45,IFERROR(INDEX('Master Plan'!$B$8:$B$27,MATCH(C45,'Master Plan'!$A$8:$A$27,0)),"?")))</f>
        <v/>
      </c>
      <c r="E45" s="204" t="str">
        <f aca="false">IF(LEFT(C45,4)="ผรม.",TRIM(MID(C45,5,5)),IF(OR(C45="ทั้งเฟส",LEFT(C45,3)="เขต"),"",IF(C45="","",IF(OR(C45="ทั้งเฟส",LEFT(C45,4)="ผรม.",LEFT(C45,3)="เขต"),C45,IFERROR(INDEX('Master Plan'!$L$8:$L$27,MATCH(C45,'Master Plan'!$A$8:$A$27,0)),"?")))))</f>
        <v/>
      </c>
      <c r="F45" s="60"/>
      <c r="G45" s="207"/>
      <c r="H45" s="207"/>
      <c r="I45" s="215" t="str">
        <f aca="false">IF(AND(ISNUMBER(G45),ISNUMBER(H45)),H45-G45,"")</f>
        <v/>
      </c>
      <c r="J45" s="216"/>
      <c r="K45" s="60"/>
      <c r="L45" s="60"/>
      <c r="M45" s="113"/>
      <c r="N45" s="60"/>
      <c r="O45" s="60"/>
      <c r="P45" s="131" t="str">
        <f aca="false">IF(B45="","",IF(LEFT(F45,8)="Baseline","ผู้บริหาร + กปภ.",IF(ABS(N(J45))=0,"วิศวกร / ทีม",IF(ABS(N(J45))&lt;=CR_T1,"PM",IF(ABS(N(J45))&lt;=CR_T2,"Change Board","ผู้บริหาร + กปภ.")))))</f>
        <v/>
      </c>
      <c r="Q45" s="60"/>
      <c r="R45" s="60"/>
      <c r="S45" s="207"/>
    </row>
    <row r="46" customFormat="false" ht="15" hidden="false" customHeight="false" outlineLevel="0" collapsed="false">
      <c r="A46" s="138" t="str">
        <f aca="false">IF(B46="","","CR-"&amp;TEXT(ROW()-6,"000"))</f>
        <v/>
      </c>
      <c r="B46" s="207"/>
      <c r="C46" s="60"/>
      <c r="D46" s="131" t="str">
        <f aca="false">IF(C46="","",IF(OR(C46="ทั้งเฟส",LEFT(C46,4)="ผรม.",LEFT(C46,3)="เขต"),C46,IFERROR(INDEX('Master Plan'!$B$8:$B$27,MATCH(C46,'Master Plan'!$A$8:$A$27,0)),"?")))</f>
        <v/>
      </c>
      <c r="E46" s="204" t="str">
        <f aca="false">IF(LEFT(C46,4)="ผรม.",TRIM(MID(C46,5,5)),IF(OR(C46="ทั้งเฟส",LEFT(C46,3)="เขต"),"",IF(C46="","",IF(OR(C46="ทั้งเฟส",LEFT(C46,4)="ผรม.",LEFT(C46,3)="เขต"),C46,IFERROR(INDEX('Master Plan'!$L$8:$L$27,MATCH(C46,'Master Plan'!$A$8:$A$27,0)),"?")))))</f>
        <v/>
      </c>
      <c r="F46" s="60"/>
      <c r="G46" s="207"/>
      <c r="H46" s="207"/>
      <c r="I46" s="215" t="str">
        <f aca="false">IF(AND(ISNUMBER(G46),ISNUMBER(H46)),H46-G46,"")</f>
        <v/>
      </c>
      <c r="J46" s="216"/>
      <c r="K46" s="60"/>
      <c r="L46" s="60"/>
      <c r="M46" s="113"/>
      <c r="N46" s="60"/>
      <c r="O46" s="60"/>
      <c r="P46" s="131" t="str">
        <f aca="false">IF(B46="","",IF(LEFT(F46,8)="Baseline","ผู้บริหาร + กปภ.",IF(ABS(N(J46))=0,"วิศวกร / ทีม",IF(ABS(N(J46))&lt;=CR_T1,"PM",IF(ABS(N(J46))&lt;=CR_T2,"Change Board","ผู้บริหาร + กปภ.")))))</f>
        <v/>
      </c>
      <c r="Q46" s="60"/>
      <c r="R46" s="60"/>
      <c r="S46" s="207"/>
    </row>
    <row r="47" customFormat="false" ht="15" hidden="false" customHeight="false" outlineLevel="0" collapsed="false">
      <c r="A47" s="138" t="str">
        <f aca="false">IF(B47="","","CR-"&amp;TEXT(ROW()-6,"000"))</f>
        <v/>
      </c>
      <c r="B47" s="207"/>
      <c r="C47" s="60"/>
      <c r="D47" s="131" t="str">
        <f aca="false">IF(C47="","",IF(OR(C47="ทั้งเฟส",LEFT(C47,4)="ผรม.",LEFT(C47,3)="เขต"),C47,IFERROR(INDEX('Master Plan'!$B$8:$B$27,MATCH(C47,'Master Plan'!$A$8:$A$27,0)),"?")))</f>
        <v/>
      </c>
      <c r="E47" s="204" t="str">
        <f aca="false">IF(LEFT(C47,4)="ผรม.",TRIM(MID(C47,5,5)),IF(OR(C47="ทั้งเฟส",LEFT(C47,3)="เขต"),"",IF(C47="","",IF(OR(C47="ทั้งเฟส",LEFT(C47,4)="ผรม.",LEFT(C47,3)="เขต"),C47,IFERROR(INDEX('Master Plan'!$L$8:$L$27,MATCH(C47,'Master Plan'!$A$8:$A$27,0)),"?")))))</f>
        <v/>
      </c>
      <c r="F47" s="60"/>
      <c r="G47" s="207"/>
      <c r="H47" s="207"/>
      <c r="I47" s="215" t="str">
        <f aca="false">IF(AND(ISNUMBER(G47),ISNUMBER(H47)),H47-G47,"")</f>
        <v/>
      </c>
      <c r="J47" s="216"/>
      <c r="K47" s="60"/>
      <c r="L47" s="60"/>
      <c r="M47" s="113"/>
      <c r="N47" s="60"/>
      <c r="O47" s="60"/>
      <c r="P47" s="131" t="str">
        <f aca="false">IF(B47="","",IF(LEFT(F47,8)="Baseline","ผู้บริหาร + กปภ.",IF(ABS(N(J47))=0,"วิศวกร / ทีม",IF(ABS(N(J47))&lt;=CR_T1,"PM",IF(ABS(N(J47))&lt;=CR_T2,"Change Board","ผู้บริหาร + กปภ.")))))</f>
        <v/>
      </c>
      <c r="Q47" s="60"/>
      <c r="R47" s="60"/>
      <c r="S47" s="207"/>
    </row>
    <row r="48" customFormat="false" ht="15" hidden="false" customHeight="false" outlineLevel="0" collapsed="false">
      <c r="A48" s="138" t="str">
        <f aca="false">IF(B48="","","CR-"&amp;TEXT(ROW()-6,"000"))</f>
        <v/>
      </c>
      <c r="B48" s="207"/>
      <c r="C48" s="60"/>
      <c r="D48" s="131" t="str">
        <f aca="false">IF(C48="","",IF(OR(C48="ทั้งเฟส",LEFT(C48,4)="ผรม.",LEFT(C48,3)="เขต"),C48,IFERROR(INDEX('Master Plan'!$B$8:$B$27,MATCH(C48,'Master Plan'!$A$8:$A$27,0)),"?")))</f>
        <v/>
      </c>
      <c r="E48" s="204" t="str">
        <f aca="false">IF(LEFT(C48,4)="ผรม.",TRIM(MID(C48,5,5)),IF(OR(C48="ทั้งเฟส",LEFT(C48,3)="เขต"),"",IF(C48="","",IF(OR(C48="ทั้งเฟส",LEFT(C48,4)="ผรม.",LEFT(C48,3)="เขต"),C48,IFERROR(INDEX('Master Plan'!$L$8:$L$27,MATCH(C48,'Master Plan'!$A$8:$A$27,0)),"?")))))</f>
        <v/>
      </c>
      <c r="F48" s="60"/>
      <c r="G48" s="207"/>
      <c r="H48" s="207"/>
      <c r="I48" s="215" t="str">
        <f aca="false">IF(AND(ISNUMBER(G48),ISNUMBER(H48)),H48-G48,"")</f>
        <v/>
      </c>
      <c r="J48" s="216"/>
      <c r="K48" s="60"/>
      <c r="L48" s="60"/>
      <c r="M48" s="113"/>
      <c r="N48" s="60"/>
      <c r="O48" s="60"/>
      <c r="P48" s="131" t="str">
        <f aca="false">IF(B48="","",IF(LEFT(F48,8)="Baseline","ผู้บริหาร + กปภ.",IF(ABS(N(J48))=0,"วิศวกร / ทีม",IF(ABS(N(J48))&lt;=CR_T1,"PM",IF(ABS(N(J48))&lt;=CR_T2,"Change Board","ผู้บริหาร + กปภ.")))))</f>
        <v/>
      </c>
      <c r="Q48" s="60"/>
      <c r="R48" s="60"/>
      <c r="S48" s="207"/>
    </row>
    <row r="49" customFormat="false" ht="15" hidden="false" customHeight="false" outlineLevel="0" collapsed="false">
      <c r="A49" s="138" t="str">
        <f aca="false">IF(B49="","","CR-"&amp;TEXT(ROW()-6,"000"))</f>
        <v/>
      </c>
      <c r="B49" s="207"/>
      <c r="C49" s="60"/>
      <c r="D49" s="131" t="str">
        <f aca="false">IF(C49="","",IF(OR(C49="ทั้งเฟส",LEFT(C49,4)="ผรม.",LEFT(C49,3)="เขต"),C49,IFERROR(INDEX('Master Plan'!$B$8:$B$27,MATCH(C49,'Master Plan'!$A$8:$A$27,0)),"?")))</f>
        <v/>
      </c>
      <c r="E49" s="204" t="str">
        <f aca="false">IF(LEFT(C49,4)="ผรม.",TRIM(MID(C49,5,5)),IF(OR(C49="ทั้งเฟส",LEFT(C49,3)="เขต"),"",IF(C49="","",IF(OR(C49="ทั้งเฟส",LEFT(C49,4)="ผรม.",LEFT(C49,3)="เขต"),C49,IFERROR(INDEX('Master Plan'!$L$8:$L$27,MATCH(C49,'Master Plan'!$A$8:$A$27,0)),"?")))))</f>
        <v/>
      </c>
      <c r="F49" s="60"/>
      <c r="G49" s="207"/>
      <c r="H49" s="207"/>
      <c r="I49" s="215" t="str">
        <f aca="false">IF(AND(ISNUMBER(G49),ISNUMBER(H49)),H49-G49,"")</f>
        <v/>
      </c>
      <c r="J49" s="216"/>
      <c r="K49" s="60"/>
      <c r="L49" s="60"/>
      <c r="M49" s="113"/>
      <c r="N49" s="60"/>
      <c r="O49" s="60"/>
      <c r="P49" s="131" t="str">
        <f aca="false">IF(B49="","",IF(LEFT(F49,8)="Baseline","ผู้บริหาร + กปภ.",IF(ABS(N(J49))=0,"วิศวกร / ทีม",IF(ABS(N(J49))&lt;=CR_T1,"PM",IF(ABS(N(J49))&lt;=CR_T2,"Change Board","ผู้บริหาร + กปภ.")))))</f>
        <v/>
      </c>
      <c r="Q49" s="60"/>
      <c r="R49" s="60"/>
      <c r="S49" s="207"/>
    </row>
    <row r="50" customFormat="false" ht="15" hidden="false" customHeight="false" outlineLevel="0" collapsed="false">
      <c r="A50" s="138" t="str">
        <f aca="false">IF(B50="","","CR-"&amp;TEXT(ROW()-6,"000"))</f>
        <v/>
      </c>
      <c r="B50" s="207"/>
      <c r="C50" s="60"/>
      <c r="D50" s="131" t="str">
        <f aca="false">IF(C50="","",IF(OR(C50="ทั้งเฟส",LEFT(C50,4)="ผรม.",LEFT(C50,3)="เขต"),C50,IFERROR(INDEX('Master Plan'!$B$8:$B$27,MATCH(C50,'Master Plan'!$A$8:$A$27,0)),"?")))</f>
        <v/>
      </c>
      <c r="E50" s="204" t="str">
        <f aca="false">IF(LEFT(C50,4)="ผรม.",TRIM(MID(C50,5,5)),IF(OR(C50="ทั้งเฟส",LEFT(C50,3)="เขต"),"",IF(C50="","",IF(OR(C50="ทั้งเฟส",LEFT(C50,4)="ผรม.",LEFT(C50,3)="เขต"),C50,IFERROR(INDEX('Master Plan'!$L$8:$L$27,MATCH(C50,'Master Plan'!$A$8:$A$27,0)),"?")))))</f>
        <v/>
      </c>
      <c r="F50" s="60"/>
      <c r="G50" s="207"/>
      <c r="H50" s="207"/>
      <c r="I50" s="215" t="str">
        <f aca="false">IF(AND(ISNUMBER(G50),ISNUMBER(H50)),H50-G50,"")</f>
        <v/>
      </c>
      <c r="J50" s="216"/>
      <c r="K50" s="60"/>
      <c r="L50" s="60"/>
      <c r="M50" s="113"/>
      <c r="N50" s="60"/>
      <c r="O50" s="60"/>
      <c r="P50" s="131" t="str">
        <f aca="false">IF(B50="","",IF(LEFT(F50,8)="Baseline","ผู้บริหาร + กปภ.",IF(ABS(N(J50))=0,"วิศวกร / ทีม",IF(ABS(N(J50))&lt;=CR_T1,"PM",IF(ABS(N(J50))&lt;=CR_T2,"Change Board","ผู้บริหาร + กปภ.")))))</f>
        <v/>
      </c>
      <c r="Q50" s="60"/>
      <c r="R50" s="60"/>
      <c r="S50" s="207"/>
    </row>
    <row r="51" customFormat="false" ht="15" hidden="false" customHeight="false" outlineLevel="0" collapsed="false">
      <c r="A51" s="138" t="str">
        <f aca="false">IF(B51="","","CR-"&amp;TEXT(ROW()-6,"000"))</f>
        <v/>
      </c>
      <c r="B51" s="207"/>
      <c r="C51" s="60"/>
      <c r="D51" s="131" t="str">
        <f aca="false">IF(C51="","",IF(OR(C51="ทั้งเฟส",LEFT(C51,4)="ผรม.",LEFT(C51,3)="เขต"),C51,IFERROR(INDEX('Master Plan'!$B$8:$B$27,MATCH(C51,'Master Plan'!$A$8:$A$27,0)),"?")))</f>
        <v/>
      </c>
      <c r="E51" s="204" t="str">
        <f aca="false">IF(LEFT(C51,4)="ผรม.",TRIM(MID(C51,5,5)),IF(OR(C51="ทั้งเฟส",LEFT(C51,3)="เขต"),"",IF(C51="","",IF(OR(C51="ทั้งเฟส",LEFT(C51,4)="ผรม.",LEFT(C51,3)="เขต"),C51,IFERROR(INDEX('Master Plan'!$L$8:$L$27,MATCH(C51,'Master Plan'!$A$8:$A$27,0)),"?")))))</f>
        <v/>
      </c>
      <c r="F51" s="60"/>
      <c r="G51" s="207"/>
      <c r="H51" s="207"/>
      <c r="I51" s="215" t="str">
        <f aca="false">IF(AND(ISNUMBER(G51),ISNUMBER(H51)),H51-G51,"")</f>
        <v/>
      </c>
      <c r="J51" s="216"/>
      <c r="K51" s="60"/>
      <c r="L51" s="60"/>
      <c r="M51" s="113"/>
      <c r="N51" s="60"/>
      <c r="O51" s="60"/>
      <c r="P51" s="131" t="str">
        <f aca="false">IF(B51="","",IF(LEFT(F51,8)="Baseline","ผู้บริหาร + กปภ.",IF(ABS(N(J51))=0,"วิศวกร / ทีม",IF(ABS(N(J51))&lt;=CR_T1,"PM",IF(ABS(N(J51))&lt;=CR_T2,"Change Board","ผู้บริหาร + กปภ.")))))</f>
        <v/>
      </c>
      <c r="Q51" s="60"/>
      <c r="R51" s="60"/>
      <c r="S51" s="207"/>
    </row>
    <row r="52" customFormat="false" ht="15" hidden="false" customHeight="false" outlineLevel="0" collapsed="false">
      <c r="A52" s="138" t="str">
        <f aca="false">IF(B52="","","CR-"&amp;TEXT(ROW()-6,"000"))</f>
        <v/>
      </c>
      <c r="B52" s="207"/>
      <c r="C52" s="60"/>
      <c r="D52" s="131" t="str">
        <f aca="false">IF(C52="","",IF(OR(C52="ทั้งเฟส",LEFT(C52,4)="ผรม.",LEFT(C52,3)="เขต"),C52,IFERROR(INDEX('Master Plan'!$B$8:$B$27,MATCH(C52,'Master Plan'!$A$8:$A$27,0)),"?")))</f>
        <v/>
      </c>
      <c r="E52" s="204" t="str">
        <f aca="false">IF(LEFT(C52,4)="ผรม.",TRIM(MID(C52,5,5)),IF(OR(C52="ทั้งเฟส",LEFT(C52,3)="เขต"),"",IF(C52="","",IF(OR(C52="ทั้งเฟส",LEFT(C52,4)="ผรม.",LEFT(C52,3)="เขต"),C52,IFERROR(INDEX('Master Plan'!$L$8:$L$27,MATCH(C52,'Master Plan'!$A$8:$A$27,0)),"?")))))</f>
        <v/>
      </c>
      <c r="F52" s="60"/>
      <c r="G52" s="207"/>
      <c r="H52" s="207"/>
      <c r="I52" s="215" t="str">
        <f aca="false">IF(AND(ISNUMBER(G52),ISNUMBER(H52)),H52-G52,"")</f>
        <v/>
      </c>
      <c r="J52" s="216"/>
      <c r="K52" s="60"/>
      <c r="L52" s="60"/>
      <c r="M52" s="113"/>
      <c r="N52" s="60"/>
      <c r="O52" s="60"/>
      <c r="P52" s="131" t="str">
        <f aca="false">IF(B52="","",IF(LEFT(F52,8)="Baseline","ผู้บริหาร + กปภ.",IF(ABS(N(J52))=0,"วิศวกร / ทีม",IF(ABS(N(J52))&lt;=CR_T1,"PM",IF(ABS(N(J52))&lt;=CR_T2,"Change Board","ผู้บริหาร + กปภ.")))))</f>
        <v/>
      </c>
      <c r="Q52" s="60"/>
      <c r="R52" s="60"/>
      <c r="S52" s="207"/>
    </row>
    <row r="53" customFormat="false" ht="15" hidden="false" customHeight="false" outlineLevel="0" collapsed="false">
      <c r="A53" s="138" t="str">
        <f aca="false">IF(B53="","","CR-"&amp;TEXT(ROW()-6,"000"))</f>
        <v/>
      </c>
      <c r="B53" s="207"/>
      <c r="C53" s="60"/>
      <c r="D53" s="131" t="str">
        <f aca="false">IF(C53="","",IF(OR(C53="ทั้งเฟส",LEFT(C53,4)="ผรม.",LEFT(C53,3)="เขต"),C53,IFERROR(INDEX('Master Plan'!$B$8:$B$27,MATCH(C53,'Master Plan'!$A$8:$A$27,0)),"?")))</f>
        <v/>
      </c>
      <c r="E53" s="204" t="str">
        <f aca="false">IF(LEFT(C53,4)="ผรม.",TRIM(MID(C53,5,5)),IF(OR(C53="ทั้งเฟส",LEFT(C53,3)="เขต"),"",IF(C53="","",IF(OR(C53="ทั้งเฟส",LEFT(C53,4)="ผรม.",LEFT(C53,3)="เขต"),C53,IFERROR(INDEX('Master Plan'!$L$8:$L$27,MATCH(C53,'Master Plan'!$A$8:$A$27,0)),"?")))))</f>
        <v/>
      </c>
      <c r="F53" s="60"/>
      <c r="G53" s="207"/>
      <c r="H53" s="207"/>
      <c r="I53" s="215" t="str">
        <f aca="false">IF(AND(ISNUMBER(G53),ISNUMBER(H53)),H53-G53,"")</f>
        <v/>
      </c>
      <c r="J53" s="216"/>
      <c r="K53" s="60"/>
      <c r="L53" s="60"/>
      <c r="M53" s="113"/>
      <c r="N53" s="60"/>
      <c r="O53" s="60"/>
      <c r="P53" s="131" t="str">
        <f aca="false">IF(B53="","",IF(LEFT(F53,8)="Baseline","ผู้บริหาร + กปภ.",IF(ABS(N(J53))=0,"วิศวกร / ทีม",IF(ABS(N(J53))&lt;=CR_T1,"PM",IF(ABS(N(J53))&lt;=CR_T2,"Change Board","ผู้บริหาร + กปภ.")))))</f>
        <v/>
      </c>
      <c r="Q53" s="60"/>
      <c r="R53" s="60"/>
      <c r="S53" s="207"/>
    </row>
    <row r="54" customFormat="false" ht="15" hidden="false" customHeight="false" outlineLevel="0" collapsed="false">
      <c r="A54" s="138" t="str">
        <f aca="false">IF(B54="","","CR-"&amp;TEXT(ROW()-6,"000"))</f>
        <v/>
      </c>
      <c r="B54" s="207"/>
      <c r="C54" s="60"/>
      <c r="D54" s="131" t="str">
        <f aca="false">IF(C54="","",IF(OR(C54="ทั้งเฟส",LEFT(C54,4)="ผรม.",LEFT(C54,3)="เขต"),C54,IFERROR(INDEX('Master Plan'!$B$8:$B$27,MATCH(C54,'Master Plan'!$A$8:$A$27,0)),"?")))</f>
        <v/>
      </c>
      <c r="E54" s="204" t="str">
        <f aca="false">IF(LEFT(C54,4)="ผรม.",TRIM(MID(C54,5,5)),IF(OR(C54="ทั้งเฟส",LEFT(C54,3)="เขต"),"",IF(C54="","",IF(OR(C54="ทั้งเฟส",LEFT(C54,4)="ผรม.",LEFT(C54,3)="เขต"),C54,IFERROR(INDEX('Master Plan'!$L$8:$L$27,MATCH(C54,'Master Plan'!$A$8:$A$27,0)),"?")))))</f>
        <v/>
      </c>
      <c r="F54" s="60"/>
      <c r="G54" s="207"/>
      <c r="H54" s="207"/>
      <c r="I54" s="215" t="str">
        <f aca="false">IF(AND(ISNUMBER(G54),ISNUMBER(H54)),H54-G54,"")</f>
        <v/>
      </c>
      <c r="J54" s="216"/>
      <c r="K54" s="60"/>
      <c r="L54" s="60"/>
      <c r="M54" s="113"/>
      <c r="N54" s="60"/>
      <c r="O54" s="60"/>
      <c r="P54" s="131" t="str">
        <f aca="false">IF(B54="","",IF(LEFT(F54,8)="Baseline","ผู้บริหาร + กปภ.",IF(ABS(N(J54))=0,"วิศวกร / ทีม",IF(ABS(N(J54))&lt;=CR_T1,"PM",IF(ABS(N(J54))&lt;=CR_T2,"Change Board","ผู้บริหาร + กปภ.")))))</f>
        <v/>
      </c>
      <c r="Q54" s="60"/>
      <c r="R54" s="60"/>
      <c r="S54" s="207"/>
    </row>
    <row r="55" customFormat="false" ht="15" hidden="false" customHeight="false" outlineLevel="0" collapsed="false">
      <c r="A55" s="138" t="str">
        <f aca="false">IF(B55="","","CR-"&amp;TEXT(ROW()-6,"000"))</f>
        <v/>
      </c>
      <c r="B55" s="207"/>
      <c r="C55" s="60"/>
      <c r="D55" s="131" t="str">
        <f aca="false">IF(C55="","",IF(OR(C55="ทั้งเฟส",LEFT(C55,4)="ผรม.",LEFT(C55,3)="เขต"),C55,IFERROR(INDEX('Master Plan'!$B$8:$B$27,MATCH(C55,'Master Plan'!$A$8:$A$27,0)),"?")))</f>
        <v/>
      </c>
      <c r="E55" s="204" t="str">
        <f aca="false">IF(LEFT(C55,4)="ผรม.",TRIM(MID(C55,5,5)),IF(OR(C55="ทั้งเฟส",LEFT(C55,3)="เขต"),"",IF(C55="","",IF(OR(C55="ทั้งเฟส",LEFT(C55,4)="ผรม.",LEFT(C55,3)="เขต"),C55,IFERROR(INDEX('Master Plan'!$L$8:$L$27,MATCH(C55,'Master Plan'!$A$8:$A$27,0)),"?")))))</f>
        <v/>
      </c>
      <c r="F55" s="60"/>
      <c r="G55" s="207"/>
      <c r="H55" s="207"/>
      <c r="I55" s="215" t="str">
        <f aca="false">IF(AND(ISNUMBER(G55),ISNUMBER(H55)),H55-G55,"")</f>
        <v/>
      </c>
      <c r="J55" s="216"/>
      <c r="K55" s="60"/>
      <c r="L55" s="60"/>
      <c r="M55" s="113"/>
      <c r="N55" s="60"/>
      <c r="O55" s="60"/>
      <c r="P55" s="131" t="str">
        <f aca="false">IF(B55="","",IF(LEFT(F55,8)="Baseline","ผู้บริหาร + กปภ.",IF(ABS(N(J55))=0,"วิศวกร / ทีม",IF(ABS(N(J55))&lt;=CR_T1,"PM",IF(ABS(N(J55))&lt;=CR_T2,"Change Board","ผู้บริหาร + กปภ.")))))</f>
        <v/>
      </c>
      <c r="Q55" s="60"/>
      <c r="R55" s="60"/>
      <c r="S55" s="207"/>
    </row>
    <row r="56" customFormat="false" ht="15" hidden="false" customHeight="false" outlineLevel="0" collapsed="false">
      <c r="A56" s="138" t="str">
        <f aca="false">IF(B56="","","CR-"&amp;TEXT(ROW()-6,"000"))</f>
        <v/>
      </c>
      <c r="B56" s="207"/>
      <c r="C56" s="60"/>
      <c r="D56" s="131" t="str">
        <f aca="false">IF(C56="","",IF(OR(C56="ทั้งเฟส",LEFT(C56,4)="ผรม.",LEFT(C56,3)="เขต"),C56,IFERROR(INDEX('Master Plan'!$B$8:$B$27,MATCH(C56,'Master Plan'!$A$8:$A$27,0)),"?")))</f>
        <v/>
      </c>
      <c r="E56" s="204" t="str">
        <f aca="false">IF(LEFT(C56,4)="ผรม.",TRIM(MID(C56,5,5)),IF(OR(C56="ทั้งเฟส",LEFT(C56,3)="เขต"),"",IF(C56="","",IF(OR(C56="ทั้งเฟส",LEFT(C56,4)="ผรม.",LEFT(C56,3)="เขต"),C56,IFERROR(INDEX('Master Plan'!$L$8:$L$27,MATCH(C56,'Master Plan'!$A$8:$A$27,0)),"?")))))</f>
        <v/>
      </c>
      <c r="F56" s="60"/>
      <c r="G56" s="207"/>
      <c r="H56" s="207"/>
      <c r="I56" s="215" t="str">
        <f aca="false">IF(AND(ISNUMBER(G56),ISNUMBER(H56)),H56-G56,"")</f>
        <v/>
      </c>
      <c r="J56" s="216"/>
      <c r="K56" s="60"/>
      <c r="L56" s="60"/>
      <c r="M56" s="113"/>
      <c r="N56" s="60"/>
      <c r="O56" s="60"/>
      <c r="P56" s="131" t="str">
        <f aca="false">IF(B56="","",IF(LEFT(F56,8)="Baseline","ผู้บริหาร + กปภ.",IF(ABS(N(J56))=0,"วิศวกร / ทีม",IF(ABS(N(J56))&lt;=CR_T1,"PM",IF(ABS(N(J56))&lt;=CR_T2,"Change Board","ผู้บริหาร + กปภ.")))))</f>
        <v/>
      </c>
      <c r="Q56" s="60"/>
      <c r="R56" s="60"/>
      <c r="S56" s="207"/>
    </row>
    <row r="57" customFormat="false" ht="15" hidden="false" customHeight="false" outlineLevel="0" collapsed="false">
      <c r="A57" s="138" t="str">
        <f aca="false">IF(B57="","","CR-"&amp;TEXT(ROW()-6,"000"))</f>
        <v/>
      </c>
      <c r="B57" s="207"/>
      <c r="C57" s="60"/>
      <c r="D57" s="131" t="str">
        <f aca="false">IF(C57="","",IF(OR(C57="ทั้งเฟส",LEFT(C57,4)="ผรม.",LEFT(C57,3)="เขต"),C57,IFERROR(INDEX('Master Plan'!$B$8:$B$27,MATCH(C57,'Master Plan'!$A$8:$A$27,0)),"?")))</f>
        <v/>
      </c>
      <c r="E57" s="204" t="str">
        <f aca="false">IF(LEFT(C57,4)="ผรม.",TRIM(MID(C57,5,5)),IF(OR(C57="ทั้งเฟส",LEFT(C57,3)="เขต"),"",IF(C57="","",IF(OR(C57="ทั้งเฟส",LEFT(C57,4)="ผรม.",LEFT(C57,3)="เขต"),C57,IFERROR(INDEX('Master Plan'!$L$8:$L$27,MATCH(C57,'Master Plan'!$A$8:$A$27,0)),"?")))))</f>
        <v/>
      </c>
      <c r="F57" s="60"/>
      <c r="G57" s="207"/>
      <c r="H57" s="207"/>
      <c r="I57" s="215" t="str">
        <f aca="false">IF(AND(ISNUMBER(G57),ISNUMBER(H57)),H57-G57,"")</f>
        <v/>
      </c>
      <c r="J57" s="216"/>
      <c r="K57" s="60"/>
      <c r="L57" s="60"/>
      <c r="M57" s="113"/>
      <c r="N57" s="60"/>
      <c r="O57" s="60"/>
      <c r="P57" s="131" t="str">
        <f aca="false">IF(B57="","",IF(LEFT(F57,8)="Baseline","ผู้บริหาร + กปภ.",IF(ABS(N(J57))=0,"วิศวกร / ทีม",IF(ABS(N(J57))&lt;=CR_T1,"PM",IF(ABS(N(J57))&lt;=CR_T2,"Change Board","ผู้บริหาร + กปภ.")))))</f>
        <v/>
      </c>
      <c r="Q57" s="60"/>
      <c r="R57" s="60"/>
      <c r="S57" s="207"/>
    </row>
    <row r="58" customFormat="false" ht="15" hidden="false" customHeight="false" outlineLevel="0" collapsed="false">
      <c r="A58" s="138" t="str">
        <f aca="false">IF(B58="","","CR-"&amp;TEXT(ROW()-6,"000"))</f>
        <v/>
      </c>
      <c r="B58" s="207"/>
      <c r="C58" s="60"/>
      <c r="D58" s="131" t="str">
        <f aca="false">IF(C58="","",IF(OR(C58="ทั้งเฟส",LEFT(C58,4)="ผรม.",LEFT(C58,3)="เขต"),C58,IFERROR(INDEX('Master Plan'!$B$8:$B$27,MATCH(C58,'Master Plan'!$A$8:$A$27,0)),"?")))</f>
        <v/>
      </c>
      <c r="E58" s="204" t="str">
        <f aca="false">IF(LEFT(C58,4)="ผรม.",TRIM(MID(C58,5,5)),IF(OR(C58="ทั้งเฟส",LEFT(C58,3)="เขต"),"",IF(C58="","",IF(OR(C58="ทั้งเฟส",LEFT(C58,4)="ผรม.",LEFT(C58,3)="เขต"),C58,IFERROR(INDEX('Master Plan'!$L$8:$L$27,MATCH(C58,'Master Plan'!$A$8:$A$27,0)),"?")))))</f>
        <v/>
      </c>
      <c r="F58" s="60"/>
      <c r="G58" s="207"/>
      <c r="H58" s="207"/>
      <c r="I58" s="215" t="str">
        <f aca="false">IF(AND(ISNUMBER(G58),ISNUMBER(H58)),H58-G58,"")</f>
        <v/>
      </c>
      <c r="J58" s="216"/>
      <c r="K58" s="60"/>
      <c r="L58" s="60"/>
      <c r="M58" s="113"/>
      <c r="N58" s="60"/>
      <c r="O58" s="60"/>
      <c r="P58" s="131" t="str">
        <f aca="false">IF(B58="","",IF(LEFT(F58,8)="Baseline","ผู้บริหาร + กปภ.",IF(ABS(N(J58))=0,"วิศวกร / ทีม",IF(ABS(N(J58))&lt;=CR_T1,"PM",IF(ABS(N(J58))&lt;=CR_T2,"Change Board","ผู้บริหาร + กปภ.")))))</f>
        <v/>
      </c>
      <c r="Q58" s="60"/>
      <c r="R58" s="60"/>
      <c r="S58" s="207"/>
    </row>
    <row r="59" customFormat="false" ht="15" hidden="false" customHeight="false" outlineLevel="0" collapsed="false">
      <c r="A59" s="138" t="str">
        <f aca="false">IF(B59="","","CR-"&amp;TEXT(ROW()-6,"000"))</f>
        <v/>
      </c>
      <c r="B59" s="207"/>
      <c r="C59" s="60"/>
      <c r="D59" s="131" t="str">
        <f aca="false">IF(C59="","",IF(OR(C59="ทั้งเฟส",LEFT(C59,4)="ผรม.",LEFT(C59,3)="เขต"),C59,IFERROR(INDEX('Master Plan'!$B$8:$B$27,MATCH(C59,'Master Plan'!$A$8:$A$27,0)),"?")))</f>
        <v/>
      </c>
      <c r="E59" s="204" t="str">
        <f aca="false">IF(LEFT(C59,4)="ผรม.",TRIM(MID(C59,5,5)),IF(OR(C59="ทั้งเฟส",LEFT(C59,3)="เขต"),"",IF(C59="","",IF(OR(C59="ทั้งเฟส",LEFT(C59,4)="ผรม.",LEFT(C59,3)="เขต"),C59,IFERROR(INDEX('Master Plan'!$L$8:$L$27,MATCH(C59,'Master Plan'!$A$8:$A$27,0)),"?")))))</f>
        <v/>
      </c>
      <c r="F59" s="60"/>
      <c r="G59" s="207"/>
      <c r="H59" s="207"/>
      <c r="I59" s="215" t="str">
        <f aca="false">IF(AND(ISNUMBER(G59),ISNUMBER(H59)),H59-G59,"")</f>
        <v/>
      </c>
      <c r="J59" s="216"/>
      <c r="K59" s="60"/>
      <c r="L59" s="60"/>
      <c r="M59" s="113"/>
      <c r="N59" s="60"/>
      <c r="O59" s="60"/>
      <c r="P59" s="131" t="str">
        <f aca="false">IF(B59="","",IF(LEFT(F59,8)="Baseline","ผู้บริหาร + กปภ.",IF(ABS(N(J59))=0,"วิศวกร / ทีม",IF(ABS(N(J59))&lt;=CR_T1,"PM",IF(ABS(N(J59))&lt;=CR_T2,"Change Board","ผู้บริหาร + กปภ.")))))</f>
        <v/>
      </c>
      <c r="Q59" s="60"/>
      <c r="R59" s="60"/>
      <c r="S59" s="207"/>
    </row>
    <row r="60" customFormat="false" ht="15" hidden="false" customHeight="false" outlineLevel="0" collapsed="false">
      <c r="A60" s="138" t="str">
        <f aca="false">IF(B60="","","CR-"&amp;TEXT(ROW()-6,"000"))</f>
        <v/>
      </c>
      <c r="B60" s="207"/>
      <c r="C60" s="60"/>
      <c r="D60" s="131" t="str">
        <f aca="false">IF(C60="","",IF(OR(C60="ทั้งเฟส",LEFT(C60,4)="ผรม.",LEFT(C60,3)="เขต"),C60,IFERROR(INDEX('Master Plan'!$B$8:$B$27,MATCH(C60,'Master Plan'!$A$8:$A$27,0)),"?")))</f>
        <v/>
      </c>
      <c r="E60" s="204" t="str">
        <f aca="false">IF(LEFT(C60,4)="ผรม.",TRIM(MID(C60,5,5)),IF(OR(C60="ทั้งเฟส",LEFT(C60,3)="เขต"),"",IF(C60="","",IF(OR(C60="ทั้งเฟส",LEFT(C60,4)="ผรม.",LEFT(C60,3)="เขต"),C60,IFERROR(INDEX('Master Plan'!$L$8:$L$27,MATCH(C60,'Master Plan'!$A$8:$A$27,0)),"?")))))</f>
        <v/>
      </c>
      <c r="F60" s="60"/>
      <c r="G60" s="207"/>
      <c r="H60" s="207"/>
      <c r="I60" s="215" t="str">
        <f aca="false">IF(AND(ISNUMBER(G60),ISNUMBER(H60)),H60-G60,"")</f>
        <v/>
      </c>
      <c r="J60" s="216"/>
      <c r="K60" s="60"/>
      <c r="L60" s="60"/>
      <c r="M60" s="113"/>
      <c r="N60" s="60"/>
      <c r="O60" s="60"/>
      <c r="P60" s="131" t="str">
        <f aca="false">IF(B60="","",IF(LEFT(F60,8)="Baseline","ผู้บริหาร + กปภ.",IF(ABS(N(J60))=0,"วิศวกร / ทีม",IF(ABS(N(J60))&lt;=CR_T1,"PM",IF(ABS(N(J60))&lt;=CR_T2,"Change Board","ผู้บริหาร + กปภ.")))))</f>
        <v/>
      </c>
      <c r="Q60" s="60"/>
      <c r="R60" s="60"/>
      <c r="S60" s="207"/>
    </row>
    <row r="61" customFormat="false" ht="15" hidden="false" customHeight="false" outlineLevel="0" collapsed="false">
      <c r="A61" s="138" t="str">
        <f aca="false">IF(B61="","","CR-"&amp;TEXT(ROW()-6,"000"))</f>
        <v/>
      </c>
      <c r="B61" s="207"/>
      <c r="C61" s="60"/>
      <c r="D61" s="131" t="str">
        <f aca="false">IF(C61="","",IF(OR(C61="ทั้งเฟส",LEFT(C61,4)="ผรม.",LEFT(C61,3)="เขต"),C61,IFERROR(INDEX('Master Plan'!$B$8:$B$27,MATCH(C61,'Master Plan'!$A$8:$A$27,0)),"?")))</f>
        <v/>
      </c>
      <c r="E61" s="204" t="str">
        <f aca="false">IF(LEFT(C61,4)="ผรม.",TRIM(MID(C61,5,5)),IF(OR(C61="ทั้งเฟส",LEFT(C61,3)="เขต"),"",IF(C61="","",IF(OR(C61="ทั้งเฟส",LEFT(C61,4)="ผรม.",LEFT(C61,3)="เขต"),C61,IFERROR(INDEX('Master Plan'!$L$8:$L$27,MATCH(C61,'Master Plan'!$A$8:$A$27,0)),"?")))))</f>
        <v/>
      </c>
      <c r="F61" s="60"/>
      <c r="G61" s="207"/>
      <c r="H61" s="207"/>
      <c r="I61" s="215" t="str">
        <f aca="false">IF(AND(ISNUMBER(G61),ISNUMBER(H61)),H61-G61,"")</f>
        <v/>
      </c>
      <c r="J61" s="216"/>
      <c r="K61" s="60"/>
      <c r="L61" s="60"/>
      <c r="M61" s="113"/>
      <c r="N61" s="60"/>
      <c r="O61" s="60"/>
      <c r="P61" s="131" t="str">
        <f aca="false">IF(B61="","",IF(LEFT(F61,8)="Baseline","ผู้บริหาร + กปภ.",IF(ABS(N(J61))=0,"วิศวกร / ทีม",IF(ABS(N(J61))&lt;=CR_T1,"PM",IF(ABS(N(J61))&lt;=CR_T2,"Change Board","ผู้บริหาร + กปภ.")))))</f>
        <v/>
      </c>
      <c r="Q61" s="60"/>
      <c r="R61" s="60"/>
      <c r="S61" s="207"/>
    </row>
    <row r="62" customFormat="false" ht="15" hidden="false" customHeight="false" outlineLevel="0" collapsed="false">
      <c r="A62" s="138" t="str">
        <f aca="false">IF(B62="","","CR-"&amp;TEXT(ROW()-6,"000"))</f>
        <v/>
      </c>
      <c r="B62" s="207"/>
      <c r="C62" s="60"/>
      <c r="D62" s="131" t="str">
        <f aca="false">IF(C62="","",IF(OR(C62="ทั้งเฟส",LEFT(C62,4)="ผรม.",LEFT(C62,3)="เขต"),C62,IFERROR(INDEX('Master Plan'!$B$8:$B$27,MATCH(C62,'Master Plan'!$A$8:$A$27,0)),"?")))</f>
        <v/>
      </c>
      <c r="E62" s="204" t="str">
        <f aca="false">IF(LEFT(C62,4)="ผรม.",TRIM(MID(C62,5,5)),IF(OR(C62="ทั้งเฟส",LEFT(C62,3)="เขต"),"",IF(C62="","",IF(OR(C62="ทั้งเฟส",LEFT(C62,4)="ผรม.",LEFT(C62,3)="เขต"),C62,IFERROR(INDEX('Master Plan'!$L$8:$L$27,MATCH(C62,'Master Plan'!$A$8:$A$27,0)),"?")))))</f>
        <v/>
      </c>
      <c r="F62" s="60"/>
      <c r="G62" s="207"/>
      <c r="H62" s="207"/>
      <c r="I62" s="215" t="str">
        <f aca="false">IF(AND(ISNUMBER(G62),ISNUMBER(H62)),H62-G62,"")</f>
        <v/>
      </c>
      <c r="J62" s="216"/>
      <c r="K62" s="60"/>
      <c r="L62" s="60"/>
      <c r="M62" s="113"/>
      <c r="N62" s="60"/>
      <c r="O62" s="60"/>
      <c r="P62" s="131" t="str">
        <f aca="false">IF(B62="","",IF(LEFT(F62,8)="Baseline","ผู้บริหาร + กปภ.",IF(ABS(N(J62))=0,"วิศวกร / ทีม",IF(ABS(N(J62))&lt;=CR_T1,"PM",IF(ABS(N(J62))&lt;=CR_T2,"Change Board","ผู้บริหาร + กปภ.")))))</f>
        <v/>
      </c>
      <c r="Q62" s="60"/>
      <c r="R62" s="60"/>
      <c r="S62" s="207"/>
    </row>
    <row r="63" customFormat="false" ht="15" hidden="false" customHeight="false" outlineLevel="0" collapsed="false">
      <c r="A63" s="138" t="str">
        <f aca="false">IF(B63="","","CR-"&amp;TEXT(ROW()-6,"000"))</f>
        <v/>
      </c>
      <c r="B63" s="207"/>
      <c r="C63" s="60"/>
      <c r="D63" s="131" t="str">
        <f aca="false">IF(C63="","",IF(OR(C63="ทั้งเฟส",LEFT(C63,4)="ผรม.",LEFT(C63,3)="เขต"),C63,IFERROR(INDEX('Master Plan'!$B$8:$B$27,MATCH(C63,'Master Plan'!$A$8:$A$27,0)),"?")))</f>
        <v/>
      </c>
      <c r="E63" s="204" t="str">
        <f aca="false">IF(LEFT(C63,4)="ผรม.",TRIM(MID(C63,5,5)),IF(OR(C63="ทั้งเฟส",LEFT(C63,3)="เขต"),"",IF(C63="","",IF(OR(C63="ทั้งเฟส",LEFT(C63,4)="ผรม.",LEFT(C63,3)="เขต"),C63,IFERROR(INDEX('Master Plan'!$L$8:$L$27,MATCH(C63,'Master Plan'!$A$8:$A$27,0)),"?")))))</f>
        <v/>
      </c>
      <c r="F63" s="60"/>
      <c r="G63" s="207"/>
      <c r="H63" s="207"/>
      <c r="I63" s="215" t="str">
        <f aca="false">IF(AND(ISNUMBER(G63),ISNUMBER(H63)),H63-G63,"")</f>
        <v/>
      </c>
      <c r="J63" s="216"/>
      <c r="K63" s="60"/>
      <c r="L63" s="60"/>
      <c r="M63" s="113"/>
      <c r="N63" s="60"/>
      <c r="O63" s="60"/>
      <c r="P63" s="131" t="str">
        <f aca="false">IF(B63="","",IF(LEFT(F63,8)="Baseline","ผู้บริหาร + กปภ.",IF(ABS(N(J63))=0,"วิศวกร / ทีม",IF(ABS(N(J63))&lt;=CR_T1,"PM",IF(ABS(N(J63))&lt;=CR_T2,"Change Board","ผู้บริหาร + กปภ.")))))</f>
        <v/>
      </c>
      <c r="Q63" s="60"/>
      <c r="R63" s="60"/>
      <c r="S63" s="207"/>
    </row>
    <row r="64" customFormat="false" ht="15" hidden="false" customHeight="false" outlineLevel="0" collapsed="false">
      <c r="A64" s="138" t="str">
        <f aca="false">IF(B64="","","CR-"&amp;TEXT(ROW()-6,"000"))</f>
        <v/>
      </c>
      <c r="B64" s="207"/>
      <c r="C64" s="60"/>
      <c r="D64" s="131" t="str">
        <f aca="false">IF(C64="","",IF(OR(C64="ทั้งเฟส",LEFT(C64,4)="ผรม.",LEFT(C64,3)="เขต"),C64,IFERROR(INDEX('Master Plan'!$B$8:$B$27,MATCH(C64,'Master Plan'!$A$8:$A$27,0)),"?")))</f>
        <v/>
      </c>
      <c r="E64" s="204" t="str">
        <f aca="false">IF(LEFT(C64,4)="ผรม.",TRIM(MID(C64,5,5)),IF(OR(C64="ทั้งเฟส",LEFT(C64,3)="เขต"),"",IF(C64="","",IF(OR(C64="ทั้งเฟส",LEFT(C64,4)="ผรม.",LEFT(C64,3)="เขต"),C64,IFERROR(INDEX('Master Plan'!$L$8:$L$27,MATCH(C64,'Master Plan'!$A$8:$A$27,0)),"?")))))</f>
        <v/>
      </c>
      <c r="F64" s="60"/>
      <c r="G64" s="207"/>
      <c r="H64" s="207"/>
      <c r="I64" s="215" t="str">
        <f aca="false">IF(AND(ISNUMBER(G64),ISNUMBER(H64)),H64-G64,"")</f>
        <v/>
      </c>
      <c r="J64" s="216"/>
      <c r="K64" s="60"/>
      <c r="L64" s="60"/>
      <c r="M64" s="113"/>
      <c r="N64" s="60"/>
      <c r="O64" s="60"/>
      <c r="P64" s="131" t="str">
        <f aca="false">IF(B64="","",IF(LEFT(F64,8)="Baseline","ผู้บริหาร + กปภ.",IF(ABS(N(J64))=0,"วิศวกร / ทีม",IF(ABS(N(J64))&lt;=CR_T1,"PM",IF(ABS(N(J64))&lt;=CR_T2,"Change Board","ผู้บริหาร + กปภ.")))))</f>
        <v/>
      </c>
      <c r="Q64" s="60"/>
      <c r="R64" s="60"/>
      <c r="S64" s="207"/>
    </row>
    <row r="65" customFormat="false" ht="15" hidden="false" customHeight="false" outlineLevel="0" collapsed="false">
      <c r="A65" s="138" t="str">
        <f aca="false">IF(B65="","","CR-"&amp;TEXT(ROW()-6,"000"))</f>
        <v/>
      </c>
      <c r="B65" s="207"/>
      <c r="C65" s="60"/>
      <c r="D65" s="131" t="str">
        <f aca="false">IF(C65="","",IF(OR(C65="ทั้งเฟส",LEFT(C65,4)="ผรม.",LEFT(C65,3)="เขต"),C65,IFERROR(INDEX('Master Plan'!$B$8:$B$27,MATCH(C65,'Master Plan'!$A$8:$A$27,0)),"?")))</f>
        <v/>
      </c>
      <c r="E65" s="204" t="str">
        <f aca="false">IF(LEFT(C65,4)="ผรม.",TRIM(MID(C65,5,5)),IF(OR(C65="ทั้งเฟส",LEFT(C65,3)="เขต"),"",IF(C65="","",IF(OR(C65="ทั้งเฟส",LEFT(C65,4)="ผรม.",LEFT(C65,3)="เขต"),C65,IFERROR(INDEX('Master Plan'!$L$8:$L$27,MATCH(C65,'Master Plan'!$A$8:$A$27,0)),"?")))))</f>
        <v/>
      </c>
      <c r="F65" s="60"/>
      <c r="G65" s="207"/>
      <c r="H65" s="207"/>
      <c r="I65" s="215" t="str">
        <f aca="false">IF(AND(ISNUMBER(G65),ISNUMBER(H65)),H65-G65,"")</f>
        <v/>
      </c>
      <c r="J65" s="216"/>
      <c r="K65" s="60"/>
      <c r="L65" s="60"/>
      <c r="M65" s="113"/>
      <c r="N65" s="60"/>
      <c r="O65" s="60"/>
      <c r="P65" s="131" t="str">
        <f aca="false">IF(B65="","",IF(LEFT(F65,8)="Baseline","ผู้บริหาร + กปภ.",IF(ABS(N(J65))=0,"วิศวกร / ทีม",IF(ABS(N(J65))&lt;=CR_T1,"PM",IF(ABS(N(J65))&lt;=CR_T2,"Change Board","ผู้บริหาร + กปภ.")))))</f>
        <v/>
      </c>
      <c r="Q65" s="60"/>
      <c r="R65" s="60"/>
      <c r="S65" s="207"/>
    </row>
    <row r="66" customFormat="false" ht="15" hidden="false" customHeight="false" outlineLevel="0" collapsed="false">
      <c r="A66" s="138" t="str">
        <f aca="false">IF(B66="","","CR-"&amp;TEXT(ROW()-6,"000"))</f>
        <v/>
      </c>
      <c r="B66" s="207"/>
      <c r="C66" s="60"/>
      <c r="D66" s="131" t="str">
        <f aca="false">IF(C66="","",IF(OR(C66="ทั้งเฟส",LEFT(C66,4)="ผรม.",LEFT(C66,3)="เขต"),C66,IFERROR(INDEX('Master Plan'!$B$8:$B$27,MATCH(C66,'Master Plan'!$A$8:$A$27,0)),"?")))</f>
        <v/>
      </c>
      <c r="E66" s="204" t="str">
        <f aca="false">IF(LEFT(C66,4)="ผรม.",TRIM(MID(C66,5,5)),IF(OR(C66="ทั้งเฟส",LEFT(C66,3)="เขต"),"",IF(C66="","",IF(OR(C66="ทั้งเฟส",LEFT(C66,4)="ผรม.",LEFT(C66,3)="เขต"),C66,IFERROR(INDEX('Master Plan'!$L$8:$L$27,MATCH(C66,'Master Plan'!$A$8:$A$27,0)),"?")))))</f>
        <v/>
      </c>
      <c r="F66" s="60"/>
      <c r="G66" s="207"/>
      <c r="H66" s="207"/>
      <c r="I66" s="215" t="str">
        <f aca="false">IF(AND(ISNUMBER(G66),ISNUMBER(H66)),H66-G66,"")</f>
        <v/>
      </c>
      <c r="J66" s="216"/>
      <c r="K66" s="60"/>
      <c r="L66" s="60"/>
      <c r="M66" s="113"/>
      <c r="N66" s="60"/>
      <c r="O66" s="60"/>
      <c r="P66" s="131" t="str">
        <f aca="false">IF(B66="","",IF(LEFT(F66,8)="Baseline","ผู้บริหาร + กปภ.",IF(ABS(N(J66))=0,"วิศวกร / ทีม",IF(ABS(N(J66))&lt;=CR_T1,"PM",IF(ABS(N(J66))&lt;=CR_T2,"Change Board","ผู้บริหาร + กปภ.")))))</f>
        <v/>
      </c>
      <c r="Q66" s="60"/>
      <c r="R66" s="60"/>
      <c r="S66" s="207"/>
    </row>
    <row r="67" customFormat="false" ht="15" hidden="false" customHeight="false" outlineLevel="0" collapsed="false">
      <c r="A67" s="138" t="str">
        <f aca="false">IF(B67="","","CR-"&amp;TEXT(ROW()-6,"000"))</f>
        <v/>
      </c>
      <c r="B67" s="207"/>
      <c r="C67" s="60"/>
      <c r="D67" s="131" t="str">
        <f aca="false">IF(C67="","",IF(OR(C67="ทั้งเฟส",LEFT(C67,4)="ผรม.",LEFT(C67,3)="เขต"),C67,IFERROR(INDEX('Master Plan'!$B$8:$B$27,MATCH(C67,'Master Plan'!$A$8:$A$27,0)),"?")))</f>
        <v/>
      </c>
      <c r="E67" s="204" t="str">
        <f aca="false">IF(LEFT(C67,4)="ผรม.",TRIM(MID(C67,5,5)),IF(OR(C67="ทั้งเฟส",LEFT(C67,3)="เขต"),"",IF(C67="","",IF(OR(C67="ทั้งเฟส",LEFT(C67,4)="ผรม.",LEFT(C67,3)="เขต"),C67,IFERROR(INDEX('Master Plan'!$L$8:$L$27,MATCH(C67,'Master Plan'!$A$8:$A$27,0)),"?")))))</f>
        <v/>
      </c>
      <c r="F67" s="60"/>
      <c r="G67" s="207"/>
      <c r="H67" s="207"/>
      <c r="I67" s="215" t="str">
        <f aca="false">IF(AND(ISNUMBER(G67),ISNUMBER(H67)),H67-G67,"")</f>
        <v/>
      </c>
      <c r="J67" s="216"/>
      <c r="K67" s="60"/>
      <c r="L67" s="60"/>
      <c r="M67" s="113"/>
      <c r="N67" s="60"/>
      <c r="O67" s="60"/>
      <c r="P67" s="131" t="str">
        <f aca="false">IF(B67="","",IF(LEFT(F67,8)="Baseline","ผู้บริหาร + กปภ.",IF(ABS(N(J67))=0,"วิศวกร / ทีม",IF(ABS(N(J67))&lt;=CR_T1,"PM",IF(ABS(N(J67))&lt;=CR_T2,"Change Board","ผู้บริหาร + กปภ.")))))</f>
        <v/>
      </c>
      <c r="Q67" s="60"/>
      <c r="R67" s="60"/>
      <c r="S67" s="207"/>
    </row>
    <row r="68" customFormat="false" ht="15" hidden="false" customHeight="false" outlineLevel="0" collapsed="false">
      <c r="A68" s="138" t="str">
        <f aca="false">IF(B68="","","CR-"&amp;TEXT(ROW()-6,"000"))</f>
        <v/>
      </c>
      <c r="B68" s="207"/>
      <c r="C68" s="60"/>
      <c r="D68" s="131" t="str">
        <f aca="false">IF(C68="","",IF(OR(C68="ทั้งเฟส",LEFT(C68,4)="ผรม.",LEFT(C68,3)="เขต"),C68,IFERROR(INDEX('Master Plan'!$B$8:$B$27,MATCH(C68,'Master Plan'!$A$8:$A$27,0)),"?")))</f>
        <v/>
      </c>
      <c r="E68" s="204" t="str">
        <f aca="false">IF(LEFT(C68,4)="ผรม.",TRIM(MID(C68,5,5)),IF(OR(C68="ทั้งเฟส",LEFT(C68,3)="เขต"),"",IF(C68="","",IF(OR(C68="ทั้งเฟส",LEFT(C68,4)="ผรม.",LEFT(C68,3)="เขต"),C68,IFERROR(INDEX('Master Plan'!$L$8:$L$27,MATCH(C68,'Master Plan'!$A$8:$A$27,0)),"?")))))</f>
        <v/>
      </c>
      <c r="F68" s="60"/>
      <c r="G68" s="207"/>
      <c r="H68" s="207"/>
      <c r="I68" s="215" t="str">
        <f aca="false">IF(AND(ISNUMBER(G68),ISNUMBER(H68)),H68-G68,"")</f>
        <v/>
      </c>
      <c r="J68" s="216"/>
      <c r="K68" s="60"/>
      <c r="L68" s="60"/>
      <c r="M68" s="113"/>
      <c r="N68" s="60"/>
      <c r="O68" s="60"/>
      <c r="P68" s="131" t="str">
        <f aca="false">IF(B68="","",IF(LEFT(F68,8)="Baseline","ผู้บริหาร + กปภ.",IF(ABS(N(J68))=0,"วิศวกร / ทีม",IF(ABS(N(J68))&lt;=CR_T1,"PM",IF(ABS(N(J68))&lt;=CR_T2,"Change Board","ผู้บริหาร + กปภ.")))))</f>
        <v/>
      </c>
      <c r="Q68" s="60"/>
      <c r="R68" s="60"/>
      <c r="S68" s="207"/>
    </row>
    <row r="69" customFormat="false" ht="15" hidden="false" customHeight="false" outlineLevel="0" collapsed="false">
      <c r="A69" s="138" t="str">
        <f aca="false">IF(B69="","","CR-"&amp;TEXT(ROW()-6,"000"))</f>
        <v/>
      </c>
      <c r="B69" s="207"/>
      <c r="C69" s="60"/>
      <c r="D69" s="131" t="str">
        <f aca="false">IF(C69="","",IF(OR(C69="ทั้งเฟส",LEFT(C69,4)="ผรม.",LEFT(C69,3)="เขต"),C69,IFERROR(INDEX('Master Plan'!$B$8:$B$27,MATCH(C69,'Master Plan'!$A$8:$A$27,0)),"?")))</f>
        <v/>
      </c>
      <c r="E69" s="204" t="str">
        <f aca="false">IF(LEFT(C69,4)="ผรม.",TRIM(MID(C69,5,5)),IF(OR(C69="ทั้งเฟส",LEFT(C69,3)="เขต"),"",IF(C69="","",IF(OR(C69="ทั้งเฟส",LEFT(C69,4)="ผรม.",LEFT(C69,3)="เขต"),C69,IFERROR(INDEX('Master Plan'!$L$8:$L$27,MATCH(C69,'Master Plan'!$A$8:$A$27,0)),"?")))))</f>
        <v/>
      </c>
      <c r="F69" s="60"/>
      <c r="G69" s="207"/>
      <c r="H69" s="207"/>
      <c r="I69" s="215" t="str">
        <f aca="false">IF(AND(ISNUMBER(G69),ISNUMBER(H69)),H69-G69,"")</f>
        <v/>
      </c>
      <c r="J69" s="216"/>
      <c r="K69" s="60"/>
      <c r="L69" s="60"/>
      <c r="M69" s="113"/>
      <c r="N69" s="60"/>
      <c r="O69" s="60"/>
      <c r="P69" s="131" t="str">
        <f aca="false">IF(B69="","",IF(LEFT(F69,8)="Baseline","ผู้บริหาร + กปภ.",IF(ABS(N(J69))=0,"วิศวกร / ทีม",IF(ABS(N(J69))&lt;=CR_T1,"PM",IF(ABS(N(J69))&lt;=CR_T2,"Change Board","ผู้บริหาร + กปภ.")))))</f>
        <v/>
      </c>
      <c r="Q69" s="60"/>
      <c r="R69" s="60"/>
      <c r="S69" s="207"/>
    </row>
    <row r="70" customFormat="false" ht="15" hidden="false" customHeight="false" outlineLevel="0" collapsed="false">
      <c r="A70" s="138" t="str">
        <f aca="false">IF(B70="","","CR-"&amp;TEXT(ROW()-6,"000"))</f>
        <v/>
      </c>
      <c r="B70" s="207"/>
      <c r="C70" s="60"/>
      <c r="D70" s="131" t="str">
        <f aca="false">IF(C70="","",IF(OR(C70="ทั้งเฟส",LEFT(C70,4)="ผรม.",LEFT(C70,3)="เขต"),C70,IFERROR(INDEX('Master Plan'!$B$8:$B$27,MATCH(C70,'Master Plan'!$A$8:$A$27,0)),"?")))</f>
        <v/>
      </c>
      <c r="E70" s="204" t="str">
        <f aca="false">IF(LEFT(C70,4)="ผรม.",TRIM(MID(C70,5,5)),IF(OR(C70="ทั้งเฟส",LEFT(C70,3)="เขต"),"",IF(C70="","",IF(OR(C70="ทั้งเฟส",LEFT(C70,4)="ผรม.",LEFT(C70,3)="เขต"),C70,IFERROR(INDEX('Master Plan'!$L$8:$L$27,MATCH(C70,'Master Plan'!$A$8:$A$27,0)),"?")))))</f>
        <v/>
      </c>
      <c r="F70" s="60"/>
      <c r="G70" s="207"/>
      <c r="H70" s="207"/>
      <c r="I70" s="215" t="str">
        <f aca="false">IF(AND(ISNUMBER(G70),ISNUMBER(H70)),H70-G70,"")</f>
        <v/>
      </c>
      <c r="J70" s="216"/>
      <c r="K70" s="60"/>
      <c r="L70" s="60"/>
      <c r="M70" s="113"/>
      <c r="N70" s="60"/>
      <c r="O70" s="60"/>
      <c r="P70" s="131" t="str">
        <f aca="false">IF(B70="","",IF(LEFT(F70,8)="Baseline","ผู้บริหาร + กปภ.",IF(ABS(N(J70))=0,"วิศวกร / ทีม",IF(ABS(N(J70))&lt;=CR_T1,"PM",IF(ABS(N(J70))&lt;=CR_T2,"Change Board","ผู้บริหาร + กปภ.")))))</f>
        <v/>
      </c>
      <c r="Q70" s="60"/>
      <c r="R70" s="60"/>
      <c r="S70" s="207"/>
    </row>
    <row r="71" customFormat="false" ht="15" hidden="false" customHeight="false" outlineLevel="0" collapsed="false">
      <c r="A71" s="138" t="str">
        <f aca="false">IF(B71="","","CR-"&amp;TEXT(ROW()-6,"000"))</f>
        <v/>
      </c>
      <c r="B71" s="207"/>
      <c r="C71" s="60"/>
      <c r="D71" s="131" t="str">
        <f aca="false">IF(C71="","",IF(OR(C71="ทั้งเฟส",LEFT(C71,4)="ผรม.",LEFT(C71,3)="เขต"),C71,IFERROR(INDEX('Master Plan'!$B$8:$B$27,MATCH(C71,'Master Plan'!$A$8:$A$27,0)),"?")))</f>
        <v/>
      </c>
      <c r="E71" s="204" t="str">
        <f aca="false">IF(LEFT(C71,4)="ผรม.",TRIM(MID(C71,5,5)),IF(OR(C71="ทั้งเฟส",LEFT(C71,3)="เขต"),"",IF(C71="","",IF(OR(C71="ทั้งเฟส",LEFT(C71,4)="ผรม.",LEFT(C71,3)="เขต"),C71,IFERROR(INDEX('Master Plan'!$L$8:$L$27,MATCH(C71,'Master Plan'!$A$8:$A$27,0)),"?")))))</f>
        <v/>
      </c>
      <c r="F71" s="60"/>
      <c r="G71" s="207"/>
      <c r="H71" s="207"/>
      <c r="I71" s="215" t="str">
        <f aca="false">IF(AND(ISNUMBER(G71),ISNUMBER(H71)),H71-G71,"")</f>
        <v/>
      </c>
      <c r="J71" s="216"/>
      <c r="K71" s="60"/>
      <c r="L71" s="60"/>
      <c r="M71" s="113"/>
      <c r="N71" s="60"/>
      <c r="O71" s="60"/>
      <c r="P71" s="131" t="str">
        <f aca="false">IF(B71="","",IF(LEFT(F71,8)="Baseline","ผู้บริหาร + กปภ.",IF(ABS(N(J71))=0,"วิศวกร / ทีม",IF(ABS(N(J71))&lt;=CR_T1,"PM",IF(ABS(N(J71))&lt;=CR_T2,"Change Board","ผู้บริหาร + กปภ.")))))</f>
        <v/>
      </c>
      <c r="Q71" s="60"/>
      <c r="R71" s="60"/>
      <c r="S71" s="207"/>
    </row>
    <row r="72" customFormat="false" ht="15" hidden="false" customHeight="false" outlineLevel="0" collapsed="false">
      <c r="A72" s="138" t="str">
        <f aca="false">IF(B72="","","CR-"&amp;TEXT(ROW()-6,"000"))</f>
        <v/>
      </c>
      <c r="B72" s="207"/>
      <c r="C72" s="60"/>
      <c r="D72" s="131" t="str">
        <f aca="false">IF(C72="","",IF(OR(C72="ทั้งเฟส",LEFT(C72,4)="ผรม.",LEFT(C72,3)="เขต"),C72,IFERROR(INDEX('Master Plan'!$B$8:$B$27,MATCH(C72,'Master Plan'!$A$8:$A$27,0)),"?")))</f>
        <v/>
      </c>
      <c r="E72" s="204" t="str">
        <f aca="false">IF(LEFT(C72,4)="ผรม.",TRIM(MID(C72,5,5)),IF(OR(C72="ทั้งเฟส",LEFT(C72,3)="เขต"),"",IF(C72="","",IF(OR(C72="ทั้งเฟส",LEFT(C72,4)="ผรม.",LEFT(C72,3)="เขต"),C72,IFERROR(INDEX('Master Plan'!$L$8:$L$27,MATCH(C72,'Master Plan'!$A$8:$A$27,0)),"?")))))</f>
        <v/>
      </c>
      <c r="F72" s="60"/>
      <c r="G72" s="207"/>
      <c r="H72" s="207"/>
      <c r="I72" s="215" t="str">
        <f aca="false">IF(AND(ISNUMBER(G72),ISNUMBER(H72)),H72-G72,"")</f>
        <v/>
      </c>
      <c r="J72" s="216"/>
      <c r="K72" s="60"/>
      <c r="L72" s="60"/>
      <c r="M72" s="113"/>
      <c r="N72" s="60"/>
      <c r="O72" s="60"/>
      <c r="P72" s="131" t="str">
        <f aca="false">IF(B72="","",IF(LEFT(F72,8)="Baseline","ผู้บริหาร + กปภ.",IF(ABS(N(J72))=0,"วิศวกร / ทีม",IF(ABS(N(J72))&lt;=CR_T1,"PM",IF(ABS(N(J72))&lt;=CR_T2,"Change Board","ผู้บริหาร + กปภ.")))))</f>
        <v/>
      </c>
      <c r="Q72" s="60"/>
      <c r="R72" s="60"/>
      <c r="S72" s="207"/>
    </row>
    <row r="73" customFormat="false" ht="15" hidden="false" customHeight="false" outlineLevel="0" collapsed="false">
      <c r="A73" s="138" t="str">
        <f aca="false">IF(B73="","","CR-"&amp;TEXT(ROW()-6,"000"))</f>
        <v/>
      </c>
      <c r="B73" s="207"/>
      <c r="C73" s="60"/>
      <c r="D73" s="131" t="str">
        <f aca="false">IF(C73="","",IF(OR(C73="ทั้งเฟส",LEFT(C73,4)="ผรม.",LEFT(C73,3)="เขต"),C73,IFERROR(INDEX('Master Plan'!$B$8:$B$27,MATCH(C73,'Master Plan'!$A$8:$A$27,0)),"?")))</f>
        <v/>
      </c>
      <c r="E73" s="204" t="str">
        <f aca="false">IF(LEFT(C73,4)="ผรม.",TRIM(MID(C73,5,5)),IF(OR(C73="ทั้งเฟส",LEFT(C73,3)="เขต"),"",IF(C73="","",IF(OR(C73="ทั้งเฟส",LEFT(C73,4)="ผรม.",LEFT(C73,3)="เขต"),C73,IFERROR(INDEX('Master Plan'!$L$8:$L$27,MATCH(C73,'Master Plan'!$A$8:$A$27,0)),"?")))))</f>
        <v/>
      </c>
      <c r="F73" s="60"/>
      <c r="G73" s="207"/>
      <c r="H73" s="207"/>
      <c r="I73" s="215" t="str">
        <f aca="false">IF(AND(ISNUMBER(G73),ISNUMBER(H73)),H73-G73,"")</f>
        <v/>
      </c>
      <c r="J73" s="216"/>
      <c r="K73" s="60"/>
      <c r="L73" s="60"/>
      <c r="M73" s="113"/>
      <c r="N73" s="60"/>
      <c r="O73" s="60"/>
      <c r="P73" s="131" t="str">
        <f aca="false">IF(B73="","",IF(LEFT(F73,8)="Baseline","ผู้บริหาร + กปภ.",IF(ABS(N(J73))=0,"วิศวกร / ทีม",IF(ABS(N(J73))&lt;=CR_T1,"PM",IF(ABS(N(J73))&lt;=CR_T2,"Change Board","ผู้บริหาร + กปภ.")))))</f>
        <v/>
      </c>
      <c r="Q73" s="60"/>
      <c r="R73" s="60"/>
      <c r="S73" s="207"/>
    </row>
    <row r="74" customFormat="false" ht="15" hidden="false" customHeight="false" outlineLevel="0" collapsed="false">
      <c r="A74" s="138" t="str">
        <f aca="false">IF(B74="","","CR-"&amp;TEXT(ROW()-6,"000"))</f>
        <v/>
      </c>
      <c r="B74" s="207"/>
      <c r="C74" s="60"/>
      <c r="D74" s="131" t="str">
        <f aca="false">IF(C74="","",IF(OR(C74="ทั้งเฟส",LEFT(C74,4)="ผรม.",LEFT(C74,3)="เขต"),C74,IFERROR(INDEX('Master Plan'!$B$8:$B$27,MATCH(C74,'Master Plan'!$A$8:$A$27,0)),"?")))</f>
        <v/>
      </c>
      <c r="E74" s="204" t="str">
        <f aca="false">IF(LEFT(C74,4)="ผรม.",TRIM(MID(C74,5,5)),IF(OR(C74="ทั้งเฟส",LEFT(C74,3)="เขต"),"",IF(C74="","",IF(OR(C74="ทั้งเฟส",LEFT(C74,4)="ผรม.",LEFT(C74,3)="เขต"),C74,IFERROR(INDEX('Master Plan'!$L$8:$L$27,MATCH(C74,'Master Plan'!$A$8:$A$27,0)),"?")))))</f>
        <v/>
      </c>
      <c r="F74" s="60"/>
      <c r="G74" s="207"/>
      <c r="H74" s="207"/>
      <c r="I74" s="215" t="str">
        <f aca="false">IF(AND(ISNUMBER(G74),ISNUMBER(H74)),H74-G74,"")</f>
        <v/>
      </c>
      <c r="J74" s="216"/>
      <c r="K74" s="60"/>
      <c r="L74" s="60"/>
      <c r="M74" s="113"/>
      <c r="N74" s="60"/>
      <c r="O74" s="60"/>
      <c r="P74" s="131" t="str">
        <f aca="false">IF(B74="","",IF(LEFT(F74,8)="Baseline","ผู้บริหาร + กปภ.",IF(ABS(N(J74))=0,"วิศวกร / ทีม",IF(ABS(N(J74))&lt;=CR_T1,"PM",IF(ABS(N(J74))&lt;=CR_T2,"Change Board","ผู้บริหาร + กปภ.")))))</f>
        <v/>
      </c>
      <c r="Q74" s="60"/>
      <c r="R74" s="60"/>
      <c r="S74" s="207"/>
    </row>
    <row r="75" customFormat="false" ht="15" hidden="false" customHeight="false" outlineLevel="0" collapsed="false">
      <c r="A75" s="138" t="str">
        <f aca="false">IF(B75="","","CR-"&amp;TEXT(ROW()-6,"000"))</f>
        <v/>
      </c>
      <c r="B75" s="207"/>
      <c r="C75" s="60"/>
      <c r="D75" s="131" t="str">
        <f aca="false">IF(C75="","",IF(OR(C75="ทั้งเฟส",LEFT(C75,4)="ผรม.",LEFT(C75,3)="เขต"),C75,IFERROR(INDEX('Master Plan'!$B$8:$B$27,MATCH(C75,'Master Plan'!$A$8:$A$27,0)),"?")))</f>
        <v/>
      </c>
      <c r="E75" s="204" t="str">
        <f aca="false">IF(LEFT(C75,4)="ผรม.",TRIM(MID(C75,5,5)),IF(OR(C75="ทั้งเฟส",LEFT(C75,3)="เขต"),"",IF(C75="","",IF(OR(C75="ทั้งเฟส",LEFT(C75,4)="ผรม.",LEFT(C75,3)="เขต"),C75,IFERROR(INDEX('Master Plan'!$L$8:$L$27,MATCH(C75,'Master Plan'!$A$8:$A$27,0)),"?")))))</f>
        <v/>
      </c>
      <c r="F75" s="60"/>
      <c r="G75" s="207"/>
      <c r="H75" s="207"/>
      <c r="I75" s="215" t="str">
        <f aca="false">IF(AND(ISNUMBER(G75),ISNUMBER(H75)),H75-G75,"")</f>
        <v/>
      </c>
      <c r="J75" s="216"/>
      <c r="K75" s="60"/>
      <c r="L75" s="60"/>
      <c r="M75" s="113"/>
      <c r="N75" s="60"/>
      <c r="O75" s="60"/>
      <c r="P75" s="131" t="str">
        <f aca="false">IF(B75="","",IF(LEFT(F75,8)="Baseline","ผู้บริหาร + กปภ.",IF(ABS(N(J75))=0,"วิศวกร / ทีม",IF(ABS(N(J75))&lt;=CR_T1,"PM",IF(ABS(N(J75))&lt;=CR_T2,"Change Board","ผู้บริหาร + กปภ.")))))</f>
        <v/>
      </c>
      <c r="Q75" s="60"/>
      <c r="R75" s="60"/>
      <c r="S75" s="207"/>
    </row>
    <row r="76" customFormat="false" ht="15" hidden="false" customHeight="false" outlineLevel="0" collapsed="false">
      <c r="A76" s="138" t="str">
        <f aca="false">IF(B76="","","CR-"&amp;TEXT(ROW()-6,"000"))</f>
        <v/>
      </c>
      <c r="B76" s="207"/>
      <c r="C76" s="60"/>
      <c r="D76" s="131" t="str">
        <f aca="false">IF(C76="","",IF(OR(C76="ทั้งเฟส",LEFT(C76,4)="ผรม.",LEFT(C76,3)="เขต"),C76,IFERROR(INDEX('Master Plan'!$B$8:$B$27,MATCH(C76,'Master Plan'!$A$8:$A$27,0)),"?")))</f>
        <v/>
      </c>
      <c r="E76" s="204" t="str">
        <f aca="false">IF(LEFT(C76,4)="ผรม.",TRIM(MID(C76,5,5)),IF(OR(C76="ทั้งเฟส",LEFT(C76,3)="เขต"),"",IF(C76="","",IF(OR(C76="ทั้งเฟส",LEFT(C76,4)="ผรม.",LEFT(C76,3)="เขต"),C76,IFERROR(INDEX('Master Plan'!$L$8:$L$27,MATCH(C76,'Master Plan'!$A$8:$A$27,0)),"?")))))</f>
        <v/>
      </c>
      <c r="F76" s="60"/>
      <c r="G76" s="207"/>
      <c r="H76" s="207"/>
      <c r="I76" s="215" t="str">
        <f aca="false">IF(AND(ISNUMBER(G76),ISNUMBER(H76)),H76-G76,"")</f>
        <v/>
      </c>
      <c r="J76" s="216"/>
      <c r="K76" s="60"/>
      <c r="L76" s="60"/>
      <c r="M76" s="113"/>
      <c r="N76" s="60"/>
      <c r="O76" s="60"/>
      <c r="P76" s="131" t="str">
        <f aca="false">IF(B76="","",IF(LEFT(F76,8)="Baseline","ผู้บริหาร + กปภ.",IF(ABS(N(J76))=0,"วิศวกร / ทีม",IF(ABS(N(J76))&lt;=CR_T1,"PM",IF(ABS(N(J76))&lt;=CR_T2,"Change Board","ผู้บริหาร + กปภ.")))))</f>
        <v/>
      </c>
      <c r="Q76" s="60"/>
      <c r="R76" s="60"/>
      <c r="S76" s="207"/>
    </row>
    <row r="77" customFormat="false" ht="15" hidden="false" customHeight="false" outlineLevel="0" collapsed="false">
      <c r="A77" s="138" t="str">
        <f aca="false">IF(B77="","","CR-"&amp;TEXT(ROW()-6,"000"))</f>
        <v/>
      </c>
      <c r="B77" s="207"/>
      <c r="C77" s="60"/>
      <c r="D77" s="131" t="str">
        <f aca="false">IF(C77="","",IF(OR(C77="ทั้งเฟส",LEFT(C77,4)="ผรม.",LEFT(C77,3)="เขต"),C77,IFERROR(INDEX('Master Plan'!$B$8:$B$27,MATCH(C77,'Master Plan'!$A$8:$A$27,0)),"?")))</f>
        <v/>
      </c>
      <c r="E77" s="204" t="str">
        <f aca="false">IF(LEFT(C77,4)="ผรม.",TRIM(MID(C77,5,5)),IF(OR(C77="ทั้งเฟส",LEFT(C77,3)="เขต"),"",IF(C77="","",IF(OR(C77="ทั้งเฟส",LEFT(C77,4)="ผรม.",LEFT(C77,3)="เขต"),C77,IFERROR(INDEX('Master Plan'!$L$8:$L$27,MATCH(C77,'Master Plan'!$A$8:$A$27,0)),"?")))))</f>
        <v/>
      </c>
      <c r="F77" s="60"/>
      <c r="G77" s="207"/>
      <c r="H77" s="207"/>
      <c r="I77" s="215" t="str">
        <f aca="false">IF(AND(ISNUMBER(G77),ISNUMBER(H77)),H77-G77,"")</f>
        <v/>
      </c>
      <c r="J77" s="216"/>
      <c r="K77" s="60"/>
      <c r="L77" s="60"/>
      <c r="M77" s="113"/>
      <c r="N77" s="60"/>
      <c r="O77" s="60"/>
      <c r="P77" s="131" t="str">
        <f aca="false">IF(B77="","",IF(LEFT(F77,8)="Baseline","ผู้บริหาร + กปภ.",IF(ABS(N(J77))=0,"วิศวกร / ทีม",IF(ABS(N(J77))&lt;=CR_T1,"PM",IF(ABS(N(J77))&lt;=CR_T2,"Change Board","ผู้บริหาร + กปภ.")))))</f>
        <v/>
      </c>
      <c r="Q77" s="60"/>
      <c r="R77" s="60"/>
      <c r="S77" s="207"/>
    </row>
    <row r="78" customFormat="false" ht="15" hidden="false" customHeight="false" outlineLevel="0" collapsed="false">
      <c r="A78" s="138" t="str">
        <f aca="false">IF(B78="","","CR-"&amp;TEXT(ROW()-6,"000"))</f>
        <v/>
      </c>
      <c r="B78" s="207"/>
      <c r="C78" s="60"/>
      <c r="D78" s="131" t="str">
        <f aca="false">IF(C78="","",IF(OR(C78="ทั้งเฟส",LEFT(C78,4)="ผรม.",LEFT(C78,3)="เขต"),C78,IFERROR(INDEX('Master Plan'!$B$8:$B$27,MATCH(C78,'Master Plan'!$A$8:$A$27,0)),"?")))</f>
        <v/>
      </c>
      <c r="E78" s="204" t="str">
        <f aca="false">IF(LEFT(C78,4)="ผรม.",TRIM(MID(C78,5,5)),IF(OR(C78="ทั้งเฟส",LEFT(C78,3)="เขต"),"",IF(C78="","",IF(OR(C78="ทั้งเฟส",LEFT(C78,4)="ผรม.",LEFT(C78,3)="เขต"),C78,IFERROR(INDEX('Master Plan'!$L$8:$L$27,MATCH(C78,'Master Plan'!$A$8:$A$27,0)),"?")))))</f>
        <v/>
      </c>
      <c r="F78" s="60"/>
      <c r="G78" s="207"/>
      <c r="H78" s="207"/>
      <c r="I78" s="215" t="str">
        <f aca="false">IF(AND(ISNUMBER(G78),ISNUMBER(H78)),H78-G78,"")</f>
        <v/>
      </c>
      <c r="J78" s="216"/>
      <c r="K78" s="60"/>
      <c r="L78" s="60"/>
      <c r="M78" s="113"/>
      <c r="N78" s="60"/>
      <c r="O78" s="60"/>
      <c r="P78" s="131" t="str">
        <f aca="false">IF(B78="","",IF(LEFT(F78,8)="Baseline","ผู้บริหาร + กปภ.",IF(ABS(N(J78))=0,"วิศวกร / ทีม",IF(ABS(N(J78))&lt;=CR_T1,"PM",IF(ABS(N(J78))&lt;=CR_T2,"Change Board","ผู้บริหาร + กปภ.")))))</f>
        <v/>
      </c>
      <c r="Q78" s="60"/>
      <c r="R78" s="60"/>
      <c r="S78" s="207"/>
    </row>
    <row r="79" customFormat="false" ht="15" hidden="false" customHeight="false" outlineLevel="0" collapsed="false">
      <c r="A79" s="138" t="str">
        <f aca="false">IF(B79="","","CR-"&amp;TEXT(ROW()-6,"000"))</f>
        <v/>
      </c>
      <c r="B79" s="207"/>
      <c r="C79" s="60"/>
      <c r="D79" s="131" t="str">
        <f aca="false">IF(C79="","",IF(OR(C79="ทั้งเฟส",LEFT(C79,4)="ผรม.",LEFT(C79,3)="เขต"),C79,IFERROR(INDEX('Master Plan'!$B$8:$B$27,MATCH(C79,'Master Plan'!$A$8:$A$27,0)),"?")))</f>
        <v/>
      </c>
      <c r="E79" s="204" t="str">
        <f aca="false">IF(LEFT(C79,4)="ผรม.",TRIM(MID(C79,5,5)),IF(OR(C79="ทั้งเฟส",LEFT(C79,3)="เขต"),"",IF(C79="","",IF(OR(C79="ทั้งเฟส",LEFT(C79,4)="ผรม.",LEFT(C79,3)="เขต"),C79,IFERROR(INDEX('Master Plan'!$L$8:$L$27,MATCH(C79,'Master Plan'!$A$8:$A$27,0)),"?")))))</f>
        <v/>
      </c>
      <c r="F79" s="60"/>
      <c r="G79" s="207"/>
      <c r="H79" s="207"/>
      <c r="I79" s="215" t="str">
        <f aca="false">IF(AND(ISNUMBER(G79),ISNUMBER(H79)),H79-G79,"")</f>
        <v/>
      </c>
      <c r="J79" s="216"/>
      <c r="K79" s="60"/>
      <c r="L79" s="60"/>
      <c r="M79" s="113"/>
      <c r="N79" s="60"/>
      <c r="O79" s="60"/>
      <c r="P79" s="131" t="str">
        <f aca="false">IF(B79="","",IF(LEFT(F79,8)="Baseline","ผู้บริหาร + กปภ.",IF(ABS(N(J79))=0,"วิศวกร / ทีม",IF(ABS(N(J79))&lt;=CR_T1,"PM",IF(ABS(N(J79))&lt;=CR_T2,"Change Board","ผู้บริหาร + กปภ.")))))</f>
        <v/>
      </c>
      <c r="Q79" s="60"/>
      <c r="R79" s="60"/>
      <c r="S79" s="207"/>
    </row>
    <row r="80" customFormat="false" ht="15" hidden="false" customHeight="false" outlineLevel="0" collapsed="false">
      <c r="A80" s="138" t="str">
        <f aca="false">IF(B80="","","CR-"&amp;TEXT(ROW()-6,"000"))</f>
        <v/>
      </c>
      <c r="B80" s="207"/>
      <c r="C80" s="60"/>
      <c r="D80" s="131" t="str">
        <f aca="false">IF(C80="","",IF(OR(C80="ทั้งเฟส",LEFT(C80,4)="ผรม.",LEFT(C80,3)="เขต"),C80,IFERROR(INDEX('Master Plan'!$B$8:$B$27,MATCH(C80,'Master Plan'!$A$8:$A$27,0)),"?")))</f>
        <v/>
      </c>
      <c r="E80" s="204" t="str">
        <f aca="false">IF(LEFT(C80,4)="ผรม.",TRIM(MID(C80,5,5)),IF(OR(C80="ทั้งเฟส",LEFT(C80,3)="เขต"),"",IF(C80="","",IF(OR(C80="ทั้งเฟส",LEFT(C80,4)="ผรม.",LEFT(C80,3)="เขต"),C80,IFERROR(INDEX('Master Plan'!$L$8:$L$27,MATCH(C80,'Master Plan'!$A$8:$A$27,0)),"?")))))</f>
        <v/>
      </c>
      <c r="F80" s="60"/>
      <c r="G80" s="207"/>
      <c r="H80" s="207"/>
      <c r="I80" s="215" t="str">
        <f aca="false">IF(AND(ISNUMBER(G80),ISNUMBER(H80)),H80-G80,"")</f>
        <v/>
      </c>
      <c r="J80" s="216"/>
      <c r="K80" s="60"/>
      <c r="L80" s="60"/>
      <c r="M80" s="113"/>
      <c r="N80" s="60"/>
      <c r="O80" s="60"/>
      <c r="P80" s="131" t="str">
        <f aca="false">IF(B80="","",IF(LEFT(F80,8)="Baseline","ผู้บริหาร + กปภ.",IF(ABS(N(J80))=0,"วิศวกร / ทีม",IF(ABS(N(J80))&lt;=CR_T1,"PM",IF(ABS(N(J80))&lt;=CR_T2,"Change Board","ผู้บริหาร + กปภ.")))))</f>
        <v/>
      </c>
      <c r="Q80" s="60"/>
      <c r="R80" s="60"/>
      <c r="S80" s="207"/>
    </row>
    <row r="81" customFormat="false" ht="15" hidden="false" customHeight="false" outlineLevel="0" collapsed="false">
      <c r="A81" s="138" t="str">
        <f aca="false">IF(B81="","","CR-"&amp;TEXT(ROW()-6,"000"))</f>
        <v/>
      </c>
      <c r="B81" s="207"/>
      <c r="C81" s="60"/>
      <c r="D81" s="131" t="str">
        <f aca="false">IF(C81="","",IF(OR(C81="ทั้งเฟส",LEFT(C81,4)="ผรม.",LEFT(C81,3)="เขต"),C81,IFERROR(INDEX('Master Plan'!$B$8:$B$27,MATCH(C81,'Master Plan'!$A$8:$A$27,0)),"?")))</f>
        <v/>
      </c>
      <c r="E81" s="204" t="str">
        <f aca="false">IF(LEFT(C81,4)="ผรม.",TRIM(MID(C81,5,5)),IF(OR(C81="ทั้งเฟส",LEFT(C81,3)="เขต"),"",IF(C81="","",IF(OR(C81="ทั้งเฟส",LEFT(C81,4)="ผรม.",LEFT(C81,3)="เขต"),C81,IFERROR(INDEX('Master Plan'!$L$8:$L$27,MATCH(C81,'Master Plan'!$A$8:$A$27,0)),"?")))))</f>
        <v/>
      </c>
      <c r="F81" s="60"/>
      <c r="G81" s="207"/>
      <c r="H81" s="207"/>
      <c r="I81" s="215" t="str">
        <f aca="false">IF(AND(ISNUMBER(G81),ISNUMBER(H81)),H81-G81,"")</f>
        <v/>
      </c>
      <c r="J81" s="216"/>
      <c r="K81" s="60"/>
      <c r="L81" s="60"/>
      <c r="M81" s="113"/>
      <c r="N81" s="60"/>
      <c r="O81" s="60"/>
      <c r="P81" s="131" t="str">
        <f aca="false">IF(B81="","",IF(LEFT(F81,8)="Baseline","ผู้บริหาร + กปภ.",IF(ABS(N(J81))=0,"วิศวกร / ทีม",IF(ABS(N(J81))&lt;=CR_T1,"PM",IF(ABS(N(J81))&lt;=CR_T2,"Change Board","ผู้บริหาร + กปภ.")))))</f>
        <v/>
      </c>
      <c r="Q81" s="60"/>
      <c r="R81" s="60"/>
      <c r="S81" s="207"/>
    </row>
    <row r="82" customFormat="false" ht="15" hidden="false" customHeight="false" outlineLevel="0" collapsed="false">
      <c r="A82" s="138" t="str">
        <f aca="false">IF(B82="","","CR-"&amp;TEXT(ROW()-6,"000"))</f>
        <v/>
      </c>
      <c r="B82" s="207"/>
      <c r="C82" s="60"/>
      <c r="D82" s="131" t="str">
        <f aca="false">IF(C82="","",IF(OR(C82="ทั้งเฟส",LEFT(C82,4)="ผรม.",LEFT(C82,3)="เขต"),C82,IFERROR(INDEX('Master Plan'!$B$8:$B$27,MATCH(C82,'Master Plan'!$A$8:$A$27,0)),"?")))</f>
        <v/>
      </c>
      <c r="E82" s="204" t="str">
        <f aca="false">IF(LEFT(C82,4)="ผรม.",TRIM(MID(C82,5,5)),IF(OR(C82="ทั้งเฟส",LEFT(C82,3)="เขต"),"",IF(C82="","",IF(OR(C82="ทั้งเฟส",LEFT(C82,4)="ผรม.",LEFT(C82,3)="เขต"),C82,IFERROR(INDEX('Master Plan'!$L$8:$L$27,MATCH(C82,'Master Plan'!$A$8:$A$27,0)),"?")))))</f>
        <v/>
      </c>
      <c r="F82" s="60"/>
      <c r="G82" s="207"/>
      <c r="H82" s="207"/>
      <c r="I82" s="215" t="str">
        <f aca="false">IF(AND(ISNUMBER(G82),ISNUMBER(H82)),H82-G82,"")</f>
        <v/>
      </c>
      <c r="J82" s="216"/>
      <c r="K82" s="60"/>
      <c r="L82" s="60"/>
      <c r="M82" s="113"/>
      <c r="N82" s="60"/>
      <c r="O82" s="60"/>
      <c r="P82" s="131" t="str">
        <f aca="false">IF(B82="","",IF(LEFT(F82,8)="Baseline","ผู้บริหาร + กปภ.",IF(ABS(N(J82))=0,"วิศวกร / ทีม",IF(ABS(N(J82))&lt;=CR_T1,"PM",IF(ABS(N(J82))&lt;=CR_T2,"Change Board","ผู้บริหาร + กปภ.")))))</f>
        <v/>
      </c>
      <c r="Q82" s="60"/>
      <c r="R82" s="60"/>
      <c r="S82" s="207"/>
    </row>
    <row r="83" customFormat="false" ht="15" hidden="false" customHeight="false" outlineLevel="0" collapsed="false">
      <c r="A83" s="138" t="str">
        <f aca="false">IF(B83="","","CR-"&amp;TEXT(ROW()-6,"000"))</f>
        <v/>
      </c>
      <c r="B83" s="207"/>
      <c r="C83" s="60"/>
      <c r="D83" s="131" t="str">
        <f aca="false">IF(C83="","",IF(OR(C83="ทั้งเฟส",LEFT(C83,4)="ผรม.",LEFT(C83,3)="เขต"),C83,IFERROR(INDEX('Master Plan'!$B$8:$B$27,MATCH(C83,'Master Plan'!$A$8:$A$27,0)),"?")))</f>
        <v/>
      </c>
      <c r="E83" s="204" t="str">
        <f aca="false">IF(LEFT(C83,4)="ผรม.",TRIM(MID(C83,5,5)),IF(OR(C83="ทั้งเฟส",LEFT(C83,3)="เขต"),"",IF(C83="","",IF(OR(C83="ทั้งเฟส",LEFT(C83,4)="ผรม.",LEFT(C83,3)="เขต"),C83,IFERROR(INDEX('Master Plan'!$L$8:$L$27,MATCH(C83,'Master Plan'!$A$8:$A$27,0)),"?")))))</f>
        <v/>
      </c>
      <c r="F83" s="60"/>
      <c r="G83" s="207"/>
      <c r="H83" s="207"/>
      <c r="I83" s="215" t="str">
        <f aca="false">IF(AND(ISNUMBER(G83),ISNUMBER(H83)),H83-G83,"")</f>
        <v/>
      </c>
      <c r="J83" s="216"/>
      <c r="K83" s="60"/>
      <c r="L83" s="60"/>
      <c r="M83" s="113"/>
      <c r="N83" s="60"/>
      <c r="O83" s="60"/>
      <c r="P83" s="131" t="str">
        <f aca="false">IF(B83="","",IF(LEFT(F83,8)="Baseline","ผู้บริหาร + กปภ.",IF(ABS(N(J83))=0,"วิศวกร / ทีม",IF(ABS(N(J83))&lt;=CR_T1,"PM",IF(ABS(N(J83))&lt;=CR_T2,"Change Board","ผู้บริหาร + กปภ.")))))</f>
        <v/>
      </c>
      <c r="Q83" s="60"/>
      <c r="R83" s="60"/>
      <c r="S83" s="207"/>
    </row>
    <row r="84" customFormat="false" ht="15" hidden="false" customHeight="false" outlineLevel="0" collapsed="false">
      <c r="A84" s="138" t="str">
        <f aca="false">IF(B84="","","CR-"&amp;TEXT(ROW()-6,"000"))</f>
        <v/>
      </c>
      <c r="B84" s="207"/>
      <c r="C84" s="60"/>
      <c r="D84" s="131" t="str">
        <f aca="false">IF(C84="","",IF(OR(C84="ทั้งเฟส",LEFT(C84,4)="ผรม.",LEFT(C84,3)="เขต"),C84,IFERROR(INDEX('Master Plan'!$B$8:$B$27,MATCH(C84,'Master Plan'!$A$8:$A$27,0)),"?")))</f>
        <v/>
      </c>
      <c r="E84" s="204" t="str">
        <f aca="false">IF(LEFT(C84,4)="ผรม.",TRIM(MID(C84,5,5)),IF(OR(C84="ทั้งเฟส",LEFT(C84,3)="เขต"),"",IF(C84="","",IF(OR(C84="ทั้งเฟส",LEFT(C84,4)="ผรม.",LEFT(C84,3)="เขต"),C84,IFERROR(INDEX('Master Plan'!$L$8:$L$27,MATCH(C84,'Master Plan'!$A$8:$A$27,0)),"?")))))</f>
        <v/>
      </c>
      <c r="F84" s="60"/>
      <c r="G84" s="207"/>
      <c r="H84" s="207"/>
      <c r="I84" s="215" t="str">
        <f aca="false">IF(AND(ISNUMBER(G84),ISNUMBER(H84)),H84-G84,"")</f>
        <v/>
      </c>
      <c r="J84" s="216"/>
      <c r="K84" s="60"/>
      <c r="L84" s="60"/>
      <c r="M84" s="113"/>
      <c r="N84" s="60"/>
      <c r="O84" s="60"/>
      <c r="P84" s="131" t="str">
        <f aca="false">IF(B84="","",IF(LEFT(F84,8)="Baseline","ผู้บริหาร + กปภ.",IF(ABS(N(J84))=0,"วิศวกร / ทีม",IF(ABS(N(J84))&lt;=CR_T1,"PM",IF(ABS(N(J84))&lt;=CR_T2,"Change Board","ผู้บริหาร + กปภ.")))))</f>
        <v/>
      </c>
      <c r="Q84" s="60"/>
      <c r="R84" s="60"/>
      <c r="S84" s="207"/>
    </row>
    <row r="85" customFormat="false" ht="15" hidden="false" customHeight="false" outlineLevel="0" collapsed="false">
      <c r="A85" s="138" t="str">
        <f aca="false">IF(B85="","","CR-"&amp;TEXT(ROW()-6,"000"))</f>
        <v/>
      </c>
      <c r="B85" s="207"/>
      <c r="C85" s="60"/>
      <c r="D85" s="131" t="str">
        <f aca="false">IF(C85="","",IF(OR(C85="ทั้งเฟส",LEFT(C85,4)="ผรม.",LEFT(C85,3)="เขต"),C85,IFERROR(INDEX('Master Plan'!$B$8:$B$27,MATCH(C85,'Master Plan'!$A$8:$A$27,0)),"?")))</f>
        <v/>
      </c>
      <c r="E85" s="204" t="str">
        <f aca="false">IF(LEFT(C85,4)="ผรม.",TRIM(MID(C85,5,5)),IF(OR(C85="ทั้งเฟส",LEFT(C85,3)="เขต"),"",IF(C85="","",IF(OR(C85="ทั้งเฟส",LEFT(C85,4)="ผรม.",LEFT(C85,3)="เขต"),C85,IFERROR(INDEX('Master Plan'!$L$8:$L$27,MATCH(C85,'Master Plan'!$A$8:$A$27,0)),"?")))))</f>
        <v/>
      </c>
      <c r="F85" s="60"/>
      <c r="G85" s="207"/>
      <c r="H85" s="207"/>
      <c r="I85" s="215" t="str">
        <f aca="false">IF(AND(ISNUMBER(G85),ISNUMBER(H85)),H85-G85,"")</f>
        <v/>
      </c>
      <c r="J85" s="216"/>
      <c r="K85" s="60"/>
      <c r="L85" s="60"/>
      <c r="M85" s="113"/>
      <c r="N85" s="60"/>
      <c r="O85" s="60"/>
      <c r="P85" s="131" t="str">
        <f aca="false">IF(B85="","",IF(LEFT(F85,8)="Baseline","ผู้บริหาร + กปภ.",IF(ABS(N(J85))=0,"วิศวกร / ทีม",IF(ABS(N(J85))&lt;=CR_T1,"PM",IF(ABS(N(J85))&lt;=CR_T2,"Change Board","ผู้บริหาร + กปภ.")))))</f>
        <v/>
      </c>
      <c r="Q85" s="60"/>
      <c r="R85" s="60"/>
      <c r="S85" s="207"/>
    </row>
    <row r="86" customFormat="false" ht="15" hidden="false" customHeight="false" outlineLevel="0" collapsed="false">
      <c r="A86" s="138" t="str">
        <f aca="false">IF(B86="","","CR-"&amp;TEXT(ROW()-6,"000"))</f>
        <v/>
      </c>
      <c r="B86" s="207"/>
      <c r="C86" s="60"/>
      <c r="D86" s="131" t="str">
        <f aca="false">IF(C86="","",IF(OR(C86="ทั้งเฟส",LEFT(C86,4)="ผรม.",LEFT(C86,3)="เขต"),C86,IFERROR(INDEX('Master Plan'!$B$8:$B$27,MATCH(C86,'Master Plan'!$A$8:$A$27,0)),"?")))</f>
        <v/>
      </c>
      <c r="E86" s="204" t="str">
        <f aca="false">IF(LEFT(C86,4)="ผรม.",TRIM(MID(C86,5,5)),IF(OR(C86="ทั้งเฟส",LEFT(C86,3)="เขต"),"",IF(C86="","",IF(OR(C86="ทั้งเฟส",LEFT(C86,4)="ผรม.",LEFT(C86,3)="เขต"),C86,IFERROR(INDEX('Master Plan'!$L$8:$L$27,MATCH(C86,'Master Plan'!$A$8:$A$27,0)),"?")))))</f>
        <v/>
      </c>
      <c r="F86" s="60"/>
      <c r="G86" s="207"/>
      <c r="H86" s="207"/>
      <c r="I86" s="215" t="str">
        <f aca="false">IF(AND(ISNUMBER(G86),ISNUMBER(H86)),H86-G86,"")</f>
        <v/>
      </c>
      <c r="J86" s="216"/>
      <c r="K86" s="60"/>
      <c r="L86" s="60"/>
      <c r="M86" s="113"/>
      <c r="N86" s="60"/>
      <c r="O86" s="60"/>
      <c r="P86" s="131" t="str">
        <f aca="false">IF(B86="","",IF(LEFT(F86,8)="Baseline","ผู้บริหาร + กปภ.",IF(ABS(N(J86))=0,"วิศวกร / ทีม",IF(ABS(N(J86))&lt;=CR_T1,"PM",IF(ABS(N(J86))&lt;=CR_T2,"Change Board","ผู้บริหาร + กปภ.")))))</f>
        <v/>
      </c>
      <c r="Q86" s="60"/>
      <c r="R86" s="60"/>
      <c r="S86" s="207"/>
    </row>
    <row r="87" customFormat="false" ht="15" hidden="false" customHeight="false" outlineLevel="0" collapsed="false">
      <c r="A87" s="138" t="str">
        <f aca="false">IF(B87="","","CR-"&amp;TEXT(ROW()-6,"000"))</f>
        <v/>
      </c>
      <c r="B87" s="207"/>
      <c r="C87" s="60"/>
      <c r="D87" s="131" t="str">
        <f aca="false">IF(C87="","",IF(OR(C87="ทั้งเฟส",LEFT(C87,4)="ผรม.",LEFT(C87,3)="เขต"),C87,IFERROR(INDEX('Master Plan'!$B$8:$B$27,MATCH(C87,'Master Plan'!$A$8:$A$27,0)),"?")))</f>
        <v/>
      </c>
      <c r="E87" s="204" t="str">
        <f aca="false">IF(LEFT(C87,4)="ผรม.",TRIM(MID(C87,5,5)),IF(OR(C87="ทั้งเฟส",LEFT(C87,3)="เขต"),"",IF(C87="","",IF(OR(C87="ทั้งเฟส",LEFT(C87,4)="ผรม.",LEFT(C87,3)="เขต"),C87,IFERROR(INDEX('Master Plan'!$L$8:$L$27,MATCH(C87,'Master Plan'!$A$8:$A$27,0)),"?")))))</f>
        <v/>
      </c>
      <c r="F87" s="60"/>
      <c r="G87" s="207"/>
      <c r="H87" s="207"/>
      <c r="I87" s="215" t="str">
        <f aca="false">IF(AND(ISNUMBER(G87),ISNUMBER(H87)),H87-G87,"")</f>
        <v/>
      </c>
      <c r="J87" s="216"/>
      <c r="K87" s="60"/>
      <c r="L87" s="60"/>
      <c r="M87" s="113"/>
      <c r="N87" s="60"/>
      <c r="O87" s="60"/>
      <c r="P87" s="131" t="str">
        <f aca="false">IF(B87="","",IF(LEFT(F87,8)="Baseline","ผู้บริหาร + กปภ.",IF(ABS(N(J87))=0,"วิศวกร / ทีม",IF(ABS(N(J87))&lt;=CR_T1,"PM",IF(ABS(N(J87))&lt;=CR_T2,"Change Board","ผู้บริหาร + กปภ.")))))</f>
        <v/>
      </c>
      <c r="Q87" s="60"/>
      <c r="R87" s="60"/>
      <c r="S87" s="207"/>
    </row>
    <row r="88" customFormat="false" ht="15" hidden="false" customHeight="false" outlineLevel="0" collapsed="false">
      <c r="A88" s="138" t="str">
        <f aca="false">IF(B88="","","CR-"&amp;TEXT(ROW()-6,"000"))</f>
        <v/>
      </c>
      <c r="B88" s="207"/>
      <c r="C88" s="60"/>
      <c r="D88" s="131" t="str">
        <f aca="false">IF(C88="","",IF(OR(C88="ทั้งเฟส",LEFT(C88,4)="ผรม.",LEFT(C88,3)="เขต"),C88,IFERROR(INDEX('Master Plan'!$B$8:$B$27,MATCH(C88,'Master Plan'!$A$8:$A$27,0)),"?")))</f>
        <v/>
      </c>
      <c r="E88" s="204" t="str">
        <f aca="false">IF(LEFT(C88,4)="ผรม.",TRIM(MID(C88,5,5)),IF(OR(C88="ทั้งเฟส",LEFT(C88,3)="เขต"),"",IF(C88="","",IF(OR(C88="ทั้งเฟส",LEFT(C88,4)="ผรม.",LEFT(C88,3)="เขต"),C88,IFERROR(INDEX('Master Plan'!$L$8:$L$27,MATCH(C88,'Master Plan'!$A$8:$A$27,0)),"?")))))</f>
        <v/>
      </c>
      <c r="F88" s="60"/>
      <c r="G88" s="207"/>
      <c r="H88" s="207"/>
      <c r="I88" s="215" t="str">
        <f aca="false">IF(AND(ISNUMBER(G88),ISNUMBER(H88)),H88-G88,"")</f>
        <v/>
      </c>
      <c r="J88" s="216"/>
      <c r="K88" s="60"/>
      <c r="L88" s="60"/>
      <c r="M88" s="113"/>
      <c r="N88" s="60"/>
      <c r="O88" s="60"/>
      <c r="P88" s="131" t="str">
        <f aca="false">IF(B88="","",IF(LEFT(F88,8)="Baseline","ผู้บริหาร + กปภ.",IF(ABS(N(J88))=0,"วิศวกร / ทีม",IF(ABS(N(J88))&lt;=CR_T1,"PM",IF(ABS(N(J88))&lt;=CR_T2,"Change Board","ผู้บริหาร + กปภ.")))))</f>
        <v/>
      </c>
      <c r="Q88" s="60"/>
      <c r="R88" s="60"/>
      <c r="S88" s="207"/>
    </row>
    <row r="89" customFormat="false" ht="15" hidden="false" customHeight="false" outlineLevel="0" collapsed="false">
      <c r="A89" s="138" t="str">
        <f aca="false">IF(B89="","","CR-"&amp;TEXT(ROW()-6,"000"))</f>
        <v/>
      </c>
      <c r="B89" s="207"/>
      <c r="C89" s="60"/>
      <c r="D89" s="131" t="str">
        <f aca="false">IF(C89="","",IF(OR(C89="ทั้งเฟส",LEFT(C89,4)="ผรม.",LEFT(C89,3)="เขต"),C89,IFERROR(INDEX('Master Plan'!$B$8:$B$27,MATCH(C89,'Master Plan'!$A$8:$A$27,0)),"?")))</f>
        <v/>
      </c>
      <c r="E89" s="204" t="str">
        <f aca="false">IF(LEFT(C89,4)="ผรม.",TRIM(MID(C89,5,5)),IF(OR(C89="ทั้งเฟส",LEFT(C89,3)="เขต"),"",IF(C89="","",IF(OR(C89="ทั้งเฟส",LEFT(C89,4)="ผรม.",LEFT(C89,3)="เขต"),C89,IFERROR(INDEX('Master Plan'!$L$8:$L$27,MATCH(C89,'Master Plan'!$A$8:$A$27,0)),"?")))))</f>
        <v/>
      </c>
      <c r="F89" s="60"/>
      <c r="G89" s="207"/>
      <c r="H89" s="207"/>
      <c r="I89" s="215" t="str">
        <f aca="false">IF(AND(ISNUMBER(G89),ISNUMBER(H89)),H89-G89,"")</f>
        <v/>
      </c>
      <c r="J89" s="216"/>
      <c r="K89" s="60"/>
      <c r="L89" s="60"/>
      <c r="M89" s="113"/>
      <c r="N89" s="60"/>
      <c r="O89" s="60"/>
      <c r="P89" s="131" t="str">
        <f aca="false">IF(B89="","",IF(LEFT(F89,8)="Baseline","ผู้บริหาร + กปภ.",IF(ABS(N(J89))=0,"วิศวกร / ทีม",IF(ABS(N(J89))&lt;=CR_T1,"PM",IF(ABS(N(J89))&lt;=CR_T2,"Change Board","ผู้บริหาร + กปภ.")))))</f>
        <v/>
      </c>
      <c r="Q89" s="60"/>
      <c r="R89" s="60"/>
      <c r="S89" s="207"/>
    </row>
    <row r="90" customFormat="false" ht="15" hidden="false" customHeight="false" outlineLevel="0" collapsed="false">
      <c r="A90" s="138" t="str">
        <f aca="false">IF(B90="","","CR-"&amp;TEXT(ROW()-6,"000"))</f>
        <v/>
      </c>
      <c r="B90" s="207"/>
      <c r="C90" s="60"/>
      <c r="D90" s="131" t="str">
        <f aca="false">IF(C90="","",IF(OR(C90="ทั้งเฟส",LEFT(C90,4)="ผรม.",LEFT(C90,3)="เขต"),C90,IFERROR(INDEX('Master Plan'!$B$8:$B$27,MATCH(C90,'Master Plan'!$A$8:$A$27,0)),"?")))</f>
        <v/>
      </c>
      <c r="E90" s="204" t="str">
        <f aca="false">IF(LEFT(C90,4)="ผรม.",TRIM(MID(C90,5,5)),IF(OR(C90="ทั้งเฟส",LEFT(C90,3)="เขต"),"",IF(C90="","",IF(OR(C90="ทั้งเฟส",LEFT(C90,4)="ผรม.",LEFT(C90,3)="เขต"),C90,IFERROR(INDEX('Master Plan'!$L$8:$L$27,MATCH(C90,'Master Plan'!$A$8:$A$27,0)),"?")))))</f>
        <v/>
      </c>
      <c r="F90" s="60"/>
      <c r="G90" s="207"/>
      <c r="H90" s="207"/>
      <c r="I90" s="215" t="str">
        <f aca="false">IF(AND(ISNUMBER(G90),ISNUMBER(H90)),H90-G90,"")</f>
        <v/>
      </c>
      <c r="J90" s="216"/>
      <c r="K90" s="60"/>
      <c r="L90" s="60"/>
      <c r="M90" s="113"/>
      <c r="N90" s="60"/>
      <c r="O90" s="60"/>
      <c r="P90" s="131" t="str">
        <f aca="false">IF(B90="","",IF(LEFT(F90,8)="Baseline","ผู้บริหาร + กปภ.",IF(ABS(N(J90))=0,"วิศวกร / ทีม",IF(ABS(N(J90))&lt;=CR_T1,"PM",IF(ABS(N(J90))&lt;=CR_T2,"Change Board","ผู้บริหาร + กปภ.")))))</f>
        <v/>
      </c>
      <c r="Q90" s="60"/>
      <c r="R90" s="60"/>
      <c r="S90" s="207"/>
    </row>
    <row r="91" customFormat="false" ht="15" hidden="false" customHeight="false" outlineLevel="0" collapsed="false">
      <c r="A91" s="138" t="str">
        <f aca="false">IF(B91="","","CR-"&amp;TEXT(ROW()-6,"000"))</f>
        <v/>
      </c>
      <c r="B91" s="207"/>
      <c r="C91" s="60"/>
      <c r="D91" s="131" t="str">
        <f aca="false">IF(C91="","",IF(OR(C91="ทั้งเฟส",LEFT(C91,4)="ผรม.",LEFT(C91,3)="เขต"),C91,IFERROR(INDEX('Master Plan'!$B$8:$B$27,MATCH(C91,'Master Plan'!$A$8:$A$27,0)),"?")))</f>
        <v/>
      </c>
      <c r="E91" s="204" t="str">
        <f aca="false">IF(LEFT(C91,4)="ผรม.",TRIM(MID(C91,5,5)),IF(OR(C91="ทั้งเฟส",LEFT(C91,3)="เขต"),"",IF(C91="","",IF(OR(C91="ทั้งเฟส",LEFT(C91,4)="ผรม.",LEFT(C91,3)="เขต"),C91,IFERROR(INDEX('Master Plan'!$L$8:$L$27,MATCH(C91,'Master Plan'!$A$8:$A$27,0)),"?")))))</f>
        <v/>
      </c>
      <c r="F91" s="60"/>
      <c r="G91" s="207"/>
      <c r="H91" s="207"/>
      <c r="I91" s="215" t="str">
        <f aca="false">IF(AND(ISNUMBER(G91),ISNUMBER(H91)),H91-G91,"")</f>
        <v/>
      </c>
      <c r="J91" s="216"/>
      <c r="K91" s="60"/>
      <c r="L91" s="60"/>
      <c r="M91" s="113"/>
      <c r="N91" s="60"/>
      <c r="O91" s="60"/>
      <c r="P91" s="131" t="str">
        <f aca="false">IF(B91="","",IF(LEFT(F91,8)="Baseline","ผู้บริหาร + กปภ.",IF(ABS(N(J91))=0,"วิศวกร / ทีม",IF(ABS(N(J91))&lt;=CR_T1,"PM",IF(ABS(N(J91))&lt;=CR_T2,"Change Board","ผู้บริหาร + กปภ.")))))</f>
        <v/>
      </c>
      <c r="Q91" s="60"/>
      <c r="R91" s="60"/>
      <c r="S91" s="207"/>
    </row>
    <row r="92" customFormat="false" ht="15" hidden="false" customHeight="false" outlineLevel="0" collapsed="false">
      <c r="A92" s="138" t="str">
        <f aca="false">IF(B92="","","CR-"&amp;TEXT(ROW()-6,"000"))</f>
        <v/>
      </c>
      <c r="B92" s="207"/>
      <c r="C92" s="60"/>
      <c r="D92" s="131" t="str">
        <f aca="false">IF(C92="","",IF(OR(C92="ทั้งเฟส",LEFT(C92,4)="ผรม.",LEFT(C92,3)="เขต"),C92,IFERROR(INDEX('Master Plan'!$B$8:$B$27,MATCH(C92,'Master Plan'!$A$8:$A$27,0)),"?")))</f>
        <v/>
      </c>
      <c r="E92" s="204" t="str">
        <f aca="false">IF(LEFT(C92,4)="ผรม.",TRIM(MID(C92,5,5)),IF(OR(C92="ทั้งเฟส",LEFT(C92,3)="เขต"),"",IF(C92="","",IF(OR(C92="ทั้งเฟส",LEFT(C92,4)="ผรม.",LEFT(C92,3)="เขต"),C92,IFERROR(INDEX('Master Plan'!$L$8:$L$27,MATCH(C92,'Master Plan'!$A$8:$A$27,0)),"?")))))</f>
        <v/>
      </c>
      <c r="F92" s="60"/>
      <c r="G92" s="207"/>
      <c r="H92" s="207"/>
      <c r="I92" s="215" t="str">
        <f aca="false">IF(AND(ISNUMBER(G92),ISNUMBER(H92)),H92-G92,"")</f>
        <v/>
      </c>
      <c r="J92" s="216"/>
      <c r="K92" s="60"/>
      <c r="L92" s="60"/>
      <c r="M92" s="113"/>
      <c r="N92" s="60"/>
      <c r="O92" s="60"/>
      <c r="P92" s="131" t="str">
        <f aca="false">IF(B92="","",IF(LEFT(F92,8)="Baseline","ผู้บริหาร + กปภ.",IF(ABS(N(J92))=0,"วิศวกร / ทีม",IF(ABS(N(J92))&lt;=CR_T1,"PM",IF(ABS(N(J92))&lt;=CR_T2,"Change Board","ผู้บริหาร + กปภ.")))))</f>
        <v/>
      </c>
      <c r="Q92" s="60"/>
      <c r="R92" s="60"/>
      <c r="S92" s="207"/>
    </row>
    <row r="93" customFormat="false" ht="15" hidden="false" customHeight="false" outlineLevel="0" collapsed="false">
      <c r="A93" s="138" t="str">
        <f aca="false">IF(B93="","","CR-"&amp;TEXT(ROW()-6,"000"))</f>
        <v/>
      </c>
      <c r="B93" s="207"/>
      <c r="C93" s="60"/>
      <c r="D93" s="131" t="str">
        <f aca="false">IF(C93="","",IF(OR(C93="ทั้งเฟส",LEFT(C93,4)="ผรม.",LEFT(C93,3)="เขต"),C93,IFERROR(INDEX('Master Plan'!$B$8:$B$27,MATCH(C93,'Master Plan'!$A$8:$A$27,0)),"?")))</f>
        <v/>
      </c>
      <c r="E93" s="204" t="str">
        <f aca="false">IF(LEFT(C93,4)="ผรม.",TRIM(MID(C93,5,5)),IF(OR(C93="ทั้งเฟส",LEFT(C93,3)="เขต"),"",IF(C93="","",IF(OR(C93="ทั้งเฟส",LEFT(C93,4)="ผรม.",LEFT(C93,3)="เขต"),C93,IFERROR(INDEX('Master Plan'!$L$8:$L$27,MATCH(C93,'Master Plan'!$A$8:$A$27,0)),"?")))))</f>
        <v/>
      </c>
      <c r="F93" s="60"/>
      <c r="G93" s="207"/>
      <c r="H93" s="207"/>
      <c r="I93" s="215" t="str">
        <f aca="false">IF(AND(ISNUMBER(G93),ISNUMBER(H93)),H93-G93,"")</f>
        <v/>
      </c>
      <c r="J93" s="216"/>
      <c r="K93" s="60"/>
      <c r="L93" s="60"/>
      <c r="M93" s="113"/>
      <c r="N93" s="60"/>
      <c r="O93" s="60"/>
      <c r="P93" s="131" t="str">
        <f aca="false">IF(B93="","",IF(LEFT(F93,8)="Baseline","ผู้บริหาร + กปภ.",IF(ABS(N(J93))=0,"วิศวกร / ทีม",IF(ABS(N(J93))&lt;=CR_T1,"PM",IF(ABS(N(J93))&lt;=CR_T2,"Change Board","ผู้บริหาร + กปภ.")))))</f>
        <v/>
      </c>
      <c r="Q93" s="60"/>
      <c r="R93" s="60"/>
      <c r="S93" s="207"/>
    </row>
    <row r="94" customFormat="false" ht="15" hidden="false" customHeight="false" outlineLevel="0" collapsed="false">
      <c r="A94" s="138" t="str">
        <f aca="false">IF(B94="","","CR-"&amp;TEXT(ROW()-6,"000"))</f>
        <v/>
      </c>
      <c r="B94" s="207"/>
      <c r="C94" s="60"/>
      <c r="D94" s="131" t="str">
        <f aca="false">IF(C94="","",IF(OR(C94="ทั้งเฟส",LEFT(C94,4)="ผรม.",LEFT(C94,3)="เขต"),C94,IFERROR(INDEX('Master Plan'!$B$8:$B$27,MATCH(C94,'Master Plan'!$A$8:$A$27,0)),"?")))</f>
        <v/>
      </c>
      <c r="E94" s="204" t="str">
        <f aca="false">IF(LEFT(C94,4)="ผรม.",TRIM(MID(C94,5,5)),IF(OR(C94="ทั้งเฟส",LEFT(C94,3)="เขต"),"",IF(C94="","",IF(OR(C94="ทั้งเฟส",LEFT(C94,4)="ผรม.",LEFT(C94,3)="เขต"),C94,IFERROR(INDEX('Master Plan'!$L$8:$L$27,MATCH(C94,'Master Plan'!$A$8:$A$27,0)),"?")))))</f>
        <v/>
      </c>
      <c r="F94" s="60"/>
      <c r="G94" s="207"/>
      <c r="H94" s="207"/>
      <c r="I94" s="215" t="str">
        <f aca="false">IF(AND(ISNUMBER(G94),ISNUMBER(H94)),H94-G94,"")</f>
        <v/>
      </c>
      <c r="J94" s="216"/>
      <c r="K94" s="60"/>
      <c r="L94" s="60"/>
      <c r="M94" s="113"/>
      <c r="N94" s="60"/>
      <c r="O94" s="60"/>
      <c r="P94" s="131" t="str">
        <f aca="false">IF(B94="","",IF(LEFT(F94,8)="Baseline","ผู้บริหาร + กปภ.",IF(ABS(N(J94))=0,"วิศวกร / ทีม",IF(ABS(N(J94))&lt;=CR_T1,"PM",IF(ABS(N(J94))&lt;=CR_T2,"Change Board","ผู้บริหาร + กปภ.")))))</f>
        <v/>
      </c>
      <c r="Q94" s="60"/>
      <c r="R94" s="60"/>
      <c r="S94" s="207"/>
    </row>
    <row r="95" customFormat="false" ht="15" hidden="false" customHeight="false" outlineLevel="0" collapsed="false">
      <c r="A95" s="138" t="str">
        <f aca="false">IF(B95="","","CR-"&amp;TEXT(ROW()-6,"000"))</f>
        <v/>
      </c>
      <c r="B95" s="207"/>
      <c r="C95" s="60"/>
      <c r="D95" s="131" t="str">
        <f aca="false">IF(C95="","",IF(OR(C95="ทั้งเฟส",LEFT(C95,4)="ผรม.",LEFT(C95,3)="เขต"),C95,IFERROR(INDEX('Master Plan'!$B$8:$B$27,MATCH(C95,'Master Plan'!$A$8:$A$27,0)),"?")))</f>
        <v/>
      </c>
      <c r="E95" s="204" t="str">
        <f aca="false">IF(LEFT(C95,4)="ผรม.",TRIM(MID(C95,5,5)),IF(OR(C95="ทั้งเฟส",LEFT(C95,3)="เขต"),"",IF(C95="","",IF(OR(C95="ทั้งเฟส",LEFT(C95,4)="ผรม.",LEFT(C95,3)="เขต"),C95,IFERROR(INDEX('Master Plan'!$L$8:$L$27,MATCH(C95,'Master Plan'!$A$8:$A$27,0)),"?")))))</f>
        <v/>
      </c>
      <c r="F95" s="60"/>
      <c r="G95" s="207"/>
      <c r="H95" s="207"/>
      <c r="I95" s="215" t="str">
        <f aca="false">IF(AND(ISNUMBER(G95),ISNUMBER(H95)),H95-G95,"")</f>
        <v/>
      </c>
      <c r="J95" s="216"/>
      <c r="K95" s="60"/>
      <c r="L95" s="60"/>
      <c r="M95" s="113"/>
      <c r="N95" s="60"/>
      <c r="O95" s="60"/>
      <c r="P95" s="131" t="str">
        <f aca="false">IF(B95="","",IF(LEFT(F95,8)="Baseline","ผู้บริหาร + กปภ.",IF(ABS(N(J95))=0,"วิศวกร / ทีม",IF(ABS(N(J95))&lt;=CR_T1,"PM",IF(ABS(N(J95))&lt;=CR_T2,"Change Board","ผู้บริหาร + กปภ.")))))</f>
        <v/>
      </c>
      <c r="Q95" s="60"/>
      <c r="R95" s="60"/>
      <c r="S95" s="207"/>
    </row>
    <row r="96" customFormat="false" ht="15" hidden="false" customHeight="false" outlineLevel="0" collapsed="false">
      <c r="A96" s="138" t="str">
        <f aca="false">IF(B96="","","CR-"&amp;TEXT(ROW()-6,"000"))</f>
        <v/>
      </c>
      <c r="B96" s="207"/>
      <c r="C96" s="60"/>
      <c r="D96" s="131" t="str">
        <f aca="false">IF(C96="","",IF(OR(C96="ทั้งเฟส",LEFT(C96,4)="ผรม.",LEFT(C96,3)="เขต"),C96,IFERROR(INDEX('Master Plan'!$B$8:$B$27,MATCH(C96,'Master Plan'!$A$8:$A$27,0)),"?")))</f>
        <v/>
      </c>
      <c r="E96" s="204" t="str">
        <f aca="false">IF(LEFT(C96,4)="ผรม.",TRIM(MID(C96,5,5)),IF(OR(C96="ทั้งเฟส",LEFT(C96,3)="เขต"),"",IF(C96="","",IF(OR(C96="ทั้งเฟส",LEFT(C96,4)="ผรม.",LEFT(C96,3)="เขต"),C96,IFERROR(INDEX('Master Plan'!$L$8:$L$27,MATCH(C96,'Master Plan'!$A$8:$A$27,0)),"?")))))</f>
        <v/>
      </c>
      <c r="F96" s="60"/>
      <c r="G96" s="207"/>
      <c r="H96" s="207"/>
      <c r="I96" s="215" t="str">
        <f aca="false">IF(AND(ISNUMBER(G96),ISNUMBER(H96)),H96-G96,"")</f>
        <v/>
      </c>
      <c r="J96" s="216"/>
      <c r="K96" s="60"/>
      <c r="L96" s="60"/>
      <c r="M96" s="113"/>
      <c r="N96" s="60"/>
      <c r="O96" s="60"/>
      <c r="P96" s="131" t="str">
        <f aca="false">IF(B96="","",IF(LEFT(F96,8)="Baseline","ผู้บริหาร + กปภ.",IF(ABS(N(J96))=0,"วิศวกร / ทีม",IF(ABS(N(J96))&lt;=CR_T1,"PM",IF(ABS(N(J96))&lt;=CR_T2,"Change Board","ผู้บริหาร + กปภ.")))))</f>
        <v/>
      </c>
      <c r="Q96" s="60"/>
      <c r="R96" s="60"/>
      <c r="S96" s="207"/>
    </row>
    <row r="97" customFormat="false" ht="15" hidden="false" customHeight="false" outlineLevel="0" collapsed="false">
      <c r="A97" s="138" t="str">
        <f aca="false">IF(B97="","","CR-"&amp;TEXT(ROW()-6,"000"))</f>
        <v/>
      </c>
      <c r="B97" s="207"/>
      <c r="C97" s="60"/>
      <c r="D97" s="131" t="str">
        <f aca="false">IF(C97="","",IF(OR(C97="ทั้งเฟส",LEFT(C97,4)="ผรม.",LEFT(C97,3)="เขต"),C97,IFERROR(INDEX('Master Plan'!$B$8:$B$27,MATCH(C97,'Master Plan'!$A$8:$A$27,0)),"?")))</f>
        <v/>
      </c>
      <c r="E97" s="204" t="str">
        <f aca="false">IF(LEFT(C97,4)="ผรม.",TRIM(MID(C97,5,5)),IF(OR(C97="ทั้งเฟส",LEFT(C97,3)="เขต"),"",IF(C97="","",IF(OR(C97="ทั้งเฟส",LEFT(C97,4)="ผรม.",LEFT(C97,3)="เขต"),C97,IFERROR(INDEX('Master Plan'!$L$8:$L$27,MATCH(C97,'Master Plan'!$A$8:$A$27,0)),"?")))))</f>
        <v/>
      </c>
      <c r="F97" s="60"/>
      <c r="G97" s="207"/>
      <c r="H97" s="207"/>
      <c r="I97" s="215" t="str">
        <f aca="false">IF(AND(ISNUMBER(G97),ISNUMBER(H97)),H97-G97,"")</f>
        <v/>
      </c>
      <c r="J97" s="216"/>
      <c r="K97" s="60"/>
      <c r="L97" s="60"/>
      <c r="M97" s="113"/>
      <c r="N97" s="60"/>
      <c r="O97" s="60"/>
      <c r="P97" s="131" t="str">
        <f aca="false">IF(B97="","",IF(LEFT(F97,8)="Baseline","ผู้บริหาร + กปภ.",IF(ABS(N(J97))=0,"วิศวกร / ทีม",IF(ABS(N(J97))&lt;=CR_T1,"PM",IF(ABS(N(J97))&lt;=CR_T2,"Change Board","ผู้บริหาร + กปภ.")))))</f>
        <v/>
      </c>
      <c r="Q97" s="60"/>
      <c r="R97" s="60"/>
      <c r="S97" s="207"/>
    </row>
    <row r="98" customFormat="false" ht="15" hidden="false" customHeight="false" outlineLevel="0" collapsed="false">
      <c r="A98" s="138" t="str">
        <f aca="false">IF(B98="","","CR-"&amp;TEXT(ROW()-6,"000"))</f>
        <v/>
      </c>
      <c r="B98" s="207"/>
      <c r="C98" s="60"/>
      <c r="D98" s="131" t="str">
        <f aca="false">IF(C98="","",IF(OR(C98="ทั้งเฟส",LEFT(C98,4)="ผรม.",LEFT(C98,3)="เขต"),C98,IFERROR(INDEX('Master Plan'!$B$8:$B$27,MATCH(C98,'Master Plan'!$A$8:$A$27,0)),"?")))</f>
        <v/>
      </c>
      <c r="E98" s="204" t="str">
        <f aca="false">IF(LEFT(C98,4)="ผรม.",TRIM(MID(C98,5,5)),IF(OR(C98="ทั้งเฟส",LEFT(C98,3)="เขต"),"",IF(C98="","",IF(OR(C98="ทั้งเฟส",LEFT(C98,4)="ผรม.",LEFT(C98,3)="เขต"),C98,IFERROR(INDEX('Master Plan'!$L$8:$L$27,MATCH(C98,'Master Plan'!$A$8:$A$27,0)),"?")))))</f>
        <v/>
      </c>
      <c r="F98" s="60"/>
      <c r="G98" s="207"/>
      <c r="H98" s="207"/>
      <c r="I98" s="215" t="str">
        <f aca="false">IF(AND(ISNUMBER(G98),ISNUMBER(H98)),H98-G98,"")</f>
        <v/>
      </c>
      <c r="J98" s="216"/>
      <c r="K98" s="60"/>
      <c r="L98" s="60"/>
      <c r="M98" s="113"/>
      <c r="N98" s="60"/>
      <c r="O98" s="60"/>
      <c r="P98" s="131" t="str">
        <f aca="false">IF(B98="","",IF(LEFT(F98,8)="Baseline","ผู้บริหาร + กปภ.",IF(ABS(N(J98))=0,"วิศวกร / ทีม",IF(ABS(N(J98))&lt;=CR_T1,"PM",IF(ABS(N(J98))&lt;=CR_T2,"Change Board","ผู้บริหาร + กปภ.")))))</f>
        <v/>
      </c>
      <c r="Q98" s="60"/>
      <c r="R98" s="60"/>
      <c r="S98" s="207"/>
    </row>
    <row r="99" customFormat="false" ht="15" hidden="false" customHeight="false" outlineLevel="0" collapsed="false">
      <c r="A99" s="138" t="str">
        <f aca="false">IF(B99="","","CR-"&amp;TEXT(ROW()-6,"000"))</f>
        <v/>
      </c>
      <c r="B99" s="207"/>
      <c r="C99" s="60"/>
      <c r="D99" s="131" t="str">
        <f aca="false">IF(C99="","",IF(OR(C99="ทั้งเฟส",LEFT(C99,4)="ผรม.",LEFT(C99,3)="เขต"),C99,IFERROR(INDEX('Master Plan'!$B$8:$B$27,MATCH(C99,'Master Plan'!$A$8:$A$27,0)),"?")))</f>
        <v/>
      </c>
      <c r="E99" s="204" t="str">
        <f aca="false">IF(LEFT(C99,4)="ผรม.",TRIM(MID(C99,5,5)),IF(OR(C99="ทั้งเฟส",LEFT(C99,3)="เขต"),"",IF(C99="","",IF(OR(C99="ทั้งเฟส",LEFT(C99,4)="ผรม.",LEFT(C99,3)="เขต"),C99,IFERROR(INDEX('Master Plan'!$L$8:$L$27,MATCH(C99,'Master Plan'!$A$8:$A$27,0)),"?")))))</f>
        <v/>
      </c>
      <c r="F99" s="60"/>
      <c r="G99" s="207"/>
      <c r="H99" s="207"/>
      <c r="I99" s="215" t="str">
        <f aca="false">IF(AND(ISNUMBER(G99),ISNUMBER(H99)),H99-G99,"")</f>
        <v/>
      </c>
      <c r="J99" s="216"/>
      <c r="K99" s="60"/>
      <c r="L99" s="60"/>
      <c r="M99" s="113"/>
      <c r="N99" s="60"/>
      <c r="O99" s="60"/>
      <c r="P99" s="131" t="str">
        <f aca="false">IF(B99="","",IF(LEFT(F99,8)="Baseline","ผู้บริหาร + กปภ.",IF(ABS(N(J99))=0,"วิศวกร / ทีม",IF(ABS(N(J99))&lt;=CR_T1,"PM",IF(ABS(N(J99))&lt;=CR_T2,"Change Board","ผู้บริหาร + กปภ.")))))</f>
        <v/>
      </c>
      <c r="Q99" s="60"/>
      <c r="R99" s="60"/>
      <c r="S99" s="207"/>
    </row>
    <row r="100" customFormat="false" ht="15" hidden="false" customHeight="false" outlineLevel="0" collapsed="false">
      <c r="A100" s="138" t="str">
        <f aca="false">IF(B100="","","CR-"&amp;TEXT(ROW()-6,"000"))</f>
        <v/>
      </c>
      <c r="B100" s="207"/>
      <c r="C100" s="60"/>
      <c r="D100" s="131" t="str">
        <f aca="false">IF(C100="","",IF(OR(C100="ทั้งเฟส",LEFT(C100,4)="ผรม.",LEFT(C100,3)="เขต"),C100,IFERROR(INDEX('Master Plan'!$B$8:$B$27,MATCH(C100,'Master Plan'!$A$8:$A$27,0)),"?")))</f>
        <v/>
      </c>
      <c r="E100" s="204" t="str">
        <f aca="false">IF(LEFT(C100,4)="ผรม.",TRIM(MID(C100,5,5)),IF(OR(C100="ทั้งเฟส",LEFT(C100,3)="เขต"),"",IF(C100="","",IF(OR(C100="ทั้งเฟส",LEFT(C100,4)="ผรม.",LEFT(C100,3)="เขต"),C100,IFERROR(INDEX('Master Plan'!$L$8:$L$27,MATCH(C100,'Master Plan'!$A$8:$A$27,0)),"?")))))</f>
        <v/>
      </c>
      <c r="F100" s="60"/>
      <c r="G100" s="207"/>
      <c r="H100" s="207"/>
      <c r="I100" s="215" t="str">
        <f aca="false">IF(AND(ISNUMBER(G100),ISNUMBER(H100)),H100-G100,"")</f>
        <v/>
      </c>
      <c r="J100" s="216"/>
      <c r="K100" s="60"/>
      <c r="L100" s="60"/>
      <c r="M100" s="113"/>
      <c r="N100" s="60"/>
      <c r="O100" s="60"/>
      <c r="P100" s="131" t="str">
        <f aca="false">IF(B100="","",IF(LEFT(F100,8)="Baseline","ผู้บริหาร + กปภ.",IF(ABS(N(J100))=0,"วิศวกร / ทีม",IF(ABS(N(J100))&lt;=CR_T1,"PM",IF(ABS(N(J100))&lt;=CR_T2,"Change Board","ผู้บริหาร + กปภ.")))))</f>
        <v/>
      </c>
      <c r="Q100" s="60"/>
      <c r="R100" s="60"/>
      <c r="S100" s="207"/>
    </row>
    <row r="101" customFormat="false" ht="15" hidden="false" customHeight="false" outlineLevel="0" collapsed="false">
      <c r="A101" s="138" t="str">
        <f aca="false">IF(B101="","","CR-"&amp;TEXT(ROW()-6,"000"))</f>
        <v/>
      </c>
      <c r="B101" s="207"/>
      <c r="C101" s="60"/>
      <c r="D101" s="131" t="str">
        <f aca="false">IF(C101="","",IF(OR(C101="ทั้งเฟส",LEFT(C101,4)="ผรม.",LEFT(C101,3)="เขต"),C101,IFERROR(INDEX('Master Plan'!$B$8:$B$27,MATCH(C101,'Master Plan'!$A$8:$A$27,0)),"?")))</f>
        <v/>
      </c>
      <c r="E101" s="204" t="str">
        <f aca="false">IF(LEFT(C101,4)="ผรม.",TRIM(MID(C101,5,5)),IF(OR(C101="ทั้งเฟส",LEFT(C101,3)="เขต"),"",IF(C101="","",IF(OR(C101="ทั้งเฟส",LEFT(C101,4)="ผรม.",LEFT(C101,3)="เขต"),C101,IFERROR(INDEX('Master Plan'!$L$8:$L$27,MATCH(C101,'Master Plan'!$A$8:$A$27,0)),"?")))))</f>
        <v/>
      </c>
      <c r="F101" s="60"/>
      <c r="G101" s="207"/>
      <c r="H101" s="207"/>
      <c r="I101" s="215" t="str">
        <f aca="false">IF(AND(ISNUMBER(G101),ISNUMBER(H101)),H101-G101,"")</f>
        <v/>
      </c>
      <c r="J101" s="216"/>
      <c r="K101" s="60"/>
      <c r="L101" s="60"/>
      <c r="M101" s="113"/>
      <c r="N101" s="60"/>
      <c r="O101" s="60"/>
      <c r="P101" s="131" t="str">
        <f aca="false">IF(B101="","",IF(LEFT(F101,8)="Baseline","ผู้บริหาร + กปภ.",IF(ABS(N(J101))=0,"วิศวกร / ทีม",IF(ABS(N(J101))&lt;=CR_T1,"PM",IF(ABS(N(J101))&lt;=CR_T2,"Change Board","ผู้บริหาร + กปภ.")))))</f>
        <v/>
      </c>
      <c r="Q101" s="60"/>
      <c r="R101" s="60"/>
      <c r="S101" s="207"/>
    </row>
    <row r="102" customFormat="false" ht="15" hidden="false" customHeight="false" outlineLevel="0" collapsed="false">
      <c r="A102" s="138" t="str">
        <f aca="false">IF(B102="","","CR-"&amp;TEXT(ROW()-6,"000"))</f>
        <v/>
      </c>
      <c r="B102" s="207"/>
      <c r="C102" s="60"/>
      <c r="D102" s="131" t="str">
        <f aca="false">IF(C102="","",IF(OR(C102="ทั้งเฟส",LEFT(C102,4)="ผรม.",LEFT(C102,3)="เขต"),C102,IFERROR(INDEX('Master Plan'!$B$8:$B$27,MATCH(C102,'Master Plan'!$A$8:$A$27,0)),"?")))</f>
        <v/>
      </c>
      <c r="E102" s="204" t="str">
        <f aca="false">IF(LEFT(C102,4)="ผรม.",TRIM(MID(C102,5,5)),IF(OR(C102="ทั้งเฟส",LEFT(C102,3)="เขต"),"",IF(C102="","",IF(OR(C102="ทั้งเฟส",LEFT(C102,4)="ผรม.",LEFT(C102,3)="เขต"),C102,IFERROR(INDEX('Master Plan'!$L$8:$L$27,MATCH(C102,'Master Plan'!$A$8:$A$27,0)),"?")))))</f>
        <v/>
      </c>
      <c r="F102" s="60"/>
      <c r="G102" s="207"/>
      <c r="H102" s="207"/>
      <c r="I102" s="215" t="str">
        <f aca="false">IF(AND(ISNUMBER(G102),ISNUMBER(H102)),H102-G102,"")</f>
        <v/>
      </c>
      <c r="J102" s="216"/>
      <c r="K102" s="60"/>
      <c r="L102" s="60"/>
      <c r="M102" s="113"/>
      <c r="N102" s="60"/>
      <c r="O102" s="60"/>
      <c r="P102" s="131" t="str">
        <f aca="false">IF(B102="","",IF(LEFT(F102,8)="Baseline","ผู้บริหาร + กปภ.",IF(ABS(N(J102))=0,"วิศวกร / ทีม",IF(ABS(N(J102))&lt;=CR_T1,"PM",IF(ABS(N(J102))&lt;=CR_T2,"Change Board","ผู้บริหาร + กปภ.")))))</f>
        <v/>
      </c>
      <c r="Q102" s="60"/>
      <c r="R102" s="60"/>
      <c r="S102" s="207"/>
    </row>
    <row r="103" customFormat="false" ht="15" hidden="false" customHeight="false" outlineLevel="0" collapsed="false">
      <c r="A103" s="138" t="str">
        <f aca="false">IF(B103="","","CR-"&amp;TEXT(ROW()-6,"000"))</f>
        <v/>
      </c>
      <c r="B103" s="207"/>
      <c r="C103" s="60"/>
      <c r="D103" s="131" t="str">
        <f aca="false">IF(C103="","",IF(OR(C103="ทั้งเฟส",LEFT(C103,4)="ผรม.",LEFT(C103,3)="เขต"),C103,IFERROR(INDEX('Master Plan'!$B$8:$B$27,MATCH(C103,'Master Plan'!$A$8:$A$27,0)),"?")))</f>
        <v/>
      </c>
      <c r="E103" s="204" t="str">
        <f aca="false">IF(LEFT(C103,4)="ผรม.",TRIM(MID(C103,5,5)),IF(OR(C103="ทั้งเฟส",LEFT(C103,3)="เขต"),"",IF(C103="","",IF(OR(C103="ทั้งเฟส",LEFT(C103,4)="ผรม.",LEFT(C103,3)="เขต"),C103,IFERROR(INDEX('Master Plan'!$L$8:$L$27,MATCH(C103,'Master Plan'!$A$8:$A$27,0)),"?")))))</f>
        <v/>
      </c>
      <c r="F103" s="60"/>
      <c r="G103" s="207"/>
      <c r="H103" s="207"/>
      <c r="I103" s="215" t="str">
        <f aca="false">IF(AND(ISNUMBER(G103),ISNUMBER(H103)),H103-G103,"")</f>
        <v/>
      </c>
      <c r="J103" s="216"/>
      <c r="K103" s="60"/>
      <c r="L103" s="60"/>
      <c r="M103" s="113"/>
      <c r="N103" s="60"/>
      <c r="O103" s="60"/>
      <c r="P103" s="131" t="str">
        <f aca="false">IF(B103="","",IF(LEFT(F103,8)="Baseline","ผู้บริหาร + กปภ.",IF(ABS(N(J103))=0,"วิศวกร / ทีม",IF(ABS(N(J103))&lt;=CR_T1,"PM",IF(ABS(N(J103))&lt;=CR_T2,"Change Board","ผู้บริหาร + กปภ.")))))</f>
        <v/>
      </c>
      <c r="Q103" s="60"/>
      <c r="R103" s="60"/>
      <c r="S103" s="207"/>
    </row>
    <row r="104" customFormat="false" ht="15" hidden="false" customHeight="false" outlineLevel="0" collapsed="false">
      <c r="A104" s="138" t="str">
        <f aca="false">IF(B104="","","CR-"&amp;TEXT(ROW()-6,"000"))</f>
        <v/>
      </c>
      <c r="B104" s="207"/>
      <c r="C104" s="60"/>
      <c r="D104" s="131" t="str">
        <f aca="false">IF(C104="","",IF(OR(C104="ทั้งเฟส",LEFT(C104,4)="ผรม.",LEFT(C104,3)="เขต"),C104,IFERROR(INDEX('Master Plan'!$B$8:$B$27,MATCH(C104,'Master Plan'!$A$8:$A$27,0)),"?")))</f>
        <v/>
      </c>
      <c r="E104" s="204" t="str">
        <f aca="false">IF(LEFT(C104,4)="ผรม.",TRIM(MID(C104,5,5)),IF(OR(C104="ทั้งเฟส",LEFT(C104,3)="เขต"),"",IF(C104="","",IF(OR(C104="ทั้งเฟส",LEFT(C104,4)="ผรม.",LEFT(C104,3)="เขต"),C104,IFERROR(INDEX('Master Plan'!$L$8:$L$27,MATCH(C104,'Master Plan'!$A$8:$A$27,0)),"?")))))</f>
        <v/>
      </c>
      <c r="F104" s="60"/>
      <c r="G104" s="207"/>
      <c r="H104" s="207"/>
      <c r="I104" s="215" t="str">
        <f aca="false">IF(AND(ISNUMBER(G104),ISNUMBER(H104)),H104-G104,"")</f>
        <v/>
      </c>
      <c r="J104" s="216"/>
      <c r="K104" s="60"/>
      <c r="L104" s="60"/>
      <c r="M104" s="113"/>
      <c r="N104" s="60"/>
      <c r="O104" s="60"/>
      <c r="P104" s="131" t="str">
        <f aca="false">IF(B104="","",IF(LEFT(F104,8)="Baseline","ผู้บริหาร + กปภ.",IF(ABS(N(J104))=0,"วิศวกร / ทีม",IF(ABS(N(J104))&lt;=CR_T1,"PM",IF(ABS(N(J104))&lt;=CR_T2,"Change Board","ผู้บริหาร + กปภ.")))))</f>
        <v/>
      </c>
      <c r="Q104" s="60"/>
      <c r="R104" s="60"/>
      <c r="S104" s="207"/>
    </row>
    <row r="105" customFormat="false" ht="15" hidden="false" customHeight="false" outlineLevel="0" collapsed="false">
      <c r="A105" s="138" t="str">
        <f aca="false">IF(B105="","","CR-"&amp;TEXT(ROW()-6,"000"))</f>
        <v/>
      </c>
      <c r="B105" s="207"/>
      <c r="C105" s="60"/>
      <c r="D105" s="131" t="str">
        <f aca="false">IF(C105="","",IF(OR(C105="ทั้งเฟส",LEFT(C105,4)="ผรม.",LEFT(C105,3)="เขต"),C105,IFERROR(INDEX('Master Plan'!$B$8:$B$27,MATCH(C105,'Master Plan'!$A$8:$A$27,0)),"?")))</f>
        <v/>
      </c>
      <c r="E105" s="204" t="str">
        <f aca="false">IF(LEFT(C105,4)="ผรม.",TRIM(MID(C105,5,5)),IF(OR(C105="ทั้งเฟส",LEFT(C105,3)="เขต"),"",IF(C105="","",IF(OR(C105="ทั้งเฟส",LEFT(C105,4)="ผรม.",LEFT(C105,3)="เขต"),C105,IFERROR(INDEX('Master Plan'!$L$8:$L$27,MATCH(C105,'Master Plan'!$A$8:$A$27,0)),"?")))))</f>
        <v/>
      </c>
      <c r="F105" s="60"/>
      <c r="G105" s="207"/>
      <c r="H105" s="207"/>
      <c r="I105" s="215" t="str">
        <f aca="false">IF(AND(ISNUMBER(G105),ISNUMBER(H105)),H105-G105,"")</f>
        <v/>
      </c>
      <c r="J105" s="216"/>
      <c r="K105" s="60"/>
      <c r="L105" s="60"/>
      <c r="M105" s="113"/>
      <c r="N105" s="60"/>
      <c r="O105" s="60"/>
      <c r="P105" s="131" t="str">
        <f aca="false">IF(B105="","",IF(LEFT(F105,8)="Baseline","ผู้บริหาร + กปภ.",IF(ABS(N(J105))=0,"วิศวกร / ทีม",IF(ABS(N(J105))&lt;=CR_T1,"PM",IF(ABS(N(J105))&lt;=CR_T2,"Change Board","ผู้บริหาร + กปภ.")))))</f>
        <v/>
      </c>
      <c r="Q105" s="60"/>
      <c r="R105" s="60"/>
      <c r="S105" s="207"/>
    </row>
    <row r="106" customFormat="false" ht="15" hidden="false" customHeight="false" outlineLevel="0" collapsed="false">
      <c r="A106" s="138" t="str">
        <f aca="false">IF(B106="","","CR-"&amp;TEXT(ROW()-6,"000"))</f>
        <v/>
      </c>
      <c r="B106" s="207"/>
      <c r="C106" s="60"/>
      <c r="D106" s="131" t="str">
        <f aca="false">IF(C106="","",IF(OR(C106="ทั้งเฟส",LEFT(C106,4)="ผรม.",LEFT(C106,3)="เขต"),C106,IFERROR(INDEX('Master Plan'!$B$8:$B$27,MATCH(C106,'Master Plan'!$A$8:$A$27,0)),"?")))</f>
        <v/>
      </c>
      <c r="E106" s="204" t="str">
        <f aca="false">IF(LEFT(C106,4)="ผรม.",TRIM(MID(C106,5,5)),IF(OR(C106="ทั้งเฟส",LEFT(C106,3)="เขต"),"",IF(C106="","",IF(OR(C106="ทั้งเฟส",LEFT(C106,4)="ผรม.",LEFT(C106,3)="เขต"),C106,IFERROR(INDEX('Master Plan'!$L$8:$L$27,MATCH(C106,'Master Plan'!$A$8:$A$27,0)),"?")))))</f>
        <v/>
      </c>
      <c r="F106" s="60"/>
      <c r="G106" s="207"/>
      <c r="H106" s="207"/>
      <c r="I106" s="215" t="str">
        <f aca="false">IF(AND(ISNUMBER(G106),ISNUMBER(H106)),H106-G106,"")</f>
        <v/>
      </c>
      <c r="J106" s="216"/>
      <c r="K106" s="60"/>
      <c r="L106" s="60"/>
      <c r="M106" s="113"/>
      <c r="N106" s="60"/>
      <c r="O106" s="60"/>
      <c r="P106" s="131" t="str">
        <f aca="false">IF(B106="","",IF(LEFT(F106,8)="Baseline","ผู้บริหาร + กปภ.",IF(ABS(N(J106))=0,"วิศวกร / ทีม",IF(ABS(N(J106))&lt;=CR_T1,"PM",IF(ABS(N(J106))&lt;=CR_T2,"Change Board","ผู้บริหาร + กปภ.")))))</f>
        <v/>
      </c>
      <c r="Q106" s="60"/>
      <c r="R106" s="60"/>
      <c r="S106" s="207"/>
    </row>
    <row r="107" customFormat="false" ht="15" hidden="false" customHeight="false" outlineLevel="0" collapsed="false">
      <c r="A107" s="138" t="str">
        <f aca="false">IF(B107="","","CR-"&amp;TEXT(ROW()-6,"000"))</f>
        <v/>
      </c>
      <c r="B107" s="207"/>
      <c r="C107" s="60"/>
      <c r="D107" s="131" t="str">
        <f aca="false">IF(C107="","",IF(OR(C107="ทั้งเฟส",LEFT(C107,4)="ผรม.",LEFT(C107,3)="เขต"),C107,IFERROR(INDEX('Master Plan'!$B$8:$B$27,MATCH(C107,'Master Plan'!$A$8:$A$27,0)),"?")))</f>
        <v/>
      </c>
      <c r="E107" s="204" t="str">
        <f aca="false">IF(LEFT(C107,4)="ผรม.",TRIM(MID(C107,5,5)),IF(OR(C107="ทั้งเฟส",LEFT(C107,3)="เขต"),"",IF(C107="","",IF(OR(C107="ทั้งเฟส",LEFT(C107,4)="ผรม.",LEFT(C107,3)="เขต"),C107,IFERROR(INDEX('Master Plan'!$L$8:$L$27,MATCH(C107,'Master Plan'!$A$8:$A$27,0)),"?")))))</f>
        <v/>
      </c>
      <c r="F107" s="60"/>
      <c r="G107" s="207"/>
      <c r="H107" s="207"/>
      <c r="I107" s="215" t="str">
        <f aca="false">IF(AND(ISNUMBER(G107),ISNUMBER(H107)),H107-G107,"")</f>
        <v/>
      </c>
      <c r="J107" s="216"/>
      <c r="K107" s="60"/>
      <c r="L107" s="60"/>
      <c r="M107" s="113"/>
      <c r="N107" s="60"/>
      <c r="O107" s="60"/>
      <c r="P107" s="131" t="str">
        <f aca="false">IF(B107="","",IF(LEFT(F107,8)="Baseline","ผู้บริหาร + กปภ.",IF(ABS(N(J107))=0,"วิศวกร / ทีม",IF(ABS(N(J107))&lt;=CR_T1,"PM",IF(ABS(N(J107))&lt;=CR_T2,"Change Board","ผู้บริหาร + กปภ.")))))</f>
        <v/>
      </c>
      <c r="Q107" s="60"/>
      <c r="R107" s="60"/>
      <c r="S107" s="207"/>
    </row>
    <row r="108" customFormat="false" ht="15" hidden="false" customHeight="false" outlineLevel="0" collapsed="false">
      <c r="A108" s="138" t="str">
        <f aca="false">IF(B108="","","CR-"&amp;TEXT(ROW()-6,"000"))</f>
        <v/>
      </c>
      <c r="B108" s="207"/>
      <c r="C108" s="60"/>
      <c r="D108" s="131" t="str">
        <f aca="false">IF(C108="","",IF(OR(C108="ทั้งเฟส",LEFT(C108,4)="ผรม.",LEFT(C108,3)="เขต"),C108,IFERROR(INDEX('Master Plan'!$B$8:$B$27,MATCH(C108,'Master Plan'!$A$8:$A$27,0)),"?")))</f>
        <v/>
      </c>
      <c r="E108" s="204" t="str">
        <f aca="false">IF(LEFT(C108,4)="ผรม.",TRIM(MID(C108,5,5)),IF(OR(C108="ทั้งเฟส",LEFT(C108,3)="เขต"),"",IF(C108="","",IF(OR(C108="ทั้งเฟส",LEFT(C108,4)="ผรม.",LEFT(C108,3)="เขต"),C108,IFERROR(INDEX('Master Plan'!$L$8:$L$27,MATCH(C108,'Master Plan'!$A$8:$A$27,0)),"?")))))</f>
        <v/>
      </c>
      <c r="F108" s="60"/>
      <c r="G108" s="207"/>
      <c r="H108" s="207"/>
      <c r="I108" s="215" t="str">
        <f aca="false">IF(AND(ISNUMBER(G108),ISNUMBER(H108)),H108-G108,"")</f>
        <v/>
      </c>
      <c r="J108" s="216"/>
      <c r="K108" s="60"/>
      <c r="L108" s="60"/>
      <c r="M108" s="113"/>
      <c r="N108" s="60"/>
      <c r="O108" s="60"/>
      <c r="P108" s="131" t="str">
        <f aca="false">IF(B108="","",IF(LEFT(F108,8)="Baseline","ผู้บริหาร + กปภ.",IF(ABS(N(J108))=0,"วิศวกร / ทีม",IF(ABS(N(J108))&lt;=CR_T1,"PM",IF(ABS(N(J108))&lt;=CR_T2,"Change Board","ผู้บริหาร + กปภ.")))))</f>
        <v/>
      </c>
      <c r="Q108" s="60"/>
      <c r="R108" s="60"/>
      <c r="S108" s="207"/>
    </row>
    <row r="109" customFormat="false" ht="15" hidden="false" customHeight="false" outlineLevel="0" collapsed="false">
      <c r="A109" s="138" t="str">
        <f aca="false">IF(B109="","","CR-"&amp;TEXT(ROW()-6,"000"))</f>
        <v/>
      </c>
      <c r="B109" s="207"/>
      <c r="C109" s="60"/>
      <c r="D109" s="131" t="str">
        <f aca="false">IF(C109="","",IF(OR(C109="ทั้งเฟส",LEFT(C109,4)="ผรม.",LEFT(C109,3)="เขต"),C109,IFERROR(INDEX('Master Plan'!$B$8:$B$27,MATCH(C109,'Master Plan'!$A$8:$A$27,0)),"?")))</f>
        <v/>
      </c>
      <c r="E109" s="204" t="str">
        <f aca="false">IF(LEFT(C109,4)="ผรม.",TRIM(MID(C109,5,5)),IF(OR(C109="ทั้งเฟส",LEFT(C109,3)="เขต"),"",IF(C109="","",IF(OR(C109="ทั้งเฟส",LEFT(C109,4)="ผรม.",LEFT(C109,3)="เขต"),C109,IFERROR(INDEX('Master Plan'!$L$8:$L$27,MATCH(C109,'Master Plan'!$A$8:$A$27,0)),"?")))))</f>
        <v/>
      </c>
      <c r="F109" s="60"/>
      <c r="G109" s="207"/>
      <c r="H109" s="207"/>
      <c r="I109" s="215" t="str">
        <f aca="false">IF(AND(ISNUMBER(G109),ISNUMBER(H109)),H109-G109,"")</f>
        <v/>
      </c>
      <c r="J109" s="216"/>
      <c r="K109" s="60"/>
      <c r="L109" s="60"/>
      <c r="M109" s="113"/>
      <c r="N109" s="60"/>
      <c r="O109" s="60"/>
      <c r="P109" s="131" t="str">
        <f aca="false">IF(B109="","",IF(LEFT(F109,8)="Baseline","ผู้บริหาร + กปภ.",IF(ABS(N(J109))=0,"วิศวกร / ทีม",IF(ABS(N(J109))&lt;=CR_T1,"PM",IF(ABS(N(J109))&lt;=CR_T2,"Change Board","ผู้บริหาร + กปภ.")))))</f>
        <v/>
      </c>
      <c r="Q109" s="60"/>
      <c r="R109" s="60"/>
      <c r="S109" s="207"/>
    </row>
    <row r="110" customFormat="false" ht="15" hidden="false" customHeight="false" outlineLevel="0" collapsed="false">
      <c r="A110" s="138" t="str">
        <f aca="false">IF(B110="","","CR-"&amp;TEXT(ROW()-6,"000"))</f>
        <v/>
      </c>
      <c r="B110" s="207"/>
      <c r="C110" s="60"/>
      <c r="D110" s="131" t="str">
        <f aca="false">IF(C110="","",IF(OR(C110="ทั้งเฟส",LEFT(C110,4)="ผรม.",LEFT(C110,3)="เขต"),C110,IFERROR(INDEX('Master Plan'!$B$8:$B$27,MATCH(C110,'Master Plan'!$A$8:$A$27,0)),"?")))</f>
        <v/>
      </c>
      <c r="E110" s="204" t="str">
        <f aca="false">IF(LEFT(C110,4)="ผรม.",TRIM(MID(C110,5,5)),IF(OR(C110="ทั้งเฟส",LEFT(C110,3)="เขต"),"",IF(C110="","",IF(OR(C110="ทั้งเฟส",LEFT(C110,4)="ผรม.",LEFT(C110,3)="เขต"),C110,IFERROR(INDEX('Master Plan'!$L$8:$L$27,MATCH(C110,'Master Plan'!$A$8:$A$27,0)),"?")))))</f>
        <v/>
      </c>
      <c r="F110" s="60"/>
      <c r="G110" s="207"/>
      <c r="H110" s="207"/>
      <c r="I110" s="215" t="str">
        <f aca="false">IF(AND(ISNUMBER(G110),ISNUMBER(H110)),H110-G110,"")</f>
        <v/>
      </c>
      <c r="J110" s="216"/>
      <c r="K110" s="60"/>
      <c r="L110" s="60"/>
      <c r="M110" s="113"/>
      <c r="N110" s="60"/>
      <c r="O110" s="60"/>
      <c r="P110" s="131" t="str">
        <f aca="false">IF(B110="","",IF(LEFT(F110,8)="Baseline","ผู้บริหาร + กปภ.",IF(ABS(N(J110))=0,"วิศวกร / ทีม",IF(ABS(N(J110))&lt;=CR_T1,"PM",IF(ABS(N(J110))&lt;=CR_T2,"Change Board","ผู้บริหาร + กปภ.")))))</f>
        <v/>
      </c>
      <c r="Q110" s="60"/>
      <c r="R110" s="60"/>
      <c r="S110" s="207"/>
    </row>
    <row r="111" customFormat="false" ht="15" hidden="false" customHeight="false" outlineLevel="0" collapsed="false">
      <c r="A111" s="138" t="str">
        <f aca="false">IF(B111="","","CR-"&amp;TEXT(ROW()-6,"000"))</f>
        <v/>
      </c>
      <c r="B111" s="207"/>
      <c r="C111" s="60"/>
      <c r="D111" s="131" t="str">
        <f aca="false">IF(C111="","",IF(OR(C111="ทั้งเฟส",LEFT(C111,4)="ผรม.",LEFT(C111,3)="เขต"),C111,IFERROR(INDEX('Master Plan'!$B$8:$B$27,MATCH(C111,'Master Plan'!$A$8:$A$27,0)),"?")))</f>
        <v/>
      </c>
      <c r="E111" s="204" t="str">
        <f aca="false">IF(LEFT(C111,4)="ผรม.",TRIM(MID(C111,5,5)),IF(OR(C111="ทั้งเฟส",LEFT(C111,3)="เขต"),"",IF(C111="","",IF(OR(C111="ทั้งเฟส",LEFT(C111,4)="ผรม.",LEFT(C111,3)="เขต"),C111,IFERROR(INDEX('Master Plan'!$L$8:$L$27,MATCH(C111,'Master Plan'!$A$8:$A$27,0)),"?")))))</f>
        <v/>
      </c>
      <c r="F111" s="60"/>
      <c r="G111" s="207"/>
      <c r="H111" s="207"/>
      <c r="I111" s="215" t="str">
        <f aca="false">IF(AND(ISNUMBER(G111),ISNUMBER(H111)),H111-G111,"")</f>
        <v/>
      </c>
      <c r="J111" s="216"/>
      <c r="K111" s="60"/>
      <c r="L111" s="60"/>
      <c r="M111" s="113"/>
      <c r="N111" s="60"/>
      <c r="O111" s="60"/>
      <c r="P111" s="131" t="str">
        <f aca="false">IF(B111="","",IF(LEFT(F111,8)="Baseline","ผู้บริหาร + กปภ.",IF(ABS(N(J111))=0,"วิศวกร / ทีม",IF(ABS(N(J111))&lt;=CR_T1,"PM",IF(ABS(N(J111))&lt;=CR_T2,"Change Board","ผู้บริหาร + กปภ.")))))</f>
        <v/>
      </c>
      <c r="Q111" s="60"/>
      <c r="R111" s="60"/>
      <c r="S111" s="207"/>
    </row>
    <row r="112" customFormat="false" ht="15" hidden="false" customHeight="false" outlineLevel="0" collapsed="false">
      <c r="A112" s="138" t="str">
        <f aca="false">IF(B112="","","CR-"&amp;TEXT(ROW()-6,"000"))</f>
        <v/>
      </c>
      <c r="B112" s="207"/>
      <c r="C112" s="60"/>
      <c r="D112" s="131" t="str">
        <f aca="false">IF(C112="","",IF(OR(C112="ทั้งเฟส",LEFT(C112,4)="ผรม.",LEFT(C112,3)="เขต"),C112,IFERROR(INDEX('Master Plan'!$B$8:$B$27,MATCH(C112,'Master Plan'!$A$8:$A$27,0)),"?")))</f>
        <v/>
      </c>
      <c r="E112" s="204" t="str">
        <f aca="false">IF(LEFT(C112,4)="ผรม.",TRIM(MID(C112,5,5)),IF(OR(C112="ทั้งเฟส",LEFT(C112,3)="เขต"),"",IF(C112="","",IF(OR(C112="ทั้งเฟส",LEFT(C112,4)="ผรม.",LEFT(C112,3)="เขต"),C112,IFERROR(INDEX('Master Plan'!$L$8:$L$27,MATCH(C112,'Master Plan'!$A$8:$A$27,0)),"?")))))</f>
        <v/>
      </c>
      <c r="F112" s="60"/>
      <c r="G112" s="207"/>
      <c r="H112" s="207"/>
      <c r="I112" s="215" t="str">
        <f aca="false">IF(AND(ISNUMBER(G112),ISNUMBER(H112)),H112-G112,"")</f>
        <v/>
      </c>
      <c r="J112" s="216"/>
      <c r="K112" s="60"/>
      <c r="L112" s="60"/>
      <c r="M112" s="113"/>
      <c r="N112" s="60"/>
      <c r="O112" s="60"/>
      <c r="P112" s="131" t="str">
        <f aca="false">IF(B112="","",IF(LEFT(F112,8)="Baseline","ผู้บริหาร + กปภ.",IF(ABS(N(J112))=0,"วิศวกร / ทีม",IF(ABS(N(J112))&lt;=CR_T1,"PM",IF(ABS(N(J112))&lt;=CR_T2,"Change Board","ผู้บริหาร + กปภ.")))))</f>
        <v/>
      </c>
      <c r="Q112" s="60"/>
      <c r="R112" s="60"/>
      <c r="S112" s="207"/>
    </row>
    <row r="113" customFormat="false" ht="15" hidden="false" customHeight="false" outlineLevel="0" collapsed="false">
      <c r="A113" s="138" t="str">
        <f aca="false">IF(B113="","","CR-"&amp;TEXT(ROW()-6,"000"))</f>
        <v/>
      </c>
      <c r="B113" s="207"/>
      <c r="C113" s="60"/>
      <c r="D113" s="131" t="str">
        <f aca="false">IF(C113="","",IF(OR(C113="ทั้งเฟส",LEFT(C113,4)="ผรม.",LEFT(C113,3)="เขต"),C113,IFERROR(INDEX('Master Plan'!$B$8:$B$27,MATCH(C113,'Master Plan'!$A$8:$A$27,0)),"?")))</f>
        <v/>
      </c>
      <c r="E113" s="204" t="str">
        <f aca="false">IF(LEFT(C113,4)="ผรม.",TRIM(MID(C113,5,5)),IF(OR(C113="ทั้งเฟส",LEFT(C113,3)="เขต"),"",IF(C113="","",IF(OR(C113="ทั้งเฟส",LEFT(C113,4)="ผรม.",LEFT(C113,3)="เขต"),C113,IFERROR(INDEX('Master Plan'!$L$8:$L$27,MATCH(C113,'Master Plan'!$A$8:$A$27,0)),"?")))))</f>
        <v/>
      </c>
      <c r="F113" s="60"/>
      <c r="G113" s="207"/>
      <c r="H113" s="207"/>
      <c r="I113" s="215" t="str">
        <f aca="false">IF(AND(ISNUMBER(G113),ISNUMBER(H113)),H113-G113,"")</f>
        <v/>
      </c>
      <c r="J113" s="216"/>
      <c r="K113" s="60"/>
      <c r="L113" s="60"/>
      <c r="M113" s="113"/>
      <c r="N113" s="60"/>
      <c r="O113" s="60"/>
      <c r="P113" s="131" t="str">
        <f aca="false">IF(B113="","",IF(LEFT(F113,8)="Baseline","ผู้บริหาร + กปภ.",IF(ABS(N(J113))=0,"วิศวกร / ทีม",IF(ABS(N(J113))&lt;=CR_T1,"PM",IF(ABS(N(J113))&lt;=CR_T2,"Change Board","ผู้บริหาร + กปภ.")))))</f>
        <v/>
      </c>
      <c r="Q113" s="60"/>
      <c r="R113" s="60"/>
      <c r="S113" s="207"/>
    </row>
    <row r="114" customFormat="false" ht="15" hidden="false" customHeight="false" outlineLevel="0" collapsed="false">
      <c r="A114" s="138" t="str">
        <f aca="false">IF(B114="","","CR-"&amp;TEXT(ROW()-6,"000"))</f>
        <v/>
      </c>
      <c r="B114" s="207"/>
      <c r="C114" s="60"/>
      <c r="D114" s="131" t="str">
        <f aca="false">IF(C114="","",IF(OR(C114="ทั้งเฟส",LEFT(C114,4)="ผรม.",LEFT(C114,3)="เขต"),C114,IFERROR(INDEX('Master Plan'!$B$8:$B$27,MATCH(C114,'Master Plan'!$A$8:$A$27,0)),"?")))</f>
        <v/>
      </c>
      <c r="E114" s="204" t="str">
        <f aca="false">IF(LEFT(C114,4)="ผรม.",TRIM(MID(C114,5,5)),IF(OR(C114="ทั้งเฟส",LEFT(C114,3)="เขต"),"",IF(C114="","",IF(OR(C114="ทั้งเฟส",LEFT(C114,4)="ผรม.",LEFT(C114,3)="เขต"),C114,IFERROR(INDEX('Master Plan'!$L$8:$L$27,MATCH(C114,'Master Plan'!$A$8:$A$27,0)),"?")))))</f>
        <v/>
      </c>
      <c r="F114" s="60"/>
      <c r="G114" s="207"/>
      <c r="H114" s="207"/>
      <c r="I114" s="215" t="str">
        <f aca="false">IF(AND(ISNUMBER(G114),ISNUMBER(H114)),H114-G114,"")</f>
        <v/>
      </c>
      <c r="J114" s="216"/>
      <c r="K114" s="60"/>
      <c r="L114" s="60"/>
      <c r="M114" s="113"/>
      <c r="N114" s="60"/>
      <c r="O114" s="60"/>
      <c r="P114" s="131" t="str">
        <f aca="false">IF(B114="","",IF(LEFT(F114,8)="Baseline","ผู้บริหาร + กปภ.",IF(ABS(N(J114))=0,"วิศวกร / ทีม",IF(ABS(N(J114))&lt;=CR_T1,"PM",IF(ABS(N(J114))&lt;=CR_T2,"Change Board","ผู้บริหาร + กปภ.")))))</f>
        <v/>
      </c>
      <c r="Q114" s="60"/>
      <c r="R114" s="60"/>
      <c r="S114" s="207"/>
    </row>
    <row r="115" customFormat="false" ht="15" hidden="false" customHeight="false" outlineLevel="0" collapsed="false">
      <c r="A115" s="138" t="str">
        <f aca="false">IF(B115="","","CR-"&amp;TEXT(ROW()-6,"000"))</f>
        <v/>
      </c>
      <c r="B115" s="207"/>
      <c r="C115" s="60"/>
      <c r="D115" s="131" t="str">
        <f aca="false">IF(C115="","",IF(OR(C115="ทั้งเฟส",LEFT(C115,4)="ผรม.",LEFT(C115,3)="เขต"),C115,IFERROR(INDEX('Master Plan'!$B$8:$B$27,MATCH(C115,'Master Plan'!$A$8:$A$27,0)),"?")))</f>
        <v/>
      </c>
      <c r="E115" s="204" t="str">
        <f aca="false">IF(LEFT(C115,4)="ผรม.",TRIM(MID(C115,5,5)),IF(OR(C115="ทั้งเฟส",LEFT(C115,3)="เขต"),"",IF(C115="","",IF(OR(C115="ทั้งเฟส",LEFT(C115,4)="ผรม.",LEFT(C115,3)="เขต"),C115,IFERROR(INDEX('Master Plan'!$L$8:$L$27,MATCH(C115,'Master Plan'!$A$8:$A$27,0)),"?")))))</f>
        <v/>
      </c>
      <c r="F115" s="60"/>
      <c r="G115" s="207"/>
      <c r="H115" s="207"/>
      <c r="I115" s="215" t="str">
        <f aca="false">IF(AND(ISNUMBER(G115),ISNUMBER(H115)),H115-G115,"")</f>
        <v/>
      </c>
      <c r="J115" s="216"/>
      <c r="K115" s="60"/>
      <c r="L115" s="60"/>
      <c r="M115" s="113"/>
      <c r="N115" s="60"/>
      <c r="O115" s="60"/>
      <c r="P115" s="131" t="str">
        <f aca="false">IF(B115="","",IF(LEFT(F115,8)="Baseline","ผู้บริหาร + กปภ.",IF(ABS(N(J115))=0,"วิศวกร / ทีม",IF(ABS(N(J115))&lt;=CR_T1,"PM",IF(ABS(N(J115))&lt;=CR_T2,"Change Board","ผู้บริหาร + กปภ.")))))</f>
        <v/>
      </c>
      <c r="Q115" s="60"/>
      <c r="R115" s="60"/>
      <c r="S115" s="207"/>
    </row>
    <row r="116" customFormat="false" ht="15" hidden="false" customHeight="false" outlineLevel="0" collapsed="false">
      <c r="A116" s="138" t="str">
        <f aca="false">IF(B116="","","CR-"&amp;TEXT(ROW()-6,"000"))</f>
        <v/>
      </c>
      <c r="B116" s="207"/>
      <c r="C116" s="60"/>
      <c r="D116" s="131" t="str">
        <f aca="false">IF(C116="","",IF(OR(C116="ทั้งเฟส",LEFT(C116,4)="ผรม.",LEFT(C116,3)="เขต"),C116,IFERROR(INDEX('Master Plan'!$B$8:$B$27,MATCH(C116,'Master Plan'!$A$8:$A$27,0)),"?")))</f>
        <v/>
      </c>
      <c r="E116" s="204" t="str">
        <f aca="false">IF(LEFT(C116,4)="ผรม.",TRIM(MID(C116,5,5)),IF(OR(C116="ทั้งเฟส",LEFT(C116,3)="เขต"),"",IF(C116="","",IF(OR(C116="ทั้งเฟส",LEFT(C116,4)="ผรม.",LEFT(C116,3)="เขต"),C116,IFERROR(INDEX('Master Plan'!$L$8:$L$27,MATCH(C116,'Master Plan'!$A$8:$A$27,0)),"?")))))</f>
        <v/>
      </c>
      <c r="F116" s="60"/>
      <c r="G116" s="207"/>
      <c r="H116" s="207"/>
      <c r="I116" s="215" t="str">
        <f aca="false">IF(AND(ISNUMBER(G116),ISNUMBER(H116)),H116-G116,"")</f>
        <v/>
      </c>
      <c r="J116" s="216"/>
      <c r="K116" s="60"/>
      <c r="L116" s="60"/>
      <c r="M116" s="113"/>
      <c r="N116" s="60"/>
      <c r="O116" s="60"/>
      <c r="P116" s="131" t="str">
        <f aca="false">IF(B116="","",IF(LEFT(F116,8)="Baseline","ผู้บริหาร + กปภ.",IF(ABS(N(J116))=0,"วิศวกร / ทีม",IF(ABS(N(J116))&lt;=CR_T1,"PM",IF(ABS(N(J116))&lt;=CR_T2,"Change Board","ผู้บริหาร + กปภ.")))))</f>
        <v/>
      </c>
      <c r="Q116" s="60"/>
      <c r="R116" s="60"/>
      <c r="S116" s="207"/>
    </row>
    <row r="117" customFormat="false" ht="15" hidden="false" customHeight="false" outlineLevel="0" collapsed="false">
      <c r="A117" s="138" t="str">
        <f aca="false">IF(B117="","","CR-"&amp;TEXT(ROW()-6,"000"))</f>
        <v/>
      </c>
      <c r="B117" s="207"/>
      <c r="C117" s="60"/>
      <c r="D117" s="131" t="str">
        <f aca="false">IF(C117="","",IF(OR(C117="ทั้งเฟส",LEFT(C117,4)="ผรม.",LEFT(C117,3)="เขต"),C117,IFERROR(INDEX('Master Plan'!$B$8:$B$27,MATCH(C117,'Master Plan'!$A$8:$A$27,0)),"?")))</f>
        <v/>
      </c>
      <c r="E117" s="204" t="str">
        <f aca="false">IF(LEFT(C117,4)="ผรม.",TRIM(MID(C117,5,5)),IF(OR(C117="ทั้งเฟส",LEFT(C117,3)="เขต"),"",IF(C117="","",IF(OR(C117="ทั้งเฟส",LEFT(C117,4)="ผรม.",LEFT(C117,3)="เขต"),C117,IFERROR(INDEX('Master Plan'!$L$8:$L$27,MATCH(C117,'Master Plan'!$A$8:$A$27,0)),"?")))))</f>
        <v/>
      </c>
      <c r="F117" s="60"/>
      <c r="G117" s="207"/>
      <c r="H117" s="207"/>
      <c r="I117" s="215" t="str">
        <f aca="false">IF(AND(ISNUMBER(G117),ISNUMBER(H117)),H117-G117,"")</f>
        <v/>
      </c>
      <c r="J117" s="216"/>
      <c r="K117" s="60"/>
      <c r="L117" s="60"/>
      <c r="M117" s="113"/>
      <c r="N117" s="60"/>
      <c r="O117" s="60"/>
      <c r="P117" s="131" t="str">
        <f aca="false">IF(B117="","",IF(LEFT(F117,8)="Baseline","ผู้บริหาร + กปภ.",IF(ABS(N(J117))=0,"วิศวกร / ทีม",IF(ABS(N(J117))&lt;=CR_T1,"PM",IF(ABS(N(J117))&lt;=CR_T2,"Change Board","ผู้บริหาร + กปภ.")))))</f>
        <v/>
      </c>
      <c r="Q117" s="60"/>
      <c r="R117" s="60"/>
      <c r="S117" s="207"/>
    </row>
    <row r="118" customFormat="false" ht="15" hidden="false" customHeight="false" outlineLevel="0" collapsed="false">
      <c r="A118" s="138" t="str">
        <f aca="false">IF(B118="","","CR-"&amp;TEXT(ROW()-6,"000"))</f>
        <v/>
      </c>
      <c r="B118" s="207"/>
      <c r="C118" s="60"/>
      <c r="D118" s="131" t="str">
        <f aca="false">IF(C118="","",IF(OR(C118="ทั้งเฟส",LEFT(C118,4)="ผรม.",LEFT(C118,3)="เขต"),C118,IFERROR(INDEX('Master Plan'!$B$8:$B$27,MATCH(C118,'Master Plan'!$A$8:$A$27,0)),"?")))</f>
        <v/>
      </c>
      <c r="E118" s="204" t="str">
        <f aca="false">IF(LEFT(C118,4)="ผรม.",TRIM(MID(C118,5,5)),IF(OR(C118="ทั้งเฟส",LEFT(C118,3)="เขต"),"",IF(C118="","",IF(OR(C118="ทั้งเฟส",LEFT(C118,4)="ผรม.",LEFT(C118,3)="เขต"),C118,IFERROR(INDEX('Master Plan'!$L$8:$L$27,MATCH(C118,'Master Plan'!$A$8:$A$27,0)),"?")))))</f>
        <v/>
      </c>
      <c r="F118" s="60"/>
      <c r="G118" s="207"/>
      <c r="H118" s="207"/>
      <c r="I118" s="215" t="str">
        <f aca="false">IF(AND(ISNUMBER(G118),ISNUMBER(H118)),H118-G118,"")</f>
        <v/>
      </c>
      <c r="J118" s="216"/>
      <c r="K118" s="60"/>
      <c r="L118" s="60"/>
      <c r="M118" s="113"/>
      <c r="N118" s="60"/>
      <c r="O118" s="60"/>
      <c r="P118" s="131" t="str">
        <f aca="false">IF(B118="","",IF(LEFT(F118,8)="Baseline","ผู้บริหาร + กปภ.",IF(ABS(N(J118))=0,"วิศวกร / ทีม",IF(ABS(N(J118))&lt;=CR_T1,"PM",IF(ABS(N(J118))&lt;=CR_T2,"Change Board","ผู้บริหาร + กปภ.")))))</f>
        <v/>
      </c>
      <c r="Q118" s="60"/>
      <c r="R118" s="60"/>
      <c r="S118" s="207"/>
    </row>
    <row r="119" customFormat="false" ht="15" hidden="false" customHeight="false" outlineLevel="0" collapsed="false">
      <c r="A119" s="138" t="str">
        <f aca="false">IF(B119="","","CR-"&amp;TEXT(ROW()-6,"000"))</f>
        <v/>
      </c>
      <c r="B119" s="207"/>
      <c r="C119" s="60"/>
      <c r="D119" s="131" t="str">
        <f aca="false">IF(C119="","",IF(OR(C119="ทั้งเฟส",LEFT(C119,4)="ผรม.",LEFT(C119,3)="เขต"),C119,IFERROR(INDEX('Master Plan'!$B$8:$B$27,MATCH(C119,'Master Plan'!$A$8:$A$27,0)),"?")))</f>
        <v/>
      </c>
      <c r="E119" s="204" t="str">
        <f aca="false">IF(LEFT(C119,4)="ผรม.",TRIM(MID(C119,5,5)),IF(OR(C119="ทั้งเฟส",LEFT(C119,3)="เขต"),"",IF(C119="","",IF(OR(C119="ทั้งเฟส",LEFT(C119,4)="ผรม.",LEFT(C119,3)="เขต"),C119,IFERROR(INDEX('Master Plan'!$L$8:$L$27,MATCH(C119,'Master Plan'!$A$8:$A$27,0)),"?")))))</f>
        <v/>
      </c>
      <c r="F119" s="60"/>
      <c r="G119" s="207"/>
      <c r="H119" s="207"/>
      <c r="I119" s="215" t="str">
        <f aca="false">IF(AND(ISNUMBER(G119),ISNUMBER(H119)),H119-G119,"")</f>
        <v/>
      </c>
      <c r="J119" s="216"/>
      <c r="K119" s="60"/>
      <c r="L119" s="60"/>
      <c r="M119" s="113"/>
      <c r="N119" s="60"/>
      <c r="O119" s="60"/>
      <c r="P119" s="131" t="str">
        <f aca="false">IF(B119="","",IF(LEFT(F119,8)="Baseline","ผู้บริหาร + กปภ.",IF(ABS(N(J119))=0,"วิศวกร / ทีม",IF(ABS(N(J119))&lt;=CR_T1,"PM",IF(ABS(N(J119))&lt;=CR_T2,"Change Board","ผู้บริหาร + กปภ.")))))</f>
        <v/>
      </c>
      <c r="Q119" s="60"/>
      <c r="R119" s="60"/>
      <c r="S119" s="207"/>
    </row>
    <row r="120" customFormat="false" ht="15" hidden="false" customHeight="false" outlineLevel="0" collapsed="false">
      <c r="A120" s="138" t="str">
        <f aca="false">IF(B120="","","CR-"&amp;TEXT(ROW()-6,"000"))</f>
        <v/>
      </c>
      <c r="B120" s="207"/>
      <c r="C120" s="60"/>
      <c r="D120" s="131" t="str">
        <f aca="false">IF(C120="","",IF(OR(C120="ทั้งเฟส",LEFT(C120,4)="ผรม.",LEFT(C120,3)="เขต"),C120,IFERROR(INDEX('Master Plan'!$B$8:$B$27,MATCH(C120,'Master Plan'!$A$8:$A$27,0)),"?")))</f>
        <v/>
      </c>
      <c r="E120" s="204" t="str">
        <f aca="false">IF(LEFT(C120,4)="ผรม.",TRIM(MID(C120,5,5)),IF(OR(C120="ทั้งเฟส",LEFT(C120,3)="เขต"),"",IF(C120="","",IF(OR(C120="ทั้งเฟส",LEFT(C120,4)="ผรม.",LEFT(C120,3)="เขต"),C120,IFERROR(INDEX('Master Plan'!$L$8:$L$27,MATCH(C120,'Master Plan'!$A$8:$A$27,0)),"?")))))</f>
        <v/>
      </c>
      <c r="F120" s="60"/>
      <c r="G120" s="207"/>
      <c r="H120" s="207"/>
      <c r="I120" s="215" t="str">
        <f aca="false">IF(AND(ISNUMBER(G120),ISNUMBER(H120)),H120-G120,"")</f>
        <v/>
      </c>
      <c r="J120" s="216"/>
      <c r="K120" s="60"/>
      <c r="L120" s="60"/>
      <c r="M120" s="113"/>
      <c r="N120" s="60"/>
      <c r="O120" s="60"/>
      <c r="P120" s="131" t="str">
        <f aca="false">IF(B120="","",IF(LEFT(F120,8)="Baseline","ผู้บริหาร + กปภ.",IF(ABS(N(J120))=0,"วิศวกร / ทีม",IF(ABS(N(J120))&lt;=CR_T1,"PM",IF(ABS(N(J120))&lt;=CR_T2,"Change Board","ผู้บริหาร + กปภ.")))))</f>
        <v/>
      </c>
      <c r="Q120" s="60"/>
      <c r="R120" s="60"/>
      <c r="S120" s="207"/>
    </row>
    <row r="121" customFormat="false" ht="15" hidden="false" customHeight="false" outlineLevel="0" collapsed="false">
      <c r="A121" s="138" t="str">
        <f aca="false">IF(B121="","","CR-"&amp;TEXT(ROW()-6,"000"))</f>
        <v/>
      </c>
      <c r="B121" s="207"/>
      <c r="C121" s="60"/>
      <c r="D121" s="131" t="str">
        <f aca="false">IF(C121="","",IF(OR(C121="ทั้งเฟส",LEFT(C121,4)="ผรม.",LEFT(C121,3)="เขต"),C121,IFERROR(INDEX('Master Plan'!$B$8:$B$27,MATCH(C121,'Master Plan'!$A$8:$A$27,0)),"?")))</f>
        <v/>
      </c>
      <c r="E121" s="204" t="str">
        <f aca="false">IF(LEFT(C121,4)="ผรม.",TRIM(MID(C121,5,5)),IF(OR(C121="ทั้งเฟส",LEFT(C121,3)="เขต"),"",IF(C121="","",IF(OR(C121="ทั้งเฟส",LEFT(C121,4)="ผรม.",LEFT(C121,3)="เขต"),C121,IFERROR(INDEX('Master Plan'!$L$8:$L$27,MATCH(C121,'Master Plan'!$A$8:$A$27,0)),"?")))))</f>
        <v/>
      </c>
      <c r="F121" s="60"/>
      <c r="G121" s="207"/>
      <c r="H121" s="207"/>
      <c r="I121" s="215" t="str">
        <f aca="false">IF(AND(ISNUMBER(G121),ISNUMBER(H121)),H121-G121,"")</f>
        <v/>
      </c>
      <c r="J121" s="216"/>
      <c r="K121" s="60"/>
      <c r="L121" s="60"/>
      <c r="M121" s="113"/>
      <c r="N121" s="60"/>
      <c r="O121" s="60"/>
      <c r="P121" s="131" t="str">
        <f aca="false">IF(B121="","",IF(LEFT(F121,8)="Baseline","ผู้บริหาร + กปภ.",IF(ABS(N(J121))=0,"วิศวกร / ทีม",IF(ABS(N(J121))&lt;=CR_T1,"PM",IF(ABS(N(J121))&lt;=CR_T2,"Change Board","ผู้บริหาร + กปภ.")))))</f>
        <v/>
      </c>
      <c r="Q121" s="60"/>
      <c r="R121" s="60"/>
      <c r="S121" s="207"/>
    </row>
    <row r="122" customFormat="false" ht="15" hidden="false" customHeight="false" outlineLevel="0" collapsed="false">
      <c r="A122" s="138" t="str">
        <f aca="false">IF(B122="","","CR-"&amp;TEXT(ROW()-6,"000"))</f>
        <v/>
      </c>
      <c r="B122" s="207"/>
      <c r="C122" s="60"/>
      <c r="D122" s="131" t="str">
        <f aca="false">IF(C122="","",IF(OR(C122="ทั้งเฟส",LEFT(C122,4)="ผรม.",LEFT(C122,3)="เขต"),C122,IFERROR(INDEX('Master Plan'!$B$8:$B$27,MATCH(C122,'Master Plan'!$A$8:$A$27,0)),"?")))</f>
        <v/>
      </c>
      <c r="E122" s="204" t="str">
        <f aca="false">IF(LEFT(C122,4)="ผรม.",TRIM(MID(C122,5,5)),IF(OR(C122="ทั้งเฟส",LEFT(C122,3)="เขต"),"",IF(C122="","",IF(OR(C122="ทั้งเฟส",LEFT(C122,4)="ผรม.",LEFT(C122,3)="เขต"),C122,IFERROR(INDEX('Master Plan'!$L$8:$L$27,MATCH(C122,'Master Plan'!$A$8:$A$27,0)),"?")))))</f>
        <v/>
      </c>
      <c r="F122" s="60"/>
      <c r="G122" s="207"/>
      <c r="H122" s="207"/>
      <c r="I122" s="215" t="str">
        <f aca="false">IF(AND(ISNUMBER(G122),ISNUMBER(H122)),H122-G122,"")</f>
        <v/>
      </c>
      <c r="J122" s="216"/>
      <c r="K122" s="60"/>
      <c r="L122" s="60"/>
      <c r="M122" s="113"/>
      <c r="N122" s="60"/>
      <c r="O122" s="60"/>
      <c r="P122" s="131" t="str">
        <f aca="false">IF(B122="","",IF(LEFT(F122,8)="Baseline","ผู้บริหาร + กปภ.",IF(ABS(N(J122))=0,"วิศวกร / ทีม",IF(ABS(N(J122))&lt;=CR_T1,"PM",IF(ABS(N(J122))&lt;=CR_T2,"Change Board","ผู้บริหาร + กปภ.")))))</f>
        <v/>
      </c>
      <c r="Q122" s="60"/>
      <c r="R122" s="60"/>
      <c r="S122" s="207"/>
    </row>
    <row r="123" customFormat="false" ht="15" hidden="false" customHeight="false" outlineLevel="0" collapsed="false">
      <c r="A123" s="138" t="str">
        <f aca="false">IF(B123="","","CR-"&amp;TEXT(ROW()-6,"000"))</f>
        <v/>
      </c>
      <c r="B123" s="207"/>
      <c r="C123" s="60"/>
      <c r="D123" s="131" t="str">
        <f aca="false">IF(C123="","",IF(OR(C123="ทั้งเฟส",LEFT(C123,4)="ผรม.",LEFT(C123,3)="เขต"),C123,IFERROR(INDEX('Master Plan'!$B$8:$B$27,MATCH(C123,'Master Plan'!$A$8:$A$27,0)),"?")))</f>
        <v/>
      </c>
      <c r="E123" s="204" t="str">
        <f aca="false">IF(LEFT(C123,4)="ผรม.",TRIM(MID(C123,5,5)),IF(OR(C123="ทั้งเฟส",LEFT(C123,3)="เขต"),"",IF(C123="","",IF(OR(C123="ทั้งเฟส",LEFT(C123,4)="ผรม.",LEFT(C123,3)="เขต"),C123,IFERROR(INDEX('Master Plan'!$L$8:$L$27,MATCH(C123,'Master Plan'!$A$8:$A$27,0)),"?")))))</f>
        <v/>
      </c>
      <c r="F123" s="60"/>
      <c r="G123" s="207"/>
      <c r="H123" s="207"/>
      <c r="I123" s="215" t="str">
        <f aca="false">IF(AND(ISNUMBER(G123),ISNUMBER(H123)),H123-G123,"")</f>
        <v/>
      </c>
      <c r="J123" s="216"/>
      <c r="K123" s="60"/>
      <c r="L123" s="60"/>
      <c r="M123" s="113"/>
      <c r="N123" s="60"/>
      <c r="O123" s="60"/>
      <c r="P123" s="131" t="str">
        <f aca="false">IF(B123="","",IF(LEFT(F123,8)="Baseline","ผู้บริหาร + กปภ.",IF(ABS(N(J123))=0,"วิศวกร / ทีม",IF(ABS(N(J123))&lt;=CR_T1,"PM",IF(ABS(N(J123))&lt;=CR_T2,"Change Board","ผู้บริหาร + กปภ.")))))</f>
        <v/>
      </c>
      <c r="Q123" s="60"/>
      <c r="R123" s="60"/>
      <c r="S123" s="207"/>
    </row>
    <row r="124" customFormat="false" ht="15" hidden="false" customHeight="false" outlineLevel="0" collapsed="false">
      <c r="A124" s="138" t="str">
        <f aca="false">IF(B124="","","CR-"&amp;TEXT(ROW()-6,"000"))</f>
        <v/>
      </c>
      <c r="B124" s="207"/>
      <c r="C124" s="60"/>
      <c r="D124" s="131" t="str">
        <f aca="false">IF(C124="","",IF(OR(C124="ทั้งเฟส",LEFT(C124,4)="ผรม.",LEFT(C124,3)="เขต"),C124,IFERROR(INDEX('Master Plan'!$B$8:$B$27,MATCH(C124,'Master Plan'!$A$8:$A$27,0)),"?")))</f>
        <v/>
      </c>
      <c r="E124" s="204" t="str">
        <f aca="false">IF(LEFT(C124,4)="ผรม.",TRIM(MID(C124,5,5)),IF(OR(C124="ทั้งเฟส",LEFT(C124,3)="เขต"),"",IF(C124="","",IF(OR(C124="ทั้งเฟส",LEFT(C124,4)="ผรม.",LEFT(C124,3)="เขต"),C124,IFERROR(INDEX('Master Plan'!$L$8:$L$27,MATCH(C124,'Master Plan'!$A$8:$A$27,0)),"?")))))</f>
        <v/>
      </c>
      <c r="F124" s="60"/>
      <c r="G124" s="207"/>
      <c r="H124" s="207"/>
      <c r="I124" s="215" t="str">
        <f aca="false">IF(AND(ISNUMBER(G124),ISNUMBER(H124)),H124-G124,"")</f>
        <v/>
      </c>
      <c r="J124" s="216"/>
      <c r="K124" s="60"/>
      <c r="L124" s="60"/>
      <c r="M124" s="113"/>
      <c r="N124" s="60"/>
      <c r="O124" s="60"/>
      <c r="P124" s="131" t="str">
        <f aca="false">IF(B124="","",IF(LEFT(F124,8)="Baseline","ผู้บริหาร + กปภ.",IF(ABS(N(J124))=0,"วิศวกร / ทีม",IF(ABS(N(J124))&lt;=CR_T1,"PM",IF(ABS(N(J124))&lt;=CR_T2,"Change Board","ผู้บริหาร + กปภ.")))))</f>
        <v/>
      </c>
      <c r="Q124" s="60"/>
      <c r="R124" s="60"/>
      <c r="S124" s="207"/>
    </row>
    <row r="125" customFormat="false" ht="15" hidden="false" customHeight="false" outlineLevel="0" collapsed="false">
      <c r="A125" s="138" t="str">
        <f aca="false">IF(B125="","","CR-"&amp;TEXT(ROW()-6,"000"))</f>
        <v/>
      </c>
      <c r="B125" s="207"/>
      <c r="C125" s="60"/>
      <c r="D125" s="131" t="str">
        <f aca="false">IF(C125="","",IF(OR(C125="ทั้งเฟส",LEFT(C125,4)="ผรม.",LEFT(C125,3)="เขต"),C125,IFERROR(INDEX('Master Plan'!$B$8:$B$27,MATCH(C125,'Master Plan'!$A$8:$A$27,0)),"?")))</f>
        <v/>
      </c>
      <c r="E125" s="204" t="str">
        <f aca="false">IF(LEFT(C125,4)="ผรม.",TRIM(MID(C125,5,5)),IF(OR(C125="ทั้งเฟส",LEFT(C125,3)="เขต"),"",IF(C125="","",IF(OR(C125="ทั้งเฟส",LEFT(C125,4)="ผรม.",LEFT(C125,3)="เขต"),C125,IFERROR(INDEX('Master Plan'!$L$8:$L$27,MATCH(C125,'Master Plan'!$A$8:$A$27,0)),"?")))))</f>
        <v/>
      </c>
      <c r="F125" s="60"/>
      <c r="G125" s="207"/>
      <c r="H125" s="207"/>
      <c r="I125" s="215" t="str">
        <f aca="false">IF(AND(ISNUMBER(G125),ISNUMBER(H125)),H125-G125,"")</f>
        <v/>
      </c>
      <c r="J125" s="216"/>
      <c r="K125" s="60"/>
      <c r="L125" s="60"/>
      <c r="M125" s="113"/>
      <c r="N125" s="60"/>
      <c r="O125" s="60"/>
      <c r="P125" s="131" t="str">
        <f aca="false">IF(B125="","",IF(LEFT(F125,8)="Baseline","ผู้บริหาร + กปภ.",IF(ABS(N(J125))=0,"วิศวกร / ทีม",IF(ABS(N(J125))&lt;=CR_T1,"PM",IF(ABS(N(J125))&lt;=CR_T2,"Change Board","ผู้บริหาร + กปภ.")))))</f>
        <v/>
      </c>
      <c r="Q125" s="60"/>
      <c r="R125" s="60"/>
      <c r="S125" s="207"/>
    </row>
    <row r="126" customFormat="false" ht="15" hidden="false" customHeight="false" outlineLevel="0" collapsed="false">
      <c r="A126" s="138" t="str">
        <f aca="false">IF(B126="","","CR-"&amp;TEXT(ROW()-6,"000"))</f>
        <v/>
      </c>
      <c r="B126" s="207"/>
      <c r="C126" s="60"/>
      <c r="D126" s="131" t="str">
        <f aca="false">IF(C126="","",IF(OR(C126="ทั้งเฟส",LEFT(C126,4)="ผรม.",LEFT(C126,3)="เขต"),C126,IFERROR(INDEX('Master Plan'!$B$8:$B$27,MATCH(C126,'Master Plan'!$A$8:$A$27,0)),"?")))</f>
        <v/>
      </c>
      <c r="E126" s="204" t="str">
        <f aca="false">IF(LEFT(C126,4)="ผรม.",TRIM(MID(C126,5,5)),IF(OR(C126="ทั้งเฟส",LEFT(C126,3)="เขต"),"",IF(C126="","",IF(OR(C126="ทั้งเฟส",LEFT(C126,4)="ผรม.",LEFT(C126,3)="เขต"),C126,IFERROR(INDEX('Master Plan'!$L$8:$L$27,MATCH(C126,'Master Plan'!$A$8:$A$27,0)),"?")))))</f>
        <v/>
      </c>
      <c r="F126" s="60"/>
      <c r="G126" s="207"/>
      <c r="H126" s="207"/>
      <c r="I126" s="215" t="str">
        <f aca="false">IF(AND(ISNUMBER(G126),ISNUMBER(H126)),H126-G126,"")</f>
        <v/>
      </c>
      <c r="J126" s="216"/>
      <c r="K126" s="60"/>
      <c r="L126" s="60"/>
      <c r="M126" s="113"/>
      <c r="N126" s="60"/>
      <c r="O126" s="60"/>
      <c r="P126" s="131" t="str">
        <f aca="false">IF(B126="","",IF(LEFT(F126,8)="Baseline","ผู้บริหาร + กปภ.",IF(ABS(N(J126))=0,"วิศวกร / ทีม",IF(ABS(N(J126))&lt;=CR_T1,"PM",IF(ABS(N(J126))&lt;=CR_T2,"Change Board","ผู้บริหาร + กปภ.")))))</f>
        <v/>
      </c>
      <c r="Q126" s="60"/>
      <c r="R126" s="60"/>
      <c r="S126" s="207"/>
    </row>
    <row r="127" customFormat="false" ht="15" hidden="false" customHeight="false" outlineLevel="0" collapsed="false">
      <c r="A127" s="138" t="str">
        <f aca="false">IF(B127="","","CR-"&amp;TEXT(ROW()-6,"000"))</f>
        <v/>
      </c>
      <c r="B127" s="207"/>
      <c r="C127" s="60"/>
      <c r="D127" s="131" t="str">
        <f aca="false">IF(C127="","",IF(OR(C127="ทั้งเฟส",LEFT(C127,4)="ผรม.",LEFT(C127,3)="เขต"),C127,IFERROR(INDEX('Master Plan'!$B$8:$B$27,MATCH(C127,'Master Plan'!$A$8:$A$27,0)),"?")))</f>
        <v/>
      </c>
      <c r="E127" s="204" t="str">
        <f aca="false">IF(LEFT(C127,4)="ผรม.",TRIM(MID(C127,5,5)),IF(OR(C127="ทั้งเฟส",LEFT(C127,3)="เขต"),"",IF(C127="","",IF(OR(C127="ทั้งเฟส",LEFT(C127,4)="ผรม.",LEFT(C127,3)="เขต"),C127,IFERROR(INDEX('Master Plan'!$L$8:$L$27,MATCH(C127,'Master Plan'!$A$8:$A$27,0)),"?")))))</f>
        <v/>
      </c>
      <c r="F127" s="60"/>
      <c r="G127" s="207"/>
      <c r="H127" s="207"/>
      <c r="I127" s="215" t="str">
        <f aca="false">IF(AND(ISNUMBER(G127),ISNUMBER(H127)),H127-G127,"")</f>
        <v/>
      </c>
      <c r="J127" s="216"/>
      <c r="K127" s="60"/>
      <c r="L127" s="60"/>
      <c r="M127" s="113"/>
      <c r="N127" s="60"/>
      <c r="O127" s="60"/>
      <c r="P127" s="131" t="str">
        <f aca="false">IF(B127="","",IF(LEFT(F127,8)="Baseline","ผู้บริหาร + กปภ.",IF(ABS(N(J127))=0,"วิศวกร / ทีม",IF(ABS(N(J127))&lt;=CR_T1,"PM",IF(ABS(N(J127))&lt;=CR_T2,"Change Board","ผู้บริหาร + กปภ.")))))</f>
        <v/>
      </c>
      <c r="Q127" s="60"/>
      <c r="R127" s="60"/>
      <c r="S127" s="207"/>
    </row>
    <row r="128" customFormat="false" ht="15" hidden="false" customHeight="false" outlineLevel="0" collapsed="false">
      <c r="A128" s="138" t="str">
        <f aca="false">IF(B128="","","CR-"&amp;TEXT(ROW()-6,"000"))</f>
        <v/>
      </c>
      <c r="B128" s="207"/>
      <c r="C128" s="60"/>
      <c r="D128" s="131" t="str">
        <f aca="false">IF(C128="","",IF(OR(C128="ทั้งเฟส",LEFT(C128,4)="ผรม.",LEFT(C128,3)="เขต"),C128,IFERROR(INDEX('Master Plan'!$B$8:$B$27,MATCH(C128,'Master Plan'!$A$8:$A$27,0)),"?")))</f>
        <v/>
      </c>
      <c r="E128" s="204" t="str">
        <f aca="false">IF(LEFT(C128,4)="ผรม.",TRIM(MID(C128,5,5)),IF(OR(C128="ทั้งเฟส",LEFT(C128,3)="เขต"),"",IF(C128="","",IF(OR(C128="ทั้งเฟส",LEFT(C128,4)="ผรม.",LEFT(C128,3)="เขต"),C128,IFERROR(INDEX('Master Plan'!$L$8:$L$27,MATCH(C128,'Master Plan'!$A$8:$A$27,0)),"?")))))</f>
        <v/>
      </c>
      <c r="F128" s="60"/>
      <c r="G128" s="207"/>
      <c r="H128" s="207"/>
      <c r="I128" s="215" t="str">
        <f aca="false">IF(AND(ISNUMBER(G128),ISNUMBER(H128)),H128-G128,"")</f>
        <v/>
      </c>
      <c r="J128" s="216"/>
      <c r="K128" s="60"/>
      <c r="L128" s="60"/>
      <c r="M128" s="113"/>
      <c r="N128" s="60"/>
      <c r="O128" s="60"/>
      <c r="P128" s="131" t="str">
        <f aca="false">IF(B128="","",IF(LEFT(F128,8)="Baseline","ผู้บริหาร + กปภ.",IF(ABS(N(J128))=0,"วิศวกร / ทีม",IF(ABS(N(J128))&lt;=CR_T1,"PM",IF(ABS(N(J128))&lt;=CR_T2,"Change Board","ผู้บริหาร + กปภ.")))))</f>
        <v/>
      </c>
      <c r="Q128" s="60"/>
      <c r="R128" s="60"/>
      <c r="S128" s="207"/>
    </row>
    <row r="129" customFormat="false" ht="15" hidden="false" customHeight="false" outlineLevel="0" collapsed="false">
      <c r="A129" s="138" t="str">
        <f aca="false">IF(B129="","","CR-"&amp;TEXT(ROW()-6,"000"))</f>
        <v/>
      </c>
      <c r="B129" s="207"/>
      <c r="C129" s="60"/>
      <c r="D129" s="131" t="str">
        <f aca="false">IF(C129="","",IF(OR(C129="ทั้งเฟส",LEFT(C129,4)="ผรม.",LEFT(C129,3)="เขต"),C129,IFERROR(INDEX('Master Plan'!$B$8:$B$27,MATCH(C129,'Master Plan'!$A$8:$A$27,0)),"?")))</f>
        <v/>
      </c>
      <c r="E129" s="204" t="str">
        <f aca="false">IF(LEFT(C129,4)="ผรม.",TRIM(MID(C129,5,5)),IF(OR(C129="ทั้งเฟส",LEFT(C129,3)="เขต"),"",IF(C129="","",IF(OR(C129="ทั้งเฟส",LEFT(C129,4)="ผรม.",LEFT(C129,3)="เขต"),C129,IFERROR(INDEX('Master Plan'!$L$8:$L$27,MATCH(C129,'Master Plan'!$A$8:$A$27,0)),"?")))))</f>
        <v/>
      </c>
      <c r="F129" s="60"/>
      <c r="G129" s="207"/>
      <c r="H129" s="207"/>
      <c r="I129" s="215" t="str">
        <f aca="false">IF(AND(ISNUMBER(G129),ISNUMBER(H129)),H129-G129,"")</f>
        <v/>
      </c>
      <c r="J129" s="216"/>
      <c r="K129" s="60"/>
      <c r="L129" s="60"/>
      <c r="M129" s="113"/>
      <c r="N129" s="60"/>
      <c r="O129" s="60"/>
      <c r="P129" s="131" t="str">
        <f aca="false">IF(B129="","",IF(LEFT(F129,8)="Baseline","ผู้บริหาร + กปภ.",IF(ABS(N(J129))=0,"วิศวกร / ทีม",IF(ABS(N(J129))&lt;=CR_T1,"PM",IF(ABS(N(J129))&lt;=CR_T2,"Change Board","ผู้บริหาร + กปภ.")))))</f>
        <v/>
      </c>
      <c r="Q129" s="60"/>
      <c r="R129" s="60"/>
      <c r="S129" s="207"/>
    </row>
    <row r="130" customFormat="false" ht="15" hidden="false" customHeight="false" outlineLevel="0" collapsed="false">
      <c r="A130" s="138" t="str">
        <f aca="false">IF(B130="","","CR-"&amp;TEXT(ROW()-6,"000"))</f>
        <v/>
      </c>
      <c r="B130" s="207"/>
      <c r="C130" s="60"/>
      <c r="D130" s="131" t="str">
        <f aca="false">IF(C130="","",IF(OR(C130="ทั้งเฟส",LEFT(C130,4)="ผรม.",LEFT(C130,3)="เขต"),C130,IFERROR(INDEX('Master Plan'!$B$8:$B$27,MATCH(C130,'Master Plan'!$A$8:$A$27,0)),"?")))</f>
        <v/>
      </c>
      <c r="E130" s="204" t="str">
        <f aca="false">IF(LEFT(C130,4)="ผรม.",TRIM(MID(C130,5,5)),IF(OR(C130="ทั้งเฟส",LEFT(C130,3)="เขต"),"",IF(C130="","",IF(OR(C130="ทั้งเฟส",LEFT(C130,4)="ผรม.",LEFT(C130,3)="เขต"),C130,IFERROR(INDEX('Master Plan'!$L$8:$L$27,MATCH(C130,'Master Plan'!$A$8:$A$27,0)),"?")))))</f>
        <v/>
      </c>
      <c r="F130" s="60"/>
      <c r="G130" s="207"/>
      <c r="H130" s="207"/>
      <c r="I130" s="215" t="str">
        <f aca="false">IF(AND(ISNUMBER(G130),ISNUMBER(H130)),H130-G130,"")</f>
        <v/>
      </c>
      <c r="J130" s="216"/>
      <c r="K130" s="60"/>
      <c r="L130" s="60"/>
      <c r="M130" s="113"/>
      <c r="N130" s="60"/>
      <c r="O130" s="60"/>
      <c r="P130" s="131" t="str">
        <f aca="false">IF(B130="","",IF(LEFT(F130,8)="Baseline","ผู้บริหาร + กปภ.",IF(ABS(N(J130))=0,"วิศวกร / ทีม",IF(ABS(N(J130))&lt;=CR_T1,"PM",IF(ABS(N(J130))&lt;=CR_T2,"Change Board","ผู้บริหาร + กปภ.")))))</f>
        <v/>
      </c>
      <c r="Q130" s="60"/>
      <c r="R130" s="60"/>
      <c r="S130" s="207"/>
    </row>
    <row r="131" customFormat="false" ht="15" hidden="false" customHeight="false" outlineLevel="0" collapsed="false">
      <c r="A131" s="138" t="str">
        <f aca="false">IF(B131="","","CR-"&amp;TEXT(ROW()-6,"000"))</f>
        <v/>
      </c>
      <c r="B131" s="207"/>
      <c r="C131" s="60"/>
      <c r="D131" s="131" t="str">
        <f aca="false">IF(C131="","",IF(OR(C131="ทั้งเฟส",LEFT(C131,4)="ผรม.",LEFT(C131,3)="เขต"),C131,IFERROR(INDEX('Master Plan'!$B$8:$B$27,MATCH(C131,'Master Plan'!$A$8:$A$27,0)),"?")))</f>
        <v/>
      </c>
      <c r="E131" s="204" t="str">
        <f aca="false">IF(LEFT(C131,4)="ผรม.",TRIM(MID(C131,5,5)),IF(OR(C131="ทั้งเฟส",LEFT(C131,3)="เขต"),"",IF(C131="","",IF(OR(C131="ทั้งเฟส",LEFT(C131,4)="ผรม.",LEFT(C131,3)="เขต"),C131,IFERROR(INDEX('Master Plan'!$L$8:$L$27,MATCH(C131,'Master Plan'!$A$8:$A$27,0)),"?")))))</f>
        <v/>
      </c>
      <c r="F131" s="60"/>
      <c r="G131" s="207"/>
      <c r="H131" s="207"/>
      <c r="I131" s="215" t="str">
        <f aca="false">IF(AND(ISNUMBER(G131),ISNUMBER(H131)),H131-G131,"")</f>
        <v/>
      </c>
      <c r="J131" s="216"/>
      <c r="K131" s="60"/>
      <c r="L131" s="60"/>
      <c r="M131" s="113"/>
      <c r="N131" s="60"/>
      <c r="O131" s="60"/>
      <c r="P131" s="131" t="str">
        <f aca="false">IF(B131="","",IF(LEFT(F131,8)="Baseline","ผู้บริหาร + กปภ.",IF(ABS(N(J131))=0,"วิศวกร / ทีม",IF(ABS(N(J131))&lt;=CR_T1,"PM",IF(ABS(N(J131))&lt;=CR_T2,"Change Board","ผู้บริหาร + กปภ.")))))</f>
        <v/>
      </c>
      <c r="Q131" s="60"/>
      <c r="R131" s="60"/>
      <c r="S131" s="207"/>
    </row>
    <row r="132" customFormat="false" ht="15" hidden="false" customHeight="false" outlineLevel="0" collapsed="false">
      <c r="A132" s="138" t="str">
        <f aca="false">IF(B132="","","CR-"&amp;TEXT(ROW()-6,"000"))</f>
        <v/>
      </c>
      <c r="B132" s="207"/>
      <c r="C132" s="60"/>
      <c r="D132" s="131" t="str">
        <f aca="false">IF(C132="","",IF(OR(C132="ทั้งเฟส",LEFT(C132,4)="ผรม.",LEFT(C132,3)="เขต"),C132,IFERROR(INDEX('Master Plan'!$B$8:$B$27,MATCH(C132,'Master Plan'!$A$8:$A$27,0)),"?")))</f>
        <v/>
      </c>
      <c r="E132" s="204" t="str">
        <f aca="false">IF(LEFT(C132,4)="ผรม.",TRIM(MID(C132,5,5)),IF(OR(C132="ทั้งเฟส",LEFT(C132,3)="เขต"),"",IF(C132="","",IF(OR(C132="ทั้งเฟส",LEFT(C132,4)="ผรม.",LEFT(C132,3)="เขต"),C132,IFERROR(INDEX('Master Plan'!$L$8:$L$27,MATCH(C132,'Master Plan'!$A$8:$A$27,0)),"?")))))</f>
        <v/>
      </c>
      <c r="F132" s="60"/>
      <c r="G132" s="207"/>
      <c r="H132" s="207"/>
      <c r="I132" s="215" t="str">
        <f aca="false">IF(AND(ISNUMBER(G132),ISNUMBER(H132)),H132-G132,"")</f>
        <v/>
      </c>
      <c r="J132" s="216"/>
      <c r="K132" s="60"/>
      <c r="L132" s="60"/>
      <c r="M132" s="113"/>
      <c r="N132" s="60"/>
      <c r="O132" s="60"/>
      <c r="P132" s="131" t="str">
        <f aca="false">IF(B132="","",IF(LEFT(F132,8)="Baseline","ผู้บริหาร + กปภ.",IF(ABS(N(J132))=0,"วิศวกร / ทีม",IF(ABS(N(J132))&lt;=CR_T1,"PM",IF(ABS(N(J132))&lt;=CR_T2,"Change Board","ผู้บริหาร + กปภ.")))))</f>
        <v/>
      </c>
      <c r="Q132" s="60"/>
      <c r="R132" s="60"/>
      <c r="S132" s="207"/>
    </row>
    <row r="133" customFormat="false" ht="15" hidden="false" customHeight="false" outlineLevel="0" collapsed="false">
      <c r="A133" s="138" t="str">
        <f aca="false">IF(B133="","","CR-"&amp;TEXT(ROW()-6,"000"))</f>
        <v/>
      </c>
      <c r="B133" s="207"/>
      <c r="C133" s="60"/>
      <c r="D133" s="131" t="str">
        <f aca="false">IF(C133="","",IF(OR(C133="ทั้งเฟส",LEFT(C133,4)="ผรม.",LEFT(C133,3)="เขต"),C133,IFERROR(INDEX('Master Plan'!$B$8:$B$27,MATCH(C133,'Master Plan'!$A$8:$A$27,0)),"?")))</f>
        <v/>
      </c>
      <c r="E133" s="204" t="str">
        <f aca="false">IF(LEFT(C133,4)="ผรม.",TRIM(MID(C133,5,5)),IF(OR(C133="ทั้งเฟส",LEFT(C133,3)="เขต"),"",IF(C133="","",IF(OR(C133="ทั้งเฟส",LEFT(C133,4)="ผรม.",LEFT(C133,3)="เขต"),C133,IFERROR(INDEX('Master Plan'!$L$8:$L$27,MATCH(C133,'Master Plan'!$A$8:$A$27,0)),"?")))))</f>
        <v/>
      </c>
      <c r="F133" s="60"/>
      <c r="G133" s="207"/>
      <c r="H133" s="207"/>
      <c r="I133" s="215" t="str">
        <f aca="false">IF(AND(ISNUMBER(G133),ISNUMBER(H133)),H133-G133,"")</f>
        <v/>
      </c>
      <c r="J133" s="216"/>
      <c r="K133" s="60"/>
      <c r="L133" s="60"/>
      <c r="M133" s="113"/>
      <c r="N133" s="60"/>
      <c r="O133" s="60"/>
      <c r="P133" s="131" t="str">
        <f aca="false">IF(B133="","",IF(LEFT(F133,8)="Baseline","ผู้บริหาร + กปภ.",IF(ABS(N(J133))=0,"วิศวกร / ทีม",IF(ABS(N(J133))&lt;=CR_T1,"PM",IF(ABS(N(J133))&lt;=CR_T2,"Change Board","ผู้บริหาร + กปภ.")))))</f>
        <v/>
      </c>
      <c r="Q133" s="60"/>
      <c r="R133" s="60"/>
      <c r="S133" s="207"/>
    </row>
    <row r="134" customFormat="false" ht="15" hidden="false" customHeight="false" outlineLevel="0" collapsed="false">
      <c r="A134" s="138" t="str">
        <f aca="false">IF(B134="","","CR-"&amp;TEXT(ROW()-6,"000"))</f>
        <v/>
      </c>
      <c r="B134" s="207"/>
      <c r="C134" s="60"/>
      <c r="D134" s="131" t="str">
        <f aca="false">IF(C134="","",IF(OR(C134="ทั้งเฟส",LEFT(C134,4)="ผรม.",LEFT(C134,3)="เขต"),C134,IFERROR(INDEX('Master Plan'!$B$8:$B$27,MATCH(C134,'Master Plan'!$A$8:$A$27,0)),"?")))</f>
        <v/>
      </c>
      <c r="E134" s="204" t="str">
        <f aca="false">IF(LEFT(C134,4)="ผรม.",TRIM(MID(C134,5,5)),IF(OR(C134="ทั้งเฟส",LEFT(C134,3)="เขต"),"",IF(C134="","",IF(OR(C134="ทั้งเฟส",LEFT(C134,4)="ผรม.",LEFT(C134,3)="เขต"),C134,IFERROR(INDEX('Master Plan'!$L$8:$L$27,MATCH(C134,'Master Plan'!$A$8:$A$27,0)),"?")))))</f>
        <v/>
      </c>
      <c r="F134" s="60"/>
      <c r="G134" s="207"/>
      <c r="H134" s="207"/>
      <c r="I134" s="215" t="str">
        <f aca="false">IF(AND(ISNUMBER(G134),ISNUMBER(H134)),H134-G134,"")</f>
        <v/>
      </c>
      <c r="J134" s="216"/>
      <c r="K134" s="60"/>
      <c r="L134" s="60"/>
      <c r="M134" s="113"/>
      <c r="N134" s="60"/>
      <c r="O134" s="60"/>
      <c r="P134" s="131" t="str">
        <f aca="false">IF(B134="","",IF(LEFT(F134,8)="Baseline","ผู้บริหาร + กปภ.",IF(ABS(N(J134))=0,"วิศวกร / ทีม",IF(ABS(N(J134))&lt;=CR_T1,"PM",IF(ABS(N(J134))&lt;=CR_T2,"Change Board","ผู้บริหาร + กปภ.")))))</f>
        <v/>
      </c>
      <c r="Q134" s="60"/>
      <c r="R134" s="60"/>
      <c r="S134" s="207"/>
    </row>
    <row r="135" customFormat="false" ht="15" hidden="false" customHeight="false" outlineLevel="0" collapsed="false">
      <c r="A135" s="138" t="str">
        <f aca="false">IF(B135="","","CR-"&amp;TEXT(ROW()-6,"000"))</f>
        <v/>
      </c>
      <c r="B135" s="207"/>
      <c r="C135" s="60"/>
      <c r="D135" s="131" t="str">
        <f aca="false">IF(C135="","",IF(OR(C135="ทั้งเฟส",LEFT(C135,4)="ผรม.",LEFT(C135,3)="เขต"),C135,IFERROR(INDEX('Master Plan'!$B$8:$B$27,MATCH(C135,'Master Plan'!$A$8:$A$27,0)),"?")))</f>
        <v/>
      </c>
      <c r="E135" s="204" t="str">
        <f aca="false">IF(LEFT(C135,4)="ผรม.",TRIM(MID(C135,5,5)),IF(OR(C135="ทั้งเฟส",LEFT(C135,3)="เขต"),"",IF(C135="","",IF(OR(C135="ทั้งเฟส",LEFT(C135,4)="ผรม.",LEFT(C135,3)="เขต"),C135,IFERROR(INDEX('Master Plan'!$L$8:$L$27,MATCH(C135,'Master Plan'!$A$8:$A$27,0)),"?")))))</f>
        <v/>
      </c>
      <c r="F135" s="60"/>
      <c r="G135" s="207"/>
      <c r="H135" s="207"/>
      <c r="I135" s="215" t="str">
        <f aca="false">IF(AND(ISNUMBER(G135),ISNUMBER(H135)),H135-G135,"")</f>
        <v/>
      </c>
      <c r="J135" s="216"/>
      <c r="K135" s="60"/>
      <c r="L135" s="60"/>
      <c r="M135" s="113"/>
      <c r="N135" s="60"/>
      <c r="O135" s="60"/>
      <c r="P135" s="131" t="str">
        <f aca="false">IF(B135="","",IF(LEFT(F135,8)="Baseline","ผู้บริหาร + กปภ.",IF(ABS(N(J135))=0,"วิศวกร / ทีม",IF(ABS(N(J135))&lt;=CR_T1,"PM",IF(ABS(N(J135))&lt;=CR_T2,"Change Board","ผู้บริหาร + กปภ.")))))</f>
        <v/>
      </c>
      <c r="Q135" s="60"/>
      <c r="R135" s="60"/>
      <c r="S135" s="207"/>
    </row>
    <row r="136" customFormat="false" ht="15" hidden="false" customHeight="false" outlineLevel="0" collapsed="false">
      <c r="A136" s="138" t="str">
        <f aca="false">IF(B136="","","CR-"&amp;TEXT(ROW()-6,"000"))</f>
        <v/>
      </c>
      <c r="B136" s="207"/>
      <c r="C136" s="60"/>
      <c r="D136" s="131" t="str">
        <f aca="false">IF(C136="","",IF(OR(C136="ทั้งเฟส",LEFT(C136,4)="ผรม.",LEFT(C136,3)="เขต"),C136,IFERROR(INDEX('Master Plan'!$B$8:$B$27,MATCH(C136,'Master Plan'!$A$8:$A$27,0)),"?")))</f>
        <v/>
      </c>
      <c r="E136" s="204" t="str">
        <f aca="false">IF(LEFT(C136,4)="ผรม.",TRIM(MID(C136,5,5)),IF(OR(C136="ทั้งเฟส",LEFT(C136,3)="เขต"),"",IF(C136="","",IF(OR(C136="ทั้งเฟส",LEFT(C136,4)="ผรม.",LEFT(C136,3)="เขต"),C136,IFERROR(INDEX('Master Plan'!$L$8:$L$27,MATCH(C136,'Master Plan'!$A$8:$A$27,0)),"?")))))</f>
        <v/>
      </c>
      <c r="F136" s="60"/>
      <c r="G136" s="207"/>
      <c r="H136" s="207"/>
      <c r="I136" s="215" t="str">
        <f aca="false">IF(AND(ISNUMBER(G136),ISNUMBER(H136)),H136-G136,"")</f>
        <v/>
      </c>
      <c r="J136" s="216"/>
      <c r="K136" s="60"/>
      <c r="L136" s="60"/>
      <c r="M136" s="113"/>
      <c r="N136" s="60"/>
      <c r="O136" s="60"/>
      <c r="P136" s="131" t="str">
        <f aca="false">IF(B136="","",IF(LEFT(F136,8)="Baseline","ผู้บริหาร + กปภ.",IF(ABS(N(J136))=0,"วิศวกร / ทีม",IF(ABS(N(J136))&lt;=CR_T1,"PM",IF(ABS(N(J136))&lt;=CR_T2,"Change Board","ผู้บริหาร + กปภ.")))))</f>
        <v/>
      </c>
      <c r="Q136" s="60"/>
      <c r="R136" s="60"/>
      <c r="S136" s="207"/>
    </row>
    <row r="137" customFormat="false" ht="15" hidden="false" customHeight="false" outlineLevel="0" collapsed="false">
      <c r="A137" s="138" t="str">
        <f aca="false">IF(B137="","","CR-"&amp;TEXT(ROW()-6,"000"))</f>
        <v/>
      </c>
      <c r="B137" s="207"/>
      <c r="C137" s="60"/>
      <c r="D137" s="131" t="str">
        <f aca="false">IF(C137="","",IF(OR(C137="ทั้งเฟส",LEFT(C137,4)="ผรม.",LEFT(C137,3)="เขต"),C137,IFERROR(INDEX('Master Plan'!$B$8:$B$27,MATCH(C137,'Master Plan'!$A$8:$A$27,0)),"?")))</f>
        <v/>
      </c>
      <c r="E137" s="204" t="str">
        <f aca="false">IF(LEFT(C137,4)="ผรม.",TRIM(MID(C137,5,5)),IF(OR(C137="ทั้งเฟส",LEFT(C137,3)="เขต"),"",IF(C137="","",IF(OR(C137="ทั้งเฟส",LEFT(C137,4)="ผรม.",LEFT(C137,3)="เขต"),C137,IFERROR(INDEX('Master Plan'!$L$8:$L$27,MATCH(C137,'Master Plan'!$A$8:$A$27,0)),"?")))))</f>
        <v/>
      </c>
      <c r="F137" s="60"/>
      <c r="G137" s="207"/>
      <c r="H137" s="207"/>
      <c r="I137" s="215" t="str">
        <f aca="false">IF(AND(ISNUMBER(G137),ISNUMBER(H137)),H137-G137,"")</f>
        <v/>
      </c>
      <c r="J137" s="216"/>
      <c r="K137" s="60"/>
      <c r="L137" s="60"/>
      <c r="M137" s="113"/>
      <c r="N137" s="60"/>
      <c r="O137" s="60"/>
      <c r="P137" s="131" t="str">
        <f aca="false">IF(B137="","",IF(LEFT(F137,8)="Baseline","ผู้บริหาร + กปภ.",IF(ABS(N(J137))=0,"วิศวกร / ทีม",IF(ABS(N(J137))&lt;=CR_T1,"PM",IF(ABS(N(J137))&lt;=CR_T2,"Change Board","ผู้บริหาร + กปภ.")))))</f>
        <v/>
      </c>
      <c r="Q137" s="60"/>
      <c r="R137" s="60"/>
      <c r="S137" s="207"/>
    </row>
    <row r="138" customFormat="false" ht="15" hidden="false" customHeight="false" outlineLevel="0" collapsed="false">
      <c r="A138" s="138" t="str">
        <f aca="false">IF(B138="","","CR-"&amp;TEXT(ROW()-6,"000"))</f>
        <v/>
      </c>
      <c r="B138" s="207"/>
      <c r="C138" s="60"/>
      <c r="D138" s="131" t="str">
        <f aca="false">IF(C138="","",IF(OR(C138="ทั้งเฟส",LEFT(C138,4)="ผรม.",LEFT(C138,3)="เขต"),C138,IFERROR(INDEX('Master Plan'!$B$8:$B$27,MATCH(C138,'Master Plan'!$A$8:$A$27,0)),"?")))</f>
        <v/>
      </c>
      <c r="E138" s="204" t="str">
        <f aca="false">IF(LEFT(C138,4)="ผรม.",TRIM(MID(C138,5,5)),IF(OR(C138="ทั้งเฟส",LEFT(C138,3)="เขต"),"",IF(C138="","",IF(OR(C138="ทั้งเฟส",LEFT(C138,4)="ผรม.",LEFT(C138,3)="เขต"),C138,IFERROR(INDEX('Master Plan'!$L$8:$L$27,MATCH(C138,'Master Plan'!$A$8:$A$27,0)),"?")))))</f>
        <v/>
      </c>
      <c r="F138" s="60"/>
      <c r="G138" s="207"/>
      <c r="H138" s="207"/>
      <c r="I138" s="215" t="str">
        <f aca="false">IF(AND(ISNUMBER(G138),ISNUMBER(H138)),H138-G138,"")</f>
        <v/>
      </c>
      <c r="J138" s="216"/>
      <c r="K138" s="60"/>
      <c r="L138" s="60"/>
      <c r="M138" s="113"/>
      <c r="N138" s="60"/>
      <c r="O138" s="60"/>
      <c r="P138" s="131" t="str">
        <f aca="false">IF(B138="","",IF(LEFT(F138,8)="Baseline","ผู้บริหาร + กปภ.",IF(ABS(N(J138))=0,"วิศวกร / ทีม",IF(ABS(N(J138))&lt;=CR_T1,"PM",IF(ABS(N(J138))&lt;=CR_T2,"Change Board","ผู้บริหาร + กปภ.")))))</f>
        <v/>
      </c>
      <c r="Q138" s="60"/>
      <c r="R138" s="60"/>
      <c r="S138" s="207"/>
    </row>
    <row r="139" customFormat="false" ht="15" hidden="false" customHeight="false" outlineLevel="0" collapsed="false">
      <c r="A139" s="138" t="str">
        <f aca="false">IF(B139="","","CR-"&amp;TEXT(ROW()-6,"000"))</f>
        <v/>
      </c>
      <c r="B139" s="207"/>
      <c r="C139" s="60"/>
      <c r="D139" s="131" t="str">
        <f aca="false">IF(C139="","",IF(OR(C139="ทั้งเฟส",LEFT(C139,4)="ผรม.",LEFT(C139,3)="เขต"),C139,IFERROR(INDEX('Master Plan'!$B$8:$B$27,MATCH(C139,'Master Plan'!$A$8:$A$27,0)),"?")))</f>
        <v/>
      </c>
      <c r="E139" s="204" t="str">
        <f aca="false">IF(LEFT(C139,4)="ผรม.",TRIM(MID(C139,5,5)),IF(OR(C139="ทั้งเฟส",LEFT(C139,3)="เขต"),"",IF(C139="","",IF(OR(C139="ทั้งเฟส",LEFT(C139,4)="ผรม.",LEFT(C139,3)="เขต"),C139,IFERROR(INDEX('Master Plan'!$L$8:$L$27,MATCH(C139,'Master Plan'!$A$8:$A$27,0)),"?")))))</f>
        <v/>
      </c>
      <c r="F139" s="60"/>
      <c r="G139" s="207"/>
      <c r="H139" s="207"/>
      <c r="I139" s="215" t="str">
        <f aca="false">IF(AND(ISNUMBER(G139),ISNUMBER(H139)),H139-G139,"")</f>
        <v/>
      </c>
      <c r="J139" s="216"/>
      <c r="K139" s="60"/>
      <c r="L139" s="60"/>
      <c r="M139" s="113"/>
      <c r="N139" s="60"/>
      <c r="O139" s="60"/>
      <c r="P139" s="131" t="str">
        <f aca="false">IF(B139="","",IF(LEFT(F139,8)="Baseline","ผู้บริหาร + กปภ.",IF(ABS(N(J139))=0,"วิศวกร / ทีม",IF(ABS(N(J139))&lt;=CR_T1,"PM",IF(ABS(N(J139))&lt;=CR_T2,"Change Board","ผู้บริหาร + กปภ.")))))</f>
        <v/>
      </c>
      <c r="Q139" s="60"/>
      <c r="R139" s="60"/>
      <c r="S139" s="207"/>
    </row>
    <row r="140" customFormat="false" ht="15" hidden="false" customHeight="false" outlineLevel="0" collapsed="false">
      <c r="A140" s="138" t="str">
        <f aca="false">IF(B140="","","CR-"&amp;TEXT(ROW()-6,"000"))</f>
        <v/>
      </c>
      <c r="B140" s="207"/>
      <c r="C140" s="60"/>
      <c r="D140" s="131" t="str">
        <f aca="false">IF(C140="","",IF(OR(C140="ทั้งเฟส",LEFT(C140,4)="ผรม.",LEFT(C140,3)="เขต"),C140,IFERROR(INDEX('Master Plan'!$B$8:$B$27,MATCH(C140,'Master Plan'!$A$8:$A$27,0)),"?")))</f>
        <v/>
      </c>
      <c r="E140" s="204" t="str">
        <f aca="false">IF(LEFT(C140,4)="ผรม.",TRIM(MID(C140,5,5)),IF(OR(C140="ทั้งเฟส",LEFT(C140,3)="เขต"),"",IF(C140="","",IF(OR(C140="ทั้งเฟส",LEFT(C140,4)="ผรม.",LEFT(C140,3)="เขต"),C140,IFERROR(INDEX('Master Plan'!$L$8:$L$27,MATCH(C140,'Master Plan'!$A$8:$A$27,0)),"?")))))</f>
        <v/>
      </c>
      <c r="F140" s="60"/>
      <c r="G140" s="207"/>
      <c r="H140" s="207"/>
      <c r="I140" s="215" t="str">
        <f aca="false">IF(AND(ISNUMBER(G140),ISNUMBER(H140)),H140-G140,"")</f>
        <v/>
      </c>
      <c r="J140" s="216"/>
      <c r="K140" s="60"/>
      <c r="L140" s="60"/>
      <c r="M140" s="113"/>
      <c r="N140" s="60"/>
      <c r="O140" s="60"/>
      <c r="P140" s="131" t="str">
        <f aca="false">IF(B140="","",IF(LEFT(F140,8)="Baseline","ผู้บริหาร + กปภ.",IF(ABS(N(J140))=0,"วิศวกร / ทีม",IF(ABS(N(J140))&lt;=CR_T1,"PM",IF(ABS(N(J140))&lt;=CR_T2,"Change Board","ผู้บริหาร + กปภ.")))))</f>
        <v/>
      </c>
      <c r="Q140" s="60"/>
      <c r="R140" s="60"/>
      <c r="S140" s="207"/>
    </row>
    <row r="141" customFormat="false" ht="15" hidden="false" customHeight="false" outlineLevel="0" collapsed="false">
      <c r="A141" s="138" t="str">
        <f aca="false">IF(B141="","","CR-"&amp;TEXT(ROW()-6,"000"))</f>
        <v/>
      </c>
      <c r="B141" s="207"/>
      <c r="C141" s="60"/>
      <c r="D141" s="131" t="str">
        <f aca="false">IF(C141="","",IF(OR(C141="ทั้งเฟส",LEFT(C141,4)="ผรม.",LEFT(C141,3)="เขต"),C141,IFERROR(INDEX('Master Plan'!$B$8:$B$27,MATCH(C141,'Master Plan'!$A$8:$A$27,0)),"?")))</f>
        <v/>
      </c>
      <c r="E141" s="204" t="str">
        <f aca="false">IF(LEFT(C141,4)="ผรม.",TRIM(MID(C141,5,5)),IF(OR(C141="ทั้งเฟส",LEFT(C141,3)="เขต"),"",IF(C141="","",IF(OR(C141="ทั้งเฟส",LEFT(C141,4)="ผรม.",LEFT(C141,3)="เขต"),C141,IFERROR(INDEX('Master Plan'!$L$8:$L$27,MATCH(C141,'Master Plan'!$A$8:$A$27,0)),"?")))))</f>
        <v/>
      </c>
      <c r="F141" s="60"/>
      <c r="G141" s="207"/>
      <c r="H141" s="207"/>
      <c r="I141" s="215" t="str">
        <f aca="false">IF(AND(ISNUMBER(G141),ISNUMBER(H141)),H141-G141,"")</f>
        <v/>
      </c>
      <c r="J141" s="216"/>
      <c r="K141" s="60"/>
      <c r="L141" s="60"/>
      <c r="M141" s="113"/>
      <c r="N141" s="60"/>
      <c r="O141" s="60"/>
      <c r="P141" s="131" t="str">
        <f aca="false">IF(B141="","",IF(LEFT(F141,8)="Baseline","ผู้บริหาร + กปภ.",IF(ABS(N(J141))=0,"วิศวกร / ทีม",IF(ABS(N(J141))&lt;=CR_T1,"PM",IF(ABS(N(J141))&lt;=CR_T2,"Change Board","ผู้บริหาร + กปภ.")))))</f>
        <v/>
      </c>
      <c r="Q141" s="60"/>
      <c r="R141" s="60"/>
      <c r="S141" s="207"/>
    </row>
    <row r="142" customFormat="false" ht="15" hidden="false" customHeight="false" outlineLevel="0" collapsed="false">
      <c r="A142" s="138" t="str">
        <f aca="false">IF(B142="","","CR-"&amp;TEXT(ROW()-6,"000"))</f>
        <v/>
      </c>
      <c r="B142" s="207"/>
      <c r="C142" s="60"/>
      <c r="D142" s="131" t="str">
        <f aca="false">IF(C142="","",IF(OR(C142="ทั้งเฟส",LEFT(C142,4)="ผรม.",LEFT(C142,3)="เขต"),C142,IFERROR(INDEX('Master Plan'!$B$8:$B$27,MATCH(C142,'Master Plan'!$A$8:$A$27,0)),"?")))</f>
        <v/>
      </c>
      <c r="E142" s="204" t="str">
        <f aca="false">IF(LEFT(C142,4)="ผรม.",TRIM(MID(C142,5,5)),IF(OR(C142="ทั้งเฟส",LEFT(C142,3)="เขต"),"",IF(C142="","",IF(OR(C142="ทั้งเฟส",LEFT(C142,4)="ผรม.",LEFT(C142,3)="เขต"),C142,IFERROR(INDEX('Master Plan'!$L$8:$L$27,MATCH(C142,'Master Plan'!$A$8:$A$27,0)),"?")))))</f>
        <v/>
      </c>
      <c r="F142" s="60"/>
      <c r="G142" s="207"/>
      <c r="H142" s="207"/>
      <c r="I142" s="215" t="str">
        <f aca="false">IF(AND(ISNUMBER(G142),ISNUMBER(H142)),H142-G142,"")</f>
        <v/>
      </c>
      <c r="J142" s="216"/>
      <c r="K142" s="60"/>
      <c r="L142" s="60"/>
      <c r="M142" s="113"/>
      <c r="N142" s="60"/>
      <c r="O142" s="60"/>
      <c r="P142" s="131" t="str">
        <f aca="false">IF(B142="","",IF(LEFT(F142,8)="Baseline","ผู้บริหาร + กปภ.",IF(ABS(N(J142))=0,"วิศวกร / ทีม",IF(ABS(N(J142))&lt;=CR_T1,"PM",IF(ABS(N(J142))&lt;=CR_T2,"Change Board","ผู้บริหาร + กปภ.")))))</f>
        <v/>
      </c>
      <c r="Q142" s="60"/>
      <c r="R142" s="60"/>
      <c r="S142" s="207"/>
    </row>
    <row r="143" customFormat="false" ht="15" hidden="false" customHeight="false" outlineLevel="0" collapsed="false">
      <c r="A143" s="138" t="str">
        <f aca="false">IF(B143="","","CR-"&amp;TEXT(ROW()-6,"000"))</f>
        <v/>
      </c>
      <c r="B143" s="207"/>
      <c r="C143" s="60"/>
      <c r="D143" s="131" t="str">
        <f aca="false">IF(C143="","",IF(OR(C143="ทั้งเฟส",LEFT(C143,4)="ผรม.",LEFT(C143,3)="เขต"),C143,IFERROR(INDEX('Master Plan'!$B$8:$B$27,MATCH(C143,'Master Plan'!$A$8:$A$27,0)),"?")))</f>
        <v/>
      </c>
      <c r="E143" s="204" t="str">
        <f aca="false">IF(LEFT(C143,4)="ผรม.",TRIM(MID(C143,5,5)),IF(OR(C143="ทั้งเฟส",LEFT(C143,3)="เขต"),"",IF(C143="","",IF(OR(C143="ทั้งเฟส",LEFT(C143,4)="ผรม.",LEFT(C143,3)="เขต"),C143,IFERROR(INDEX('Master Plan'!$L$8:$L$27,MATCH(C143,'Master Plan'!$A$8:$A$27,0)),"?")))))</f>
        <v/>
      </c>
      <c r="F143" s="60"/>
      <c r="G143" s="207"/>
      <c r="H143" s="207"/>
      <c r="I143" s="215" t="str">
        <f aca="false">IF(AND(ISNUMBER(G143),ISNUMBER(H143)),H143-G143,"")</f>
        <v/>
      </c>
      <c r="J143" s="216"/>
      <c r="K143" s="60"/>
      <c r="L143" s="60"/>
      <c r="M143" s="113"/>
      <c r="N143" s="60"/>
      <c r="O143" s="60"/>
      <c r="P143" s="131" t="str">
        <f aca="false">IF(B143="","",IF(LEFT(F143,8)="Baseline","ผู้บริหาร + กปภ.",IF(ABS(N(J143))=0,"วิศวกร / ทีม",IF(ABS(N(J143))&lt;=CR_T1,"PM",IF(ABS(N(J143))&lt;=CR_T2,"Change Board","ผู้บริหาร + กปภ.")))))</f>
        <v/>
      </c>
      <c r="Q143" s="60"/>
      <c r="R143" s="60"/>
      <c r="S143" s="207"/>
    </row>
    <row r="144" customFormat="false" ht="15" hidden="false" customHeight="false" outlineLevel="0" collapsed="false">
      <c r="A144" s="138" t="str">
        <f aca="false">IF(B144="","","CR-"&amp;TEXT(ROW()-6,"000"))</f>
        <v/>
      </c>
      <c r="B144" s="207"/>
      <c r="C144" s="60"/>
      <c r="D144" s="131" t="str">
        <f aca="false">IF(C144="","",IF(OR(C144="ทั้งเฟส",LEFT(C144,4)="ผรม.",LEFT(C144,3)="เขต"),C144,IFERROR(INDEX('Master Plan'!$B$8:$B$27,MATCH(C144,'Master Plan'!$A$8:$A$27,0)),"?")))</f>
        <v/>
      </c>
      <c r="E144" s="204" t="str">
        <f aca="false">IF(LEFT(C144,4)="ผรม.",TRIM(MID(C144,5,5)),IF(OR(C144="ทั้งเฟส",LEFT(C144,3)="เขต"),"",IF(C144="","",IF(OR(C144="ทั้งเฟส",LEFT(C144,4)="ผรม.",LEFT(C144,3)="เขต"),C144,IFERROR(INDEX('Master Plan'!$L$8:$L$27,MATCH(C144,'Master Plan'!$A$8:$A$27,0)),"?")))))</f>
        <v/>
      </c>
      <c r="F144" s="60"/>
      <c r="G144" s="207"/>
      <c r="H144" s="207"/>
      <c r="I144" s="215" t="str">
        <f aca="false">IF(AND(ISNUMBER(G144),ISNUMBER(H144)),H144-G144,"")</f>
        <v/>
      </c>
      <c r="J144" s="216"/>
      <c r="K144" s="60"/>
      <c r="L144" s="60"/>
      <c r="M144" s="113"/>
      <c r="N144" s="60"/>
      <c r="O144" s="60"/>
      <c r="P144" s="131" t="str">
        <f aca="false">IF(B144="","",IF(LEFT(F144,8)="Baseline","ผู้บริหาร + กปภ.",IF(ABS(N(J144))=0,"วิศวกร / ทีม",IF(ABS(N(J144))&lt;=CR_T1,"PM",IF(ABS(N(J144))&lt;=CR_T2,"Change Board","ผู้บริหาร + กปภ.")))))</f>
        <v/>
      </c>
      <c r="Q144" s="60"/>
      <c r="R144" s="60"/>
      <c r="S144" s="207"/>
    </row>
    <row r="145" customFormat="false" ht="15" hidden="false" customHeight="false" outlineLevel="0" collapsed="false">
      <c r="A145" s="138" t="str">
        <f aca="false">IF(B145="","","CR-"&amp;TEXT(ROW()-6,"000"))</f>
        <v/>
      </c>
      <c r="B145" s="207"/>
      <c r="C145" s="60"/>
      <c r="D145" s="131" t="str">
        <f aca="false">IF(C145="","",IF(OR(C145="ทั้งเฟส",LEFT(C145,4)="ผรม.",LEFT(C145,3)="เขต"),C145,IFERROR(INDEX('Master Plan'!$B$8:$B$27,MATCH(C145,'Master Plan'!$A$8:$A$27,0)),"?")))</f>
        <v/>
      </c>
      <c r="E145" s="204" t="str">
        <f aca="false">IF(LEFT(C145,4)="ผรม.",TRIM(MID(C145,5,5)),IF(OR(C145="ทั้งเฟส",LEFT(C145,3)="เขต"),"",IF(C145="","",IF(OR(C145="ทั้งเฟส",LEFT(C145,4)="ผรม.",LEFT(C145,3)="เขต"),C145,IFERROR(INDEX('Master Plan'!$L$8:$L$27,MATCH(C145,'Master Plan'!$A$8:$A$27,0)),"?")))))</f>
        <v/>
      </c>
      <c r="F145" s="60"/>
      <c r="G145" s="207"/>
      <c r="H145" s="207"/>
      <c r="I145" s="215" t="str">
        <f aca="false">IF(AND(ISNUMBER(G145),ISNUMBER(H145)),H145-G145,"")</f>
        <v/>
      </c>
      <c r="J145" s="216"/>
      <c r="K145" s="60"/>
      <c r="L145" s="60"/>
      <c r="M145" s="113"/>
      <c r="N145" s="60"/>
      <c r="O145" s="60"/>
      <c r="P145" s="131" t="str">
        <f aca="false">IF(B145="","",IF(LEFT(F145,8)="Baseline","ผู้บริหาร + กปภ.",IF(ABS(N(J145))=0,"วิศวกร / ทีม",IF(ABS(N(J145))&lt;=CR_T1,"PM",IF(ABS(N(J145))&lt;=CR_T2,"Change Board","ผู้บริหาร + กปภ.")))))</f>
        <v/>
      </c>
      <c r="Q145" s="60"/>
      <c r="R145" s="60"/>
      <c r="S145" s="207"/>
    </row>
    <row r="146" customFormat="false" ht="15" hidden="false" customHeight="false" outlineLevel="0" collapsed="false">
      <c r="A146" s="138" t="str">
        <f aca="false">IF(B146="","","CR-"&amp;TEXT(ROW()-6,"000"))</f>
        <v/>
      </c>
      <c r="B146" s="207"/>
      <c r="C146" s="60"/>
      <c r="D146" s="131" t="str">
        <f aca="false">IF(C146="","",IF(OR(C146="ทั้งเฟส",LEFT(C146,4)="ผรม.",LEFT(C146,3)="เขต"),C146,IFERROR(INDEX('Master Plan'!$B$8:$B$27,MATCH(C146,'Master Plan'!$A$8:$A$27,0)),"?")))</f>
        <v/>
      </c>
      <c r="E146" s="204" t="str">
        <f aca="false">IF(LEFT(C146,4)="ผรม.",TRIM(MID(C146,5,5)),IF(OR(C146="ทั้งเฟส",LEFT(C146,3)="เขต"),"",IF(C146="","",IF(OR(C146="ทั้งเฟส",LEFT(C146,4)="ผรม.",LEFT(C146,3)="เขต"),C146,IFERROR(INDEX('Master Plan'!$L$8:$L$27,MATCH(C146,'Master Plan'!$A$8:$A$27,0)),"?")))))</f>
        <v/>
      </c>
      <c r="F146" s="60"/>
      <c r="G146" s="207"/>
      <c r="H146" s="207"/>
      <c r="I146" s="215" t="str">
        <f aca="false">IF(AND(ISNUMBER(G146),ISNUMBER(H146)),H146-G146,"")</f>
        <v/>
      </c>
      <c r="J146" s="216"/>
      <c r="K146" s="60"/>
      <c r="L146" s="60"/>
      <c r="M146" s="113"/>
      <c r="N146" s="60"/>
      <c r="O146" s="60"/>
      <c r="P146" s="131" t="str">
        <f aca="false">IF(B146="","",IF(LEFT(F146,8)="Baseline","ผู้บริหาร + กปภ.",IF(ABS(N(J146))=0,"วิศวกร / ทีม",IF(ABS(N(J146))&lt;=CR_T1,"PM",IF(ABS(N(J146))&lt;=CR_T2,"Change Board","ผู้บริหาร + กปภ.")))))</f>
        <v/>
      </c>
      <c r="Q146" s="60"/>
      <c r="R146" s="60"/>
      <c r="S146" s="207"/>
    </row>
    <row r="147" customFormat="false" ht="15" hidden="false" customHeight="false" outlineLevel="0" collapsed="false">
      <c r="A147" s="138" t="str">
        <f aca="false">IF(B147="","","CR-"&amp;TEXT(ROW()-6,"000"))</f>
        <v/>
      </c>
      <c r="B147" s="207"/>
      <c r="C147" s="60"/>
      <c r="D147" s="131" t="str">
        <f aca="false">IF(C147="","",IF(OR(C147="ทั้งเฟส",LEFT(C147,4)="ผรม.",LEFT(C147,3)="เขต"),C147,IFERROR(INDEX('Master Plan'!$B$8:$B$27,MATCH(C147,'Master Plan'!$A$8:$A$27,0)),"?")))</f>
        <v/>
      </c>
      <c r="E147" s="204" t="str">
        <f aca="false">IF(LEFT(C147,4)="ผรม.",TRIM(MID(C147,5,5)),IF(OR(C147="ทั้งเฟส",LEFT(C147,3)="เขต"),"",IF(C147="","",IF(OR(C147="ทั้งเฟส",LEFT(C147,4)="ผรม.",LEFT(C147,3)="เขต"),C147,IFERROR(INDEX('Master Plan'!$L$8:$L$27,MATCH(C147,'Master Plan'!$A$8:$A$27,0)),"?")))))</f>
        <v/>
      </c>
      <c r="F147" s="60"/>
      <c r="G147" s="207"/>
      <c r="H147" s="207"/>
      <c r="I147" s="215" t="str">
        <f aca="false">IF(AND(ISNUMBER(G147),ISNUMBER(H147)),H147-G147,"")</f>
        <v/>
      </c>
      <c r="J147" s="216"/>
      <c r="K147" s="60"/>
      <c r="L147" s="60"/>
      <c r="M147" s="113"/>
      <c r="N147" s="60"/>
      <c r="O147" s="60"/>
      <c r="P147" s="131" t="str">
        <f aca="false">IF(B147="","",IF(LEFT(F147,8)="Baseline","ผู้บริหาร + กปภ.",IF(ABS(N(J147))=0,"วิศวกร / ทีม",IF(ABS(N(J147))&lt;=CR_T1,"PM",IF(ABS(N(J147))&lt;=CR_T2,"Change Board","ผู้บริหาร + กปภ.")))))</f>
        <v/>
      </c>
      <c r="Q147" s="60"/>
      <c r="R147" s="60"/>
      <c r="S147" s="207"/>
    </row>
    <row r="148" customFormat="false" ht="15" hidden="false" customHeight="false" outlineLevel="0" collapsed="false">
      <c r="A148" s="138" t="str">
        <f aca="false">IF(B148="","","CR-"&amp;TEXT(ROW()-6,"000"))</f>
        <v/>
      </c>
      <c r="B148" s="207"/>
      <c r="C148" s="60"/>
      <c r="D148" s="131" t="str">
        <f aca="false">IF(C148="","",IF(OR(C148="ทั้งเฟส",LEFT(C148,4)="ผรม.",LEFT(C148,3)="เขต"),C148,IFERROR(INDEX('Master Plan'!$B$8:$B$27,MATCH(C148,'Master Plan'!$A$8:$A$27,0)),"?")))</f>
        <v/>
      </c>
      <c r="E148" s="204" t="str">
        <f aca="false">IF(LEFT(C148,4)="ผรม.",TRIM(MID(C148,5,5)),IF(OR(C148="ทั้งเฟส",LEFT(C148,3)="เขต"),"",IF(C148="","",IF(OR(C148="ทั้งเฟส",LEFT(C148,4)="ผรม.",LEFT(C148,3)="เขต"),C148,IFERROR(INDEX('Master Plan'!$L$8:$L$27,MATCH(C148,'Master Plan'!$A$8:$A$27,0)),"?")))))</f>
        <v/>
      </c>
      <c r="F148" s="60"/>
      <c r="G148" s="207"/>
      <c r="H148" s="207"/>
      <c r="I148" s="215" t="str">
        <f aca="false">IF(AND(ISNUMBER(G148),ISNUMBER(H148)),H148-G148,"")</f>
        <v/>
      </c>
      <c r="J148" s="216"/>
      <c r="K148" s="60"/>
      <c r="L148" s="60"/>
      <c r="M148" s="113"/>
      <c r="N148" s="60"/>
      <c r="O148" s="60"/>
      <c r="P148" s="131" t="str">
        <f aca="false">IF(B148="","",IF(LEFT(F148,8)="Baseline","ผู้บริหาร + กปภ.",IF(ABS(N(J148))=0,"วิศวกร / ทีม",IF(ABS(N(J148))&lt;=CR_T1,"PM",IF(ABS(N(J148))&lt;=CR_T2,"Change Board","ผู้บริหาร + กปภ.")))))</f>
        <v/>
      </c>
      <c r="Q148" s="60"/>
      <c r="R148" s="60"/>
      <c r="S148" s="207"/>
    </row>
    <row r="149" customFormat="false" ht="15" hidden="false" customHeight="false" outlineLevel="0" collapsed="false">
      <c r="A149" s="138" t="str">
        <f aca="false">IF(B149="","","CR-"&amp;TEXT(ROW()-6,"000"))</f>
        <v/>
      </c>
      <c r="B149" s="207"/>
      <c r="C149" s="60"/>
      <c r="D149" s="131" t="str">
        <f aca="false">IF(C149="","",IF(OR(C149="ทั้งเฟส",LEFT(C149,4)="ผรม.",LEFT(C149,3)="เขต"),C149,IFERROR(INDEX('Master Plan'!$B$8:$B$27,MATCH(C149,'Master Plan'!$A$8:$A$27,0)),"?")))</f>
        <v/>
      </c>
      <c r="E149" s="204" t="str">
        <f aca="false">IF(LEFT(C149,4)="ผรม.",TRIM(MID(C149,5,5)),IF(OR(C149="ทั้งเฟส",LEFT(C149,3)="เขต"),"",IF(C149="","",IF(OR(C149="ทั้งเฟส",LEFT(C149,4)="ผรม.",LEFT(C149,3)="เขต"),C149,IFERROR(INDEX('Master Plan'!$L$8:$L$27,MATCH(C149,'Master Plan'!$A$8:$A$27,0)),"?")))))</f>
        <v/>
      </c>
      <c r="F149" s="60"/>
      <c r="G149" s="207"/>
      <c r="H149" s="207"/>
      <c r="I149" s="215" t="str">
        <f aca="false">IF(AND(ISNUMBER(G149),ISNUMBER(H149)),H149-G149,"")</f>
        <v/>
      </c>
      <c r="J149" s="216"/>
      <c r="K149" s="60"/>
      <c r="L149" s="60"/>
      <c r="M149" s="113"/>
      <c r="N149" s="60"/>
      <c r="O149" s="60"/>
      <c r="P149" s="131" t="str">
        <f aca="false">IF(B149="","",IF(LEFT(F149,8)="Baseline","ผู้บริหาร + กปภ.",IF(ABS(N(J149))=0,"วิศวกร / ทีม",IF(ABS(N(J149))&lt;=CR_T1,"PM",IF(ABS(N(J149))&lt;=CR_T2,"Change Board","ผู้บริหาร + กปภ.")))))</f>
        <v/>
      </c>
      <c r="Q149" s="60"/>
      <c r="R149" s="60"/>
      <c r="S149" s="207"/>
    </row>
    <row r="150" customFormat="false" ht="15" hidden="false" customHeight="false" outlineLevel="0" collapsed="false">
      <c r="A150" s="138" t="str">
        <f aca="false">IF(B150="","","CR-"&amp;TEXT(ROW()-6,"000"))</f>
        <v/>
      </c>
      <c r="B150" s="207"/>
      <c r="C150" s="60"/>
      <c r="D150" s="131" t="str">
        <f aca="false">IF(C150="","",IF(OR(C150="ทั้งเฟส",LEFT(C150,4)="ผรม.",LEFT(C150,3)="เขต"),C150,IFERROR(INDEX('Master Plan'!$B$8:$B$27,MATCH(C150,'Master Plan'!$A$8:$A$27,0)),"?")))</f>
        <v/>
      </c>
      <c r="E150" s="204" t="str">
        <f aca="false">IF(LEFT(C150,4)="ผรม.",TRIM(MID(C150,5,5)),IF(OR(C150="ทั้งเฟส",LEFT(C150,3)="เขต"),"",IF(C150="","",IF(OR(C150="ทั้งเฟส",LEFT(C150,4)="ผรม.",LEFT(C150,3)="เขต"),C150,IFERROR(INDEX('Master Plan'!$L$8:$L$27,MATCH(C150,'Master Plan'!$A$8:$A$27,0)),"?")))))</f>
        <v/>
      </c>
      <c r="F150" s="60"/>
      <c r="G150" s="207"/>
      <c r="H150" s="207"/>
      <c r="I150" s="215" t="str">
        <f aca="false">IF(AND(ISNUMBER(G150),ISNUMBER(H150)),H150-G150,"")</f>
        <v/>
      </c>
      <c r="J150" s="216"/>
      <c r="K150" s="60"/>
      <c r="L150" s="60"/>
      <c r="M150" s="113"/>
      <c r="N150" s="60"/>
      <c r="O150" s="60"/>
      <c r="P150" s="131" t="str">
        <f aca="false">IF(B150="","",IF(LEFT(F150,8)="Baseline","ผู้บริหาร + กปภ.",IF(ABS(N(J150))=0,"วิศวกร / ทีม",IF(ABS(N(J150))&lt;=CR_T1,"PM",IF(ABS(N(J150))&lt;=CR_T2,"Change Board","ผู้บริหาร + กปภ.")))))</f>
        <v/>
      </c>
      <c r="Q150" s="60"/>
      <c r="R150" s="60"/>
      <c r="S150" s="207"/>
    </row>
    <row r="151" customFormat="false" ht="15" hidden="false" customHeight="false" outlineLevel="0" collapsed="false">
      <c r="A151" s="138" t="str">
        <f aca="false">IF(B151="","","CR-"&amp;TEXT(ROW()-6,"000"))</f>
        <v/>
      </c>
      <c r="B151" s="207"/>
      <c r="C151" s="60"/>
      <c r="D151" s="131" t="str">
        <f aca="false">IF(C151="","",IF(OR(C151="ทั้งเฟส",LEFT(C151,4)="ผรม.",LEFT(C151,3)="เขต"),C151,IFERROR(INDEX('Master Plan'!$B$8:$B$27,MATCH(C151,'Master Plan'!$A$8:$A$27,0)),"?")))</f>
        <v/>
      </c>
      <c r="E151" s="204" t="str">
        <f aca="false">IF(LEFT(C151,4)="ผรม.",TRIM(MID(C151,5,5)),IF(OR(C151="ทั้งเฟส",LEFT(C151,3)="เขต"),"",IF(C151="","",IF(OR(C151="ทั้งเฟส",LEFT(C151,4)="ผรม.",LEFT(C151,3)="เขต"),C151,IFERROR(INDEX('Master Plan'!$L$8:$L$27,MATCH(C151,'Master Plan'!$A$8:$A$27,0)),"?")))))</f>
        <v/>
      </c>
      <c r="F151" s="60"/>
      <c r="G151" s="207"/>
      <c r="H151" s="207"/>
      <c r="I151" s="215" t="str">
        <f aca="false">IF(AND(ISNUMBER(G151),ISNUMBER(H151)),H151-G151,"")</f>
        <v/>
      </c>
      <c r="J151" s="216"/>
      <c r="K151" s="60"/>
      <c r="L151" s="60"/>
      <c r="M151" s="113"/>
      <c r="N151" s="60"/>
      <c r="O151" s="60"/>
      <c r="P151" s="131" t="str">
        <f aca="false">IF(B151="","",IF(LEFT(F151,8)="Baseline","ผู้บริหาร + กปภ.",IF(ABS(N(J151))=0,"วิศวกร / ทีม",IF(ABS(N(J151))&lt;=CR_T1,"PM",IF(ABS(N(J151))&lt;=CR_T2,"Change Board","ผู้บริหาร + กปภ.")))))</f>
        <v/>
      </c>
      <c r="Q151" s="60"/>
      <c r="R151" s="60"/>
      <c r="S151" s="207"/>
    </row>
    <row r="152" customFormat="false" ht="15" hidden="false" customHeight="false" outlineLevel="0" collapsed="false">
      <c r="A152" s="138" t="str">
        <f aca="false">IF(B152="","","CR-"&amp;TEXT(ROW()-6,"000"))</f>
        <v/>
      </c>
      <c r="B152" s="207"/>
      <c r="C152" s="60"/>
      <c r="D152" s="131" t="str">
        <f aca="false">IF(C152="","",IF(OR(C152="ทั้งเฟส",LEFT(C152,4)="ผรม.",LEFT(C152,3)="เขต"),C152,IFERROR(INDEX('Master Plan'!$B$8:$B$27,MATCH(C152,'Master Plan'!$A$8:$A$27,0)),"?")))</f>
        <v/>
      </c>
      <c r="E152" s="204" t="str">
        <f aca="false">IF(LEFT(C152,4)="ผรม.",TRIM(MID(C152,5,5)),IF(OR(C152="ทั้งเฟส",LEFT(C152,3)="เขต"),"",IF(C152="","",IF(OR(C152="ทั้งเฟส",LEFT(C152,4)="ผรม.",LEFT(C152,3)="เขต"),C152,IFERROR(INDEX('Master Plan'!$L$8:$L$27,MATCH(C152,'Master Plan'!$A$8:$A$27,0)),"?")))))</f>
        <v/>
      </c>
      <c r="F152" s="60"/>
      <c r="G152" s="207"/>
      <c r="H152" s="207"/>
      <c r="I152" s="215" t="str">
        <f aca="false">IF(AND(ISNUMBER(G152),ISNUMBER(H152)),H152-G152,"")</f>
        <v/>
      </c>
      <c r="J152" s="216"/>
      <c r="K152" s="60"/>
      <c r="L152" s="60"/>
      <c r="M152" s="113"/>
      <c r="N152" s="60"/>
      <c r="O152" s="60"/>
      <c r="P152" s="131" t="str">
        <f aca="false">IF(B152="","",IF(LEFT(F152,8)="Baseline","ผู้บริหาร + กปภ.",IF(ABS(N(J152))=0,"วิศวกร / ทีม",IF(ABS(N(J152))&lt;=CR_T1,"PM",IF(ABS(N(J152))&lt;=CR_T2,"Change Board","ผู้บริหาร + กปภ.")))))</f>
        <v/>
      </c>
      <c r="Q152" s="60"/>
      <c r="R152" s="60"/>
      <c r="S152" s="207"/>
    </row>
    <row r="153" customFormat="false" ht="15" hidden="false" customHeight="false" outlineLevel="0" collapsed="false">
      <c r="A153" s="138" t="str">
        <f aca="false">IF(B153="","","CR-"&amp;TEXT(ROW()-6,"000"))</f>
        <v/>
      </c>
      <c r="B153" s="207"/>
      <c r="C153" s="60"/>
      <c r="D153" s="131" t="str">
        <f aca="false">IF(C153="","",IF(OR(C153="ทั้งเฟส",LEFT(C153,4)="ผรม.",LEFT(C153,3)="เขต"),C153,IFERROR(INDEX('Master Plan'!$B$8:$B$27,MATCH(C153,'Master Plan'!$A$8:$A$27,0)),"?")))</f>
        <v/>
      </c>
      <c r="E153" s="204" t="str">
        <f aca="false">IF(LEFT(C153,4)="ผรม.",TRIM(MID(C153,5,5)),IF(OR(C153="ทั้งเฟส",LEFT(C153,3)="เขต"),"",IF(C153="","",IF(OR(C153="ทั้งเฟส",LEFT(C153,4)="ผรม.",LEFT(C153,3)="เขต"),C153,IFERROR(INDEX('Master Plan'!$L$8:$L$27,MATCH(C153,'Master Plan'!$A$8:$A$27,0)),"?")))))</f>
        <v/>
      </c>
      <c r="F153" s="60"/>
      <c r="G153" s="207"/>
      <c r="H153" s="207"/>
      <c r="I153" s="215" t="str">
        <f aca="false">IF(AND(ISNUMBER(G153),ISNUMBER(H153)),H153-G153,"")</f>
        <v/>
      </c>
      <c r="J153" s="216"/>
      <c r="K153" s="60"/>
      <c r="L153" s="60"/>
      <c r="M153" s="113"/>
      <c r="N153" s="60"/>
      <c r="O153" s="60"/>
      <c r="P153" s="131" t="str">
        <f aca="false">IF(B153="","",IF(LEFT(F153,8)="Baseline","ผู้บริหาร + กปภ.",IF(ABS(N(J153))=0,"วิศวกร / ทีม",IF(ABS(N(J153))&lt;=CR_T1,"PM",IF(ABS(N(J153))&lt;=CR_T2,"Change Board","ผู้บริหาร + กปภ.")))))</f>
        <v/>
      </c>
      <c r="Q153" s="60"/>
      <c r="R153" s="60"/>
      <c r="S153" s="207"/>
    </row>
    <row r="154" customFormat="false" ht="15" hidden="false" customHeight="false" outlineLevel="0" collapsed="false">
      <c r="A154" s="138" t="str">
        <f aca="false">IF(B154="","","CR-"&amp;TEXT(ROW()-6,"000"))</f>
        <v/>
      </c>
      <c r="B154" s="207"/>
      <c r="C154" s="60"/>
      <c r="D154" s="131" t="str">
        <f aca="false">IF(C154="","",IF(OR(C154="ทั้งเฟส",LEFT(C154,4)="ผรม.",LEFT(C154,3)="เขต"),C154,IFERROR(INDEX('Master Plan'!$B$8:$B$27,MATCH(C154,'Master Plan'!$A$8:$A$27,0)),"?")))</f>
        <v/>
      </c>
      <c r="E154" s="204" t="str">
        <f aca="false">IF(LEFT(C154,4)="ผรม.",TRIM(MID(C154,5,5)),IF(OR(C154="ทั้งเฟส",LEFT(C154,3)="เขต"),"",IF(C154="","",IF(OR(C154="ทั้งเฟส",LEFT(C154,4)="ผรม.",LEFT(C154,3)="เขต"),C154,IFERROR(INDEX('Master Plan'!$L$8:$L$27,MATCH(C154,'Master Plan'!$A$8:$A$27,0)),"?")))))</f>
        <v/>
      </c>
      <c r="F154" s="60"/>
      <c r="G154" s="207"/>
      <c r="H154" s="207"/>
      <c r="I154" s="215" t="str">
        <f aca="false">IF(AND(ISNUMBER(G154),ISNUMBER(H154)),H154-G154,"")</f>
        <v/>
      </c>
      <c r="J154" s="216"/>
      <c r="K154" s="60"/>
      <c r="L154" s="60"/>
      <c r="M154" s="113"/>
      <c r="N154" s="60"/>
      <c r="O154" s="60"/>
      <c r="P154" s="131" t="str">
        <f aca="false">IF(B154="","",IF(LEFT(F154,8)="Baseline","ผู้บริหาร + กปภ.",IF(ABS(N(J154))=0,"วิศวกร / ทีม",IF(ABS(N(J154))&lt;=CR_T1,"PM",IF(ABS(N(J154))&lt;=CR_T2,"Change Board","ผู้บริหาร + กปภ.")))))</f>
        <v/>
      </c>
      <c r="Q154" s="60"/>
      <c r="R154" s="60"/>
      <c r="S154" s="207"/>
    </row>
    <row r="155" customFormat="false" ht="15" hidden="false" customHeight="false" outlineLevel="0" collapsed="false">
      <c r="A155" s="138" t="str">
        <f aca="false">IF(B155="","","CR-"&amp;TEXT(ROW()-6,"000"))</f>
        <v/>
      </c>
      <c r="B155" s="207"/>
      <c r="C155" s="60"/>
      <c r="D155" s="131" t="str">
        <f aca="false">IF(C155="","",IF(OR(C155="ทั้งเฟส",LEFT(C155,4)="ผรม.",LEFT(C155,3)="เขต"),C155,IFERROR(INDEX('Master Plan'!$B$8:$B$27,MATCH(C155,'Master Plan'!$A$8:$A$27,0)),"?")))</f>
        <v/>
      </c>
      <c r="E155" s="204" t="str">
        <f aca="false">IF(LEFT(C155,4)="ผรม.",TRIM(MID(C155,5,5)),IF(OR(C155="ทั้งเฟส",LEFT(C155,3)="เขต"),"",IF(C155="","",IF(OR(C155="ทั้งเฟส",LEFT(C155,4)="ผรม.",LEFT(C155,3)="เขต"),C155,IFERROR(INDEX('Master Plan'!$L$8:$L$27,MATCH(C155,'Master Plan'!$A$8:$A$27,0)),"?")))))</f>
        <v/>
      </c>
      <c r="F155" s="60"/>
      <c r="G155" s="207"/>
      <c r="H155" s="207"/>
      <c r="I155" s="215" t="str">
        <f aca="false">IF(AND(ISNUMBER(G155),ISNUMBER(H155)),H155-G155,"")</f>
        <v/>
      </c>
      <c r="J155" s="216"/>
      <c r="K155" s="60"/>
      <c r="L155" s="60"/>
      <c r="M155" s="113"/>
      <c r="N155" s="60"/>
      <c r="O155" s="60"/>
      <c r="P155" s="131" t="str">
        <f aca="false">IF(B155="","",IF(LEFT(F155,8)="Baseline","ผู้บริหาร + กปภ.",IF(ABS(N(J155))=0,"วิศวกร / ทีม",IF(ABS(N(J155))&lt;=CR_T1,"PM",IF(ABS(N(J155))&lt;=CR_T2,"Change Board","ผู้บริหาร + กปภ.")))))</f>
        <v/>
      </c>
      <c r="Q155" s="60"/>
      <c r="R155" s="60"/>
      <c r="S155" s="207"/>
    </row>
    <row r="156" customFormat="false" ht="15" hidden="false" customHeight="false" outlineLevel="0" collapsed="false">
      <c r="A156" s="138" t="str">
        <f aca="false">IF(B156="","","CR-"&amp;TEXT(ROW()-6,"000"))</f>
        <v/>
      </c>
      <c r="B156" s="207"/>
      <c r="C156" s="60"/>
      <c r="D156" s="131" t="str">
        <f aca="false">IF(C156="","",IF(OR(C156="ทั้งเฟส",LEFT(C156,4)="ผรม.",LEFT(C156,3)="เขต"),C156,IFERROR(INDEX('Master Plan'!$B$8:$B$27,MATCH(C156,'Master Plan'!$A$8:$A$27,0)),"?")))</f>
        <v/>
      </c>
      <c r="E156" s="204" t="str">
        <f aca="false">IF(LEFT(C156,4)="ผรม.",TRIM(MID(C156,5,5)),IF(OR(C156="ทั้งเฟส",LEFT(C156,3)="เขต"),"",IF(C156="","",IF(OR(C156="ทั้งเฟส",LEFT(C156,4)="ผรม.",LEFT(C156,3)="เขต"),C156,IFERROR(INDEX('Master Plan'!$L$8:$L$27,MATCH(C156,'Master Plan'!$A$8:$A$27,0)),"?")))))</f>
        <v/>
      </c>
      <c r="F156" s="60"/>
      <c r="G156" s="207"/>
      <c r="H156" s="207"/>
      <c r="I156" s="215" t="str">
        <f aca="false">IF(AND(ISNUMBER(G156),ISNUMBER(H156)),H156-G156,"")</f>
        <v/>
      </c>
      <c r="J156" s="216"/>
      <c r="K156" s="60"/>
      <c r="L156" s="60"/>
      <c r="M156" s="113"/>
      <c r="N156" s="60"/>
      <c r="O156" s="60"/>
      <c r="P156" s="131" t="str">
        <f aca="false">IF(B156="","",IF(LEFT(F156,8)="Baseline","ผู้บริหาร + กปภ.",IF(ABS(N(J156))=0,"วิศวกร / ทีม",IF(ABS(N(J156))&lt;=CR_T1,"PM",IF(ABS(N(J156))&lt;=CR_T2,"Change Board","ผู้บริหาร + กปภ.")))))</f>
        <v/>
      </c>
      <c r="Q156" s="60"/>
      <c r="R156" s="60"/>
      <c r="S156" s="207"/>
    </row>
    <row r="157" customFormat="false" ht="15" hidden="false" customHeight="false" outlineLevel="0" collapsed="false">
      <c r="A157" s="138" t="str">
        <f aca="false">IF(B157="","","CR-"&amp;TEXT(ROW()-6,"000"))</f>
        <v/>
      </c>
      <c r="B157" s="207"/>
      <c r="C157" s="60"/>
      <c r="D157" s="131" t="str">
        <f aca="false">IF(C157="","",IF(OR(C157="ทั้งเฟส",LEFT(C157,4)="ผรม.",LEFT(C157,3)="เขต"),C157,IFERROR(INDEX('Master Plan'!$B$8:$B$27,MATCH(C157,'Master Plan'!$A$8:$A$27,0)),"?")))</f>
        <v/>
      </c>
      <c r="E157" s="204" t="str">
        <f aca="false">IF(LEFT(C157,4)="ผรม.",TRIM(MID(C157,5,5)),IF(OR(C157="ทั้งเฟส",LEFT(C157,3)="เขต"),"",IF(C157="","",IF(OR(C157="ทั้งเฟส",LEFT(C157,4)="ผรม.",LEFT(C157,3)="เขต"),C157,IFERROR(INDEX('Master Plan'!$L$8:$L$27,MATCH(C157,'Master Plan'!$A$8:$A$27,0)),"?")))))</f>
        <v/>
      </c>
      <c r="F157" s="60"/>
      <c r="G157" s="207"/>
      <c r="H157" s="207"/>
      <c r="I157" s="215" t="str">
        <f aca="false">IF(AND(ISNUMBER(G157),ISNUMBER(H157)),H157-G157,"")</f>
        <v/>
      </c>
      <c r="J157" s="216"/>
      <c r="K157" s="60"/>
      <c r="L157" s="60"/>
      <c r="M157" s="113"/>
      <c r="N157" s="60"/>
      <c r="O157" s="60"/>
      <c r="P157" s="131" t="str">
        <f aca="false">IF(B157="","",IF(LEFT(F157,8)="Baseline","ผู้บริหาร + กปภ.",IF(ABS(N(J157))=0,"วิศวกร / ทีม",IF(ABS(N(J157))&lt;=CR_T1,"PM",IF(ABS(N(J157))&lt;=CR_T2,"Change Board","ผู้บริหาร + กปภ.")))))</f>
        <v/>
      </c>
      <c r="Q157" s="60"/>
      <c r="R157" s="60"/>
      <c r="S157" s="207"/>
    </row>
    <row r="158" customFormat="false" ht="15" hidden="false" customHeight="false" outlineLevel="0" collapsed="false">
      <c r="A158" s="138" t="str">
        <f aca="false">IF(B158="","","CR-"&amp;TEXT(ROW()-6,"000"))</f>
        <v/>
      </c>
      <c r="B158" s="207"/>
      <c r="C158" s="60"/>
      <c r="D158" s="131" t="str">
        <f aca="false">IF(C158="","",IF(OR(C158="ทั้งเฟส",LEFT(C158,4)="ผรม.",LEFT(C158,3)="เขต"),C158,IFERROR(INDEX('Master Plan'!$B$8:$B$27,MATCH(C158,'Master Plan'!$A$8:$A$27,0)),"?")))</f>
        <v/>
      </c>
      <c r="E158" s="204" t="str">
        <f aca="false">IF(LEFT(C158,4)="ผรม.",TRIM(MID(C158,5,5)),IF(OR(C158="ทั้งเฟส",LEFT(C158,3)="เขต"),"",IF(C158="","",IF(OR(C158="ทั้งเฟส",LEFT(C158,4)="ผรม.",LEFT(C158,3)="เขต"),C158,IFERROR(INDEX('Master Plan'!$L$8:$L$27,MATCH(C158,'Master Plan'!$A$8:$A$27,0)),"?")))))</f>
        <v/>
      </c>
      <c r="F158" s="60"/>
      <c r="G158" s="207"/>
      <c r="H158" s="207"/>
      <c r="I158" s="215" t="str">
        <f aca="false">IF(AND(ISNUMBER(G158),ISNUMBER(H158)),H158-G158,"")</f>
        <v/>
      </c>
      <c r="J158" s="216"/>
      <c r="K158" s="60"/>
      <c r="L158" s="60"/>
      <c r="M158" s="113"/>
      <c r="N158" s="60"/>
      <c r="O158" s="60"/>
      <c r="P158" s="131" t="str">
        <f aca="false">IF(B158="","",IF(LEFT(F158,8)="Baseline","ผู้บริหาร + กปภ.",IF(ABS(N(J158))=0,"วิศวกร / ทีม",IF(ABS(N(J158))&lt;=CR_T1,"PM",IF(ABS(N(J158))&lt;=CR_T2,"Change Board","ผู้บริหาร + กปภ.")))))</f>
        <v/>
      </c>
      <c r="Q158" s="60"/>
      <c r="R158" s="60"/>
      <c r="S158" s="207"/>
    </row>
    <row r="159" customFormat="false" ht="15" hidden="false" customHeight="false" outlineLevel="0" collapsed="false">
      <c r="A159" s="138" t="str">
        <f aca="false">IF(B159="","","CR-"&amp;TEXT(ROW()-6,"000"))</f>
        <v/>
      </c>
      <c r="B159" s="207"/>
      <c r="C159" s="60"/>
      <c r="D159" s="131" t="str">
        <f aca="false">IF(C159="","",IF(OR(C159="ทั้งเฟส",LEFT(C159,4)="ผรม.",LEFT(C159,3)="เขต"),C159,IFERROR(INDEX('Master Plan'!$B$8:$B$27,MATCH(C159,'Master Plan'!$A$8:$A$27,0)),"?")))</f>
        <v/>
      </c>
      <c r="E159" s="204" t="str">
        <f aca="false">IF(LEFT(C159,4)="ผรม.",TRIM(MID(C159,5,5)),IF(OR(C159="ทั้งเฟส",LEFT(C159,3)="เขต"),"",IF(C159="","",IF(OR(C159="ทั้งเฟส",LEFT(C159,4)="ผรม.",LEFT(C159,3)="เขต"),C159,IFERROR(INDEX('Master Plan'!$L$8:$L$27,MATCH(C159,'Master Plan'!$A$8:$A$27,0)),"?")))))</f>
        <v/>
      </c>
      <c r="F159" s="60"/>
      <c r="G159" s="207"/>
      <c r="H159" s="207"/>
      <c r="I159" s="215" t="str">
        <f aca="false">IF(AND(ISNUMBER(G159),ISNUMBER(H159)),H159-G159,"")</f>
        <v/>
      </c>
      <c r="J159" s="216"/>
      <c r="K159" s="60"/>
      <c r="L159" s="60"/>
      <c r="M159" s="113"/>
      <c r="N159" s="60"/>
      <c r="O159" s="60"/>
      <c r="P159" s="131" t="str">
        <f aca="false">IF(B159="","",IF(LEFT(F159,8)="Baseline","ผู้บริหาร + กปภ.",IF(ABS(N(J159))=0,"วิศวกร / ทีม",IF(ABS(N(J159))&lt;=CR_T1,"PM",IF(ABS(N(J159))&lt;=CR_T2,"Change Board","ผู้บริหาร + กปภ.")))))</f>
        <v/>
      </c>
      <c r="Q159" s="60"/>
      <c r="R159" s="60"/>
      <c r="S159" s="207"/>
    </row>
    <row r="160" customFormat="false" ht="15" hidden="false" customHeight="false" outlineLevel="0" collapsed="false">
      <c r="A160" s="138" t="str">
        <f aca="false">IF(B160="","","CR-"&amp;TEXT(ROW()-6,"000"))</f>
        <v/>
      </c>
      <c r="B160" s="207"/>
      <c r="C160" s="60"/>
      <c r="D160" s="131" t="str">
        <f aca="false">IF(C160="","",IF(OR(C160="ทั้งเฟส",LEFT(C160,4)="ผรม.",LEFT(C160,3)="เขต"),C160,IFERROR(INDEX('Master Plan'!$B$8:$B$27,MATCH(C160,'Master Plan'!$A$8:$A$27,0)),"?")))</f>
        <v/>
      </c>
      <c r="E160" s="204" t="str">
        <f aca="false">IF(LEFT(C160,4)="ผรม.",TRIM(MID(C160,5,5)),IF(OR(C160="ทั้งเฟส",LEFT(C160,3)="เขต"),"",IF(C160="","",IF(OR(C160="ทั้งเฟส",LEFT(C160,4)="ผรม.",LEFT(C160,3)="เขต"),C160,IFERROR(INDEX('Master Plan'!$L$8:$L$27,MATCH(C160,'Master Plan'!$A$8:$A$27,0)),"?")))))</f>
        <v/>
      </c>
      <c r="F160" s="60"/>
      <c r="G160" s="207"/>
      <c r="H160" s="207"/>
      <c r="I160" s="215" t="str">
        <f aca="false">IF(AND(ISNUMBER(G160),ISNUMBER(H160)),H160-G160,"")</f>
        <v/>
      </c>
      <c r="J160" s="216"/>
      <c r="K160" s="60"/>
      <c r="L160" s="60"/>
      <c r="M160" s="113"/>
      <c r="N160" s="60"/>
      <c r="O160" s="60"/>
      <c r="P160" s="131" t="str">
        <f aca="false">IF(B160="","",IF(LEFT(F160,8)="Baseline","ผู้บริหาร + กปภ.",IF(ABS(N(J160))=0,"วิศวกร / ทีม",IF(ABS(N(J160))&lt;=CR_T1,"PM",IF(ABS(N(J160))&lt;=CR_T2,"Change Board","ผู้บริหาร + กปภ.")))))</f>
        <v/>
      </c>
      <c r="Q160" s="60"/>
      <c r="R160" s="60"/>
      <c r="S160" s="207"/>
    </row>
    <row r="161" customFormat="false" ht="15" hidden="false" customHeight="false" outlineLevel="0" collapsed="false">
      <c r="A161" s="138" t="str">
        <f aca="false">IF(B161="","","CR-"&amp;TEXT(ROW()-6,"000"))</f>
        <v/>
      </c>
      <c r="B161" s="207"/>
      <c r="C161" s="60"/>
      <c r="D161" s="131" t="str">
        <f aca="false">IF(C161="","",IF(OR(C161="ทั้งเฟส",LEFT(C161,4)="ผรม.",LEFT(C161,3)="เขต"),C161,IFERROR(INDEX('Master Plan'!$B$8:$B$27,MATCH(C161,'Master Plan'!$A$8:$A$27,0)),"?")))</f>
        <v/>
      </c>
      <c r="E161" s="204" t="str">
        <f aca="false">IF(LEFT(C161,4)="ผรม.",TRIM(MID(C161,5,5)),IF(OR(C161="ทั้งเฟส",LEFT(C161,3)="เขต"),"",IF(C161="","",IF(OR(C161="ทั้งเฟส",LEFT(C161,4)="ผรม.",LEFT(C161,3)="เขต"),C161,IFERROR(INDEX('Master Plan'!$L$8:$L$27,MATCH(C161,'Master Plan'!$A$8:$A$27,0)),"?")))))</f>
        <v/>
      </c>
      <c r="F161" s="60"/>
      <c r="G161" s="207"/>
      <c r="H161" s="207"/>
      <c r="I161" s="215" t="str">
        <f aca="false">IF(AND(ISNUMBER(G161),ISNUMBER(H161)),H161-G161,"")</f>
        <v/>
      </c>
      <c r="J161" s="216"/>
      <c r="K161" s="60"/>
      <c r="L161" s="60"/>
      <c r="M161" s="113"/>
      <c r="N161" s="60"/>
      <c r="O161" s="60"/>
      <c r="P161" s="131" t="str">
        <f aca="false">IF(B161="","",IF(LEFT(F161,8)="Baseline","ผู้บริหาร + กปภ.",IF(ABS(N(J161))=0,"วิศวกร / ทีม",IF(ABS(N(J161))&lt;=CR_T1,"PM",IF(ABS(N(J161))&lt;=CR_T2,"Change Board","ผู้บริหาร + กปภ.")))))</f>
        <v/>
      </c>
      <c r="Q161" s="60"/>
      <c r="R161" s="60"/>
      <c r="S161" s="207"/>
    </row>
    <row r="162" customFormat="false" ht="15" hidden="false" customHeight="false" outlineLevel="0" collapsed="false">
      <c r="A162" s="138" t="str">
        <f aca="false">IF(B162="","","CR-"&amp;TEXT(ROW()-6,"000"))</f>
        <v/>
      </c>
      <c r="B162" s="207"/>
      <c r="C162" s="60"/>
      <c r="D162" s="131" t="str">
        <f aca="false">IF(C162="","",IF(OR(C162="ทั้งเฟส",LEFT(C162,4)="ผรม.",LEFT(C162,3)="เขต"),C162,IFERROR(INDEX('Master Plan'!$B$8:$B$27,MATCH(C162,'Master Plan'!$A$8:$A$27,0)),"?")))</f>
        <v/>
      </c>
      <c r="E162" s="204" t="str">
        <f aca="false">IF(LEFT(C162,4)="ผรม.",TRIM(MID(C162,5,5)),IF(OR(C162="ทั้งเฟส",LEFT(C162,3)="เขต"),"",IF(C162="","",IF(OR(C162="ทั้งเฟส",LEFT(C162,4)="ผรม.",LEFT(C162,3)="เขต"),C162,IFERROR(INDEX('Master Plan'!$L$8:$L$27,MATCH(C162,'Master Plan'!$A$8:$A$27,0)),"?")))))</f>
        <v/>
      </c>
      <c r="F162" s="60"/>
      <c r="G162" s="207"/>
      <c r="H162" s="207"/>
      <c r="I162" s="215" t="str">
        <f aca="false">IF(AND(ISNUMBER(G162),ISNUMBER(H162)),H162-G162,"")</f>
        <v/>
      </c>
      <c r="J162" s="216"/>
      <c r="K162" s="60"/>
      <c r="L162" s="60"/>
      <c r="M162" s="113"/>
      <c r="N162" s="60"/>
      <c r="O162" s="60"/>
      <c r="P162" s="131" t="str">
        <f aca="false">IF(B162="","",IF(LEFT(F162,8)="Baseline","ผู้บริหาร + กปภ.",IF(ABS(N(J162))=0,"วิศวกร / ทีม",IF(ABS(N(J162))&lt;=CR_T1,"PM",IF(ABS(N(J162))&lt;=CR_T2,"Change Board","ผู้บริหาร + กปภ.")))))</f>
        <v/>
      </c>
      <c r="Q162" s="60"/>
      <c r="R162" s="60"/>
      <c r="S162" s="207"/>
    </row>
    <row r="163" customFormat="false" ht="15" hidden="false" customHeight="false" outlineLevel="0" collapsed="false">
      <c r="A163" s="138" t="str">
        <f aca="false">IF(B163="","","CR-"&amp;TEXT(ROW()-6,"000"))</f>
        <v/>
      </c>
      <c r="B163" s="207"/>
      <c r="C163" s="60"/>
      <c r="D163" s="131" t="str">
        <f aca="false">IF(C163="","",IF(OR(C163="ทั้งเฟส",LEFT(C163,4)="ผรม.",LEFT(C163,3)="เขต"),C163,IFERROR(INDEX('Master Plan'!$B$8:$B$27,MATCH(C163,'Master Plan'!$A$8:$A$27,0)),"?")))</f>
        <v/>
      </c>
      <c r="E163" s="204" t="str">
        <f aca="false">IF(LEFT(C163,4)="ผรม.",TRIM(MID(C163,5,5)),IF(OR(C163="ทั้งเฟส",LEFT(C163,3)="เขต"),"",IF(C163="","",IF(OR(C163="ทั้งเฟส",LEFT(C163,4)="ผรม.",LEFT(C163,3)="เขต"),C163,IFERROR(INDEX('Master Plan'!$L$8:$L$27,MATCH(C163,'Master Plan'!$A$8:$A$27,0)),"?")))))</f>
        <v/>
      </c>
      <c r="F163" s="60"/>
      <c r="G163" s="207"/>
      <c r="H163" s="207"/>
      <c r="I163" s="215" t="str">
        <f aca="false">IF(AND(ISNUMBER(G163),ISNUMBER(H163)),H163-G163,"")</f>
        <v/>
      </c>
      <c r="J163" s="216"/>
      <c r="K163" s="60"/>
      <c r="L163" s="60"/>
      <c r="M163" s="113"/>
      <c r="N163" s="60"/>
      <c r="O163" s="60"/>
      <c r="P163" s="131" t="str">
        <f aca="false">IF(B163="","",IF(LEFT(F163,8)="Baseline","ผู้บริหาร + กปภ.",IF(ABS(N(J163))=0,"วิศวกร / ทีม",IF(ABS(N(J163))&lt;=CR_T1,"PM",IF(ABS(N(J163))&lt;=CR_T2,"Change Board","ผู้บริหาร + กปภ.")))))</f>
        <v/>
      </c>
      <c r="Q163" s="60"/>
      <c r="R163" s="60"/>
      <c r="S163" s="207"/>
    </row>
    <row r="164" customFormat="false" ht="15" hidden="false" customHeight="false" outlineLevel="0" collapsed="false">
      <c r="A164" s="138" t="str">
        <f aca="false">IF(B164="","","CR-"&amp;TEXT(ROW()-6,"000"))</f>
        <v/>
      </c>
      <c r="B164" s="207"/>
      <c r="C164" s="60"/>
      <c r="D164" s="131" t="str">
        <f aca="false">IF(C164="","",IF(OR(C164="ทั้งเฟส",LEFT(C164,4)="ผรม.",LEFT(C164,3)="เขต"),C164,IFERROR(INDEX('Master Plan'!$B$8:$B$27,MATCH(C164,'Master Plan'!$A$8:$A$27,0)),"?")))</f>
        <v/>
      </c>
      <c r="E164" s="204" t="str">
        <f aca="false">IF(LEFT(C164,4)="ผรม.",TRIM(MID(C164,5,5)),IF(OR(C164="ทั้งเฟส",LEFT(C164,3)="เขต"),"",IF(C164="","",IF(OR(C164="ทั้งเฟส",LEFT(C164,4)="ผรม.",LEFT(C164,3)="เขต"),C164,IFERROR(INDEX('Master Plan'!$L$8:$L$27,MATCH(C164,'Master Plan'!$A$8:$A$27,0)),"?")))))</f>
        <v/>
      </c>
      <c r="F164" s="60"/>
      <c r="G164" s="207"/>
      <c r="H164" s="207"/>
      <c r="I164" s="215" t="str">
        <f aca="false">IF(AND(ISNUMBER(G164),ISNUMBER(H164)),H164-G164,"")</f>
        <v/>
      </c>
      <c r="J164" s="216"/>
      <c r="K164" s="60"/>
      <c r="L164" s="60"/>
      <c r="M164" s="113"/>
      <c r="N164" s="60"/>
      <c r="O164" s="60"/>
      <c r="P164" s="131" t="str">
        <f aca="false">IF(B164="","",IF(LEFT(F164,8)="Baseline","ผู้บริหาร + กปภ.",IF(ABS(N(J164))=0,"วิศวกร / ทีม",IF(ABS(N(J164))&lt;=CR_T1,"PM",IF(ABS(N(J164))&lt;=CR_T2,"Change Board","ผู้บริหาร + กปภ.")))))</f>
        <v/>
      </c>
      <c r="Q164" s="60"/>
      <c r="R164" s="60"/>
      <c r="S164" s="207"/>
    </row>
    <row r="165" customFormat="false" ht="15" hidden="false" customHeight="false" outlineLevel="0" collapsed="false">
      <c r="A165" s="138" t="str">
        <f aca="false">IF(B165="","","CR-"&amp;TEXT(ROW()-6,"000"))</f>
        <v/>
      </c>
      <c r="B165" s="207"/>
      <c r="C165" s="60"/>
      <c r="D165" s="131" t="str">
        <f aca="false">IF(C165="","",IF(OR(C165="ทั้งเฟส",LEFT(C165,4)="ผรม.",LEFT(C165,3)="เขต"),C165,IFERROR(INDEX('Master Plan'!$B$8:$B$27,MATCH(C165,'Master Plan'!$A$8:$A$27,0)),"?")))</f>
        <v/>
      </c>
      <c r="E165" s="204" t="str">
        <f aca="false">IF(LEFT(C165,4)="ผรม.",TRIM(MID(C165,5,5)),IF(OR(C165="ทั้งเฟส",LEFT(C165,3)="เขต"),"",IF(C165="","",IF(OR(C165="ทั้งเฟส",LEFT(C165,4)="ผรม.",LEFT(C165,3)="เขต"),C165,IFERROR(INDEX('Master Plan'!$L$8:$L$27,MATCH(C165,'Master Plan'!$A$8:$A$27,0)),"?")))))</f>
        <v/>
      </c>
      <c r="F165" s="60"/>
      <c r="G165" s="207"/>
      <c r="H165" s="207"/>
      <c r="I165" s="215" t="str">
        <f aca="false">IF(AND(ISNUMBER(G165),ISNUMBER(H165)),H165-G165,"")</f>
        <v/>
      </c>
      <c r="J165" s="216"/>
      <c r="K165" s="60"/>
      <c r="L165" s="60"/>
      <c r="M165" s="113"/>
      <c r="N165" s="60"/>
      <c r="O165" s="60"/>
      <c r="P165" s="131" t="str">
        <f aca="false">IF(B165="","",IF(LEFT(F165,8)="Baseline","ผู้บริหาร + กปภ.",IF(ABS(N(J165))=0,"วิศวกร / ทีม",IF(ABS(N(J165))&lt;=CR_T1,"PM",IF(ABS(N(J165))&lt;=CR_T2,"Change Board","ผู้บริหาร + กปภ.")))))</f>
        <v/>
      </c>
      <c r="Q165" s="60"/>
      <c r="R165" s="60"/>
      <c r="S165" s="207"/>
    </row>
    <row r="166" customFormat="false" ht="15" hidden="false" customHeight="false" outlineLevel="0" collapsed="false">
      <c r="A166" s="138" t="str">
        <f aca="false">IF(B166="","","CR-"&amp;TEXT(ROW()-6,"000"))</f>
        <v/>
      </c>
      <c r="B166" s="207"/>
      <c r="C166" s="60"/>
      <c r="D166" s="131" t="str">
        <f aca="false">IF(C166="","",IF(OR(C166="ทั้งเฟส",LEFT(C166,4)="ผรม.",LEFT(C166,3)="เขต"),C166,IFERROR(INDEX('Master Plan'!$B$8:$B$27,MATCH(C166,'Master Plan'!$A$8:$A$27,0)),"?")))</f>
        <v/>
      </c>
      <c r="E166" s="204" t="str">
        <f aca="false">IF(LEFT(C166,4)="ผรม.",TRIM(MID(C166,5,5)),IF(OR(C166="ทั้งเฟส",LEFT(C166,3)="เขต"),"",IF(C166="","",IF(OR(C166="ทั้งเฟส",LEFT(C166,4)="ผรม.",LEFT(C166,3)="เขต"),C166,IFERROR(INDEX('Master Plan'!$L$8:$L$27,MATCH(C166,'Master Plan'!$A$8:$A$27,0)),"?")))))</f>
        <v/>
      </c>
      <c r="F166" s="60"/>
      <c r="G166" s="207"/>
      <c r="H166" s="207"/>
      <c r="I166" s="215" t="str">
        <f aca="false">IF(AND(ISNUMBER(G166),ISNUMBER(H166)),H166-G166,"")</f>
        <v/>
      </c>
      <c r="J166" s="216"/>
      <c r="K166" s="60"/>
      <c r="L166" s="60"/>
      <c r="M166" s="113"/>
      <c r="N166" s="60"/>
      <c r="O166" s="60"/>
      <c r="P166" s="131" t="str">
        <f aca="false">IF(B166="","",IF(LEFT(F166,8)="Baseline","ผู้บริหาร + กปภ.",IF(ABS(N(J166))=0,"วิศวกร / ทีม",IF(ABS(N(J166))&lt;=CR_T1,"PM",IF(ABS(N(J166))&lt;=CR_T2,"Change Board","ผู้บริหาร + กปภ.")))))</f>
        <v/>
      </c>
      <c r="Q166" s="60"/>
      <c r="R166" s="60"/>
      <c r="S166" s="207"/>
    </row>
    <row r="167" customFormat="false" ht="15" hidden="false" customHeight="false" outlineLevel="0" collapsed="false">
      <c r="A167" s="138" t="str">
        <f aca="false">IF(B167="","","CR-"&amp;TEXT(ROW()-6,"000"))</f>
        <v/>
      </c>
      <c r="B167" s="207"/>
      <c r="C167" s="60"/>
      <c r="D167" s="131" t="str">
        <f aca="false">IF(C167="","",IF(OR(C167="ทั้งเฟส",LEFT(C167,4)="ผรม.",LEFT(C167,3)="เขต"),C167,IFERROR(INDEX('Master Plan'!$B$8:$B$27,MATCH(C167,'Master Plan'!$A$8:$A$27,0)),"?")))</f>
        <v/>
      </c>
      <c r="E167" s="204" t="str">
        <f aca="false">IF(LEFT(C167,4)="ผรม.",TRIM(MID(C167,5,5)),IF(OR(C167="ทั้งเฟส",LEFT(C167,3)="เขต"),"",IF(C167="","",IF(OR(C167="ทั้งเฟส",LEFT(C167,4)="ผรม.",LEFT(C167,3)="เขต"),C167,IFERROR(INDEX('Master Plan'!$L$8:$L$27,MATCH(C167,'Master Plan'!$A$8:$A$27,0)),"?")))))</f>
        <v/>
      </c>
      <c r="F167" s="60"/>
      <c r="G167" s="207"/>
      <c r="H167" s="207"/>
      <c r="I167" s="215" t="str">
        <f aca="false">IF(AND(ISNUMBER(G167),ISNUMBER(H167)),H167-G167,"")</f>
        <v/>
      </c>
      <c r="J167" s="216"/>
      <c r="K167" s="60"/>
      <c r="L167" s="60"/>
      <c r="M167" s="113"/>
      <c r="N167" s="60"/>
      <c r="O167" s="60"/>
      <c r="P167" s="131" t="str">
        <f aca="false">IF(B167="","",IF(LEFT(F167,8)="Baseline","ผู้บริหาร + กปภ.",IF(ABS(N(J167))=0,"วิศวกร / ทีม",IF(ABS(N(J167))&lt;=CR_T1,"PM",IF(ABS(N(J167))&lt;=CR_T2,"Change Board","ผู้บริหาร + กปภ.")))))</f>
        <v/>
      </c>
      <c r="Q167" s="60"/>
      <c r="R167" s="60"/>
      <c r="S167" s="207"/>
    </row>
    <row r="168" customFormat="false" ht="15" hidden="false" customHeight="false" outlineLevel="0" collapsed="false">
      <c r="A168" s="138" t="str">
        <f aca="false">IF(B168="","","CR-"&amp;TEXT(ROW()-6,"000"))</f>
        <v/>
      </c>
      <c r="B168" s="207"/>
      <c r="C168" s="60"/>
      <c r="D168" s="131" t="str">
        <f aca="false">IF(C168="","",IF(OR(C168="ทั้งเฟส",LEFT(C168,4)="ผรม.",LEFT(C168,3)="เขต"),C168,IFERROR(INDEX('Master Plan'!$B$8:$B$27,MATCH(C168,'Master Plan'!$A$8:$A$27,0)),"?")))</f>
        <v/>
      </c>
      <c r="E168" s="204" t="str">
        <f aca="false">IF(LEFT(C168,4)="ผรม.",TRIM(MID(C168,5,5)),IF(OR(C168="ทั้งเฟส",LEFT(C168,3)="เขต"),"",IF(C168="","",IF(OR(C168="ทั้งเฟส",LEFT(C168,4)="ผรม.",LEFT(C168,3)="เขต"),C168,IFERROR(INDEX('Master Plan'!$L$8:$L$27,MATCH(C168,'Master Plan'!$A$8:$A$27,0)),"?")))))</f>
        <v/>
      </c>
      <c r="F168" s="60"/>
      <c r="G168" s="207"/>
      <c r="H168" s="207"/>
      <c r="I168" s="215" t="str">
        <f aca="false">IF(AND(ISNUMBER(G168),ISNUMBER(H168)),H168-G168,"")</f>
        <v/>
      </c>
      <c r="J168" s="216"/>
      <c r="K168" s="60"/>
      <c r="L168" s="60"/>
      <c r="M168" s="113"/>
      <c r="N168" s="60"/>
      <c r="O168" s="60"/>
      <c r="P168" s="131" t="str">
        <f aca="false">IF(B168="","",IF(LEFT(F168,8)="Baseline","ผู้บริหาร + กปภ.",IF(ABS(N(J168))=0,"วิศวกร / ทีม",IF(ABS(N(J168))&lt;=CR_T1,"PM",IF(ABS(N(J168))&lt;=CR_T2,"Change Board","ผู้บริหาร + กปภ.")))))</f>
        <v/>
      </c>
      <c r="Q168" s="60"/>
      <c r="R168" s="60"/>
      <c r="S168" s="207"/>
    </row>
    <row r="169" customFormat="false" ht="15" hidden="false" customHeight="false" outlineLevel="0" collapsed="false">
      <c r="A169" s="138" t="str">
        <f aca="false">IF(B169="","","CR-"&amp;TEXT(ROW()-6,"000"))</f>
        <v/>
      </c>
      <c r="B169" s="207"/>
      <c r="C169" s="60"/>
      <c r="D169" s="131" t="str">
        <f aca="false">IF(C169="","",IF(OR(C169="ทั้งเฟส",LEFT(C169,4)="ผรม.",LEFT(C169,3)="เขต"),C169,IFERROR(INDEX('Master Plan'!$B$8:$B$27,MATCH(C169,'Master Plan'!$A$8:$A$27,0)),"?")))</f>
        <v/>
      </c>
      <c r="E169" s="204" t="str">
        <f aca="false">IF(LEFT(C169,4)="ผรม.",TRIM(MID(C169,5,5)),IF(OR(C169="ทั้งเฟส",LEFT(C169,3)="เขต"),"",IF(C169="","",IF(OR(C169="ทั้งเฟส",LEFT(C169,4)="ผรม.",LEFT(C169,3)="เขต"),C169,IFERROR(INDEX('Master Plan'!$L$8:$L$27,MATCH(C169,'Master Plan'!$A$8:$A$27,0)),"?")))))</f>
        <v/>
      </c>
      <c r="F169" s="60"/>
      <c r="G169" s="207"/>
      <c r="H169" s="207"/>
      <c r="I169" s="215" t="str">
        <f aca="false">IF(AND(ISNUMBER(G169),ISNUMBER(H169)),H169-G169,"")</f>
        <v/>
      </c>
      <c r="J169" s="216"/>
      <c r="K169" s="60"/>
      <c r="L169" s="60"/>
      <c r="M169" s="113"/>
      <c r="N169" s="60"/>
      <c r="O169" s="60"/>
      <c r="P169" s="131" t="str">
        <f aca="false">IF(B169="","",IF(LEFT(F169,8)="Baseline","ผู้บริหาร + กปภ.",IF(ABS(N(J169))=0,"วิศวกร / ทีม",IF(ABS(N(J169))&lt;=CR_T1,"PM",IF(ABS(N(J169))&lt;=CR_T2,"Change Board","ผู้บริหาร + กปภ.")))))</f>
        <v/>
      </c>
      <c r="Q169" s="60"/>
      <c r="R169" s="60"/>
      <c r="S169" s="207"/>
    </row>
    <row r="170" customFormat="false" ht="15" hidden="false" customHeight="false" outlineLevel="0" collapsed="false">
      <c r="A170" s="138" t="str">
        <f aca="false">IF(B170="","","CR-"&amp;TEXT(ROW()-6,"000"))</f>
        <v/>
      </c>
      <c r="B170" s="207"/>
      <c r="C170" s="60"/>
      <c r="D170" s="131" t="str">
        <f aca="false">IF(C170="","",IF(OR(C170="ทั้งเฟส",LEFT(C170,4)="ผรม.",LEFT(C170,3)="เขต"),C170,IFERROR(INDEX('Master Plan'!$B$8:$B$27,MATCH(C170,'Master Plan'!$A$8:$A$27,0)),"?")))</f>
        <v/>
      </c>
      <c r="E170" s="204" t="str">
        <f aca="false">IF(LEFT(C170,4)="ผรม.",TRIM(MID(C170,5,5)),IF(OR(C170="ทั้งเฟส",LEFT(C170,3)="เขต"),"",IF(C170="","",IF(OR(C170="ทั้งเฟส",LEFT(C170,4)="ผรม.",LEFT(C170,3)="เขต"),C170,IFERROR(INDEX('Master Plan'!$L$8:$L$27,MATCH(C170,'Master Plan'!$A$8:$A$27,0)),"?")))))</f>
        <v/>
      </c>
      <c r="F170" s="60"/>
      <c r="G170" s="207"/>
      <c r="H170" s="207"/>
      <c r="I170" s="215" t="str">
        <f aca="false">IF(AND(ISNUMBER(G170),ISNUMBER(H170)),H170-G170,"")</f>
        <v/>
      </c>
      <c r="J170" s="216"/>
      <c r="K170" s="60"/>
      <c r="L170" s="60"/>
      <c r="M170" s="113"/>
      <c r="N170" s="60"/>
      <c r="O170" s="60"/>
      <c r="P170" s="131" t="str">
        <f aca="false">IF(B170="","",IF(LEFT(F170,8)="Baseline","ผู้บริหาร + กปภ.",IF(ABS(N(J170))=0,"วิศวกร / ทีม",IF(ABS(N(J170))&lt;=CR_T1,"PM",IF(ABS(N(J170))&lt;=CR_T2,"Change Board","ผู้บริหาร + กปภ.")))))</f>
        <v/>
      </c>
      <c r="Q170" s="60"/>
      <c r="R170" s="60"/>
      <c r="S170" s="207"/>
    </row>
    <row r="171" customFormat="false" ht="15" hidden="false" customHeight="false" outlineLevel="0" collapsed="false">
      <c r="A171" s="138" t="str">
        <f aca="false">IF(B171="","","CR-"&amp;TEXT(ROW()-6,"000"))</f>
        <v/>
      </c>
      <c r="B171" s="207"/>
      <c r="C171" s="60"/>
      <c r="D171" s="131" t="str">
        <f aca="false">IF(C171="","",IF(OR(C171="ทั้งเฟส",LEFT(C171,4)="ผรม.",LEFT(C171,3)="เขต"),C171,IFERROR(INDEX('Master Plan'!$B$8:$B$27,MATCH(C171,'Master Plan'!$A$8:$A$27,0)),"?")))</f>
        <v/>
      </c>
      <c r="E171" s="204" t="str">
        <f aca="false">IF(LEFT(C171,4)="ผรม.",TRIM(MID(C171,5,5)),IF(OR(C171="ทั้งเฟส",LEFT(C171,3)="เขต"),"",IF(C171="","",IF(OR(C171="ทั้งเฟส",LEFT(C171,4)="ผรม.",LEFT(C171,3)="เขต"),C171,IFERROR(INDEX('Master Plan'!$L$8:$L$27,MATCH(C171,'Master Plan'!$A$8:$A$27,0)),"?")))))</f>
        <v/>
      </c>
      <c r="F171" s="60"/>
      <c r="G171" s="207"/>
      <c r="H171" s="207"/>
      <c r="I171" s="215" t="str">
        <f aca="false">IF(AND(ISNUMBER(G171),ISNUMBER(H171)),H171-G171,"")</f>
        <v/>
      </c>
      <c r="J171" s="216"/>
      <c r="K171" s="60"/>
      <c r="L171" s="60"/>
      <c r="M171" s="113"/>
      <c r="N171" s="60"/>
      <c r="O171" s="60"/>
      <c r="P171" s="131" t="str">
        <f aca="false">IF(B171="","",IF(LEFT(F171,8)="Baseline","ผู้บริหาร + กปภ.",IF(ABS(N(J171))=0,"วิศวกร / ทีม",IF(ABS(N(J171))&lt;=CR_T1,"PM",IF(ABS(N(J171))&lt;=CR_T2,"Change Board","ผู้บริหาร + กปภ.")))))</f>
        <v/>
      </c>
      <c r="Q171" s="60"/>
      <c r="R171" s="60"/>
      <c r="S171" s="207"/>
    </row>
    <row r="172" customFormat="false" ht="15" hidden="false" customHeight="false" outlineLevel="0" collapsed="false">
      <c r="A172" s="138" t="str">
        <f aca="false">IF(B172="","","CR-"&amp;TEXT(ROW()-6,"000"))</f>
        <v/>
      </c>
      <c r="B172" s="207"/>
      <c r="C172" s="60"/>
      <c r="D172" s="131" t="str">
        <f aca="false">IF(C172="","",IF(OR(C172="ทั้งเฟส",LEFT(C172,4)="ผรม.",LEFT(C172,3)="เขต"),C172,IFERROR(INDEX('Master Plan'!$B$8:$B$27,MATCH(C172,'Master Plan'!$A$8:$A$27,0)),"?")))</f>
        <v/>
      </c>
      <c r="E172" s="204" t="str">
        <f aca="false">IF(LEFT(C172,4)="ผรม.",TRIM(MID(C172,5,5)),IF(OR(C172="ทั้งเฟส",LEFT(C172,3)="เขต"),"",IF(C172="","",IF(OR(C172="ทั้งเฟส",LEFT(C172,4)="ผรม.",LEFT(C172,3)="เขต"),C172,IFERROR(INDEX('Master Plan'!$L$8:$L$27,MATCH(C172,'Master Plan'!$A$8:$A$27,0)),"?")))))</f>
        <v/>
      </c>
      <c r="F172" s="60"/>
      <c r="G172" s="207"/>
      <c r="H172" s="207"/>
      <c r="I172" s="215" t="str">
        <f aca="false">IF(AND(ISNUMBER(G172),ISNUMBER(H172)),H172-G172,"")</f>
        <v/>
      </c>
      <c r="J172" s="216"/>
      <c r="K172" s="60"/>
      <c r="L172" s="60"/>
      <c r="M172" s="113"/>
      <c r="N172" s="60"/>
      <c r="O172" s="60"/>
      <c r="P172" s="131" t="str">
        <f aca="false">IF(B172="","",IF(LEFT(F172,8)="Baseline","ผู้บริหาร + กปภ.",IF(ABS(N(J172))=0,"วิศวกร / ทีม",IF(ABS(N(J172))&lt;=CR_T1,"PM",IF(ABS(N(J172))&lt;=CR_T2,"Change Board","ผู้บริหาร + กปภ.")))))</f>
        <v/>
      </c>
      <c r="Q172" s="60"/>
      <c r="R172" s="60"/>
      <c r="S172" s="207"/>
    </row>
    <row r="173" customFormat="false" ht="15" hidden="false" customHeight="false" outlineLevel="0" collapsed="false">
      <c r="A173" s="138" t="str">
        <f aca="false">IF(B173="","","CR-"&amp;TEXT(ROW()-6,"000"))</f>
        <v/>
      </c>
      <c r="B173" s="207"/>
      <c r="C173" s="60"/>
      <c r="D173" s="131" t="str">
        <f aca="false">IF(C173="","",IF(OR(C173="ทั้งเฟส",LEFT(C173,4)="ผรม.",LEFT(C173,3)="เขต"),C173,IFERROR(INDEX('Master Plan'!$B$8:$B$27,MATCH(C173,'Master Plan'!$A$8:$A$27,0)),"?")))</f>
        <v/>
      </c>
      <c r="E173" s="204" t="str">
        <f aca="false">IF(LEFT(C173,4)="ผรม.",TRIM(MID(C173,5,5)),IF(OR(C173="ทั้งเฟส",LEFT(C173,3)="เขต"),"",IF(C173="","",IF(OR(C173="ทั้งเฟส",LEFT(C173,4)="ผรม.",LEFT(C173,3)="เขต"),C173,IFERROR(INDEX('Master Plan'!$L$8:$L$27,MATCH(C173,'Master Plan'!$A$8:$A$27,0)),"?")))))</f>
        <v/>
      </c>
      <c r="F173" s="60"/>
      <c r="G173" s="207"/>
      <c r="H173" s="207"/>
      <c r="I173" s="215" t="str">
        <f aca="false">IF(AND(ISNUMBER(G173),ISNUMBER(H173)),H173-G173,"")</f>
        <v/>
      </c>
      <c r="J173" s="216"/>
      <c r="K173" s="60"/>
      <c r="L173" s="60"/>
      <c r="M173" s="113"/>
      <c r="N173" s="60"/>
      <c r="O173" s="60"/>
      <c r="P173" s="131" t="str">
        <f aca="false">IF(B173="","",IF(LEFT(F173,8)="Baseline","ผู้บริหาร + กปภ.",IF(ABS(N(J173))=0,"วิศวกร / ทีม",IF(ABS(N(J173))&lt;=CR_T1,"PM",IF(ABS(N(J173))&lt;=CR_T2,"Change Board","ผู้บริหาร + กปภ.")))))</f>
        <v/>
      </c>
      <c r="Q173" s="60"/>
      <c r="R173" s="60"/>
      <c r="S173" s="207"/>
    </row>
    <row r="174" customFormat="false" ht="15" hidden="false" customHeight="false" outlineLevel="0" collapsed="false">
      <c r="A174" s="138" t="str">
        <f aca="false">IF(B174="","","CR-"&amp;TEXT(ROW()-6,"000"))</f>
        <v/>
      </c>
      <c r="B174" s="207"/>
      <c r="C174" s="60"/>
      <c r="D174" s="131" t="str">
        <f aca="false">IF(C174="","",IF(OR(C174="ทั้งเฟส",LEFT(C174,4)="ผรม.",LEFT(C174,3)="เขต"),C174,IFERROR(INDEX('Master Plan'!$B$8:$B$27,MATCH(C174,'Master Plan'!$A$8:$A$27,0)),"?")))</f>
        <v/>
      </c>
      <c r="E174" s="204" t="str">
        <f aca="false">IF(LEFT(C174,4)="ผรม.",TRIM(MID(C174,5,5)),IF(OR(C174="ทั้งเฟส",LEFT(C174,3)="เขต"),"",IF(C174="","",IF(OR(C174="ทั้งเฟส",LEFT(C174,4)="ผรม.",LEFT(C174,3)="เขต"),C174,IFERROR(INDEX('Master Plan'!$L$8:$L$27,MATCH(C174,'Master Plan'!$A$8:$A$27,0)),"?")))))</f>
        <v/>
      </c>
      <c r="F174" s="60"/>
      <c r="G174" s="207"/>
      <c r="H174" s="207"/>
      <c r="I174" s="215" t="str">
        <f aca="false">IF(AND(ISNUMBER(G174),ISNUMBER(H174)),H174-G174,"")</f>
        <v/>
      </c>
      <c r="J174" s="216"/>
      <c r="K174" s="60"/>
      <c r="L174" s="60"/>
      <c r="M174" s="113"/>
      <c r="N174" s="60"/>
      <c r="O174" s="60"/>
      <c r="P174" s="131" t="str">
        <f aca="false">IF(B174="","",IF(LEFT(F174,8)="Baseline","ผู้บริหาร + กปภ.",IF(ABS(N(J174))=0,"วิศวกร / ทีม",IF(ABS(N(J174))&lt;=CR_T1,"PM",IF(ABS(N(J174))&lt;=CR_T2,"Change Board","ผู้บริหาร + กปภ.")))))</f>
        <v/>
      </c>
      <c r="Q174" s="60"/>
      <c r="R174" s="60"/>
      <c r="S174" s="207"/>
    </row>
    <row r="175" customFormat="false" ht="15" hidden="false" customHeight="false" outlineLevel="0" collapsed="false">
      <c r="A175" s="138" t="str">
        <f aca="false">IF(B175="","","CR-"&amp;TEXT(ROW()-6,"000"))</f>
        <v/>
      </c>
      <c r="B175" s="207"/>
      <c r="C175" s="60"/>
      <c r="D175" s="131" t="str">
        <f aca="false">IF(C175="","",IF(OR(C175="ทั้งเฟส",LEFT(C175,4)="ผรม.",LEFT(C175,3)="เขต"),C175,IFERROR(INDEX('Master Plan'!$B$8:$B$27,MATCH(C175,'Master Plan'!$A$8:$A$27,0)),"?")))</f>
        <v/>
      </c>
      <c r="E175" s="204" t="str">
        <f aca="false">IF(LEFT(C175,4)="ผรม.",TRIM(MID(C175,5,5)),IF(OR(C175="ทั้งเฟส",LEFT(C175,3)="เขต"),"",IF(C175="","",IF(OR(C175="ทั้งเฟส",LEFT(C175,4)="ผรม.",LEFT(C175,3)="เขต"),C175,IFERROR(INDEX('Master Plan'!$L$8:$L$27,MATCH(C175,'Master Plan'!$A$8:$A$27,0)),"?")))))</f>
        <v/>
      </c>
      <c r="F175" s="60"/>
      <c r="G175" s="207"/>
      <c r="H175" s="207"/>
      <c r="I175" s="215" t="str">
        <f aca="false">IF(AND(ISNUMBER(G175),ISNUMBER(H175)),H175-G175,"")</f>
        <v/>
      </c>
      <c r="J175" s="216"/>
      <c r="K175" s="60"/>
      <c r="L175" s="60"/>
      <c r="M175" s="113"/>
      <c r="N175" s="60"/>
      <c r="O175" s="60"/>
      <c r="P175" s="131" t="str">
        <f aca="false">IF(B175="","",IF(LEFT(F175,8)="Baseline","ผู้บริหาร + กปภ.",IF(ABS(N(J175))=0,"วิศวกร / ทีม",IF(ABS(N(J175))&lt;=CR_T1,"PM",IF(ABS(N(J175))&lt;=CR_T2,"Change Board","ผู้บริหาร + กปภ.")))))</f>
        <v/>
      </c>
      <c r="Q175" s="60"/>
      <c r="R175" s="60"/>
      <c r="S175" s="207"/>
    </row>
    <row r="176" customFormat="false" ht="15" hidden="false" customHeight="false" outlineLevel="0" collapsed="false">
      <c r="A176" s="138" t="str">
        <f aca="false">IF(B176="","","CR-"&amp;TEXT(ROW()-6,"000"))</f>
        <v/>
      </c>
      <c r="B176" s="207"/>
      <c r="C176" s="60"/>
      <c r="D176" s="131" t="str">
        <f aca="false">IF(C176="","",IF(OR(C176="ทั้งเฟส",LEFT(C176,4)="ผรม.",LEFT(C176,3)="เขต"),C176,IFERROR(INDEX('Master Plan'!$B$8:$B$27,MATCH(C176,'Master Plan'!$A$8:$A$27,0)),"?")))</f>
        <v/>
      </c>
      <c r="E176" s="204" t="str">
        <f aca="false">IF(LEFT(C176,4)="ผรม.",TRIM(MID(C176,5,5)),IF(OR(C176="ทั้งเฟส",LEFT(C176,3)="เขต"),"",IF(C176="","",IF(OR(C176="ทั้งเฟส",LEFT(C176,4)="ผรม.",LEFT(C176,3)="เขต"),C176,IFERROR(INDEX('Master Plan'!$L$8:$L$27,MATCH(C176,'Master Plan'!$A$8:$A$27,0)),"?")))))</f>
        <v/>
      </c>
      <c r="F176" s="60"/>
      <c r="G176" s="207"/>
      <c r="H176" s="207"/>
      <c r="I176" s="215" t="str">
        <f aca="false">IF(AND(ISNUMBER(G176),ISNUMBER(H176)),H176-G176,"")</f>
        <v/>
      </c>
      <c r="J176" s="216"/>
      <c r="K176" s="60"/>
      <c r="L176" s="60"/>
      <c r="M176" s="113"/>
      <c r="N176" s="60"/>
      <c r="O176" s="60"/>
      <c r="P176" s="131" t="str">
        <f aca="false">IF(B176="","",IF(LEFT(F176,8)="Baseline","ผู้บริหาร + กปภ.",IF(ABS(N(J176))=0,"วิศวกร / ทีม",IF(ABS(N(J176))&lt;=CR_T1,"PM",IF(ABS(N(J176))&lt;=CR_T2,"Change Board","ผู้บริหาร + กปภ.")))))</f>
        <v/>
      </c>
      <c r="Q176" s="60"/>
      <c r="R176" s="60"/>
      <c r="S176" s="207"/>
    </row>
    <row r="177" customFormat="false" ht="15" hidden="false" customHeight="false" outlineLevel="0" collapsed="false">
      <c r="A177" s="138" t="str">
        <f aca="false">IF(B177="","","CR-"&amp;TEXT(ROW()-6,"000"))</f>
        <v/>
      </c>
      <c r="B177" s="207"/>
      <c r="C177" s="60"/>
      <c r="D177" s="131" t="str">
        <f aca="false">IF(C177="","",IF(OR(C177="ทั้งเฟส",LEFT(C177,4)="ผรม.",LEFT(C177,3)="เขต"),C177,IFERROR(INDEX('Master Plan'!$B$8:$B$27,MATCH(C177,'Master Plan'!$A$8:$A$27,0)),"?")))</f>
        <v/>
      </c>
      <c r="E177" s="204" t="str">
        <f aca="false">IF(LEFT(C177,4)="ผรม.",TRIM(MID(C177,5,5)),IF(OR(C177="ทั้งเฟส",LEFT(C177,3)="เขต"),"",IF(C177="","",IF(OR(C177="ทั้งเฟส",LEFT(C177,4)="ผรม.",LEFT(C177,3)="เขต"),C177,IFERROR(INDEX('Master Plan'!$L$8:$L$27,MATCH(C177,'Master Plan'!$A$8:$A$27,0)),"?")))))</f>
        <v/>
      </c>
      <c r="F177" s="60"/>
      <c r="G177" s="207"/>
      <c r="H177" s="207"/>
      <c r="I177" s="215" t="str">
        <f aca="false">IF(AND(ISNUMBER(G177),ISNUMBER(H177)),H177-G177,"")</f>
        <v/>
      </c>
      <c r="J177" s="216"/>
      <c r="K177" s="60"/>
      <c r="L177" s="60"/>
      <c r="M177" s="113"/>
      <c r="N177" s="60"/>
      <c r="O177" s="60"/>
      <c r="P177" s="131" t="str">
        <f aca="false">IF(B177="","",IF(LEFT(F177,8)="Baseline","ผู้บริหาร + กปภ.",IF(ABS(N(J177))=0,"วิศวกร / ทีม",IF(ABS(N(J177))&lt;=CR_T1,"PM",IF(ABS(N(J177))&lt;=CR_T2,"Change Board","ผู้บริหาร + กปภ.")))))</f>
        <v/>
      </c>
      <c r="Q177" s="60"/>
      <c r="R177" s="60"/>
      <c r="S177" s="207"/>
    </row>
    <row r="178" customFormat="false" ht="15" hidden="false" customHeight="false" outlineLevel="0" collapsed="false">
      <c r="A178" s="138" t="str">
        <f aca="false">IF(B178="","","CR-"&amp;TEXT(ROW()-6,"000"))</f>
        <v/>
      </c>
      <c r="B178" s="207"/>
      <c r="C178" s="60"/>
      <c r="D178" s="131" t="str">
        <f aca="false">IF(C178="","",IF(OR(C178="ทั้งเฟส",LEFT(C178,4)="ผรม.",LEFT(C178,3)="เขต"),C178,IFERROR(INDEX('Master Plan'!$B$8:$B$27,MATCH(C178,'Master Plan'!$A$8:$A$27,0)),"?")))</f>
        <v/>
      </c>
      <c r="E178" s="204" t="str">
        <f aca="false">IF(LEFT(C178,4)="ผรม.",TRIM(MID(C178,5,5)),IF(OR(C178="ทั้งเฟส",LEFT(C178,3)="เขต"),"",IF(C178="","",IF(OR(C178="ทั้งเฟส",LEFT(C178,4)="ผรม.",LEFT(C178,3)="เขต"),C178,IFERROR(INDEX('Master Plan'!$L$8:$L$27,MATCH(C178,'Master Plan'!$A$8:$A$27,0)),"?")))))</f>
        <v/>
      </c>
      <c r="F178" s="60"/>
      <c r="G178" s="207"/>
      <c r="H178" s="207"/>
      <c r="I178" s="215" t="str">
        <f aca="false">IF(AND(ISNUMBER(G178),ISNUMBER(H178)),H178-G178,"")</f>
        <v/>
      </c>
      <c r="J178" s="216"/>
      <c r="K178" s="60"/>
      <c r="L178" s="60"/>
      <c r="M178" s="113"/>
      <c r="N178" s="60"/>
      <c r="O178" s="60"/>
      <c r="P178" s="131" t="str">
        <f aca="false">IF(B178="","",IF(LEFT(F178,8)="Baseline","ผู้บริหาร + กปภ.",IF(ABS(N(J178))=0,"วิศวกร / ทีม",IF(ABS(N(J178))&lt;=CR_T1,"PM",IF(ABS(N(J178))&lt;=CR_T2,"Change Board","ผู้บริหาร + กปภ.")))))</f>
        <v/>
      </c>
      <c r="Q178" s="60"/>
      <c r="R178" s="60"/>
      <c r="S178" s="207"/>
    </row>
    <row r="179" customFormat="false" ht="15" hidden="false" customHeight="false" outlineLevel="0" collapsed="false">
      <c r="A179" s="138" t="str">
        <f aca="false">IF(B179="","","CR-"&amp;TEXT(ROW()-6,"000"))</f>
        <v/>
      </c>
      <c r="B179" s="207"/>
      <c r="C179" s="60"/>
      <c r="D179" s="131" t="str">
        <f aca="false">IF(C179="","",IF(OR(C179="ทั้งเฟส",LEFT(C179,4)="ผรม.",LEFT(C179,3)="เขต"),C179,IFERROR(INDEX('Master Plan'!$B$8:$B$27,MATCH(C179,'Master Plan'!$A$8:$A$27,0)),"?")))</f>
        <v/>
      </c>
      <c r="E179" s="204" t="str">
        <f aca="false">IF(LEFT(C179,4)="ผรม.",TRIM(MID(C179,5,5)),IF(OR(C179="ทั้งเฟส",LEFT(C179,3)="เขต"),"",IF(C179="","",IF(OR(C179="ทั้งเฟส",LEFT(C179,4)="ผรม.",LEFT(C179,3)="เขต"),C179,IFERROR(INDEX('Master Plan'!$L$8:$L$27,MATCH(C179,'Master Plan'!$A$8:$A$27,0)),"?")))))</f>
        <v/>
      </c>
      <c r="F179" s="60"/>
      <c r="G179" s="207"/>
      <c r="H179" s="207"/>
      <c r="I179" s="215" t="str">
        <f aca="false">IF(AND(ISNUMBER(G179),ISNUMBER(H179)),H179-G179,"")</f>
        <v/>
      </c>
      <c r="J179" s="216"/>
      <c r="K179" s="60"/>
      <c r="L179" s="60"/>
      <c r="M179" s="113"/>
      <c r="N179" s="60"/>
      <c r="O179" s="60"/>
      <c r="P179" s="131" t="str">
        <f aca="false">IF(B179="","",IF(LEFT(F179,8)="Baseline","ผู้บริหาร + กปภ.",IF(ABS(N(J179))=0,"วิศวกร / ทีม",IF(ABS(N(J179))&lt;=CR_T1,"PM",IF(ABS(N(J179))&lt;=CR_T2,"Change Board","ผู้บริหาร + กปภ.")))))</f>
        <v/>
      </c>
      <c r="Q179" s="60"/>
      <c r="R179" s="60"/>
      <c r="S179" s="207"/>
    </row>
    <row r="180" customFormat="false" ht="15" hidden="false" customHeight="false" outlineLevel="0" collapsed="false">
      <c r="A180" s="138" t="str">
        <f aca="false">IF(B180="","","CR-"&amp;TEXT(ROW()-6,"000"))</f>
        <v/>
      </c>
      <c r="B180" s="207"/>
      <c r="C180" s="60"/>
      <c r="D180" s="131" t="str">
        <f aca="false">IF(C180="","",IF(OR(C180="ทั้งเฟส",LEFT(C180,4)="ผรม.",LEFT(C180,3)="เขต"),C180,IFERROR(INDEX('Master Plan'!$B$8:$B$27,MATCH(C180,'Master Plan'!$A$8:$A$27,0)),"?")))</f>
        <v/>
      </c>
      <c r="E180" s="204" t="str">
        <f aca="false">IF(LEFT(C180,4)="ผรม.",TRIM(MID(C180,5,5)),IF(OR(C180="ทั้งเฟส",LEFT(C180,3)="เขต"),"",IF(C180="","",IF(OR(C180="ทั้งเฟส",LEFT(C180,4)="ผรม.",LEFT(C180,3)="เขต"),C180,IFERROR(INDEX('Master Plan'!$L$8:$L$27,MATCH(C180,'Master Plan'!$A$8:$A$27,0)),"?")))))</f>
        <v/>
      </c>
      <c r="F180" s="60"/>
      <c r="G180" s="207"/>
      <c r="H180" s="207"/>
      <c r="I180" s="215" t="str">
        <f aca="false">IF(AND(ISNUMBER(G180),ISNUMBER(H180)),H180-G180,"")</f>
        <v/>
      </c>
      <c r="J180" s="216"/>
      <c r="K180" s="60"/>
      <c r="L180" s="60"/>
      <c r="M180" s="113"/>
      <c r="N180" s="60"/>
      <c r="O180" s="60"/>
      <c r="P180" s="131" t="str">
        <f aca="false">IF(B180="","",IF(LEFT(F180,8)="Baseline","ผู้บริหาร + กปภ.",IF(ABS(N(J180))=0,"วิศวกร / ทีม",IF(ABS(N(J180))&lt;=CR_T1,"PM",IF(ABS(N(J180))&lt;=CR_T2,"Change Board","ผู้บริหาร + กปภ.")))))</f>
        <v/>
      </c>
      <c r="Q180" s="60"/>
      <c r="R180" s="60"/>
      <c r="S180" s="207"/>
    </row>
    <row r="181" customFormat="false" ht="15" hidden="false" customHeight="false" outlineLevel="0" collapsed="false">
      <c r="A181" s="138" t="str">
        <f aca="false">IF(B181="","","CR-"&amp;TEXT(ROW()-6,"000"))</f>
        <v/>
      </c>
      <c r="B181" s="207"/>
      <c r="C181" s="60"/>
      <c r="D181" s="131" t="str">
        <f aca="false">IF(C181="","",IF(OR(C181="ทั้งเฟส",LEFT(C181,4)="ผรม.",LEFT(C181,3)="เขต"),C181,IFERROR(INDEX('Master Plan'!$B$8:$B$27,MATCH(C181,'Master Plan'!$A$8:$A$27,0)),"?")))</f>
        <v/>
      </c>
      <c r="E181" s="204" t="str">
        <f aca="false">IF(LEFT(C181,4)="ผรม.",TRIM(MID(C181,5,5)),IF(OR(C181="ทั้งเฟส",LEFT(C181,3)="เขต"),"",IF(C181="","",IF(OR(C181="ทั้งเฟส",LEFT(C181,4)="ผรม.",LEFT(C181,3)="เขต"),C181,IFERROR(INDEX('Master Plan'!$L$8:$L$27,MATCH(C181,'Master Plan'!$A$8:$A$27,0)),"?")))))</f>
        <v/>
      </c>
      <c r="F181" s="60"/>
      <c r="G181" s="207"/>
      <c r="H181" s="207"/>
      <c r="I181" s="215" t="str">
        <f aca="false">IF(AND(ISNUMBER(G181),ISNUMBER(H181)),H181-G181,"")</f>
        <v/>
      </c>
      <c r="J181" s="216"/>
      <c r="K181" s="60"/>
      <c r="L181" s="60"/>
      <c r="M181" s="113"/>
      <c r="N181" s="60"/>
      <c r="O181" s="60"/>
      <c r="P181" s="131" t="str">
        <f aca="false">IF(B181="","",IF(LEFT(F181,8)="Baseline","ผู้บริหาร + กปภ.",IF(ABS(N(J181))=0,"วิศวกร / ทีม",IF(ABS(N(J181))&lt;=CR_T1,"PM",IF(ABS(N(J181))&lt;=CR_T2,"Change Board","ผู้บริหาร + กปภ.")))))</f>
        <v/>
      </c>
      <c r="Q181" s="60"/>
      <c r="R181" s="60"/>
      <c r="S181" s="207"/>
    </row>
    <row r="182" customFormat="false" ht="15" hidden="false" customHeight="false" outlineLevel="0" collapsed="false">
      <c r="A182" s="138" t="str">
        <f aca="false">IF(B182="","","CR-"&amp;TEXT(ROW()-6,"000"))</f>
        <v/>
      </c>
      <c r="B182" s="207"/>
      <c r="C182" s="60"/>
      <c r="D182" s="131" t="str">
        <f aca="false">IF(C182="","",IF(OR(C182="ทั้งเฟส",LEFT(C182,4)="ผรม.",LEFT(C182,3)="เขต"),C182,IFERROR(INDEX('Master Plan'!$B$8:$B$27,MATCH(C182,'Master Plan'!$A$8:$A$27,0)),"?")))</f>
        <v/>
      </c>
      <c r="E182" s="204" t="str">
        <f aca="false">IF(LEFT(C182,4)="ผรม.",TRIM(MID(C182,5,5)),IF(OR(C182="ทั้งเฟส",LEFT(C182,3)="เขต"),"",IF(C182="","",IF(OR(C182="ทั้งเฟส",LEFT(C182,4)="ผรม.",LEFT(C182,3)="เขต"),C182,IFERROR(INDEX('Master Plan'!$L$8:$L$27,MATCH(C182,'Master Plan'!$A$8:$A$27,0)),"?")))))</f>
        <v/>
      </c>
      <c r="F182" s="60"/>
      <c r="G182" s="207"/>
      <c r="H182" s="207"/>
      <c r="I182" s="215" t="str">
        <f aca="false">IF(AND(ISNUMBER(G182),ISNUMBER(H182)),H182-G182,"")</f>
        <v/>
      </c>
      <c r="J182" s="216"/>
      <c r="K182" s="60"/>
      <c r="L182" s="60"/>
      <c r="M182" s="113"/>
      <c r="N182" s="60"/>
      <c r="O182" s="60"/>
      <c r="P182" s="131" t="str">
        <f aca="false">IF(B182="","",IF(LEFT(F182,8)="Baseline","ผู้บริหาร + กปภ.",IF(ABS(N(J182))=0,"วิศวกร / ทีม",IF(ABS(N(J182))&lt;=CR_T1,"PM",IF(ABS(N(J182))&lt;=CR_T2,"Change Board","ผู้บริหาร + กปภ.")))))</f>
        <v/>
      </c>
      <c r="Q182" s="60"/>
      <c r="R182" s="60"/>
      <c r="S182" s="207"/>
    </row>
    <row r="183" customFormat="false" ht="15" hidden="false" customHeight="false" outlineLevel="0" collapsed="false">
      <c r="A183" s="138" t="str">
        <f aca="false">IF(B183="","","CR-"&amp;TEXT(ROW()-6,"000"))</f>
        <v/>
      </c>
      <c r="B183" s="207"/>
      <c r="C183" s="60"/>
      <c r="D183" s="131" t="str">
        <f aca="false">IF(C183="","",IF(OR(C183="ทั้งเฟส",LEFT(C183,4)="ผรม.",LEFT(C183,3)="เขต"),C183,IFERROR(INDEX('Master Plan'!$B$8:$B$27,MATCH(C183,'Master Plan'!$A$8:$A$27,0)),"?")))</f>
        <v/>
      </c>
      <c r="E183" s="204" t="str">
        <f aca="false">IF(LEFT(C183,4)="ผรม.",TRIM(MID(C183,5,5)),IF(OR(C183="ทั้งเฟส",LEFT(C183,3)="เขต"),"",IF(C183="","",IF(OR(C183="ทั้งเฟส",LEFT(C183,4)="ผรม.",LEFT(C183,3)="เขต"),C183,IFERROR(INDEX('Master Plan'!$L$8:$L$27,MATCH(C183,'Master Plan'!$A$8:$A$27,0)),"?")))))</f>
        <v/>
      </c>
      <c r="F183" s="60"/>
      <c r="G183" s="207"/>
      <c r="H183" s="207"/>
      <c r="I183" s="215" t="str">
        <f aca="false">IF(AND(ISNUMBER(G183),ISNUMBER(H183)),H183-G183,"")</f>
        <v/>
      </c>
      <c r="J183" s="216"/>
      <c r="K183" s="60"/>
      <c r="L183" s="60"/>
      <c r="M183" s="113"/>
      <c r="N183" s="60"/>
      <c r="O183" s="60"/>
      <c r="P183" s="131" t="str">
        <f aca="false">IF(B183="","",IF(LEFT(F183,8)="Baseline","ผู้บริหาร + กปภ.",IF(ABS(N(J183))=0,"วิศวกร / ทีม",IF(ABS(N(J183))&lt;=CR_T1,"PM",IF(ABS(N(J183))&lt;=CR_T2,"Change Board","ผู้บริหาร + กปภ.")))))</f>
        <v/>
      </c>
      <c r="Q183" s="60"/>
      <c r="R183" s="60"/>
      <c r="S183" s="207"/>
    </row>
    <row r="184" customFormat="false" ht="15" hidden="false" customHeight="false" outlineLevel="0" collapsed="false">
      <c r="A184" s="138" t="str">
        <f aca="false">IF(B184="","","CR-"&amp;TEXT(ROW()-6,"000"))</f>
        <v/>
      </c>
      <c r="B184" s="207"/>
      <c r="C184" s="60"/>
      <c r="D184" s="131" t="str">
        <f aca="false">IF(C184="","",IF(OR(C184="ทั้งเฟส",LEFT(C184,4)="ผรม.",LEFT(C184,3)="เขต"),C184,IFERROR(INDEX('Master Plan'!$B$8:$B$27,MATCH(C184,'Master Plan'!$A$8:$A$27,0)),"?")))</f>
        <v/>
      </c>
      <c r="E184" s="204" t="str">
        <f aca="false">IF(LEFT(C184,4)="ผรม.",TRIM(MID(C184,5,5)),IF(OR(C184="ทั้งเฟส",LEFT(C184,3)="เขต"),"",IF(C184="","",IF(OR(C184="ทั้งเฟส",LEFT(C184,4)="ผรม.",LEFT(C184,3)="เขต"),C184,IFERROR(INDEX('Master Plan'!$L$8:$L$27,MATCH(C184,'Master Plan'!$A$8:$A$27,0)),"?")))))</f>
        <v/>
      </c>
      <c r="F184" s="60"/>
      <c r="G184" s="207"/>
      <c r="H184" s="207"/>
      <c r="I184" s="215" t="str">
        <f aca="false">IF(AND(ISNUMBER(G184),ISNUMBER(H184)),H184-G184,"")</f>
        <v/>
      </c>
      <c r="J184" s="216"/>
      <c r="K184" s="60"/>
      <c r="L184" s="60"/>
      <c r="M184" s="113"/>
      <c r="N184" s="60"/>
      <c r="O184" s="60"/>
      <c r="P184" s="131" t="str">
        <f aca="false">IF(B184="","",IF(LEFT(F184,8)="Baseline","ผู้บริหาร + กปภ.",IF(ABS(N(J184))=0,"วิศวกร / ทีม",IF(ABS(N(J184))&lt;=CR_T1,"PM",IF(ABS(N(J184))&lt;=CR_T2,"Change Board","ผู้บริหาร + กปภ.")))))</f>
        <v/>
      </c>
      <c r="Q184" s="60"/>
      <c r="R184" s="60"/>
      <c r="S184" s="207"/>
    </row>
    <row r="185" customFormat="false" ht="15" hidden="false" customHeight="false" outlineLevel="0" collapsed="false">
      <c r="A185" s="138" t="str">
        <f aca="false">IF(B185="","","CR-"&amp;TEXT(ROW()-6,"000"))</f>
        <v/>
      </c>
      <c r="B185" s="207"/>
      <c r="C185" s="60"/>
      <c r="D185" s="131" t="str">
        <f aca="false">IF(C185="","",IF(OR(C185="ทั้งเฟส",LEFT(C185,4)="ผรม.",LEFT(C185,3)="เขต"),C185,IFERROR(INDEX('Master Plan'!$B$8:$B$27,MATCH(C185,'Master Plan'!$A$8:$A$27,0)),"?")))</f>
        <v/>
      </c>
      <c r="E185" s="204" t="str">
        <f aca="false">IF(LEFT(C185,4)="ผรม.",TRIM(MID(C185,5,5)),IF(OR(C185="ทั้งเฟส",LEFT(C185,3)="เขต"),"",IF(C185="","",IF(OR(C185="ทั้งเฟส",LEFT(C185,4)="ผรม.",LEFT(C185,3)="เขต"),C185,IFERROR(INDEX('Master Plan'!$L$8:$L$27,MATCH(C185,'Master Plan'!$A$8:$A$27,0)),"?")))))</f>
        <v/>
      </c>
      <c r="F185" s="60"/>
      <c r="G185" s="207"/>
      <c r="H185" s="207"/>
      <c r="I185" s="215" t="str">
        <f aca="false">IF(AND(ISNUMBER(G185),ISNUMBER(H185)),H185-G185,"")</f>
        <v/>
      </c>
      <c r="J185" s="216"/>
      <c r="K185" s="60"/>
      <c r="L185" s="60"/>
      <c r="M185" s="113"/>
      <c r="N185" s="60"/>
      <c r="O185" s="60"/>
      <c r="P185" s="131" t="str">
        <f aca="false">IF(B185="","",IF(LEFT(F185,8)="Baseline","ผู้บริหาร + กปภ.",IF(ABS(N(J185))=0,"วิศวกร / ทีม",IF(ABS(N(J185))&lt;=CR_T1,"PM",IF(ABS(N(J185))&lt;=CR_T2,"Change Board","ผู้บริหาร + กปภ.")))))</f>
        <v/>
      </c>
      <c r="Q185" s="60"/>
      <c r="R185" s="60"/>
      <c r="S185" s="207"/>
    </row>
    <row r="186" customFormat="false" ht="15" hidden="false" customHeight="false" outlineLevel="0" collapsed="false">
      <c r="A186" s="138" t="str">
        <f aca="false">IF(B186="","","CR-"&amp;TEXT(ROW()-6,"000"))</f>
        <v/>
      </c>
      <c r="B186" s="207"/>
      <c r="C186" s="60"/>
      <c r="D186" s="131" t="str">
        <f aca="false">IF(C186="","",IF(OR(C186="ทั้งเฟส",LEFT(C186,4)="ผรม.",LEFT(C186,3)="เขต"),C186,IFERROR(INDEX('Master Plan'!$B$8:$B$27,MATCH(C186,'Master Plan'!$A$8:$A$27,0)),"?")))</f>
        <v/>
      </c>
      <c r="E186" s="204" t="str">
        <f aca="false">IF(LEFT(C186,4)="ผรม.",TRIM(MID(C186,5,5)),IF(OR(C186="ทั้งเฟส",LEFT(C186,3)="เขต"),"",IF(C186="","",IF(OR(C186="ทั้งเฟส",LEFT(C186,4)="ผรม.",LEFT(C186,3)="เขต"),C186,IFERROR(INDEX('Master Plan'!$L$8:$L$27,MATCH(C186,'Master Plan'!$A$8:$A$27,0)),"?")))))</f>
        <v/>
      </c>
      <c r="F186" s="60"/>
      <c r="G186" s="207"/>
      <c r="H186" s="207"/>
      <c r="I186" s="215" t="str">
        <f aca="false">IF(AND(ISNUMBER(G186),ISNUMBER(H186)),H186-G186,"")</f>
        <v/>
      </c>
      <c r="J186" s="216"/>
      <c r="K186" s="60"/>
      <c r="L186" s="60"/>
      <c r="M186" s="113"/>
      <c r="N186" s="60"/>
      <c r="O186" s="60"/>
      <c r="P186" s="131" t="str">
        <f aca="false">IF(B186="","",IF(LEFT(F186,8)="Baseline","ผู้บริหาร + กปภ.",IF(ABS(N(J186))=0,"วิศวกร / ทีม",IF(ABS(N(J186))&lt;=CR_T1,"PM",IF(ABS(N(J186))&lt;=CR_T2,"Change Board","ผู้บริหาร + กปภ.")))))</f>
        <v/>
      </c>
      <c r="Q186" s="60"/>
      <c r="R186" s="60"/>
      <c r="S186" s="207"/>
    </row>
    <row r="187" customFormat="false" ht="15" hidden="false" customHeight="false" outlineLevel="0" collapsed="false">
      <c r="A187" s="138" t="str">
        <f aca="false">IF(B187="","","CR-"&amp;TEXT(ROW()-6,"000"))</f>
        <v/>
      </c>
      <c r="B187" s="207"/>
      <c r="C187" s="60"/>
      <c r="D187" s="131" t="str">
        <f aca="false">IF(C187="","",IF(OR(C187="ทั้งเฟส",LEFT(C187,4)="ผรม.",LEFT(C187,3)="เขต"),C187,IFERROR(INDEX('Master Plan'!$B$8:$B$27,MATCH(C187,'Master Plan'!$A$8:$A$27,0)),"?")))</f>
        <v/>
      </c>
      <c r="E187" s="204" t="str">
        <f aca="false">IF(LEFT(C187,4)="ผรม.",TRIM(MID(C187,5,5)),IF(OR(C187="ทั้งเฟส",LEFT(C187,3)="เขต"),"",IF(C187="","",IF(OR(C187="ทั้งเฟส",LEFT(C187,4)="ผรม.",LEFT(C187,3)="เขต"),C187,IFERROR(INDEX('Master Plan'!$L$8:$L$27,MATCH(C187,'Master Plan'!$A$8:$A$27,0)),"?")))))</f>
        <v/>
      </c>
      <c r="F187" s="60"/>
      <c r="G187" s="207"/>
      <c r="H187" s="207"/>
      <c r="I187" s="215" t="str">
        <f aca="false">IF(AND(ISNUMBER(G187),ISNUMBER(H187)),H187-G187,"")</f>
        <v/>
      </c>
      <c r="J187" s="216"/>
      <c r="K187" s="60"/>
      <c r="L187" s="60"/>
      <c r="M187" s="113"/>
      <c r="N187" s="60"/>
      <c r="O187" s="60"/>
      <c r="P187" s="131" t="str">
        <f aca="false">IF(B187="","",IF(LEFT(F187,8)="Baseline","ผู้บริหาร + กปภ.",IF(ABS(N(J187))=0,"วิศวกร / ทีม",IF(ABS(N(J187))&lt;=CR_T1,"PM",IF(ABS(N(J187))&lt;=CR_T2,"Change Board","ผู้บริหาร + กปภ.")))))</f>
        <v/>
      </c>
      <c r="Q187" s="60"/>
      <c r="R187" s="60"/>
      <c r="S187" s="207"/>
    </row>
    <row r="188" customFormat="false" ht="15" hidden="false" customHeight="false" outlineLevel="0" collapsed="false">
      <c r="A188" s="138" t="str">
        <f aca="false">IF(B188="","","CR-"&amp;TEXT(ROW()-6,"000"))</f>
        <v/>
      </c>
      <c r="B188" s="207"/>
      <c r="C188" s="60"/>
      <c r="D188" s="131" t="str">
        <f aca="false">IF(C188="","",IF(OR(C188="ทั้งเฟส",LEFT(C188,4)="ผรม.",LEFT(C188,3)="เขต"),C188,IFERROR(INDEX('Master Plan'!$B$8:$B$27,MATCH(C188,'Master Plan'!$A$8:$A$27,0)),"?")))</f>
        <v/>
      </c>
      <c r="E188" s="204" t="str">
        <f aca="false">IF(LEFT(C188,4)="ผรม.",TRIM(MID(C188,5,5)),IF(OR(C188="ทั้งเฟส",LEFT(C188,3)="เขต"),"",IF(C188="","",IF(OR(C188="ทั้งเฟส",LEFT(C188,4)="ผรม.",LEFT(C188,3)="เขต"),C188,IFERROR(INDEX('Master Plan'!$L$8:$L$27,MATCH(C188,'Master Plan'!$A$8:$A$27,0)),"?")))))</f>
        <v/>
      </c>
      <c r="F188" s="60"/>
      <c r="G188" s="207"/>
      <c r="H188" s="207"/>
      <c r="I188" s="215" t="str">
        <f aca="false">IF(AND(ISNUMBER(G188),ISNUMBER(H188)),H188-G188,"")</f>
        <v/>
      </c>
      <c r="J188" s="216"/>
      <c r="K188" s="60"/>
      <c r="L188" s="60"/>
      <c r="M188" s="113"/>
      <c r="N188" s="60"/>
      <c r="O188" s="60"/>
      <c r="P188" s="131" t="str">
        <f aca="false">IF(B188="","",IF(LEFT(F188,8)="Baseline","ผู้บริหาร + กปภ.",IF(ABS(N(J188))=0,"วิศวกร / ทีม",IF(ABS(N(J188))&lt;=CR_T1,"PM",IF(ABS(N(J188))&lt;=CR_T2,"Change Board","ผู้บริหาร + กปภ.")))))</f>
        <v/>
      </c>
      <c r="Q188" s="60"/>
      <c r="R188" s="60"/>
      <c r="S188" s="207"/>
    </row>
    <row r="189" customFormat="false" ht="15" hidden="false" customHeight="false" outlineLevel="0" collapsed="false">
      <c r="A189" s="138" t="str">
        <f aca="false">IF(B189="","","CR-"&amp;TEXT(ROW()-6,"000"))</f>
        <v/>
      </c>
      <c r="B189" s="207"/>
      <c r="C189" s="60"/>
      <c r="D189" s="131" t="str">
        <f aca="false">IF(C189="","",IF(OR(C189="ทั้งเฟส",LEFT(C189,4)="ผรม.",LEFT(C189,3)="เขต"),C189,IFERROR(INDEX('Master Plan'!$B$8:$B$27,MATCH(C189,'Master Plan'!$A$8:$A$27,0)),"?")))</f>
        <v/>
      </c>
      <c r="E189" s="204" t="str">
        <f aca="false">IF(LEFT(C189,4)="ผรม.",TRIM(MID(C189,5,5)),IF(OR(C189="ทั้งเฟส",LEFT(C189,3)="เขต"),"",IF(C189="","",IF(OR(C189="ทั้งเฟส",LEFT(C189,4)="ผรม.",LEFT(C189,3)="เขต"),C189,IFERROR(INDEX('Master Plan'!$L$8:$L$27,MATCH(C189,'Master Plan'!$A$8:$A$27,0)),"?")))))</f>
        <v/>
      </c>
      <c r="F189" s="60"/>
      <c r="G189" s="207"/>
      <c r="H189" s="207"/>
      <c r="I189" s="215" t="str">
        <f aca="false">IF(AND(ISNUMBER(G189),ISNUMBER(H189)),H189-G189,"")</f>
        <v/>
      </c>
      <c r="J189" s="216"/>
      <c r="K189" s="60"/>
      <c r="L189" s="60"/>
      <c r="M189" s="113"/>
      <c r="N189" s="60"/>
      <c r="O189" s="60"/>
      <c r="P189" s="131" t="str">
        <f aca="false">IF(B189="","",IF(LEFT(F189,8)="Baseline","ผู้บริหาร + กปภ.",IF(ABS(N(J189))=0,"วิศวกร / ทีม",IF(ABS(N(J189))&lt;=CR_T1,"PM",IF(ABS(N(J189))&lt;=CR_T2,"Change Board","ผู้บริหาร + กปภ.")))))</f>
        <v/>
      </c>
      <c r="Q189" s="60"/>
      <c r="R189" s="60"/>
      <c r="S189" s="207"/>
    </row>
    <row r="190" customFormat="false" ht="15" hidden="false" customHeight="false" outlineLevel="0" collapsed="false">
      <c r="A190" s="138" t="str">
        <f aca="false">IF(B190="","","CR-"&amp;TEXT(ROW()-6,"000"))</f>
        <v/>
      </c>
      <c r="B190" s="207"/>
      <c r="C190" s="60"/>
      <c r="D190" s="131" t="str">
        <f aca="false">IF(C190="","",IF(OR(C190="ทั้งเฟส",LEFT(C190,4)="ผรม.",LEFT(C190,3)="เขต"),C190,IFERROR(INDEX('Master Plan'!$B$8:$B$27,MATCH(C190,'Master Plan'!$A$8:$A$27,0)),"?")))</f>
        <v/>
      </c>
      <c r="E190" s="204" t="str">
        <f aca="false">IF(LEFT(C190,4)="ผรม.",TRIM(MID(C190,5,5)),IF(OR(C190="ทั้งเฟส",LEFT(C190,3)="เขต"),"",IF(C190="","",IF(OR(C190="ทั้งเฟส",LEFT(C190,4)="ผรม.",LEFT(C190,3)="เขต"),C190,IFERROR(INDEX('Master Plan'!$L$8:$L$27,MATCH(C190,'Master Plan'!$A$8:$A$27,0)),"?")))))</f>
        <v/>
      </c>
      <c r="F190" s="60"/>
      <c r="G190" s="207"/>
      <c r="H190" s="207"/>
      <c r="I190" s="215" t="str">
        <f aca="false">IF(AND(ISNUMBER(G190),ISNUMBER(H190)),H190-G190,"")</f>
        <v/>
      </c>
      <c r="J190" s="216"/>
      <c r="K190" s="60"/>
      <c r="L190" s="60"/>
      <c r="M190" s="113"/>
      <c r="N190" s="60"/>
      <c r="O190" s="60"/>
      <c r="P190" s="131" t="str">
        <f aca="false">IF(B190="","",IF(LEFT(F190,8)="Baseline","ผู้บริหาร + กปภ.",IF(ABS(N(J190))=0,"วิศวกร / ทีม",IF(ABS(N(J190))&lt;=CR_T1,"PM",IF(ABS(N(J190))&lt;=CR_T2,"Change Board","ผู้บริหาร + กปภ.")))))</f>
        <v/>
      </c>
      <c r="Q190" s="60"/>
      <c r="R190" s="60"/>
      <c r="S190" s="207"/>
    </row>
    <row r="191" customFormat="false" ht="15" hidden="false" customHeight="false" outlineLevel="0" collapsed="false">
      <c r="A191" s="138" t="str">
        <f aca="false">IF(B191="","","CR-"&amp;TEXT(ROW()-6,"000"))</f>
        <v/>
      </c>
      <c r="B191" s="207"/>
      <c r="C191" s="60"/>
      <c r="D191" s="131" t="str">
        <f aca="false">IF(C191="","",IF(OR(C191="ทั้งเฟส",LEFT(C191,4)="ผรม.",LEFT(C191,3)="เขต"),C191,IFERROR(INDEX('Master Plan'!$B$8:$B$27,MATCH(C191,'Master Plan'!$A$8:$A$27,0)),"?")))</f>
        <v/>
      </c>
      <c r="E191" s="204" t="str">
        <f aca="false">IF(LEFT(C191,4)="ผรม.",TRIM(MID(C191,5,5)),IF(OR(C191="ทั้งเฟส",LEFT(C191,3)="เขต"),"",IF(C191="","",IF(OR(C191="ทั้งเฟส",LEFT(C191,4)="ผรม.",LEFT(C191,3)="เขต"),C191,IFERROR(INDEX('Master Plan'!$L$8:$L$27,MATCH(C191,'Master Plan'!$A$8:$A$27,0)),"?")))))</f>
        <v/>
      </c>
      <c r="F191" s="60"/>
      <c r="G191" s="207"/>
      <c r="H191" s="207"/>
      <c r="I191" s="215" t="str">
        <f aca="false">IF(AND(ISNUMBER(G191),ISNUMBER(H191)),H191-G191,"")</f>
        <v/>
      </c>
      <c r="J191" s="216"/>
      <c r="K191" s="60"/>
      <c r="L191" s="60"/>
      <c r="M191" s="113"/>
      <c r="N191" s="60"/>
      <c r="O191" s="60"/>
      <c r="P191" s="131" t="str">
        <f aca="false">IF(B191="","",IF(LEFT(F191,8)="Baseline","ผู้บริหาร + กปภ.",IF(ABS(N(J191))=0,"วิศวกร / ทีม",IF(ABS(N(J191))&lt;=CR_T1,"PM",IF(ABS(N(J191))&lt;=CR_T2,"Change Board","ผู้บริหาร + กปภ.")))))</f>
        <v/>
      </c>
      <c r="Q191" s="60"/>
      <c r="R191" s="60"/>
      <c r="S191" s="207"/>
    </row>
    <row r="192" customFormat="false" ht="15" hidden="false" customHeight="false" outlineLevel="0" collapsed="false">
      <c r="A192" s="138" t="str">
        <f aca="false">IF(B192="","","CR-"&amp;TEXT(ROW()-6,"000"))</f>
        <v/>
      </c>
      <c r="B192" s="207"/>
      <c r="C192" s="60"/>
      <c r="D192" s="131" t="str">
        <f aca="false">IF(C192="","",IF(OR(C192="ทั้งเฟส",LEFT(C192,4)="ผรม.",LEFT(C192,3)="เขต"),C192,IFERROR(INDEX('Master Plan'!$B$8:$B$27,MATCH(C192,'Master Plan'!$A$8:$A$27,0)),"?")))</f>
        <v/>
      </c>
      <c r="E192" s="204" t="str">
        <f aca="false">IF(LEFT(C192,4)="ผรม.",TRIM(MID(C192,5,5)),IF(OR(C192="ทั้งเฟส",LEFT(C192,3)="เขต"),"",IF(C192="","",IF(OR(C192="ทั้งเฟส",LEFT(C192,4)="ผรม.",LEFT(C192,3)="เขต"),C192,IFERROR(INDEX('Master Plan'!$L$8:$L$27,MATCH(C192,'Master Plan'!$A$8:$A$27,0)),"?")))))</f>
        <v/>
      </c>
      <c r="F192" s="60"/>
      <c r="G192" s="207"/>
      <c r="H192" s="207"/>
      <c r="I192" s="215" t="str">
        <f aca="false">IF(AND(ISNUMBER(G192),ISNUMBER(H192)),H192-G192,"")</f>
        <v/>
      </c>
      <c r="J192" s="216"/>
      <c r="K192" s="60"/>
      <c r="L192" s="60"/>
      <c r="M192" s="113"/>
      <c r="N192" s="60"/>
      <c r="O192" s="60"/>
      <c r="P192" s="131" t="str">
        <f aca="false">IF(B192="","",IF(LEFT(F192,8)="Baseline","ผู้บริหาร + กปภ.",IF(ABS(N(J192))=0,"วิศวกร / ทีม",IF(ABS(N(J192))&lt;=CR_T1,"PM",IF(ABS(N(J192))&lt;=CR_T2,"Change Board","ผู้บริหาร + กปภ.")))))</f>
        <v/>
      </c>
      <c r="Q192" s="60"/>
      <c r="R192" s="60"/>
      <c r="S192" s="207"/>
    </row>
    <row r="193" customFormat="false" ht="15" hidden="false" customHeight="false" outlineLevel="0" collapsed="false">
      <c r="A193" s="138" t="str">
        <f aca="false">IF(B193="","","CR-"&amp;TEXT(ROW()-6,"000"))</f>
        <v/>
      </c>
      <c r="B193" s="207"/>
      <c r="C193" s="60"/>
      <c r="D193" s="131" t="str">
        <f aca="false">IF(C193="","",IF(OR(C193="ทั้งเฟส",LEFT(C193,4)="ผรม.",LEFT(C193,3)="เขต"),C193,IFERROR(INDEX('Master Plan'!$B$8:$B$27,MATCH(C193,'Master Plan'!$A$8:$A$27,0)),"?")))</f>
        <v/>
      </c>
      <c r="E193" s="204" t="str">
        <f aca="false">IF(LEFT(C193,4)="ผรม.",TRIM(MID(C193,5,5)),IF(OR(C193="ทั้งเฟส",LEFT(C193,3)="เขต"),"",IF(C193="","",IF(OR(C193="ทั้งเฟส",LEFT(C193,4)="ผรม.",LEFT(C193,3)="เขต"),C193,IFERROR(INDEX('Master Plan'!$L$8:$L$27,MATCH(C193,'Master Plan'!$A$8:$A$27,0)),"?")))))</f>
        <v/>
      </c>
      <c r="F193" s="60"/>
      <c r="G193" s="207"/>
      <c r="H193" s="207"/>
      <c r="I193" s="215" t="str">
        <f aca="false">IF(AND(ISNUMBER(G193),ISNUMBER(H193)),H193-G193,"")</f>
        <v/>
      </c>
      <c r="J193" s="216"/>
      <c r="K193" s="60"/>
      <c r="L193" s="60"/>
      <c r="M193" s="113"/>
      <c r="N193" s="60"/>
      <c r="O193" s="60"/>
      <c r="P193" s="131" t="str">
        <f aca="false">IF(B193="","",IF(LEFT(F193,8)="Baseline","ผู้บริหาร + กปภ.",IF(ABS(N(J193))=0,"วิศวกร / ทีม",IF(ABS(N(J193))&lt;=CR_T1,"PM",IF(ABS(N(J193))&lt;=CR_T2,"Change Board","ผู้บริหาร + กปภ.")))))</f>
        <v/>
      </c>
      <c r="Q193" s="60"/>
      <c r="R193" s="60"/>
      <c r="S193" s="207"/>
    </row>
    <row r="194" customFormat="false" ht="15" hidden="false" customHeight="false" outlineLevel="0" collapsed="false">
      <c r="A194" s="138" t="str">
        <f aca="false">IF(B194="","","CR-"&amp;TEXT(ROW()-6,"000"))</f>
        <v/>
      </c>
      <c r="B194" s="207"/>
      <c r="C194" s="60"/>
      <c r="D194" s="131" t="str">
        <f aca="false">IF(C194="","",IF(OR(C194="ทั้งเฟส",LEFT(C194,4)="ผรม.",LEFT(C194,3)="เขต"),C194,IFERROR(INDEX('Master Plan'!$B$8:$B$27,MATCH(C194,'Master Plan'!$A$8:$A$27,0)),"?")))</f>
        <v/>
      </c>
      <c r="E194" s="204" t="str">
        <f aca="false">IF(LEFT(C194,4)="ผรม.",TRIM(MID(C194,5,5)),IF(OR(C194="ทั้งเฟส",LEFT(C194,3)="เขต"),"",IF(C194="","",IF(OR(C194="ทั้งเฟส",LEFT(C194,4)="ผรม.",LEFT(C194,3)="เขต"),C194,IFERROR(INDEX('Master Plan'!$L$8:$L$27,MATCH(C194,'Master Plan'!$A$8:$A$27,0)),"?")))))</f>
        <v/>
      </c>
      <c r="F194" s="60"/>
      <c r="G194" s="207"/>
      <c r="H194" s="207"/>
      <c r="I194" s="215" t="str">
        <f aca="false">IF(AND(ISNUMBER(G194),ISNUMBER(H194)),H194-G194,"")</f>
        <v/>
      </c>
      <c r="J194" s="216"/>
      <c r="K194" s="60"/>
      <c r="L194" s="60"/>
      <c r="M194" s="113"/>
      <c r="N194" s="60"/>
      <c r="O194" s="60"/>
      <c r="P194" s="131" t="str">
        <f aca="false">IF(B194="","",IF(LEFT(F194,8)="Baseline","ผู้บริหาร + กปภ.",IF(ABS(N(J194))=0,"วิศวกร / ทีม",IF(ABS(N(J194))&lt;=CR_T1,"PM",IF(ABS(N(J194))&lt;=CR_T2,"Change Board","ผู้บริหาร + กปภ.")))))</f>
        <v/>
      </c>
      <c r="Q194" s="60"/>
      <c r="R194" s="60"/>
      <c r="S194" s="207"/>
    </row>
    <row r="195" customFormat="false" ht="15" hidden="false" customHeight="false" outlineLevel="0" collapsed="false">
      <c r="A195" s="138" t="str">
        <f aca="false">IF(B195="","","CR-"&amp;TEXT(ROW()-6,"000"))</f>
        <v/>
      </c>
      <c r="B195" s="207"/>
      <c r="C195" s="60"/>
      <c r="D195" s="131" t="str">
        <f aca="false">IF(C195="","",IF(OR(C195="ทั้งเฟส",LEFT(C195,4)="ผรม.",LEFT(C195,3)="เขต"),C195,IFERROR(INDEX('Master Plan'!$B$8:$B$27,MATCH(C195,'Master Plan'!$A$8:$A$27,0)),"?")))</f>
        <v/>
      </c>
      <c r="E195" s="204" t="str">
        <f aca="false">IF(LEFT(C195,4)="ผรม.",TRIM(MID(C195,5,5)),IF(OR(C195="ทั้งเฟส",LEFT(C195,3)="เขต"),"",IF(C195="","",IF(OR(C195="ทั้งเฟส",LEFT(C195,4)="ผรม.",LEFT(C195,3)="เขต"),C195,IFERROR(INDEX('Master Plan'!$L$8:$L$27,MATCH(C195,'Master Plan'!$A$8:$A$27,0)),"?")))))</f>
        <v/>
      </c>
      <c r="F195" s="60"/>
      <c r="G195" s="207"/>
      <c r="H195" s="207"/>
      <c r="I195" s="215" t="str">
        <f aca="false">IF(AND(ISNUMBER(G195),ISNUMBER(H195)),H195-G195,"")</f>
        <v/>
      </c>
      <c r="J195" s="216"/>
      <c r="K195" s="60"/>
      <c r="L195" s="60"/>
      <c r="M195" s="113"/>
      <c r="N195" s="60"/>
      <c r="O195" s="60"/>
      <c r="P195" s="131" t="str">
        <f aca="false">IF(B195="","",IF(LEFT(F195,8)="Baseline","ผู้บริหาร + กปภ.",IF(ABS(N(J195))=0,"วิศวกร / ทีม",IF(ABS(N(J195))&lt;=CR_T1,"PM",IF(ABS(N(J195))&lt;=CR_T2,"Change Board","ผู้บริหาร + กปภ.")))))</f>
        <v/>
      </c>
      <c r="Q195" s="60"/>
      <c r="R195" s="60"/>
      <c r="S195" s="207"/>
    </row>
    <row r="196" customFormat="false" ht="15" hidden="false" customHeight="false" outlineLevel="0" collapsed="false">
      <c r="A196" s="138" t="str">
        <f aca="false">IF(B196="","","CR-"&amp;TEXT(ROW()-6,"000"))</f>
        <v/>
      </c>
      <c r="B196" s="207"/>
      <c r="C196" s="60"/>
      <c r="D196" s="131" t="str">
        <f aca="false">IF(C196="","",IF(OR(C196="ทั้งเฟส",LEFT(C196,4)="ผรม.",LEFT(C196,3)="เขต"),C196,IFERROR(INDEX('Master Plan'!$B$8:$B$27,MATCH(C196,'Master Plan'!$A$8:$A$27,0)),"?")))</f>
        <v/>
      </c>
      <c r="E196" s="204" t="str">
        <f aca="false">IF(LEFT(C196,4)="ผรม.",TRIM(MID(C196,5,5)),IF(OR(C196="ทั้งเฟส",LEFT(C196,3)="เขต"),"",IF(C196="","",IF(OR(C196="ทั้งเฟส",LEFT(C196,4)="ผรม.",LEFT(C196,3)="เขต"),C196,IFERROR(INDEX('Master Plan'!$L$8:$L$27,MATCH(C196,'Master Plan'!$A$8:$A$27,0)),"?")))))</f>
        <v/>
      </c>
      <c r="F196" s="60"/>
      <c r="G196" s="207"/>
      <c r="H196" s="207"/>
      <c r="I196" s="215" t="str">
        <f aca="false">IF(AND(ISNUMBER(G196),ISNUMBER(H196)),H196-G196,"")</f>
        <v/>
      </c>
      <c r="J196" s="216"/>
      <c r="K196" s="60"/>
      <c r="L196" s="60"/>
      <c r="M196" s="113"/>
      <c r="N196" s="60"/>
      <c r="O196" s="60"/>
      <c r="P196" s="131" t="str">
        <f aca="false">IF(B196="","",IF(LEFT(F196,8)="Baseline","ผู้บริหาร + กปภ.",IF(ABS(N(J196))=0,"วิศวกร / ทีม",IF(ABS(N(J196))&lt;=CR_T1,"PM",IF(ABS(N(J196))&lt;=CR_T2,"Change Board","ผู้บริหาร + กปภ.")))))</f>
        <v/>
      </c>
      <c r="Q196" s="60"/>
      <c r="R196" s="60"/>
      <c r="S196" s="207"/>
    </row>
    <row r="197" customFormat="false" ht="15" hidden="false" customHeight="false" outlineLevel="0" collapsed="false">
      <c r="A197" s="138" t="str">
        <f aca="false">IF(B197="","","CR-"&amp;TEXT(ROW()-6,"000"))</f>
        <v/>
      </c>
      <c r="B197" s="207"/>
      <c r="C197" s="60"/>
      <c r="D197" s="131" t="str">
        <f aca="false">IF(C197="","",IF(OR(C197="ทั้งเฟส",LEFT(C197,4)="ผรม.",LEFT(C197,3)="เขต"),C197,IFERROR(INDEX('Master Plan'!$B$8:$B$27,MATCH(C197,'Master Plan'!$A$8:$A$27,0)),"?")))</f>
        <v/>
      </c>
      <c r="E197" s="204" t="str">
        <f aca="false">IF(LEFT(C197,4)="ผรม.",TRIM(MID(C197,5,5)),IF(OR(C197="ทั้งเฟส",LEFT(C197,3)="เขต"),"",IF(C197="","",IF(OR(C197="ทั้งเฟส",LEFT(C197,4)="ผรม.",LEFT(C197,3)="เขต"),C197,IFERROR(INDEX('Master Plan'!$L$8:$L$27,MATCH(C197,'Master Plan'!$A$8:$A$27,0)),"?")))))</f>
        <v/>
      </c>
      <c r="F197" s="60"/>
      <c r="G197" s="207"/>
      <c r="H197" s="207"/>
      <c r="I197" s="215" t="str">
        <f aca="false">IF(AND(ISNUMBER(G197),ISNUMBER(H197)),H197-G197,"")</f>
        <v/>
      </c>
      <c r="J197" s="216"/>
      <c r="K197" s="60"/>
      <c r="L197" s="60"/>
      <c r="M197" s="113"/>
      <c r="N197" s="60"/>
      <c r="O197" s="60"/>
      <c r="P197" s="131" t="str">
        <f aca="false">IF(B197="","",IF(LEFT(F197,8)="Baseline","ผู้บริหาร + กปภ.",IF(ABS(N(J197))=0,"วิศวกร / ทีม",IF(ABS(N(J197))&lt;=CR_T1,"PM",IF(ABS(N(J197))&lt;=CR_T2,"Change Board","ผู้บริหาร + กปภ.")))))</f>
        <v/>
      </c>
      <c r="Q197" s="60"/>
      <c r="R197" s="60"/>
      <c r="S197" s="207"/>
    </row>
    <row r="198" customFormat="false" ht="15" hidden="false" customHeight="false" outlineLevel="0" collapsed="false">
      <c r="A198" s="138" t="str">
        <f aca="false">IF(B198="","","CR-"&amp;TEXT(ROW()-6,"000"))</f>
        <v/>
      </c>
      <c r="B198" s="207"/>
      <c r="C198" s="60"/>
      <c r="D198" s="131" t="str">
        <f aca="false">IF(C198="","",IF(OR(C198="ทั้งเฟส",LEFT(C198,4)="ผรม.",LEFT(C198,3)="เขต"),C198,IFERROR(INDEX('Master Plan'!$B$8:$B$27,MATCH(C198,'Master Plan'!$A$8:$A$27,0)),"?")))</f>
        <v/>
      </c>
      <c r="E198" s="204" t="str">
        <f aca="false">IF(LEFT(C198,4)="ผรม.",TRIM(MID(C198,5,5)),IF(OR(C198="ทั้งเฟส",LEFT(C198,3)="เขต"),"",IF(C198="","",IF(OR(C198="ทั้งเฟส",LEFT(C198,4)="ผรม.",LEFT(C198,3)="เขต"),C198,IFERROR(INDEX('Master Plan'!$L$8:$L$27,MATCH(C198,'Master Plan'!$A$8:$A$27,0)),"?")))))</f>
        <v/>
      </c>
      <c r="F198" s="60"/>
      <c r="G198" s="207"/>
      <c r="H198" s="207"/>
      <c r="I198" s="215" t="str">
        <f aca="false">IF(AND(ISNUMBER(G198),ISNUMBER(H198)),H198-G198,"")</f>
        <v/>
      </c>
      <c r="J198" s="216"/>
      <c r="K198" s="60"/>
      <c r="L198" s="60"/>
      <c r="M198" s="113"/>
      <c r="N198" s="60"/>
      <c r="O198" s="60"/>
      <c r="P198" s="131" t="str">
        <f aca="false">IF(B198="","",IF(LEFT(F198,8)="Baseline","ผู้บริหาร + กปภ.",IF(ABS(N(J198))=0,"วิศวกร / ทีม",IF(ABS(N(J198))&lt;=CR_T1,"PM",IF(ABS(N(J198))&lt;=CR_T2,"Change Board","ผู้บริหาร + กปภ.")))))</f>
        <v/>
      </c>
      <c r="Q198" s="60"/>
      <c r="R198" s="60"/>
      <c r="S198" s="207"/>
    </row>
    <row r="199" customFormat="false" ht="15" hidden="false" customHeight="false" outlineLevel="0" collapsed="false">
      <c r="A199" s="138" t="str">
        <f aca="false">IF(B199="","","CR-"&amp;TEXT(ROW()-6,"000"))</f>
        <v/>
      </c>
      <c r="B199" s="207"/>
      <c r="C199" s="60"/>
      <c r="D199" s="131" t="str">
        <f aca="false">IF(C199="","",IF(OR(C199="ทั้งเฟส",LEFT(C199,4)="ผรม.",LEFT(C199,3)="เขต"),C199,IFERROR(INDEX('Master Plan'!$B$8:$B$27,MATCH(C199,'Master Plan'!$A$8:$A$27,0)),"?")))</f>
        <v/>
      </c>
      <c r="E199" s="204" t="str">
        <f aca="false">IF(LEFT(C199,4)="ผรม.",TRIM(MID(C199,5,5)),IF(OR(C199="ทั้งเฟส",LEFT(C199,3)="เขต"),"",IF(C199="","",IF(OR(C199="ทั้งเฟส",LEFT(C199,4)="ผรม.",LEFT(C199,3)="เขต"),C199,IFERROR(INDEX('Master Plan'!$L$8:$L$27,MATCH(C199,'Master Plan'!$A$8:$A$27,0)),"?")))))</f>
        <v/>
      </c>
      <c r="F199" s="60"/>
      <c r="G199" s="207"/>
      <c r="H199" s="207"/>
      <c r="I199" s="215" t="str">
        <f aca="false">IF(AND(ISNUMBER(G199),ISNUMBER(H199)),H199-G199,"")</f>
        <v/>
      </c>
      <c r="J199" s="216"/>
      <c r="K199" s="60"/>
      <c r="L199" s="60"/>
      <c r="M199" s="113"/>
      <c r="N199" s="60"/>
      <c r="O199" s="60"/>
      <c r="P199" s="131" t="str">
        <f aca="false">IF(B199="","",IF(LEFT(F199,8)="Baseline","ผู้บริหาร + กปภ.",IF(ABS(N(J199))=0,"วิศวกร / ทีม",IF(ABS(N(J199))&lt;=CR_T1,"PM",IF(ABS(N(J199))&lt;=CR_T2,"Change Board","ผู้บริหาร + กปภ.")))))</f>
        <v/>
      </c>
      <c r="Q199" s="60"/>
      <c r="R199" s="60"/>
      <c r="S199" s="207"/>
    </row>
    <row r="200" customFormat="false" ht="15" hidden="false" customHeight="false" outlineLevel="0" collapsed="false">
      <c r="A200" s="138" t="str">
        <f aca="false">IF(B200="","","CR-"&amp;TEXT(ROW()-6,"000"))</f>
        <v/>
      </c>
      <c r="B200" s="207"/>
      <c r="C200" s="60"/>
      <c r="D200" s="131" t="str">
        <f aca="false">IF(C200="","",IF(OR(C200="ทั้งเฟส",LEFT(C200,4)="ผรม.",LEFT(C200,3)="เขต"),C200,IFERROR(INDEX('Master Plan'!$B$8:$B$27,MATCH(C200,'Master Plan'!$A$8:$A$27,0)),"?")))</f>
        <v/>
      </c>
      <c r="E200" s="204" t="str">
        <f aca="false">IF(LEFT(C200,4)="ผรม.",TRIM(MID(C200,5,5)),IF(OR(C200="ทั้งเฟส",LEFT(C200,3)="เขต"),"",IF(C200="","",IF(OR(C200="ทั้งเฟส",LEFT(C200,4)="ผรม.",LEFT(C200,3)="เขต"),C200,IFERROR(INDEX('Master Plan'!$L$8:$L$27,MATCH(C200,'Master Plan'!$A$8:$A$27,0)),"?")))))</f>
        <v/>
      </c>
      <c r="F200" s="60"/>
      <c r="G200" s="207"/>
      <c r="H200" s="207"/>
      <c r="I200" s="215" t="str">
        <f aca="false">IF(AND(ISNUMBER(G200),ISNUMBER(H200)),H200-G200,"")</f>
        <v/>
      </c>
      <c r="J200" s="216"/>
      <c r="K200" s="60"/>
      <c r="L200" s="60"/>
      <c r="M200" s="113"/>
      <c r="N200" s="60"/>
      <c r="O200" s="60"/>
      <c r="P200" s="131" t="str">
        <f aca="false">IF(B200="","",IF(LEFT(F200,8)="Baseline","ผู้บริหาร + กปภ.",IF(ABS(N(J200))=0,"วิศวกร / ทีม",IF(ABS(N(J200))&lt;=CR_T1,"PM",IF(ABS(N(J200))&lt;=CR_T2,"Change Board","ผู้บริหาร + กปภ.")))))</f>
        <v/>
      </c>
      <c r="Q200" s="60"/>
      <c r="R200" s="60"/>
      <c r="S200" s="207"/>
    </row>
    <row r="201" customFormat="false" ht="15" hidden="false" customHeight="false" outlineLevel="0" collapsed="false">
      <c r="A201" s="138" t="str">
        <f aca="false">IF(B201="","","CR-"&amp;TEXT(ROW()-6,"000"))</f>
        <v/>
      </c>
      <c r="B201" s="207"/>
      <c r="C201" s="60"/>
      <c r="D201" s="131" t="str">
        <f aca="false">IF(C201="","",IF(OR(C201="ทั้งเฟส",LEFT(C201,4)="ผรม.",LEFT(C201,3)="เขต"),C201,IFERROR(INDEX('Master Plan'!$B$8:$B$27,MATCH(C201,'Master Plan'!$A$8:$A$27,0)),"?")))</f>
        <v/>
      </c>
      <c r="E201" s="204" t="str">
        <f aca="false">IF(LEFT(C201,4)="ผรม.",TRIM(MID(C201,5,5)),IF(OR(C201="ทั้งเฟส",LEFT(C201,3)="เขต"),"",IF(C201="","",IF(OR(C201="ทั้งเฟส",LEFT(C201,4)="ผรม.",LEFT(C201,3)="เขต"),C201,IFERROR(INDEX('Master Plan'!$L$8:$L$27,MATCH(C201,'Master Plan'!$A$8:$A$27,0)),"?")))))</f>
        <v/>
      </c>
      <c r="F201" s="60"/>
      <c r="G201" s="207"/>
      <c r="H201" s="207"/>
      <c r="I201" s="215" t="str">
        <f aca="false">IF(AND(ISNUMBER(G201),ISNUMBER(H201)),H201-G201,"")</f>
        <v/>
      </c>
      <c r="J201" s="216"/>
      <c r="K201" s="60"/>
      <c r="L201" s="60"/>
      <c r="M201" s="113"/>
      <c r="N201" s="60"/>
      <c r="O201" s="60"/>
      <c r="P201" s="131" t="str">
        <f aca="false">IF(B201="","",IF(LEFT(F201,8)="Baseline","ผู้บริหาร + กปภ.",IF(ABS(N(J201))=0,"วิศวกร / ทีม",IF(ABS(N(J201))&lt;=CR_T1,"PM",IF(ABS(N(J201))&lt;=CR_T2,"Change Board","ผู้บริหาร + กปภ.")))))</f>
        <v/>
      </c>
      <c r="Q201" s="60"/>
      <c r="R201" s="60"/>
      <c r="S201" s="207"/>
    </row>
    <row r="202" customFormat="false" ht="15" hidden="false" customHeight="false" outlineLevel="0" collapsed="false">
      <c r="A202" s="138" t="str">
        <f aca="false">IF(B202="","","CR-"&amp;TEXT(ROW()-6,"000"))</f>
        <v/>
      </c>
      <c r="B202" s="207"/>
      <c r="C202" s="60"/>
      <c r="D202" s="131" t="str">
        <f aca="false">IF(C202="","",IF(OR(C202="ทั้งเฟส",LEFT(C202,4)="ผรม.",LEFT(C202,3)="เขต"),C202,IFERROR(INDEX('Master Plan'!$B$8:$B$27,MATCH(C202,'Master Plan'!$A$8:$A$27,0)),"?")))</f>
        <v/>
      </c>
      <c r="E202" s="204" t="str">
        <f aca="false">IF(LEFT(C202,4)="ผรม.",TRIM(MID(C202,5,5)),IF(OR(C202="ทั้งเฟส",LEFT(C202,3)="เขต"),"",IF(C202="","",IF(OR(C202="ทั้งเฟส",LEFT(C202,4)="ผรม.",LEFT(C202,3)="เขต"),C202,IFERROR(INDEX('Master Plan'!$L$8:$L$27,MATCH(C202,'Master Plan'!$A$8:$A$27,0)),"?")))))</f>
        <v/>
      </c>
      <c r="F202" s="60"/>
      <c r="G202" s="207"/>
      <c r="H202" s="207"/>
      <c r="I202" s="215" t="str">
        <f aca="false">IF(AND(ISNUMBER(G202),ISNUMBER(H202)),H202-G202,"")</f>
        <v/>
      </c>
      <c r="J202" s="216"/>
      <c r="K202" s="60"/>
      <c r="L202" s="60"/>
      <c r="M202" s="113"/>
      <c r="N202" s="60"/>
      <c r="O202" s="60"/>
      <c r="P202" s="131" t="str">
        <f aca="false">IF(B202="","",IF(LEFT(F202,8)="Baseline","ผู้บริหาร + กปภ.",IF(ABS(N(J202))=0,"วิศวกร / ทีม",IF(ABS(N(J202))&lt;=CR_T1,"PM",IF(ABS(N(J202))&lt;=CR_T2,"Change Board","ผู้บริหาร + กปภ.")))))</f>
        <v/>
      </c>
      <c r="Q202" s="60"/>
      <c r="R202" s="60"/>
      <c r="S202" s="207"/>
    </row>
    <row r="203" customFormat="false" ht="15" hidden="false" customHeight="false" outlineLevel="0" collapsed="false">
      <c r="A203" s="138" t="str">
        <f aca="false">IF(B203="","","CR-"&amp;TEXT(ROW()-6,"000"))</f>
        <v/>
      </c>
      <c r="B203" s="207"/>
      <c r="C203" s="60"/>
      <c r="D203" s="131" t="str">
        <f aca="false">IF(C203="","",IF(OR(C203="ทั้งเฟส",LEFT(C203,4)="ผรม.",LEFT(C203,3)="เขต"),C203,IFERROR(INDEX('Master Plan'!$B$8:$B$27,MATCH(C203,'Master Plan'!$A$8:$A$27,0)),"?")))</f>
        <v/>
      </c>
      <c r="E203" s="204" t="str">
        <f aca="false">IF(LEFT(C203,4)="ผรม.",TRIM(MID(C203,5,5)),IF(OR(C203="ทั้งเฟส",LEFT(C203,3)="เขต"),"",IF(C203="","",IF(OR(C203="ทั้งเฟส",LEFT(C203,4)="ผรม.",LEFT(C203,3)="เขต"),C203,IFERROR(INDEX('Master Plan'!$L$8:$L$27,MATCH(C203,'Master Plan'!$A$8:$A$27,0)),"?")))))</f>
        <v/>
      </c>
      <c r="F203" s="60"/>
      <c r="G203" s="207"/>
      <c r="H203" s="207"/>
      <c r="I203" s="215" t="str">
        <f aca="false">IF(AND(ISNUMBER(G203),ISNUMBER(H203)),H203-G203,"")</f>
        <v/>
      </c>
      <c r="J203" s="216"/>
      <c r="K203" s="60"/>
      <c r="L203" s="60"/>
      <c r="M203" s="113"/>
      <c r="N203" s="60"/>
      <c r="O203" s="60"/>
      <c r="P203" s="131" t="str">
        <f aca="false">IF(B203="","",IF(LEFT(F203,8)="Baseline","ผู้บริหาร + กปภ.",IF(ABS(N(J203))=0,"วิศวกร / ทีม",IF(ABS(N(J203))&lt;=CR_T1,"PM",IF(ABS(N(J203))&lt;=CR_T2,"Change Board","ผู้บริหาร + กปภ.")))))</f>
        <v/>
      </c>
      <c r="Q203" s="60"/>
      <c r="R203" s="60"/>
      <c r="S203" s="207"/>
    </row>
    <row r="204" customFormat="false" ht="15" hidden="false" customHeight="false" outlineLevel="0" collapsed="false">
      <c r="A204" s="138" t="str">
        <f aca="false">IF(B204="","","CR-"&amp;TEXT(ROW()-6,"000"))</f>
        <v/>
      </c>
      <c r="B204" s="207"/>
      <c r="C204" s="60"/>
      <c r="D204" s="131" t="str">
        <f aca="false">IF(C204="","",IF(OR(C204="ทั้งเฟส",LEFT(C204,4)="ผรม.",LEFT(C204,3)="เขต"),C204,IFERROR(INDEX('Master Plan'!$B$8:$B$27,MATCH(C204,'Master Plan'!$A$8:$A$27,0)),"?")))</f>
        <v/>
      </c>
      <c r="E204" s="204" t="str">
        <f aca="false">IF(LEFT(C204,4)="ผรม.",TRIM(MID(C204,5,5)),IF(OR(C204="ทั้งเฟส",LEFT(C204,3)="เขต"),"",IF(C204="","",IF(OR(C204="ทั้งเฟส",LEFT(C204,4)="ผรม.",LEFT(C204,3)="เขต"),C204,IFERROR(INDEX('Master Plan'!$L$8:$L$27,MATCH(C204,'Master Plan'!$A$8:$A$27,0)),"?")))))</f>
        <v/>
      </c>
      <c r="F204" s="60"/>
      <c r="G204" s="207"/>
      <c r="H204" s="207"/>
      <c r="I204" s="215" t="str">
        <f aca="false">IF(AND(ISNUMBER(G204),ISNUMBER(H204)),H204-G204,"")</f>
        <v/>
      </c>
      <c r="J204" s="216"/>
      <c r="K204" s="60"/>
      <c r="L204" s="60"/>
      <c r="M204" s="113"/>
      <c r="N204" s="60"/>
      <c r="O204" s="60"/>
      <c r="P204" s="131" t="str">
        <f aca="false">IF(B204="","",IF(LEFT(F204,8)="Baseline","ผู้บริหาร + กปภ.",IF(ABS(N(J204))=0,"วิศวกร / ทีม",IF(ABS(N(J204))&lt;=CR_T1,"PM",IF(ABS(N(J204))&lt;=CR_T2,"Change Board","ผู้บริหาร + กปภ.")))))</f>
        <v/>
      </c>
      <c r="Q204" s="60"/>
      <c r="R204" s="60"/>
      <c r="S204" s="207"/>
    </row>
    <row r="205" customFormat="false" ht="15" hidden="false" customHeight="false" outlineLevel="0" collapsed="false">
      <c r="A205" s="138" t="str">
        <f aca="false">IF(B205="","","CR-"&amp;TEXT(ROW()-6,"000"))</f>
        <v/>
      </c>
      <c r="B205" s="207"/>
      <c r="C205" s="60"/>
      <c r="D205" s="131" t="str">
        <f aca="false">IF(C205="","",IF(OR(C205="ทั้งเฟส",LEFT(C205,4)="ผรม.",LEFT(C205,3)="เขต"),C205,IFERROR(INDEX('Master Plan'!$B$8:$B$27,MATCH(C205,'Master Plan'!$A$8:$A$27,0)),"?")))</f>
        <v/>
      </c>
      <c r="E205" s="204" t="str">
        <f aca="false">IF(LEFT(C205,4)="ผรม.",TRIM(MID(C205,5,5)),IF(OR(C205="ทั้งเฟส",LEFT(C205,3)="เขต"),"",IF(C205="","",IF(OR(C205="ทั้งเฟส",LEFT(C205,4)="ผรม.",LEFT(C205,3)="เขต"),C205,IFERROR(INDEX('Master Plan'!$L$8:$L$27,MATCH(C205,'Master Plan'!$A$8:$A$27,0)),"?")))))</f>
        <v/>
      </c>
      <c r="F205" s="60"/>
      <c r="G205" s="207"/>
      <c r="H205" s="207"/>
      <c r="I205" s="215" t="str">
        <f aca="false">IF(AND(ISNUMBER(G205),ISNUMBER(H205)),H205-G205,"")</f>
        <v/>
      </c>
      <c r="J205" s="216"/>
      <c r="K205" s="60"/>
      <c r="L205" s="60"/>
      <c r="M205" s="113"/>
      <c r="N205" s="60"/>
      <c r="O205" s="60"/>
      <c r="P205" s="131" t="str">
        <f aca="false">IF(B205="","",IF(LEFT(F205,8)="Baseline","ผู้บริหาร + กปภ.",IF(ABS(N(J205))=0,"วิศวกร / ทีม",IF(ABS(N(J205))&lt;=CR_T1,"PM",IF(ABS(N(J205))&lt;=CR_T2,"Change Board","ผู้บริหาร + กปภ.")))))</f>
        <v/>
      </c>
      <c r="Q205" s="60"/>
      <c r="R205" s="60"/>
      <c r="S205" s="207"/>
    </row>
    <row r="206" customFormat="false" ht="15" hidden="false" customHeight="false" outlineLevel="0" collapsed="false">
      <c r="A206" s="138" t="str">
        <f aca="false">IF(B206="","","CR-"&amp;TEXT(ROW()-6,"000"))</f>
        <v/>
      </c>
      <c r="B206" s="207"/>
      <c r="C206" s="60"/>
      <c r="D206" s="131" t="str">
        <f aca="false">IF(C206="","",IF(OR(C206="ทั้งเฟส",LEFT(C206,4)="ผรม.",LEFT(C206,3)="เขต"),C206,IFERROR(INDEX('Master Plan'!$B$8:$B$27,MATCH(C206,'Master Plan'!$A$8:$A$27,0)),"?")))</f>
        <v/>
      </c>
      <c r="E206" s="204" t="str">
        <f aca="false">IF(LEFT(C206,4)="ผรม.",TRIM(MID(C206,5,5)),IF(OR(C206="ทั้งเฟส",LEFT(C206,3)="เขต"),"",IF(C206="","",IF(OR(C206="ทั้งเฟส",LEFT(C206,4)="ผรม.",LEFT(C206,3)="เขต"),C206,IFERROR(INDEX('Master Plan'!$L$8:$L$27,MATCH(C206,'Master Plan'!$A$8:$A$27,0)),"?")))))</f>
        <v/>
      </c>
      <c r="F206" s="60"/>
      <c r="G206" s="207"/>
      <c r="H206" s="207"/>
      <c r="I206" s="215" t="str">
        <f aca="false">IF(AND(ISNUMBER(G206),ISNUMBER(H206)),H206-G206,"")</f>
        <v/>
      </c>
      <c r="J206" s="216"/>
      <c r="K206" s="60"/>
      <c r="L206" s="60"/>
      <c r="M206" s="113"/>
      <c r="N206" s="60"/>
      <c r="O206" s="60"/>
      <c r="P206" s="131" t="str">
        <f aca="false">IF(B206="","",IF(LEFT(F206,8)="Baseline","ผู้บริหาร + กปภ.",IF(ABS(N(J206))=0,"วิศวกร / ทีม",IF(ABS(N(J206))&lt;=CR_T1,"PM",IF(ABS(N(J206))&lt;=CR_T2,"Change Board","ผู้บริหาร + กปภ.")))))</f>
        <v/>
      </c>
      <c r="Q206" s="60"/>
      <c r="R206" s="60"/>
      <c r="S206" s="207"/>
    </row>
    <row r="207" customFormat="false" ht="15" hidden="false" customHeight="false" outlineLevel="0" collapsed="false">
      <c r="A207" s="138" t="str">
        <f aca="false">IF(B207="","","CR-"&amp;TEXT(ROW()-6,"000"))</f>
        <v/>
      </c>
      <c r="B207" s="207"/>
      <c r="C207" s="60"/>
      <c r="D207" s="131" t="str">
        <f aca="false">IF(C207="","",IF(OR(C207="ทั้งเฟส",LEFT(C207,4)="ผรม.",LEFT(C207,3)="เขต"),C207,IFERROR(INDEX('Master Plan'!$B$8:$B$27,MATCH(C207,'Master Plan'!$A$8:$A$27,0)),"?")))</f>
        <v/>
      </c>
      <c r="E207" s="204" t="str">
        <f aca="false">IF(LEFT(C207,4)="ผรม.",TRIM(MID(C207,5,5)),IF(OR(C207="ทั้งเฟส",LEFT(C207,3)="เขต"),"",IF(C207="","",IF(OR(C207="ทั้งเฟส",LEFT(C207,4)="ผรม.",LEFT(C207,3)="เขต"),C207,IFERROR(INDEX('Master Plan'!$L$8:$L$27,MATCH(C207,'Master Plan'!$A$8:$A$27,0)),"?")))))</f>
        <v/>
      </c>
      <c r="F207" s="60"/>
      <c r="G207" s="207"/>
      <c r="H207" s="207"/>
      <c r="I207" s="215" t="str">
        <f aca="false">IF(AND(ISNUMBER(G207),ISNUMBER(H207)),H207-G207,"")</f>
        <v/>
      </c>
      <c r="J207" s="216"/>
      <c r="K207" s="60"/>
      <c r="L207" s="60"/>
      <c r="M207" s="113"/>
      <c r="N207" s="60"/>
      <c r="O207" s="60"/>
      <c r="P207" s="131" t="str">
        <f aca="false">IF(B207="","",IF(LEFT(F207,8)="Baseline","ผู้บริหาร + กปภ.",IF(ABS(N(J207))=0,"วิศวกร / ทีม",IF(ABS(N(J207))&lt;=CR_T1,"PM",IF(ABS(N(J207))&lt;=CR_T2,"Change Board","ผู้บริหาร + กปภ.")))))</f>
        <v/>
      </c>
      <c r="Q207" s="60"/>
      <c r="R207" s="60"/>
      <c r="S207" s="207"/>
    </row>
    <row r="208" customFormat="false" ht="15" hidden="false" customHeight="false" outlineLevel="0" collapsed="false">
      <c r="A208" s="138" t="str">
        <f aca="false">IF(B208="","","CR-"&amp;TEXT(ROW()-6,"000"))</f>
        <v/>
      </c>
      <c r="B208" s="207"/>
      <c r="C208" s="60"/>
      <c r="D208" s="131" t="str">
        <f aca="false">IF(C208="","",IF(OR(C208="ทั้งเฟส",LEFT(C208,4)="ผรม.",LEFT(C208,3)="เขต"),C208,IFERROR(INDEX('Master Plan'!$B$8:$B$27,MATCH(C208,'Master Plan'!$A$8:$A$27,0)),"?")))</f>
        <v/>
      </c>
      <c r="E208" s="204" t="str">
        <f aca="false">IF(LEFT(C208,4)="ผรม.",TRIM(MID(C208,5,5)),IF(OR(C208="ทั้งเฟส",LEFT(C208,3)="เขต"),"",IF(C208="","",IF(OR(C208="ทั้งเฟส",LEFT(C208,4)="ผรม.",LEFT(C208,3)="เขต"),C208,IFERROR(INDEX('Master Plan'!$L$8:$L$27,MATCH(C208,'Master Plan'!$A$8:$A$27,0)),"?")))))</f>
        <v/>
      </c>
      <c r="F208" s="60"/>
      <c r="G208" s="207"/>
      <c r="H208" s="207"/>
      <c r="I208" s="215" t="str">
        <f aca="false">IF(AND(ISNUMBER(G208),ISNUMBER(H208)),H208-G208,"")</f>
        <v/>
      </c>
      <c r="J208" s="216"/>
      <c r="K208" s="60"/>
      <c r="L208" s="60"/>
      <c r="M208" s="113"/>
      <c r="N208" s="60"/>
      <c r="O208" s="60"/>
      <c r="P208" s="131" t="str">
        <f aca="false">IF(B208="","",IF(LEFT(F208,8)="Baseline","ผู้บริหาร + กปภ.",IF(ABS(N(J208))=0,"วิศวกร / ทีม",IF(ABS(N(J208))&lt;=CR_T1,"PM",IF(ABS(N(J208))&lt;=CR_T2,"Change Board","ผู้บริหาร + กปภ.")))))</f>
        <v/>
      </c>
      <c r="Q208" s="60"/>
      <c r="R208" s="60"/>
      <c r="S208" s="207"/>
    </row>
    <row r="209" customFormat="false" ht="15" hidden="false" customHeight="false" outlineLevel="0" collapsed="false">
      <c r="A209" s="138" t="str">
        <f aca="false">IF(B209="","","CR-"&amp;TEXT(ROW()-6,"000"))</f>
        <v/>
      </c>
      <c r="B209" s="207"/>
      <c r="C209" s="60"/>
      <c r="D209" s="131" t="str">
        <f aca="false">IF(C209="","",IF(OR(C209="ทั้งเฟส",LEFT(C209,4)="ผรม.",LEFT(C209,3)="เขต"),C209,IFERROR(INDEX('Master Plan'!$B$8:$B$27,MATCH(C209,'Master Plan'!$A$8:$A$27,0)),"?")))</f>
        <v/>
      </c>
      <c r="E209" s="204" t="str">
        <f aca="false">IF(LEFT(C209,4)="ผรม.",TRIM(MID(C209,5,5)),IF(OR(C209="ทั้งเฟส",LEFT(C209,3)="เขต"),"",IF(C209="","",IF(OR(C209="ทั้งเฟส",LEFT(C209,4)="ผรม.",LEFT(C209,3)="เขต"),C209,IFERROR(INDEX('Master Plan'!$L$8:$L$27,MATCH(C209,'Master Plan'!$A$8:$A$27,0)),"?")))))</f>
        <v/>
      </c>
      <c r="F209" s="60"/>
      <c r="G209" s="207"/>
      <c r="H209" s="207"/>
      <c r="I209" s="215" t="str">
        <f aca="false">IF(AND(ISNUMBER(G209),ISNUMBER(H209)),H209-G209,"")</f>
        <v/>
      </c>
      <c r="J209" s="216"/>
      <c r="K209" s="60"/>
      <c r="L209" s="60"/>
      <c r="M209" s="113"/>
      <c r="N209" s="60"/>
      <c r="O209" s="60"/>
      <c r="P209" s="131" t="str">
        <f aca="false">IF(B209="","",IF(LEFT(F209,8)="Baseline","ผู้บริหาร + กปภ.",IF(ABS(N(J209))=0,"วิศวกร / ทีม",IF(ABS(N(J209))&lt;=CR_T1,"PM",IF(ABS(N(J209))&lt;=CR_T2,"Change Board","ผู้บริหาร + กปภ.")))))</f>
        <v/>
      </c>
      <c r="Q209" s="60"/>
      <c r="R209" s="60"/>
      <c r="S209" s="207"/>
    </row>
    <row r="210" customFormat="false" ht="15" hidden="false" customHeight="false" outlineLevel="0" collapsed="false">
      <c r="A210" s="138" t="str">
        <f aca="false">IF(B210="","","CR-"&amp;TEXT(ROW()-6,"000"))</f>
        <v/>
      </c>
      <c r="B210" s="207"/>
      <c r="C210" s="60"/>
      <c r="D210" s="131" t="str">
        <f aca="false">IF(C210="","",IF(OR(C210="ทั้งเฟส",LEFT(C210,4)="ผรม.",LEFT(C210,3)="เขต"),C210,IFERROR(INDEX('Master Plan'!$B$8:$B$27,MATCH(C210,'Master Plan'!$A$8:$A$27,0)),"?")))</f>
        <v/>
      </c>
      <c r="E210" s="204" t="str">
        <f aca="false">IF(LEFT(C210,4)="ผรม.",TRIM(MID(C210,5,5)),IF(OR(C210="ทั้งเฟส",LEFT(C210,3)="เขต"),"",IF(C210="","",IF(OR(C210="ทั้งเฟส",LEFT(C210,4)="ผรม.",LEFT(C210,3)="เขต"),C210,IFERROR(INDEX('Master Plan'!$L$8:$L$27,MATCH(C210,'Master Plan'!$A$8:$A$27,0)),"?")))))</f>
        <v/>
      </c>
      <c r="F210" s="60"/>
      <c r="G210" s="207"/>
      <c r="H210" s="207"/>
      <c r="I210" s="215" t="str">
        <f aca="false">IF(AND(ISNUMBER(G210),ISNUMBER(H210)),H210-G210,"")</f>
        <v/>
      </c>
      <c r="J210" s="216"/>
      <c r="K210" s="60"/>
      <c r="L210" s="60"/>
      <c r="M210" s="113"/>
      <c r="N210" s="60"/>
      <c r="O210" s="60"/>
      <c r="P210" s="131" t="str">
        <f aca="false">IF(B210="","",IF(LEFT(F210,8)="Baseline","ผู้บริหาร + กปภ.",IF(ABS(N(J210))=0,"วิศวกร / ทีม",IF(ABS(N(J210))&lt;=CR_T1,"PM",IF(ABS(N(J210))&lt;=CR_T2,"Change Board","ผู้บริหาร + กปภ.")))))</f>
        <v/>
      </c>
      <c r="Q210" s="60"/>
      <c r="R210" s="60"/>
      <c r="S210" s="207"/>
    </row>
    <row r="211" customFormat="false" ht="15" hidden="false" customHeight="false" outlineLevel="0" collapsed="false">
      <c r="A211" s="138" t="str">
        <f aca="false">IF(B211="","","CR-"&amp;TEXT(ROW()-6,"000"))</f>
        <v/>
      </c>
      <c r="B211" s="207"/>
      <c r="C211" s="60"/>
      <c r="D211" s="131" t="str">
        <f aca="false">IF(C211="","",IF(OR(C211="ทั้งเฟส",LEFT(C211,4)="ผรม.",LEFT(C211,3)="เขต"),C211,IFERROR(INDEX('Master Plan'!$B$8:$B$27,MATCH(C211,'Master Plan'!$A$8:$A$27,0)),"?")))</f>
        <v/>
      </c>
      <c r="E211" s="204" t="str">
        <f aca="false">IF(LEFT(C211,4)="ผรม.",TRIM(MID(C211,5,5)),IF(OR(C211="ทั้งเฟส",LEFT(C211,3)="เขต"),"",IF(C211="","",IF(OR(C211="ทั้งเฟส",LEFT(C211,4)="ผรม.",LEFT(C211,3)="เขต"),C211,IFERROR(INDEX('Master Plan'!$L$8:$L$27,MATCH(C211,'Master Plan'!$A$8:$A$27,0)),"?")))))</f>
        <v/>
      </c>
      <c r="F211" s="60"/>
      <c r="G211" s="207"/>
      <c r="H211" s="207"/>
      <c r="I211" s="215" t="str">
        <f aca="false">IF(AND(ISNUMBER(G211),ISNUMBER(H211)),H211-G211,"")</f>
        <v/>
      </c>
      <c r="J211" s="216"/>
      <c r="K211" s="60"/>
      <c r="L211" s="60"/>
      <c r="M211" s="113"/>
      <c r="N211" s="60"/>
      <c r="O211" s="60"/>
      <c r="P211" s="131" t="str">
        <f aca="false">IF(B211="","",IF(LEFT(F211,8)="Baseline","ผู้บริหาร + กปภ.",IF(ABS(N(J211))=0,"วิศวกร / ทีม",IF(ABS(N(J211))&lt;=CR_T1,"PM",IF(ABS(N(J211))&lt;=CR_T2,"Change Board","ผู้บริหาร + กปภ.")))))</f>
        <v/>
      </c>
      <c r="Q211" s="60"/>
      <c r="R211" s="60"/>
      <c r="S211" s="207"/>
    </row>
    <row r="212" customFormat="false" ht="15" hidden="false" customHeight="false" outlineLevel="0" collapsed="false">
      <c r="A212" s="138" t="str">
        <f aca="false">IF(B212="","","CR-"&amp;TEXT(ROW()-6,"000"))</f>
        <v/>
      </c>
      <c r="B212" s="207"/>
      <c r="C212" s="60"/>
      <c r="D212" s="131" t="str">
        <f aca="false">IF(C212="","",IF(OR(C212="ทั้งเฟส",LEFT(C212,4)="ผรม.",LEFT(C212,3)="เขต"),C212,IFERROR(INDEX('Master Plan'!$B$8:$B$27,MATCH(C212,'Master Plan'!$A$8:$A$27,0)),"?")))</f>
        <v/>
      </c>
      <c r="E212" s="204" t="str">
        <f aca="false">IF(LEFT(C212,4)="ผรม.",TRIM(MID(C212,5,5)),IF(OR(C212="ทั้งเฟส",LEFT(C212,3)="เขต"),"",IF(C212="","",IF(OR(C212="ทั้งเฟส",LEFT(C212,4)="ผรม.",LEFT(C212,3)="เขต"),C212,IFERROR(INDEX('Master Plan'!$L$8:$L$27,MATCH(C212,'Master Plan'!$A$8:$A$27,0)),"?")))))</f>
        <v/>
      </c>
      <c r="F212" s="60"/>
      <c r="G212" s="207"/>
      <c r="H212" s="207"/>
      <c r="I212" s="215" t="str">
        <f aca="false">IF(AND(ISNUMBER(G212),ISNUMBER(H212)),H212-G212,"")</f>
        <v/>
      </c>
      <c r="J212" s="216"/>
      <c r="K212" s="60"/>
      <c r="L212" s="60"/>
      <c r="M212" s="113"/>
      <c r="N212" s="60"/>
      <c r="O212" s="60"/>
      <c r="P212" s="131" t="str">
        <f aca="false">IF(B212="","",IF(LEFT(F212,8)="Baseline","ผู้บริหาร + กปภ.",IF(ABS(N(J212))=0,"วิศวกร / ทีม",IF(ABS(N(J212))&lt;=CR_T1,"PM",IF(ABS(N(J212))&lt;=CR_T2,"Change Board","ผู้บริหาร + กปภ.")))))</f>
        <v/>
      </c>
      <c r="Q212" s="60"/>
      <c r="R212" s="60"/>
      <c r="S212" s="207"/>
    </row>
    <row r="213" customFormat="false" ht="15" hidden="false" customHeight="false" outlineLevel="0" collapsed="false">
      <c r="A213" s="138" t="str">
        <f aca="false">IF(B213="","","CR-"&amp;TEXT(ROW()-6,"000"))</f>
        <v/>
      </c>
      <c r="B213" s="207"/>
      <c r="C213" s="60"/>
      <c r="D213" s="131" t="str">
        <f aca="false">IF(C213="","",IF(OR(C213="ทั้งเฟส",LEFT(C213,4)="ผรม.",LEFT(C213,3)="เขต"),C213,IFERROR(INDEX('Master Plan'!$B$8:$B$27,MATCH(C213,'Master Plan'!$A$8:$A$27,0)),"?")))</f>
        <v/>
      </c>
      <c r="E213" s="204" t="str">
        <f aca="false">IF(LEFT(C213,4)="ผรม.",TRIM(MID(C213,5,5)),IF(OR(C213="ทั้งเฟส",LEFT(C213,3)="เขต"),"",IF(C213="","",IF(OR(C213="ทั้งเฟส",LEFT(C213,4)="ผรม.",LEFT(C213,3)="เขต"),C213,IFERROR(INDEX('Master Plan'!$L$8:$L$27,MATCH(C213,'Master Plan'!$A$8:$A$27,0)),"?")))))</f>
        <v/>
      </c>
      <c r="F213" s="60"/>
      <c r="G213" s="207"/>
      <c r="H213" s="207"/>
      <c r="I213" s="215" t="str">
        <f aca="false">IF(AND(ISNUMBER(G213),ISNUMBER(H213)),H213-G213,"")</f>
        <v/>
      </c>
      <c r="J213" s="216"/>
      <c r="K213" s="60"/>
      <c r="L213" s="60"/>
      <c r="M213" s="113"/>
      <c r="N213" s="60"/>
      <c r="O213" s="60"/>
      <c r="P213" s="131" t="str">
        <f aca="false">IF(B213="","",IF(LEFT(F213,8)="Baseline","ผู้บริหาร + กปภ.",IF(ABS(N(J213))=0,"วิศวกร / ทีม",IF(ABS(N(J213))&lt;=CR_T1,"PM",IF(ABS(N(J213))&lt;=CR_T2,"Change Board","ผู้บริหาร + กปภ.")))))</f>
        <v/>
      </c>
      <c r="Q213" s="60"/>
      <c r="R213" s="60"/>
      <c r="S213" s="207"/>
    </row>
    <row r="214" customFormat="false" ht="15" hidden="false" customHeight="false" outlineLevel="0" collapsed="false">
      <c r="A214" s="138" t="str">
        <f aca="false">IF(B214="","","CR-"&amp;TEXT(ROW()-6,"000"))</f>
        <v/>
      </c>
      <c r="B214" s="207"/>
      <c r="C214" s="60"/>
      <c r="D214" s="131" t="str">
        <f aca="false">IF(C214="","",IF(OR(C214="ทั้งเฟส",LEFT(C214,4)="ผรม.",LEFT(C214,3)="เขต"),C214,IFERROR(INDEX('Master Plan'!$B$8:$B$27,MATCH(C214,'Master Plan'!$A$8:$A$27,0)),"?")))</f>
        <v/>
      </c>
      <c r="E214" s="204" t="str">
        <f aca="false">IF(LEFT(C214,4)="ผรม.",TRIM(MID(C214,5,5)),IF(OR(C214="ทั้งเฟส",LEFT(C214,3)="เขต"),"",IF(C214="","",IF(OR(C214="ทั้งเฟส",LEFT(C214,4)="ผรม.",LEFT(C214,3)="เขต"),C214,IFERROR(INDEX('Master Plan'!$L$8:$L$27,MATCH(C214,'Master Plan'!$A$8:$A$27,0)),"?")))))</f>
        <v/>
      </c>
      <c r="F214" s="60"/>
      <c r="G214" s="207"/>
      <c r="H214" s="207"/>
      <c r="I214" s="215" t="str">
        <f aca="false">IF(AND(ISNUMBER(G214),ISNUMBER(H214)),H214-G214,"")</f>
        <v/>
      </c>
      <c r="J214" s="216"/>
      <c r="K214" s="60"/>
      <c r="L214" s="60"/>
      <c r="M214" s="113"/>
      <c r="N214" s="60"/>
      <c r="O214" s="60"/>
      <c r="P214" s="131" t="str">
        <f aca="false">IF(B214="","",IF(LEFT(F214,8)="Baseline","ผู้บริหาร + กปภ.",IF(ABS(N(J214))=0,"วิศวกร / ทีม",IF(ABS(N(J214))&lt;=CR_T1,"PM",IF(ABS(N(J214))&lt;=CR_T2,"Change Board","ผู้บริหาร + กปภ.")))))</f>
        <v/>
      </c>
      <c r="Q214" s="60"/>
      <c r="R214" s="60"/>
      <c r="S214" s="207"/>
    </row>
    <row r="215" customFormat="false" ht="15" hidden="false" customHeight="false" outlineLevel="0" collapsed="false">
      <c r="A215" s="138" t="str">
        <f aca="false">IF(B215="","","CR-"&amp;TEXT(ROW()-6,"000"))</f>
        <v/>
      </c>
      <c r="B215" s="207"/>
      <c r="C215" s="60"/>
      <c r="D215" s="131" t="str">
        <f aca="false">IF(C215="","",IF(OR(C215="ทั้งเฟส",LEFT(C215,4)="ผรม.",LEFT(C215,3)="เขต"),C215,IFERROR(INDEX('Master Plan'!$B$8:$B$27,MATCH(C215,'Master Plan'!$A$8:$A$27,0)),"?")))</f>
        <v/>
      </c>
      <c r="E215" s="204" t="str">
        <f aca="false">IF(LEFT(C215,4)="ผรม.",TRIM(MID(C215,5,5)),IF(OR(C215="ทั้งเฟส",LEFT(C215,3)="เขต"),"",IF(C215="","",IF(OR(C215="ทั้งเฟส",LEFT(C215,4)="ผรม.",LEFT(C215,3)="เขต"),C215,IFERROR(INDEX('Master Plan'!$L$8:$L$27,MATCH(C215,'Master Plan'!$A$8:$A$27,0)),"?")))))</f>
        <v/>
      </c>
      <c r="F215" s="60"/>
      <c r="G215" s="207"/>
      <c r="H215" s="207"/>
      <c r="I215" s="215" t="str">
        <f aca="false">IF(AND(ISNUMBER(G215),ISNUMBER(H215)),H215-G215,"")</f>
        <v/>
      </c>
      <c r="J215" s="216"/>
      <c r="K215" s="60"/>
      <c r="L215" s="60"/>
      <c r="M215" s="113"/>
      <c r="N215" s="60"/>
      <c r="O215" s="60"/>
      <c r="P215" s="131" t="str">
        <f aca="false">IF(B215="","",IF(LEFT(F215,8)="Baseline","ผู้บริหาร + กปภ.",IF(ABS(N(J215))=0,"วิศวกร / ทีม",IF(ABS(N(J215))&lt;=CR_T1,"PM",IF(ABS(N(J215))&lt;=CR_T2,"Change Board","ผู้บริหาร + กปภ.")))))</f>
        <v/>
      </c>
      <c r="Q215" s="60"/>
      <c r="R215" s="60"/>
      <c r="S215" s="207"/>
    </row>
    <row r="216" customFormat="false" ht="15" hidden="false" customHeight="false" outlineLevel="0" collapsed="false">
      <c r="A216" s="138" t="str">
        <f aca="false">IF(B216="","","CR-"&amp;TEXT(ROW()-6,"000"))</f>
        <v/>
      </c>
      <c r="B216" s="207"/>
      <c r="C216" s="60"/>
      <c r="D216" s="131" t="str">
        <f aca="false">IF(C216="","",IF(OR(C216="ทั้งเฟส",LEFT(C216,4)="ผรม.",LEFT(C216,3)="เขต"),C216,IFERROR(INDEX('Master Plan'!$B$8:$B$27,MATCH(C216,'Master Plan'!$A$8:$A$27,0)),"?")))</f>
        <v/>
      </c>
      <c r="E216" s="204" t="str">
        <f aca="false">IF(LEFT(C216,4)="ผรม.",TRIM(MID(C216,5,5)),IF(OR(C216="ทั้งเฟส",LEFT(C216,3)="เขต"),"",IF(C216="","",IF(OR(C216="ทั้งเฟส",LEFT(C216,4)="ผรม.",LEFT(C216,3)="เขต"),C216,IFERROR(INDEX('Master Plan'!$L$8:$L$27,MATCH(C216,'Master Plan'!$A$8:$A$27,0)),"?")))))</f>
        <v/>
      </c>
      <c r="F216" s="60"/>
      <c r="G216" s="207"/>
      <c r="H216" s="207"/>
      <c r="I216" s="215" t="str">
        <f aca="false">IF(AND(ISNUMBER(G216),ISNUMBER(H216)),H216-G216,"")</f>
        <v/>
      </c>
      <c r="J216" s="216"/>
      <c r="K216" s="60"/>
      <c r="L216" s="60"/>
      <c r="M216" s="113"/>
      <c r="N216" s="60"/>
      <c r="O216" s="60"/>
      <c r="P216" s="131" t="str">
        <f aca="false">IF(B216="","",IF(LEFT(F216,8)="Baseline","ผู้บริหาร + กปภ.",IF(ABS(N(J216))=0,"วิศวกร / ทีม",IF(ABS(N(J216))&lt;=CR_T1,"PM",IF(ABS(N(J216))&lt;=CR_T2,"Change Board","ผู้บริหาร + กปภ.")))))</f>
        <v/>
      </c>
      <c r="Q216" s="60"/>
      <c r="R216" s="60"/>
      <c r="S216" s="207"/>
    </row>
    <row r="217" customFormat="false" ht="15" hidden="false" customHeight="false" outlineLevel="0" collapsed="false">
      <c r="A217" s="138" t="str">
        <f aca="false">IF(B217="","","CR-"&amp;TEXT(ROW()-6,"000"))</f>
        <v/>
      </c>
      <c r="B217" s="207"/>
      <c r="C217" s="60"/>
      <c r="D217" s="131" t="str">
        <f aca="false">IF(C217="","",IF(OR(C217="ทั้งเฟส",LEFT(C217,4)="ผรม.",LEFT(C217,3)="เขต"),C217,IFERROR(INDEX('Master Plan'!$B$8:$B$27,MATCH(C217,'Master Plan'!$A$8:$A$27,0)),"?")))</f>
        <v/>
      </c>
      <c r="E217" s="204" t="str">
        <f aca="false">IF(LEFT(C217,4)="ผรม.",TRIM(MID(C217,5,5)),IF(OR(C217="ทั้งเฟส",LEFT(C217,3)="เขต"),"",IF(C217="","",IF(OR(C217="ทั้งเฟส",LEFT(C217,4)="ผรม.",LEFT(C217,3)="เขต"),C217,IFERROR(INDEX('Master Plan'!$L$8:$L$27,MATCH(C217,'Master Plan'!$A$8:$A$27,0)),"?")))))</f>
        <v/>
      </c>
      <c r="F217" s="60"/>
      <c r="G217" s="207"/>
      <c r="H217" s="207"/>
      <c r="I217" s="215" t="str">
        <f aca="false">IF(AND(ISNUMBER(G217),ISNUMBER(H217)),H217-G217,"")</f>
        <v/>
      </c>
      <c r="J217" s="216"/>
      <c r="K217" s="60"/>
      <c r="L217" s="60"/>
      <c r="M217" s="113"/>
      <c r="N217" s="60"/>
      <c r="O217" s="60"/>
      <c r="P217" s="131" t="str">
        <f aca="false">IF(B217="","",IF(LEFT(F217,8)="Baseline","ผู้บริหาร + กปภ.",IF(ABS(N(J217))=0,"วิศวกร / ทีม",IF(ABS(N(J217))&lt;=CR_T1,"PM",IF(ABS(N(J217))&lt;=CR_T2,"Change Board","ผู้บริหาร + กปภ.")))))</f>
        <v/>
      </c>
      <c r="Q217" s="60"/>
      <c r="R217" s="60"/>
      <c r="S217" s="207"/>
    </row>
    <row r="218" customFormat="false" ht="15" hidden="false" customHeight="false" outlineLevel="0" collapsed="false">
      <c r="A218" s="138" t="str">
        <f aca="false">IF(B218="","","CR-"&amp;TEXT(ROW()-6,"000"))</f>
        <v/>
      </c>
      <c r="B218" s="207"/>
      <c r="C218" s="60"/>
      <c r="D218" s="131" t="str">
        <f aca="false">IF(C218="","",IF(OR(C218="ทั้งเฟส",LEFT(C218,4)="ผรม.",LEFT(C218,3)="เขต"),C218,IFERROR(INDEX('Master Plan'!$B$8:$B$27,MATCH(C218,'Master Plan'!$A$8:$A$27,0)),"?")))</f>
        <v/>
      </c>
      <c r="E218" s="204" t="str">
        <f aca="false">IF(LEFT(C218,4)="ผรม.",TRIM(MID(C218,5,5)),IF(OR(C218="ทั้งเฟส",LEFT(C218,3)="เขต"),"",IF(C218="","",IF(OR(C218="ทั้งเฟส",LEFT(C218,4)="ผรม.",LEFT(C218,3)="เขต"),C218,IFERROR(INDEX('Master Plan'!$L$8:$L$27,MATCH(C218,'Master Plan'!$A$8:$A$27,0)),"?")))))</f>
        <v/>
      </c>
      <c r="F218" s="60"/>
      <c r="G218" s="207"/>
      <c r="H218" s="207"/>
      <c r="I218" s="215" t="str">
        <f aca="false">IF(AND(ISNUMBER(G218),ISNUMBER(H218)),H218-G218,"")</f>
        <v/>
      </c>
      <c r="J218" s="216"/>
      <c r="K218" s="60"/>
      <c r="L218" s="60"/>
      <c r="M218" s="113"/>
      <c r="N218" s="60"/>
      <c r="O218" s="60"/>
      <c r="P218" s="131" t="str">
        <f aca="false">IF(B218="","",IF(LEFT(F218,8)="Baseline","ผู้บริหาร + กปภ.",IF(ABS(N(J218))=0,"วิศวกร / ทีม",IF(ABS(N(J218))&lt;=CR_T1,"PM",IF(ABS(N(J218))&lt;=CR_T2,"Change Board","ผู้บริหาร + กปภ.")))))</f>
        <v/>
      </c>
      <c r="Q218" s="60"/>
      <c r="R218" s="60"/>
      <c r="S218" s="207"/>
    </row>
    <row r="219" customFormat="false" ht="15" hidden="false" customHeight="false" outlineLevel="0" collapsed="false">
      <c r="A219" s="138" t="str">
        <f aca="false">IF(B219="","","CR-"&amp;TEXT(ROW()-6,"000"))</f>
        <v/>
      </c>
      <c r="B219" s="207"/>
      <c r="C219" s="60"/>
      <c r="D219" s="131" t="str">
        <f aca="false">IF(C219="","",IF(OR(C219="ทั้งเฟส",LEFT(C219,4)="ผรม.",LEFT(C219,3)="เขต"),C219,IFERROR(INDEX('Master Plan'!$B$8:$B$27,MATCH(C219,'Master Plan'!$A$8:$A$27,0)),"?")))</f>
        <v/>
      </c>
      <c r="E219" s="204" t="str">
        <f aca="false">IF(LEFT(C219,4)="ผรม.",TRIM(MID(C219,5,5)),IF(OR(C219="ทั้งเฟส",LEFT(C219,3)="เขต"),"",IF(C219="","",IF(OR(C219="ทั้งเฟส",LEFT(C219,4)="ผรม.",LEFT(C219,3)="เขต"),C219,IFERROR(INDEX('Master Plan'!$L$8:$L$27,MATCH(C219,'Master Plan'!$A$8:$A$27,0)),"?")))))</f>
        <v/>
      </c>
      <c r="F219" s="60"/>
      <c r="G219" s="207"/>
      <c r="H219" s="207"/>
      <c r="I219" s="215" t="str">
        <f aca="false">IF(AND(ISNUMBER(G219),ISNUMBER(H219)),H219-G219,"")</f>
        <v/>
      </c>
      <c r="J219" s="216"/>
      <c r="K219" s="60"/>
      <c r="L219" s="60"/>
      <c r="M219" s="113"/>
      <c r="N219" s="60"/>
      <c r="O219" s="60"/>
      <c r="P219" s="131" t="str">
        <f aca="false">IF(B219="","",IF(LEFT(F219,8)="Baseline","ผู้บริหาร + กปภ.",IF(ABS(N(J219))=0,"วิศวกร / ทีม",IF(ABS(N(J219))&lt;=CR_T1,"PM",IF(ABS(N(J219))&lt;=CR_T2,"Change Board","ผู้บริหาร + กปภ.")))))</f>
        <v/>
      </c>
      <c r="Q219" s="60"/>
      <c r="R219" s="60"/>
      <c r="S219" s="207"/>
    </row>
    <row r="220" customFormat="false" ht="15" hidden="false" customHeight="false" outlineLevel="0" collapsed="false">
      <c r="A220" s="138" t="str">
        <f aca="false">IF(B220="","","CR-"&amp;TEXT(ROW()-6,"000"))</f>
        <v/>
      </c>
      <c r="B220" s="207"/>
      <c r="C220" s="60"/>
      <c r="D220" s="131" t="str">
        <f aca="false">IF(C220="","",IF(OR(C220="ทั้งเฟส",LEFT(C220,4)="ผรม.",LEFT(C220,3)="เขต"),C220,IFERROR(INDEX('Master Plan'!$B$8:$B$27,MATCH(C220,'Master Plan'!$A$8:$A$27,0)),"?")))</f>
        <v/>
      </c>
      <c r="E220" s="204" t="str">
        <f aca="false">IF(LEFT(C220,4)="ผรม.",TRIM(MID(C220,5,5)),IF(OR(C220="ทั้งเฟส",LEFT(C220,3)="เขต"),"",IF(C220="","",IF(OR(C220="ทั้งเฟส",LEFT(C220,4)="ผรม.",LEFT(C220,3)="เขต"),C220,IFERROR(INDEX('Master Plan'!$L$8:$L$27,MATCH(C220,'Master Plan'!$A$8:$A$27,0)),"?")))))</f>
        <v/>
      </c>
      <c r="F220" s="60"/>
      <c r="G220" s="207"/>
      <c r="H220" s="207"/>
      <c r="I220" s="215" t="str">
        <f aca="false">IF(AND(ISNUMBER(G220),ISNUMBER(H220)),H220-G220,"")</f>
        <v/>
      </c>
      <c r="J220" s="216"/>
      <c r="K220" s="60"/>
      <c r="L220" s="60"/>
      <c r="M220" s="113"/>
      <c r="N220" s="60"/>
      <c r="O220" s="60"/>
      <c r="P220" s="131" t="str">
        <f aca="false">IF(B220="","",IF(LEFT(F220,8)="Baseline","ผู้บริหาร + กปภ.",IF(ABS(N(J220))=0,"วิศวกร / ทีม",IF(ABS(N(J220))&lt;=CR_T1,"PM",IF(ABS(N(J220))&lt;=CR_T2,"Change Board","ผู้บริหาร + กปภ.")))))</f>
        <v/>
      </c>
      <c r="Q220" s="60"/>
      <c r="R220" s="60"/>
      <c r="S220" s="207"/>
    </row>
    <row r="221" customFormat="false" ht="15" hidden="false" customHeight="false" outlineLevel="0" collapsed="false">
      <c r="A221" s="138" t="str">
        <f aca="false">IF(B221="","","CR-"&amp;TEXT(ROW()-6,"000"))</f>
        <v/>
      </c>
      <c r="B221" s="207"/>
      <c r="C221" s="60"/>
      <c r="D221" s="131" t="str">
        <f aca="false">IF(C221="","",IF(OR(C221="ทั้งเฟส",LEFT(C221,4)="ผรม.",LEFT(C221,3)="เขต"),C221,IFERROR(INDEX('Master Plan'!$B$8:$B$27,MATCH(C221,'Master Plan'!$A$8:$A$27,0)),"?")))</f>
        <v/>
      </c>
      <c r="E221" s="204" t="str">
        <f aca="false">IF(LEFT(C221,4)="ผรม.",TRIM(MID(C221,5,5)),IF(OR(C221="ทั้งเฟส",LEFT(C221,3)="เขต"),"",IF(C221="","",IF(OR(C221="ทั้งเฟส",LEFT(C221,4)="ผรม.",LEFT(C221,3)="เขต"),C221,IFERROR(INDEX('Master Plan'!$L$8:$L$27,MATCH(C221,'Master Plan'!$A$8:$A$27,0)),"?")))))</f>
        <v/>
      </c>
      <c r="F221" s="60"/>
      <c r="G221" s="207"/>
      <c r="H221" s="207"/>
      <c r="I221" s="215" t="str">
        <f aca="false">IF(AND(ISNUMBER(G221),ISNUMBER(H221)),H221-G221,"")</f>
        <v/>
      </c>
      <c r="J221" s="216"/>
      <c r="K221" s="60"/>
      <c r="L221" s="60"/>
      <c r="M221" s="113"/>
      <c r="N221" s="60"/>
      <c r="O221" s="60"/>
      <c r="P221" s="131" t="str">
        <f aca="false">IF(B221="","",IF(LEFT(F221,8)="Baseline","ผู้บริหาร + กปภ.",IF(ABS(N(J221))=0,"วิศวกร / ทีม",IF(ABS(N(J221))&lt;=CR_T1,"PM",IF(ABS(N(J221))&lt;=CR_T2,"Change Board","ผู้บริหาร + กปภ.")))))</f>
        <v/>
      </c>
      <c r="Q221" s="60"/>
      <c r="R221" s="60"/>
      <c r="S221" s="207"/>
    </row>
    <row r="222" customFormat="false" ht="15" hidden="false" customHeight="false" outlineLevel="0" collapsed="false">
      <c r="A222" s="138" t="str">
        <f aca="false">IF(B222="","","CR-"&amp;TEXT(ROW()-6,"000"))</f>
        <v/>
      </c>
      <c r="B222" s="207"/>
      <c r="C222" s="60"/>
      <c r="D222" s="131" t="str">
        <f aca="false">IF(C222="","",IF(OR(C222="ทั้งเฟส",LEFT(C222,4)="ผรม.",LEFT(C222,3)="เขต"),C222,IFERROR(INDEX('Master Plan'!$B$8:$B$27,MATCH(C222,'Master Plan'!$A$8:$A$27,0)),"?")))</f>
        <v/>
      </c>
      <c r="E222" s="204" t="str">
        <f aca="false">IF(LEFT(C222,4)="ผรม.",TRIM(MID(C222,5,5)),IF(OR(C222="ทั้งเฟส",LEFT(C222,3)="เขต"),"",IF(C222="","",IF(OR(C222="ทั้งเฟส",LEFT(C222,4)="ผรม.",LEFT(C222,3)="เขต"),C222,IFERROR(INDEX('Master Plan'!$L$8:$L$27,MATCH(C222,'Master Plan'!$A$8:$A$27,0)),"?")))))</f>
        <v/>
      </c>
      <c r="F222" s="60"/>
      <c r="G222" s="207"/>
      <c r="H222" s="207"/>
      <c r="I222" s="215" t="str">
        <f aca="false">IF(AND(ISNUMBER(G222),ISNUMBER(H222)),H222-G222,"")</f>
        <v/>
      </c>
      <c r="J222" s="216"/>
      <c r="K222" s="60"/>
      <c r="L222" s="60"/>
      <c r="M222" s="113"/>
      <c r="N222" s="60"/>
      <c r="O222" s="60"/>
      <c r="P222" s="131" t="str">
        <f aca="false">IF(B222="","",IF(LEFT(F222,8)="Baseline","ผู้บริหาร + กปภ.",IF(ABS(N(J222))=0,"วิศวกร / ทีม",IF(ABS(N(J222))&lt;=CR_T1,"PM",IF(ABS(N(J222))&lt;=CR_T2,"Change Board","ผู้บริหาร + กปภ.")))))</f>
        <v/>
      </c>
      <c r="Q222" s="60"/>
      <c r="R222" s="60"/>
      <c r="S222" s="207"/>
    </row>
    <row r="223" customFormat="false" ht="15" hidden="false" customHeight="false" outlineLevel="0" collapsed="false">
      <c r="A223" s="138" t="str">
        <f aca="false">IF(B223="","","CR-"&amp;TEXT(ROW()-6,"000"))</f>
        <v/>
      </c>
      <c r="B223" s="207"/>
      <c r="C223" s="60"/>
      <c r="D223" s="131" t="str">
        <f aca="false">IF(C223="","",IF(OR(C223="ทั้งเฟส",LEFT(C223,4)="ผรม.",LEFT(C223,3)="เขต"),C223,IFERROR(INDEX('Master Plan'!$B$8:$B$27,MATCH(C223,'Master Plan'!$A$8:$A$27,0)),"?")))</f>
        <v/>
      </c>
      <c r="E223" s="204" t="str">
        <f aca="false">IF(LEFT(C223,4)="ผรม.",TRIM(MID(C223,5,5)),IF(OR(C223="ทั้งเฟส",LEFT(C223,3)="เขต"),"",IF(C223="","",IF(OR(C223="ทั้งเฟส",LEFT(C223,4)="ผรม.",LEFT(C223,3)="เขต"),C223,IFERROR(INDEX('Master Plan'!$L$8:$L$27,MATCH(C223,'Master Plan'!$A$8:$A$27,0)),"?")))))</f>
        <v/>
      </c>
      <c r="F223" s="60"/>
      <c r="G223" s="207"/>
      <c r="H223" s="207"/>
      <c r="I223" s="215" t="str">
        <f aca="false">IF(AND(ISNUMBER(G223),ISNUMBER(H223)),H223-G223,"")</f>
        <v/>
      </c>
      <c r="J223" s="216"/>
      <c r="K223" s="60"/>
      <c r="L223" s="60"/>
      <c r="M223" s="113"/>
      <c r="N223" s="60"/>
      <c r="O223" s="60"/>
      <c r="P223" s="131" t="str">
        <f aca="false">IF(B223="","",IF(LEFT(F223,8)="Baseline","ผู้บริหาร + กปภ.",IF(ABS(N(J223))=0,"วิศวกร / ทีม",IF(ABS(N(J223))&lt;=CR_T1,"PM",IF(ABS(N(J223))&lt;=CR_T2,"Change Board","ผู้บริหาร + กปภ.")))))</f>
        <v/>
      </c>
      <c r="Q223" s="60"/>
      <c r="R223" s="60"/>
      <c r="S223" s="207"/>
    </row>
    <row r="224" customFormat="false" ht="15" hidden="false" customHeight="false" outlineLevel="0" collapsed="false">
      <c r="A224" s="138" t="str">
        <f aca="false">IF(B224="","","CR-"&amp;TEXT(ROW()-6,"000"))</f>
        <v/>
      </c>
      <c r="B224" s="207"/>
      <c r="C224" s="60"/>
      <c r="D224" s="131" t="str">
        <f aca="false">IF(C224="","",IF(OR(C224="ทั้งเฟส",LEFT(C224,4)="ผรม.",LEFT(C224,3)="เขต"),C224,IFERROR(INDEX('Master Plan'!$B$8:$B$27,MATCH(C224,'Master Plan'!$A$8:$A$27,0)),"?")))</f>
        <v/>
      </c>
      <c r="E224" s="204" t="str">
        <f aca="false">IF(LEFT(C224,4)="ผรม.",TRIM(MID(C224,5,5)),IF(OR(C224="ทั้งเฟส",LEFT(C224,3)="เขต"),"",IF(C224="","",IF(OR(C224="ทั้งเฟส",LEFT(C224,4)="ผรม.",LEFT(C224,3)="เขต"),C224,IFERROR(INDEX('Master Plan'!$L$8:$L$27,MATCH(C224,'Master Plan'!$A$8:$A$27,0)),"?")))))</f>
        <v/>
      </c>
      <c r="F224" s="60"/>
      <c r="G224" s="207"/>
      <c r="H224" s="207"/>
      <c r="I224" s="215" t="str">
        <f aca="false">IF(AND(ISNUMBER(G224),ISNUMBER(H224)),H224-G224,"")</f>
        <v/>
      </c>
      <c r="J224" s="216"/>
      <c r="K224" s="60"/>
      <c r="L224" s="60"/>
      <c r="M224" s="113"/>
      <c r="N224" s="60"/>
      <c r="O224" s="60"/>
      <c r="P224" s="131" t="str">
        <f aca="false">IF(B224="","",IF(LEFT(F224,8)="Baseline","ผู้บริหาร + กปภ.",IF(ABS(N(J224))=0,"วิศวกร / ทีม",IF(ABS(N(J224))&lt;=CR_T1,"PM",IF(ABS(N(J224))&lt;=CR_T2,"Change Board","ผู้บริหาร + กปภ.")))))</f>
        <v/>
      </c>
      <c r="Q224" s="60"/>
      <c r="R224" s="60"/>
      <c r="S224" s="207"/>
    </row>
    <row r="225" customFormat="false" ht="15" hidden="false" customHeight="false" outlineLevel="0" collapsed="false">
      <c r="A225" s="138" t="str">
        <f aca="false">IF(B225="","","CR-"&amp;TEXT(ROW()-6,"000"))</f>
        <v/>
      </c>
      <c r="B225" s="207"/>
      <c r="C225" s="60"/>
      <c r="D225" s="131" t="str">
        <f aca="false">IF(C225="","",IF(OR(C225="ทั้งเฟส",LEFT(C225,4)="ผรม.",LEFT(C225,3)="เขต"),C225,IFERROR(INDEX('Master Plan'!$B$8:$B$27,MATCH(C225,'Master Plan'!$A$8:$A$27,0)),"?")))</f>
        <v/>
      </c>
      <c r="E225" s="204" t="str">
        <f aca="false">IF(LEFT(C225,4)="ผรม.",TRIM(MID(C225,5,5)),IF(OR(C225="ทั้งเฟส",LEFT(C225,3)="เขต"),"",IF(C225="","",IF(OR(C225="ทั้งเฟส",LEFT(C225,4)="ผรม.",LEFT(C225,3)="เขต"),C225,IFERROR(INDEX('Master Plan'!$L$8:$L$27,MATCH(C225,'Master Plan'!$A$8:$A$27,0)),"?")))))</f>
        <v/>
      </c>
      <c r="F225" s="60"/>
      <c r="G225" s="207"/>
      <c r="H225" s="207"/>
      <c r="I225" s="215" t="str">
        <f aca="false">IF(AND(ISNUMBER(G225),ISNUMBER(H225)),H225-G225,"")</f>
        <v/>
      </c>
      <c r="J225" s="216"/>
      <c r="K225" s="60"/>
      <c r="L225" s="60"/>
      <c r="M225" s="113"/>
      <c r="N225" s="60"/>
      <c r="O225" s="60"/>
      <c r="P225" s="131" t="str">
        <f aca="false">IF(B225="","",IF(LEFT(F225,8)="Baseline","ผู้บริหาร + กปภ.",IF(ABS(N(J225))=0,"วิศวกร / ทีม",IF(ABS(N(J225))&lt;=CR_T1,"PM",IF(ABS(N(J225))&lt;=CR_T2,"Change Board","ผู้บริหาร + กปภ.")))))</f>
        <v/>
      </c>
      <c r="Q225" s="60"/>
      <c r="R225" s="60"/>
      <c r="S225" s="207"/>
    </row>
    <row r="226" customFormat="false" ht="15" hidden="false" customHeight="false" outlineLevel="0" collapsed="false">
      <c r="A226" s="138" t="str">
        <f aca="false">IF(B226="","","CR-"&amp;TEXT(ROW()-6,"000"))</f>
        <v/>
      </c>
      <c r="B226" s="207"/>
      <c r="C226" s="60"/>
      <c r="D226" s="131" t="str">
        <f aca="false">IF(C226="","",IF(OR(C226="ทั้งเฟส",LEFT(C226,4)="ผรม.",LEFT(C226,3)="เขต"),C226,IFERROR(INDEX('Master Plan'!$B$8:$B$27,MATCH(C226,'Master Plan'!$A$8:$A$27,0)),"?")))</f>
        <v/>
      </c>
      <c r="E226" s="204" t="str">
        <f aca="false">IF(LEFT(C226,4)="ผรม.",TRIM(MID(C226,5,5)),IF(OR(C226="ทั้งเฟส",LEFT(C226,3)="เขต"),"",IF(C226="","",IF(OR(C226="ทั้งเฟส",LEFT(C226,4)="ผรม.",LEFT(C226,3)="เขต"),C226,IFERROR(INDEX('Master Plan'!$L$8:$L$27,MATCH(C226,'Master Plan'!$A$8:$A$27,0)),"?")))))</f>
        <v/>
      </c>
      <c r="F226" s="60"/>
      <c r="G226" s="207"/>
      <c r="H226" s="207"/>
      <c r="I226" s="215" t="str">
        <f aca="false">IF(AND(ISNUMBER(G226),ISNUMBER(H226)),H226-G226,"")</f>
        <v/>
      </c>
      <c r="J226" s="216"/>
      <c r="K226" s="60"/>
      <c r="L226" s="60"/>
      <c r="M226" s="113"/>
      <c r="N226" s="60"/>
      <c r="O226" s="60"/>
      <c r="P226" s="131" t="str">
        <f aca="false">IF(B226="","",IF(LEFT(F226,8)="Baseline","ผู้บริหาร + กปภ.",IF(ABS(N(J226))=0,"วิศวกร / ทีม",IF(ABS(N(J226))&lt;=CR_T1,"PM",IF(ABS(N(J226))&lt;=CR_T2,"Change Board","ผู้บริหาร + กปภ.")))))</f>
        <v/>
      </c>
      <c r="Q226" s="60"/>
      <c r="R226" s="60"/>
      <c r="S226" s="207"/>
    </row>
    <row r="227" customFormat="false" ht="15" hidden="false" customHeight="false" outlineLevel="0" collapsed="false">
      <c r="A227" s="138" t="str">
        <f aca="false">IF(B227="","","CR-"&amp;TEXT(ROW()-6,"000"))</f>
        <v/>
      </c>
      <c r="B227" s="207"/>
      <c r="C227" s="60"/>
      <c r="D227" s="131" t="str">
        <f aca="false">IF(C227="","",IF(OR(C227="ทั้งเฟส",LEFT(C227,4)="ผรม.",LEFT(C227,3)="เขต"),C227,IFERROR(INDEX('Master Plan'!$B$8:$B$27,MATCH(C227,'Master Plan'!$A$8:$A$27,0)),"?")))</f>
        <v/>
      </c>
      <c r="E227" s="204" t="str">
        <f aca="false">IF(LEFT(C227,4)="ผรม.",TRIM(MID(C227,5,5)),IF(OR(C227="ทั้งเฟส",LEFT(C227,3)="เขต"),"",IF(C227="","",IF(OR(C227="ทั้งเฟส",LEFT(C227,4)="ผรม.",LEFT(C227,3)="เขต"),C227,IFERROR(INDEX('Master Plan'!$L$8:$L$27,MATCH(C227,'Master Plan'!$A$8:$A$27,0)),"?")))))</f>
        <v/>
      </c>
      <c r="F227" s="60"/>
      <c r="G227" s="207"/>
      <c r="H227" s="207"/>
      <c r="I227" s="215" t="str">
        <f aca="false">IF(AND(ISNUMBER(G227),ISNUMBER(H227)),H227-G227,"")</f>
        <v/>
      </c>
      <c r="J227" s="216"/>
      <c r="K227" s="60"/>
      <c r="L227" s="60"/>
      <c r="M227" s="113"/>
      <c r="N227" s="60"/>
      <c r="O227" s="60"/>
      <c r="P227" s="131" t="str">
        <f aca="false">IF(B227="","",IF(LEFT(F227,8)="Baseline","ผู้บริหาร + กปภ.",IF(ABS(N(J227))=0,"วิศวกร / ทีม",IF(ABS(N(J227))&lt;=CR_T1,"PM",IF(ABS(N(J227))&lt;=CR_T2,"Change Board","ผู้บริหาร + กปภ.")))))</f>
        <v/>
      </c>
      <c r="Q227" s="60"/>
      <c r="R227" s="60"/>
      <c r="S227" s="207"/>
    </row>
    <row r="228" customFormat="false" ht="15" hidden="false" customHeight="false" outlineLevel="0" collapsed="false">
      <c r="A228" s="138" t="str">
        <f aca="false">IF(B228="","","CR-"&amp;TEXT(ROW()-6,"000"))</f>
        <v/>
      </c>
      <c r="B228" s="207"/>
      <c r="C228" s="60"/>
      <c r="D228" s="131" t="str">
        <f aca="false">IF(C228="","",IF(OR(C228="ทั้งเฟส",LEFT(C228,4)="ผรม.",LEFT(C228,3)="เขต"),C228,IFERROR(INDEX('Master Plan'!$B$8:$B$27,MATCH(C228,'Master Plan'!$A$8:$A$27,0)),"?")))</f>
        <v/>
      </c>
      <c r="E228" s="204" t="str">
        <f aca="false">IF(LEFT(C228,4)="ผรม.",TRIM(MID(C228,5,5)),IF(OR(C228="ทั้งเฟส",LEFT(C228,3)="เขต"),"",IF(C228="","",IF(OR(C228="ทั้งเฟส",LEFT(C228,4)="ผรม.",LEFT(C228,3)="เขต"),C228,IFERROR(INDEX('Master Plan'!$L$8:$L$27,MATCH(C228,'Master Plan'!$A$8:$A$27,0)),"?")))))</f>
        <v/>
      </c>
      <c r="F228" s="60"/>
      <c r="G228" s="207"/>
      <c r="H228" s="207"/>
      <c r="I228" s="215" t="str">
        <f aca="false">IF(AND(ISNUMBER(G228),ISNUMBER(H228)),H228-G228,"")</f>
        <v/>
      </c>
      <c r="J228" s="216"/>
      <c r="K228" s="60"/>
      <c r="L228" s="60"/>
      <c r="M228" s="113"/>
      <c r="N228" s="60"/>
      <c r="O228" s="60"/>
      <c r="P228" s="131" t="str">
        <f aca="false">IF(B228="","",IF(LEFT(F228,8)="Baseline","ผู้บริหาร + กปภ.",IF(ABS(N(J228))=0,"วิศวกร / ทีม",IF(ABS(N(J228))&lt;=CR_T1,"PM",IF(ABS(N(J228))&lt;=CR_T2,"Change Board","ผู้บริหาร + กปภ.")))))</f>
        <v/>
      </c>
      <c r="Q228" s="60"/>
      <c r="R228" s="60"/>
      <c r="S228" s="207"/>
    </row>
    <row r="229" customFormat="false" ht="15" hidden="false" customHeight="false" outlineLevel="0" collapsed="false">
      <c r="A229" s="138" t="str">
        <f aca="false">IF(B229="","","CR-"&amp;TEXT(ROW()-6,"000"))</f>
        <v/>
      </c>
      <c r="B229" s="207"/>
      <c r="C229" s="60"/>
      <c r="D229" s="131" t="str">
        <f aca="false">IF(C229="","",IF(OR(C229="ทั้งเฟส",LEFT(C229,4)="ผรม.",LEFT(C229,3)="เขต"),C229,IFERROR(INDEX('Master Plan'!$B$8:$B$27,MATCH(C229,'Master Plan'!$A$8:$A$27,0)),"?")))</f>
        <v/>
      </c>
      <c r="E229" s="204" t="str">
        <f aca="false">IF(LEFT(C229,4)="ผรม.",TRIM(MID(C229,5,5)),IF(OR(C229="ทั้งเฟส",LEFT(C229,3)="เขต"),"",IF(C229="","",IF(OR(C229="ทั้งเฟส",LEFT(C229,4)="ผรม.",LEFT(C229,3)="เขต"),C229,IFERROR(INDEX('Master Plan'!$L$8:$L$27,MATCH(C229,'Master Plan'!$A$8:$A$27,0)),"?")))))</f>
        <v/>
      </c>
      <c r="F229" s="60"/>
      <c r="G229" s="207"/>
      <c r="H229" s="207"/>
      <c r="I229" s="215" t="str">
        <f aca="false">IF(AND(ISNUMBER(G229),ISNUMBER(H229)),H229-G229,"")</f>
        <v/>
      </c>
      <c r="J229" s="216"/>
      <c r="K229" s="60"/>
      <c r="L229" s="60"/>
      <c r="M229" s="113"/>
      <c r="N229" s="60"/>
      <c r="O229" s="60"/>
      <c r="P229" s="131" t="str">
        <f aca="false">IF(B229="","",IF(LEFT(F229,8)="Baseline","ผู้บริหาร + กปภ.",IF(ABS(N(J229))=0,"วิศวกร / ทีม",IF(ABS(N(J229))&lt;=CR_T1,"PM",IF(ABS(N(J229))&lt;=CR_T2,"Change Board","ผู้บริหาร + กปภ.")))))</f>
        <v/>
      </c>
      <c r="Q229" s="60"/>
      <c r="R229" s="60"/>
      <c r="S229" s="207"/>
    </row>
    <row r="230" customFormat="false" ht="15" hidden="false" customHeight="false" outlineLevel="0" collapsed="false">
      <c r="A230" s="138" t="str">
        <f aca="false">IF(B230="","","CR-"&amp;TEXT(ROW()-6,"000"))</f>
        <v/>
      </c>
      <c r="B230" s="207"/>
      <c r="C230" s="60"/>
      <c r="D230" s="131" t="str">
        <f aca="false">IF(C230="","",IF(OR(C230="ทั้งเฟส",LEFT(C230,4)="ผรม.",LEFT(C230,3)="เขต"),C230,IFERROR(INDEX('Master Plan'!$B$8:$B$27,MATCH(C230,'Master Plan'!$A$8:$A$27,0)),"?")))</f>
        <v/>
      </c>
      <c r="E230" s="204" t="str">
        <f aca="false">IF(LEFT(C230,4)="ผรม.",TRIM(MID(C230,5,5)),IF(OR(C230="ทั้งเฟส",LEFT(C230,3)="เขต"),"",IF(C230="","",IF(OR(C230="ทั้งเฟส",LEFT(C230,4)="ผรม.",LEFT(C230,3)="เขต"),C230,IFERROR(INDEX('Master Plan'!$L$8:$L$27,MATCH(C230,'Master Plan'!$A$8:$A$27,0)),"?")))))</f>
        <v/>
      </c>
      <c r="F230" s="60"/>
      <c r="G230" s="207"/>
      <c r="H230" s="207"/>
      <c r="I230" s="215" t="str">
        <f aca="false">IF(AND(ISNUMBER(G230),ISNUMBER(H230)),H230-G230,"")</f>
        <v/>
      </c>
      <c r="J230" s="216"/>
      <c r="K230" s="60"/>
      <c r="L230" s="60"/>
      <c r="M230" s="113"/>
      <c r="N230" s="60"/>
      <c r="O230" s="60"/>
      <c r="P230" s="131" t="str">
        <f aca="false">IF(B230="","",IF(LEFT(F230,8)="Baseline","ผู้บริหาร + กปภ.",IF(ABS(N(J230))=0,"วิศวกร / ทีม",IF(ABS(N(J230))&lt;=CR_T1,"PM",IF(ABS(N(J230))&lt;=CR_T2,"Change Board","ผู้บริหาร + กปภ.")))))</f>
        <v/>
      </c>
      <c r="Q230" s="60"/>
      <c r="R230" s="60"/>
      <c r="S230" s="207"/>
    </row>
    <row r="231" customFormat="false" ht="15" hidden="false" customHeight="false" outlineLevel="0" collapsed="false">
      <c r="A231" s="138" t="str">
        <f aca="false">IF(B231="","","CR-"&amp;TEXT(ROW()-6,"000"))</f>
        <v/>
      </c>
      <c r="B231" s="207"/>
      <c r="C231" s="60"/>
      <c r="D231" s="131" t="str">
        <f aca="false">IF(C231="","",IF(OR(C231="ทั้งเฟส",LEFT(C231,4)="ผรม.",LEFT(C231,3)="เขต"),C231,IFERROR(INDEX('Master Plan'!$B$8:$B$27,MATCH(C231,'Master Plan'!$A$8:$A$27,0)),"?")))</f>
        <v/>
      </c>
      <c r="E231" s="204" t="str">
        <f aca="false">IF(LEFT(C231,4)="ผรม.",TRIM(MID(C231,5,5)),IF(OR(C231="ทั้งเฟส",LEFT(C231,3)="เขต"),"",IF(C231="","",IF(OR(C231="ทั้งเฟส",LEFT(C231,4)="ผรม.",LEFT(C231,3)="เขต"),C231,IFERROR(INDEX('Master Plan'!$L$8:$L$27,MATCH(C231,'Master Plan'!$A$8:$A$27,0)),"?")))))</f>
        <v/>
      </c>
      <c r="F231" s="60"/>
      <c r="G231" s="207"/>
      <c r="H231" s="207"/>
      <c r="I231" s="215" t="str">
        <f aca="false">IF(AND(ISNUMBER(G231),ISNUMBER(H231)),H231-G231,"")</f>
        <v/>
      </c>
      <c r="J231" s="216"/>
      <c r="K231" s="60"/>
      <c r="L231" s="60"/>
      <c r="M231" s="113"/>
      <c r="N231" s="60"/>
      <c r="O231" s="60"/>
      <c r="P231" s="131" t="str">
        <f aca="false">IF(B231="","",IF(LEFT(F231,8)="Baseline","ผู้บริหาร + กปภ.",IF(ABS(N(J231))=0,"วิศวกร / ทีม",IF(ABS(N(J231))&lt;=CR_T1,"PM",IF(ABS(N(J231))&lt;=CR_T2,"Change Board","ผู้บริหาร + กปภ.")))))</f>
        <v/>
      </c>
      <c r="Q231" s="60"/>
      <c r="R231" s="60"/>
      <c r="S231" s="207"/>
    </row>
    <row r="232" customFormat="false" ht="15" hidden="false" customHeight="false" outlineLevel="0" collapsed="false">
      <c r="A232" s="138" t="str">
        <f aca="false">IF(B232="","","CR-"&amp;TEXT(ROW()-6,"000"))</f>
        <v/>
      </c>
      <c r="B232" s="207"/>
      <c r="C232" s="60"/>
      <c r="D232" s="131" t="str">
        <f aca="false">IF(C232="","",IF(OR(C232="ทั้งเฟส",LEFT(C232,4)="ผรม.",LEFT(C232,3)="เขต"),C232,IFERROR(INDEX('Master Plan'!$B$8:$B$27,MATCH(C232,'Master Plan'!$A$8:$A$27,0)),"?")))</f>
        <v/>
      </c>
      <c r="E232" s="204" t="str">
        <f aca="false">IF(LEFT(C232,4)="ผรม.",TRIM(MID(C232,5,5)),IF(OR(C232="ทั้งเฟส",LEFT(C232,3)="เขต"),"",IF(C232="","",IF(OR(C232="ทั้งเฟส",LEFT(C232,4)="ผรม.",LEFT(C232,3)="เขต"),C232,IFERROR(INDEX('Master Plan'!$L$8:$L$27,MATCH(C232,'Master Plan'!$A$8:$A$27,0)),"?")))))</f>
        <v/>
      </c>
      <c r="F232" s="60"/>
      <c r="G232" s="207"/>
      <c r="H232" s="207"/>
      <c r="I232" s="215" t="str">
        <f aca="false">IF(AND(ISNUMBER(G232),ISNUMBER(H232)),H232-G232,"")</f>
        <v/>
      </c>
      <c r="J232" s="216"/>
      <c r="K232" s="60"/>
      <c r="L232" s="60"/>
      <c r="M232" s="113"/>
      <c r="N232" s="60"/>
      <c r="O232" s="60"/>
      <c r="P232" s="131" t="str">
        <f aca="false">IF(B232="","",IF(LEFT(F232,8)="Baseline","ผู้บริหาร + กปภ.",IF(ABS(N(J232))=0,"วิศวกร / ทีม",IF(ABS(N(J232))&lt;=CR_T1,"PM",IF(ABS(N(J232))&lt;=CR_T2,"Change Board","ผู้บริหาร + กปภ.")))))</f>
        <v/>
      </c>
      <c r="Q232" s="60"/>
      <c r="R232" s="60"/>
      <c r="S232" s="207"/>
    </row>
    <row r="233" customFormat="false" ht="15" hidden="false" customHeight="false" outlineLevel="0" collapsed="false">
      <c r="A233" s="138" t="str">
        <f aca="false">IF(B233="","","CR-"&amp;TEXT(ROW()-6,"000"))</f>
        <v/>
      </c>
      <c r="B233" s="207"/>
      <c r="C233" s="60"/>
      <c r="D233" s="131" t="str">
        <f aca="false">IF(C233="","",IF(OR(C233="ทั้งเฟส",LEFT(C233,4)="ผรม.",LEFT(C233,3)="เขต"),C233,IFERROR(INDEX('Master Plan'!$B$8:$B$27,MATCH(C233,'Master Plan'!$A$8:$A$27,0)),"?")))</f>
        <v/>
      </c>
      <c r="E233" s="204" t="str">
        <f aca="false">IF(LEFT(C233,4)="ผรม.",TRIM(MID(C233,5,5)),IF(OR(C233="ทั้งเฟส",LEFT(C233,3)="เขต"),"",IF(C233="","",IF(OR(C233="ทั้งเฟส",LEFT(C233,4)="ผรม.",LEFT(C233,3)="เขต"),C233,IFERROR(INDEX('Master Plan'!$L$8:$L$27,MATCH(C233,'Master Plan'!$A$8:$A$27,0)),"?")))))</f>
        <v/>
      </c>
      <c r="F233" s="60"/>
      <c r="G233" s="207"/>
      <c r="H233" s="207"/>
      <c r="I233" s="215" t="str">
        <f aca="false">IF(AND(ISNUMBER(G233),ISNUMBER(H233)),H233-G233,"")</f>
        <v/>
      </c>
      <c r="J233" s="216"/>
      <c r="K233" s="60"/>
      <c r="L233" s="60"/>
      <c r="M233" s="113"/>
      <c r="N233" s="60"/>
      <c r="O233" s="60"/>
      <c r="P233" s="131" t="str">
        <f aca="false">IF(B233="","",IF(LEFT(F233,8)="Baseline","ผู้บริหาร + กปภ.",IF(ABS(N(J233))=0,"วิศวกร / ทีม",IF(ABS(N(J233))&lt;=CR_T1,"PM",IF(ABS(N(J233))&lt;=CR_T2,"Change Board","ผู้บริหาร + กปภ.")))))</f>
        <v/>
      </c>
      <c r="Q233" s="60"/>
      <c r="R233" s="60"/>
      <c r="S233" s="207"/>
    </row>
    <row r="234" customFormat="false" ht="15" hidden="false" customHeight="false" outlineLevel="0" collapsed="false">
      <c r="A234" s="138" t="str">
        <f aca="false">IF(B234="","","CR-"&amp;TEXT(ROW()-6,"000"))</f>
        <v/>
      </c>
      <c r="B234" s="207"/>
      <c r="C234" s="60"/>
      <c r="D234" s="131" t="str">
        <f aca="false">IF(C234="","",IF(OR(C234="ทั้งเฟส",LEFT(C234,4)="ผรม.",LEFT(C234,3)="เขต"),C234,IFERROR(INDEX('Master Plan'!$B$8:$B$27,MATCH(C234,'Master Plan'!$A$8:$A$27,0)),"?")))</f>
        <v/>
      </c>
      <c r="E234" s="204" t="str">
        <f aca="false">IF(LEFT(C234,4)="ผรม.",TRIM(MID(C234,5,5)),IF(OR(C234="ทั้งเฟส",LEFT(C234,3)="เขต"),"",IF(C234="","",IF(OR(C234="ทั้งเฟส",LEFT(C234,4)="ผรม.",LEFT(C234,3)="เขต"),C234,IFERROR(INDEX('Master Plan'!$L$8:$L$27,MATCH(C234,'Master Plan'!$A$8:$A$27,0)),"?")))))</f>
        <v/>
      </c>
      <c r="F234" s="60"/>
      <c r="G234" s="207"/>
      <c r="H234" s="207"/>
      <c r="I234" s="215" t="str">
        <f aca="false">IF(AND(ISNUMBER(G234),ISNUMBER(H234)),H234-G234,"")</f>
        <v/>
      </c>
      <c r="J234" s="216"/>
      <c r="K234" s="60"/>
      <c r="L234" s="60"/>
      <c r="M234" s="113"/>
      <c r="N234" s="60"/>
      <c r="O234" s="60"/>
      <c r="P234" s="131" t="str">
        <f aca="false">IF(B234="","",IF(LEFT(F234,8)="Baseline","ผู้บริหาร + กปภ.",IF(ABS(N(J234))=0,"วิศวกร / ทีม",IF(ABS(N(J234))&lt;=CR_T1,"PM",IF(ABS(N(J234))&lt;=CR_T2,"Change Board","ผู้บริหาร + กปภ.")))))</f>
        <v/>
      </c>
      <c r="Q234" s="60"/>
      <c r="R234" s="60"/>
      <c r="S234" s="207"/>
    </row>
    <row r="235" customFormat="false" ht="15" hidden="false" customHeight="false" outlineLevel="0" collapsed="false">
      <c r="A235" s="138" t="str">
        <f aca="false">IF(B235="","","CR-"&amp;TEXT(ROW()-6,"000"))</f>
        <v/>
      </c>
      <c r="B235" s="207"/>
      <c r="C235" s="60"/>
      <c r="D235" s="131" t="str">
        <f aca="false">IF(C235="","",IF(OR(C235="ทั้งเฟส",LEFT(C235,4)="ผรม.",LEFT(C235,3)="เขต"),C235,IFERROR(INDEX('Master Plan'!$B$8:$B$27,MATCH(C235,'Master Plan'!$A$8:$A$27,0)),"?")))</f>
        <v/>
      </c>
      <c r="E235" s="204" t="str">
        <f aca="false">IF(LEFT(C235,4)="ผรม.",TRIM(MID(C235,5,5)),IF(OR(C235="ทั้งเฟส",LEFT(C235,3)="เขต"),"",IF(C235="","",IF(OR(C235="ทั้งเฟส",LEFT(C235,4)="ผรม.",LEFT(C235,3)="เขต"),C235,IFERROR(INDEX('Master Plan'!$L$8:$L$27,MATCH(C235,'Master Plan'!$A$8:$A$27,0)),"?")))))</f>
        <v/>
      </c>
      <c r="F235" s="60"/>
      <c r="G235" s="207"/>
      <c r="H235" s="207"/>
      <c r="I235" s="215" t="str">
        <f aca="false">IF(AND(ISNUMBER(G235),ISNUMBER(H235)),H235-G235,"")</f>
        <v/>
      </c>
      <c r="J235" s="216"/>
      <c r="K235" s="60"/>
      <c r="L235" s="60"/>
      <c r="M235" s="113"/>
      <c r="N235" s="60"/>
      <c r="O235" s="60"/>
      <c r="P235" s="131" t="str">
        <f aca="false">IF(B235="","",IF(LEFT(F235,8)="Baseline","ผู้บริหาร + กปภ.",IF(ABS(N(J235))=0,"วิศวกร / ทีม",IF(ABS(N(J235))&lt;=CR_T1,"PM",IF(ABS(N(J235))&lt;=CR_T2,"Change Board","ผู้บริหาร + กปภ.")))))</f>
        <v/>
      </c>
      <c r="Q235" s="60"/>
      <c r="R235" s="60"/>
      <c r="S235" s="207"/>
    </row>
    <row r="236" customFormat="false" ht="15" hidden="false" customHeight="false" outlineLevel="0" collapsed="false">
      <c r="A236" s="138" t="str">
        <f aca="false">IF(B236="","","CR-"&amp;TEXT(ROW()-6,"000"))</f>
        <v/>
      </c>
      <c r="B236" s="207"/>
      <c r="C236" s="60"/>
      <c r="D236" s="131" t="str">
        <f aca="false">IF(C236="","",IF(OR(C236="ทั้งเฟส",LEFT(C236,4)="ผรม.",LEFT(C236,3)="เขต"),C236,IFERROR(INDEX('Master Plan'!$B$8:$B$27,MATCH(C236,'Master Plan'!$A$8:$A$27,0)),"?")))</f>
        <v/>
      </c>
      <c r="E236" s="204" t="str">
        <f aca="false">IF(LEFT(C236,4)="ผรม.",TRIM(MID(C236,5,5)),IF(OR(C236="ทั้งเฟส",LEFT(C236,3)="เขต"),"",IF(C236="","",IF(OR(C236="ทั้งเฟส",LEFT(C236,4)="ผรม.",LEFT(C236,3)="เขต"),C236,IFERROR(INDEX('Master Plan'!$L$8:$L$27,MATCH(C236,'Master Plan'!$A$8:$A$27,0)),"?")))))</f>
        <v/>
      </c>
      <c r="F236" s="60"/>
      <c r="G236" s="207"/>
      <c r="H236" s="207"/>
      <c r="I236" s="215" t="str">
        <f aca="false">IF(AND(ISNUMBER(G236),ISNUMBER(H236)),H236-G236,"")</f>
        <v/>
      </c>
      <c r="J236" s="216"/>
      <c r="K236" s="60"/>
      <c r="L236" s="60"/>
      <c r="M236" s="113"/>
      <c r="N236" s="60"/>
      <c r="O236" s="60"/>
      <c r="P236" s="131" t="str">
        <f aca="false">IF(B236="","",IF(LEFT(F236,8)="Baseline","ผู้บริหาร + กปภ.",IF(ABS(N(J236))=0,"วิศวกร / ทีม",IF(ABS(N(J236))&lt;=CR_T1,"PM",IF(ABS(N(J236))&lt;=CR_T2,"Change Board","ผู้บริหาร + กปภ.")))))</f>
        <v/>
      </c>
      <c r="Q236" s="60"/>
      <c r="R236" s="60"/>
      <c r="S236" s="207"/>
    </row>
    <row r="237" customFormat="false" ht="15" hidden="false" customHeight="false" outlineLevel="0" collapsed="false">
      <c r="A237" s="138" t="str">
        <f aca="false">IF(B237="","","CR-"&amp;TEXT(ROW()-6,"000"))</f>
        <v/>
      </c>
      <c r="B237" s="207"/>
      <c r="C237" s="60"/>
      <c r="D237" s="131" t="str">
        <f aca="false">IF(C237="","",IF(OR(C237="ทั้งเฟส",LEFT(C237,4)="ผรม.",LEFT(C237,3)="เขต"),C237,IFERROR(INDEX('Master Plan'!$B$8:$B$27,MATCH(C237,'Master Plan'!$A$8:$A$27,0)),"?")))</f>
        <v/>
      </c>
      <c r="E237" s="204" t="str">
        <f aca="false">IF(LEFT(C237,4)="ผรม.",TRIM(MID(C237,5,5)),IF(OR(C237="ทั้งเฟส",LEFT(C237,3)="เขต"),"",IF(C237="","",IF(OR(C237="ทั้งเฟส",LEFT(C237,4)="ผรม.",LEFT(C237,3)="เขต"),C237,IFERROR(INDEX('Master Plan'!$L$8:$L$27,MATCH(C237,'Master Plan'!$A$8:$A$27,0)),"?")))))</f>
        <v/>
      </c>
      <c r="F237" s="60"/>
      <c r="G237" s="207"/>
      <c r="H237" s="207"/>
      <c r="I237" s="215" t="str">
        <f aca="false">IF(AND(ISNUMBER(G237),ISNUMBER(H237)),H237-G237,"")</f>
        <v/>
      </c>
      <c r="J237" s="216"/>
      <c r="K237" s="60"/>
      <c r="L237" s="60"/>
      <c r="M237" s="113"/>
      <c r="N237" s="60"/>
      <c r="O237" s="60"/>
      <c r="P237" s="131" t="str">
        <f aca="false">IF(B237="","",IF(LEFT(F237,8)="Baseline","ผู้บริหาร + กปภ.",IF(ABS(N(J237))=0,"วิศวกร / ทีม",IF(ABS(N(J237))&lt;=CR_T1,"PM",IF(ABS(N(J237))&lt;=CR_T2,"Change Board","ผู้บริหาร + กปภ.")))))</f>
        <v/>
      </c>
      <c r="Q237" s="60"/>
      <c r="R237" s="60"/>
      <c r="S237" s="207"/>
    </row>
    <row r="238" customFormat="false" ht="15" hidden="false" customHeight="false" outlineLevel="0" collapsed="false">
      <c r="A238" s="138" t="str">
        <f aca="false">IF(B238="","","CR-"&amp;TEXT(ROW()-6,"000"))</f>
        <v/>
      </c>
      <c r="B238" s="207"/>
      <c r="C238" s="60"/>
      <c r="D238" s="131" t="str">
        <f aca="false">IF(C238="","",IF(OR(C238="ทั้งเฟส",LEFT(C238,4)="ผรม.",LEFT(C238,3)="เขต"),C238,IFERROR(INDEX('Master Plan'!$B$8:$B$27,MATCH(C238,'Master Plan'!$A$8:$A$27,0)),"?")))</f>
        <v/>
      </c>
      <c r="E238" s="204" t="str">
        <f aca="false">IF(LEFT(C238,4)="ผรม.",TRIM(MID(C238,5,5)),IF(OR(C238="ทั้งเฟส",LEFT(C238,3)="เขต"),"",IF(C238="","",IF(OR(C238="ทั้งเฟส",LEFT(C238,4)="ผรม.",LEFT(C238,3)="เขต"),C238,IFERROR(INDEX('Master Plan'!$L$8:$L$27,MATCH(C238,'Master Plan'!$A$8:$A$27,0)),"?")))))</f>
        <v/>
      </c>
      <c r="F238" s="60"/>
      <c r="G238" s="207"/>
      <c r="H238" s="207"/>
      <c r="I238" s="215" t="str">
        <f aca="false">IF(AND(ISNUMBER(G238),ISNUMBER(H238)),H238-G238,"")</f>
        <v/>
      </c>
      <c r="J238" s="216"/>
      <c r="K238" s="60"/>
      <c r="L238" s="60"/>
      <c r="M238" s="113"/>
      <c r="N238" s="60"/>
      <c r="O238" s="60"/>
      <c r="P238" s="131" t="str">
        <f aca="false">IF(B238="","",IF(LEFT(F238,8)="Baseline","ผู้บริหาร + กปภ.",IF(ABS(N(J238))=0,"วิศวกร / ทีม",IF(ABS(N(J238))&lt;=CR_T1,"PM",IF(ABS(N(J238))&lt;=CR_T2,"Change Board","ผู้บริหาร + กปภ.")))))</f>
        <v/>
      </c>
      <c r="Q238" s="60"/>
      <c r="R238" s="60"/>
      <c r="S238" s="207"/>
    </row>
    <row r="239" customFormat="false" ht="15" hidden="false" customHeight="false" outlineLevel="0" collapsed="false">
      <c r="A239" s="138" t="str">
        <f aca="false">IF(B239="","","CR-"&amp;TEXT(ROW()-6,"000"))</f>
        <v/>
      </c>
      <c r="B239" s="207"/>
      <c r="C239" s="60"/>
      <c r="D239" s="131" t="str">
        <f aca="false">IF(C239="","",IF(OR(C239="ทั้งเฟส",LEFT(C239,4)="ผรม.",LEFT(C239,3)="เขต"),C239,IFERROR(INDEX('Master Plan'!$B$8:$B$27,MATCH(C239,'Master Plan'!$A$8:$A$27,0)),"?")))</f>
        <v/>
      </c>
      <c r="E239" s="204" t="str">
        <f aca="false">IF(LEFT(C239,4)="ผรม.",TRIM(MID(C239,5,5)),IF(OR(C239="ทั้งเฟส",LEFT(C239,3)="เขต"),"",IF(C239="","",IF(OR(C239="ทั้งเฟส",LEFT(C239,4)="ผรม.",LEFT(C239,3)="เขต"),C239,IFERROR(INDEX('Master Plan'!$L$8:$L$27,MATCH(C239,'Master Plan'!$A$8:$A$27,0)),"?")))))</f>
        <v/>
      </c>
      <c r="F239" s="60"/>
      <c r="G239" s="207"/>
      <c r="H239" s="207"/>
      <c r="I239" s="215" t="str">
        <f aca="false">IF(AND(ISNUMBER(G239),ISNUMBER(H239)),H239-G239,"")</f>
        <v/>
      </c>
      <c r="J239" s="216"/>
      <c r="K239" s="60"/>
      <c r="L239" s="60"/>
      <c r="M239" s="113"/>
      <c r="N239" s="60"/>
      <c r="O239" s="60"/>
      <c r="P239" s="131" t="str">
        <f aca="false">IF(B239="","",IF(LEFT(F239,8)="Baseline","ผู้บริหาร + กปภ.",IF(ABS(N(J239))=0,"วิศวกร / ทีม",IF(ABS(N(J239))&lt;=CR_T1,"PM",IF(ABS(N(J239))&lt;=CR_T2,"Change Board","ผู้บริหาร + กปภ.")))))</f>
        <v/>
      </c>
      <c r="Q239" s="60"/>
      <c r="R239" s="60"/>
      <c r="S239" s="207"/>
    </row>
    <row r="240" customFormat="false" ht="15" hidden="false" customHeight="false" outlineLevel="0" collapsed="false">
      <c r="A240" s="138" t="str">
        <f aca="false">IF(B240="","","CR-"&amp;TEXT(ROW()-6,"000"))</f>
        <v/>
      </c>
      <c r="B240" s="207"/>
      <c r="C240" s="60"/>
      <c r="D240" s="131" t="str">
        <f aca="false">IF(C240="","",IF(OR(C240="ทั้งเฟส",LEFT(C240,4)="ผรม.",LEFT(C240,3)="เขต"),C240,IFERROR(INDEX('Master Plan'!$B$8:$B$27,MATCH(C240,'Master Plan'!$A$8:$A$27,0)),"?")))</f>
        <v/>
      </c>
      <c r="E240" s="204" t="str">
        <f aca="false">IF(LEFT(C240,4)="ผรม.",TRIM(MID(C240,5,5)),IF(OR(C240="ทั้งเฟส",LEFT(C240,3)="เขต"),"",IF(C240="","",IF(OR(C240="ทั้งเฟส",LEFT(C240,4)="ผรม.",LEFT(C240,3)="เขต"),C240,IFERROR(INDEX('Master Plan'!$L$8:$L$27,MATCH(C240,'Master Plan'!$A$8:$A$27,0)),"?")))))</f>
        <v/>
      </c>
      <c r="F240" s="60"/>
      <c r="G240" s="207"/>
      <c r="H240" s="207"/>
      <c r="I240" s="215" t="str">
        <f aca="false">IF(AND(ISNUMBER(G240),ISNUMBER(H240)),H240-G240,"")</f>
        <v/>
      </c>
      <c r="J240" s="216"/>
      <c r="K240" s="60"/>
      <c r="L240" s="60"/>
      <c r="M240" s="113"/>
      <c r="N240" s="60"/>
      <c r="O240" s="60"/>
      <c r="P240" s="131" t="str">
        <f aca="false">IF(B240="","",IF(LEFT(F240,8)="Baseline","ผู้บริหาร + กปภ.",IF(ABS(N(J240))=0,"วิศวกร / ทีม",IF(ABS(N(J240))&lt;=CR_T1,"PM",IF(ABS(N(J240))&lt;=CR_T2,"Change Board","ผู้บริหาร + กปภ.")))))</f>
        <v/>
      </c>
      <c r="Q240" s="60"/>
      <c r="R240" s="60"/>
      <c r="S240" s="207"/>
    </row>
    <row r="241" customFormat="false" ht="15" hidden="false" customHeight="false" outlineLevel="0" collapsed="false">
      <c r="A241" s="138" t="str">
        <f aca="false">IF(B241="","","CR-"&amp;TEXT(ROW()-6,"000"))</f>
        <v/>
      </c>
      <c r="B241" s="207"/>
      <c r="C241" s="60"/>
      <c r="D241" s="131" t="str">
        <f aca="false">IF(C241="","",IF(OR(C241="ทั้งเฟส",LEFT(C241,4)="ผรม.",LEFT(C241,3)="เขต"),C241,IFERROR(INDEX('Master Plan'!$B$8:$B$27,MATCH(C241,'Master Plan'!$A$8:$A$27,0)),"?")))</f>
        <v/>
      </c>
      <c r="E241" s="204" t="str">
        <f aca="false">IF(LEFT(C241,4)="ผรม.",TRIM(MID(C241,5,5)),IF(OR(C241="ทั้งเฟส",LEFT(C241,3)="เขต"),"",IF(C241="","",IF(OR(C241="ทั้งเฟส",LEFT(C241,4)="ผรม.",LEFT(C241,3)="เขต"),C241,IFERROR(INDEX('Master Plan'!$L$8:$L$27,MATCH(C241,'Master Plan'!$A$8:$A$27,0)),"?")))))</f>
        <v/>
      </c>
      <c r="F241" s="60"/>
      <c r="G241" s="207"/>
      <c r="H241" s="207"/>
      <c r="I241" s="215" t="str">
        <f aca="false">IF(AND(ISNUMBER(G241),ISNUMBER(H241)),H241-G241,"")</f>
        <v/>
      </c>
      <c r="J241" s="216"/>
      <c r="K241" s="60"/>
      <c r="L241" s="60"/>
      <c r="M241" s="113"/>
      <c r="N241" s="60"/>
      <c r="O241" s="60"/>
      <c r="P241" s="131" t="str">
        <f aca="false">IF(B241="","",IF(LEFT(F241,8)="Baseline","ผู้บริหาร + กปภ.",IF(ABS(N(J241))=0,"วิศวกร / ทีม",IF(ABS(N(J241))&lt;=CR_T1,"PM",IF(ABS(N(J241))&lt;=CR_T2,"Change Board","ผู้บริหาร + กปภ.")))))</f>
        <v/>
      </c>
      <c r="Q241" s="60"/>
      <c r="R241" s="60"/>
      <c r="S241" s="207"/>
    </row>
    <row r="242" customFormat="false" ht="15" hidden="false" customHeight="false" outlineLevel="0" collapsed="false">
      <c r="A242" s="138" t="str">
        <f aca="false">IF(B242="","","CR-"&amp;TEXT(ROW()-6,"000"))</f>
        <v/>
      </c>
      <c r="B242" s="207"/>
      <c r="C242" s="60"/>
      <c r="D242" s="131" t="str">
        <f aca="false">IF(C242="","",IF(OR(C242="ทั้งเฟส",LEFT(C242,4)="ผรม.",LEFT(C242,3)="เขต"),C242,IFERROR(INDEX('Master Plan'!$B$8:$B$27,MATCH(C242,'Master Plan'!$A$8:$A$27,0)),"?")))</f>
        <v/>
      </c>
      <c r="E242" s="204" t="str">
        <f aca="false">IF(LEFT(C242,4)="ผรม.",TRIM(MID(C242,5,5)),IF(OR(C242="ทั้งเฟส",LEFT(C242,3)="เขต"),"",IF(C242="","",IF(OR(C242="ทั้งเฟส",LEFT(C242,4)="ผรม.",LEFT(C242,3)="เขต"),C242,IFERROR(INDEX('Master Plan'!$L$8:$L$27,MATCH(C242,'Master Plan'!$A$8:$A$27,0)),"?")))))</f>
        <v/>
      </c>
      <c r="F242" s="60"/>
      <c r="G242" s="207"/>
      <c r="H242" s="207"/>
      <c r="I242" s="215" t="str">
        <f aca="false">IF(AND(ISNUMBER(G242),ISNUMBER(H242)),H242-G242,"")</f>
        <v/>
      </c>
      <c r="J242" s="216"/>
      <c r="K242" s="60"/>
      <c r="L242" s="60"/>
      <c r="M242" s="113"/>
      <c r="N242" s="60"/>
      <c r="O242" s="60"/>
      <c r="P242" s="131" t="str">
        <f aca="false">IF(B242="","",IF(LEFT(F242,8)="Baseline","ผู้บริหาร + กปภ.",IF(ABS(N(J242))=0,"วิศวกร / ทีม",IF(ABS(N(J242))&lt;=CR_T1,"PM",IF(ABS(N(J242))&lt;=CR_T2,"Change Board","ผู้บริหาร + กปภ.")))))</f>
        <v/>
      </c>
      <c r="Q242" s="60"/>
      <c r="R242" s="60"/>
      <c r="S242" s="207"/>
    </row>
    <row r="243" customFormat="false" ht="15" hidden="false" customHeight="false" outlineLevel="0" collapsed="false">
      <c r="A243" s="138" t="str">
        <f aca="false">IF(B243="","","CR-"&amp;TEXT(ROW()-6,"000"))</f>
        <v/>
      </c>
      <c r="B243" s="207"/>
      <c r="C243" s="60"/>
      <c r="D243" s="131" t="str">
        <f aca="false">IF(C243="","",IF(OR(C243="ทั้งเฟส",LEFT(C243,4)="ผรม.",LEFT(C243,3)="เขต"),C243,IFERROR(INDEX('Master Plan'!$B$8:$B$27,MATCH(C243,'Master Plan'!$A$8:$A$27,0)),"?")))</f>
        <v/>
      </c>
      <c r="E243" s="204" t="str">
        <f aca="false">IF(LEFT(C243,4)="ผรม.",TRIM(MID(C243,5,5)),IF(OR(C243="ทั้งเฟส",LEFT(C243,3)="เขต"),"",IF(C243="","",IF(OR(C243="ทั้งเฟส",LEFT(C243,4)="ผรม.",LEFT(C243,3)="เขต"),C243,IFERROR(INDEX('Master Plan'!$L$8:$L$27,MATCH(C243,'Master Plan'!$A$8:$A$27,0)),"?")))))</f>
        <v/>
      </c>
      <c r="F243" s="60"/>
      <c r="G243" s="207"/>
      <c r="H243" s="207"/>
      <c r="I243" s="215" t="str">
        <f aca="false">IF(AND(ISNUMBER(G243),ISNUMBER(H243)),H243-G243,"")</f>
        <v/>
      </c>
      <c r="J243" s="216"/>
      <c r="K243" s="60"/>
      <c r="L243" s="60"/>
      <c r="M243" s="113"/>
      <c r="N243" s="60"/>
      <c r="O243" s="60"/>
      <c r="P243" s="131" t="str">
        <f aca="false">IF(B243="","",IF(LEFT(F243,8)="Baseline","ผู้บริหาร + กปภ.",IF(ABS(N(J243))=0,"วิศวกร / ทีม",IF(ABS(N(J243))&lt;=CR_T1,"PM",IF(ABS(N(J243))&lt;=CR_T2,"Change Board","ผู้บริหาร + กปภ.")))))</f>
        <v/>
      </c>
      <c r="Q243" s="60"/>
      <c r="R243" s="60"/>
      <c r="S243" s="207"/>
    </row>
    <row r="244" customFormat="false" ht="15" hidden="false" customHeight="false" outlineLevel="0" collapsed="false">
      <c r="A244" s="138" t="str">
        <f aca="false">IF(B244="","","CR-"&amp;TEXT(ROW()-6,"000"))</f>
        <v/>
      </c>
      <c r="B244" s="207"/>
      <c r="C244" s="60"/>
      <c r="D244" s="131" t="str">
        <f aca="false">IF(C244="","",IF(OR(C244="ทั้งเฟส",LEFT(C244,4)="ผรม.",LEFT(C244,3)="เขต"),C244,IFERROR(INDEX('Master Plan'!$B$8:$B$27,MATCH(C244,'Master Plan'!$A$8:$A$27,0)),"?")))</f>
        <v/>
      </c>
      <c r="E244" s="204" t="str">
        <f aca="false">IF(LEFT(C244,4)="ผรม.",TRIM(MID(C244,5,5)),IF(OR(C244="ทั้งเฟส",LEFT(C244,3)="เขต"),"",IF(C244="","",IF(OR(C244="ทั้งเฟส",LEFT(C244,4)="ผรม.",LEFT(C244,3)="เขต"),C244,IFERROR(INDEX('Master Plan'!$L$8:$L$27,MATCH(C244,'Master Plan'!$A$8:$A$27,0)),"?")))))</f>
        <v/>
      </c>
      <c r="F244" s="60"/>
      <c r="G244" s="207"/>
      <c r="H244" s="207"/>
      <c r="I244" s="215" t="str">
        <f aca="false">IF(AND(ISNUMBER(G244),ISNUMBER(H244)),H244-G244,"")</f>
        <v/>
      </c>
      <c r="J244" s="216"/>
      <c r="K244" s="60"/>
      <c r="L244" s="60"/>
      <c r="M244" s="113"/>
      <c r="N244" s="60"/>
      <c r="O244" s="60"/>
      <c r="P244" s="131" t="str">
        <f aca="false">IF(B244="","",IF(LEFT(F244,8)="Baseline","ผู้บริหาร + กปภ.",IF(ABS(N(J244))=0,"วิศวกร / ทีม",IF(ABS(N(J244))&lt;=CR_T1,"PM",IF(ABS(N(J244))&lt;=CR_T2,"Change Board","ผู้บริหาร + กปภ.")))))</f>
        <v/>
      </c>
      <c r="Q244" s="60"/>
      <c r="R244" s="60"/>
      <c r="S244" s="207"/>
    </row>
    <row r="245" customFormat="false" ht="15" hidden="false" customHeight="false" outlineLevel="0" collapsed="false">
      <c r="A245" s="138" t="str">
        <f aca="false">IF(B245="","","CR-"&amp;TEXT(ROW()-6,"000"))</f>
        <v/>
      </c>
      <c r="B245" s="207"/>
      <c r="C245" s="60"/>
      <c r="D245" s="131" t="str">
        <f aca="false">IF(C245="","",IF(OR(C245="ทั้งเฟส",LEFT(C245,4)="ผรม.",LEFT(C245,3)="เขต"),C245,IFERROR(INDEX('Master Plan'!$B$8:$B$27,MATCH(C245,'Master Plan'!$A$8:$A$27,0)),"?")))</f>
        <v/>
      </c>
      <c r="E245" s="204" t="str">
        <f aca="false">IF(LEFT(C245,4)="ผรม.",TRIM(MID(C245,5,5)),IF(OR(C245="ทั้งเฟส",LEFT(C245,3)="เขต"),"",IF(C245="","",IF(OR(C245="ทั้งเฟส",LEFT(C245,4)="ผรม.",LEFT(C245,3)="เขต"),C245,IFERROR(INDEX('Master Plan'!$L$8:$L$27,MATCH(C245,'Master Plan'!$A$8:$A$27,0)),"?")))))</f>
        <v/>
      </c>
      <c r="F245" s="60"/>
      <c r="G245" s="207"/>
      <c r="H245" s="207"/>
      <c r="I245" s="215" t="str">
        <f aca="false">IF(AND(ISNUMBER(G245),ISNUMBER(H245)),H245-G245,"")</f>
        <v/>
      </c>
      <c r="J245" s="216"/>
      <c r="K245" s="60"/>
      <c r="L245" s="60"/>
      <c r="M245" s="113"/>
      <c r="N245" s="60"/>
      <c r="O245" s="60"/>
      <c r="P245" s="131" t="str">
        <f aca="false">IF(B245="","",IF(LEFT(F245,8)="Baseline","ผู้บริหาร + กปภ.",IF(ABS(N(J245))=0,"วิศวกร / ทีม",IF(ABS(N(J245))&lt;=CR_T1,"PM",IF(ABS(N(J245))&lt;=CR_T2,"Change Board","ผู้บริหาร + กปภ.")))))</f>
        <v/>
      </c>
      <c r="Q245" s="60"/>
      <c r="R245" s="60"/>
      <c r="S245" s="207"/>
    </row>
    <row r="246" customFormat="false" ht="15" hidden="false" customHeight="false" outlineLevel="0" collapsed="false">
      <c r="A246" s="138" t="str">
        <f aca="false">IF(B246="","","CR-"&amp;TEXT(ROW()-6,"000"))</f>
        <v/>
      </c>
      <c r="B246" s="207"/>
      <c r="C246" s="60"/>
      <c r="D246" s="131" t="str">
        <f aca="false">IF(C246="","",IF(OR(C246="ทั้งเฟส",LEFT(C246,4)="ผรม.",LEFT(C246,3)="เขต"),C246,IFERROR(INDEX('Master Plan'!$B$8:$B$27,MATCH(C246,'Master Plan'!$A$8:$A$27,0)),"?")))</f>
        <v/>
      </c>
      <c r="E246" s="204" t="str">
        <f aca="false">IF(LEFT(C246,4)="ผรม.",TRIM(MID(C246,5,5)),IF(OR(C246="ทั้งเฟส",LEFT(C246,3)="เขต"),"",IF(C246="","",IF(OR(C246="ทั้งเฟส",LEFT(C246,4)="ผรม.",LEFT(C246,3)="เขต"),C246,IFERROR(INDEX('Master Plan'!$L$8:$L$27,MATCH(C246,'Master Plan'!$A$8:$A$27,0)),"?")))))</f>
        <v/>
      </c>
      <c r="F246" s="60"/>
      <c r="G246" s="207"/>
      <c r="H246" s="207"/>
      <c r="I246" s="215" t="str">
        <f aca="false">IF(AND(ISNUMBER(G246),ISNUMBER(H246)),H246-G246,"")</f>
        <v/>
      </c>
      <c r="J246" s="216"/>
      <c r="K246" s="60"/>
      <c r="L246" s="60"/>
      <c r="M246" s="113"/>
      <c r="N246" s="60"/>
      <c r="O246" s="60"/>
      <c r="P246" s="131" t="str">
        <f aca="false">IF(B246="","",IF(LEFT(F246,8)="Baseline","ผู้บริหาร + กปภ.",IF(ABS(N(J246))=0,"วิศวกร / ทีม",IF(ABS(N(J246))&lt;=CR_T1,"PM",IF(ABS(N(J246))&lt;=CR_T2,"Change Board","ผู้บริหาร + กปภ.")))))</f>
        <v/>
      </c>
      <c r="Q246" s="60"/>
      <c r="R246" s="60"/>
      <c r="S246" s="207"/>
    </row>
    <row r="247" customFormat="false" ht="15" hidden="false" customHeight="false" outlineLevel="0" collapsed="false">
      <c r="A247" s="138" t="str">
        <f aca="false">IF(B247="","","CR-"&amp;TEXT(ROW()-6,"000"))</f>
        <v/>
      </c>
      <c r="B247" s="207"/>
      <c r="C247" s="60"/>
      <c r="D247" s="131" t="str">
        <f aca="false">IF(C247="","",IF(OR(C247="ทั้งเฟส",LEFT(C247,4)="ผรม.",LEFT(C247,3)="เขต"),C247,IFERROR(INDEX('Master Plan'!$B$8:$B$27,MATCH(C247,'Master Plan'!$A$8:$A$27,0)),"?")))</f>
        <v/>
      </c>
      <c r="E247" s="204" t="str">
        <f aca="false">IF(LEFT(C247,4)="ผรม.",TRIM(MID(C247,5,5)),IF(OR(C247="ทั้งเฟส",LEFT(C247,3)="เขต"),"",IF(C247="","",IF(OR(C247="ทั้งเฟส",LEFT(C247,4)="ผรม.",LEFT(C247,3)="เขต"),C247,IFERROR(INDEX('Master Plan'!$L$8:$L$27,MATCH(C247,'Master Plan'!$A$8:$A$27,0)),"?")))))</f>
        <v/>
      </c>
      <c r="F247" s="60"/>
      <c r="G247" s="207"/>
      <c r="H247" s="207"/>
      <c r="I247" s="215" t="str">
        <f aca="false">IF(AND(ISNUMBER(G247),ISNUMBER(H247)),H247-G247,"")</f>
        <v/>
      </c>
      <c r="J247" s="216"/>
      <c r="K247" s="60"/>
      <c r="L247" s="60"/>
      <c r="M247" s="113"/>
      <c r="N247" s="60"/>
      <c r="O247" s="60"/>
      <c r="P247" s="131" t="str">
        <f aca="false">IF(B247="","",IF(LEFT(F247,8)="Baseline","ผู้บริหาร + กปภ.",IF(ABS(N(J247))=0,"วิศวกร / ทีม",IF(ABS(N(J247))&lt;=CR_T1,"PM",IF(ABS(N(J247))&lt;=CR_T2,"Change Board","ผู้บริหาร + กปภ.")))))</f>
        <v/>
      </c>
      <c r="Q247" s="60"/>
      <c r="R247" s="60"/>
      <c r="S247" s="207"/>
    </row>
    <row r="248" customFormat="false" ht="15" hidden="false" customHeight="false" outlineLevel="0" collapsed="false">
      <c r="A248" s="138" t="str">
        <f aca="false">IF(B248="","","CR-"&amp;TEXT(ROW()-6,"000"))</f>
        <v/>
      </c>
      <c r="B248" s="207"/>
      <c r="C248" s="60"/>
      <c r="D248" s="131" t="str">
        <f aca="false">IF(C248="","",IF(OR(C248="ทั้งเฟส",LEFT(C248,4)="ผรม.",LEFT(C248,3)="เขต"),C248,IFERROR(INDEX('Master Plan'!$B$8:$B$27,MATCH(C248,'Master Plan'!$A$8:$A$27,0)),"?")))</f>
        <v/>
      </c>
      <c r="E248" s="204" t="str">
        <f aca="false">IF(LEFT(C248,4)="ผรม.",TRIM(MID(C248,5,5)),IF(OR(C248="ทั้งเฟส",LEFT(C248,3)="เขต"),"",IF(C248="","",IF(OR(C248="ทั้งเฟส",LEFT(C248,4)="ผรม.",LEFT(C248,3)="เขต"),C248,IFERROR(INDEX('Master Plan'!$L$8:$L$27,MATCH(C248,'Master Plan'!$A$8:$A$27,0)),"?")))))</f>
        <v/>
      </c>
      <c r="F248" s="60"/>
      <c r="G248" s="207"/>
      <c r="H248" s="207"/>
      <c r="I248" s="215" t="str">
        <f aca="false">IF(AND(ISNUMBER(G248),ISNUMBER(H248)),H248-G248,"")</f>
        <v/>
      </c>
      <c r="J248" s="216"/>
      <c r="K248" s="60"/>
      <c r="L248" s="60"/>
      <c r="M248" s="113"/>
      <c r="N248" s="60"/>
      <c r="O248" s="60"/>
      <c r="P248" s="131" t="str">
        <f aca="false">IF(B248="","",IF(LEFT(F248,8)="Baseline","ผู้บริหาร + กปภ.",IF(ABS(N(J248))=0,"วิศวกร / ทีม",IF(ABS(N(J248))&lt;=CR_T1,"PM",IF(ABS(N(J248))&lt;=CR_T2,"Change Board","ผู้บริหาร + กปภ.")))))</f>
        <v/>
      </c>
      <c r="Q248" s="60"/>
      <c r="R248" s="60"/>
      <c r="S248" s="207"/>
    </row>
    <row r="249" customFormat="false" ht="15" hidden="false" customHeight="false" outlineLevel="0" collapsed="false">
      <c r="A249" s="138" t="str">
        <f aca="false">IF(B249="","","CR-"&amp;TEXT(ROW()-6,"000"))</f>
        <v/>
      </c>
      <c r="B249" s="207"/>
      <c r="C249" s="60"/>
      <c r="D249" s="131" t="str">
        <f aca="false">IF(C249="","",IF(OR(C249="ทั้งเฟส",LEFT(C249,4)="ผรม.",LEFT(C249,3)="เขต"),C249,IFERROR(INDEX('Master Plan'!$B$8:$B$27,MATCH(C249,'Master Plan'!$A$8:$A$27,0)),"?")))</f>
        <v/>
      </c>
      <c r="E249" s="204" t="str">
        <f aca="false">IF(LEFT(C249,4)="ผรม.",TRIM(MID(C249,5,5)),IF(OR(C249="ทั้งเฟส",LEFT(C249,3)="เขต"),"",IF(C249="","",IF(OR(C249="ทั้งเฟส",LEFT(C249,4)="ผรม.",LEFT(C249,3)="เขต"),C249,IFERROR(INDEX('Master Plan'!$L$8:$L$27,MATCH(C249,'Master Plan'!$A$8:$A$27,0)),"?")))))</f>
        <v/>
      </c>
      <c r="F249" s="60"/>
      <c r="G249" s="207"/>
      <c r="H249" s="207"/>
      <c r="I249" s="215" t="str">
        <f aca="false">IF(AND(ISNUMBER(G249),ISNUMBER(H249)),H249-G249,"")</f>
        <v/>
      </c>
      <c r="J249" s="216"/>
      <c r="K249" s="60"/>
      <c r="L249" s="60"/>
      <c r="M249" s="113"/>
      <c r="N249" s="60"/>
      <c r="O249" s="60"/>
      <c r="P249" s="131" t="str">
        <f aca="false">IF(B249="","",IF(LEFT(F249,8)="Baseline","ผู้บริหาร + กปภ.",IF(ABS(N(J249))=0,"วิศวกร / ทีม",IF(ABS(N(J249))&lt;=CR_T1,"PM",IF(ABS(N(J249))&lt;=CR_T2,"Change Board","ผู้บริหาร + กปภ.")))))</f>
        <v/>
      </c>
      <c r="Q249" s="60"/>
      <c r="R249" s="60"/>
      <c r="S249" s="207"/>
    </row>
    <row r="250" customFormat="false" ht="15" hidden="false" customHeight="false" outlineLevel="0" collapsed="false">
      <c r="A250" s="138" t="str">
        <f aca="false">IF(B250="","","CR-"&amp;TEXT(ROW()-6,"000"))</f>
        <v/>
      </c>
      <c r="B250" s="207"/>
      <c r="C250" s="60"/>
      <c r="D250" s="131" t="str">
        <f aca="false">IF(C250="","",IF(OR(C250="ทั้งเฟส",LEFT(C250,4)="ผรม.",LEFT(C250,3)="เขต"),C250,IFERROR(INDEX('Master Plan'!$B$8:$B$27,MATCH(C250,'Master Plan'!$A$8:$A$27,0)),"?")))</f>
        <v/>
      </c>
      <c r="E250" s="204" t="str">
        <f aca="false">IF(LEFT(C250,4)="ผรม.",TRIM(MID(C250,5,5)),IF(OR(C250="ทั้งเฟส",LEFT(C250,3)="เขต"),"",IF(C250="","",IF(OR(C250="ทั้งเฟส",LEFT(C250,4)="ผรม.",LEFT(C250,3)="เขต"),C250,IFERROR(INDEX('Master Plan'!$L$8:$L$27,MATCH(C250,'Master Plan'!$A$8:$A$27,0)),"?")))))</f>
        <v/>
      </c>
      <c r="F250" s="60"/>
      <c r="G250" s="207"/>
      <c r="H250" s="207"/>
      <c r="I250" s="215" t="str">
        <f aca="false">IF(AND(ISNUMBER(G250),ISNUMBER(H250)),H250-G250,"")</f>
        <v/>
      </c>
      <c r="J250" s="216"/>
      <c r="K250" s="60"/>
      <c r="L250" s="60"/>
      <c r="M250" s="113"/>
      <c r="N250" s="60"/>
      <c r="O250" s="60"/>
      <c r="P250" s="131" t="str">
        <f aca="false">IF(B250="","",IF(LEFT(F250,8)="Baseline","ผู้บริหาร + กปภ.",IF(ABS(N(J250))=0,"วิศวกร / ทีม",IF(ABS(N(J250))&lt;=CR_T1,"PM",IF(ABS(N(J250))&lt;=CR_T2,"Change Board","ผู้บริหาร + กปภ.")))))</f>
        <v/>
      </c>
      <c r="Q250" s="60"/>
      <c r="R250" s="60"/>
      <c r="S250" s="207"/>
    </row>
    <row r="251" customFormat="false" ht="15" hidden="false" customHeight="false" outlineLevel="0" collapsed="false">
      <c r="A251" s="138" t="str">
        <f aca="false">IF(B251="","","CR-"&amp;TEXT(ROW()-6,"000"))</f>
        <v/>
      </c>
      <c r="B251" s="207"/>
      <c r="C251" s="60"/>
      <c r="D251" s="131" t="str">
        <f aca="false">IF(C251="","",IF(OR(C251="ทั้งเฟส",LEFT(C251,4)="ผรม.",LEFT(C251,3)="เขต"),C251,IFERROR(INDEX('Master Plan'!$B$8:$B$27,MATCH(C251,'Master Plan'!$A$8:$A$27,0)),"?")))</f>
        <v/>
      </c>
      <c r="E251" s="204" t="str">
        <f aca="false">IF(LEFT(C251,4)="ผรม.",TRIM(MID(C251,5,5)),IF(OR(C251="ทั้งเฟส",LEFT(C251,3)="เขต"),"",IF(C251="","",IF(OR(C251="ทั้งเฟส",LEFT(C251,4)="ผรม.",LEFT(C251,3)="เขต"),C251,IFERROR(INDEX('Master Plan'!$L$8:$L$27,MATCH(C251,'Master Plan'!$A$8:$A$27,0)),"?")))))</f>
        <v/>
      </c>
      <c r="F251" s="60"/>
      <c r="G251" s="207"/>
      <c r="H251" s="207"/>
      <c r="I251" s="215" t="str">
        <f aca="false">IF(AND(ISNUMBER(G251),ISNUMBER(H251)),H251-G251,"")</f>
        <v/>
      </c>
      <c r="J251" s="216"/>
      <c r="K251" s="60"/>
      <c r="L251" s="60"/>
      <c r="M251" s="113"/>
      <c r="N251" s="60"/>
      <c r="O251" s="60"/>
      <c r="P251" s="131" t="str">
        <f aca="false">IF(B251="","",IF(LEFT(F251,8)="Baseline","ผู้บริหาร + กปภ.",IF(ABS(N(J251))=0,"วิศวกร / ทีม",IF(ABS(N(J251))&lt;=CR_T1,"PM",IF(ABS(N(J251))&lt;=CR_T2,"Change Board","ผู้บริหาร + กปภ.")))))</f>
        <v/>
      </c>
      <c r="Q251" s="60"/>
      <c r="R251" s="60"/>
      <c r="S251" s="207"/>
    </row>
    <row r="252" customFormat="false" ht="15" hidden="false" customHeight="false" outlineLevel="0" collapsed="false">
      <c r="A252" s="138" t="str">
        <f aca="false">IF(B252="","","CR-"&amp;TEXT(ROW()-6,"000"))</f>
        <v/>
      </c>
      <c r="B252" s="207"/>
      <c r="C252" s="60"/>
      <c r="D252" s="131" t="str">
        <f aca="false">IF(C252="","",IF(OR(C252="ทั้งเฟส",LEFT(C252,4)="ผรม.",LEFT(C252,3)="เขต"),C252,IFERROR(INDEX('Master Plan'!$B$8:$B$27,MATCH(C252,'Master Plan'!$A$8:$A$27,0)),"?")))</f>
        <v/>
      </c>
      <c r="E252" s="204" t="str">
        <f aca="false">IF(LEFT(C252,4)="ผรม.",TRIM(MID(C252,5,5)),IF(OR(C252="ทั้งเฟส",LEFT(C252,3)="เขต"),"",IF(C252="","",IF(OR(C252="ทั้งเฟส",LEFT(C252,4)="ผรม.",LEFT(C252,3)="เขต"),C252,IFERROR(INDEX('Master Plan'!$L$8:$L$27,MATCH(C252,'Master Plan'!$A$8:$A$27,0)),"?")))))</f>
        <v/>
      </c>
      <c r="F252" s="60"/>
      <c r="G252" s="207"/>
      <c r="H252" s="207"/>
      <c r="I252" s="215" t="str">
        <f aca="false">IF(AND(ISNUMBER(G252),ISNUMBER(H252)),H252-G252,"")</f>
        <v/>
      </c>
      <c r="J252" s="216"/>
      <c r="K252" s="60"/>
      <c r="L252" s="60"/>
      <c r="M252" s="113"/>
      <c r="N252" s="60"/>
      <c r="O252" s="60"/>
      <c r="P252" s="131" t="str">
        <f aca="false">IF(B252="","",IF(LEFT(F252,8)="Baseline","ผู้บริหาร + กปภ.",IF(ABS(N(J252))=0,"วิศวกร / ทีม",IF(ABS(N(J252))&lt;=CR_T1,"PM",IF(ABS(N(J252))&lt;=CR_T2,"Change Board","ผู้บริหาร + กปภ.")))))</f>
        <v/>
      </c>
      <c r="Q252" s="60"/>
      <c r="R252" s="60"/>
      <c r="S252" s="207"/>
    </row>
    <row r="253" customFormat="false" ht="15" hidden="false" customHeight="false" outlineLevel="0" collapsed="false">
      <c r="A253" s="138" t="str">
        <f aca="false">IF(B253="","","CR-"&amp;TEXT(ROW()-6,"000"))</f>
        <v/>
      </c>
      <c r="B253" s="207"/>
      <c r="C253" s="60"/>
      <c r="D253" s="131" t="str">
        <f aca="false">IF(C253="","",IF(OR(C253="ทั้งเฟส",LEFT(C253,4)="ผรม.",LEFT(C253,3)="เขต"),C253,IFERROR(INDEX('Master Plan'!$B$8:$B$27,MATCH(C253,'Master Plan'!$A$8:$A$27,0)),"?")))</f>
        <v/>
      </c>
      <c r="E253" s="204" t="str">
        <f aca="false">IF(LEFT(C253,4)="ผรม.",TRIM(MID(C253,5,5)),IF(OR(C253="ทั้งเฟส",LEFT(C253,3)="เขต"),"",IF(C253="","",IF(OR(C253="ทั้งเฟส",LEFT(C253,4)="ผรม.",LEFT(C253,3)="เขต"),C253,IFERROR(INDEX('Master Plan'!$L$8:$L$27,MATCH(C253,'Master Plan'!$A$8:$A$27,0)),"?")))))</f>
        <v/>
      </c>
      <c r="F253" s="60"/>
      <c r="G253" s="207"/>
      <c r="H253" s="207"/>
      <c r="I253" s="215" t="str">
        <f aca="false">IF(AND(ISNUMBER(G253),ISNUMBER(H253)),H253-G253,"")</f>
        <v/>
      </c>
      <c r="J253" s="216"/>
      <c r="K253" s="60"/>
      <c r="L253" s="60"/>
      <c r="M253" s="113"/>
      <c r="N253" s="60"/>
      <c r="O253" s="60"/>
      <c r="P253" s="131" t="str">
        <f aca="false">IF(B253="","",IF(LEFT(F253,8)="Baseline","ผู้บริหาร + กปภ.",IF(ABS(N(J253))=0,"วิศวกร / ทีม",IF(ABS(N(J253))&lt;=CR_T1,"PM",IF(ABS(N(J253))&lt;=CR_T2,"Change Board","ผู้บริหาร + กปภ.")))))</f>
        <v/>
      </c>
      <c r="Q253" s="60"/>
      <c r="R253" s="60"/>
      <c r="S253" s="207"/>
    </row>
    <row r="254" customFormat="false" ht="15" hidden="false" customHeight="false" outlineLevel="0" collapsed="false">
      <c r="A254" s="138" t="str">
        <f aca="false">IF(B254="","","CR-"&amp;TEXT(ROW()-6,"000"))</f>
        <v/>
      </c>
      <c r="B254" s="207"/>
      <c r="C254" s="60"/>
      <c r="D254" s="131" t="str">
        <f aca="false">IF(C254="","",IF(OR(C254="ทั้งเฟส",LEFT(C254,4)="ผรม.",LEFT(C254,3)="เขต"),C254,IFERROR(INDEX('Master Plan'!$B$8:$B$27,MATCH(C254,'Master Plan'!$A$8:$A$27,0)),"?")))</f>
        <v/>
      </c>
      <c r="E254" s="204" t="str">
        <f aca="false">IF(LEFT(C254,4)="ผรม.",TRIM(MID(C254,5,5)),IF(OR(C254="ทั้งเฟส",LEFT(C254,3)="เขต"),"",IF(C254="","",IF(OR(C254="ทั้งเฟส",LEFT(C254,4)="ผรม.",LEFT(C254,3)="เขต"),C254,IFERROR(INDEX('Master Plan'!$L$8:$L$27,MATCH(C254,'Master Plan'!$A$8:$A$27,0)),"?")))))</f>
        <v/>
      </c>
      <c r="F254" s="60"/>
      <c r="G254" s="207"/>
      <c r="H254" s="207"/>
      <c r="I254" s="215" t="str">
        <f aca="false">IF(AND(ISNUMBER(G254),ISNUMBER(H254)),H254-G254,"")</f>
        <v/>
      </c>
      <c r="J254" s="216"/>
      <c r="K254" s="60"/>
      <c r="L254" s="60"/>
      <c r="M254" s="113"/>
      <c r="N254" s="60"/>
      <c r="O254" s="60"/>
      <c r="P254" s="131" t="str">
        <f aca="false">IF(B254="","",IF(LEFT(F254,8)="Baseline","ผู้บริหาร + กปภ.",IF(ABS(N(J254))=0,"วิศวกร / ทีม",IF(ABS(N(J254))&lt;=CR_T1,"PM",IF(ABS(N(J254))&lt;=CR_T2,"Change Board","ผู้บริหาร + กปภ.")))))</f>
        <v/>
      </c>
      <c r="Q254" s="60"/>
      <c r="R254" s="60"/>
      <c r="S254" s="207"/>
    </row>
    <row r="255" customFormat="false" ht="15" hidden="false" customHeight="false" outlineLevel="0" collapsed="false">
      <c r="A255" s="138" t="str">
        <f aca="false">IF(B255="","","CR-"&amp;TEXT(ROW()-6,"000"))</f>
        <v/>
      </c>
      <c r="B255" s="207"/>
      <c r="C255" s="60"/>
      <c r="D255" s="131" t="str">
        <f aca="false">IF(C255="","",IF(OR(C255="ทั้งเฟส",LEFT(C255,4)="ผรม.",LEFT(C255,3)="เขต"),C255,IFERROR(INDEX('Master Plan'!$B$8:$B$27,MATCH(C255,'Master Plan'!$A$8:$A$27,0)),"?")))</f>
        <v/>
      </c>
      <c r="E255" s="204" t="str">
        <f aca="false">IF(LEFT(C255,4)="ผรม.",TRIM(MID(C255,5,5)),IF(OR(C255="ทั้งเฟส",LEFT(C255,3)="เขต"),"",IF(C255="","",IF(OR(C255="ทั้งเฟส",LEFT(C255,4)="ผรม.",LEFT(C255,3)="เขต"),C255,IFERROR(INDEX('Master Plan'!$L$8:$L$27,MATCH(C255,'Master Plan'!$A$8:$A$27,0)),"?")))))</f>
        <v/>
      </c>
      <c r="F255" s="60"/>
      <c r="G255" s="207"/>
      <c r="H255" s="207"/>
      <c r="I255" s="215" t="str">
        <f aca="false">IF(AND(ISNUMBER(G255),ISNUMBER(H255)),H255-G255,"")</f>
        <v/>
      </c>
      <c r="J255" s="216"/>
      <c r="K255" s="60"/>
      <c r="L255" s="60"/>
      <c r="M255" s="113"/>
      <c r="N255" s="60"/>
      <c r="O255" s="60"/>
      <c r="P255" s="131" t="str">
        <f aca="false">IF(B255="","",IF(LEFT(F255,8)="Baseline","ผู้บริหาร + กปภ.",IF(ABS(N(J255))=0,"วิศวกร / ทีม",IF(ABS(N(J255))&lt;=CR_T1,"PM",IF(ABS(N(J255))&lt;=CR_T2,"Change Board","ผู้บริหาร + กปภ.")))))</f>
        <v/>
      </c>
      <c r="Q255" s="60"/>
      <c r="R255" s="60"/>
      <c r="S255" s="207"/>
    </row>
    <row r="256" customFormat="false" ht="15" hidden="false" customHeight="false" outlineLevel="0" collapsed="false">
      <c r="A256" s="138" t="str">
        <f aca="false">IF(B256="","","CR-"&amp;TEXT(ROW()-6,"000"))</f>
        <v/>
      </c>
      <c r="B256" s="207"/>
      <c r="C256" s="60"/>
      <c r="D256" s="131" t="str">
        <f aca="false">IF(C256="","",IF(OR(C256="ทั้งเฟส",LEFT(C256,4)="ผรม.",LEFT(C256,3)="เขต"),C256,IFERROR(INDEX('Master Plan'!$B$8:$B$27,MATCH(C256,'Master Plan'!$A$8:$A$27,0)),"?")))</f>
        <v/>
      </c>
      <c r="E256" s="204" t="str">
        <f aca="false">IF(LEFT(C256,4)="ผรม.",TRIM(MID(C256,5,5)),IF(OR(C256="ทั้งเฟส",LEFT(C256,3)="เขต"),"",IF(C256="","",IF(OR(C256="ทั้งเฟส",LEFT(C256,4)="ผรม.",LEFT(C256,3)="เขต"),C256,IFERROR(INDEX('Master Plan'!$L$8:$L$27,MATCH(C256,'Master Plan'!$A$8:$A$27,0)),"?")))))</f>
        <v/>
      </c>
      <c r="F256" s="60"/>
      <c r="G256" s="207"/>
      <c r="H256" s="207"/>
      <c r="I256" s="215" t="str">
        <f aca="false">IF(AND(ISNUMBER(G256),ISNUMBER(H256)),H256-G256,"")</f>
        <v/>
      </c>
      <c r="J256" s="216"/>
      <c r="K256" s="60"/>
      <c r="L256" s="60"/>
      <c r="M256" s="113"/>
      <c r="N256" s="60"/>
      <c r="O256" s="60"/>
      <c r="P256" s="131" t="str">
        <f aca="false">IF(B256="","",IF(LEFT(F256,8)="Baseline","ผู้บริหาร + กปภ.",IF(ABS(N(J256))=0,"วิศวกร / ทีม",IF(ABS(N(J256))&lt;=CR_T1,"PM",IF(ABS(N(J256))&lt;=CR_T2,"Change Board","ผู้บริหาร + กปภ.")))))</f>
        <v/>
      </c>
      <c r="Q256" s="60"/>
      <c r="R256" s="60"/>
      <c r="S256" s="207"/>
    </row>
    <row r="257" customFormat="false" ht="15" hidden="false" customHeight="false" outlineLevel="0" collapsed="false">
      <c r="A257" s="138" t="str">
        <f aca="false">IF(B257="","","CR-"&amp;TEXT(ROW()-6,"000"))</f>
        <v/>
      </c>
      <c r="B257" s="207"/>
      <c r="C257" s="60"/>
      <c r="D257" s="131" t="str">
        <f aca="false">IF(C257="","",IF(OR(C257="ทั้งเฟส",LEFT(C257,4)="ผรม.",LEFT(C257,3)="เขต"),C257,IFERROR(INDEX('Master Plan'!$B$8:$B$27,MATCH(C257,'Master Plan'!$A$8:$A$27,0)),"?")))</f>
        <v/>
      </c>
      <c r="E257" s="204" t="str">
        <f aca="false">IF(LEFT(C257,4)="ผรม.",TRIM(MID(C257,5,5)),IF(OR(C257="ทั้งเฟส",LEFT(C257,3)="เขต"),"",IF(C257="","",IF(OR(C257="ทั้งเฟส",LEFT(C257,4)="ผรม.",LEFT(C257,3)="เขต"),C257,IFERROR(INDEX('Master Plan'!$L$8:$L$27,MATCH(C257,'Master Plan'!$A$8:$A$27,0)),"?")))))</f>
        <v/>
      </c>
      <c r="F257" s="60"/>
      <c r="G257" s="207"/>
      <c r="H257" s="207"/>
      <c r="I257" s="215" t="str">
        <f aca="false">IF(AND(ISNUMBER(G257),ISNUMBER(H257)),H257-G257,"")</f>
        <v/>
      </c>
      <c r="J257" s="216"/>
      <c r="K257" s="60"/>
      <c r="L257" s="60"/>
      <c r="M257" s="113"/>
      <c r="N257" s="60"/>
      <c r="O257" s="60"/>
      <c r="P257" s="131" t="str">
        <f aca="false">IF(B257="","",IF(LEFT(F257,8)="Baseline","ผู้บริหาร + กปภ.",IF(ABS(N(J257))=0,"วิศวกร / ทีม",IF(ABS(N(J257))&lt;=CR_T1,"PM",IF(ABS(N(J257))&lt;=CR_T2,"Change Board","ผู้บริหาร + กปภ.")))))</f>
        <v/>
      </c>
      <c r="Q257" s="60"/>
      <c r="R257" s="60"/>
      <c r="S257" s="207"/>
    </row>
    <row r="258" customFormat="false" ht="15" hidden="false" customHeight="false" outlineLevel="0" collapsed="false">
      <c r="A258" s="138" t="str">
        <f aca="false">IF(B258="","","CR-"&amp;TEXT(ROW()-6,"000"))</f>
        <v/>
      </c>
      <c r="B258" s="207"/>
      <c r="C258" s="60"/>
      <c r="D258" s="131" t="str">
        <f aca="false">IF(C258="","",IF(OR(C258="ทั้งเฟส",LEFT(C258,4)="ผรม.",LEFT(C258,3)="เขต"),C258,IFERROR(INDEX('Master Plan'!$B$8:$B$27,MATCH(C258,'Master Plan'!$A$8:$A$27,0)),"?")))</f>
        <v/>
      </c>
      <c r="E258" s="204" t="str">
        <f aca="false">IF(LEFT(C258,4)="ผรม.",TRIM(MID(C258,5,5)),IF(OR(C258="ทั้งเฟส",LEFT(C258,3)="เขต"),"",IF(C258="","",IF(OR(C258="ทั้งเฟส",LEFT(C258,4)="ผรม.",LEFT(C258,3)="เขต"),C258,IFERROR(INDEX('Master Plan'!$L$8:$L$27,MATCH(C258,'Master Plan'!$A$8:$A$27,0)),"?")))))</f>
        <v/>
      </c>
      <c r="F258" s="60"/>
      <c r="G258" s="207"/>
      <c r="H258" s="207"/>
      <c r="I258" s="215" t="str">
        <f aca="false">IF(AND(ISNUMBER(G258),ISNUMBER(H258)),H258-G258,"")</f>
        <v/>
      </c>
      <c r="J258" s="216"/>
      <c r="K258" s="60"/>
      <c r="L258" s="60"/>
      <c r="M258" s="113"/>
      <c r="N258" s="60"/>
      <c r="O258" s="60"/>
      <c r="P258" s="131" t="str">
        <f aca="false">IF(B258="","",IF(LEFT(F258,8)="Baseline","ผู้บริหาร + กปภ.",IF(ABS(N(J258))=0,"วิศวกร / ทีม",IF(ABS(N(J258))&lt;=CR_T1,"PM",IF(ABS(N(J258))&lt;=CR_T2,"Change Board","ผู้บริหาร + กปภ.")))))</f>
        <v/>
      </c>
      <c r="Q258" s="60"/>
      <c r="R258" s="60"/>
      <c r="S258" s="207"/>
    </row>
    <row r="259" customFormat="false" ht="15" hidden="false" customHeight="false" outlineLevel="0" collapsed="false">
      <c r="A259" s="138" t="str">
        <f aca="false">IF(B259="","","CR-"&amp;TEXT(ROW()-6,"000"))</f>
        <v/>
      </c>
      <c r="B259" s="207"/>
      <c r="C259" s="60"/>
      <c r="D259" s="131" t="str">
        <f aca="false">IF(C259="","",IF(OR(C259="ทั้งเฟส",LEFT(C259,4)="ผรม.",LEFT(C259,3)="เขต"),C259,IFERROR(INDEX('Master Plan'!$B$8:$B$27,MATCH(C259,'Master Plan'!$A$8:$A$27,0)),"?")))</f>
        <v/>
      </c>
      <c r="E259" s="204" t="str">
        <f aca="false">IF(LEFT(C259,4)="ผรม.",TRIM(MID(C259,5,5)),IF(OR(C259="ทั้งเฟส",LEFT(C259,3)="เขต"),"",IF(C259="","",IF(OR(C259="ทั้งเฟส",LEFT(C259,4)="ผรม.",LEFT(C259,3)="เขต"),C259,IFERROR(INDEX('Master Plan'!$L$8:$L$27,MATCH(C259,'Master Plan'!$A$8:$A$27,0)),"?")))))</f>
        <v/>
      </c>
      <c r="F259" s="60"/>
      <c r="G259" s="207"/>
      <c r="H259" s="207"/>
      <c r="I259" s="215" t="str">
        <f aca="false">IF(AND(ISNUMBER(G259),ISNUMBER(H259)),H259-G259,"")</f>
        <v/>
      </c>
      <c r="J259" s="216"/>
      <c r="K259" s="60"/>
      <c r="L259" s="60"/>
      <c r="M259" s="113"/>
      <c r="N259" s="60"/>
      <c r="O259" s="60"/>
      <c r="P259" s="131" t="str">
        <f aca="false">IF(B259="","",IF(LEFT(F259,8)="Baseline","ผู้บริหาร + กปภ.",IF(ABS(N(J259))=0,"วิศวกร / ทีม",IF(ABS(N(J259))&lt;=CR_T1,"PM",IF(ABS(N(J259))&lt;=CR_T2,"Change Board","ผู้บริหาร + กปภ.")))))</f>
        <v/>
      </c>
      <c r="Q259" s="60"/>
      <c r="R259" s="60"/>
      <c r="S259" s="207"/>
    </row>
    <row r="260" customFormat="false" ht="15" hidden="false" customHeight="false" outlineLevel="0" collapsed="false">
      <c r="A260" s="138" t="str">
        <f aca="false">IF(B260="","","CR-"&amp;TEXT(ROW()-6,"000"))</f>
        <v/>
      </c>
      <c r="B260" s="207"/>
      <c r="C260" s="60"/>
      <c r="D260" s="131" t="str">
        <f aca="false">IF(C260="","",IF(OR(C260="ทั้งเฟส",LEFT(C260,4)="ผรม.",LEFT(C260,3)="เขต"),C260,IFERROR(INDEX('Master Plan'!$B$8:$B$27,MATCH(C260,'Master Plan'!$A$8:$A$27,0)),"?")))</f>
        <v/>
      </c>
      <c r="E260" s="204" t="str">
        <f aca="false">IF(LEFT(C260,4)="ผรม.",TRIM(MID(C260,5,5)),IF(OR(C260="ทั้งเฟส",LEFT(C260,3)="เขต"),"",IF(C260="","",IF(OR(C260="ทั้งเฟส",LEFT(C260,4)="ผรม.",LEFT(C260,3)="เขต"),C260,IFERROR(INDEX('Master Plan'!$L$8:$L$27,MATCH(C260,'Master Plan'!$A$8:$A$27,0)),"?")))))</f>
        <v/>
      </c>
      <c r="F260" s="60"/>
      <c r="G260" s="207"/>
      <c r="H260" s="207"/>
      <c r="I260" s="215" t="str">
        <f aca="false">IF(AND(ISNUMBER(G260),ISNUMBER(H260)),H260-G260,"")</f>
        <v/>
      </c>
      <c r="J260" s="216"/>
      <c r="K260" s="60"/>
      <c r="L260" s="60"/>
      <c r="M260" s="113"/>
      <c r="N260" s="60"/>
      <c r="O260" s="60"/>
      <c r="P260" s="131" t="str">
        <f aca="false">IF(B260="","",IF(LEFT(F260,8)="Baseline","ผู้บริหาร + กปภ.",IF(ABS(N(J260))=0,"วิศวกร / ทีม",IF(ABS(N(J260))&lt;=CR_T1,"PM",IF(ABS(N(J260))&lt;=CR_T2,"Change Board","ผู้บริหาร + กปภ.")))))</f>
        <v/>
      </c>
      <c r="Q260" s="60"/>
      <c r="R260" s="60"/>
      <c r="S260" s="207"/>
    </row>
    <row r="261" customFormat="false" ht="15" hidden="false" customHeight="false" outlineLevel="0" collapsed="false">
      <c r="A261" s="138" t="str">
        <f aca="false">IF(B261="","","CR-"&amp;TEXT(ROW()-6,"000"))</f>
        <v/>
      </c>
      <c r="B261" s="207"/>
      <c r="C261" s="60"/>
      <c r="D261" s="131" t="str">
        <f aca="false">IF(C261="","",IF(OR(C261="ทั้งเฟส",LEFT(C261,4)="ผรม.",LEFT(C261,3)="เขต"),C261,IFERROR(INDEX('Master Plan'!$B$8:$B$27,MATCH(C261,'Master Plan'!$A$8:$A$27,0)),"?")))</f>
        <v/>
      </c>
      <c r="E261" s="204" t="str">
        <f aca="false">IF(LEFT(C261,4)="ผรม.",TRIM(MID(C261,5,5)),IF(OR(C261="ทั้งเฟส",LEFT(C261,3)="เขต"),"",IF(C261="","",IF(OR(C261="ทั้งเฟส",LEFT(C261,4)="ผรม.",LEFT(C261,3)="เขต"),C261,IFERROR(INDEX('Master Plan'!$L$8:$L$27,MATCH(C261,'Master Plan'!$A$8:$A$27,0)),"?")))))</f>
        <v/>
      </c>
      <c r="F261" s="60"/>
      <c r="G261" s="207"/>
      <c r="H261" s="207"/>
      <c r="I261" s="215" t="str">
        <f aca="false">IF(AND(ISNUMBER(G261),ISNUMBER(H261)),H261-G261,"")</f>
        <v/>
      </c>
      <c r="J261" s="216"/>
      <c r="K261" s="60"/>
      <c r="L261" s="60"/>
      <c r="M261" s="113"/>
      <c r="N261" s="60"/>
      <c r="O261" s="60"/>
      <c r="P261" s="131" t="str">
        <f aca="false">IF(B261="","",IF(LEFT(F261,8)="Baseline","ผู้บริหาร + กปภ.",IF(ABS(N(J261))=0,"วิศวกร / ทีม",IF(ABS(N(J261))&lt;=CR_T1,"PM",IF(ABS(N(J261))&lt;=CR_T2,"Change Board","ผู้บริหาร + กปภ.")))))</f>
        <v/>
      </c>
      <c r="Q261" s="60"/>
      <c r="R261" s="60"/>
      <c r="S261" s="207"/>
    </row>
    <row r="262" customFormat="false" ht="15" hidden="false" customHeight="false" outlineLevel="0" collapsed="false">
      <c r="A262" s="138" t="str">
        <f aca="false">IF(B262="","","CR-"&amp;TEXT(ROW()-6,"000"))</f>
        <v/>
      </c>
      <c r="B262" s="207"/>
      <c r="C262" s="60"/>
      <c r="D262" s="131" t="str">
        <f aca="false">IF(C262="","",IF(OR(C262="ทั้งเฟส",LEFT(C262,4)="ผรม.",LEFT(C262,3)="เขต"),C262,IFERROR(INDEX('Master Plan'!$B$8:$B$27,MATCH(C262,'Master Plan'!$A$8:$A$27,0)),"?")))</f>
        <v/>
      </c>
      <c r="E262" s="204" t="str">
        <f aca="false">IF(LEFT(C262,4)="ผรม.",TRIM(MID(C262,5,5)),IF(OR(C262="ทั้งเฟส",LEFT(C262,3)="เขต"),"",IF(C262="","",IF(OR(C262="ทั้งเฟส",LEFT(C262,4)="ผรม.",LEFT(C262,3)="เขต"),C262,IFERROR(INDEX('Master Plan'!$L$8:$L$27,MATCH(C262,'Master Plan'!$A$8:$A$27,0)),"?")))))</f>
        <v/>
      </c>
      <c r="F262" s="60"/>
      <c r="G262" s="207"/>
      <c r="H262" s="207"/>
      <c r="I262" s="215" t="str">
        <f aca="false">IF(AND(ISNUMBER(G262),ISNUMBER(H262)),H262-G262,"")</f>
        <v/>
      </c>
      <c r="J262" s="216"/>
      <c r="K262" s="60"/>
      <c r="L262" s="60"/>
      <c r="M262" s="113"/>
      <c r="N262" s="60"/>
      <c r="O262" s="60"/>
      <c r="P262" s="131" t="str">
        <f aca="false">IF(B262="","",IF(LEFT(F262,8)="Baseline","ผู้บริหาร + กปภ.",IF(ABS(N(J262))=0,"วิศวกร / ทีม",IF(ABS(N(J262))&lt;=CR_T1,"PM",IF(ABS(N(J262))&lt;=CR_T2,"Change Board","ผู้บริหาร + กปภ.")))))</f>
        <v/>
      </c>
      <c r="Q262" s="60"/>
      <c r="R262" s="60"/>
      <c r="S262" s="207"/>
    </row>
    <row r="263" customFormat="false" ht="15" hidden="false" customHeight="false" outlineLevel="0" collapsed="false">
      <c r="A263" s="138" t="str">
        <f aca="false">IF(B263="","","CR-"&amp;TEXT(ROW()-6,"000"))</f>
        <v/>
      </c>
      <c r="B263" s="207"/>
      <c r="C263" s="60"/>
      <c r="D263" s="131" t="str">
        <f aca="false">IF(C263="","",IF(OR(C263="ทั้งเฟส",LEFT(C263,4)="ผรม.",LEFT(C263,3)="เขต"),C263,IFERROR(INDEX('Master Plan'!$B$8:$B$27,MATCH(C263,'Master Plan'!$A$8:$A$27,0)),"?")))</f>
        <v/>
      </c>
      <c r="E263" s="204" t="str">
        <f aca="false">IF(LEFT(C263,4)="ผรม.",TRIM(MID(C263,5,5)),IF(OR(C263="ทั้งเฟส",LEFT(C263,3)="เขต"),"",IF(C263="","",IF(OR(C263="ทั้งเฟส",LEFT(C263,4)="ผรม.",LEFT(C263,3)="เขต"),C263,IFERROR(INDEX('Master Plan'!$L$8:$L$27,MATCH(C263,'Master Plan'!$A$8:$A$27,0)),"?")))))</f>
        <v/>
      </c>
      <c r="F263" s="60"/>
      <c r="G263" s="207"/>
      <c r="H263" s="207"/>
      <c r="I263" s="215" t="str">
        <f aca="false">IF(AND(ISNUMBER(G263),ISNUMBER(H263)),H263-G263,"")</f>
        <v/>
      </c>
      <c r="J263" s="216"/>
      <c r="K263" s="60"/>
      <c r="L263" s="60"/>
      <c r="M263" s="113"/>
      <c r="N263" s="60"/>
      <c r="O263" s="60"/>
      <c r="P263" s="131" t="str">
        <f aca="false">IF(B263="","",IF(LEFT(F263,8)="Baseline","ผู้บริหาร + กปภ.",IF(ABS(N(J263))=0,"วิศวกร / ทีม",IF(ABS(N(J263))&lt;=CR_T1,"PM",IF(ABS(N(J263))&lt;=CR_T2,"Change Board","ผู้บริหาร + กปภ.")))))</f>
        <v/>
      </c>
      <c r="Q263" s="60"/>
      <c r="R263" s="60"/>
      <c r="S263" s="207"/>
    </row>
    <row r="264" customFormat="false" ht="15" hidden="false" customHeight="false" outlineLevel="0" collapsed="false">
      <c r="A264" s="138" t="str">
        <f aca="false">IF(B264="","","CR-"&amp;TEXT(ROW()-6,"000"))</f>
        <v/>
      </c>
      <c r="B264" s="207"/>
      <c r="C264" s="60"/>
      <c r="D264" s="131" t="str">
        <f aca="false">IF(C264="","",IF(OR(C264="ทั้งเฟส",LEFT(C264,4)="ผรม.",LEFT(C264,3)="เขต"),C264,IFERROR(INDEX('Master Plan'!$B$8:$B$27,MATCH(C264,'Master Plan'!$A$8:$A$27,0)),"?")))</f>
        <v/>
      </c>
      <c r="E264" s="204" t="str">
        <f aca="false">IF(LEFT(C264,4)="ผรม.",TRIM(MID(C264,5,5)),IF(OR(C264="ทั้งเฟส",LEFT(C264,3)="เขต"),"",IF(C264="","",IF(OR(C264="ทั้งเฟส",LEFT(C264,4)="ผรม.",LEFT(C264,3)="เขต"),C264,IFERROR(INDEX('Master Plan'!$L$8:$L$27,MATCH(C264,'Master Plan'!$A$8:$A$27,0)),"?")))))</f>
        <v/>
      </c>
      <c r="F264" s="60"/>
      <c r="G264" s="207"/>
      <c r="H264" s="207"/>
      <c r="I264" s="215" t="str">
        <f aca="false">IF(AND(ISNUMBER(G264),ISNUMBER(H264)),H264-G264,"")</f>
        <v/>
      </c>
      <c r="J264" s="216"/>
      <c r="K264" s="60"/>
      <c r="L264" s="60"/>
      <c r="M264" s="113"/>
      <c r="N264" s="60"/>
      <c r="O264" s="60"/>
      <c r="P264" s="131" t="str">
        <f aca="false">IF(B264="","",IF(LEFT(F264,8)="Baseline","ผู้บริหาร + กปภ.",IF(ABS(N(J264))=0,"วิศวกร / ทีม",IF(ABS(N(J264))&lt;=CR_T1,"PM",IF(ABS(N(J264))&lt;=CR_T2,"Change Board","ผู้บริหาร + กปภ.")))))</f>
        <v/>
      </c>
      <c r="Q264" s="60"/>
      <c r="R264" s="60"/>
      <c r="S264" s="207"/>
    </row>
    <row r="265" customFormat="false" ht="15" hidden="false" customHeight="false" outlineLevel="0" collapsed="false">
      <c r="A265" s="138" t="str">
        <f aca="false">IF(B265="","","CR-"&amp;TEXT(ROW()-6,"000"))</f>
        <v/>
      </c>
      <c r="B265" s="207"/>
      <c r="C265" s="60"/>
      <c r="D265" s="131" t="str">
        <f aca="false">IF(C265="","",IF(OR(C265="ทั้งเฟส",LEFT(C265,4)="ผรม.",LEFT(C265,3)="เขต"),C265,IFERROR(INDEX('Master Plan'!$B$8:$B$27,MATCH(C265,'Master Plan'!$A$8:$A$27,0)),"?")))</f>
        <v/>
      </c>
      <c r="E265" s="204" t="str">
        <f aca="false">IF(LEFT(C265,4)="ผรม.",TRIM(MID(C265,5,5)),IF(OR(C265="ทั้งเฟส",LEFT(C265,3)="เขต"),"",IF(C265="","",IF(OR(C265="ทั้งเฟส",LEFT(C265,4)="ผรม.",LEFT(C265,3)="เขต"),C265,IFERROR(INDEX('Master Plan'!$L$8:$L$27,MATCH(C265,'Master Plan'!$A$8:$A$27,0)),"?")))))</f>
        <v/>
      </c>
      <c r="F265" s="60"/>
      <c r="G265" s="207"/>
      <c r="H265" s="207"/>
      <c r="I265" s="215" t="str">
        <f aca="false">IF(AND(ISNUMBER(G265),ISNUMBER(H265)),H265-G265,"")</f>
        <v/>
      </c>
      <c r="J265" s="216"/>
      <c r="K265" s="60"/>
      <c r="L265" s="60"/>
      <c r="M265" s="113"/>
      <c r="N265" s="60"/>
      <c r="O265" s="60"/>
      <c r="P265" s="131" t="str">
        <f aca="false">IF(B265="","",IF(LEFT(F265,8)="Baseline","ผู้บริหาร + กปภ.",IF(ABS(N(J265))=0,"วิศวกร / ทีม",IF(ABS(N(J265))&lt;=CR_T1,"PM",IF(ABS(N(J265))&lt;=CR_T2,"Change Board","ผู้บริหาร + กปภ.")))))</f>
        <v/>
      </c>
      <c r="Q265" s="60"/>
      <c r="R265" s="60"/>
      <c r="S265" s="207"/>
    </row>
    <row r="266" customFormat="false" ht="15" hidden="false" customHeight="false" outlineLevel="0" collapsed="false">
      <c r="A266" s="138" t="str">
        <f aca="false">IF(B266="","","CR-"&amp;TEXT(ROW()-6,"000"))</f>
        <v/>
      </c>
      <c r="B266" s="207"/>
      <c r="C266" s="60"/>
      <c r="D266" s="131" t="str">
        <f aca="false">IF(C266="","",IF(OR(C266="ทั้งเฟส",LEFT(C266,4)="ผรม.",LEFT(C266,3)="เขต"),C266,IFERROR(INDEX('Master Plan'!$B$8:$B$27,MATCH(C266,'Master Plan'!$A$8:$A$27,0)),"?")))</f>
        <v/>
      </c>
      <c r="E266" s="204" t="str">
        <f aca="false">IF(LEFT(C266,4)="ผรม.",TRIM(MID(C266,5,5)),IF(OR(C266="ทั้งเฟส",LEFT(C266,3)="เขต"),"",IF(C266="","",IF(OR(C266="ทั้งเฟส",LEFT(C266,4)="ผรม.",LEFT(C266,3)="เขต"),C266,IFERROR(INDEX('Master Plan'!$L$8:$L$27,MATCH(C266,'Master Plan'!$A$8:$A$27,0)),"?")))))</f>
        <v/>
      </c>
      <c r="F266" s="60"/>
      <c r="G266" s="207"/>
      <c r="H266" s="207"/>
      <c r="I266" s="215" t="str">
        <f aca="false">IF(AND(ISNUMBER(G266),ISNUMBER(H266)),H266-G266,"")</f>
        <v/>
      </c>
      <c r="J266" s="216"/>
      <c r="K266" s="60"/>
      <c r="L266" s="60"/>
      <c r="M266" s="113"/>
      <c r="N266" s="60"/>
      <c r="O266" s="60"/>
      <c r="P266" s="131" t="str">
        <f aca="false">IF(B266="","",IF(LEFT(F266,8)="Baseline","ผู้บริหาร + กปภ.",IF(ABS(N(J266))=0,"วิศวกร / ทีม",IF(ABS(N(J266))&lt;=CR_T1,"PM",IF(ABS(N(J266))&lt;=CR_T2,"Change Board","ผู้บริหาร + กปภ.")))))</f>
        <v/>
      </c>
      <c r="Q266" s="60"/>
      <c r="R266" s="60"/>
      <c r="S266" s="207"/>
    </row>
    <row r="267" customFormat="false" ht="15" hidden="false" customHeight="false" outlineLevel="0" collapsed="false">
      <c r="A267" s="138" t="str">
        <f aca="false">IF(B267="","","CR-"&amp;TEXT(ROW()-6,"000"))</f>
        <v/>
      </c>
      <c r="B267" s="207"/>
      <c r="C267" s="60"/>
      <c r="D267" s="131" t="str">
        <f aca="false">IF(C267="","",IF(OR(C267="ทั้งเฟส",LEFT(C267,4)="ผรม.",LEFT(C267,3)="เขต"),C267,IFERROR(INDEX('Master Plan'!$B$8:$B$27,MATCH(C267,'Master Plan'!$A$8:$A$27,0)),"?")))</f>
        <v/>
      </c>
      <c r="E267" s="204" t="str">
        <f aca="false">IF(LEFT(C267,4)="ผรม.",TRIM(MID(C267,5,5)),IF(OR(C267="ทั้งเฟส",LEFT(C267,3)="เขต"),"",IF(C267="","",IF(OR(C267="ทั้งเฟส",LEFT(C267,4)="ผรม.",LEFT(C267,3)="เขต"),C267,IFERROR(INDEX('Master Plan'!$L$8:$L$27,MATCH(C267,'Master Plan'!$A$8:$A$27,0)),"?")))))</f>
        <v/>
      </c>
      <c r="F267" s="60"/>
      <c r="G267" s="207"/>
      <c r="H267" s="207"/>
      <c r="I267" s="215" t="str">
        <f aca="false">IF(AND(ISNUMBER(G267),ISNUMBER(H267)),H267-G267,"")</f>
        <v/>
      </c>
      <c r="J267" s="216"/>
      <c r="K267" s="60"/>
      <c r="L267" s="60"/>
      <c r="M267" s="113"/>
      <c r="N267" s="60"/>
      <c r="O267" s="60"/>
      <c r="P267" s="131" t="str">
        <f aca="false">IF(B267="","",IF(LEFT(F267,8)="Baseline","ผู้บริหาร + กปภ.",IF(ABS(N(J267))=0,"วิศวกร / ทีม",IF(ABS(N(J267))&lt;=CR_T1,"PM",IF(ABS(N(J267))&lt;=CR_T2,"Change Board","ผู้บริหาร + กปภ.")))))</f>
        <v/>
      </c>
      <c r="Q267" s="60"/>
      <c r="R267" s="60"/>
      <c r="S267" s="207"/>
    </row>
    <row r="268" customFormat="false" ht="15" hidden="false" customHeight="false" outlineLevel="0" collapsed="false">
      <c r="A268" s="138" t="str">
        <f aca="false">IF(B268="","","CR-"&amp;TEXT(ROW()-6,"000"))</f>
        <v/>
      </c>
      <c r="B268" s="207"/>
      <c r="C268" s="60"/>
      <c r="D268" s="131" t="str">
        <f aca="false">IF(C268="","",IF(OR(C268="ทั้งเฟส",LEFT(C268,4)="ผรม.",LEFT(C268,3)="เขต"),C268,IFERROR(INDEX('Master Plan'!$B$8:$B$27,MATCH(C268,'Master Plan'!$A$8:$A$27,0)),"?")))</f>
        <v/>
      </c>
      <c r="E268" s="204" t="str">
        <f aca="false">IF(LEFT(C268,4)="ผรม.",TRIM(MID(C268,5,5)),IF(OR(C268="ทั้งเฟส",LEFT(C268,3)="เขต"),"",IF(C268="","",IF(OR(C268="ทั้งเฟส",LEFT(C268,4)="ผรม.",LEFT(C268,3)="เขต"),C268,IFERROR(INDEX('Master Plan'!$L$8:$L$27,MATCH(C268,'Master Plan'!$A$8:$A$27,0)),"?")))))</f>
        <v/>
      </c>
      <c r="F268" s="60"/>
      <c r="G268" s="207"/>
      <c r="H268" s="207"/>
      <c r="I268" s="215" t="str">
        <f aca="false">IF(AND(ISNUMBER(G268),ISNUMBER(H268)),H268-G268,"")</f>
        <v/>
      </c>
      <c r="J268" s="216"/>
      <c r="K268" s="60"/>
      <c r="L268" s="60"/>
      <c r="M268" s="113"/>
      <c r="N268" s="60"/>
      <c r="O268" s="60"/>
      <c r="P268" s="131" t="str">
        <f aca="false">IF(B268="","",IF(LEFT(F268,8)="Baseline","ผู้บริหาร + กปภ.",IF(ABS(N(J268))=0,"วิศวกร / ทีม",IF(ABS(N(J268))&lt;=CR_T1,"PM",IF(ABS(N(J268))&lt;=CR_T2,"Change Board","ผู้บริหาร + กปภ.")))))</f>
        <v/>
      </c>
      <c r="Q268" s="60"/>
      <c r="R268" s="60"/>
      <c r="S268" s="207"/>
    </row>
    <row r="269" customFormat="false" ht="15" hidden="false" customHeight="false" outlineLevel="0" collapsed="false">
      <c r="A269" s="138" t="str">
        <f aca="false">IF(B269="","","CR-"&amp;TEXT(ROW()-6,"000"))</f>
        <v/>
      </c>
      <c r="B269" s="207"/>
      <c r="C269" s="60"/>
      <c r="D269" s="131" t="str">
        <f aca="false">IF(C269="","",IF(OR(C269="ทั้งเฟส",LEFT(C269,4)="ผรม.",LEFT(C269,3)="เขต"),C269,IFERROR(INDEX('Master Plan'!$B$8:$B$27,MATCH(C269,'Master Plan'!$A$8:$A$27,0)),"?")))</f>
        <v/>
      </c>
      <c r="E269" s="204" t="str">
        <f aca="false">IF(LEFT(C269,4)="ผรม.",TRIM(MID(C269,5,5)),IF(OR(C269="ทั้งเฟส",LEFT(C269,3)="เขต"),"",IF(C269="","",IF(OR(C269="ทั้งเฟส",LEFT(C269,4)="ผรม.",LEFT(C269,3)="เขต"),C269,IFERROR(INDEX('Master Plan'!$L$8:$L$27,MATCH(C269,'Master Plan'!$A$8:$A$27,0)),"?")))))</f>
        <v/>
      </c>
      <c r="F269" s="60"/>
      <c r="G269" s="207"/>
      <c r="H269" s="207"/>
      <c r="I269" s="215" t="str">
        <f aca="false">IF(AND(ISNUMBER(G269),ISNUMBER(H269)),H269-G269,"")</f>
        <v/>
      </c>
      <c r="J269" s="216"/>
      <c r="K269" s="60"/>
      <c r="L269" s="60"/>
      <c r="M269" s="113"/>
      <c r="N269" s="60"/>
      <c r="O269" s="60"/>
      <c r="P269" s="131" t="str">
        <f aca="false">IF(B269="","",IF(LEFT(F269,8)="Baseline","ผู้บริหาร + กปภ.",IF(ABS(N(J269))=0,"วิศวกร / ทีม",IF(ABS(N(J269))&lt;=CR_T1,"PM",IF(ABS(N(J269))&lt;=CR_T2,"Change Board","ผู้บริหาร + กปภ.")))))</f>
        <v/>
      </c>
      <c r="Q269" s="60"/>
      <c r="R269" s="60"/>
      <c r="S269" s="207"/>
    </row>
    <row r="270" customFormat="false" ht="15" hidden="false" customHeight="false" outlineLevel="0" collapsed="false">
      <c r="A270" s="138" t="str">
        <f aca="false">IF(B270="","","CR-"&amp;TEXT(ROW()-6,"000"))</f>
        <v/>
      </c>
      <c r="B270" s="207"/>
      <c r="C270" s="60"/>
      <c r="D270" s="131" t="str">
        <f aca="false">IF(C270="","",IF(OR(C270="ทั้งเฟส",LEFT(C270,4)="ผรม.",LEFT(C270,3)="เขต"),C270,IFERROR(INDEX('Master Plan'!$B$8:$B$27,MATCH(C270,'Master Plan'!$A$8:$A$27,0)),"?")))</f>
        <v/>
      </c>
      <c r="E270" s="204" t="str">
        <f aca="false">IF(LEFT(C270,4)="ผรม.",TRIM(MID(C270,5,5)),IF(OR(C270="ทั้งเฟส",LEFT(C270,3)="เขต"),"",IF(C270="","",IF(OR(C270="ทั้งเฟส",LEFT(C270,4)="ผรม.",LEFT(C270,3)="เขต"),C270,IFERROR(INDEX('Master Plan'!$L$8:$L$27,MATCH(C270,'Master Plan'!$A$8:$A$27,0)),"?")))))</f>
        <v/>
      </c>
      <c r="F270" s="60"/>
      <c r="G270" s="207"/>
      <c r="H270" s="207"/>
      <c r="I270" s="215" t="str">
        <f aca="false">IF(AND(ISNUMBER(G270),ISNUMBER(H270)),H270-G270,"")</f>
        <v/>
      </c>
      <c r="J270" s="216"/>
      <c r="K270" s="60"/>
      <c r="L270" s="60"/>
      <c r="M270" s="113"/>
      <c r="N270" s="60"/>
      <c r="O270" s="60"/>
      <c r="P270" s="131" t="str">
        <f aca="false">IF(B270="","",IF(LEFT(F270,8)="Baseline","ผู้บริหาร + กปภ.",IF(ABS(N(J270))=0,"วิศวกร / ทีม",IF(ABS(N(J270))&lt;=CR_T1,"PM",IF(ABS(N(J270))&lt;=CR_T2,"Change Board","ผู้บริหาร + กปภ.")))))</f>
        <v/>
      </c>
      <c r="Q270" s="60"/>
      <c r="R270" s="60"/>
      <c r="S270" s="207"/>
    </row>
    <row r="271" customFormat="false" ht="15" hidden="false" customHeight="false" outlineLevel="0" collapsed="false">
      <c r="A271" s="138" t="str">
        <f aca="false">IF(B271="","","CR-"&amp;TEXT(ROW()-6,"000"))</f>
        <v/>
      </c>
      <c r="B271" s="207"/>
      <c r="C271" s="60"/>
      <c r="D271" s="131" t="str">
        <f aca="false">IF(C271="","",IF(OR(C271="ทั้งเฟส",LEFT(C271,4)="ผรม.",LEFT(C271,3)="เขต"),C271,IFERROR(INDEX('Master Plan'!$B$8:$B$27,MATCH(C271,'Master Plan'!$A$8:$A$27,0)),"?")))</f>
        <v/>
      </c>
      <c r="E271" s="204" t="str">
        <f aca="false">IF(LEFT(C271,4)="ผรม.",TRIM(MID(C271,5,5)),IF(OR(C271="ทั้งเฟส",LEFT(C271,3)="เขต"),"",IF(C271="","",IF(OR(C271="ทั้งเฟส",LEFT(C271,4)="ผรม.",LEFT(C271,3)="เขต"),C271,IFERROR(INDEX('Master Plan'!$L$8:$L$27,MATCH(C271,'Master Plan'!$A$8:$A$27,0)),"?")))))</f>
        <v/>
      </c>
      <c r="F271" s="60"/>
      <c r="G271" s="207"/>
      <c r="H271" s="207"/>
      <c r="I271" s="215" t="str">
        <f aca="false">IF(AND(ISNUMBER(G271),ISNUMBER(H271)),H271-G271,"")</f>
        <v/>
      </c>
      <c r="J271" s="216"/>
      <c r="K271" s="60"/>
      <c r="L271" s="60"/>
      <c r="M271" s="113"/>
      <c r="N271" s="60"/>
      <c r="O271" s="60"/>
      <c r="P271" s="131" t="str">
        <f aca="false">IF(B271="","",IF(LEFT(F271,8)="Baseline","ผู้บริหาร + กปภ.",IF(ABS(N(J271))=0,"วิศวกร / ทีม",IF(ABS(N(J271))&lt;=CR_T1,"PM",IF(ABS(N(J271))&lt;=CR_T2,"Change Board","ผู้บริหาร + กปภ.")))))</f>
        <v/>
      </c>
      <c r="Q271" s="60"/>
      <c r="R271" s="60"/>
      <c r="S271" s="207"/>
    </row>
    <row r="272" customFormat="false" ht="15" hidden="false" customHeight="false" outlineLevel="0" collapsed="false">
      <c r="A272" s="138" t="str">
        <f aca="false">IF(B272="","","CR-"&amp;TEXT(ROW()-6,"000"))</f>
        <v/>
      </c>
      <c r="B272" s="207"/>
      <c r="C272" s="60"/>
      <c r="D272" s="131" t="str">
        <f aca="false">IF(C272="","",IF(OR(C272="ทั้งเฟส",LEFT(C272,4)="ผรม.",LEFT(C272,3)="เขต"),C272,IFERROR(INDEX('Master Plan'!$B$8:$B$27,MATCH(C272,'Master Plan'!$A$8:$A$27,0)),"?")))</f>
        <v/>
      </c>
      <c r="E272" s="204" t="str">
        <f aca="false">IF(LEFT(C272,4)="ผรม.",TRIM(MID(C272,5,5)),IF(OR(C272="ทั้งเฟส",LEFT(C272,3)="เขต"),"",IF(C272="","",IF(OR(C272="ทั้งเฟส",LEFT(C272,4)="ผรม.",LEFT(C272,3)="เขต"),C272,IFERROR(INDEX('Master Plan'!$L$8:$L$27,MATCH(C272,'Master Plan'!$A$8:$A$27,0)),"?")))))</f>
        <v/>
      </c>
      <c r="F272" s="60"/>
      <c r="G272" s="207"/>
      <c r="H272" s="207"/>
      <c r="I272" s="215" t="str">
        <f aca="false">IF(AND(ISNUMBER(G272),ISNUMBER(H272)),H272-G272,"")</f>
        <v/>
      </c>
      <c r="J272" s="216"/>
      <c r="K272" s="60"/>
      <c r="L272" s="60"/>
      <c r="M272" s="113"/>
      <c r="N272" s="60"/>
      <c r="O272" s="60"/>
      <c r="P272" s="131" t="str">
        <f aca="false">IF(B272="","",IF(LEFT(F272,8)="Baseline","ผู้บริหาร + กปภ.",IF(ABS(N(J272))=0,"วิศวกร / ทีม",IF(ABS(N(J272))&lt;=CR_T1,"PM",IF(ABS(N(J272))&lt;=CR_T2,"Change Board","ผู้บริหาร + กปภ.")))))</f>
        <v/>
      </c>
      <c r="Q272" s="60"/>
      <c r="R272" s="60"/>
      <c r="S272" s="207"/>
    </row>
    <row r="273" customFormat="false" ht="15" hidden="false" customHeight="false" outlineLevel="0" collapsed="false">
      <c r="A273" s="138" t="str">
        <f aca="false">IF(B273="","","CR-"&amp;TEXT(ROW()-6,"000"))</f>
        <v/>
      </c>
      <c r="B273" s="207"/>
      <c r="C273" s="60"/>
      <c r="D273" s="131" t="str">
        <f aca="false">IF(C273="","",IF(OR(C273="ทั้งเฟส",LEFT(C273,4)="ผรม.",LEFT(C273,3)="เขต"),C273,IFERROR(INDEX('Master Plan'!$B$8:$B$27,MATCH(C273,'Master Plan'!$A$8:$A$27,0)),"?")))</f>
        <v/>
      </c>
      <c r="E273" s="204" t="str">
        <f aca="false">IF(LEFT(C273,4)="ผรม.",TRIM(MID(C273,5,5)),IF(OR(C273="ทั้งเฟส",LEFT(C273,3)="เขต"),"",IF(C273="","",IF(OR(C273="ทั้งเฟส",LEFT(C273,4)="ผรม.",LEFT(C273,3)="เขต"),C273,IFERROR(INDEX('Master Plan'!$L$8:$L$27,MATCH(C273,'Master Plan'!$A$8:$A$27,0)),"?")))))</f>
        <v/>
      </c>
      <c r="F273" s="60"/>
      <c r="G273" s="207"/>
      <c r="H273" s="207"/>
      <c r="I273" s="215" t="str">
        <f aca="false">IF(AND(ISNUMBER(G273),ISNUMBER(H273)),H273-G273,"")</f>
        <v/>
      </c>
      <c r="J273" s="216"/>
      <c r="K273" s="60"/>
      <c r="L273" s="60"/>
      <c r="M273" s="113"/>
      <c r="N273" s="60"/>
      <c r="O273" s="60"/>
      <c r="P273" s="131" t="str">
        <f aca="false">IF(B273="","",IF(LEFT(F273,8)="Baseline","ผู้บริหาร + กปภ.",IF(ABS(N(J273))=0,"วิศวกร / ทีม",IF(ABS(N(J273))&lt;=CR_T1,"PM",IF(ABS(N(J273))&lt;=CR_T2,"Change Board","ผู้บริหาร + กปภ.")))))</f>
        <v/>
      </c>
      <c r="Q273" s="60"/>
      <c r="R273" s="60"/>
      <c r="S273" s="207"/>
    </row>
    <row r="274" customFormat="false" ht="15" hidden="false" customHeight="false" outlineLevel="0" collapsed="false">
      <c r="A274" s="138" t="str">
        <f aca="false">IF(B274="","","CR-"&amp;TEXT(ROW()-6,"000"))</f>
        <v/>
      </c>
      <c r="B274" s="207"/>
      <c r="C274" s="60"/>
      <c r="D274" s="131" t="str">
        <f aca="false">IF(C274="","",IF(OR(C274="ทั้งเฟส",LEFT(C274,4)="ผรม.",LEFT(C274,3)="เขต"),C274,IFERROR(INDEX('Master Plan'!$B$8:$B$27,MATCH(C274,'Master Plan'!$A$8:$A$27,0)),"?")))</f>
        <v/>
      </c>
      <c r="E274" s="204" t="str">
        <f aca="false">IF(LEFT(C274,4)="ผรม.",TRIM(MID(C274,5,5)),IF(OR(C274="ทั้งเฟส",LEFT(C274,3)="เขต"),"",IF(C274="","",IF(OR(C274="ทั้งเฟส",LEFT(C274,4)="ผรม.",LEFT(C274,3)="เขต"),C274,IFERROR(INDEX('Master Plan'!$L$8:$L$27,MATCH(C274,'Master Plan'!$A$8:$A$27,0)),"?")))))</f>
        <v/>
      </c>
      <c r="F274" s="60"/>
      <c r="G274" s="207"/>
      <c r="H274" s="207"/>
      <c r="I274" s="215" t="str">
        <f aca="false">IF(AND(ISNUMBER(G274),ISNUMBER(H274)),H274-G274,"")</f>
        <v/>
      </c>
      <c r="J274" s="216"/>
      <c r="K274" s="60"/>
      <c r="L274" s="60"/>
      <c r="M274" s="113"/>
      <c r="N274" s="60"/>
      <c r="O274" s="60"/>
      <c r="P274" s="131" t="str">
        <f aca="false">IF(B274="","",IF(LEFT(F274,8)="Baseline","ผู้บริหาร + กปภ.",IF(ABS(N(J274))=0,"วิศวกร / ทีม",IF(ABS(N(J274))&lt;=CR_T1,"PM",IF(ABS(N(J274))&lt;=CR_T2,"Change Board","ผู้บริหาร + กปภ.")))))</f>
        <v/>
      </c>
      <c r="Q274" s="60"/>
      <c r="R274" s="60"/>
      <c r="S274" s="207"/>
    </row>
    <row r="275" customFormat="false" ht="15" hidden="false" customHeight="false" outlineLevel="0" collapsed="false">
      <c r="A275" s="138" t="str">
        <f aca="false">IF(B275="","","CR-"&amp;TEXT(ROW()-6,"000"))</f>
        <v/>
      </c>
      <c r="B275" s="207"/>
      <c r="C275" s="60"/>
      <c r="D275" s="131" t="str">
        <f aca="false">IF(C275="","",IF(OR(C275="ทั้งเฟส",LEFT(C275,4)="ผรม.",LEFT(C275,3)="เขต"),C275,IFERROR(INDEX('Master Plan'!$B$8:$B$27,MATCH(C275,'Master Plan'!$A$8:$A$27,0)),"?")))</f>
        <v/>
      </c>
      <c r="E275" s="204" t="str">
        <f aca="false">IF(LEFT(C275,4)="ผรม.",TRIM(MID(C275,5,5)),IF(OR(C275="ทั้งเฟส",LEFT(C275,3)="เขต"),"",IF(C275="","",IF(OR(C275="ทั้งเฟส",LEFT(C275,4)="ผรม.",LEFT(C275,3)="เขต"),C275,IFERROR(INDEX('Master Plan'!$L$8:$L$27,MATCH(C275,'Master Plan'!$A$8:$A$27,0)),"?")))))</f>
        <v/>
      </c>
      <c r="F275" s="60"/>
      <c r="G275" s="207"/>
      <c r="H275" s="207"/>
      <c r="I275" s="215" t="str">
        <f aca="false">IF(AND(ISNUMBER(G275),ISNUMBER(H275)),H275-G275,"")</f>
        <v/>
      </c>
      <c r="J275" s="216"/>
      <c r="K275" s="60"/>
      <c r="L275" s="60"/>
      <c r="M275" s="113"/>
      <c r="N275" s="60"/>
      <c r="O275" s="60"/>
      <c r="P275" s="131" t="str">
        <f aca="false">IF(B275="","",IF(LEFT(F275,8)="Baseline","ผู้บริหาร + กปภ.",IF(ABS(N(J275))=0,"วิศวกร / ทีม",IF(ABS(N(J275))&lt;=CR_T1,"PM",IF(ABS(N(J275))&lt;=CR_T2,"Change Board","ผู้บริหาร + กปภ.")))))</f>
        <v/>
      </c>
      <c r="Q275" s="60"/>
      <c r="R275" s="60"/>
      <c r="S275" s="207"/>
    </row>
    <row r="276" customFormat="false" ht="15" hidden="false" customHeight="false" outlineLevel="0" collapsed="false">
      <c r="A276" s="138" t="str">
        <f aca="false">IF(B276="","","CR-"&amp;TEXT(ROW()-6,"000"))</f>
        <v/>
      </c>
      <c r="B276" s="207"/>
      <c r="C276" s="60"/>
      <c r="D276" s="131" t="str">
        <f aca="false">IF(C276="","",IF(OR(C276="ทั้งเฟส",LEFT(C276,4)="ผรม.",LEFT(C276,3)="เขต"),C276,IFERROR(INDEX('Master Plan'!$B$8:$B$27,MATCH(C276,'Master Plan'!$A$8:$A$27,0)),"?")))</f>
        <v/>
      </c>
      <c r="E276" s="204" t="str">
        <f aca="false">IF(LEFT(C276,4)="ผรม.",TRIM(MID(C276,5,5)),IF(OR(C276="ทั้งเฟส",LEFT(C276,3)="เขต"),"",IF(C276="","",IF(OR(C276="ทั้งเฟส",LEFT(C276,4)="ผรม.",LEFT(C276,3)="เขต"),C276,IFERROR(INDEX('Master Plan'!$L$8:$L$27,MATCH(C276,'Master Plan'!$A$8:$A$27,0)),"?")))))</f>
        <v/>
      </c>
      <c r="F276" s="60"/>
      <c r="G276" s="207"/>
      <c r="H276" s="207"/>
      <c r="I276" s="215" t="str">
        <f aca="false">IF(AND(ISNUMBER(G276),ISNUMBER(H276)),H276-G276,"")</f>
        <v/>
      </c>
      <c r="J276" s="216"/>
      <c r="K276" s="60"/>
      <c r="L276" s="60"/>
      <c r="M276" s="113"/>
      <c r="N276" s="60"/>
      <c r="O276" s="60"/>
      <c r="P276" s="131" t="str">
        <f aca="false">IF(B276="","",IF(LEFT(F276,8)="Baseline","ผู้บริหาร + กปภ.",IF(ABS(N(J276))=0,"วิศวกร / ทีม",IF(ABS(N(J276))&lt;=CR_T1,"PM",IF(ABS(N(J276))&lt;=CR_T2,"Change Board","ผู้บริหาร + กปภ.")))))</f>
        <v/>
      </c>
      <c r="Q276" s="60"/>
      <c r="R276" s="60"/>
      <c r="S276" s="207"/>
    </row>
    <row r="277" customFormat="false" ht="15" hidden="false" customHeight="false" outlineLevel="0" collapsed="false">
      <c r="A277" s="138" t="str">
        <f aca="false">IF(B277="","","CR-"&amp;TEXT(ROW()-6,"000"))</f>
        <v/>
      </c>
      <c r="B277" s="207"/>
      <c r="C277" s="60"/>
      <c r="D277" s="131" t="str">
        <f aca="false">IF(C277="","",IF(OR(C277="ทั้งเฟส",LEFT(C277,4)="ผรม.",LEFT(C277,3)="เขต"),C277,IFERROR(INDEX('Master Plan'!$B$8:$B$27,MATCH(C277,'Master Plan'!$A$8:$A$27,0)),"?")))</f>
        <v/>
      </c>
      <c r="E277" s="204" t="str">
        <f aca="false">IF(LEFT(C277,4)="ผรม.",TRIM(MID(C277,5,5)),IF(OR(C277="ทั้งเฟส",LEFT(C277,3)="เขต"),"",IF(C277="","",IF(OR(C277="ทั้งเฟส",LEFT(C277,4)="ผรม.",LEFT(C277,3)="เขต"),C277,IFERROR(INDEX('Master Plan'!$L$8:$L$27,MATCH(C277,'Master Plan'!$A$8:$A$27,0)),"?")))))</f>
        <v/>
      </c>
      <c r="F277" s="60"/>
      <c r="G277" s="207"/>
      <c r="H277" s="207"/>
      <c r="I277" s="215" t="str">
        <f aca="false">IF(AND(ISNUMBER(G277),ISNUMBER(H277)),H277-G277,"")</f>
        <v/>
      </c>
      <c r="J277" s="216"/>
      <c r="K277" s="60"/>
      <c r="L277" s="60"/>
      <c r="M277" s="113"/>
      <c r="N277" s="60"/>
      <c r="O277" s="60"/>
      <c r="P277" s="131" t="str">
        <f aca="false">IF(B277="","",IF(LEFT(F277,8)="Baseline","ผู้บริหาร + กปภ.",IF(ABS(N(J277))=0,"วิศวกร / ทีม",IF(ABS(N(J277))&lt;=CR_T1,"PM",IF(ABS(N(J277))&lt;=CR_T2,"Change Board","ผู้บริหาร + กปภ.")))))</f>
        <v/>
      </c>
      <c r="Q277" s="60"/>
      <c r="R277" s="60"/>
      <c r="S277" s="207"/>
    </row>
    <row r="278" customFormat="false" ht="15" hidden="false" customHeight="false" outlineLevel="0" collapsed="false">
      <c r="A278" s="138" t="str">
        <f aca="false">IF(B278="","","CR-"&amp;TEXT(ROW()-6,"000"))</f>
        <v/>
      </c>
      <c r="B278" s="207"/>
      <c r="C278" s="60"/>
      <c r="D278" s="131" t="str">
        <f aca="false">IF(C278="","",IF(OR(C278="ทั้งเฟส",LEFT(C278,4)="ผรม.",LEFT(C278,3)="เขต"),C278,IFERROR(INDEX('Master Plan'!$B$8:$B$27,MATCH(C278,'Master Plan'!$A$8:$A$27,0)),"?")))</f>
        <v/>
      </c>
      <c r="E278" s="204" t="str">
        <f aca="false">IF(LEFT(C278,4)="ผรม.",TRIM(MID(C278,5,5)),IF(OR(C278="ทั้งเฟส",LEFT(C278,3)="เขต"),"",IF(C278="","",IF(OR(C278="ทั้งเฟส",LEFT(C278,4)="ผรม.",LEFT(C278,3)="เขต"),C278,IFERROR(INDEX('Master Plan'!$L$8:$L$27,MATCH(C278,'Master Plan'!$A$8:$A$27,0)),"?")))))</f>
        <v/>
      </c>
      <c r="F278" s="60"/>
      <c r="G278" s="207"/>
      <c r="H278" s="207"/>
      <c r="I278" s="215" t="str">
        <f aca="false">IF(AND(ISNUMBER(G278),ISNUMBER(H278)),H278-G278,"")</f>
        <v/>
      </c>
      <c r="J278" s="216"/>
      <c r="K278" s="60"/>
      <c r="L278" s="60"/>
      <c r="M278" s="113"/>
      <c r="N278" s="60"/>
      <c r="O278" s="60"/>
      <c r="P278" s="131" t="str">
        <f aca="false">IF(B278="","",IF(LEFT(F278,8)="Baseline","ผู้บริหาร + กปภ.",IF(ABS(N(J278))=0,"วิศวกร / ทีม",IF(ABS(N(J278))&lt;=CR_T1,"PM",IF(ABS(N(J278))&lt;=CR_T2,"Change Board","ผู้บริหาร + กปภ.")))))</f>
        <v/>
      </c>
      <c r="Q278" s="60"/>
      <c r="R278" s="60"/>
      <c r="S278" s="207"/>
    </row>
    <row r="279" customFormat="false" ht="15" hidden="false" customHeight="false" outlineLevel="0" collapsed="false">
      <c r="A279" s="138" t="str">
        <f aca="false">IF(B279="","","CR-"&amp;TEXT(ROW()-6,"000"))</f>
        <v/>
      </c>
      <c r="B279" s="207"/>
      <c r="C279" s="60"/>
      <c r="D279" s="131" t="str">
        <f aca="false">IF(C279="","",IF(OR(C279="ทั้งเฟส",LEFT(C279,4)="ผรม.",LEFT(C279,3)="เขต"),C279,IFERROR(INDEX('Master Plan'!$B$8:$B$27,MATCH(C279,'Master Plan'!$A$8:$A$27,0)),"?")))</f>
        <v/>
      </c>
      <c r="E279" s="204" t="str">
        <f aca="false">IF(LEFT(C279,4)="ผรม.",TRIM(MID(C279,5,5)),IF(OR(C279="ทั้งเฟส",LEFT(C279,3)="เขต"),"",IF(C279="","",IF(OR(C279="ทั้งเฟส",LEFT(C279,4)="ผรม.",LEFT(C279,3)="เขต"),C279,IFERROR(INDEX('Master Plan'!$L$8:$L$27,MATCH(C279,'Master Plan'!$A$8:$A$27,0)),"?")))))</f>
        <v/>
      </c>
      <c r="F279" s="60"/>
      <c r="G279" s="207"/>
      <c r="H279" s="207"/>
      <c r="I279" s="215" t="str">
        <f aca="false">IF(AND(ISNUMBER(G279),ISNUMBER(H279)),H279-G279,"")</f>
        <v/>
      </c>
      <c r="J279" s="216"/>
      <c r="K279" s="60"/>
      <c r="L279" s="60"/>
      <c r="M279" s="113"/>
      <c r="N279" s="60"/>
      <c r="O279" s="60"/>
      <c r="P279" s="131" t="str">
        <f aca="false">IF(B279="","",IF(LEFT(F279,8)="Baseline","ผู้บริหาร + กปภ.",IF(ABS(N(J279))=0,"วิศวกร / ทีม",IF(ABS(N(J279))&lt;=CR_T1,"PM",IF(ABS(N(J279))&lt;=CR_T2,"Change Board","ผู้บริหาร + กปภ.")))))</f>
        <v/>
      </c>
      <c r="Q279" s="60"/>
      <c r="R279" s="60"/>
      <c r="S279" s="207"/>
    </row>
    <row r="280" customFormat="false" ht="15" hidden="false" customHeight="false" outlineLevel="0" collapsed="false">
      <c r="A280" s="138" t="str">
        <f aca="false">IF(B280="","","CR-"&amp;TEXT(ROW()-6,"000"))</f>
        <v/>
      </c>
      <c r="B280" s="207"/>
      <c r="C280" s="60"/>
      <c r="D280" s="131" t="str">
        <f aca="false">IF(C280="","",IF(OR(C280="ทั้งเฟส",LEFT(C280,4)="ผรม.",LEFT(C280,3)="เขต"),C280,IFERROR(INDEX('Master Plan'!$B$8:$B$27,MATCH(C280,'Master Plan'!$A$8:$A$27,0)),"?")))</f>
        <v/>
      </c>
      <c r="E280" s="204" t="str">
        <f aca="false">IF(LEFT(C280,4)="ผรม.",TRIM(MID(C280,5,5)),IF(OR(C280="ทั้งเฟส",LEFT(C280,3)="เขต"),"",IF(C280="","",IF(OR(C280="ทั้งเฟส",LEFT(C280,4)="ผรม.",LEFT(C280,3)="เขต"),C280,IFERROR(INDEX('Master Plan'!$L$8:$L$27,MATCH(C280,'Master Plan'!$A$8:$A$27,0)),"?")))))</f>
        <v/>
      </c>
      <c r="F280" s="60"/>
      <c r="G280" s="207"/>
      <c r="H280" s="207"/>
      <c r="I280" s="215" t="str">
        <f aca="false">IF(AND(ISNUMBER(G280),ISNUMBER(H280)),H280-G280,"")</f>
        <v/>
      </c>
      <c r="J280" s="216"/>
      <c r="K280" s="60"/>
      <c r="L280" s="60"/>
      <c r="M280" s="113"/>
      <c r="N280" s="60"/>
      <c r="O280" s="60"/>
      <c r="P280" s="131" t="str">
        <f aca="false">IF(B280="","",IF(LEFT(F280,8)="Baseline","ผู้บริหาร + กปภ.",IF(ABS(N(J280))=0,"วิศวกร / ทีม",IF(ABS(N(J280))&lt;=CR_T1,"PM",IF(ABS(N(J280))&lt;=CR_T2,"Change Board","ผู้บริหาร + กปภ.")))))</f>
        <v/>
      </c>
      <c r="Q280" s="60"/>
      <c r="R280" s="60"/>
      <c r="S280" s="207"/>
    </row>
    <row r="281" customFormat="false" ht="15" hidden="false" customHeight="false" outlineLevel="0" collapsed="false">
      <c r="A281" s="138" t="str">
        <f aca="false">IF(B281="","","CR-"&amp;TEXT(ROW()-6,"000"))</f>
        <v/>
      </c>
      <c r="B281" s="207"/>
      <c r="C281" s="60"/>
      <c r="D281" s="131" t="str">
        <f aca="false">IF(C281="","",IF(OR(C281="ทั้งเฟส",LEFT(C281,4)="ผรม.",LEFT(C281,3)="เขต"),C281,IFERROR(INDEX('Master Plan'!$B$8:$B$27,MATCH(C281,'Master Plan'!$A$8:$A$27,0)),"?")))</f>
        <v/>
      </c>
      <c r="E281" s="204" t="str">
        <f aca="false">IF(LEFT(C281,4)="ผรม.",TRIM(MID(C281,5,5)),IF(OR(C281="ทั้งเฟส",LEFT(C281,3)="เขต"),"",IF(C281="","",IF(OR(C281="ทั้งเฟส",LEFT(C281,4)="ผรม.",LEFT(C281,3)="เขต"),C281,IFERROR(INDEX('Master Plan'!$L$8:$L$27,MATCH(C281,'Master Plan'!$A$8:$A$27,0)),"?")))))</f>
        <v/>
      </c>
      <c r="F281" s="60"/>
      <c r="G281" s="207"/>
      <c r="H281" s="207"/>
      <c r="I281" s="215" t="str">
        <f aca="false">IF(AND(ISNUMBER(G281),ISNUMBER(H281)),H281-G281,"")</f>
        <v/>
      </c>
      <c r="J281" s="216"/>
      <c r="K281" s="60"/>
      <c r="L281" s="60"/>
      <c r="M281" s="113"/>
      <c r="N281" s="60"/>
      <c r="O281" s="60"/>
      <c r="P281" s="131" t="str">
        <f aca="false">IF(B281="","",IF(LEFT(F281,8)="Baseline","ผู้บริหาร + กปภ.",IF(ABS(N(J281))=0,"วิศวกร / ทีม",IF(ABS(N(J281))&lt;=CR_T1,"PM",IF(ABS(N(J281))&lt;=CR_T2,"Change Board","ผู้บริหาร + กปภ.")))))</f>
        <v/>
      </c>
      <c r="Q281" s="60"/>
      <c r="R281" s="60"/>
      <c r="S281" s="207"/>
    </row>
    <row r="282" customFormat="false" ht="15" hidden="false" customHeight="false" outlineLevel="0" collapsed="false">
      <c r="A282" s="138" t="str">
        <f aca="false">IF(B282="","","CR-"&amp;TEXT(ROW()-6,"000"))</f>
        <v/>
      </c>
      <c r="B282" s="207"/>
      <c r="C282" s="60"/>
      <c r="D282" s="131" t="str">
        <f aca="false">IF(C282="","",IF(OR(C282="ทั้งเฟส",LEFT(C282,4)="ผรม.",LEFT(C282,3)="เขต"),C282,IFERROR(INDEX('Master Plan'!$B$8:$B$27,MATCH(C282,'Master Plan'!$A$8:$A$27,0)),"?")))</f>
        <v/>
      </c>
      <c r="E282" s="204" t="str">
        <f aca="false">IF(LEFT(C282,4)="ผรม.",TRIM(MID(C282,5,5)),IF(OR(C282="ทั้งเฟส",LEFT(C282,3)="เขต"),"",IF(C282="","",IF(OR(C282="ทั้งเฟส",LEFT(C282,4)="ผรม.",LEFT(C282,3)="เขต"),C282,IFERROR(INDEX('Master Plan'!$L$8:$L$27,MATCH(C282,'Master Plan'!$A$8:$A$27,0)),"?")))))</f>
        <v/>
      </c>
      <c r="F282" s="60"/>
      <c r="G282" s="207"/>
      <c r="H282" s="207"/>
      <c r="I282" s="215" t="str">
        <f aca="false">IF(AND(ISNUMBER(G282),ISNUMBER(H282)),H282-G282,"")</f>
        <v/>
      </c>
      <c r="J282" s="216"/>
      <c r="K282" s="60"/>
      <c r="L282" s="60"/>
      <c r="M282" s="113"/>
      <c r="N282" s="60"/>
      <c r="O282" s="60"/>
      <c r="P282" s="131" t="str">
        <f aca="false">IF(B282="","",IF(LEFT(F282,8)="Baseline","ผู้บริหาร + กปภ.",IF(ABS(N(J282))=0,"วิศวกร / ทีม",IF(ABS(N(J282))&lt;=CR_T1,"PM",IF(ABS(N(J282))&lt;=CR_T2,"Change Board","ผู้บริหาร + กปภ.")))))</f>
        <v/>
      </c>
      <c r="Q282" s="60"/>
      <c r="R282" s="60"/>
      <c r="S282" s="207"/>
    </row>
    <row r="283" customFormat="false" ht="15" hidden="false" customHeight="false" outlineLevel="0" collapsed="false">
      <c r="A283" s="138" t="str">
        <f aca="false">IF(B283="","","CR-"&amp;TEXT(ROW()-6,"000"))</f>
        <v/>
      </c>
      <c r="B283" s="207"/>
      <c r="C283" s="60"/>
      <c r="D283" s="131" t="str">
        <f aca="false">IF(C283="","",IF(OR(C283="ทั้งเฟส",LEFT(C283,4)="ผรม.",LEFT(C283,3)="เขต"),C283,IFERROR(INDEX('Master Plan'!$B$8:$B$27,MATCH(C283,'Master Plan'!$A$8:$A$27,0)),"?")))</f>
        <v/>
      </c>
      <c r="E283" s="204" t="str">
        <f aca="false">IF(LEFT(C283,4)="ผรม.",TRIM(MID(C283,5,5)),IF(OR(C283="ทั้งเฟส",LEFT(C283,3)="เขต"),"",IF(C283="","",IF(OR(C283="ทั้งเฟส",LEFT(C283,4)="ผรม.",LEFT(C283,3)="เขต"),C283,IFERROR(INDEX('Master Plan'!$L$8:$L$27,MATCH(C283,'Master Plan'!$A$8:$A$27,0)),"?")))))</f>
        <v/>
      </c>
      <c r="F283" s="60"/>
      <c r="G283" s="207"/>
      <c r="H283" s="207"/>
      <c r="I283" s="215" t="str">
        <f aca="false">IF(AND(ISNUMBER(G283),ISNUMBER(H283)),H283-G283,"")</f>
        <v/>
      </c>
      <c r="J283" s="216"/>
      <c r="K283" s="60"/>
      <c r="L283" s="60"/>
      <c r="M283" s="113"/>
      <c r="N283" s="60"/>
      <c r="O283" s="60"/>
      <c r="P283" s="131" t="str">
        <f aca="false">IF(B283="","",IF(LEFT(F283,8)="Baseline","ผู้บริหาร + กปภ.",IF(ABS(N(J283))=0,"วิศวกร / ทีม",IF(ABS(N(J283))&lt;=CR_T1,"PM",IF(ABS(N(J283))&lt;=CR_T2,"Change Board","ผู้บริหาร + กปภ.")))))</f>
        <v/>
      </c>
      <c r="Q283" s="60"/>
      <c r="R283" s="60"/>
      <c r="S283" s="207"/>
    </row>
    <row r="284" customFormat="false" ht="15" hidden="false" customHeight="false" outlineLevel="0" collapsed="false">
      <c r="A284" s="138" t="str">
        <f aca="false">IF(B284="","","CR-"&amp;TEXT(ROW()-6,"000"))</f>
        <v/>
      </c>
      <c r="B284" s="207"/>
      <c r="C284" s="60"/>
      <c r="D284" s="131" t="str">
        <f aca="false">IF(C284="","",IF(OR(C284="ทั้งเฟส",LEFT(C284,4)="ผรม.",LEFT(C284,3)="เขต"),C284,IFERROR(INDEX('Master Plan'!$B$8:$B$27,MATCH(C284,'Master Plan'!$A$8:$A$27,0)),"?")))</f>
        <v/>
      </c>
      <c r="E284" s="204" t="str">
        <f aca="false">IF(LEFT(C284,4)="ผรม.",TRIM(MID(C284,5,5)),IF(OR(C284="ทั้งเฟส",LEFT(C284,3)="เขต"),"",IF(C284="","",IF(OR(C284="ทั้งเฟส",LEFT(C284,4)="ผรม.",LEFT(C284,3)="เขต"),C284,IFERROR(INDEX('Master Plan'!$L$8:$L$27,MATCH(C284,'Master Plan'!$A$8:$A$27,0)),"?")))))</f>
        <v/>
      </c>
      <c r="F284" s="60"/>
      <c r="G284" s="207"/>
      <c r="H284" s="207"/>
      <c r="I284" s="215" t="str">
        <f aca="false">IF(AND(ISNUMBER(G284),ISNUMBER(H284)),H284-G284,"")</f>
        <v/>
      </c>
      <c r="J284" s="216"/>
      <c r="K284" s="60"/>
      <c r="L284" s="60"/>
      <c r="M284" s="113"/>
      <c r="N284" s="60"/>
      <c r="O284" s="60"/>
      <c r="P284" s="131" t="str">
        <f aca="false">IF(B284="","",IF(LEFT(F284,8)="Baseline","ผู้บริหาร + กปภ.",IF(ABS(N(J284))=0,"วิศวกร / ทีม",IF(ABS(N(J284))&lt;=CR_T1,"PM",IF(ABS(N(J284))&lt;=CR_T2,"Change Board","ผู้บริหาร + กปภ.")))))</f>
        <v/>
      </c>
      <c r="Q284" s="60"/>
      <c r="R284" s="60"/>
      <c r="S284" s="207"/>
    </row>
    <row r="285" customFormat="false" ht="15" hidden="false" customHeight="false" outlineLevel="0" collapsed="false">
      <c r="A285" s="138" t="str">
        <f aca="false">IF(B285="","","CR-"&amp;TEXT(ROW()-6,"000"))</f>
        <v/>
      </c>
      <c r="B285" s="207"/>
      <c r="C285" s="60"/>
      <c r="D285" s="131" t="str">
        <f aca="false">IF(C285="","",IF(OR(C285="ทั้งเฟส",LEFT(C285,4)="ผรม.",LEFT(C285,3)="เขต"),C285,IFERROR(INDEX('Master Plan'!$B$8:$B$27,MATCH(C285,'Master Plan'!$A$8:$A$27,0)),"?")))</f>
        <v/>
      </c>
      <c r="E285" s="204" t="str">
        <f aca="false">IF(LEFT(C285,4)="ผรม.",TRIM(MID(C285,5,5)),IF(OR(C285="ทั้งเฟส",LEFT(C285,3)="เขต"),"",IF(C285="","",IF(OR(C285="ทั้งเฟส",LEFT(C285,4)="ผรม.",LEFT(C285,3)="เขต"),C285,IFERROR(INDEX('Master Plan'!$L$8:$L$27,MATCH(C285,'Master Plan'!$A$8:$A$27,0)),"?")))))</f>
        <v/>
      </c>
      <c r="F285" s="60"/>
      <c r="G285" s="207"/>
      <c r="H285" s="207"/>
      <c r="I285" s="215" t="str">
        <f aca="false">IF(AND(ISNUMBER(G285),ISNUMBER(H285)),H285-G285,"")</f>
        <v/>
      </c>
      <c r="J285" s="216"/>
      <c r="K285" s="60"/>
      <c r="L285" s="60"/>
      <c r="M285" s="113"/>
      <c r="N285" s="60"/>
      <c r="O285" s="60"/>
      <c r="P285" s="131" t="str">
        <f aca="false">IF(B285="","",IF(LEFT(F285,8)="Baseline","ผู้บริหาร + กปภ.",IF(ABS(N(J285))=0,"วิศวกร / ทีม",IF(ABS(N(J285))&lt;=CR_T1,"PM",IF(ABS(N(J285))&lt;=CR_T2,"Change Board","ผู้บริหาร + กปภ.")))))</f>
        <v/>
      </c>
      <c r="Q285" s="60"/>
      <c r="R285" s="60"/>
      <c r="S285" s="207"/>
    </row>
    <row r="286" customFormat="false" ht="15" hidden="false" customHeight="false" outlineLevel="0" collapsed="false">
      <c r="A286" s="138" t="str">
        <f aca="false">IF(B286="","","CR-"&amp;TEXT(ROW()-6,"000"))</f>
        <v/>
      </c>
      <c r="B286" s="207"/>
      <c r="C286" s="60"/>
      <c r="D286" s="131" t="str">
        <f aca="false">IF(C286="","",IF(OR(C286="ทั้งเฟส",LEFT(C286,4)="ผรม.",LEFT(C286,3)="เขต"),C286,IFERROR(INDEX('Master Plan'!$B$8:$B$27,MATCH(C286,'Master Plan'!$A$8:$A$27,0)),"?")))</f>
        <v/>
      </c>
      <c r="E286" s="204" t="str">
        <f aca="false">IF(LEFT(C286,4)="ผรม.",TRIM(MID(C286,5,5)),IF(OR(C286="ทั้งเฟส",LEFT(C286,3)="เขต"),"",IF(C286="","",IF(OR(C286="ทั้งเฟส",LEFT(C286,4)="ผรม.",LEFT(C286,3)="เขต"),C286,IFERROR(INDEX('Master Plan'!$L$8:$L$27,MATCH(C286,'Master Plan'!$A$8:$A$27,0)),"?")))))</f>
        <v/>
      </c>
      <c r="F286" s="60"/>
      <c r="G286" s="207"/>
      <c r="H286" s="207"/>
      <c r="I286" s="215" t="str">
        <f aca="false">IF(AND(ISNUMBER(G286),ISNUMBER(H286)),H286-G286,"")</f>
        <v/>
      </c>
      <c r="J286" s="216"/>
      <c r="K286" s="60"/>
      <c r="L286" s="60"/>
      <c r="M286" s="113"/>
      <c r="N286" s="60"/>
      <c r="O286" s="60"/>
      <c r="P286" s="131" t="str">
        <f aca="false">IF(B286="","",IF(LEFT(F286,8)="Baseline","ผู้บริหาร + กปภ.",IF(ABS(N(J286))=0,"วิศวกร / ทีม",IF(ABS(N(J286))&lt;=CR_T1,"PM",IF(ABS(N(J286))&lt;=CR_T2,"Change Board","ผู้บริหาร + กปภ.")))))</f>
        <v/>
      </c>
      <c r="Q286" s="60"/>
      <c r="R286" s="60"/>
      <c r="S286" s="207"/>
    </row>
    <row r="287" customFormat="false" ht="15" hidden="false" customHeight="false" outlineLevel="0" collapsed="false">
      <c r="A287" s="138" t="str">
        <f aca="false">IF(B287="","","CR-"&amp;TEXT(ROW()-6,"000"))</f>
        <v/>
      </c>
      <c r="B287" s="207"/>
      <c r="C287" s="60"/>
      <c r="D287" s="131" t="str">
        <f aca="false">IF(C287="","",IF(OR(C287="ทั้งเฟส",LEFT(C287,4)="ผรม.",LEFT(C287,3)="เขต"),C287,IFERROR(INDEX('Master Plan'!$B$8:$B$27,MATCH(C287,'Master Plan'!$A$8:$A$27,0)),"?")))</f>
        <v/>
      </c>
      <c r="E287" s="204" t="str">
        <f aca="false">IF(LEFT(C287,4)="ผรม.",TRIM(MID(C287,5,5)),IF(OR(C287="ทั้งเฟส",LEFT(C287,3)="เขต"),"",IF(C287="","",IF(OR(C287="ทั้งเฟส",LEFT(C287,4)="ผรม.",LEFT(C287,3)="เขต"),C287,IFERROR(INDEX('Master Plan'!$L$8:$L$27,MATCH(C287,'Master Plan'!$A$8:$A$27,0)),"?")))))</f>
        <v/>
      </c>
      <c r="F287" s="60"/>
      <c r="G287" s="207"/>
      <c r="H287" s="207"/>
      <c r="I287" s="215" t="str">
        <f aca="false">IF(AND(ISNUMBER(G287),ISNUMBER(H287)),H287-G287,"")</f>
        <v/>
      </c>
      <c r="J287" s="216"/>
      <c r="K287" s="60"/>
      <c r="L287" s="60"/>
      <c r="M287" s="113"/>
      <c r="N287" s="60"/>
      <c r="O287" s="60"/>
      <c r="P287" s="131" t="str">
        <f aca="false">IF(B287="","",IF(LEFT(F287,8)="Baseline","ผู้บริหาร + กปภ.",IF(ABS(N(J287))=0,"วิศวกร / ทีม",IF(ABS(N(J287))&lt;=CR_T1,"PM",IF(ABS(N(J287))&lt;=CR_T2,"Change Board","ผู้บริหาร + กปภ.")))))</f>
        <v/>
      </c>
      <c r="Q287" s="60"/>
      <c r="R287" s="60"/>
      <c r="S287" s="207"/>
    </row>
    <row r="288" customFormat="false" ht="15" hidden="false" customHeight="false" outlineLevel="0" collapsed="false">
      <c r="A288" s="138" t="str">
        <f aca="false">IF(B288="","","CR-"&amp;TEXT(ROW()-6,"000"))</f>
        <v/>
      </c>
      <c r="B288" s="207"/>
      <c r="C288" s="60"/>
      <c r="D288" s="131" t="str">
        <f aca="false">IF(C288="","",IF(OR(C288="ทั้งเฟส",LEFT(C288,4)="ผรม.",LEFT(C288,3)="เขต"),C288,IFERROR(INDEX('Master Plan'!$B$8:$B$27,MATCH(C288,'Master Plan'!$A$8:$A$27,0)),"?")))</f>
        <v/>
      </c>
      <c r="E288" s="204" t="str">
        <f aca="false">IF(LEFT(C288,4)="ผรม.",TRIM(MID(C288,5,5)),IF(OR(C288="ทั้งเฟส",LEFT(C288,3)="เขต"),"",IF(C288="","",IF(OR(C288="ทั้งเฟส",LEFT(C288,4)="ผรม.",LEFT(C288,3)="เขต"),C288,IFERROR(INDEX('Master Plan'!$L$8:$L$27,MATCH(C288,'Master Plan'!$A$8:$A$27,0)),"?")))))</f>
        <v/>
      </c>
      <c r="F288" s="60"/>
      <c r="G288" s="207"/>
      <c r="H288" s="207"/>
      <c r="I288" s="215" t="str">
        <f aca="false">IF(AND(ISNUMBER(G288),ISNUMBER(H288)),H288-G288,"")</f>
        <v/>
      </c>
      <c r="J288" s="216"/>
      <c r="K288" s="60"/>
      <c r="L288" s="60"/>
      <c r="M288" s="113"/>
      <c r="N288" s="60"/>
      <c r="O288" s="60"/>
      <c r="P288" s="131" t="str">
        <f aca="false">IF(B288="","",IF(LEFT(F288,8)="Baseline","ผู้บริหาร + กปภ.",IF(ABS(N(J288))=0,"วิศวกร / ทีม",IF(ABS(N(J288))&lt;=CR_T1,"PM",IF(ABS(N(J288))&lt;=CR_T2,"Change Board","ผู้บริหาร + กปภ.")))))</f>
        <v/>
      </c>
      <c r="Q288" s="60"/>
      <c r="R288" s="60"/>
      <c r="S288" s="207"/>
    </row>
    <row r="289" customFormat="false" ht="15" hidden="false" customHeight="false" outlineLevel="0" collapsed="false">
      <c r="A289" s="138" t="str">
        <f aca="false">IF(B289="","","CR-"&amp;TEXT(ROW()-6,"000"))</f>
        <v/>
      </c>
      <c r="B289" s="207"/>
      <c r="C289" s="60"/>
      <c r="D289" s="131" t="str">
        <f aca="false">IF(C289="","",IF(OR(C289="ทั้งเฟส",LEFT(C289,4)="ผรม.",LEFT(C289,3)="เขต"),C289,IFERROR(INDEX('Master Plan'!$B$8:$B$27,MATCH(C289,'Master Plan'!$A$8:$A$27,0)),"?")))</f>
        <v/>
      </c>
      <c r="E289" s="204" t="str">
        <f aca="false">IF(LEFT(C289,4)="ผรม.",TRIM(MID(C289,5,5)),IF(OR(C289="ทั้งเฟส",LEFT(C289,3)="เขต"),"",IF(C289="","",IF(OR(C289="ทั้งเฟส",LEFT(C289,4)="ผรม.",LEFT(C289,3)="เขต"),C289,IFERROR(INDEX('Master Plan'!$L$8:$L$27,MATCH(C289,'Master Plan'!$A$8:$A$27,0)),"?")))))</f>
        <v/>
      </c>
      <c r="F289" s="60"/>
      <c r="G289" s="207"/>
      <c r="H289" s="207"/>
      <c r="I289" s="215" t="str">
        <f aca="false">IF(AND(ISNUMBER(G289),ISNUMBER(H289)),H289-G289,"")</f>
        <v/>
      </c>
      <c r="J289" s="216"/>
      <c r="K289" s="60"/>
      <c r="L289" s="60"/>
      <c r="M289" s="113"/>
      <c r="N289" s="60"/>
      <c r="O289" s="60"/>
      <c r="P289" s="131" t="str">
        <f aca="false">IF(B289="","",IF(LEFT(F289,8)="Baseline","ผู้บริหาร + กปภ.",IF(ABS(N(J289))=0,"วิศวกร / ทีม",IF(ABS(N(J289))&lt;=CR_T1,"PM",IF(ABS(N(J289))&lt;=CR_T2,"Change Board","ผู้บริหาร + กปภ.")))))</f>
        <v/>
      </c>
      <c r="Q289" s="60"/>
      <c r="R289" s="60"/>
      <c r="S289" s="207"/>
    </row>
    <row r="290" customFormat="false" ht="15" hidden="false" customHeight="false" outlineLevel="0" collapsed="false">
      <c r="A290" s="138" t="str">
        <f aca="false">IF(B290="","","CR-"&amp;TEXT(ROW()-6,"000"))</f>
        <v/>
      </c>
      <c r="B290" s="207"/>
      <c r="C290" s="60"/>
      <c r="D290" s="131" t="str">
        <f aca="false">IF(C290="","",IF(OR(C290="ทั้งเฟส",LEFT(C290,4)="ผรม.",LEFT(C290,3)="เขต"),C290,IFERROR(INDEX('Master Plan'!$B$8:$B$27,MATCH(C290,'Master Plan'!$A$8:$A$27,0)),"?")))</f>
        <v/>
      </c>
      <c r="E290" s="204" t="str">
        <f aca="false">IF(LEFT(C290,4)="ผรม.",TRIM(MID(C290,5,5)),IF(OR(C290="ทั้งเฟส",LEFT(C290,3)="เขต"),"",IF(C290="","",IF(OR(C290="ทั้งเฟส",LEFT(C290,4)="ผรม.",LEFT(C290,3)="เขต"),C290,IFERROR(INDEX('Master Plan'!$L$8:$L$27,MATCH(C290,'Master Plan'!$A$8:$A$27,0)),"?")))))</f>
        <v/>
      </c>
      <c r="F290" s="60"/>
      <c r="G290" s="207"/>
      <c r="H290" s="207"/>
      <c r="I290" s="215" t="str">
        <f aca="false">IF(AND(ISNUMBER(G290),ISNUMBER(H290)),H290-G290,"")</f>
        <v/>
      </c>
      <c r="J290" s="216"/>
      <c r="K290" s="60"/>
      <c r="L290" s="60"/>
      <c r="M290" s="113"/>
      <c r="N290" s="60"/>
      <c r="O290" s="60"/>
      <c r="P290" s="131" t="str">
        <f aca="false">IF(B290="","",IF(LEFT(F290,8)="Baseline","ผู้บริหาร + กปภ.",IF(ABS(N(J290))=0,"วิศวกร / ทีม",IF(ABS(N(J290))&lt;=CR_T1,"PM",IF(ABS(N(J290))&lt;=CR_T2,"Change Board","ผู้บริหาร + กปภ.")))))</f>
        <v/>
      </c>
      <c r="Q290" s="60"/>
      <c r="R290" s="60"/>
      <c r="S290" s="207"/>
    </row>
    <row r="291" customFormat="false" ht="15" hidden="false" customHeight="false" outlineLevel="0" collapsed="false">
      <c r="A291" s="138" t="str">
        <f aca="false">IF(B291="","","CR-"&amp;TEXT(ROW()-6,"000"))</f>
        <v/>
      </c>
      <c r="B291" s="207"/>
      <c r="C291" s="60"/>
      <c r="D291" s="131" t="str">
        <f aca="false">IF(C291="","",IF(OR(C291="ทั้งเฟส",LEFT(C291,4)="ผรม.",LEFT(C291,3)="เขต"),C291,IFERROR(INDEX('Master Plan'!$B$8:$B$27,MATCH(C291,'Master Plan'!$A$8:$A$27,0)),"?")))</f>
        <v/>
      </c>
      <c r="E291" s="204" t="str">
        <f aca="false">IF(LEFT(C291,4)="ผรม.",TRIM(MID(C291,5,5)),IF(OR(C291="ทั้งเฟส",LEFT(C291,3)="เขต"),"",IF(C291="","",IF(OR(C291="ทั้งเฟส",LEFT(C291,4)="ผรม.",LEFT(C291,3)="เขต"),C291,IFERROR(INDEX('Master Plan'!$L$8:$L$27,MATCH(C291,'Master Plan'!$A$8:$A$27,0)),"?")))))</f>
        <v/>
      </c>
      <c r="F291" s="60"/>
      <c r="G291" s="207"/>
      <c r="H291" s="207"/>
      <c r="I291" s="215" t="str">
        <f aca="false">IF(AND(ISNUMBER(G291),ISNUMBER(H291)),H291-G291,"")</f>
        <v/>
      </c>
      <c r="J291" s="216"/>
      <c r="K291" s="60"/>
      <c r="L291" s="60"/>
      <c r="M291" s="113"/>
      <c r="N291" s="60"/>
      <c r="O291" s="60"/>
      <c r="P291" s="131" t="str">
        <f aca="false">IF(B291="","",IF(LEFT(F291,8)="Baseline","ผู้บริหาร + กปภ.",IF(ABS(N(J291))=0,"วิศวกร / ทีม",IF(ABS(N(J291))&lt;=CR_T1,"PM",IF(ABS(N(J291))&lt;=CR_T2,"Change Board","ผู้บริหาร + กปภ.")))))</f>
        <v/>
      </c>
      <c r="Q291" s="60"/>
      <c r="R291" s="60"/>
      <c r="S291" s="207"/>
    </row>
    <row r="292" customFormat="false" ht="15" hidden="false" customHeight="false" outlineLevel="0" collapsed="false">
      <c r="A292" s="138" t="str">
        <f aca="false">IF(B292="","","CR-"&amp;TEXT(ROW()-6,"000"))</f>
        <v/>
      </c>
      <c r="B292" s="207"/>
      <c r="C292" s="60"/>
      <c r="D292" s="131" t="str">
        <f aca="false">IF(C292="","",IF(OR(C292="ทั้งเฟส",LEFT(C292,4)="ผรม.",LEFT(C292,3)="เขต"),C292,IFERROR(INDEX('Master Plan'!$B$8:$B$27,MATCH(C292,'Master Plan'!$A$8:$A$27,0)),"?")))</f>
        <v/>
      </c>
      <c r="E292" s="204" t="str">
        <f aca="false">IF(LEFT(C292,4)="ผรม.",TRIM(MID(C292,5,5)),IF(OR(C292="ทั้งเฟส",LEFT(C292,3)="เขต"),"",IF(C292="","",IF(OR(C292="ทั้งเฟส",LEFT(C292,4)="ผรม.",LEFT(C292,3)="เขต"),C292,IFERROR(INDEX('Master Plan'!$L$8:$L$27,MATCH(C292,'Master Plan'!$A$8:$A$27,0)),"?")))))</f>
        <v/>
      </c>
      <c r="F292" s="60"/>
      <c r="G292" s="207"/>
      <c r="H292" s="207"/>
      <c r="I292" s="215" t="str">
        <f aca="false">IF(AND(ISNUMBER(G292),ISNUMBER(H292)),H292-G292,"")</f>
        <v/>
      </c>
      <c r="J292" s="216"/>
      <c r="K292" s="60"/>
      <c r="L292" s="60"/>
      <c r="M292" s="113"/>
      <c r="N292" s="60"/>
      <c r="O292" s="60"/>
      <c r="P292" s="131" t="str">
        <f aca="false">IF(B292="","",IF(LEFT(F292,8)="Baseline","ผู้บริหาร + กปภ.",IF(ABS(N(J292))=0,"วิศวกร / ทีม",IF(ABS(N(J292))&lt;=CR_T1,"PM",IF(ABS(N(J292))&lt;=CR_T2,"Change Board","ผู้บริหาร + กปภ.")))))</f>
        <v/>
      </c>
      <c r="Q292" s="60"/>
      <c r="R292" s="60"/>
      <c r="S292" s="207"/>
    </row>
    <row r="293" customFormat="false" ht="15" hidden="false" customHeight="false" outlineLevel="0" collapsed="false">
      <c r="A293" s="138" t="str">
        <f aca="false">IF(B293="","","CR-"&amp;TEXT(ROW()-6,"000"))</f>
        <v/>
      </c>
      <c r="B293" s="207"/>
      <c r="C293" s="60"/>
      <c r="D293" s="131" t="str">
        <f aca="false">IF(C293="","",IF(OR(C293="ทั้งเฟส",LEFT(C293,4)="ผรม.",LEFT(C293,3)="เขต"),C293,IFERROR(INDEX('Master Plan'!$B$8:$B$27,MATCH(C293,'Master Plan'!$A$8:$A$27,0)),"?")))</f>
        <v/>
      </c>
      <c r="E293" s="204" t="str">
        <f aca="false">IF(LEFT(C293,4)="ผรม.",TRIM(MID(C293,5,5)),IF(OR(C293="ทั้งเฟส",LEFT(C293,3)="เขต"),"",IF(C293="","",IF(OR(C293="ทั้งเฟส",LEFT(C293,4)="ผรม.",LEFT(C293,3)="เขต"),C293,IFERROR(INDEX('Master Plan'!$L$8:$L$27,MATCH(C293,'Master Plan'!$A$8:$A$27,0)),"?")))))</f>
        <v/>
      </c>
      <c r="F293" s="60"/>
      <c r="G293" s="207"/>
      <c r="H293" s="207"/>
      <c r="I293" s="215" t="str">
        <f aca="false">IF(AND(ISNUMBER(G293),ISNUMBER(H293)),H293-G293,"")</f>
        <v/>
      </c>
      <c r="J293" s="216"/>
      <c r="K293" s="60"/>
      <c r="L293" s="60"/>
      <c r="M293" s="113"/>
      <c r="N293" s="60"/>
      <c r="O293" s="60"/>
      <c r="P293" s="131" t="str">
        <f aca="false">IF(B293="","",IF(LEFT(F293,8)="Baseline","ผู้บริหาร + กปภ.",IF(ABS(N(J293))=0,"วิศวกร / ทีม",IF(ABS(N(J293))&lt;=CR_T1,"PM",IF(ABS(N(J293))&lt;=CR_T2,"Change Board","ผู้บริหาร + กปภ.")))))</f>
        <v/>
      </c>
      <c r="Q293" s="60"/>
      <c r="R293" s="60"/>
      <c r="S293" s="207"/>
    </row>
    <row r="294" customFormat="false" ht="15" hidden="false" customHeight="false" outlineLevel="0" collapsed="false">
      <c r="A294" s="138" t="str">
        <f aca="false">IF(B294="","","CR-"&amp;TEXT(ROW()-6,"000"))</f>
        <v/>
      </c>
      <c r="B294" s="207"/>
      <c r="C294" s="60"/>
      <c r="D294" s="131" t="str">
        <f aca="false">IF(C294="","",IF(OR(C294="ทั้งเฟส",LEFT(C294,4)="ผรม.",LEFT(C294,3)="เขต"),C294,IFERROR(INDEX('Master Plan'!$B$8:$B$27,MATCH(C294,'Master Plan'!$A$8:$A$27,0)),"?")))</f>
        <v/>
      </c>
      <c r="E294" s="204" t="str">
        <f aca="false">IF(LEFT(C294,4)="ผรม.",TRIM(MID(C294,5,5)),IF(OR(C294="ทั้งเฟส",LEFT(C294,3)="เขต"),"",IF(C294="","",IF(OR(C294="ทั้งเฟส",LEFT(C294,4)="ผรม.",LEFT(C294,3)="เขต"),C294,IFERROR(INDEX('Master Plan'!$L$8:$L$27,MATCH(C294,'Master Plan'!$A$8:$A$27,0)),"?")))))</f>
        <v/>
      </c>
      <c r="F294" s="60"/>
      <c r="G294" s="207"/>
      <c r="H294" s="207"/>
      <c r="I294" s="215" t="str">
        <f aca="false">IF(AND(ISNUMBER(G294),ISNUMBER(H294)),H294-G294,"")</f>
        <v/>
      </c>
      <c r="J294" s="216"/>
      <c r="K294" s="60"/>
      <c r="L294" s="60"/>
      <c r="M294" s="113"/>
      <c r="N294" s="60"/>
      <c r="O294" s="60"/>
      <c r="P294" s="131" t="str">
        <f aca="false">IF(B294="","",IF(LEFT(F294,8)="Baseline","ผู้บริหาร + กปภ.",IF(ABS(N(J294))=0,"วิศวกร / ทีม",IF(ABS(N(J294))&lt;=CR_T1,"PM",IF(ABS(N(J294))&lt;=CR_T2,"Change Board","ผู้บริหาร + กปภ.")))))</f>
        <v/>
      </c>
      <c r="Q294" s="60"/>
      <c r="R294" s="60"/>
      <c r="S294" s="207"/>
    </row>
    <row r="295" customFormat="false" ht="15" hidden="false" customHeight="false" outlineLevel="0" collapsed="false">
      <c r="A295" s="138" t="str">
        <f aca="false">IF(B295="","","CR-"&amp;TEXT(ROW()-6,"000"))</f>
        <v/>
      </c>
      <c r="B295" s="207"/>
      <c r="C295" s="60"/>
      <c r="D295" s="131" t="str">
        <f aca="false">IF(C295="","",IF(OR(C295="ทั้งเฟส",LEFT(C295,4)="ผรม.",LEFT(C295,3)="เขต"),C295,IFERROR(INDEX('Master Plan'!$B$8:$B$27,MATCH(C295,'Master Plan'!$A$8:$A$27,0)),"?")))</f>
        <v/>
      </c>
      <c r="E295" s="204" t="str">
        <f aca="false">IF(LEFT(C295,4)="ผรม.",TRIM(MID(C295,5,5)),IF(OR(C295="ทั้งเฟส",LEFT(C295,3)="เขต"),"",IF(C295="","",IF(OR(C295="ทั้งเฟส",LEFT(C295,4)="ผรม.",LEFT(C295,3)="เขต"),C295,IFERROR(INDEX('Master Plan'!$L$8:$L$27,MATCH(C295,'Master Plan'!$A$8:$A$27,0)),"?")))))</f>
        <v/>
      </c>
      <c r="F295" s="60"/>
      <c r="G295" s="207"/>
      <c r="H295" s="207"/>
      <c r="I295" s="215" t="str">
        <f aca="false">IF(AND(ISNUMBER(G295),ISNUMBER(H295)),H295-G295,"")</f>
        <v/>
      </c>
      <c r="J295" s="216"/>
      <c r="K295" s="60"/>
      <c r="L295" s="60"/>
      <c r="M295" s="113"/>
      <c r="N295" s="60"/>
      <c r="O295" s="60"/>
      <c r="P295" s="131" t="str">
        <f aca="false">IF(B295="","",IF(LEFT(F295,8)="Baseline","ผู้บริหาร + กปภ.",IF(ABS(N(J295))=0,"วิศวกร / ทีม",IF(ABS(N(J295))&lt;=CR_T1,"PM",IF(ABS(N(J295))&lt;=CR_T2,"Change Board","ผู้บริหาร + กปภ.")))))</f>
        <v/>
      </c>
      <c r="Q295" s="60"/>
      <c r="R295" s="60"/>
      <c r="S295" s="207"/>
    </row>
    <row r="296" customFormat="false" ht="15" hidden="false" customHeight="false" outlineLevel="0" collapsed="false">
      <c r="A296" s="138" t="str">
        <f aca="false">IF(B296="","","CR-"&amp;TEXT(ROW()-6,"000"))</f>
        <v/>
      </c>
      <c r="B296" s="207"/>
      <c r="C296" s="60"/>
      <c r="D296" s="131" t="str">
        <f aca="false">IF(C296="","",IF(OR(C296="ทั้งเฟส",LEFT(C296,4)="ผรม.",LEFT(C296,3)="เขต"),C296,IFERROR(INDEX('Master Plan'!$B$8:$B$27,MATCH(C296,'Master Plan'!$A$8:$A$27,0)),"?")))</f>
        <v/>
      </c>
      <c r="E296" s="204" t="str">
        <f aca="false">IF(LEFT(C296,4)="ผรม.",TRIM(MID(C296,5,5)),IF(OR(C296="ทั้งเฟส",LEFT(C296,3)="เขต"),"",IF(C296="","",IF(OR(C296="ทั้งเฟส",LEFT(C296,4)="ผรม.",LEFT(C296,3)="เขต"),C296,IFERROR(INDEX('Master Plan'!$L$8:$L$27,MATCH(C296,'Master Plan'!$A$8:$A$27,0)),"?")))))</f>
        <v/>
      </c>
      <c r="F296" s="60"/>
      <c r="G296" s="207"/>
      <c r="H296" s="207"/>
      <c r="I296" s="215" t="str">
        <f aca="false">IF(AND(ISNUMBER(G296),ISNUMBER(H296)),H296-G296,"")</f>
        <v/>
      </c>
      <c r="J296" s="216"/>
      <c r="K296" s="60"/>
      <c r="L296" s="60"/>
      <c r="M296" s="113"/>
      <c r="N296" s="60"/>
      <c r="O296" s="60"/>
      <c r="P296" s="131" t="str">
        <f aca="false">IF(B296="","",IF(LEFT(F296,8)="Baseline","ผู้บริหาร + กปภ.",IF(ABS(N(J296))=0,"วิศวกร / ทีม",IF(ABS(N(J296))&lt;=CR_T1,"PM",IF(ABS(N(J296))&lt;=CR_T2,"Change Board","ผู้บริหาร + กปภ.")))))</f>
        <v/>
      </c>
      <c r="Q296" s="60"/>
      <c r="R296" s="60"/>
      <c r="S296" s="207"/>
    </row>
    <row r="297" customFormat="false" ht="15" hidden="false" customHeight="false" outlineLevel="0" collapsed="false">
      <c r="A297" s="138" t="str">
        <f aca="false">IF(B297="","","CR-"&amp;TEXT(ROW()-6,"000"))</f>
        <v/>
      </c>
      <c r="B297" s="207"/>
      <c r="C297" s="60"/>
      <c r="D297" s="131" t="str">
        <f aca="false">IF(C297="","",IF(OR(C297="ทั้งเฟส",LEFT(C297,4)="ผรม.",LEFT(C297,3)="เขต"),C297,IFERROR(INDEX('Master Plan'!$B$8:$B$27,MATCH(C297,'Master Plan'!$A$8:$A$27,0)),"?")))</f>
        <v/>
      </c>
      <c r="E297" s="204" t="str">
        <f aca="false">IF(LEFT(C297,4)="ผรม.",TRIM(MID(C297,5,5)),IF(OR(C297="ทั้งเฟส",LEFT(C297,3)="เขต"),"",IF(C297="","",IF(OR(C297="ทั้งเฟส",LEFT(C297,4)="ผรม.",LEFT(C297,3)="เขต"),C297,IFERROR(INDEX('Master Plan'!$L$8:$L$27,MATCH(C297,'Master Plan'!$A$8:$A$27,0)),"?")))))</f>
        <v/>
      </c>
      <c r="F297" s="60"/>
      <c r="G297" s="207"/>
      <c r="H297" s="207"/>
      <c r="I297" s="215" t="str">
        <f aca="false">IF(AND(ISNUMBER(G297),ISNUMBER(H297)),H297-G297,"")</f>
        <v/>
      </c>
      <c r="J297" s="216"/>
      <c r="K297" s="60"/>
      <c r="L297" s="60"/>
      <c r="M297" s="113"/>
      <c r="N297" s="60"/>
      <c r="O297" s="60"/>
      <c r="P297" s="131" t="str">
        <f aca="false">IF(B297="","",IF(LEFT(F297,8)="Baseline","ผู้บริหาร + กปภ.",IF(ABS(N(J297))=0,"วิศวกร / ทีม",IF(ABS(N(J297))&lt;=CR_T1,"PM",IF(ABS(N(J297))&lt;=CR_T2,"Change Board","ผู้บริหาร + กปภ.")))))</f>
        <v/>
      </c>
      <c r="Q297" s="60"/>
      <c r="R297" s="60"/>
      <c r="S297" s="207"/>
    </row>
    <row r="298" customFormat="false" ht="15" hidden="false" customHeight="false" outlineLevel="0" collapsed="false">
      <c r="A298" s="138" t="str">
        <f aca="false">IF(B298="","","CR-"&amp;TEXT(ROW()-6,"000"))</f>
        <v/>
      </c>
      <c r="B298" s="207"/>
      <c r="C298" s="60"/>
      <c r="D298" s="131" t="str">
        <f aca="false">IF(C298="","",IF(OR(C298="ทั้งเฟส",LEFT(C298,4)="ผรม.",LEFT(C298,3)="เขต"),C298,IFERROR(INDEX('Master Plan'!$B$8:$B$27,MATCH(C298,'Master Plan'!$A$8:$A$27,0)),"?")))</f>
        <v/>
      </c>
      <c r="E298" s="204" t="str">
        <f aca="false">IF(LEFT(C298,4)="ผรม.",TRIM(MID(C298,5,5)),IF(OR(C298="ทั้งเฟส",LEFT(C298,3)="เขต"),"",IF(C298="","",IF(OR(C298="ทั้งเฟส",LEFT(C298,4)="ผรม.",LEFT(C298,3)="เขต"),C298,IFERROR(INDEX('Master Plan'!$L$8:$L$27,MATCH(C298,'Master Plan'!$A$8:$A$27,0)),"?")))))</f>
        <v/>
      </c>
      <c r="F298" s="60"/>
      <c r="G298" s="207"/>
      <c r="H298" s="207"/>
      <c r="I298" s="215" t="str">
        <f aca="false">IF(AND(ISNUMBER(G298),ISNUMBER(H298)),H298-G298,"")</f>
        <v/>
      </c>
      <c r="J298" s="216"/>
      <c r="K298" s="60"/>
      <c r="L298" s="60"/>
      <c r="M298" s="113"/>
      <c r="N298" s="60"/>
      <c r="O298" s="60"/>
      <c r="P298" s="131" t="str">
        <f aca="false">IF(B298="","",IF(LEFT(F298,8)="Baseline","ผู้บริหาร + กปภ.",IF(ABS(N(J298))=0,"วิศวกร / ทีม",IF(ABS(N(J298))&lt;=CR_T1,"PM",IF(ABS(N(J298))&lt;=CR_T2,"Change Board","ผู้บริหาร + กปภ.")))))</f>
        <v/>
      </c>
      <c r="Q298" s="60"/>
      <c r="R298" s="60"/>
      <c r="S298" s="207"/>
    </row>
    <row r="299" customFormat="false" ht="15" hidden="false" customHeight="false" outlineLevel="0" collapsed="false">
      <c r="A299" s="138" t="str">
        <f aca="false">IF(B299="","","CR-"&amp;TEXT(ROW()-6,"000"))</f>
        <v/>
      </c>
      <c r="B299" s="207"/>
      <c r="C299" s="60"/>
      <c r="D299" s="131" t="str">
        <f aca="false">IF(C299="","",IF(OR(C299="ทั้งเฟส",LEFT(C299,4)="ผรม.",LEFT(C299,3)="เขต"),C299,IFERROR(INDEX('Master Plan'!$B$8:$B$27,MATCH(C299,'Master Plan'!$A$8:$A$27,0)),"?")))</f>
        <v/>
      </c>
      <c r="E299" s="204" t="str">
        <f aca="false">IF(LEFT(C299,4)="ผรม.",TRIM(MID(C299,5,5)),IF(OR(C299="ทั้งเฟส",LEFT(C299,3)="เขต"),"",IF(C299="","",IF(OR(C299="ทั้งเฟส",LEFT(C299,4)="ผรม.",LEFT(C299,3)="เขต"),C299,IFERROR(INDEX('Master Plan'!$L$8:$L$27,MATCH(C299,'Master Plan'!$A$8:$A$27,0)),"?")))))</f>
        <v/>
      </c>
      <c r="F299" s="60"/>
      <c r="G299" s="207"/>
      <c r="H299" s="207"/>
      <c r="I299" s="215" t="str">
        <f aca="false">IF(AND(ISNUMBER(G299),ISNUMBER(H299)),H299-G299,"")</f>
        <v/>
      </c>
      <c r="J299" s="216"/>
      <c r="K299" s="60"/>
      <c r="L299" s="60"/>
      <c r="M299" s="113"/>
      <c r="N299" s="60"/>
      <c r="O299" s="60"/>
      <c r="P299" s="131" t="str">
        <f aca="false">IF(B299="","",IF(LEFT(F299,8)="Baseline","ผู้บริหาร + กปภ.",IF(ABS(N(J299))=0,"วิศวกร / ทีม",IF(ABS(N(J299))&lt;=CR_T1,"PM",IF(ABS(N(J299))&lt;=CR_T2,"Change Board","ผู้บริหาร + กปภ.")))))</f>
        <v/>
      </c>
      <c r="Q299" s="60"/>
      <c r="R299" s="60"/>
      <c r="S299" s="207"/>
    </row>
    <row r="300" customFormat="false" ht="15" hidden="false" customHeight="false" outlineLevel="0" collapsed="false">
      <c r="A300" s="138" t="str">
        <f aca="false">IF(B300="","","CR-"&amp;TEXT(ROW()-6,"000"))</f>
        <v/>
      </c>
      <c r="B300" s="207"/>
      <c r="C300" s="60"/>
      <c r="D300" s="131" t="str">
        <f aca="false">IF(C300="","",IF(OR(C300="ทั้งเฟส",LEFT(C300,4)="ผรม.",LEFT(C300,3)="เขต"),C300,IFERROR(INDEX('Master Plan'!$B$8:$B$27,MATCH(C300,'Master Plan'!$A$8:$A$27,0)),"?")))</f>
        <v/>
      </c>
      <c r="E300" s="204" t="str">
        <f aca="false">IF(LEFT(C300,4)="ผรม.",TRIM(MID(C300,5,5)),IF(OR(C300="ทั้งเฟส",LEFT(C300,3)="เขต"),"",IF(C300="","",IF(OR(C300="ทั้งเฟส",LEFT(C300,4)="ผรม.",LEFT(C300,3)="เขต"),C300,IFERROR(INDEX('Master Plan'!$L$8:$L$27,MATCH(C300,'Master Plan'!$A$8:$A$27,0)),"?")))))</f>
        <v/>
      </c>
      <c r="F300" s="60"/>
      <c r="G300" s="207"/>
      <c r="H300" s="207"/>
      <c r="I300" s="215" t="str">
        <f aca="false">IF(AND(ISNUMBER(G300),ISNUMBER(H300)),H300-G300,"")</f>
        <v/>
      </c>
      <c r="J300" s="216"/>
      <c r="K300" s="60"/>
      <c r="L300" s="60"/>
      <c r="M300" s="113"/>
      <c r="N300" s="60"/>
      <c r="O300" s="60"/>
      <c r="P300" s="131" t="str">
        <f aca="false">IF(B300="","",IF(LEFT(F300,8)="Baseline","ผู้บริหาร + กปภ.",IF(ABS(N(J300))=0,"วิศวกร / ทีม",IF(ABS(N(J300))&lt;=CR_T1,"PM",IF(ABS(N(J300))&lt;=CR_T2,"Change Board","ผู้บริหาร + กปภ.")))))</f>
        <v/>
      </c>
      <c r="Q300" s="60"/>
      <c r="R300" s="60"/>
      <c r="S300" s="207"/>
    </row>
    <row r="301" customFormat="false" ht="15" hidden="false" customHeight="false" outlineLevel="0" collapsed="false">
      <c r="A301" s="138" t="str">
        <f aca="false">IF(B301="","","CR-"&amp;TEXT(ROW()-6,"000"))</f>
        <v/>
      </c>
      <c r="B301" s="207"/>
      <c r="C301" s="60"/>
      <c r="D301" s="131" t="str">
        <f aca="false">IF(C301="","",IF(OR(C301="ทั้งเฟส",LEFT(C301,4)="ผรม.",LEFT(C301,3)="เขต"),C301,IFERROR(INDEX('Master Plan'!$B$8:$B$27,MATCH(C301,'Master Plan'!$A$8:$A$27,0)),"?")))</f>
        <v/>
      </c>
      <c r="E301" s="204" t="str">
        <f aca="false">IF(LEFT(C301,4)="ผรม.",TRIM(MID(C301,5,5)),IF(OR(C301="ทั้งเฟส",LEFT(C301,3)="เขต"),"",IF(C301="","",IF(OR(C301="ทั้งเฟส",LEFT(C301,4)="ผรม.",LEFT(C301,3)="เขต"),C301,IFERROR(INDEX('Master Plan'!$L$8:$L$27,MATCH(C301,'Master Plan'!$A$8:$A$27,0)),"?")))))</f>
        <v/>
      </c>
      <c r="F301" s="60"/>
      <c r="G301" s="207"/>
      <c r="H301" s="207"/>
      <c r="I301" s="215" t="str">
        <f aca="false">IF(AND(ISNUMBER(G301),ISNUMBER(H301)),H301-G301,"")</f>
        <v/>
      </c>
      <c r="J301" s="216"/>
      <c r="K301" s="60"/>
      <c r="L301" s="60"/>
      <c r="M301" s="113"/>
      <c r="N301" s="60"/>
      <c r="O301" s="60"/>
      <c r="P301" s="131" t="str">
        <f aca="false">IF(B301="","",IF(LEFT(F301,8)="Baseline","ผู้บริหาร + กปภ.",IF(ABS(N(J301))=0,"วิศวกร / ทีม",IF(ABS(N(J301))&lt;=CR_T1,"PM",IF(ABS(N(J301))&lt;=CR_T2,"Change Board","ผู้บริหาร + กปภ.")))))</f>
        <v/>
      </c>
      <c r="Q301" s="60"/>
      <c r="R301" s="60"/>
      <c r="S301" s="207"/>
    </row>
    <row r="302" customFormat="false" ht="15" hidden="false" customHeight="false" outlineLevel="0" collapsed="false">
      <c r="A302" s="138" t="str">
        <f aca="false">IF(B302="","","CR-"&amp;TEXT(ROW()-6,"000"))</f>
        <v/>
      </c>
      <c r="B302" s="207"/>
      <c r="C302" s="60"/>
      <c r="D302" s="131" t="str">
        <f aca="false">IF(C302="","",IF(OR(C302="ทั้งเฟส",LEFT(C302,4)="ผรม.",LEFT(C302,3)="เขต"),C302,IFERROR(INDEX('Master Plan'!$B$8:$B$27,MATCH(C302,'Master Plan'!$A$8:$A$27,0)),"?")))</f>
        <v/>
      </c>
      <c r="E302" s="204" t="str">
        <f aca="false">IF(LEFT(C302,4)="ผรม.",TRIM(MID(C302,5,5)),IF(OR(C302="ทั้งเฟส",LEFT(C302,3)="เขต"),"",IF(C302="","",IF(OR(C302="ทั้งเฟส",LEFT(C302,4)="ผรม.",LEFT(C302,3)="เขต"),C302,IFERROR(INDEX('Master Plan'!$L$8:$L$27,MATCH(C302,'Master Plan'!$A$8:$A$27,0)),"?")))))</f>
        <v/>
      </c>
      <c r="F302" s="60"/>
      <c r="G302" s="207"/>
      <c r="H302" s="207"/>
      <c r="I302" s="215" t="str">
        <f aca="false">IF(AND(ISNUMBER(G302),ISNUMBER(H302)),H302-G302,"")</f>
        <v/>
      </c>
      <c r="J302" s="216"/>
      <c r="K302" s="60"/>
      <c r="L302" s="60"/>
      <c r="M302" s="113"/>
      <c r="N302" s="60"/>
      <c r="O302" s="60"/>
      <c r="P302" s="131" t="str">
        <f aca="false">IF(B302="","",IF(LEFT(F302,8)="Baseline","ผู้บริหาร + กปภ.",IF(ABS(N(J302))=0,"วิศวกร / ทีม",IF(ABS(N(J302))&lt;=CR_T1,"PM",IF(ABS(N(J302))&lt;=CR_T2,"Change Board","ผู้บริหาร + กปภ.")))))</f>
        <v/>
      </c>
      <c r="Q302" s="60"/>
      <c r="R302" s="60"/>
      <c r="S302" s="207"/>
    </row>
    <row r="303" customFormat="false" ht="15" hidden="false" customHeight="false" outlineLevel="0" collapsed="false">
      <c r="A303" s="138" t="str">
        <f aca="false">IF(B303="","","CR-"&amp;TEXT(ROW()-6,"000"))</f>
        <v/>
      </c>
      <c r="B303" s="207"/>
      <c r="C303" s="60"/>
      <c r="D303" s="131" t="str">
        <f aca="false">IF(C303="","",IF(OR(C303="ทั้งเฟส",LEFT(C303,4)="ผรม.",LEFT(C303,3)="เขต"),C303,IFERROR(INDEX('Master Plan'!$B$8:$B$27,MATCH(C303,'Master Plan'!$A$8:$A$27,0)),"?")))</f>
        <v/>
      </c>
      <c r="E303" s="204" t="str">
        <f aca="false">IF(LEFT(C303,4)="ผรม.",TRIM(MID(C303,5,5)),IF(OR(C303="ทั้งเฟส",LEFT(C303,3)="เขต"),"",IF(C303="","",IF(OR(C303="ทั้งเฟส",LEFT(C303,4)="ผรม.",LEFT(C303,3)="เขต"),C303,IFERROR(INDEX('Master Plan'!$L$8:$L$27,MATCH(C303,'Master Plan'!$A$8:$A$27,0)),"?")))))</f>
        <v/>
      </c>
      <c r="F303" s="60"/>
      <c r="G303" s="207"/>
      <c r="H303" s="207"/>
      <c r="I303" s="215" t="str">
        <f aca="false">IF(AND(ISNUMBER(G303),ISNUMBER(H303)),H303-G303,"")</f>
        <v/>
      </c>
      <c r="J303" s="216"/>
      <c r="K303" s="60"/>
      <c r="L303" s="60"/>
      <c r="M303" s="113"/>
      <c r="N303" s="60"/>
      <c r="O303" s="60"/>
      <c r="P303" s="131" t="str">
        <f aca="false">IF(B303="","",IF(LEFT(F303,8)="Baseline","ผู้บริหาร + กปภ.",IF(ABS(N(J303))=0,"วิศวกร / ทีม",IF(ABS(N(J303))&lt;=CR_T1,"PM",IF(ABS(N(J303))&lt;=CR_T2,"Change Board","ผู้บริหาร + กปภ.")))))</f>
        <v/>
      </c>
      <c r="Q303" s="60"/>
      <c r="R303" s="60"/>
      <c r="S303" s="207"/>
    </row>
    <row r="304" customFormat="false" ht="15" hidden="false" customHeight="false" outlineLevel="0" collapsed="false">
      <c r="A304" s="138" t="str">
        <f aca="false">IF(B304="","","CR-"&amp;TEXT(ROW()-6,"000"))</f>
        <v/>
      </c>
      <c r="B304" s="207"/>
      <c r="C304" s="60"/>
      <c r="D304" s="131" t="str">
        <f aca="false">IF(C304="","",IF(OR(C304="ทั้งเฟส",LEFT(C304,4)="ผรม.",LEFT(C304,3)="เขต"),C304,IFERROR(INDEX('Master Plan'!$B$8:$B$27,MATCH(C304,'Master Plan'!$A$8:$A$27,0)),"?")))</f>
        <v/>
      </c>
      <c r="E304" s="204" t="str">
        <f aca="false">IF(LEFT(C304,4)="ผรม.",TRIM(MID(C304,5,5)),IF(OR(C304="ทั้งเฟส",LEFT(C304,3)="เขต"),"",IF(C304="","",IF(OR(C304="ทั้งเฟส",LEFT(C304,4)="ผรม.",LEFT(C304,3)="เขต"),C304,IFERROR(INDEX('Master Plan'!$L$8:$L$27,MATCH(C304,'Master Plan'!$A$8:$A$27,0)),"?")))))</f>
        <v/>
      </c>
      <c r="F304" s="60"/>
      <c r="G304" s="207"/>
      <c r="H304" s="207"/>
      <c r="I304" s="215" t="str">
        <f aca="false">IF(AND(ISNUMBER(G304),ISNUMBER(H304)),H304-G304,"")</f>
        <v/>
      </c>
      <c r="J304" s="216"/>
      <c r="K304" s="60"/>
      <c r="L304" s="60"/>
      <c r="M304" s="113"/>
      <c r="N304" s="60"/>
      <c r="O304" s="60"/>
      <c r="P304" s="131" t="str">
        <f aca="false">IF(B304="","",IF(LEFT(F304,8)="Baseline","ผู้บริหาร + กปภ.",IF(ABS(N(J304))=0,"วิศวกร / ทีม",IF(ABS(N(J304))&lt;=CR_T1,"PM",IF(ABS(N(J304))&lt;=CR_T2,"Change Board","ผู้บริหาร + กปภ.")))))</f>
        <v/>
      </c>
      <c r="Q304" s="60"/>
      <c r="R304" s="60"/>
      <c r="S304" s="207"/>
    </row>
    <row r="305" customFormat="false" ht="15" hidden="false" customHeight="false" outlineLevel="0" collapsed="false">
      <c r="A305" s="138" t="str">
        <f aca="false">IF(B305="","","CR-"&amp;TEXT(ROW()-6,"000"))</f>
        <v/>
      </c>
      <c r="B305" s="207"/>
      <c r="C305" s="60"/>
      <c r="D305" s="131" t="str">
        <f aca="false">IF(C305="","",IF(OR(C305="ทั้งเฟส",LEFT(C305,4)="ผรม.",LEFT(C305,3)="เขต"),C305,IFERROR(INDEX('Master Plan'!$B$8:$B$27,MATCH(C305,'Master Plan'!$A$8:$A$27,0)),"?")))</f>
        <v/>
      </c>
      <c r="E305" s="204" t="str">
        <f aca="false">IF(LEFT(C305,4)="ผรม.",TRIM(MID(C305,5,5)),IF(OR(C305="ทั้งเฟส",LEFT(C305,3)="เขต"),"",IF(C305="","",IF(OR(C305="ทั้งเฟส",LEFT(C305,4)="ผรม.",LEFT(C305,3)="เขต"),C305,IFERROR(INDEX('Master Plan'!$L$8:$L$27,MATCH(C305,'Master Plan'!$A$8:$A$27,0)),"?")))))</f>
        <v/>
      </c>
      <c r="F305" s="60"/>
      <c r="G305" s="207"/>
      <c r="H305" s="207"/>
      <c r="I305" s="215" t="str">
        <f aca="false">IF(AND(ISNUMBER(G305),ISNUMBER(H305)),H305-G305,"")</f>
        <v/>
      </c>
      <c r="J305" s="216"/>
      <c r="K305" s="60"/>
      <c r="L305" s="60"/>
      <c r="M305" s="113"/>
      <c r="N305" s="60"/>
      <c r="O305" s="60"/>
      <c r="P305" s="131" t="str">
        <f aca="false">IF(B305="","",IF(LEFT(F305,8)="Baseline","ผู้บริหาร + กปภ.",IF(ABS(N(J305))=0,"วิศวกร / ทีม",IF(ABS(N(J305))&lt;=CR_T1,"PM",IF(ABS(N(J305))&lt;=CR_T2,"Change Board","ผู้บริหาร + กปภ.")))))</f>
        <v/>
      </c>
      <c r="Q305" s="60"/>
      <c r="R305" s="60"/>
      <c r="S305" s="207"/>
    </row>
    <row r="306" customFormat="false" ht="15" hidden="false" customHeight="false" outlineLevel="0" collapsed="false">
      <c r="A306" s="138" t="str">
        <f aca="false">IF(B306="","","CR-"&amp;TEXT(ROW()-6,"000"))</f>
        <v/>
      </c>
      <c r="B306" s="207"/>
      <c r="C306" s="60"/>
      <c r="D306" s="131" t="str">
        <f aca="false">IF(C306="","",IF(OR(C306="ทั้งเฟส",LEFT(C306,4)="ผรม.",LEFT(C306,3)="เขต"),C306,IFERROR(INDEX('Master Plan'!$B$8:$B$27,MATCH(C306,'Master Plan'!$A$8:$A$27,0)),"?")))</f>
        <v/>
      </c>
      <c r="E306" s="204" t="str">
        <f aca="false">IF(LEFT(C306,4)="ผรม.",TRIM(MID(C306,5,5)),IF(OR(C306="ทั้งเฟส",LEFT(C306,3)="เขต"),"",IF(C306="","",IF(OR(C306="ทั้งเฟส",LEFT(C306,4)="ผรม.",LEFT(C306,3)="เขต"),C306,IFERROR(INDEX('Master Plan'!$L$8:$L$27,MATCH(C306,'Master Plan'!$A$8:$A$27,0)),"?")))))</f>
        <v/>
      </c>
      <c r="F306" s="60"/>
      <c r="G306" s="207"/>
      <c r="H306" s="207"/>
      <c r="I306" s="215" t="str">
        <f aca="false">IF(AND(ISNUMBER(G306),ISNUMBER(H306)),H306-G306,"")</f>
        <v/>
      </c>
      <c r="J306" s="216"/>
      <c r="K306" s="60"/>
      <c r="L306" s="60"/>
      <c r="M306" s="113"/>
      <c r="N306" s="60"/>
      <c r="O306" s="60"/>
      <c r="P306" s="131" t="str">
        <f aca="false">IF(B306="","",IF(LEFT(F306,8)="Baseline","ผู้บริหาร + กปภ.",IF(ABS(N(J306))=0,"วิศวกร / ทีม",IF(ABS(N(J306))&lt;=CR_T1,"PM",IF(ABS(N(J306))&lt;=CR_T2,"Change Board","ผู้บริหาร + กปภ.")))))</f>
        <v/>
      </c>
      <c r="Q306" s="60"/>
      <c r="R306" s="60"/>
      <c r="S306" s="207"/>
    </row>
  </sheetData>
  <sheetProtection sheet="true" formatColumns="false" formatRows="false" sort="false" autoFilter="false"/>
  <autoFilter ref="A6:S306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Q7:Q306">
    <cfRule type="expression" priority="2" aboveAverage="0" equalAverage="0" bottom="0" percent="0" rank="0" text="" dxfId="17">
      <formula>Q7="ขอข้อมูลเพิ่ม"</formula>
    </cfRule>
    <cfRule type="expression" priority="3" aboveAverage="0" equalAverage="0" bottom="0" percent="0" rank="0" text="" dxfId="27">
      <formula>Q7="รออนุมัติ"</formula>
    </cfRule>
    <cfRule type="expression" priority="4" aboveAverage="0" equalAverage="0" bottom="0" percent="0" rank="0" text="" dxfId="16">
      <formula>Q7="อนุมัติ"</formula>
    </cfRule>
    <cfRule type="expression" priority="5" aboveAverage="0" equalAverage="0" bottom="0" percent="0" rank="0" text="" dxfId="53">
      <formula>Q7="ไม่อนุมัติ"</formula>
    </cfRule>
  </conditionalFormatting>
  <conditionalFormatting sqref="P7:P306">
    <cfRule type="expression" priority="6" aboveAverage="0" equalAverage="0" bottom="0" percent="0" rank="0" text="" dxfId="31">
      <formula>P7="ผู้บริหาร + กปภ."</formula>
    </cfRule>
  </conditionalFormatting>
  <conditionalFormatting sqref="D7:D306">
    <cfRule type="expression" priority="7" aboveAverage="0" equalAverage="0" bottom="0" percent="0" rank="0" text="" dxfId="50">
      <formula>D7="?"</formula>
    </cfRule>
  </conditionalFormatting>
  <dataValidations count="10">
    <dataValidation allowBlank="true" error="เลือกจากรายการ (พิมพ์ค่าอื่นได้)" errorStyle="warning" operator="between" prompt="เลือกรหัสสถานี หรือพิมพ์ ทั้งเฟส / ผรม. S / เขต ฉ.1" showDropDown="false" showErrorMessage="true" showInputMessage="true" sqref="C7:C306" type="list">
      <formula1>'Master Plan'!$A$8:$A$27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F7:F306" type="list">
      <formula1>"ติดตั้ง/ดับไฟ,กฟภ.ตรวจ,IEC 62446,ส่งมอบงวด,ยื่นขนานไฟ,ผลพิจารณาแบบ,ชำระค่าธรรมเนียม,ขอตรวจระบบ,ยื่น พค.2,COD,Baseline ใหม่ (Re-baseline),อื่น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K7:K306" type="list">
      <formula1>"กฟภ.,ผรม.,สถานี/กปภ.,เอกสาร/ราชการ,อากาศ,วัสดุ/ผู้ขาย,ทีม TC,ลูกค้าเปลี่ยนขอบเขต,อื่น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Q7:Q306" type="list">
      <formula1>"รออนุมัติ,ขอข้อมูลเพิ่ม,อนุมัติ,ไม่อนุมัติ"</formula1>
      <formula2>0</formula2>
    </dataValidation>
    <dataValidation allowBlank="true" error="เลือกจากรายการ" errorStyle="stop" operator="between" showDropDown="false" showErrorMessage="true" showInputMessage="false" sqref="O7:O306" type="list">
      <formula1>"แนะนำอนุมัติ,แนะนำไม่อนุมัติ"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M7:M306" type="list">
      <formula1>RISK_IDS</formula1>
      <formula2>0</formula2>
    </dataValidation>
    <dataValidation allowBlank="true" error="ใส่วันที่ (2568–2571)" errorStyle="stop" operator="between" showDropDown="false" showErrorMessage="true" showInputMessage="false" sqref="B7:B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G7:G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H7:H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S7:S3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5"/>
    <col collapsed="false" customWidth="true" hidden="false" outlineLevel="0" max="6" min="6" style="0" width="20"/>
    <col collapsed="false" customWidth="true" hidden="false" outlineLevel="0" max="7" min="7" style="0" width="44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4"/>
    <col collapsed="false" customWidth="true" hidden="false" outlineLevel="0" max="16" min="16" style="0" width="26"/>
    <col collapsed="false" customWidth="true" hidden="false" outlineLevel="0" max="17" min="17" style="0" width="7"/>
    <col collapsed="false" customWidth="true" hidden="false" outlineLevel="0" max="19" min="18" style="0" width="9"/>
    <col collapsed="false" customWidth="true" hidden="false" outlineLevel="0" max="21" min="20" style="0" width="6"/>
    <col collapsed="false" customWidth="true" hidden="false" outlineLevel="0" max="22" min="22" style="0" width="7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false" outlineLevel="0" max="25" min="25" style="0" width="14"/>
  </cols>
  <sheetData>
    <row r="1" customFormat="false" ht="18.65" hidden="false" customHeight="false" outlineLevel="0" collapsed="false">
      <c r="A1" s="62" t="s">
        <v>1757</v>
      </c>
    </row>
    <row r="2" customFormat="false" ht="15" hidden="false" customHeight="false" outlineLevel="0" collapsed="false">
      <c r="A2" s="38" t="s">
        <v>1758</v>
      </c>
    </row>
    <row r="3" customFormat="false" ht="27.75" hidden="false" customHeight="true" outlineLevel="0" collapsed="false">
      <c r="A3" s="3" t="s">
        <v>1759</v>
      </c>
      <c r="B3" s="3"/>
      <c r="C3" s="3" t="s">
        <v>1760</v>
      </c>
      <c r="D3" s="3"/>
      <c r="E3" s="3" t="s">
        <v>1761</v>
      </c>
      <c r="F3" s="3"/>
      <c r="G3" s="3" t="s">
        <v>1762</v>
      </c>
      <c r="H3" s="3"/>
      <c r="I3" s="3" t="s">
        <v>1763</v>
      </c>
      <c r="J3" s="3"/>
      <c r="K3" s="3" t="s">
        <v>1764</v>
      </c>
      <c r="L3" s="3"/>
    </row>
    <row r="4" customFormat="false" ht="24" hidden="false" customHeight="true" outlineLevel="0" collapsed="false">
      <c r="A4" s="181" t="n">
        <f aca="false">COUNTIF(RW_TYPE,"?*")</f>
        <v>0</v>
      </c>
      <c r="B4" s="181"/>
      <c r="C4" s="70" t="n">
        <f aca="false">COUNTIFS(RW_TYPE,"?*",RW_DONE,"&lt;&gt;Y")</f>
        <v>0</v>
      </c>
      <c r="D4" s="70"/>
      <c r="E4" s="68" t="str">
        <f aca="false">COUNTIF('Master Plan'!$AQ$8:$AQ$27,"&gt;0")&amp;" / 20"</f>
        <v>0 / 20</v>
      </c>
      <c r="F4" s="68"/>
      <c r="G4" s="223" t="n">
        <f aca="false">SUM(RW_DAYS)</f>
        <v>0</v>
      </c>
      <c r="H4" s="223"/>
      <c r="I4" s="224" t="n">
        <f aca="false">SUM(RW_COST)</f>
        <v>0</v>
      </c>
      <c r="J4" s="224"/>
      <c r="K4" s="71" t="n">
        <f aca="false">COUNTIF(RW_BY,"ยังไม่ระบุ")</f>
        <v>0</v>
      </c>
      <c r="L4" s="71"/>
    </row>
    <row r="5" customFormat="false" ht="15" hidden="false" customHeight="false" outlineLevel="0" collapsed="false">
      <c r="P5" s="39" t="s">
        <v>1765</v>
      </c>
    </row>
    <row r="6" customFormat="false" ht="39.75" hidden="false" customHeight="true" outlineLevel="0" collapsed="false">
      <c r="A6" s="28" t="s">
        <v>1766</v>
      </c>
      <c r="B6" s="28" t="s">
        <v>572</v>
      </c>
      <c r="C6" s="28" t="s">
        <v>581</v>
      </c>
      <c r="D6" s="28" t="s">
        <v>35</v>
      </c>
      <c r="E6" s="28" t="s">
        <v>36</v>
      </c>
      <c r="F6" s="28" t="s">
        <v>1767</v>
      </c>
      <c r="G6" s="28" t="s">
        <v>1768</v>
      </c>
      <c r="H6" s="28" t="s">
        <v>1769</v>
      </c>
      <c r="I6" s="28" t="s">
        <v>1770</v>
      </c>
      <c r="J6" s="28" t="s">
        <v>1771</v>
      </c>
      <c r="K6" s="28" t="s">
        <v>1772</v>
      </c>
      <c r="L6" s="28" t="s">
        <v>1773</v>
      </c>
      <c r="M6" s="28" t="s">
        <v>1774</v>
      </c>
      <c r="N6" s="28" t="s">
        <v>723</v>
      </c>
      <c r="P6" s="28" t="s">
        <v>584</v>
      </c>
      <c r="Q6" s="28" t="s">
        <v>1775</v>
      </c>
      <c r="R6" s="28" t="s">
        <v>1776</v>
      </c>
      <c r="S6" s="28" t="s">
        <v>1777</v>
      </c>
      <c r="T6" s="28" t="s">
        <v>1778</v>
      </c>
      <c r="U6" s="28" t="s">
        <v>1779</v>
      </c>
      <c r="V6" s="28" t="s">
        <v>1780</v>
      </c>
      <c r="W6" s="28" t="s">
        <v>1781</v>
      </c>
      <c r="X6" s="28" t="s">
        <v>1782</v>
      </c>
      <c r="Y6" s="28" t="s">
        <v>1783</v>
      </c>
    </row>
    <row r="7" customFormat="false" ht="15" hidden="false" customHeight="false" outlineLevel="0" collapsed="false">
      <c r="A7" s="131" t="str">
        <f aca="false">IF(B7="","",ROW()-6)</f>
        <v/>
      </c>
      <c r="B7" s="207"/>
      <c r="C7" s="60"/>
      <c r="D7" s="131" t="str">
        <f aca="false">IF(C7="","",IF(OR(C7="ทั้งเฟส",LEFT(C7,4)="ผรม.",LEFT(C7,3)="เขต"),C7,IFERROR(INDEX('Master Plan'!$B$8:$B$27,MATCH(C7,'Master Plan'!$A$8:$A$27,0)),"?")))</f>
        <v/>
      </c>
      <c r="E7" s="118" t="str">
        <f aca="false">IF(C7="","",IF(OR(C7="ทั้งเฟส",LEFT(C7,4)="ผรม.",LEFT(C7,3)="เขต"),C7,IFERROR(INDEX('Master Plan'!$L$8:$L$27,MATCH(C7,'Master Plan'!$A$8:$A$27,0)),"?")))</f>
        <v/>
      </c>
      <c r="F7" s="60"/>
      <c r="G7" s="114"/>
      <c r="H7" s="60"/>
      <c r="I7" s="116"/>
      <c r="J7" s="225"/>
      <c r="K7" s="206" t="str">
        <f aca="false">IF(F7="","",IF(ISNUMBER(I7),I7,IFERROR(VLOOKUP(F7,RW_TBL,2,0),0)))</f>
        <v/>
      </c>
      <c r="L7" s="226" t="str">
        <f aca="false">IF(F7="","",IF(ISNUMBER(J7),J7,IFERROR(VLOOKUP(F7,RW_TBL,3,0),0)))</f>
        <v/>
      </c>
      <c r="M7" s="113"/>
      <c r="N7" s="114"/>
      <c r="P7" s="222" t="s">
        <v>1784</v>
      </c>
      <c r="Q7" s="111" t="n">
        <v>7</v>
      </c>
      <c r="R7" s="225" t="n">
        <v>1500</v>
      </c>
      <c r="S7" s="114" t="s">
        <v>1785</v>
      </c>
      <c r="T7" s="217" t="n">
        <f aca="false">COUNTIF(RW_TYPE,P7)</f>
        <v>0</v>
      </c>
      <c r="U7" s="217" t="n">
        <f aca="false">COUNTIFS(RW_TYPE,P7,RW_DONE,"&lt;&gt;Y")</f>
        <v>0</v>
      </c>
      <c r="V7" s="217" t="n">
        <f aca="false">SUMIF(RW_TYPE,P7,RW_DAYS)</f>
        <v>0</v>
      </c>
      <c r="W7" s="227" t="n">
        <f aca="false">SUMIF(RW_TYPE,P7,RW_COST)</f>
        <v>0</v>
      </c>
      <c r="X7" s="72" t="s">
        <v>1786</v>
      </c>
      <c r="Y7" s="204" t="s">
        <v>1787</v>
      </c>
    </row>
    <row r="8" customFormat="false" ht="15" hidden="false" customHeight="false" outlineLevel="0" collapsed="false">
      <c r="A8" s="131" t="str">
        <f aca="false">IF(B8="","",ROW()-6)</f>
        <v/>
      </c>
      <c r="B8" s="207"/>
      <c r="C8" s="60"/>
      <c r="D8" s="131" t="str">
        <f aca="false">IF(C8="","",IF(OR(C8="ทั้งเฟส",LEFT(C8,4)="ผรม.",LEFT(C8,3)="เขต"),C8,IFERROR(INDEX('Master Plan'!$B$8:$B$27,MATCH(C8,'Master Plan'!$A$8:$A$27,0)),"?")))</f>
        <v/>
      </c>
      <c r="E8" s="118" t="str">
        <f aca="false">IF(C8="","",IF(OR(C8="ทั้งเฟส",LEFT(C8,4)="ผรม.",LEFT(C8,3)="เขต"),C8,IFERROR(INDEX('Master Plan'!$L$8:$L$27,MATCH(C8,'Master Plan'!$A$8:$A$27,0)),"?")))</f>
        <v/>
      </c>
      <c r="F8" s="60"/>
      <c r="G8" s="114"/>
      <c r="H8" s="60"/>
      <c r="I8" s="116"/>
      <c r="J8" s="225"/>
      <c r="K8" s="206" t="str">
        <f aca="false">IF(F8="","",IF(ISNUMBER(I8),I8,IFERROR(VLOOKUP(F8,RW_TBL,2,0),0)))</f>
        <v/>
      </c>
      <c r="L8" s="226" t="str">
        <f aca="false">IF(F8="","",IF(ISNUMBER(J8),J8,IFERROR(VLOOKUP(F8,RW_TBL,3,0),0)))</f>
        <v/>
      </c>
      <c r="M8" s="113"/>
      <c r="N8" s="114"/>
      <c r="P8" s="220" t="s">
        <v>1788</v>
      </c>
      <c r="Q8" s="111" t="n">
        <v>10</v>
      </c>
      <c r="R8" s="225" t="n">
        <v>6000</v>
      </c>
      <c r="S8" s="114" t="s">
        <v>1785</v>
      </c>
      <c r="T8" s="217" t="n">
        <f aca="false">COUNTIF(RW_TYPE,P8)</f>
        <v>0</v>
      </c>
      <c r="U8" s="217" t="n">
        <f aca="false">COUNTIFS(RW_TYPE,P8,RW_DONE,"&lt;&gt;Y")</f>
        <v>0</v>
      </c>
      <c r="V8" s="217" t="n">
        <f aca="false">SUMIF(RW_TYPE,P8,RW_DAYS)</f>
        <v>0</v>
      </c>
      <c r="W8" s="227" t="n">
        <f aca="false">SUMIF(RW_TYPE,P8,RW_COST)</f>
        <v>0</v>
      </c>
      <c r="X8" s="72" t="s">
        <v>1789</v>
      </c>
      <c r="Y8" s="204" t="s">
        <v>1493</v>
      </c>
    </row>
    <row r="9" customFormat="false" ht="15" hidden="false" customHeight="false" outlineLevel="0" collapsed="false">
      <c r="A9" s="131" t="str">
        <f aca="false">IF(B9="","",ROW()-6)</f>
        <v/>
      </c>
      <c r="B9" s="207"/>
      <c r="C9" s="60"/>
      <c r="D9" s="131" t="str">
        <f aca="false">IF(C9="","",IF(OR(C9="ทั้งเฟส",LEFT(C9,4)="ผรม.",LEFT(C9,3)="เขต"),C9,IFERROR(INDEX('Master Plan'!$B$8:$B$27,MATCH(C9,'Master Plan'!$A$8:$A$27,0)),"?")))</f>
        <v/>
      </c>
      <c r="E9" s="118" t="str">
        <f aca="false">IF(C9="","",IF(OR(C9="ทั้งเฟส",LEFT(C9,4)="ผรม.",LEFT(C9,3)="เขต"),C9,IFERROR(INDEX('Master Plan'!$L$8:$L$27,MATCH(C9,'Master Plan'!$A$8:$A$27,0)),"?")))</f>
        <v/>
      </c>
      <c r="F9" s="60"/>
      <c r="G9" s="114"/>
      <c r="H9" s="60"/>
      <c r="I9" s="116"/>
      <c r="J9" s="225"/>
      <c r="K9" s="206" t="str">
        <f aca="false">IF(F9="","",IF(ISNUMBER(I9),I9,IFERROR(VLOOKUP(F9,RW_TBL,2,0),0)))</f>
        <v/>
      </c>
      <c r="L9" s="226" t="str">
        <f aca="false">IF(F9="","",IF(ISNUMBER(J9),J9,IFERROR(VLOOKUP(F9,RW_TBL,3,0),0)))</f>
        <v/>
      </c>
      <c r="M9" s="113"/>
      <c r="N9" s="114"/>
      <c r="P9" s="222" t="s">
        <v>1790</v>
      </c>
      <c r="Q9" s="111" t="n">
        <v>3</v>
      </c>
      <c r="R9" s="225" t="n">
        <v>8000</v>
      </c>
      <c r="S9" s="114" t="s">
        <v>1791</v>
      </c>
      <c r="T9" s="217" t="n">
        <f aca="false">COUNTIF(RW_TYPE,P9)</f>
        <v>0</v>
      </c>
      <c r="U9" s="217" t="n">
        <f aca="false">COUNTIFS(RW_TYPE,P9,RW_DONE,"&lt;&gt;Y")</f>
        <v>0</v>
      </c>
      <c r="V9" s="217" t="n">
        <f aca="false">SUMIF(RW_TYPE,P9,RW_DAYS)</f>
        <v>0</v>
      </c>
      <c r="W9" s="227" t="n">
        <f aca="false">SUMIF(RW_TYPE,P9,RW_COST)</f>
        <v>0</v>
      </c>
      <c r="X9" s="72" t="s">
        <v>1792</v>
      </c>
      <c r="Y9" s="204" t="s">
        <v>1205</v>
      </c>
    </row>
    <row r="10" customFormat="false" ht="15" hidden="false" customHeight="false" outlineLevel="0" collapsed="false">
      <c r="A10" s="131" t="str">
        <f aca="false">IF(B10="","",ROW()-6)</f>
        <v/>
      </c>
      <c r="B10" s="207"/>
      <c r="C10" s="60"/>
      <c r="D10" s="131" t="str">
        <f aca="false">IF(C10="","",IF(OR(C10="ทั้งเฟส",LEFT(C10,4)="ผรม.",LEFT(C10,3)="เขต"),C10,IFERROR(INDEX('Master Plan'!$B$8:$B$27,MATCH(C10,'Master Plan'!$A$8:$A$27,0)),"?")))</f>
        <v/>
      </c>
      <c r="E10" s="118" t="str">
        <f aca="false">IF(C10="","",IF(OR(C10="ทั้งเฟส",LEFT(C10,4)="ผรม.",LEFT(C10,3)="เขต"),C10,IFERROR(INDEX('Master Plan'!$L$8:$L$27,MATCH(C10,'Master Plan'!$A$8:$A$27,0)),"?")))</f>
        <v/>
      </c>
      <c r="F10" s="60"/>
      <c r="G10" s="114"/>
      <c r="H10" s="60"/>
      <c r="I10" s="116"/>
      <c r="J10" s="225"/>
      <c r="K10" s="206" t="str">
        <f aca="false">IF(F10="","",IF(ISNUMBER(I10),I10,IFERROR(VLOOKUP(F10,RW_TBL,2,0),0)))</f>
        <v/>
      </c>
      <c r="L10" s="226" t="str">
        <f aca="false">IF(F10="","",IF(ISNUMBER(J10),J10,IFERROR(VLOOKUP(F10,RW_TBL,3,0),0)))</f>
        <v/>
      </c>
      <c r="M10" s="113"/>
      <c r="N10" s="114"/>
      <c r="P10" s="222" t="s">
        <v>1793</v>
      </c>
      <c r="Q10" s="111" t="n">
        <v>2</v>
      </c>
      <c r="R10" s="225" t="n">
        <v>3000</v>
      </c>
      <c r="S10" s="114" t="s">
        <v>1785</v>
      </c>
      <c r="T10" s="217" t="n">
        <f aca="false">COUNTIF(RW_TYPE,P10)</f>
        <v>0</v>
      </c>
      <c r="U10" s="217" t="n">
        <f aca="false">COUNTIFS(RW_TYPE,P10,RW_DONE,"&lt;&gt;Y")</f>
        <v>0</v>
      </c>
      <c r="V10" s="217" t="n">
        <f aca="false">SUMIF(RW_TYPE,P10,RW_DAYS)</f>
        <v>0</v>
      </c>
      <c r="W10" s="227" t="n">
        <f aca="false">SUMIF(RW_TYPE,P10,RW_COST)</f>
        <v>0</v>
      </c>
      <c r="X10" s="72" t="s">
        <v>1794</v>
      </c>
      <c r="Y10" s="118" t="s">
        <v>1795</v>
      </c>
    </row>
    <row r="11" customFormat="false" ht="15" hidden="false" customHeight="false" outlineLevel="0" collapsed="false">
      <c r="A11" s="131" t="str">
        <f aca="false">IF(B11="","",ROW()-6)</f>
        <v/>
      </c>
      <c r="B11" s="207"/>
      <c r="C11" s="60"/>
      <c r="D11" s="131" t="str">
        <f aca="false">IF(C11="","",IF(OR(C11="ทั้งเฟส",LEFT(C11,4)="ผรม.",LEFT(C11,3)="เขต"),C11,IFERROR(INDEX('Master Plan'!$B$8:$B$27,MATCH(C11,'Master Plan'!$A$8:$A$27,0)),"?")))</f>
        <v/>
      </c>
      <c r="E11" s="118" t="str">
        <f aca="false">IF(C11="","",IF(OR(C11="ทั้งเฟส",LEFT(C11,4)="ผรม.",LEFT(C11,3)="เขต"),C11,IFERROR(INDEX('Master Plan'!$L$8:$L$27,MATCH(C11,'Master Plan'!$A$8:$A$27,0)),"?")))</f>
        <v/>
      </c>
      <c r="F11" s="60"/>
      <c r="G11" s="114"/>
      <c r="H11" s="60"/>
      <c r="I11" s="116"/>
      <c r="J11" s="225"/>
      <c r="K11" s="206" t="str">
        <f aca="false">IF(F11="","",IF(ISNUMBER(I11),I11,IFERROR(VLOOKUP(F11,RW_TBL,2,0),0)))</f>
        <v/>
      </c>
      <c r="L11" s="226" t="str">
        <f aca="false">IF(F11="","",IF(ISNUMBER(J11),J11,IFERROR(VLOOKUP(F11,RW_TBL,3,0),0)))</f>
        <v/>
      </c>
      <c r="M11" s="113"/>
      <c r="N11" s="114"/>
      <c r="P11" s="220" t="s">
        <v>1796</v>
      </c>
      <c r="Q11" s="111" t="n">
        <v>1</v>
      </c>
      <c r="R11" s="225" t="n">
        <v>500</v>
      </c>
      <c r="S11" s="114" t="s">
        <v>1791</v>
      </c>
      <c r="T11" s="217" t="n">
        <f aca="false">COUNTIF(RW_TYPE,P11)</f>
        <v>0</v>
      </c>
      <c r="U11" s="217" t="n">
        <f aca="false">COUNTIFS(RW_TYPE,P11,RW_DONE,"&lt;&gt;Y")</f>
        <v>0</v>
      </c>
      <c r="V11" s="217" t="n">
        <f aca="false">SUMIF(RW_TYPE,P11,RW_DAYS)</f>
        <v>0</v>
      </c>
      <c r="W11" s="227" t="n">
        <f aca="false">SUMIF(RW_TYPE,P11,RW_COST)</f>
        <v>0</v>
      </c>
      <c r="X11" s="72" t="s">
        <v>1797</v>
      </c>
      <c r="Y11" s="204" t="s">
        <v>221</v>
      </c>
    </row>
    <row r="12" customFormat="false" ht="15" hidden="false" customHeight="false" outlineLevel="0" collapsed="false">
      <c r="A12" s="131" t="str">
        <f aca="false">IF(B12="","",ROW()-6)</f>
        <v/>
      </c>
      <c r="B12" s="207"/>
      <c r="C12" s="60"/>
      <c r="D12" s="131" t="str">
        <f aca="false">IF(C12="","",IF(OR(C12="ทั้งเฟส",LEFT(C12,4)="ผรม.",LEFT(C12,3)="เขต"),C12,IFERROR(INDEX('Master Plan'!$B$8:$B$27,MATCH(C12,'Master Plan'!$A$8:$A$27,0)),"?")))</f>
        <v/>
      </c>
      <c r="E12" s="118" t="str">
        <f aca="false">IF(C12="","",IF(OR(C12="ทั้งเฟส",LEFT(C12,4)="ผรม.",LEFT(C12,3)="เขต"),C12,IFERROR(INDEX('Master Plan'!$L$8:$L$27,MATCH(C12,'Master Plan'!$A$8:$A$27,0)),"?")))</f>
        <v/>
      </c>
      <c r="F12" s="60"/>
      <c r="G12" s="114"/>
      <c r="H12" s="60"/>
      <c r="I12" s="116"/>
      <c r="J12" s="225"/>
      <c r="K12" s="206" t="str">
        <f aca="false">IF(F12="","",IF(ISNUMBER(I12),I12,IFERROR(VLOOKUP(F12,RW_TBL,2,0),0)))</f>
        <v/>
      </c>
      <c r="L12" s="226" t="str">
        <f aca="false">IF(F12="","",IF(ISNUMBER(J12),J12,IFERROR(VLOOKUP(F12,RW_TBL,3,0),0)))</f>
        <v/>
      </c>
      <c r="M12" s="113"/>
      <c r="N12" s="114"/>
      <c r="P12" s="222" t="s">
        <v>1798</v>
      </c>
      <c r="Q12" s="111" t="n">
        <v>3</v>
      </c>
      <c r="R12" s="225" t="n">
        <v>2000</v>
      </c>
      <c r="S12" s="114" t="s">
        <v>1791</v>
      </c>
      <c r="T12" s="217" t="n">
        <f aca="false">COUNTIF(RW_TYPE,P12)</f>
        <v>0</v>
      </c>
      <c r="U12" s="217" t="n">
        <f aca="false">COUNTIFS(RW_TYPE,P12,RW_DONE,"&lt;&gt;Y")</f>
        <v>0</v>
      </c>
      <c r="V12" s="217" t="n">
        <f aca="false">SUMIF(RW_TYPE,P12,RW_DAYS)</f>
        <v>0</v>
      </c>
      <c r="W12" s="227" t="n">
        <f aca="false">SUMIF(RW_TYPE,P12,RW_COST)</f>
        <v>0</v>
      </c>
      <c r="X12" s="72" t="s">
        <v>1799</v>
      </c>
      <c r="Y12" s="204" t="s">
        <v>1800</v>
      </c>
    </row>
    <row r="13" customFormat="false" ht="15" hidden="false" customHeight="false" outlineLevel="0" collapsed="false">
      <c r="A13" s="131" t="str">
        <f aca="false">IF(B13="","",ROW()-6)</f>
        <v/>
      </c>
      <c r="B13" s="207"/>
      <c r="C13" s="60"/>
      <c r="D13" s="131" t="str">
        <f aca="false">IF(C13="","",IF(OR(C13="ทั้งเฟส",LEFT(C13,4)="ผรม.",LEFT(C13,3)="เขต"),C13,IFERROR(INDEX('Master Plan'!$B$8:$B$27,MATCH(C13,'Master Plan'!$A$8:$A$27,0)),"?")))</f>
        <v/>
      </c>
      <c r="E13" s="118" t="str">
        <f aca="false">IF(C13="","",IF(OR(C13="ทั้งเฟส",LEFT(C13,4)="ผรม.",LEFT(C13,3)="เขต"),C13,IFERROR(INDEX('Master Plan'!$L$8:$L$27,MATCH(C13,'Master Plan'!$A$8:$A$27,0)),"?")))</f>
        <v/>
      </c>
      <c r="F13" s="60"/>
      <c r="G13" s="114"/>
      <c r="H13" s="60"/>
      <c r="I13" s="116"/>
      <c r="J13" s="225"/>
      <c r="K13" s="206" t="str">
        <f aca="false">IF(F13="","",IF(ISNUMBER(I13),I13,IFERROR(VLOOKUP(F13,RW_TBL,2,0),0)))</f>
        <v/>
      </c>
      <c r="L13" s="226" t="str">
        <f aca="false">IF(F13="","",IF(ISNUMBER(J13),J13,IFERROR(VLOOKUP(F13,RW_TBL,3,0),0)))</f>
        <v/>
      </c>
      <c r="M13" s="113"/>
      <c r="N13" s="114"/>
      <c r="P13" s="220" t="s">
        <v>1801</v>
      </c>
      <c r="Q13" s="111" t="n">
        <v>5</v>
      </c>
      <c r="R13" s="225" t="n">
        <v>1000</v>
      </c>
      <c r="S13" s="114" t="s">
        <v>1785</v>
      </c>
      <c r="T13" s="217" t="n">
        <f aca="false">COUNTIF(RW_TYPE,P13)</f>
        <v>0</v>
      </c>
      <c r="U13" s="217" t="n">
        <f aca="false">COUNTIFS(RW_TYPE,P13,RW_DONE,"&lt;&gt;Y")</f>
        <v>0</v>
      </c>
      <c r="V13" s="217" t="n">
        <f aca="false">SUMIF(RW_TYPE,P13,RW_DAYS)</f>
        <v>0</v>
      </c>
      <c r="W13" s="227" t="n">
        <f aca="false">SUMIF(RW_TYPE,P13,RW_COST)</f>
        <v>0</v>
      </c>
      <c r="X13" s="72" t="s">
        <v>1802</v>
      </c>
      <c r="Y13" s="204" t="s">
        <v>1496</v>
      </c>
    </row>
    <row r="14" customFormat="false" ht="15" hidden="false" customHeight="false" outlineLevel="0" collapsed="false">
      <c r="A14" s="131" t="str">
        <f aca="false">IF(B14="","",ROW()-6)</f>
        <v/>
      </c>
      <c r="B14" s="207"/>
      <c r="C14" s="60"/>
      <c r="D14" s="131" t="str">
        <f aca="false">IF(C14="","",IF(OR(C14="ทั้งเฟส",LEFT(C14,4)="ผรม.",LEFT(C14,3)="เขต"),C14,IFERROR(INDEX('Master Plan'!$B$8:$B$27,MATCH(C14,'Master Plan'!$A$8:$A$27,0)),"?")))</f>
        <v/>
      </c>
      <c r="E14" s="118" t="str">
        <f aca="false">IF(C14="","",IF(OR(C14="ทั้งเฟส",LEFT(C14,4)="ผรม.",LEFT(C14,3)="เขต"),C14,IFERROR(INDEX('Master Plan'!$L$8:$L$27,MATCH(C14,'Master Plan'!$A$8:$A$27,0)),"?")))</f>
        <v/>
      </c>
      <c r="F14" s="60"/>
      <c r="G14" s="114"/>
      <c r="H14" s="60"/>
      <c r="I14" s="116"/>
      <c r="J14" s="225"/>
      <c r="K14" s="206" t="str">
        <f aca="false">IF(F14="","",IF(ISNUMBER(I14),I14,IFERROR(VLOOKUP(F14,RW_TBL,2,0),0)))</f>
        <v/>
      </c>
      <c r="L14" s="226" t="str">
        <f aca="false">IF(F14="","",IF(ISNUMBER(J14),J14,IFERROR(VLOOKUP(F14,RW_TBL,3,0),0)))</f>
        <v/>
      </c>
      <c r="M14" s="113"/>
      <c r="N14" s="114"/>
      <c r="P14" s="220" t="s">
        <v>1803</v>
      </c>
      <c r="Q14" s="111" t="n">
        <v>3</v>
      </c>
      <c r="R14" s="225" t="n">
        <v>15000</v>
      </c>
      <c r="S14" s="114" t="s">
        <v>1791</v>
      </c>
      <c r="T14" s="217" t="n">
        <f aca="false">COUNTIF(RW_TYPE,P14)</f>
        <v>0</v>
      </c>
      <c r="U14" s="217" t="n">
        <f aca="false">COUNTIFS(RW_TYPE,P14,RW_DONE,"&lt;&gt;Y")</f>
        <v>0</v>
      </c>
      <c r="V14" s="217" t="n">
        <f aca="false">SUMIF(RW_TYPE,P14,RW_DAYS)</f>
        <v>0</v>
      </c>
      <c r="W14" s="227" t="n">
        <f aca="false">SUMIF(RW_TYPE,P14,RW_COST)</f>
        <v>0</v>
      </c>
      <c r="X14" s="72" t="s">
        <v>1804</v>
      </c>
      <c r="Y14" s="118" t="s">
        <v>1795</v>
      </c>
    </row>
    <row r="15" customFormat="false" ht="15" hidden="false" customHeight="false" outlineLevel="0" collapsed="false">
      <c r="A15" s="131" t="str">
        <f aca="false">IF(B15="","",ROW()-6)</f>
        <v/>
      </c>
      <c r="B15" s="207"/>
      <c r="C15" s="60"/>
      <c r="D15" s="131" t="str">
        <f aca="false">IF(C15="","",IF(OR(C15="ทั้งเฟส",LEFT(C15,4)="ผรม.",LEFT(C15,3)="เขต"),C15,IFERROR(INDEX('Master Plan'!$B$8:$B$27,MATCH(C15,'Master Plan'!$A$8:$A$27,0)),"?")))</f>
        <v/>
      </c>
      <c r="E15" s="118" t="str">
        <f aca="false">IF(C15="","",IF(OR(C15="ทั้งเฟส",LEFT(C15,4)="ผรม.",LEFT(C15,3)="เขต"),C15,IFERROR(INDEX('Master Plan'!$L$8:$L$27,MATCH(C15,'Master Plan'!$A$8:$A$27,0)),"?")))</f>
        <v/>
      </c>
      <c r="F15" s="60"/>
      <c r="G15" s="114"/>
      <c r="H15" s="60"/>
      <c r="I15" s="116"/>
      <c r="J15" s="225"/>
      <c r="K15" s="206" t="str">
        <f aca="false">IF(F15="","",IF(ISNUMBER(I15),I15,IFERROR(VLOOKUP(F15,RW_TBL,2,0),0)))</f>
        <v/>
      </c>
      <c r="L15" s="226" t="str">
        <f aca="false">IF(F15="","",IF(ISNUMBER(J15),J15,IFERROR(VLOOKUP(F15,RW_TBL,3,0),0)))</f>
        <v/>
      </c>
      <c r="M15" s="113"/>
      <c r="N15" s="114"/>
      <c r="P15" s="220" t="s">
        <v>1740</v>
      </c>
      <c r="Q15" s="111" t="n">
        <v>1</v>
      </c>
      <c r="R15" s="225" t="n">
        <v>1000</v>
      </c>
      <c r="S15" s="114" t="s">
        <v>1791</v>
      </c>
      <c r="T15" s="217" t="n">
        <f aca="false">COUNTIF(RW_TYPE,P15)</f>
        <v>0</v>
      </c>
      <c r="U15" s="217" t="n">
        <f aca="false">COUNTIFS(RW_TYPE,P15,RW_DONE,"&lt;&gt;Y")</f>
        <v>0</v>
      </c>
      <c r="V15" s="217" t="n">
        <f aca="false">SUMIF(RW_TYPE,P15,RW_DAYS)</f>
        <v>0</v>
      </c>
      <c r="W15" s="227" t="n">
        <f aca="false">SUMIF(RW_TYPE,P15,RW_COST)</f>
        <v>0</v>
      </c>
      <c r="X15" s="72"/>
      <c r="Y15" s="118" t="s">
        <v>1805</v>
      </c>
    </row>
    <row r="16" customFormat="false" ht="15" hidden="false" customHeight="false" outlineLevel="0" collapsed="false">
      <c r="A16" s="131" t="str">
        <f aca="false">IF(B16="","",ROW()-6)</f>
        <v/>
      </c>
      <c r="B16" s="207"/>
      <c r="C16" s="60"/>
      <c r="D16" s="131" t="str">
        <f aca="false">IF(C16="","",IF(OR(C16="ทั้งเฟส",LEFT(C16,4)="ผรม.",LEFT(C16,3)="เขต"),C16,IFERROR(INDEX('Master Plan'!$B$8:$B$27,MATCH(C16,'Master Plan'!$A$8:$A$27,0)),"?")))</f>
        <v/>
      </c>
      <c r="E16" s="118" t="str">
        <f aca="false">IF(C16="","",IF(OR(C16="ทั้งเฟส",LEFT(C16,4)="ผรม.",LEFT(C16,3)="เขต"),C16,IFERROR(INDEX('Master Plan'!$L$8:$L$27,MATCH(C16,'Master Plan'!$A$8:$A$27,0)),"?")))</f>
        <v/>
      </c>
      <c r="F16" s="60"/>
      <c r="G16" s="114"/>
      <c r="H16" s="60"/>
      <c r="I16" s="116"/>
      <c r="J16" s="225"/>
      <c r="K16" s="206" t="str">
        <f aca="false">IF(F16="","",IF(ISNUMBER(I16),I16,IFERROR(VLOOKUP(F16,RW_TBL,2,0),0)))</f>
        <v/>
      </c>
      <c r="L16" s="226" t="str">
        <f aca="false">IF(F16="","",IF(ISNUMBER(J16),J16,IFERROR(VLOOKUP(F16,RW_TBL,3,0),0)))</f>
        <v/>
      </c>
      <c r="M16" s="113"/>
      <c r="N16" s="114"/>
      <c r="P16" s="220" t="s">
        <v>1741</v>
      </c>
      <c r="T16" s="214" t="n">
        <f aca="false">SUM(T7:T15)</f>
        <v>0</v>
      </c>
      <c r="U16" s="214" t="n">
        <f aca="false">SUM(U7:U15)</f>
        <v>0</v>
      </c>
      <c r="V16" s="214" t="n">
        <f aca="false">SUM(V7:V15)</f>
        <v>0</v>
      </c>
      <c r="W16" s="228" t="n">
        <f aca="false">SUM(W7:W15)</f>
        <v>0</v>
      </c>
    </row>
    <row r="17" customFormat="false" ht="15" hidden="false" customHeight="false" outlineLevel="0" collapsed="false">
      <c r="A17" s="131" t="str">
        <f aca="false">IF(B17="","",ROW()-6)</f>
        <v/>
      </c>
      <c r="B17" s="207"/>
      <c r="C17" s="60"/>
      <c r="D17" s="131" t="str">
        <f aca="false">IF(C17="","",IF(OR(C17="ทั้งเฟส",LEFT(C17,4)="ผรม.",LEFT(C17,3)="เขต"),C17,IFERROR(INDEX('Master Plan'!$B$8:$B$27,MATCH(C17,'Master Plan'!$A$8:$A$27,0)),"?")))</f>
        <v/>
      </c>
      <c r="E17" s="118" t="str">
        <f aca="false">IF(C17="","",IF(OR(C17="ทั้งเฟส",LEFT(C17,4)="ผรม.",LEFT(C17,3)="เขต"),C17,IFERROR(INDEX('Master Plan'!$L$8:$L$27,MATCH(C17,'Master Plan'!$A$8:$A$27,0)),"?")))</f>
        <v/>
      </c>
      <c r="F17" s="60"/>
      <c r="G17" s="114"/>
      <c r="H17" s="60"/>
      <c r="I17" s="116"/>
      <c r="J17" s="225"/>
      <c r="K17" s="206" t="str">
        <f aca="false">IF(F17="","",IF(ISNUMBER(I17),I17,IFERROR(VLOOKUP(F17,RW_TBL,2,0),0)))</f>
        <v/>
      </c>
      <c r="L17" s="226" t="str">
        <f aca="false">IF(F17="","",IF(ISNUMBER(J17),J17,IFERROR(VLOOKUP(F17,RW_TBL,3,0),0)))</f>
        <v/>
      </c>
      <c r="M17" s="113"/>
      <c r="N17" s="114"/>
    </row>
    <row r="18" customFormat="false" ht="15" hidden="false" customHeight="false" outlineLevel="0" collapsed="false">
      <c r="A18" s="131" t="str">
        <f aca="false">IF(B18="","",ROW()-6)</f>
        <v/>
      </c>
      <c r="B18" s="207"/>
      <c r="C18" s="60"/>
      <c r="D18" s="131" t="str">
        <f aca="false">IF(C18="","",IF(OR(C18="ทั้งเฟส",LEFT(C18,4)="ผรม.",LEFT(C18,3)="เขต"),C18,IFERROR(INDEX('Master Plan'!$B$8:$B$27,MATCH(C18,'Master Plan'!$A$8:$A$27,0)),"?")))</f>
        <v/>
      </c>
      <c r="E18" s="118" t="str">
        <f aca="false">IF(C18="","",IF(OR(C18="ทั้งเฟส",LEFT(C18,4)="ผรม.",LEFT(C18,3)="เขต"),C18,IFERROR(INDEX('Master Plan'!$L$8:$L$27,MATCH(C18,'Master Plan'!$A$8:$A$27,0)),"?")))</f>
        <v/>
      </c>
      <c r="F18" s="60"/>
      <c r="G18" s="114"/>
      <c r="H18" s="60"/>
      <c r="I18" s="116"/>
      <c r="J18" s="225"/>
      <c r="K18" s="206" t="str">
        <f aca="false">IF(F18="","",IF(ISNUMBER(I18),I18,IFERROR(VLOOKUP(F18,RW_TBL,2,0),0)))</f>
        <v/>
      </c>
      <c r="L18" s="226" t="str">
        <f aca="false">IF(F18="","",IF(ISNUMBER(J18),J18,IFERROR(VLOOKUP(F18,RW_TBL,3,0),0)))</f>
        <v/>
      </c>
      <c r="M18" s="113"/>
      <c r="N18" s="114"/>
      <c r="P18" s="39" t="s">
        <v>1806</v>
      </c>
    </row>
    <row r="19" customFormat="false" ht="21.6" hidden="false" customHeight="false" outlineLevel="0" collapsed="false">
      <c r="A19" s="131" t="str">
        <f aca="false">IF(B19="","",ROW()-6)</f>
        <v/>
      </c>
      <c r="B19" s="207"/>
      <c r="C19" s="60"/>
      <c r="D19" s="131" t="str">
        <f aca="false">IF(C19="","",IF(OR(C19="ทั้งเฟส",LEFT(C19,4)="ผรม.",LEFT(C19,3)="เขต"),C19,IFERROR(INDEX('Master Plan'!$B$8:$B$27,MATCH(C19,'Master Plan'!$A$8:$A$27,0)),"?")))</f>
        <v/>
      </c>
      <c r="E19" s="118" t="str">
        <f aca="false">IF(C19="","",IF(OR(C19="ทั้งเฟส",LEFT(C19,4)="ผรม.",LEFT(C19,3)="เขต"),C19,IFERROR(INDEX('Master Plan'!$L$8:$L$27,MATCH(C19,'Master Plan'!$A$8:$A$27,0)),"?")))</f>
        <v/>
      </c>
      <c r="F19" s="60"/>
      <c r="G19" s="114"/>
      <c r="H19" s="60"/>
      <c r="I19" s="116"/>
      <c r="J19" s="225"/>
      <c r="K19" s="206" t="str">
        <f aca="false">IF(F19="","",IF(ISNUMBER(I19),I19,IFERROR(VLOOKUP(F19,RW_TBL,2,0),0)))</f>
        <v/>
      </c>
      <c r="L19" s="226" t="str">
        <f aca="false">IF(F19="","",IF(ISNUMBER(J19),J19,IFERROR(VLOOKUP(F19,RW_TBL,3,0),0)))</f>
        <v/>
      </c>
      <c r="M19" s="113"/>
      <c r="N19" s="114"/>
      <c r="P19" s="28" t="s">
        <v>36</v>
      </c>
      <c r="Q19" s="28" t="s">
        <v>35</v>
      </c>
      <c r="R19" s="28" t="s">
        <v>1807</v>
      </c>
      <c r="S19" s="28" t="s">
        <v>1808</v>
      </c>
      <c r="T19" s="28" t="s">
        <v>1743</v>
      </c>
      <c r="U19" s="28" t="s">
        <v>1779</v>
      </c>
      <c r="V19" s="28" t="s">
        <v>1780</v>
      </c>
      <c r="W19" s="28" t="s">
        <v>1781</v>
      </c>
    </row>
    <row r="20" customFormat="false" ht="15" hidden="false" customHeight="false" outlineLevel="0" collapsed="false">
      <c r="A20" s="131" t="str">
        <f aca="false">IF(B20="","",ROW()-6)</f>
        <v/>
      </c>
      <c r="B20" s="207"/>
      <c r="C20" s="60"/>
      <c r="D20" s="131" t="str">
        <f aca="false">IF(C20="","",IF(OR(C20="ทั้งเฟส",LEFT(C20,4)="ผรม.",LEFT(C20,3)="เขต"),C20,IFERROR(INDEX('Master Plan'!$B$8:$B$27,MATCH(C20,'Master Plan'!$A$8:$A$27,0)),"?")))</f>
        <v/>
      </c>
      <c r="E20" s="118" t="str">
        <f aca="false">IF(C20="","",IF(OR(C20="ทั้งเฟส",LEFT(C20,4)="ผรม.",LEFT(C20,3)="เขต"),C20,IFERROR(INDEX('Master Plan'!$L$8:$L$27,MATCH(C20,'Master Plan'!$A$8:$A$27,0)),"?")))</f>
        <v/>
      </c>
      <c r="F20" s="60"/>
      <c r="G20" s="114"/>
      <c r="H20" s="60"/>
      <c r="I20" s="116"/>
      <c r="J20" s="225"/>
      <c r="K20" s="206" t="str">
        <f aca="false">IF(F20="","",IF(ISNUMBER(I20),I20,IFERROR(VLOOKUP(F20,RW_TBL,2,0),0)))</f>
        <v/>
      </c>
      <c r="L20" s="226" t="str">
        <f aca="false">IF(F20="","",IF(ISNUMBER(J20),J20,IFERROR(VLOOKUP(F20,RW_TBL,3,0),0)))</f>
        <v/>
      </c>
      <c r="M20" s="113"/>
      <c r="N20" s="114"/>
      <c r="P20" s="222" t="s">
        <v>1744</v>
      </c>
      <c r="Q20" s="221" t="n">
        <f aca="false">COUNTIF('Master Plan'!$L$8:$L$27,P20)</f>
        <v>0</v>
      </c>
      <c r="R20" s="221" t="n">
        <f aca="false">COUNTIF(RW_CON,P20)</f>
        <v>0</v>
      </c>
      <c r="S20" s="229" t="n">
        <f aca="false">IFERROR(R20/Q20,0)</f>
        <v>0</v>
      </c>
      <c r="T20" s="221" t="n">
        <f aca="false">COUNTIFS(RW_CON,P20,RW_BY,"ผรม.")</f>
        <v>0</v>
      </c>
      <c r="U20" s="221" t="n">
        <f aca="false">COUNTIFS(RW_CON,P20,RW_DONE,"&lt;&gt;Y",RW_TYPE,"&lt;&gt;")</f>
        <v>0</v>
      </c>
      <c r="V20" s="221" t="n">
        <f aca="false">SUMIF(RW_CON,P20,RW_DAYS)</f>
        <v>0</v>
      </c>
      <c r="W20" s="226" t="n">
        <f aca="false">SUMIF(RW_CON,P20,RW_COST)</f>
        <v>0</v>
      </c>
    </row>
    <row r="21" customFormat="false" ht="15" hidden="false" customHeight="false" outlineLevel="0" collapsed="false">
      <c r="A21" s="131" t="str">
        <f aca="false">IF(B21="","",ROW()-6)</f>
        <v/>
      </c>
      <c r="B21" s="207"/>
      <c r="C21" s="60"/>
      <c r="D21" s="131" t="str">
        <f aca="false">IF(C21="","",IF(OR(C21="ทั้งเฟส",LEFT(C21,4)="ผรม.",LEFT(C21,3)="เขต"),C21,IFERROR(INDEX('Master Plan'!$B$8:$B$27,MATCH(C21,'Master Plan'!$A$8:$A$27,0)),"?")))</f>
        <v/>
      </c>
      <c r="E21" s="118" t="str">
        <f aca="false">IF(C21="","",IF(OR(C21="ทั้งเฟส",LEFT(C21,4)="ผรม.",LEFT(C21,3)="เขต"),C21,IFERROR(INDEX('Master Plan'!$L$8:$L$27,MATCH(C21,'Master Plan'!$A$8:$A$27,0)),"?")))</f>
        <v/>
      </c>
      <c r="F21" s="60"/>
      <c r="G21" s="114"/>
      <c r="H21" s="60"/>
      <c r="I21" s="116"/>
      <c r="J21" s="225"/>
      <c r="K21" s="206" t="str">
        <f aca="false">IF(F21="","",IF(ISNUMBER(I21),I21,IFERROR(VLOOKUP(F21,RW_TBL,2,0),0)))</f>
        <v/>
      </c>
      <c r="L21" s="226" t="str">
        <f aca="false">IF(F21="","",IF(ISNUMBER(J21),J21,IFERROR(VLOOKUP(F21,RW_TBL,3,0),0)))</f>
        <v/>
      </c>
      <c r="M21" s="113"/>
      <c r="N21" s="114"/>
      <c r="P21" s="222" t="s">
        <v>1745</v>
      </c>
      <c r="Q21" s="221" t="n">
        <f aca="false">COUNTIF('Master Plan'!$L$8:$L$27,P21)</f>
        <v>0</v>
      </c>
      <c r="R21" s="221" t="n">
        <f aca="false">COUNTIF(RW_CON,P21)</f>
        <v>0</v>
      </c>
      <c r="S21" s="229" t="n">
        <f aca="false">IFERROR(R21/Q21,0)</f>
        <v>0</v>
      </c>
      <c r="T21" s="221" t="n">
        <f aca="false">COUNTIFS(RW_CON,P21,RW_BY,"ผรม.")</f>
        <v>0</v>
      </c>
      <c r="U21" s="221" t="n">
        <f aca="false">COUNTIFS(RW_CON,P21,RW_DONE,"&lt;&gt;Y",RW_TYPE,"&lt;&gt;")</f>
        <v>0</v>
      </c>
      <c r="V21" s="221" t="n">
        <f aca="false">SUMIF(RW_CON,P21,RW_DAYS)</f>
        <v>0</v>
      </c>
      <c r="W21" s="226" t="n">
        <f aca="false">SUMIF(RW_CON,P21,RW_COST)</f>
        <v>0</v>
      </c>
    </row>
    <row r="22" customFormat="false" ht="15" hidden="false" customHeight="false" outlineLevel="0" collapsed="false">
      <c r="A22" s="131" t="str">
        <f aca="false">IF(B22="","",ROW()-6)</f>
        <v/>
      </c>
      <c r="B22" s="207"/>
      <c r="C22" s="60"/>
      <c r="D22" s="131" t="str">
        <f aca="false">IF(C22="","",IF(OR(C22="ทั้งเฟส",LEFT(C22,4)="ผรม.",LEFT(C22,3)="เขต"),C22,IFERROR(INDEX('Master Plan'!$B$8:$B$27,MATCH(C22,'Master Plan'!$A$8:$A$27,0)),"?")))</f>
        <v/>
      </c>
      <c r="E22" s="118" t="str">
        <f aca="false">IF(C22="","",IF(OR(C22="ทั้งเฟส",LEFT(C22,4)="ผรม.",LEFT(C22,3)="เขต"),C22,IFERROR(INDEX('Master Plan'!$L$8:$L$27,MATCH(C22,'Master Plan'!$A$8:$A$27,0)),"?")))</f>
        <v/>
      </c>
      <c r="F22" s="60"/>
      <c r="G22" s="114"/>
      <c r="H22" s="60"/>
      <c r="I22" s="116"/>
      <c r="J22" s="225"/>
      <c r="K22" s="206" t="str">
        <f aca="false">IF(F22="","",IF(ISNUMBER(I22),I22,IFERROR(VLOOKUP(F22,RW_TBL,2,0),0)))</f>
        <v/>
      </c>
      <c r="L22" s="226" t="str">
        <f aca="false">IF(F22="","",IF(ISNUMBER(J22),J22,IFERROR(VLOOKUP(F22,RW_TBL,3,0),0)))</f>
        <v/>
      </c>
      <c r="M22" s="113"/>
      <c r="N22" s="114"/>
      <c r="P22" s="222" t="s">
        <v>1746</v>
      </c>
      <c r="Q22" s="221" t="n">
        <f aca="false">COUNTIF('Master Plan'!$L$8:$L$27,P22)</f>
        <v>0</v>
      </c>
      <c r="R22" s="221" t="n">
        <f aca="false">COUNTIF(RW_CON,P22)</f>
        <v>0</v>
      </c>
      <c r="S22" s="229" t="n">
        <f aca="false">IFERROR(R22/Q22,0)</f>
        <v>0</v>
      </c>
      <c r="T22" s="221" t="n">
        <f aca="false">COUNTIFS(RW_CON,P22,RW_BY,"ผรม.")</f>
        <v>0</v>
      </c>
      <c r="U22" s="221" t="n">
        <f aca="false">COUNTIFS(RW_CON,P22,RW_DONE,"&lt;&gt;Y",RW_TYPE,"&lt;&gt;")</f>
        <v>0</v>
      </c>
      <c r="V22" s="221" t="n">
        <f aca="false">SUMIF(RW_CON,P22,RW_DAYS)</f>
        <v>0</v>
      </c>
      <c r="W22" s="226" t="n">
        <f aca="false">SUMIF(RW_CON,P22,RW_COST)</f>
        <v>0</v>
      </c>
    </row>
    <row r="23" customFormat="false" ht="15" hidden="false" customHeight="false" outlineLevel="0" collapsed="false">
      <c r="A23" s="131" t="str">
        <f aca="false">IF(B23="","",ROW()-6)</f>
        <v/>
      </c>
      <c r="B23" s="207"/>
      <c r="C23" s="60"/>
      <c r="D23" s="131" t="str">
        <f aca="false">IF(C23="","",IF(OR(C23="ทั้งเฟส",LEFT(C23,4)="ผรม.",LEFT(C23,3)="เขต"),C23,IFERROR(INDEX('Master Plan'!$B$8:$B$27,MATCH(C23,'Master Plan'!$A$8:$A$27,0)),"?")))</f>
        <v/>
      </c>
      <c r="E23" s="118" t="str">
        <f aca="false">IF(C23="","",IF(OR(C23="ทั้งเฟส",LEFT(C23,4)="ผรม.",LEFT(C23,3)="เขต"),C23,IFERROR(INDEX('Master Plan'!$L$8:$L$27,MATCH(C23,'Master Plan'!$A$8:$A$27,0)),"?")))</f>
        <v/>
      </c>
      <c r="F23" s="60"/>
      <c r="G23" s="114"/>
      <c r="H23" s="60"/>
      <c r="I23" s="116"/>
      <c r="J23" s="225"/>
      <c r="K23" s="206" t="str">
        <f aca="false">IF(F23="","",IF(ISNUMBER(I23),I23,IFERROR(VLOOKUP(F23,RW_TBL,2,0),0)))</f>
        <v/>
      </c>
      <c r="L23" s="226" t="str">
        <f aca="false">IF(F23="","",IF(ISNUMBER(J23),J23,IFERROR(VLOOKUP(F23,RW_TBL,3,0),0)))</f>
        <v/>
      </c>
      <c r="M23" s="113"/>
      <c r="N23" s="114"/>
    </row>
    <row r="24" customFormat="false" ht="15" hidden="false" customHeight="false" outlineLevel="0" collapsed="false">
      <c r="A24" s="131" t="str">
        <f aca="false">IF(B24="","",ROW()-6)</f>
        <v/>
      </c>
      <c r="B24" s="207"/>
      <c r="C24" s="60"/>
      <c r="D24" s="131" t="str">
        <f aca="false">IF(C24="","",IF(OR(C24="ทั้งเฟส",LEFT(C24,4)="ผรม.",LEFT(C24,3)="เขต"),C24,IFERROR(INDEX('Master Plan'!$B$8:$B$27,MATCH(C24,'Master Plan'!$A$8:$A$27,0)),"?")))</f>
        <v/>
      </c>
      <c r="E24" s="118" t="str">
        <f aca="false">IF(C24="","",IF(OR(C24="ทั้งเฟส",LEFT(C24,4)="ผรม.",LEFT(C24,3)="เขต"),C24,IFERROR(INDEX('Master Plan'!$L$8:$L$27,MATCH(C24,'Master Plan'!$A$8:$A$27,0)),"?")))</f>
        <v/>
      </c>
      <c r="F24" s="60"/>
      <c r="G24" s="114"/>
      <c r="H24" s="60"/>
      <c r="I24" s="116"/>
      <c r="J24" s="225"/>
      <c r="K24" s="206" t="str">
        <f aca="false">IF(F24="","",IF(ISNUMBER(I24),I24,IFERROR(VLOOKUP(F24,RW_TBL,2,0),0)))</f>
        <v/>
      </c>
      <c r="L24" s="226" t="str">
        <f aca="false">IF(F24="","",IF(ISNUMBER(J24),J24,IFERROR(VLOOKUP(F24,RW_TBL,3,0),0)))</f>
        <v/>
      </c>
      <c r="M24" s="113"/>
      <c r="N24" s="114"/>
      <c r="P24" s="39" t="s">
        <v>1809</v>
      </c>
    </row>
    <row r="25" customFormat="false" ht="15" hidden="false" customHeight="false" outlineLevel="0" collapsed="false">
      <c r="A25" s="131" t="str">
        <f aca="false">IF(B25="","",ROW()-6)</f>
        <v/>
      </c>
      <c r="B25" s="207"/>
      <c r="C25" s="60"/>
      <c r="D25" s="131" t="str">
        <f aca="false">IF(C25="","",IF(OR(C25="ทั้งเฟส",LEFT(C25,4)="ผรม.",LEFT(C25,3)="เขต"),C25,IFERROR(INDEX('Master Plan'!$B$8:$B$27,MATCH(C25,'Master Plan'!$A$8:$A$27,0)),"?")))</f>
        <v/>
      </c>
      <c r="E25" s="118" t="str">
        <f aca="false">IF(C25="","",IF(OR(C25="ทั้งเฟส",LEFT(C25,4)="ผรม.",LEFT(C25,3)="เขต"),C25,IFERROR(INDEX('Master Plan'!$L$8:$L$27,MATCH(C25,'Master Plan'!$A$8:$A$27,0)),"?")))</f>
        <v/>
      </c>
      <c r="F25" s="60"/>
      <c r="G25" s="114"/>
      <c r="H25" s="60"/>
      <c r="I25" s="116"/>
      <c r="J25" s="225"/>
      <c r="K25" s="206" t="str">
        <f aca="false">IF(F25="","",IF(ISNUMBER(I25),I25,IFERROR(VLOOKUP(F25,RW_TBL,2,0),0)))</f>
        <v/>
      </c>
      <c r="L25" s="226" t="str">
        <f aca="false">IF(F25="","",IF(ISNUMBER(J25),J25,IFERROR(VLOOKUP(F25,RW_TBL,3,0),0)))</f>
        <v/>
      </c>
      <c r="M25" s="113"/>
      <c r="N25" s="114"/>
      <c r="P25" s="28" t="s">
        <v>1769</v>
      </c>
      <c r="Q25" s="28" t="s">
        <v>1778</v>
      </c>
      <c r="R25" s="28" t="s">
        <v>1780</v>
      </c>
      <c r="S25" s="28" t="s">
        <v>1781</v>
      </c>
    </row>
    <row r="26" customFormat="false" ht="15" hidden="false" customHeight="false" outlineLevel="0" collapsed="false">
      <c r="A26" s="131" t="str">
        <f aca="false">IF(B26="","",ROW()-6)</f>
        <v/>
      </c>
      <c r="B26" s="207"/>
      <c r="C26" s="60"/>
      <c r="D26" s="131" t="str">
        <f aca="false">IF(C26="","",IF(OR(C26="ทั้งเฟส",LEFT(C26,4)="ผรม.",LEFT(C26,3)="เขต"),C26,IFERROR(INDEX('Master Plan'!$B$8:$B$27,MATCH(C26,'Master Plan'!$A$8:$A$27,0)),"?")))</f>
        <v/>
      </c>
      <c r="E26" s="118" t="str">
        <f aca="false">IF(C26="","",IF(OR(C26="ทั้งเฟส",LEFT(C26,4)="ผรม.",LEFT(C26,3)="เขต"),C26,IFERROR(INDEX('Master Plan'!$L$8:$L$27,MATCH(C26,'Master Plan'!$A$8:$A$27,0)),"?")))</f>
        <v/>
      </c>
      <c r="F26" s="60"/>
      <c r="G26" s="114"/>
      <c r="H26" s="60"/>
      <c r="I26" s="116"/>
      <c r="J26" s="225"/>
      <c r="K26" s="206" t="str">
        <f aca="false">IF(F26="","",IF(ISNUMBER(I26),I26,IFERROR(VLOOKUP(F26,RW_TBL,2,0),0)))</f>
        <v/>
      </c>
      <c r="L26" s="226" t="str">
        <f aca="false">IF(F26="","",IF(ISNUMBER(J26),J26,IFERROR(VLOOKUP(F26,RW_TBL,3,0),0)))</f>
        <v/>
      </c>
      <c r="M26" s="113"/>
      <c r="N26" s="114"/>
      <c r="P26" s="220" t="s">
        <v>1810</v>
      </c>
      <c r="Q26" s="217" t="n">
        <f aca="false">COUNTIF(RW_BY,P26)</f>
        <v>0</v>
      </c>
      <c r="R26" s="217" t="n">
        <f aca="false">SUMIF(RW_BY,P26,RW_DAYS)</f>
        <v>0</v>
      </c>
      <c r="S26" s="227" t="n">
        <f aca="false">SUMIF(RW_BY,P26,RW_COST)</f>
        <v>0</v>
      </c>
    </row>
    <row r="27" customFormat="false" ht="15" hidden="false" customHeight="false" outlineLevel="0" collapsed="false">
      <c r="A27" s="131" t="str">
        <f aca="false">IF(B27="","",ROW()-6)</f>
        <v/>
      </c>
      <c r="B27" s="207"/>
      <c r="C27" s="60"/>
      <c r="D27" s="131" t="str">
        <f aca="false">IF(C27="","",IF(OR(C27="ทั้งเฟส",LEFT(C27,4)="ผรม.",LEFT(C27,3)="เขต"),C27,IFERROR(INDEX('Master Plan'!$B$8:$B$27,MATCH(C27,'Master Plan'!$A$8:$A$27,0)),"?")))</f>
        <v/>
      </c>
      <c r="E27" s="118" t="str">
        <f aca="false">IF(C27="","",IF(OR(C27="ทั้งเฟส",LEFT(C27,4)="ผรม.",LEFT(C27,3)="เขต"),C27,IFERROR(INDEX('Master Plan'!$L$8:$L$27,MATCH(C27,'Master Plan'!$A$8:$A$27,0)),"?")))</f>
        <v/>
      </c>
      <c r="F27" s="60"/>
      <c r="G27" s="114"/>
      <c r="H27" s="60"/>
      <c r="I27" s="116"/>
      <c r="J27" s="225"/>
      <c r="K27" s="206" t="str">
        <f aca="false">IF(F27="","",IF(ISNUMBER(I27),I27,IFERROR(VLOOKUP(F27,RW_TBL,2,0),0)))</f>
        <v/>
      </c>
      <c r="L27" s="226" t="str">
        <f aca="false">IF(F27="","",IF(ISNUMBER(J27),J27,IFERROR(VLOOKUP(F27,RW_TBL,3,0),0)))</f>
        <v/>
      </c>
      <c r="M27" s="113"/>
      <c r="N27" s="114"/>
      <c r="P27" s="220" t="s">
        <v>1811</v>
      </c>
      <c r="Q27" s="217" t="n">
        <f aca="false">COUNTIF(RW_BY,P27)</f>
        <v>0</v>
      </c>
      <c r="R27" s="217" t="n">
        <f aca="false">SUMIF(RW_BY,P27,RW_DAYS)</f>
        <v>0</v>
      </c>
      <c r="S27" s="227" t="n">
        <f aca="false">SUMIF(RW_BY,P27,RW_COST)</f>
        <v>0</v>
      </c>
    </row>
    <row r="28" customFormat="false" ht="15" hidden="false" customHeight="false" outlineLevel="0" collapsed="false">
      <c r="A28" s="131" t="str">
        <f aca="false">IF(B28="","",ROW()-6)</f>
        <v/>
      </c>
      <c r="B28" s="207"/>
      <c r="C28" s="60"/>
      <c r="D28" s="131" t="str">
        <f aca="false">IF(C28="","",IF(OR(C28="ทั้งเฟส",LEFT(C28,4)="ผรม.",LEFT(C28,3)="เขต"),C28,IFERROR(INDEX('Master Plan'!$B$8:$B$27,MATCH(C28,'Master Plan'!$A$8:$A$27,0)),"?")))</f>
        <v/>
      </c>
      <c r="E28" s="118" t="str">
        <f aca="false">IF(C28="","",IF(OR(C28="ทั้งเฟส",LEFT(C28,4)="ผรม.",LEFT(C28,3)="เขต"),C28,IFERROR(INDEX('Master Plan'!$L$8:$L$27,MATCH(C28,'Master Plan'!$A$8:$A$27,0)),"?")))</f>
        <v/>
      </c>
      <c r="F28" s="60"/>
      <c r="G28" s="114"/>
      <c r="H28" s="60"/>
      <c r="I28" s="116"/>
      <c r="J28" s="225"/>
      <c r="K28" s="206" t="str">
        <f aca="false">IF(F28="","",IF(ISNUMBER(I28),I28,IFERROR(VLOOKUP(F28,RW_TBL,2,0),0)))</f>
        <v/>
      </c>
      <c r="L28" s="226" t="str">
        <f aca="false">IF(F28="","",IF(ISNUMBER(J28),J28,IFERROR(VLOOKUP(F28,RW_TBL,3,0),0)))</f>
        <v/>
      </c>
      <c r="M28" s="113"/>
      <c r="N28" s="114"/>
      <c r="P28" s="220" t="s">
        <v>1812</v>
      </c>
      <c r="Q28" s="217" t="n">
        <f aca="false">COUNTIF(RW_BY,P28)</f>
        <v>0</v>
      </c>
      <c r="R28" s="217" t="n">
        <f aca="false">SUMIF(RW_BY,P28,RW_DAYS)</f>
        <v>0</v>
      </c>
      <c r="S28" s="227" t="n">
        <f aca="false">SUMIF(RW_BY,P28,RW_COST)</f>
        <v>0</v>
      </c>
    </row>
    <row r="29" customFormat="false" ht="15" hidden="false" customHeight="false" outlineLevel="0" collapsed="false">
      <c r="A29" s="131" t="str">
        <f aca="false">IF(B29="","",ROW()-6)</f>
        <v/>
      </c>
      <c r="B29" s="207"/>
      <c r="C29" s="60"/>
      <c r="D29" s="131" t="str">
        <f aca="false">IF(C29="","",IF(OR(C29="ทั้งเฟส",LEFT(C29,4)="ผรม.",LEFT(C29,3)="เขต"),C29,IFERROR(INDEX('Master Plan'!$B$8:$B$27,MATCH(C29,'Master Plan'!$A$8:$A$27,0)),"?")))</f>
        <v/>
      </c>
      <c r="E29" s="118" t="str">
        <f aca="false">IF(C29="","",IF(OR(C29="ทั้งเฟส",LEFT(C29,4)="ผรม.",LEFT(C29,3)="เขต"),C29,IFERROR(INDEX('Master Plan'!$L$8:$L$27,MATCH(C29,'Master Plan'!$A$8:$A$27,0)),"?")))</f>
        <v/>
      </c>
      <c r="F29" s="60"/>
      <c r="G29" s="114"/>
      <c r="H29" s="60"/>
      <c r="I29" s="116"/>
      <c r="J29" s="225"/>
      <c r="K29" s="206" t="str">
        <f aca="false">IF(F29="","",IF(ISNUMBER(I29),I29,IFERROR(VLOOKUP(F29,RW_TBL,2,0),0)))</f>
        <v/>
      </c>
      <c r="L29" s="226" t="str">
        <f aca="false">IF(F29="","",IF(ISNUMBER(J29),J29,IFERROR(VLOOKUP(F29,RW_TBL,3,0),0)))</f>
        <v/>
      </c>
      <c r="M29" s="113"/>
      <c r="N29" s="114"/>
      <c r="P29" s="220" t="s">
        <v>1813</v>
      </c>
      <c r="Q29" s="217" t="n">
        <f aca="false">COUNTIF(RW_BY,P29)</f>
        <v>0</v>
      </c>
      <c r="R29" s="217" t="n">
        <f aca="false">SUMIF(RW_BY,P29,RW_DAYS)</f>
        <v>0</v>
      </c>
      <c r="S29" s="227" t="n">
        <f aca="false">SUMIF(RW_BY,P29,RW_COST)</f>
        <v>0</v>
      </c>
    </row>
    <row r="30" customFormat="false" ht="15" hidden="false" customHeight="false" outlineLevel="0" collapsed="false">
      <c r="A30" s="131" t="str">
        <f aca="false">IF(B30="","",ROW()-6)</f>
        <v/>
      </c>
      <c r="B30" s="207"/>
      <c r="C30" s="60"/>
      <c r="D30" s="131" t="str">
        <f aca="false">IF(C30="","",IF(OR(C30="ทั้งเฟส",LEFT(C30,4)="ผรม.",LEFT(C30,3)="เขต"),C30,IFERROR(INDEX('Master Plan'!$B$8:$B$27,MATCH(C30,'Master Plan'!$A$8:$A$27,0)),"?")))</f>
        <v/>
      </c>
      <c r="E30" s="118" t="str">
        <f aca="false">IF(C30="","",IF(OR(C30="ทั้งเฟส",LEFT(C30,4)="ผรม.",LEFT(C30,3)="เขต"),C30,IFERROR(INDEX('Master Plan'!$L$8:$L$27,MATCH(C30,'Master Plan'!$A$8:$A$27,0)),"?")))</f>
        <v/>
      </c>
      <c r="F30" s="60"/>
      <c r="G30" s="114"/>
      <c r="H30" s="60"/>
      <c r="I30" s="116"/>
      <c r="J30" s="225"/>
      <c r="K30" s="206" t="str">
        <f aca="false">IF(F30="","",IF(ISNUMBER(I30),I30,IFERROR(VLOOKUP(F30,RW_TBL,2,0),0)))</f>
        <v/>
      </c>
      <c r="L30" s="226" t="str">
        <f aca="false">IF(F30="","",IF(ISNUMBER(J30),J30,IFERROR(VLOOKUP(F30,RW_TBL,3,0),0)))</f>
        <v/>
      </c>
      <c r="M30" s="113"/>
      <c r="N30" s="114"/>
      <c r="P30" s="220" t="s">
        <v>1814</v>
      </c>
      <c r="Q30" s="217" t="n">
        <f aca="false">COUNTIF(RW_BY,P30)</f>
        <v>0</v>
      </c>
      <c r="R30" s="217" t="n">
        <f aca="false">SUMIF(RW_BY,P30,RW_DAYS)</f>
        <v>0</v>
      </c>
      <c r="S30" s="227" t="n">
        <f aca="false">SUMIF(RW_BY,P30,RW_COST)</f>
        <v>0</v>
      </c>
    </row>
    <row r="31" customFormat="false" ht="15" hidden="false" customHeight="false" outlineLevel="0" collapsed="false">
      <c r="A31" s="131" t="str">
        <f aca="false">IF(B31="","",ROW()-6)</f>
        <v/>
      </c>
      <c r="B31" s="207"/>
      <c r="C31" s="60"/>
      <c r="D31" s="131" t="str">
        <f aca="false">IF(C31="","",IF(OR(C31="ทั้งเฟส",LEFT(C31,4)="ผรม.",LEFT(C31,3)="เขต"),C31,IFERROR(INDEX('Master Plan'!$B$8:$B$27,MATCH(C31,'Master Plan'!$A$8:$A$27,0)),"?")))</f>
        <v/>
      </c>
      <c r="E31" s="118" t="str">
        <f aca="false">IF(C31="","",IF(OR(C31="ทั้งเฟส",LEFT(C31,4)="ผรม.",LEFT(C31,3)="เขต"),C31,IFERROR(INDEX('Master Plan'!$L$8:$L$27,MATCH(C31,'Master Plan'!$A$8:$A$27,0)),"?")))</f>
        <v/>
      </c>
      <c r="F31" s="60"/>
      <c r="G31" s="114"/>
      <c r="H31" s="60"/>
      <c r="I31" s="116"/>
      <c r="J31" s="225"/>
      <c r="K31" s="206" t="str">
        <f aca="false">IF(F31="","",IF(ISNUMBER(I31),I31,IFERROR(VLOOKUP(F31,RW_TBL,2,0),0)))</f>
        <v/>
      </c>
      <c r="L31" s="226" t="str">
        <f aca="false">IF(F31="","",IF(ISNUMBER(J31),J31,IFERROR(VLOOKUP(F31,RW_TBL,3,0),0)))</f>
        <v/>
      </c>
      <c r="M31" s="113"/>
      <c r="N31" s="114"/>
      <c r="P31" s="220" t="s">
        <v>1815</v>
      </c>
      <c r="Q31" s="217" t="n">
        <f aca="false">COUNTIF(RW_BY,P31)</f>
        <v>0</v>
      </c>
      <c r="R31" s="217" t="n">
        <f aca="false">SUMIF(RW_BY,P31,RW_DAYS)</f>
        <v>0</v>
      </c>
      <c r="S31" s="227" t="n">
        <f aca="false">SUMIF(RW_BY,P31,RW_COST)</f>
        <v>0</v>
      </c>
    </row>
    <row r="32" customFormat="false" ht="15" hidden="false" customHeight="false" outlineLevel="0" collapsed="false">
      <c r="A32" s="131" t="str">
        <f aca="false">IF(B32="","",ROW()-6)</f>
        <v/>
      </c>
      <c r="B32" s="207"/>
      <c r="C32" s="60"/>
      <c r="D32" s="131" t="str">
        <f aca="false">IF(C32="","",IF(OR(C32="ทั้งเฟส",LEFT(C32,4)="ผรม.",LEFT(C32,3)="เขต"),C32,IFERROR(INDEX('Master Plan'!$B$8:$B$27,MATCH(C32,'Master Plan'!$A$8:$A$27,0)),"?")))</f>
        <v/>
      </c>
      <c r="E32" s="118" t="str">
        <f aca="false">IF(C32="","",IF(OR(C32="ทั้งเฟส",LEFT(C32,4)="ผรม.",LEFT(C32,3)="เขต"),C32,IFERROR(INDEX('Master Plan'!$L$8:$L$27,MATCH(C32,'Master Plan'!$A$8:$A$27,0)),"?")))</f>
        <v/>
      </c>
      <c r="F32" s="60"/>
      <c r="G32" s="114"/>
      <c r="H32" s="60"/>
      <c r="I32" s="116"/>
      <c r="J32" s="225"/>
      <c r="K32" s="206" t="str">
        <f aca="false">IF(F32="","",IF(ISNUMBER(I32),I32,IFERROR(VLOOKUP(F32,RW_TBL,2,0),0)))</f>
        <v/>
      </c>
      <c r="L32" s="226" t="str">
        <f aca="false">IF(F32="","",IF(ISNUMBER(J32),J32,IFERROR(VLOOKUP(F32,RW_TBL,3,0),0)))</f>
        <v/>
      </c>
      <c r="M32" s="113"/>
      <c r="N32" s="114"/>
    </row>
    <row r="33" customFormat="false" ht="15" hidden="false" customHeight="false" outlineLevel="0" collapsed="false">
      <c r="A33" s="131" t="str">
        <f aca="false">IF(B33="","",ROW()-6)</f>
        <v/>
      </c>
      <c r="B33" s="207"/>
      <c r="C33" s="60"/>
      <c r="D33" s="131" t="str">
        <f aca="false">IF(C33="","",IF(OR(C33="ทั้งเฟส",LEFT(C33,4)="ผรม.",LEFT(C33,3)="เขต"),C33,IFERROR(INDEX('Master Plan'!$B$8:$B$27,MATCH(C33,'Master Plan'!$A$8:$A$27,0)),"?")))</f>
        <v/>
      </c>
      <c r="E33" s="118" t="str">
        <f aca="false">IF(C33="","",IF(OR(C33="ทั้งเฟส",LEFT(C33,4)="ผรม.",LEFT(C33,3)="เขต"),C33,IFERROR(INDEX('Master Plan'!$L$8:$L$27,MATCH(C33,'Master Plan'!$A$8:$A$27,0)),"?")))</f>
        <v/>
      </c>
      <c r="F33" s="60"/>
      <c r="G33" s="114"/>
      <c r="H33" s="60"/>
      <c r="I33" s="116"/>
      <c r="J33" s="225"/>
      <c r="K33" s="206" t="str">
        <f aca="false">IF(F33="","",IF(ISNUMBER(I33),I33,IFERROR(VLOOKUP(F33,RW_TBL,2,0),0)))</f>
        <v/>
      </c>
      <c r="L33" s="226" t="str">
        <f aca="false">IF(F33="","",IF(ISNUMBER(J33),J33,IFERROR(VLOOKUP(F33,RW_TBL,3,0),0)))</f>
        <v/>
      </c>
      <c r="M33" s="113"/>
      <c r="N33" s="114"/>
      <c r="P33" s="39" t="s">
        <v>1816</v>
      </c>
    </row>
    <row r="34" customFormat="false" ht="15" hidden="false" customHeight="false" outlineLevel="0" collapsed="false">
      <c r="A34" s="131" t="str">
        <f aca="false">IF(B34="","",ROW()-6)</f>
        <v/>
      </c>
      <c r="B34" s="207"/>
      <c r="C34" s="60"/>
      <c r="D34" s="131" t="str">
        <f aca="false">IF(C34="","",IF(OR(C34="ทั้งเฟส",LEFT(C34,4)="ผรม.",LEFT(C34,3)="เขต"),C34,IFERROR(INDEX('Master Plan'!$B$8:$B$27,MATCH(C34,'Master Plan'!$A$8:$A$27,0)),"?")))</f>
        <v/>
      </c>
      <c r="E34" s="118" t="str">
        <f aca="false">IF(C34="","",IF(OR(C34="ทั้งเฟส",LEFT(C34,4)="ผรม.",LEFT(C34,3)="เขต"),C34,IFERROR(INDEX('Master Plan'!$L$8:$L$27,MATCH(C34,'Master Plan'!$A$8:$A$27,0)),"?")))</f>
        <v/>
      </c>
      <c r="F34" s="60"/>
      <c r="G34" s="114"/>
      <c r="H34" s="60"/>
      <c r="I34" s="116"/>
      <c r="J34" s="225"/>
      <c r="K34" s="206" t="str">
        <f aca="false">IF(F34="","",IF(ISNUMBER(I34),I34,IFERROR(VLOOKUP(F34,RW_TBL,2,0),0)))</f>
        <v/>
      </c>
      <c r="L34" s="226" t="str">
        <f aca="false">IF(F34="","",IF(ISNUMBER(J34),J34,IFERROR(VLOOKUP(F34,RW_TBL,3,0),0)))</f>
        <v/>
      </c>
      <c r="M34" s="113"/>
      <c r="N34" s="114"/>
      <c r="P34" s="28" t="s">
        <v>871</v>
      </c>
      <c r="Q34" s="28" t="s">
        <v>1778</v>
      </c>
      <c r="R34" s="28" t="s">
        <v>1780</v>
      </c>
      <c r="S34" s="28" t="s">
        <v>1781</v>
      </c>
    </row>
    <row r="35" customFormat="false" ht="15" hidden="false" customHeight="false" outlineLevel="0" collapsed="false">
      <c r="A35" s="131" t="str">
        <f aca="false">IF(B35="","",ROW()-6)</f>
        <v/>
      </c>
      <c r="B35" s="207"/>
      <c r="C35" s="60"/>
      <c r="D35" s="131" t="str">
        <f aca="false">IF(C35="","",IF(OR(C35="ทั้งเฟส",LEFT(C35,4)="ผรม.",LEFT(C35,3)="เขต"),C35,IFERROR(INDEX('Master Plan'!$B$8:$B$27,MATCH(C35,'Master Plan'!$A$8:$A$27,0)),"?")))</f>
        <v/>
      </c>
      <c r="E35" s="118" t="str">
        <f aca="false">IF(C35="","",IF(OR(C35="ทั้งเฟส",LEFT(C35,4)="ผรม.",LEFT(C35,3)="เขต"),C35,IFERROR(INDEX('Master Plan'!$L$8:$L$27,MATCH(C35,'Master Plan'!$A$8:$A$27,0)),"?")))</f>
        <v/>
      </c>
      <c r="F35" s="60"/>
      <c r="G35" s="114"/>
      <c r="H35" s="60"/>
      <c r="I35" s="116"/>
      <c r="J35" s="225"/>
      <c r="K35" s="206" t="str">
        <f aca="false">IF(F35="","",IF(ISNUMBER(I35),I35,IFERROR(VLOOKUP(F35,RW_TBL,2,0),0)))</f>
        <v/>
      </c>
      <c r="L35" s="226" t="str">
        <f aca="false">IF(F35="","",IF(ISNUMBER(J35),J35,IFERROR(VLOOKUP(F35,RW_TBL,3,0),0)))</f>
        <v/>
      </c>
      <c r="M35" s="113"/>
      <c r="N35" s="114"/>
      <c r="P35" s="220" t="s">
        <v>1817</v>
      </c>
      <c r="Q35" s="226" t="n">
        <f aca="false">SUMIF($S$7:$S$15,"ภายใน",$T$7:$T$15)</f>
        <v>0</v>
      </c>
      <c r="R35" s="226" t="n">
        <f aca="false">SUMIF($S$7:$S$15,"ภายใน",$V$7:$V$15)</f>
        <v>0</v>
      </c>
      <c r="S35" s="226" t="n">
        <f aca="false">SUMIF($S$7:$S$15,"ภายใน",$W$7:$W$15)</f>
        <v>0</v>
      </c>
    </row>
    <row r="36" customFormat="false" ht="23.85" hidden="false" customHeight="false" outlineLevel="0" collapsed="false">
      <c r="A36" s="131" t="str">
        <f aca="false">IF(B36="","",ROW()-6)</f>
        <v/>
      </c>
      <c r="B36" s="207"/>
      <c r="C36" s="60"/>
      <c r="D36" s="131" t="str">
        <f aca="false">IF(C36="","",IF(OR(C36="ทั้งเฟส",LEFT(C36,4)="ผรม.",LEFT(C36,3)="เขต"),C36,IFERROR(INDEX('Master Plan'!$B$8:$B$27,MATCH(C36,'Master Plan'!$A$8:$A$27,0)),"?")))</f>
        <v/>
      </c>
      <c r="E36" s="118" t="str">
        <f aca="false">IF(C36="","",IF(OR(C36="ทั้งเฟส",LEFT(C36,4)="ผรม.",LEFT(C36,3)="เขต"),C36,IFERROR(INDEX('Master Plan'!$L$8:$L$27,MATCH(C36,'Master Plan'!$A$8:$A$27,0)),"?")))</f>
        <v/>
      </c>
      <c r="F36" s="60"/>
      <c r="G36" s="114"/>
      <c r="H36" s="60"/>
      <c r="I36" s="116"/>
      <c r="J36" s="225"/>
      <c r="K36" s="206" t="str">
        <f aca="false">IF(F36="","",IF(ISNUMBER(I36),I36,IFERROR(VLOOKUP(F36,RW_TBL,2,0),0)))</f>
        <v/>
      </c>
      <c r="L36" s="226" t="str">
        <f aca="false">IF(F36="","",IF(ISNUMBER(J36),J36,IFERROR(VLOOKUP(F36,RW_TBL,3,0),0)))</f>
        <v/>
      </c>
      <c r="M36" s="113"/>
      <c r="N36" s="114"/>
      <c r="P36" s="220" t="s">
        <v>1818</v>
      </c>
      <c r="Q36" s="226" t="n">
        <f aca="false">SUMIF($S$7:$S$15,"ภายนอก",$T$7:$T$15)</f>
        <v>0</v>
      </c>
      <c r="R36" s="226" t="n">
        <f aca="false">SUMIF($S$7:$S$15,"ภายนอก",$V$7:$V$15)</f>
        <v>0</v>
      </c>
      <c r="S36" s="226" t="n">
        <f aca="false">SUMIF($S$7:$S$15,"ภายนอก",$W$7:$W$15)</f>
        <v>0</v>
      </c>
    </row>
    <row r="37" customFormat="false" ht="15" hidden="false" customHeight="false" outlineLevel="0" collapsed="false">
      <c r="A37" s="131" t="str">
        <f aca="false">IF(B37="","",ROW()-6)</f>
        <v/>
      </c>
      <c r="B37" s="207"/>
      <c r="C37" s="60"/>
      <c r="D37" s="131" t="str">
        <f aca="false">IF(C37="","",IF(OR(C37="ทั้งเฟส",LEFT(C37,4)="ผรม.",LEFT(C37,3)="เขต"),C37,IFERROR(INDEX('Master Plan'!$B$8:$B$27,MATCH(C37,'Master Plan'!$A$8:$A$27,0)),"?")))</f>
        <v/>
      </c>
      <c r="E37" s="118" t="str">
        <f aca="false">IF(C37="","",IF(OR(C37="ทั้งเฟส",LEFT(C37,4)="ผรม.",LEFT(C37,3)="เขต"),C37,IFERROR(INDEX('Master Plan'!$L$8:$L$27,MATCH(C37,'Master Plan'!$A$8:$A$27,0)),"?")))</f>
        <v/>
      </c>
      <c r="F37" s="60"/>
      <c r="G37" s="114"/>
      <c r="H37" s="60"/>
      <c r="I37" s="116"/>
      <c r="J37" s="225"/>
      <c r="K37" s="206" t="str">
        <f aca="false">IF(F37="","",IF(ISNUMBER(I37),I37,IFERROR(VLOOKUP(F37,RW_TBL,2,0),0)))</f>
        <v/>
      </c>
      <c r="L37" s="226" t="str">
        <f aca="false">IF(F37="","",IF(ISNUMBER(J37),J37,IFERROR(VLOOKUP(F37,RW_TBL,3,0),0)))</f>
        <v/>
      </c>
      <c r="M37" s="113"/>
      <c r="N37" s="114"/>
      <c r="P37" s="72" t="s">
        <v>1819</v>
      </c>
    </row>
    <row r="38" customFormat="false" ht="15" hidden="false" customHeight="false" outlineLevel="0" collapsed="false">
      <c r="A38" s="131" t="str">
        <f aca="false">IF(B38="","",ROW()-6)</f>
        <v/>
      </c>
      <c r="B38" s="207"/>
      <c r="C38" s="60"/>
      <c r="D38" s="131" t="str">
        <f aca="false">IF(C38="","",IF(OR(C38="ทั้งเฟส",LEFT(C38,4)="ผรม.",LEFT(C38,3)="เขต"),C38,IFERROR(INDEX('Master Plan'!$B$8:$B$27,MATCH(C38,'Master Plan'!$A$8:$A$27,0)),"?")))</f>
        <v/>
      </c>
      <c r="E38" s="118" t="str">
        <f aca="false">IF(C38="","",IF(OR(C38="ทั้งเฟส",LEFT(C38,4)="ผรม.",LEFT(C38,3)="เขต"),C38,IFERROR(INDEX('Master Plan'!$L$8:$L$27,MATCH(C38,'Master Plan'!$A$8:$A$27,0)),"?")))</f>
        <v/>
      </c>
      <c r="F38" s="60"/>
      <c r="G38" s="114"/>
      <c r="H38" s="60"/>
      <c r="I38" s="116"/>
      <c r="J38" s="225"/>
      <c r="K38" s="206" t="str">
        <f aca="false">IF(F38="","",IF(ISNUMBER(I38),I38,IFERROR(VLOOKUP(F38,RW_TBL,2,0),0)))</f>
        <v/>
      </c>
      <c r="L38" s="226" t="str">
        <f aca="false">IF(F38="","",IF(ISNUMBER(J38),J38,IFERROR(VLOOKUP(F38,RW_TBL,3,0),0)))</f>
        <v/>
      </c>
      <c r="M38" s="113"/>
      <c r="N38" s="114"/>
    </row>
    <row r="39" customFormat="false" ht="15" hidden="false" customHeight="false" outlineLevel="0" collapsed="false">
      <c r="A39" s="131" t="str">
        <f aca="false">IF(B39="","",ROW()-6)</f>
        <v/>
      </c>
      <c r="B39" s="207"/>
      <c r="C39" s="60"/>
      <c r="D39" s="131" t="str">
        <f aca="false">IF(C39="","",IF(OR(C39="ทั้งเฟส",LEFT(C39,4)="ผรม.",LEFT(C39,3)="เขต"),C39,IFERROR(INDEX('Master Plan'!$B$8:$B$27,MATCH(C39,'Master Plan'!$A$8:$A$27,0)),"?")))</f>
        <v/>
      </c>
      <c r="E39" s="118" t="str">
        <f aca="false">IF(C39="","",IF(OR(C39="ทั้งเฟส",LEFT(C39,4)="ผรม.",LEFT(C39,3)="เขต"),C39,IFERROR(INDEX('Master Plan'!$L$8:$L$27,MATCH(C39,'Master Plan'!$A$8:$A$27,0)),"?")))</f>
        <v/>
      </c>
      <c r="F39" s="60"/>
      <c r="G39" s="114"/>
      <c r="H39" s="60"/>
      <c r="I39" s="116"/>
      <c r="J39" s="225"/>
      <c r="K39" s="206" t="str">
        <f aca="false">IF(F39="","",IF(ISNUMBER(I39),I39,IFERROR(VLOOKUP(F39,RW_TBL,2,0),0)))</f>
        <v/>
      </c>
      <c r="L39" s="226" t="str">
        <f aca="false">IF(F39="","",IF(ISNUMBER(J39),J39,IFERROR(VLOOKUP(F39,RW_TBL,3,0),0)))</f>
        <v/>
      </c>
      <c r="M39" s="113"/>
      <c r="N39" s="114"/>
    </row>
    <row r="40" customFormat="false" ht="15" hidden="false" customHeight="false" outlineLevel="0" collapsed="false">
      <c r="A40" s="131" t="str">
        <f aca="false">IF(B40="","",ROW()-6)</f>
        <v/>
      </c>
      <c r="B40" s="207"/>
      <c r="C40" s="60"/>
      <c r="D40" s="131" t="str">
        <f aca="false">IF(C40="","",IF(OR(C40="ทั้งเฟส",LEFT(C40,4)="ผรม.",LEFT(C40,3)="เขต"),C40,IFERROR(INDEX('Master Plan'!$B$8:$B$27,MATCH(C40,'Master Plan'!$A$8:$A$27,0)),"?")))</f>
        <v/>
      </c>
      <c r="E40" s="118" t="str">
        <f aca="false">IF(C40="","",IF(OR(C40="ทั้งเฟส",LEFT(C40,4)="ผรม.",LEFT(C40,3)="เขต"),C40,IFERROR(INDEX('Master Plan'!$L$8:$L$27,MATCH(C40,'Master Plan'!$A$8:$A$27,0)),"?")))</f>
        <v/>
      </c>
      <c r="F40" s="60"/>
      <c r="G40" s="114"/>
      <c r="H40" s="60"/>
      <c r="I40" s="116"/>
      <c r="J40" s="225"/>
      <c r="K40" s="206" t="str">
        <f aca="false">IF(F40="","",IF(ISNUMBER(I40),I40,IFERROR(VLOOKUP(F40,RW_TBL,2,0),0)))</f>
        <v/>
      </c>
      <c r="L40" s="226" t="str">
        <f aca="false">IF(F40="","",IF(ISNUMBER(J40),J40,IFERROR(VLOOKUP(F40,RW_TBL,3,0),0)))</f>
        <v/>
      </c>
      <c r="M40" s="113"/>
      <c r="N40" s="114"/>
    </row>
    <row r="41" customFormat="false" ht="15" hidden="false" customHeight="false" outlineLevel="0" collapsed="false">
      <c r="A41" s="131" t="str">
        <f aca="false">IF(B41="","",ROW()-6)</f>
        <v/>
      </c>
      <c r="B41" s="207"/>
      <c r="C41" s="60"/>
      <c r="D41" s="131" t="str">
        <f aca="false">IF(C41="","",IF(OR(C41="ทั้งเฟส",LEFT(C41,4)="ผรม.",LEFT(C41,3)="เขต"),C41,IFERROR(INDEX('Master Plan'!$B$8:$B$27,MATCH(C41,'Master Plan'!$A$8:$A$27,0)),"?")))</f>
        <v/>
      </c>
      <c r="E41" s="118" t="str">
        <f aca="false">IF(C41="","",IF(OR(C41="ทั้งเฟส",LEFT(C41,4)="ผรม.",LEFT(C41,3)="เขต"),C41,IFERROR(INDEX('Master Plan'!$L$8:$L$27,MATCH(C41,'Master Plan'!$A$8:$A$27,0)),"?")))</f>
        <v/>
      </c>
      <c r="F41" s="60"/>
      <c r="G41" s="114"/>
      <c r="H41" s="60"/>
      <c r="I41" s="116"/>
      <c r="J41" s="225"/>
      <c r="K41" s="206" t="str">
        <f aca="false">IF(F41="","",IF(ISNUMBER(I41),I41,IFERROR(VLOOKUP(F41,RW_TBL,2,0),0)))</f>
        <v/>
      </c>
      <c r="L41" s="226" t="str">
        <f aca="false">IF(F41="","",IF(ISNUMBER(J41),J41,IFERROR(VLOOKUP(F41,RW_TBL,3,0),0)))</f>
        <v/>
      </c>
      <c r="M41" s="113"/>
      <c r="N41" s="114"/>
    </row>
    <row r="42" customFormat="false" ht="15" hidden="false" customHeight="false" outlineLevel="0" collapsed="false">
      <c r="A42" s="131" t="str">
        <f aca="false">IF(B42="","",ROW()-6)</f>
        <v/>
      </c>
      <c r="B42" s="207"/>
      <c r="C42" s="60"/>
      <c r="D42" s="131" t="str">
        <f aca="false">IF(C42="","",IF(OR(C42="ทั้งเฟส",LEFT(C42,4)="ผรม.",LEFT(C42,3)="เขต"),C42,IFERROR(INDEX('Master Plan'!$B$8:$B$27,MATCH(C42,'Master Plan'!$A$8:$A$27,0)),"?")))</f>
        <v/>
      </c>
      <c r="E42" s="118" t="str">
        <f aca="false">IF(C42="","",IF(OR(C42="ทั้งเฟส",LEFT(C42,4)="ผรม.",LEFT(C42,3)="เขต"),C42,IFERROR(INDEX('Master Plan'!$L$8:$L$27,MATCH(C42,'Master Plan'!$A$8:$A$27,0)),"?")))</f>
        <v/>
      </c>
      <c r="F42" s="60"/>
      <c r="G42" s="114"/>
      <c r="H42" s="60"/>
      <c r="I42" s="116"/>
      <c r="J42" s="225"/>
      <c r="K42" s="206" t="str">
        <f aca="false">IF(F42="","",IF(ISNUMBER(I42),I42,IFERROR(VLOOKUP(F42,RW_TBL,2,0),0)))</f>
        <v/>
      </c>
      <c r="L42" s="226" t="str">
        <f aca="false">IF(F42="","",IF(ISNUMBER(J42),J42,IFERROR(VLOOKUP(F42,RW_TBL,3,0),0)))</f>
        <v/>
      </c>
      <c r="M42" s="113"/>
      <c r="N42" s="114"/>
    </row>
    <row r="43" customFormat="false" ht="15" hidden="false" customHeight="false" outlineLevel="0" collapsed="false">
      <c r="A43" s="131" t="str">
        <f aca="false">IF(B43="","",ROW()-6)</f>
        <v/>
      </c>
      <c r="B43" s="207"/>
      <c r="C43" s="60"/>
      <c r="D43" s="131" t="str">
        <f aca="false">IF(C43="","",IF(OR(C43="ทั้งเฟส",LEFT(C43,4)="ผรม.",LEFT(C43,3)="เขต"),C43,IFERROR(INDEX('Master Plan'!$B$8:$B$27,MATCH(C43,'Master Plan'!$A$8:$A$27,0)),"?")))</f>
        <v/>
      </c>
      <c r="E43" s="118" t="str">
        <f aca="false">IF(C43="","",IF(OR(C43="ทั้งเฟส",LEFT(C43,4)="ผรม.",LEFT(C43,3)="เขต"),C43,IFERROR(INDEX('Master Plan'!$L$8:$L$27,MATCH(C43,'Master Plan'!$A$8:$A$27,0)),"?")))</f>
        <v/>
      </c>
      <c r="F43" s="60"/>
      <c r="G43" s="114"/>
      <c r="H43" s="60"/>
      <c r="I43" s="116"/>
      <c r="J43" s="225"/>
      <c r="K43" s="206" t="str">
        <f aca="false">IF(F43="","",IF(ISNUMBER(I43),I43,IFERROR(VLOOKUP(F43,RW_TBL,2,0),0)))</f>
        <v/>
      </c>
      <c r="L43" s="226" t="str">
        <f aca="false">IF(F43="","",IF(ISNUMBER(J43),J43,IFERROR(VLOOKUP(F43,RW_TBL,3,0),0)))</f>
        <v/>
      </c>
      <c r="M43" s="113"/>
      <c r="N43" s="114"/>
    </row>
    <row r="44" customFormat="false" ht="15" hidden="false" customHeight="false" outlineLevel="0" collapsed="false">
      <c r="A44" s="131" t="str">
        <f aca="false">IF(B44="","",ROW()-6)</f>
        <v/>
      </c>
      <c r="B44" s="207"/>
      <c r="C44" s="60"/>
      <c r="D44" s="131" t="str">
        <f aca="false">IF(C44="","",IF(OR(C44="ทั้งเฟส",LEFT(C44,4)="ผรม.",LEFT(C44,3)="เขต"),C44,IFERROR(INDEX('Master Plan'!$B$8:$B$27,MATCH(C44,'Master Plan'!$A$8:$A$27,0)),"?")))</f>
        <v/>
      </c>
      <c r="E44" s="118" t="str">
        <f aca="false">IF(C44="","",IF(OR(C44="ทั้งเฟส",LEFT(C44,4)="ผรม.",LEFT(C44,3)="เขต"),C44,IFERROR(INDEX('Master Plan'!$L$8:$L$27,MATCH(C44,'Master Plan'!$A$8:$A$27,0)),"?")))</f>
        <v/>
      </c>
      <c r="F44" s="60"/>
      <c r="G44" s="114"/>
      <c r="H44" s="60"/>
      <c r="I44" s="116"/>
      <c r="J44" s="225"/>
      <c r="K44" s="206" t="str">
        <f aca="false">IF(F44="","",IF(ISNUMBER(I44),I44,IFERROR(VLOOKUP(F44,RW_TBL,2,0),0)))</f>
        <v/>
      </c>
      <c r="L44" s="226" t="str">
        <f aca="false">IF(F44="","",IF(ISNUMBER(J44),J44,IFERROR(VLOOKUP(F44,RW_TBL,3,0),0)))</f>
        <v/>
      </c>
      <c r="M44" s="113"/>
      <c r="N44" s="114"/>
    </row>
    <row r="45" customFormat="false" ht="15" hidden="false" customHeight="false" outlineLevel="0" collapsed="false">
      <c r="A45" s="131" t="str">
        <f aca="false">IF(B45="","",ROW()-6)</f>
        <v/>
      </c>
      <c r="B45" s="207"/>
      <c r="C45" s="60"/>
      <c r="D45" s="131" t="str">
        <f aca="false">IF(C45="","",IF(OR(C45="ทั้งเฟส",LEFT(C45,4)="ผรม.",LEFT(C45,3)="เขต"),C45,IFERROR(INDEX('Master Plan'!$B$8:$B$27,MATCH(C45,'Master Plan'!$A$8:$A$27,0)),"?")))</f>
        <v/>
      </c>
      <c r="E45" s="118" t="str">
        <f aca="false">IF(C45="","",IF(OR(C45="ทั้งเฟส",LEFT(C45,4)="ผรม.",LEFT(C45,3)="เขต"),C45,IFERROR(INDEX('Master Plan'!$L$8:$L$27,MATCH(C45,'Master Plan'!$A$8:$A$27,0)),"?")))</f>
        <v/>
      </c>
      <c r="F45" s="60"/>
      <c r="G45" s="114"/>
      <c r="H45" s="60"/>
      <c r="I45" s="116"/>
      <c r="J45" s="225"/>
      <c r="K45" s="206" t="str">
        <f aca="false">IF(F45="","",IF(ISNUMBER(I45),I45,IFERROR(VLOOKUP(F45,RW_TBL,2,0),0)))</f>
        <v/>
      </c>
      <c r="L45" s="226" t="str">
        <f aca="false">IF(F45="","",IF(ISNUMBER(J45),J45,IFERROR(VLOOKUP(F45,RW_TBL,3,0),0)))</f>
        <v/>
      </c>
      <c r="M45" s="113"/>
      <c r="N45" s="114"/>
    </row>
    <row r="46" customFormat="false" ht="15" hidden="false" customHeight="false" outlineLevel="0" collapsed="false">
      <c r="A46" s="131" t="str">
        <f aca="false">IF(B46="","",ROW()-6)</f>
        <v/>
      </c>
      <c r="B46" s="207"/>
      <c r="C46" s="60"/>
      <c r="D46" s="131" t="str">
        <f aca="false">IF(C46="","",IF(OR(C46="ทั้งเฟส",LEFT(C46,4)="ผรม.",LEFT(C46,3)="เขต"),C46,IFERROR(INDEX('Master Plan'!$B$8:$B$27,MATCH(C46,'Master Plan'!$A$8:$A$27,0)),"?")))</f>
        <v/>
      </c>
      <c r="E46" s="118" t="str">
        <f aca="false">IF(C46="","",IF(OR(C46="ทั้งเฟส",LEFT(C46,4)="ผรม.",LEFT(C46,3)="เขต"),C46,IFERROR(INDEX('Master Plan'!$L$8:$L$27,MATCH(C46,'Master Plan'!$A$8:$A$27,0)),"?")))</f>
        <v/>
      </c>
      <c r="F46" s="60"/>
      <c r="G46" s="114"/>
      <c r="H46" s="60"/>
      <c r="I46" s="116"/>
      <c r="J46" s="225"/>
      <c r="K46" s="206" t="str">
        <f aca="false">IF(F46="","",IF(ISNUMBER(I46),I46,IFERROR(VLOOKUP(F46,RW_TBL,2,0),0)))</f>
        <v/>
      </c>
      <c r="L46" s="226" t="str">
        <f aca="false">IF(F46="","",IF(ISNUMBER(J46),J46,IFERROR(VLOOKUP(F46,RW_TBL,3,0),0)))</f>
        <v/>
      </c>
      <c r="M46" s="113"/>
      <c r="N46" s="114"/>
    </row>
    <row r="47" customFormat="false" ht="15" hidden="false" customHeight="false" outlineLevel="0" collapsed="false">
      <c r="A47" s="131" t="str">
        <f aca="false">IF(B47="","",ROW()-6)</f>
        <v/>
      </c>
      <c r="B47" s="207"/>
      <c r="C47" s="60"/>
      <c r="D47" s="131" t="str">
        <f aca="false">IF(C47="","",IF(OR(C47="ทั้งเฟส",LEFT(C47,4)="ผรม.",LEFT(C47,3)="เขต"),C47,IFERROR(INDEX('Master Plan'!$B$8:$B$27,MATCH(C47,'Master Plan'!$A$8:$A$27,0)),"?")))</f>
        <v/>
      </c>
      <c r="E47" s="118" t="str">
        <f aca="false">IF(C47="","",IF(OR(C47="ทั้งเฟส",LEFT(C47,4)="ผรม.",LEFT(C47,3)="เขต"),C47,IFERROR(INDEX('Master Plan'!$L$8:$L$27,MATCH(C47,'Master Plan'!$A$8:$A$27,0)),"?")))</f>
        <v/>
      </c>
      <c r="F47" s="60"/>
      <c r="G47" s="114"/>
      <c r="H47" s="60"/>
      <c r="I47" s="116"/>
      <c r="J47" s="225"/>
      <c r="K47" s="206" t="str">
        <f aca="false">IF(F47="","",IF(ISNUMBER(I47),I47,IFERROR(VLOOKUP(F47,RW_TBL,2,0),0)))</f>
        <v/>
      </c>
      <c r="L47" s="226" t="str">
        <f aca="false">IF(F47="","",IF(ISNUMBER(J47),J47,IFERROR(VLOOKUP(F47,RW_TBL,3,0),0)))</f>
        <v/>
      </c>
      <c r="M47" s="113"/>
      <c r="N47" s="114"/>
    </row>
    <row r="48" customFormat="false" ht="15" hidden="false" customHeight="false" outlineLevel="0" collapsed="false">
      <c r="A48" s="131" t="str">
        <f aca="false">IF(B48="","",ROW()-6)</f>
        <v/>
      </c>
      <c r="B48" s="207"/>
      <c r="C48" s="60"/>
      <c r="D48" s="131" t="str">
        <f aca="false">IF(C48="","",IF(OR(C48="ทั้งเฟส",LEFT(C48,4)="ผรม.",LEFT(C48,3)="เขต"),C48,IFERROR(INDEX('Master Plan'!$B$8:$B$27,MATCH(C48,'Master Plan'!$A$8:$A$27,0)),"?")))</f>
        <v/>
      </c>
      <c r="E48" s="118" t="str">
        <f aca="false">IF(C48="","",IF(OR(C48="ทั้งเฟส",LEFT(C48,4)="ผรม.",LEFT(C48,3)="เขต"),C48,IFERROR(INDEX('Master Plan'!$L$8:$L$27,MATCH(C48,'Master Plan'!$A$8:$A$27,0)),"?")))</f>
        <v/>
      </c>
      <c r="F48" s="60"/>
      <c r="G48" s="114"/>
      <c r="H48" s="60"/>
      <c r="I48" s="116"/>
      <c r="J48" s="225"/>
      <c r="K48" s="206" t="str">
        <f aca="false">IF(F48="","",IF(ISNUMBER(I48),I48,IFERROR(VLOOKUP(F48,RW_TBL,2,0),0)))</f>
        <v/>
      </c>
      <c r="L48" s="226" t="str">
        <f aca="false">IF(F48="","",IF(ISNUMBER(J48),J48,IFERROR(VLOOKUP(F48,RW_TBL,3,0),0)))</f>
        <v/>
      </c>
      <c r="M48" s="113"/>
      <c r="N48" s="114"/>
    </row>
    <row r="49" customFormat="false" ht="15" hidden="false" customHeight="false" outlineLevel="0" collapsed="false">
      <c r="A49" s="131" t="str">
        <f aca="false">IF(B49="","",ROW()-6)</f>
        <v/>
      </c>
      <c r="B49" s="207"/>
      <c r="C49" s="60"/>
      <c r="D49" s="131" t="str">
        <f aca="false">IF(C49="","",IF(OR(C49="ทั้งเฟส",LEFT(C49,4)="ผรม.",LEFT(C49,3)="เขต"),C49,IFERROR(INDEX('Master Plan'!$B$8:$B$27,MATCH(C49,'Master Plan'!$A$8:$A$27,0)),"?")))</f>
        <v/>
      </c>
      <c r="E49" s="118" t="str">
        <f aca="false">IF(C49="","",IF(OR(C49="ทั้งเฟส",LEFT(C49,4)="ผรม.",LEFT(C49,3)="เขต"),C49,IFERROR(INDEX('Master Plan'!$L$8:$L$27,MATCH(C49,'Master Plan'!$A$8:$A$27,0)),"?")))</f>
        <v/>
      </c>
      <c r="F49" s="60"/>
      <c r="G49" s="114"/>
      <c r="H49" s="60"/>
      <c r="I49" s="116"/>
      <c r="J49" s="225"/>
      <c r="K49" s="206" t="str">
        <f aca="false">IF(F49="","",IF(ISNUMBER(I49),I49,IFERROR(VLOOKUP(F49,RW_TBL,2,0),0)))</f>
        <v/>
      </c>
      <c r="L49" s="226" t="str">
        <f aca="false">IF(F49="","",IF(ISNUMBER(J49),J49,IFERROR(VLOOKUP(F49,RW_TBL,3,0),0)))</f>
        <v/>
      </c>
      <c r="M49" s="113"/>
      <c r="N49" s="114"/>
    </row>
    <row r="50" customFormat="false" ht="15" hidden="false" customHeight="false" outlineLevel="0" collapsed="false">
      <c r="A50" s="131" t="str">
        <f aca="false">IF(B50="","",ROW()-6)</f>
        <v/>
      </c>
      <c r="B50" s="207"/>
      <c r="C50" s="60"/>
      <c r="D50" s="131" t="str">
        <f aca="false">IF(C50="","",IF(OR(C50="ทั้งเฟส",LEFT(C50,4)="ผรม.",LEFT(C50,3)="เขต"),C50,IFERROR(INDEX('Master Plan'!$B$8:$B$27,MATCH(C50,'Master Plan'!$A$8:$A$27,0)),"?")))</f>
        <v/>
      </c>
      <c r="E50" s="118" t="str">
        <f aca="false">IF(C50="","",IF(OR(C50="ทั้งเฟส",LEFT(C50,4)="ผรม.",LEFT(C50,3)="เขต"),C50,IFERROR(INDEX('Master Plan'!$L$8:$L$27,MATCH(C50,'Master Plan'!$A$8:$A$27,0)),"?")))</f>
        <v/>
      </c>
      <c r="F50" s="60"/>
      <c r="G50" s="114"/>
      <c r="H50" s="60"/>
      <c r="I50" s="116"/>
      <c r="J50" s="225"/>
      <c r="K50" s="206" t="str">
        <f aca="false">IF(F50="","",IF(ISNUMBER(I50),I50,IFERROR(VLOOKUP(F50,RW_TBL,2,0),0)))</f>
        <v/>
      </c>
      <c r="L50" s="226" t="str">
        <f aca="false">IF(F50="","",IF(ISNUMBER(J50),J50,IFERROR(VLOOKUP(F50,RW_TBL,3,0),0)))</f>
        <v/>
      </c>
      <c r="M50" s="113"/>
      <c r="N50" s="114"/>
    </row>
    <row r="51" customFormat="false" ht="15" hidden="false" customHeight="false" outlineLevel="0" collapsed="false">
      <c r="A51" s="131" t="str">
        <f aca="false">IF(B51="","",ROW()-6)</f>
        <v/>
      </c>
      <c r="B51" s="207"/>
      <c r="C51" s="60"/>
      <c r="D51" s="131" t="str">
        <f aca="false">IF(C51="","",IF(OR(C51="ทั้งเฟส",LEFT(C51,4)="ผรม.",LEFT(C51,3)="เขต"),C51,IFERROR(INDEX('Master Plan'!$B$8:$B$27,MATCH(C51,'Master Plan'!$A$8:$A$27,0)),"?")))</f>
        <v/>
      </c>
      <c r="E51" s="118" t="str">
        <f aca="false">IF(C51="","",IF(OR(C51="ทั้งเฟส",LEFT(C51,4)="ผรม.",LEFT(C51,3)="เขต"),C51,IFERROR(INDEX('Master Plan'!$L$8:$L$27,MATCH(C51,'Master Plan'!$A$8:$A$27,0)),"?")))</f>
        <v/>
      </c>
      <c r="F51" s="60"/>
      <c r="G51" s="114"/>
      <c r="H51" s="60"/>
      <c r="I51" s="116"/>
      <c r="J51" s="225"/>
      <c r="K51" s="206" t="str">
        <f aca="false">IF(F51="","",IF(ISNUMBER(I51),I51,IFERROR(VLOOKUP(F51,RW_TBL,2,0),0)))</f>
        <v/>
      </c>
      <c r="L51" s="226" t="str">
        <f aca="false">IF(F51="","",IF(ISNUMBER(J51),J51,IFERROR(VLOOKUP(F51,RW_TBL,3,0),0)))</f>
        <v/>
      </c>
      <c r="M51" s="113"/>
      <c r="N51" s="114"/>
    </row>
    <row r="52" customFormat="false" ht="15" hidden="false" customHeight="false" outlineLevel="0" collapsed="false">
      <c r="A52" s="131" t="str">
        <f aca="false">IF(B52="","",ROW()-6)</f>
        <v/>
      </c>
      <c r="B52" s="207"/>
      <c r="C52" s="60"/>
      <c r="D52" s="131" t="str">
        <f aca="false">IF(C52="","",IF(OR(C52="ทั้งเฟส",LEFT(C52,4)="ผรม.",LEFT(C52,3)="เขต"),C52,IFERROR(INDEX('Master Plan'!$B$8:$B$27,MATCH(C52,'Master Plan'!$A$8:$A$27,0)),"?")))</f>
        <v/>
      </c>
      <c r="E52" s="118" t="str">
        <f aca="false">IF(C52="","",IF(OR(C52="ทั้งเฟส",LEFT(C52,4)="ผรม.",LEFT(C52,3)="เขต"),C52,IFERROR(INDEX('Master Plan'!$L$8:$L$27,MATCH(C52,'Master Plan'!$A$8:$A$27,0)),"?")))</f>
        <v/>
      </c>
      <c r="F52" s="60"/>
      <c r="G52" s="114"/>
      <c r="H52" s="60"/>
      <c r="I52" s="116"/>
      <c r="J52" s="225"/>
      <c r="K52" s="206" t="str">
        <f aca="false">IF(F52="","",IF(ISNUMBER(I52),I52,IFERROR(VLOOKUP(F52,RW_TBL,2,0),0)))</f>
        <v/>
      </c>
      <c r="L52" s="226" t="str">
        <f aca="false">IF(F52="","",IF(ISNUMBER(J52),J52,IFERROR(VLOOKUP(F52,RW_TBL,3,0),0)))</f>
        <v/>
      </c>
      <c r="M52" s="113"/>
      <c r="N52" s="114"/>
    </row>
    <row r="53" customFormat="false" ht="15" hidden="false" customHeight="false" outlineLevel="0" collapsed="false">
      <c r="A53" s="131" t="str">
        <f aca="false">IF(B53="","",ROW()-6)</f>
        <v/>
      </c>
      <c r="B53" s="207"/>
      <c r="C53" s="60"/>
      <c r="D53" s="131" t="str">
        <f aca="false">IF(C53="","",IF(OR(C53="ทั้งเฟส",LEFT(C53,4)="ผรม.",LEFT(C53,3)="เขต"),C53,IFERROR(INDEX('Master Plan'!$B$8:$B$27,MATCH(C53,'Master Plan'!$A$8:$A$27,0)),"?")))</f>
        <v/>
      </c>
      <c r="E53" s="118" t="str">
        <f aca="false">IF(C53="","",IF(OR(C53="ทั้งเฟส",LEFT(C53,4)="ผรม.",LEFT(C53,3)="เขต"),C53,IFERROR(INDEX('Master Plan'!$L$8:$L$27,MATCH(C53,'Master Plan'!$A$8:$A$27,0)),"?")))</f>
        <v/>
      </c>
      <c r="F53" s="60"/>
      <c r="G53" s="114"/>
      <c r="H53" s="60"/>
      <c r="I53" s="116"/>
      <c r="J53" s="225"/>
      <c r="K53" s="206" t="str">
        <f aca="false">IF(F53="","",IF(ISNUMBER(I53),I53,IFERROR(VLOOKUP(F53,RW_TBL,2,0),0)))</f>
        <v/>
      </c>
      <c r="L53" s="226" t="str">
        <f aca="false">IF(F53="","",IF(ISNUMBER(J53),J53,IFERROR(VLOOKUP(F53,RW_TBL,3,0),0)))</f>
        <v/>
      </c>
      <c r="M53" s="113"/>
      <c r="N53" s="114"/>
    </row>
    <row r="54" customFormat="false" ht="15" hidden="false" customHeight="false" outlineLevel="0" collapsed="false">
      <c r="A54" s="131" t="str">
        <f aca="false">IF(B54="","",ROW()-6)</f>
        <v/>
      </c>
      <c r="B54" s="207"/>
      <c r="C54" s="60"/>
      <c r="D54" s="131" t="str">
        <f aca="false">IF(C54="","",IF(OR(C54="ทั้งเฟส",LEFT(C54,4)="ผรม.",LEFT(C54,3)="เขต"),C54,IFERROR(INDEX('Master Plan'!$B$8:$B$27,MATCH(C54,'Master Plan'!$A$8:$A$27,0)),"?")))</f>
        <v/>
      </c>
      <c r="E54" s="118" t="str">
        <f aca="false">IF(C54="","",IF(OR(C54="ทั้งเฟส",LEFT(C54,4)="ผรม.",LEFT(C54,3)="เขต"),C54,IFERROR(INDEX('Master Plan'!$L$8:$L$27,MATCH(C54,'Master Plan'!$A$8:$A$27,0)),"?")))</f>
        <v/>
      </c>
      <c r="F54" s="60"/>
      <c r="G54" s="114"/>
      <c r="H54" s="60"/>
      <c r="I54" s="116"/>
      <c r="J54" s="225"/>
      <c r="K54" s="206" t="str">
        <f aca="false">IF(F54="","",IF(ISNUMBER(I54),I54,IFERROR(VLOOKUP(F54,RW_TBL,2,0),0)))</f>
        <v/>
      </c>
      <c r="L54" s="226" t="str">
        <f aca="false">IF(F54="","",IF(ISNUMBER(J54),J54,IFERROR(VLOOKUP(F54,RW_TBL,3,0),0)))</f>
        <v/>
      </c>
      <c r="M54" s="113"/>
      <c r="N54" s="114"/>
    </row>
    <row r="55" customFormat="false" ht="15" hidden="false" customHeight="false" outlineLevel="0" collapsed="false">
      <c r="A55" s="131" t="str">
        <f aca="false">IF(B55="","",ROW()-6)</f>
        <v/>
      </c>
      <c r="B55" s="207"/>
      <c r="C55" s="60"/>
      <c r="D55" s="131" t="str">
        <f aca="false">IF(C55="","",IF(OR(C55="ทั้งเฟส",LEFT(C55,4)="ผรม.",LEFT(C55,3)="เขต"),C55,IFERROR(INDEX('Master Plan'!$B$8:$B$27,MATCH(C55,'Master Plan'!$A$8:$A$27,0)),"?")))</f>
        <v/>
      </c>
      <c r="E55" s="118" t="str">
        <f aca="false">IF(C55="","",IF(OR(C55="ทั้งเฟส",LEFT(C55,4)="ผรม.",LEFT(C55,3)="เขต"),C55,IFERROR(INDEX('Master Plan'!$L$8:$L$27,MATCH(C55,'Master Plan'!$A$8:$A$27,0)),"?")))</f>
        <v/>
      </c>
      <c r="F55" s="60"/>
      <c r="G55" s="114"/>
      <c r="H55" s="60"/>
      <c r="I55" s="116"/>
      <c r="J55" s="225"/>
      <c r="K55" s="206" t="str">
        <f aca="false">IF(F55="","",IF(ISNUMBER(I55),I55,IFERROR(VLOOKUP(F55,RW_TBL,2,0),0)))</f>
        <v/>
      </c>
      <c r="L55" s="226" t="str">
        <f aca="false">IF(F55="","",IF(ISNUMBER(J55),J55,IFERROR(VLOOKUP(F55,RW_TBL,3,0),0)))</f>
        <v/>
      </c>
      <c r="M55" s="113"/>
      <c r="N55" s="114"/>
    </row>
    <row r="56" customFormat="false" ht="15" hidden="false" customHeight="false" outlineLevel="0" collapsed="false">
      <c r="A56" s="131" t="str">
        <f aca="false">IF(B56="","",ROW()-6)</f>
        <v/>
      </c>
      <c r="B56" s="207"/>
      <c r="C56" s="60"/>
      <c r="D56" s="131" t="str">
        <f aca="false">IF(C56="","",IF(OR(C56="ทั้งเฟส",LEFT(C56,4)="ผรม.",LEFT(C56,3)="เขต"),C56,IFERROR(INDEX('Master Plan'!$B$8:$B$27,MATCH(C56,'Master Plan'!$A$8:$A$27,0)),"?")))</f>
        <v/>
      </c>
      <c r="E56" s="118" t="str">
        <f aca="false">IF(C56="","",IF(OR(C56="ทั้งเฟส",LEFT(C56,4)="ผรม.",LEFT(C56,3)="เขต"),C56,IFERROR(INDEX('Master Plan'!$L$8:$L$27,MATCH(C56,'Master Plan'!$A$8:$A$27,0)),"?")))</f>
        <v/>
      </c>
      <c r="F56" s="60"/>
      <c r="G56" s="114"/>
      <c r="H56" s="60"/>
      <c r="I56" s="116"/>
      <c r="J56" s="225"/>
      <c r="K56" s="206" t="str">
        <f aca="false">IF(F56="","",IF(ISNUMBER(I56),I56,IFERROR(VLOOKUP(F56,RW_TBL,2,0),0)))</f>
        <v/>
      </c>
      <c r="L56" s="226" t="str">
        <f aca="false">IF(F56="","",IF(ISNUMBER(J56),J56,IFERROR(VLOOKUP(F56,RW_TBL,3,0),0)))</f>
        <v/>
      </c>
      <c r="M56" s="113"/>
      <c r="N56" s="114"/>
    </row>
    <row r="57" customFormat="false" ht="15" hidden="false" customHeight="false" outlineLevel="0" collapsed="false">
      <c r="A57" s="131" t="str">
        <f aca="false">IF(B57="","",ROW()-6)</f>
        <v/>
      </c>
      <c r="B57" s="207"/>
      <c r="C57" s="60"/>
      <c r="D57" s="131" t="str">
        <f aca="false">IF(C57="","",IF(OR(C57="ทั้งเฟส",LEFT(C57,4)="ผรม.",LEFT(C57,3)="เขต"),C57,IFERROR(INDEX('Master Plan'!$B$8:$B$27,MATCH(C57,'Master Plan'!$A$8:$A$27,0)),"?")))</f>
        <v/>
      </c>
      <c r="E57" s="118" t="str">
        <f aca="false">IF(C57="","",IF(OR(C57="ทั้งเฟส",LEFT(C57,4)="ผรม.",LEFT(C57,3)="เขต"),C57,IFERROR(INDEX('Master Plan'!$L$8:$L$27,MATCH(C57,'Master Plan'!$A$8:$A$27,0)),"?")))</f>
        <v/>
      </c>
      <c r="F57" s="60"/>
      <c r="G57" s="114"/>
      <c r="H57" s="60"/>
      <c r="I57" s="116"/>
      <c r="J57" s="225"/>
      <c r="K57" s="206" t="str">
        <f aca="false">IF(F57="","",IF(ISNUMBER(I57),I57,IFERROR(VLOOKUP(F57,RW_TBL,2,0),0)))</f>
        <v/>
      </c>
      <c r="L57" s="226" t="str">
        <f aca="false">IF(F57="","",IF(ISNUMBER(J57),J57,IFERROR(VLOOKUP(F57,RW_TBL,3,0),0)))</f>
        <v/>
      </c>
      <c r="M57" s="113"/>
      <c r="N57" s="114"/>
    </row>
    <row r="58" customFormat="false" ht="15" hidden="false" customHeight="false" outlineLevel="0" collapsed="false">
      <c r="A58" s="131" t="str">
        <f aca="false">IF(B58="","",ROW()-6)</f>
        <v/>
      </c>
      <c r="B58" s="207"/>
      <c r="C58" s="60"/>
      <c r="D58" s="131" t="str">
        <f aca="false">IF(C58="","",IF(OR(C58="ทั้งเฟส",LEFT(C58,4)="ผรม.",LEFT(C58,3)="เขต"),C58,IFERROR(INDEX('Master Plan'!$B$8:$B$27,MATCH(C58,'Master Plan'!$A$8:$A$27,0)),"?")))</f>
        <v/>
      </c>
      <c r="E58" s="118" t="str">
        <f aca="false">IF(C58="","",IF(OR(C58="ทั้งเฟส",LEFT(C58,4)="ผรม.",LEFT(C58,3)="เขต"),C58,IFERROR(INDEX('Master Plan'!$L$8:$L$27,MATCH(C58,'Master Plan'!$A$8:$A$27,0)),"?")))</f>
        <v/>
      </c>
      <c r="F58" s="60"/>
      <c r="G58" s="114"/>
      <c r="H58" s="60"/>
      <c r="I58" s="116"/>
      <c r="J58" s="225"/>
      <c r="K58" s="206" t="str">
        <f aca="false">IF(F58="","",IF(ISNUMBER(I58),I58,IFERROR(VLOOKUP(F58,RW_TBL,2,0),0)))</f>
        <v/>
      </c>
      <c r="L58" s="226" t="str">
        <f aca="false">IF(F58="","",IF(ISNUMBER(J58),J58,IFERROR(VLOOKUP(F58,RW_TBL,3,0),0)))</f>
        <v/>
      </c>
      <c r="M58" s="113"/>
      <c r="N58" s="114"/>
    </row>
    <row r="59" customFormat="false" ht="15" hidden="false" customHeight="false" outlineLevel="0" collapsed="false">
      <c r="A59" s="131" t="str">
        <f aca="false">IF(B59="","",ROW()-6)</f>
        <v/>
      </c>
      <c r="B59" s="207"/>
      <c r="C59" s="60"/>
      <c r="D59" s="131" t="str">
        <f aca="false">IF(C59="","",IF(OR(C59="ทั้งเฟส",LEFT(C59,4)="ผรม.",LEFT(C59,3)="เขต"),C59,IFERROR(INDEX('Master Plan'!$B$8:$B$27,MATCH(C59,'Master Plan'!$A$8:$A$27,0)),"?")))</f>
        <v/>
      </c>
      <c r="E59" s="118" t="str">
        <f aca="false">IF(C59="","",IF(OR(C59="ทั้งเฟส",LEFT(C59,4)="ผรม.",LEFT(C59,3)="เขต"),C59,IFERROR(INDEX('Master Plan'!$L$8:$L$27,MATCH(C59,'Master Plan'!$A$8:$A$27,0)),"?")))</f>
        <v/>
      </c>
      <c r="F59" s="60"/>
      <c r="G59" s="114"/>
      <c r="H59" s="60"/>
      <c r="I59" s="116"/>
      <c r="J59" s="225"/>
      <c r="K59" s="206" t="str">
        <f aca="false">IF(F59="","",IF(ISNUMBER(I59),I59,IFERROR(VLOOKUP(F59,RW_TBL,2,0),0)))</f>
        <v/>
      </c>
      <c r="L59" s="226" t="str">
        <f aca="false">IF(F59="","",IF(ISNUMBER(J59),J59,IFERROR(VLOOKUP(F59,RW_TBL,3,0),0)))</f>
        <v/>
      </c>
      <c r="M59" s="113"/>
      <c r="N59" s="114"/>
    </row>
    <row r="60" customFormat="false" ht="15" hidden="false" customHeight="false" outlineLevel="0" collapsed="false">
      <c r="A60" s="131" t="str">
        <f aca="false">IF(B60="","",ROW()-6)</f>
        <v/>
      </c>
      <c r="B60" s="207"/>
      <c r="C60" s="60"/>
      <c r="D60" s="131" t="str">
        <f aca="false">IF(C60="","",IF(OR(C60="ทั้งเฟส",LEFT(C60,4)="ผรม.",LEFT(C60,3)="เขต"),C60,IFERROR(INDEX('Master Plan'!$B$8:$B$27,MATCH(C60,'Master Plan'!$A$8:$A$27,0)),"?")))</f>
        <v/>
      </c>
      <c r="E60" s="118" t="str">
        <f aca="false">IF(C60="","",IF(OR(C60="ทั้งเฟส",LEFT(C60,4)="ผรม.",LEFT(C60,3)="เขต"),C60,IFERROR(INDEX('Master Plan'!$L$8:$L$27,MATCH(C60,'Master Plan'!$A$8:$A$27,0)),"?")))</f>
        <v/>
      </c>
      <c r="F60" s="60"/>
      <c r="G60" s="114"/>
      <c r="H60" s="60"/>
      <c r="I60" s="116"/>
      <c r="J60" s="225"/>
      <c r="K60" s="206" t="str">
        <f aca="false">IF(F60="","",IF(ISNUMBER(I60),I60,IFERROR(VLOOKUP(F60,RW_TBL,2,0),0)))</f>
        <v/>
      </c>
      <c r="L60" s="226" t="str">
        <f aca="false">IF(F60="","",IF(ISNUMBER(J60),J60,IFERROR(VLOOKUP(F60,RW_TBL,3,0),0)))</f>
        <v/>
      </c>
      <c r="M60" s="113"/>
      <c r="N60" s="114"/>
    </row>
    <row r="61" customFormat="false" ht="15" hidden="false" customHeight="false" outlineLevel="0" collapsed="false">
      <c r="A61" s="131" t="str">
        <f aca="false">IF(B61="","",ROW()-6)</f>
        <v/>
      </c>
      <c r="B61" s="207"/>
      <c r="C61" s="60"/>
      <c r="D61" s="131" t="str">
        <f aca="false">IF(C61="","",IF(OR(C61="ทั้งเฟส",LEFT(C61,4)="ผรม.",LEFT(C61,3)="เขต"),C61,IFERROR(INDEX('Master Plan'!$B$8:$B$27,MATCH(C61,'Master Plan'!$A$8:$A$27,0)),"?")))</f>
        <v/>
      </c>
      <c r="E61" s="118" t="str">
        <f aca="false">IF(C61="","",IF(OR(C61="ทั้งเฟส",LEFT(C61,4)="ผรม.",LEFT(C61,3)="เขต"),C61,IFERROR(INDEX('Master Plan'!$L$8:$L$27,MATCH(C61,'Master Plan'!$A$8:$A$27,0)),"?")))</f>
        <v/>
      </c>
      <c r="F61" s="60"/>
      <c r="G61" s="114"/>
      <c r="H61" s="60"/>
      <c r="I61" s="116"/>
      <c r="J61" s="225"/>
      <c r="K61" s="206" t="str">
        <f aca="false">IF(F61="","",IF(ISNUMBER(I61),I61,IFERROR(VLOOKUP(F61,RW_TBL,2,0),0)))</f>
        <v/>
      </c>
      <c r="L61" s="226" t="str">
        <f aca="false">IF(F61="","",IF(ISNUMBER(J61),J61,IFERROR(VLOOKUP(F61,RW_TBL,3,0),0)))</f>
        <v/>
      </c>
      <c r="M61" s="113"/>
      <c r="N61" s="114"/>
    </row>
    <row r="62" customFormat="false" ht="15" hidden="false" customHeight="false" outlineLevel="0" collapsed="false">
      <c r="A62" s="131" t="str">
        <f aca="false">IF(B62="","",ROW()-6)</f>
        <v/>
      </c>
      <c r="B62" s="207"/>
      <c r="C62" s="60"/>
      <c r="D62" s="131" t="str">
        <f aca="false">IF(C62="","",IF(OR(C62="ทั้งเฟส",LEFT(C62,4)="ผรม.",LEFT(C62,3)="เขต"),C62,IFERROR(INDEX('Master Plan'!$B$8:$B$27,MATCH(C62,'Master Plan'!$A$8:$A$27,0)),"?")))</f>
        <v/>
      </c>
      <c r="E62" s="118" t="str">
        <f aca="false">IF(C62="","",IF(OR(C62="ทั้งเฟส",LEFT(C62,4)="ผรม.",LEFT(C62,3)="เขต"),C62,IFERROR(INDEX('Master Plan'!$L$8:$L$27,MATCH(C62,'Master Plan'!$A$8:$A$27,0)),"?")))</f>
        <v/>
      </c>
      <c r="F62" s="60"/>
      <c r="G62" s="114"/>
      <c r="H62" s="60"/>
      <c r="I62" s="116"/>
      <c r="J62" s="225"/>
      <c r="K62" s="206" t="str">
        <f aca="false">IF(F62="","",IF(ISNUMBER(I62),I62,IFERROR(VLOOKUP(F62,RW_TBL,2,0),0)))</f>
        <v/>
      </c>
      <c r="L62" s="226" t="str">
        <f aca="false">IF(F62="","",IF(ISNUMBER(J62),J62,IFERROR(VLOOKUP(F62,RW_TBL,3,0),0)))</f>
        <v/>
      </c>
      <c r="M62" s="113"/>
      <c r="N62" s="114"/>
    </row>
    <row r="63" customFormat="false" ht="15" hidden="false" customHeight="false" outlineLevel="0" collapsed="false">
      <c r="A63" s="131" t="str">
        <f aca="false">IF(B63="","",ROW()-6)</f>
        <v/>
      </c>
      <c r="B63" s="207"/>
      <c r="C63" s="60"/>
      <c r="D63" s="131" t="str">
        <f aca="false">IF(C63="","",IF(OR(C63="ทั้งเฟส",LEFT(C63,4)="ผรม.",LEFT(C63,3)="เขต"),C63,IFERROR(INDEX('Master Plan'!$B$8:$B$27,MATCH(C63,'Master Plan'!$A$8:$A$27,0)),"?")))</f>
        <v/>
      </c>
      <c r="E63" s="118" t="str">
        <f aca="false">IF(C63="","",IF(OR(C63="ทั้งเฟส",LEFT(C63,4)="ผรม.",LEFT(C63,3)="เขต"),C63,IFERROR(INDEX('Master Plan'!$L$8:$L$27,MATCH(C63,'Master Plan'!$A$8:$A$27,0)),"?")))</f>
        <v/>
      </c>
      <c r="F63" s="60"/>
      <c r="G63" s="114"/>
      <c r="H63" s="60"/>
      <c r="I63" s="116"/>
      <c r="J63" s="225"/>
      <c r="K63" s="206" t="str">
        <f aca="false">IF(F63="","",IF(ISNUMBER(I63),I63,IFERROR(VLOOKUP(F63,RW_TBL,2,0),0)))</f>
        <v/>
      </c>
      <c r="L63" s="226" t="str">
        <f aca="false">IF(F63="","",IF(ISNUMBER(J63),J63,IFERROR(VLOOKUP(F63,RW_TBL,3,0),0)))</f>
        <v/>
      </c>
      <c r="M63" s="113"/>
      <c r="N63" s="114"/>
    </row>
    <row r="64" customFormat="false" ht="15" hidden="false" customHeight="false" outlineLevel="0" collapsed="false">
      <c r="A64" s="131" t="str">
        <f aca="false">IF(B64="","",ROW()-6)</f>
        <v/>
      </c>
      <c r="B64" s="207"/>
      <c r="C64" s="60"/>
      <c r="D64" s="131" t="str">
        <f aca="false">IF(C64="","",IF(OR(C64="ทั้งเฟส",LEFT(C64,4)="ผรม.",LEFT(C64,3)="เขต"),C64,IFERROR(INDEX('Master Plan'!$B$8:$B$27,MATCH(C64,'Master Plan'!$A$8:$A$27,0)),"?")))</f>
        <v/>
      </c>
      <c r="E64" s="118" t="str">
        <f aca="false">IF(C64="","",IF(OR(C64="ทั้งเฟส",LEFT(C64,4)="ผรม.",LEFT(C64,3)="เขต"),C64,IFERROR(INDEX('Master Plan'!$L$8:$L$27,MATCH(C64,'Master Plan'!$A$8:$A$27,0)),"?")))</f>
        <v/>
      </c>
      <c r="F64" s="60"/>
      <c r="G64" s="114"/>
      <c r="H64" s="60"/>
      <c r="I64" s="116"/>
      <c r="J64" s="225"/>
      <c r="K64" s="206" t="str">
        <f aca="false">IF(F64="","",IF(ISNUMBER(I64),I64,IFERROR(VLOOKUP(F64,RW_TBL,2,0),0)))</f>
        <v/>
      </c>
      <c r="L64" s="226" t="str">
        <f aca="false">IF(F64="","",IF(ISNUMBER(J64),J64,IFERROR(VLOOKUP(F64,RW_TBL,3,0),0)))</f>
        <v/>
      </c>
      <c r="M64" s="113"/>
      <c r="N64" s="114"/>
    </row>
    <row r="65" customFormat="false" ht="15" hidden="false" customHeight="false" outlineLevel="0" collapsed="false">
      <c r="A65" s="131" t="str">
        <f aca="false">IF(B65="","",ROW()-6)</f>
        <v/>
      </c>
      <c r="B65" s="207"/>
      <c r="C65" s="60"/>
      <c r="D65" s="131" t="str">
        <f aca="false">IF(C65="","",IF(OR(C65="ทั้งเฟส",LEFT(C65,4)="ผรม.",LEFT(C65,3)="เขต"),C65,IFERROR(INDEX('Master Plan'!$B$8:$B$27,MATCH(C65,'Master Plan'!$A$8:$A$27,0)),"?")))</f>
        <v/>
      </c>
      <c r="E65" s="118" t="str">
        <f aca="false">IF(C65="","",IF(OR(C65="ทั้งเฟส",LEFT(C65,4)="ผรม.",LEFT(C65,3)="เขต"),C65,IFERROR(INDEX('Master Plan'!$L$8:$L$27,MATCH(C65,'Master Plan'!$A$8:$A$27,0)),"?")))</f>
        <v/>
      </c>
      <c r="F65" s="60"/>
      <c r="G65" s="114"/>
      <c r="H65" s="60"/>
      <c r="I65" s="116"/>
      <c r="J65" s="225"/>
      <c r="K65" s="206" t="str">
        <f aca="false">IF(F65="","",IF(ISNUMBER(I65),I65,IFERROR(VLOOKUP(F65,RW_TBL,2,0),0)))</f>
        <v/>
      </c>
      <c r="L65" s="226" t="str">
        <f aca="false">IF(F65="","",IF(ISNUMBER(J65),J65,IFERROR(VLOOKUP(F65,RW_TBL,3,0),0)))</f>
        <v/>
      </c>
      <c r="M65" s="113"/>
      <c r="N65" s="114"/>
    </row>
    <row r="66" customFormat="false" ht="15" hidden="false" customHeight="false" outlineLevel="0" collapsed="false">
      <c r="A66" s="131" t="str">
        <f aca="false">IF(B66="","",ROW()-6)</f>
        <v/>
      </c>
      <c r="B66" s="207"/>
      <c r="C66" s="60"/>
      <c r="D66" s="131" t="str">
        <f aca="false">IF(C66="","",IF(OR(C66="ทั้งเฟส",LEFT(C66,4)="ผรม.",LEFT(C66,3)="เขต"),C66,IFERROR(INDEX('Master Plan'!$B$8:$B$27,MATCH(C66,'Master Plan'!$A$8:$A$27,0)),"?")))</f>
        <v/>
      </c>
      <c r="E66" s="118" t="str">
        <f aca="false">IF(C66="","",IF(OR(C66="ทั้งเฟส",LEFT(C66,4)="ผรม.",LEFT(C66,3)="เขต"),C66,IFERROR(INDEX('Master Plan'!$L$8:$L$27,MATCH(C66,'Master Plan'!$A$8:$A$27,0)),"?")))</f>
        <v/>
      </c>
      <c r="F66" s="60"/>
      <c r="G66" s="114"/>
      <c r="H66" s="60"/>
      <c r="I66" s="116"/>
      <c r="J66" s="225"/>
      <c r="K66" s="206" t="str">
        <f aca="false">IF(F66="","",IF(ISNUMBER(I66),I66,IFERROR(VLOOKUP(F66,RW_TBL,2,0),0)))</f>
        <v/>
      </c>
      <c r="L66" s="226" t="str">
        <f aca="false">IF(F66="","",IF(ISNUMBER(J66),J66,IFERROR(VLOOKUP(F66,RW_TBL,3,0),0)))</f>
        <v/>
      </c>
      <c r="M66" s="113"/>
      <c r="N66" s="114"/>
    </row>
    <row r="67" customFormat="false" ht="15" hidden="false" customHeight="false" outlineLevel="0" collapsed="false">
      <c r="A67" s="131" t="str">
        <f aca="false">IF(B67="","",ROW()-6)</f>
        <v/>
      </c>
      <c r="B67" s="207"/>
      <c r="C67" s="60"/>
      <c r="D67" s="131" t="str">
        <f aca="false">IF(C67="","",IF(OR(C67="ทั้งเฟส",LEFT(C67,4)="ผรม.",LEFT(C67,3)="เขต"),C67,IFERROR(INDEX('Master Plan'!$B$8:$B$27,MATCH(C67,'Master Plan'!$A$8:$A$27,0)),"?")))</f>
        <v/>
      </c>
      <c r="E67" s="118" t="str">
        <f aca="false">IF(C67="","",IF(OR(C67="ทั้งเฟส",LEFT(C67,4)="ผรม.",LEFT(C67,3)="เขต"),C67,IFERROR(INDEX('Master Plan'!$L$8:$L$27,MATCH(C67,'Master Plan'!$A$8:$A$27,0)),"?")))</f>
        <v/>
      </c>
      <c r="F67" s="60"/>
      <c r="G67" s="114"/>
      <c r="H67" s="60"/>
      <c r="I67" s="116"/>
      <c r="J67" s="225"/>
      <c r="K67" s="206" t="str">
        <f aca="false">IF(F67="","",IF(ISNUMBER(I67),I67,IFERROR(VLOOKUP(F67,RW_TBL,2,0),0)))</f>
        <v/>
      </c>
      <c r="L67" s="226" t="str">
        <f aca="false">IF(F67="","",IF(ISNUMBER(J67),J67,IFERROR(VLOOKUP(F67,RW_TBL,3,0),0)))</f>
        <v/>
      </c>
      <c r="M67" s="113"/>
      <c r="N67" s="114"/>
    </row>
    <row r="68" customFormat="false" ht="15" hidden="false" customHeight="false" outlineLevel="0" collapsed="false">
      <c r="A68" s="131" t="str">
        <f aca="false">IF(B68="","",ROW()-6)</f>
        <v/>
      </c>
      <c r="B68" s="207"/>
      <c r="C68" s="60"/>
      <c r="D68" s="131" t="str">
        <f aca="false">IF(C68="","",IF(OR(C68="ทั้งเฟส",LEFT(C68,4)="ผรม.",LEFT(C68,3)="เขต"),C68,IFERROR(INDEX('Master Plan'!$B$8:$B$27,MATCH(C68,'Master Plan'!$A$8:$A$27,0)),"?")))</f>
        <v/>
      </c>
      <c r="E68" s="118" t="str">
        <f aca="false">IF(C68="","",IF(OR(C68="ทั้งเฟส",LEFT(C68,4)="ผรม.",LEFT(C68,3)="เขต"),C68,IFERROR(INDEX('Master Plan'!$L$8:$L$27,MATCH(C68,'Master Plan'!$A$8:$A$27,0)),"?")))</f>
        <v/>
      </c>
      <c r="F68" s="60"/>
      <c r="G68" s="114"/>
      <c r="H68" s="60"/>
      <c r="I68" s="116"/>
      <c r="J68" s="225"/>
      <c r="K68" s="206" t="str">
        <f aca="false">IF(F68="","",IF(ISNUMBER(I68),I68,IFERROR(VLOOKUP(F68,RW_TBL,2,0),0)))</f>
        <v/>
      </c>
      <c r="L68" s="226" t="str">
        <f aca="false">IF(F68="","",IF(ISNUMBER(J68),J68,IFERROR(VLOOKUP(F68,RW_TBL,3,0),0)))</f>
        <v/>
      </c>
      <c r="M68" s="113"/>
      <c r="N68" s="114"/>
    </row>
    <row r="69" customFormat="false" ht="15" hidden="false" customHeight="false" outlineLevel="0" collapsed="false">
      <c r="A69" s="131" t="str">
        <f aca="false">IF(B69="","",ROW()-6)</f>
        <v/>
      </c>
      <c r="B69" s="207"/>
      <c r="C69" s="60"/>
      <c r="D69" s="131" t="str">
        <f aca="false">IF(C69="","",IF(OR(C69="ทั้งเฟส",LEFT(C69,4)="ผรม.",LEFT(C69,3)="เขต"),C69,IFERROR(INDEX('Master Plan'!$B$8:$B$27,MATCH(C69,'Master Plan'!$A$8:$A$27,0)),"?")))</f>
        <v/>
      </c>
      <c r="E69" s="118" t="str">
        <f aca="false">IF(C69="","",IF(OR(C69="ทั้งเฟส",LEFT(C69,4)="ผรม.",LEFT(C69,3)="เขต"),C69,IFERROR(INDEX('Master Plan'!$L$8:$L$27,MATCH(C69,'Master Plan'!$A$8:$A$27,0)),"?")))</f>
        <v/>
      </c>
      <c r="F69" s="60"/>
      <c r="G69" s="114"/>
      <c r="H69" s="60"/>
      <c r="I69" s="116"/>
      <c r="J69" s="225"/>
      <c r="K69" s="206" t="str">
        <f aca="false">IF(F69="","",IF(ISNUMBER(I69),I69,IFERROR(VLOOKUP(F69,RW_TBL,2,0),0)))</f>
        <v/>
      </c>
      <c r="L69" s="226" t="str">
        <f aca="false">IF(F69="","",IF(ISNUMBER(J69),J69,IFERROR(VLOOKUP(F69,RW_TBL,3,0),0)))</f>
        <v/>
      </c>
      <c r="M69" s="113"/>
      <c r="N69" s="114"/>
    </row>
    <row r="70" customFormat="false" ht="15" hidden="false" customHeight="false" outlineLevel="0" collapsed="false">
      <c r="A70" s="131" t="str">
        <f aca="false">IF(B70="","",ROW()-6)</f>
        <v/>
      </c>
      <c r="B70" s="207"/>
      <c r="C70" s="60"/>
      <c r="D70" s="131" t="str">
        <f aca="false">IF(C70="","",IF(OR(C70="ทั้งเฟส",LEFT(C70,4)="ผรม.",LEFT(C70,3)="เขต"),C70,IFERROR(INDEX('Master Plan'!$B$8:$B$27,MATCH(C70,'Master Plan'!$A$8:$A$27,0)),"?")))</f>
        <v/>
      </c>
      <c r="E70" s="118" t="str">
        <f aca="false">IF(C70="","",IF(OR(C70="ทั้งเฟส",LEFT(C70,4)="ผรม.",LEFT(C70,3)="เขต"),C70,IFERROR(INDEX('Master Plan'!$L$8:$L$27,MATCH(C70,'Master Plan'!$A$8:$A$27,0)),"?")))</f>
        <v/>
      </c>
      <c r="F70" s="60"/>
      <c r="G70" s="114"/>
      <c r="H70" s="60"/>
      <c r="I70" s="116"/>
      <c r="J70" s="225"/>
      <c r="K70" s="206" t="str">
        <f aca="false">IF(F70="","",IF(ISNUMBER(I70),I70,IFERROR(VLOOKUP(F70,RW_TBL,2,0),0)))</f>
        <v/>
      </c>
      <c r="L70" s="226" t="str">
        <f aca="false">IF(F70="","",IF(ISNUMBER(J70),J70,IFERROR(VLOOKUP(F70,RW_TBL,3,0),0)))</f>
        <v/>
      </c>
      <c r="M70" s="113"/>
      <c r="N70" s="114"/>
    </row>
    <row r="71" customFormat="false" ht="15" hidden="false" customHeight="false" outlineLevel="0" collapsed="false">
      <c r="A71" s="131" t="str">
        <f aca="false">IF(B71="","",ROW()-6)</f>
        <v/>
      </c>
      <c r="B71" s="207"/>
      <c r="C71" s="60"/>
      <c r="D71" s="131" t="str">
        <f aca="false">IF(C71="","",IF(OR(C71="ทั้งเฟส",LEFT(C71,4)="ผรม.",LEFT(C71,3)="เขต"),C71,IFERROR(INDEX('Master Plan'!$B$8:$B$27,MATCH(C71,'Master Plan'!$A$8:$A$27,0)),"?")))</f>
        <v/>
      </c>
      <c r="E71" s="118" t="str">
        <f aca="false">IF(C71="","",IF(OR(C71="ทั้งเฟส",LEFT(C71,4)="ผรม.",LEFT(C71,3)="เขต"),C71,IFERROR(INDEX('Master Plan'!$L$8:$L$27,MATCH(C71,'Master Plan'!$A$8:$A$27,0)),"?")))</f>
        <v/>
      </c>
      <c r="F71" s="60"/>
      <c r="G71" s="114"/>
      <c r="H71" s="60"/>
      <c r="I71" s="116"/>
      <c r="J71" s="225"/>
      <c r="K71" s="206" t="str">
        <f aca="false">IF(F71="","",IF(ISNUMBER(I71),I71,IFERROR(VLOOKUP(F71,RW_TBL,2,0),0)))</f>
        <v/>
      </c>
      <c r="L71" s="226" t="str">
        <f aca="false">IF(F71="","",IF(ISNUMBER(J71),J71,IFERROR(VLOOKUP(F71,RW_TBL,3,0),0)))</f>
        <v/>
      </c>
      <c r="M71" s="113"/>
      <c r="N71" s="114"/>
    </row>
    <row r="72" customFormat="false" ht="15" hidden="false" customHeight="false" outlineLevel="0" collapsed="false">
      <c r="A72" s="131" t="str">
        <f aca="false">IF(B72="","",ROW()-6)</f>
        <v/>
      </c>
      <c r="B72" s="207"/>
      <c r="C72" s="60"/>
      <c r="D72" s="131" t="str">
        <f aca="false">IF(C72="","",IF(OR(C72="ทั้งเฟส",LEFT(C72,4)="ผรม.",LEFT(C72,3)="เขต"),C72,IFERROR(INDEX('Master Plan'!$B$8:$B$27,MATCH(C72,'Master Plan'!$A$8:$A$27,0)),"?")))</f>
        <v/>
      </c>
      <c r="E72" s="118" t="str">
        <f aca="false">IF(C72="","",IF(OR(C72="ทั้งเฟส",LEFT(C72,4)="ผรม.",LEFT(C72,3)="เขต"),C72,IFERROR(INDEX('Master Plan'!$L$8:$L$27,MATCH(C72,'Master Plan'!$A$8:$A$27,0)),"?")))</f>
        <v/>
      </c>
      <c r="F72" s="60"/>
      <c r="G72" s="114"/>
      <c r="H72" s="60"/>
      <c r="I72" s="116"/>
      <c r="J72" s="225"/>
      <c r="K72" s="206" t="str">
        <f aca="false">IF(F72="","",IF(ISNUMBER(I72),I72,IFERROR(VLOOKUP(F72,RW_TBL,2,0),0)))</f>
        <v/>
      </c>
      <c r="L72" s="226" t="str">
        <f aca="false">IF(F72="","",IF(ISNUMBER(J72),J72,IFERROR(VLOOKUP(F72,RW_TBL,3,0),0)))</f>
        <v/>
      </c>
      <c r="M72" s="113"/>
      <c r="N72" s="114"/>
    </row>
    <row r="73" customFormat="false" ht="15" hidden="false" customHeight="false" outlineLevel="0" collapsed="false">
      <c r="A73" s="131" t="str">
        <f aca="false">IF(B73="","",ROW()-6)</f>
        <v/>
      </c>
      <c r="B73" s="207"/>
      <c r="C73" s="60"/>
      <c r="D73" s="131" t="str">
        <f aca="false">IF(C73="","",IF(OR(C73="ทั้งเฟส",LEFT(C73,4)="ผรม.",LEFT(C73,3)="เขต"),C73,IFERROR(INDEX('Master Plan'!$B$8:$B$27,MATCH(C73,'Master Plan'!$A$8:$A$27,0)),"?")))</f>
        <v/>
      </c>
      <c r="E73" s="118" t="str">
        <f aca="false">IF(C73="","",IF(OR(C73="ทั้งเฟส",LEFT(C73,4)="ผรม.",LEFT(C73,3)="เขต"),C73,IFERROR(INDEX('Master Plan'!$L$8:$L$27,MATCH(C73,'Master Plan'!$A$8:$A$27,0)),"?")))</f>
        <v/>
      </c>
      <c r="F73" s="60"/>
      <c r="G73" s="114"/>
      <c r="H73" s="60"/>
      <c r="I73" s="116"/>
      <c r="J73" s="225"/>
      <c r="K73" s="206" t="str">
        <f aca="false">IF(F73="","",IF(ISNUMBER(I73),I73,IFERROR(VLOOKUP(F73,RW_TBL,2,0),0)))</f>
        <v/>
      </c>
      <c r="L73" s="226" t="str">
        <f aca="false">IF(F73="","",IF(ISNUMBER(J73),J73,IFERROR(VLOOKUP(F73,RW_TBL,3,0),0)))</f>
        <v/>
      </c>
      <c r="M73" s="113"/>
      <c r="N73" s="114"/>
    </row>
    <row r="74" customFormat="false" ht="15" hidden="false" customHeight="false" outlineLevel="0" collapsed="false">
      <c r="A74" s="131" t="str">
        <f aca="false">IF(B74="","",ROW()-6)</f>
        <v/>
      </c>
      <c r="B74" s="207"/>
      <c r="C74" s="60"/>
      <c r="D74" s="131" t="str">
        <f aca="false">IF(C74="","",IF(OR(C74="ทั้งเฟส",LEFT(C74,4)="ผรม.",LEFT(C74,3)="เขต"),C74,IFERROR(INDEX('Master Plan'!$B$8:$B$27,MATCH(C74,'Master Plan'!$A$8:$A$27,0)),"?")))</f>
        <v/>
      </c>
      <c r="E74" s="118" t="str">
        <f aca="false">IF(C74="","",IF(OR(C74="ทั้งเฟส",LEFT(C74,4)="ผรม.",LEFT(C74,3)="เขต"),C74,IFERROR(INDEX('Master Plan'!$L$8:$L$27,MATCH(C74,'Master Plan'!$A$8:$A$27,0)),"?")))</f>
        <v/>
      </c>
      <c r="F74" s="60"/>
      <c r="G74" s="114"/>
      <c r="H74" s="60"/>
      <c r="I74" s="116"/>
      <c r="J74" s="225"/>
      <c r="K74" s="206" t="str">
        <f aca="false">IF(F74="","",IF(ISNUMBER(I74),I74,IFERROR(VLOOKUP(F74,RW_TBL,2,0),0)))</f>
        <v/>
      </c>
      <c r="L74" s="226" t="str">
        <f aca="false">IF(F74="","",IF(ISNUMBER(J74),J74,IFERROR(VLOOKUP(F74,RW_TBL,3,0),0)))</f>
        <v/>
      </c>
      <c r="M74" s="113"/>
      <c r="N74" s="114"/>
    </row>
    <row r="75" customFormat="false" ht="15" hidden="false" customHeight="false" outlineLevel="0" collapsed="false">
      <c r="A75" s="131" t="str">
        <f aca="false">IF(B75="","",ROW()-6)</f>
        <v/>
      </c>
      <c r="B75" s="207"/>
      <c r="C75" s="60"/>
      <c r="D75" s="131" t="str">
        <f aca="false">IF(C75="","",IF(OR(C75="ทั้งเฟส",LEFT(C75,4)="ผรม.",LEFT(C75,3)="เขต"),C75,IFERROR(INDEX('Master Plan'!$B$8:$B$27,MATCH(C75,'Master Plan'!$A$8:$A$27,0)),"?")))</f>
        <v/>
      </c>
      <c r="E75" s="118" t="str">
        <f aca="false">IF(C75="","",IF(OR(C75="ทั้งเฟส",LEFT(C75,4)="ผรม.",LEFT(C75,3)="เขต"),C75,IFERROR(INDEX('Master Plan'!$L$8:$L$27,MATCH(C75,'Master Plan'!$A$8:$A$27,0)),"?")))</f>
        <v/>
      </c>
      <c r="F75" s="60"/>
      <c r="G75" s="114"/>
      <c r="H75" s="60"/>
      <c r="I75" s="116"/>
      <c r="J75" s="225"/>
      <c r="K75" s="206" t="str">
        <f aca="false">IF(F75="","",IF(ISNUMBER(I75),I75,IFERROR(VLOOKUP(F75,RW_TBL,2,0),0)))</f>
        <v/>
      </c>
      <c r="L75" s="226" t="str">
        <f aca="false">IF(F75="","",IF(ISNUMBER(J75),J75,IFERROR(VLOOKUP(F75,RW_TBL,3,0),0)))</f>
        <v/>
      </c>
      <c r="M75" s="113"/>
      <c r="N75" s="114"/>
    </row>
    <row r="76" customFormat="false" ht="15" hidden="false" customHeight="false" outlineLevel="0" collapsed="false">
      <c r="A76" s="131" t="str">
        <f aca="false">IF(B76="","",ROW()-6)</f>
        <v/>
      </c>
      <c r="B76" s="207"/>
      <c r="C76" s="60"/>
      <c r="D76" s="131" t="str">
        <f aca="false">IF(C76="","",IF(OR(C76="ทั้งเฟส",LEFT(C76,4)="ผรม.",LEFT(C76,3)="เขต"),C76,IFERROR(INDEX('Master Plan'!$B$8:$B$27,MATCH(C76,'Master Plan'!$A$8:$A$27,0)),"?")))</f>
        <v/>
      </c>
      <c r="E76" s="118" t="str">
        <f aca="false">IF(C76="","",IF(OR(C76="ทั้งเฟส",LEFT(C76,4)="ผรม.",LEFT(C76,3)="เขต"),C76,IFERROR(INDEX('Master Plan'!$L$8:$L$27,MATCH(C76,'Master Plan'!$A$8:$A$27,0)),"?")))</f>
        <v/>
      </c>
      <c r="F76" s="60"/>
      <c r="G76" s="114"/>
      <c r="H76" s="60"/>
      <c r="I76" s="116"/>
      <c r="J76" s="225"/>
      <c r="K76" s="206" t="str">
        <f aca="false">IF(F76="","",IF(ISNUMBER(I76),I76,IFERROR(VLOOKUP(F76,RW_TBL,2,0),0)))</f>
        <v/>
      </c>
      <c r="L76" s="226" t="str">
        <f aca="false">IF(F76="","",IF(ISNUMBER(J76),J76,IFERROR(VLOOKUP(F76,RW_TBL,3,0),0)))</f>
        <v/>
      </c>
      <c r="M76" s="113"/>
      <c r="N76" s="114"/>
    </row>
    <row r="77" customFormat="false" ht="15" hidden="false" customHeight="false" outlineLevel="0" collapsed="false">
      <c r="A77" s="131" t="str">
        <f aca="false">IF(B77="","",ROW()-6)</f>
        <v/>
      </c>
      <c r="B77" s="207"/>
      <c r="C77" s="60"/>
      <c r="D77" s="131" t="str">
        <f aca="false">IF(C77="","",IF(OR(C77="ทั้งเฟส",LEFT(C77,4)="ผรม.",LEFT(C77,3)="เขต"),C77,IFERROR(INDEX('Master Plan'!$B$8:$B$27,MATCH(C77,'Master Plan'!$A$8:$A$27,0)),"?")))</f>
        <v/>
      </c>
      <c r="E77" s="118" t="str">
        <f aca="false">IF(C77="","",IF(OR(C77="ทั้งเฟส",LEFT(C77,4)="ผรม.",LEFT(C77,3)="เขต"),C77,IFERROR(INDEX('Master Plan'!$L$8:$L$27,MATCH(C77,'Master Plan'!$A$8:$A$27,0)),"?")))</f>
        <v/>
      </c>
      <c r="F77" s="60"/>
      <c r="G77" s="114"/>
      <c r="H77" s="60"/>
      <c r="I77" s="116"/>
      <c r="J77" s="225"/>
      <c r="K77" s="206" t="str">
        <f aca="false">IF(F77="","",IF(ISNUMBER(I77),I77,IFERROR(VLOOKUP(F77,RW_TBL,2,0),0)))</f>
        <v/>
      </c>
      <c r="L77" s="226" t="str">
        <f aca="false">IF(F77="","",IF(ISNUMBER(J77),J77,IFERROR(VLOOKUP(F77,RW_TBL,3,0),0)))</f>
        <v/>
      </c>
      <c r="M77" s="113"/>
      <c r="N77" s="114"/>
    </row>
    <row r="78" customFormat="false" ht="15" hidden="false" customHeight="false" outlineLevel="0" collapsed="false">
      <c r="A78" s="131" t="str">
        <f aca="false">IF(B78="","",ROW()-6)</f>
        <v/>
      </c>
      <c r="B78" s="207"/>
      <c r="C78" s="60"/>
      <c r="D78" s="131" t="str">
        <f aca="false">IF(C78="","",IF(OR(C78="ทั้งเฟส",LEFT(C78,4)="ผรม.",LEFT(C78,3)="เขต"),C78,IFERROR(INDEX('Master Plan'!$B$8:$B$27,MATCH(C78,'Master Plan'!$A$8:$A$27,0)),"?")))</f>
        <v/>
      </c>
      <c r="E78" s="118" t="str">
        <f aca="false">IF(C78="","",IF(OR(C78="ทั้งเฟส",LEFT(C78,4)="ผรม.",LEFT(C78,3)="เขต"),C78,IFERROR(INDEX('Master Plan'!$L$8:$L$27,MATCH(C78,'Master Plan'!$A$8:$A$27,0)),"?")))</f>
        <v/>
      </c>
      <c r="F78" s="60"/>
      <c r="G78" s="114"/>
      <c r="H78" s="60"/>
      <c r="I78" s="116"/>
      <c r="J78" s="225"/>
      <c r="K78" s="206" t="str">
        <f aca="false">IF(F78="","",IF(ISNUMBER(I78),I78,IFERROR(VLOOKUP(F78,RW_TBL,2,0),0)))</f>
        <v/>
      </c>
      <c r="L78" s="226" t="str">
        <f aca="false">IF(F78="","",IF(ISNUMBER(J78),J78,IFERROR(VLOOKUP(F78,RW_TBL,3,0),0)))</f>
        <v/>
      </c>
      <c r="M78" s="113"/>
      <c r="N78" s="114"/>
    </row>
    <row r="79" customFormat="false" ht="15" hidden="false" customHeight="false" outlineLevel="0" collapsed="false">
      <c r="A79" s="131" t="str">
        <f aca="false">IF(B79="","",ROW()-6)</f>
        <v/>
      </c>
      <c r="B79" s="207"/>
      <c r="C79" s="60"/>
      <c r="D79" s="131" t="str">
        <f aca="false">IF(C79="","",IF(OR(C79="ทั้งเฟส",LEFT(C79,4)="ผรม.",LEFT(C79,3)="เขต"),C79,IFERROR(INDEX('Master Plan'!$B$8:$B$27,MATCH(C79,'Master Plan'!$A$8:$A$27,0)),"?")))</f>
        <v/>
      </c>
      <c r="E79" s="118" t="str">
        <f aca="false">IF(C79="","",IF(OR(C79="ทั้งเฟส",LEFT(C79,4)="ผรม.",LEFT(C79,3)="เขต"),C79,IFERROR(INDEX('Master Plan'!$L$8:$L$27,MATCH(C79,'Master Plan'!$A$8:$A$27,0)),"?")))</f>
        <v/>
      </c>
      <c r="F79" s="60"/>
      <c r="G79" s="114"/>
      <c r="H79" s="60"/>
      <c r="I79" s="116"/>
      <c r="J79" s="225"/>
      <c r="K79" s="206" t="str">
        <f aca="false">IF(F79="","",IF(ISNUMBER(I79),I79,IFERROR(VLOOKUP(F79,RW_TBL,2,0),0)))</f>
        <v/>
      </c>
      <c r="L79" s="226" t="str">
        <f aca="false">IF(F79="","",IF(ISNUMBER(J79),J79,IFERROR(VLOOKUP(F79,RW_TBL,3,0),0)))</f>
        <v/>
      </c>
      <c r="M79" s="113"/>
      <c r="N79" s="114"/>
    </row>
    <row r="80" customFormat="false" ht="15" hidden="false" customHeight="false" outlineLevel="0" collapsed="false">
      <c r="A80" s="131" t="str">
        <f aca="false">IF(B80="","",ROW()-6)</f>
        <v/>
      </c>
      <c r="B80" s="207"/>
      <c r="C80" s="60"/>
      <c r="D80" s="131" t="str">
        <f aca="false">IF(C80="","",IF(OR(C80="ทั้งเฟส",LEFT(C80,4)="ผรม.",LEFT(C80,3)="เขต"),C80,IFERROR(INDEX('Master Plan'!$B$8:$B$27,MATCH(C80,'Master Plan'!$A$8:$A$27,0)),"?")))</f>
        <v/>
      </c>
      <c r="E80" s="118" t="str">
        <f aca="false">IF(C80="","",IF(OR(C80="ทั้งเฟส",LEFT(C80,4)="ผรม.",LEFT(C80,3)="เขต"),C80,IFERROR(INDEX('Master Plan'!$L$8:$L$27,MATCH(C80,'Master Plan'!$A$8:$A$27,0)),"?")))</f>
        <v/>
      </c>
      <c r="F80" s="60"/>
      <c r="G80" s="114"/>
      <c r="H80" s="60"/>
      <c r="I80" s="116"/>
      <c r="J80" s="225"/>
      <c r="K80" s="206" t="str">
        <f aca="false">IF(F80="","",IF(ISNUMBER(I80),I80,IFERROR(VLOOKUP(F80,RW_TBL,2,0),0)))</f>
        <v/>
      </c>
      <c r="L80" s="226" t="str">
        <f aca="false">IF(F80="","",IF(ISNUMBER(J80),J80,IFERROR(VLOOKUP(F80,RW_TBL,3,0),0)))</f>
        <v/>
      </c>
      <c r="M80" s="113"/>
      <c r="N80" s="114"/>
    </row>
    <row r="81" customFormat="false" ht="15" hidden="false" customHeight="false" outlineLevel="0" collapsed="false">
      <c r="A81" s="131" t="str">
        <f aca="false">IF(B81="","",ROW()-6)</f>
        <v/>
      </c>
      <c r="B81" s="207"/>
      <c r="C81" s="60"/>
      <c r="D81" s="131" t="str">
        <f aca="false">IF(C81="","",IF(OR(C81="ทั้งเฟส",LEFT(C81,4)="ผรม.",LEFT(C81,3)="เขต"),C81,IFERROR(INDEX('Master Plan'!$B$8:$B$27,MATCH(C81,'Master Plan'!$A$8:$A$27,0)),"?")))</f>
        <v/>
      </c>
      <c r="E81" s="118" t="str">
        <f aca="false">IF(C81="","",IF(OR(C81="ทั้งเฟส",LEFT(C81,4)="ผรม.",LEFT(C81,3)="เขต"),C81,IFERROR(INDEX('Master Plan'!$L$8:$L$27,MATCH(C81,'Master Plan'!$A$8:$A$27,0)),"?")))</f>
        <v/>
      </c>
      <c r="F81" s="60"/>
      <c r="G81" s="114"/>
      <c r="H81" s="60"/>
      <c r="I81" s="116"/>
      <c r="J81" s="225"/>
      <c r="K81" s="206" t="str">
        <f aca="false">IF(F81="","",IF(ISNUMBER(I81),I81,IFERROR(VLOOKUP(F81,RW_TBL,2,0),0)))</f>
        <v/>
      </c>
      <c r="L81" s="226" t="str">
        <f aca="false">IF(F81="","",IF(ISNUMBER(J81),J81,IFERROR(VLOOKUP(F81,RW_TBL,3,0),0)))</f>
        <v/>
      </c>
      <c r="M81" s="113"/>
      <c r="N81" s="114"/>
    </row>
    <row r="82" customFormat="false" ht="15" hidden="false" customHeight="false" outlineLevel="0" collapsed="false">
      <c r="A82" s="131" t="str">
        <f aca="false">IF(B82="","",ROW()-6)</f>
        <v/>
      </c>
      <c r="B82" s="207"/>
      <c r="C82" s="60"/>
      <c r="D82" s="131" t="str">
        <f aca="false">IF(C82="","",IF(OR(C82="ทั้งเฟส",LEFT(C82,4)="ผรม.",LEFT(C82,3)="เขต"),C82,IFERROR(INDEX('Master Plan'!$B$8:$B$27,MATCH(C82,'Master Plan'!$A$8:$A$27,0)),"?")))</f>
        <v/>
      </c>
      <c r="E82" s="118" t="str">
        <f aca="false">IF(C82="","",IF(OR(C82="ทั้งเฟส",LEFT(C82,4)="ผรม.",LEFT(C82,3)="เขต"),C82,IFERROR(INDEX('Master Plan'!$L$8:$L$27,MATCH(C82,'Master Plan'!$A$8:$A$27,0)),"?")))</f>
        <v/>
      </c>
      <c r="F82" s="60"/>
      <c r="G82" s="114"/>
      <c r="H82" s="60"/>
      <c r="I82" s="116"/>
      <c r="J82" s="225"/>
      <c r="K82" s="206" t="str">
        <f aca="false">IF(F82="","",IF(ISNUMBER(I82),I82,IFERROR(VLOOKUP(F82,RW_TBL,2,0),0)))</f>
        <v/>
      </c>
      <c r="L82" s="226" t="str">
        <f aca="false">IF(F82="","",IF(ISNUMBER(J82),J82,IFERROR(VLOOKUP(F82,RW_TBL,3,0),0)))</f>
        <v/>
      </c>
      <c r="M82" s="113"/>
      <c r="N82" s="114"/>
    </row>
    <row r="83" customFormat="false" ht="15" hidden="false" customHeight="false" outlineLevel="0" collapsed="false">
      <c r="A83" s="131" t="str">
        <f aca="false">IF(B83="","",ROW()-6)</f>
        <v/>
      </c>
      <c r="B83" s="207"/>
      <c r="C83" s="60"/>
      <c r="D83" s="131" t="str">
        <f aca="false">IF(C83="","",IF(OR(C83="ทั้งเฟส",LEFT(C83,4)="ผรม.",LEFT(C83,3)="เขต"),C83,IFERROR(INDEX('Master Plan'!$B$8:$B$27,MATCH(C83,'Master Plan'!$A$8:$A$27,0)),"?")))</f>
        <v/>
      </c>
      <c r="E83" s="118" t="str">
        <f aca="false">IF(C83="","",IF(OR(C83="ทั้งเฟส",LEFT(C83,4)="ผรม.",LEFT(C83,3)="เขต"),C83,IFERROR(INDEX('Master Plan'!$L$8:$L$27,MATCH(C83,'Master Plan'!$A$8:$A$27,0)),"?")))</f>
        <v/>
      </c>
      <c r="F83" s="60"/>
      <c r="G83" s="114"/>
      <c r="H83" s="60"/>
      <c r="I83" s="116"/>
      <c r="J83" s="225"/>
      <c r="K83" s="206" t="str">
        <f aca="false">IF(F83="","",IF(ISNUMBER(I83),I83,IFERROR(VLOOKUP(F83,RW_TBL,2,0),0)))</f>
        <v/>
      </c>
      <c r="L83" s="226" t="str">
        <f aca="false">IF(F83="","",IF(ISNUMBER(J83),J83,IFERROR(VLOOKUP(F83,RW_TBL,3,0),0)))</f>
        <v/>
      </c>
      <c r="M83" s="113"/>
      <c r="N83" s="114"/>
    </row>
    <row r="84" customFormat="false" ht="15" hidden="false" customHeight="false" outlineLevel="0" collapsed="false">
      <c r="A84" s="131" t="str">
        <f aca="false">IF(B84="","",ROW()-6)</f>
        <v/>
      </c>
      <c r="B84" s="207"/>
      <c r="C84" s="60"/>
      <c r="D84" s="131" t="str">
        <f aca="false">IF(C84="","",IF(OR(C84="ทั้งเฟส",LEFT(C84,4)="ผรม.",LEFT(C84,3)="เขต"),C84,IFERROR(INDEX('Master Plan'!$B$8:$B$27,MATCH(C84,'Master Plan'!$A$8:$A$27,0)),"?")))</f>
        <v/>
      </c>
      <c r="E84" s="118" t="str">
        <f aca="false">IF(C84="","",IF(OR(C84="ทั้งเฟส",LEFT(C84,4)="ผรม.",LEFT(C84,3)="เขต"),C84,IFERROR(INDEX('Master Plan'!$L$8:$L$27,MATCH(C84,'Master Plan'!$A$8:$A$27,0)),"?")))</f>
        <v/>
      </c>
      <c r="F84" s="60"/>
      <c r="G84" s="114"/>
      <c r="H84" s="60"/>
      <c r="I84" s="116"/>
      <c r="J84" s="225"/>
      <c r="K84" s="206" t="str">
        <f aca="false">IF(F84="","",IF(ISNUMBER(I84),I84,IFERROR(VLOOKUP(F84,RW_TBL,2,0),0)))</f>
        <v/>
      </c>
      <c r="L84" s="226" t="str">
        <f aca="false">IF(F84="","",IF(ISNUMBER(J84),J84,IFERROR(VLOOKUP(F84,RW_TBL,3,0),0)))</f>
        <v/>
      </c>
      <c r="M84" s="113"/>
      <c r="N84" s="114"/>
    </row>
    <row r="85" customFormat="false" ht="15" hidden="false" customHeight="false" outlineLevel="0" collapsed="false">
      <c r="A85" s="131" t="str">
        <f aca="false">IF(B85="","",ROW()-6)</f>
        <v/>
      </c>
      <c r="B85" s="207"/>
      <c r="C85" s="60"/>
      <c r="D85" s="131" t="str">
        <f aca="false">IF(C85="","",IF(OR(C85="ทั้งเฟส",LEFT(C85,4)="ผรม.",LEFT(C85,3)="เขต"),C85,IFERROR(INDEX('Master Plan'!$B$8:$B$27,MATCH(C85,'Master Plan'!$A$8:$A$27,0)),"?")))</f>
        <v/>
      </c>
      <c r="E85" s="118" t="str">
        <f aca="false">IF(C85="","",IF(OR(C85="ทั้งเฟส",LEFT(C85,4)="ผรม.",LEFT(C85,3)="เขต"),C85,IFERROR(INDEX('Master Plan'!$L$8:$L$27,MATCH(C85,'Master Plan'!$A$8:$A$27,0)),"?")))</f>
        <v/>
      </c>
      <c r="F85" s="60"/>
      <c r="G85" s="114"/>
      <c r="H85" s="60"/>
      <c r="I85" s="116"/>
      <c r="J85" s="225"/>
      <c r="K85" s="206" t="str">
        <f aca="false">IF(F85="","",IF(ISNUMBER(I85),I85,IFERROR(VLOOKUP(F85,RW_TBL,2,0),0)))</f>
        <v/>
      </c>
      <c r="L85" s="226" t="str">
        <f aca="false">IF(F85="","",IF(ISNUMBER(J85),J85,IFERROR(VLOOKUP(F85,RW_TBL,3,0),0)))</f>
        <v/>
      </c>
      <c r="M85" s="113"/>
      <c r="N85" s="114"/>
    </row>
    <row r="86" customFormat="false" ht="15" hidden="false" customHeight="false" outlineLevel="0" collapsed="false">
      <c r="A86" s="131" t="str">
        <f aca="false">IF(B86="","",ROW()-6)</f>
        <v/>
      </c>
      <c r="B86" s="207"/>
      <c r="C86" s="60"/>
      <c r="D86" s="131" t="str">
        <f aca="false">IF(C86="","",IF(OR(C86="ทั้งเฟส",LEFT(C86,4)="ผรม.",LEFT(C86,3)="เขต"),C86,IFERROR(INDEX('Master Plan'!$B$8:$B$27,MATCH(C86,'Master Plan'!$A$8:$A$27,0)),"?")))</f>
        <v/>
      </c>
      <c r="E86" s="118" t="str">
        <f aca="false">IF(C86="","",IF(OR(C86="ทั้งเฟส",LEFT(C86,4)="ผรม.",LEFT(C86,3)="เขต"),C86,IFERROR(INDEX('Master Plan'!$L$8:$L$27,MATCH(C86,'Master Plan'!$A$8:$A$27,0)),"?")))</f>
        <v/>
      </c>
      <c r="F86" s="60"/>
      <c r="G86" s="114"/>
      <c r="H86" s="60"/>
      <c r="I86" s="116"/>
      <c r="J86" s="225"/>
      <c r="K86" s="206" t="str">
        <f aca="false">IF(F86="","",IF(ISNUMBER(I86),I86,IFERROR(VLOOKUP(F86,RW_TBL,2,0),0)))</f>
        <v/>
      </c>
      <c r="L86" s="226" t="str">
        <f aca="false">IF(F86="","",IF(ISNUMBER(J86),J86,IFERROR(VLOOKUP(F86,RW_TBL,3,0),0)))</f>
        <v/>
      </c>
      <c r="M86" s="113"/>
      <c r="N86" s="114"/>
    </row>
    <row r="87" customFormat="false" ht="15" hidden="false" customHeight="false" outlineLevel="0" collapsed="false">
      <c r="A87" s="131" t="str">
        <f aca="false">IF(B87="","",ROW()-6)</f>
        <v/>
      </c>
      <c r="B87" s="207"/>
      <c r="C87" s="60"/>
      <c r="D87" s="131" t="str">
        <f aca="false">IF(C87="","",IF(OR(C87="ทั้งเฟส",LEFT(C87,4)="ผรม.",LEFT(C87,3)="เขต"),C87,IFERROR(INDEX('Master Plan'!$B$8:$B$27,MATCH(C87,'Master Plan'!$A$8:$A$27,0)),"?")))</f>
        <v/>
      </c>
      <c r="E87" s="118" t="str">
        <f aca="false">IF(C87="","",IF(OR(C87="ทั้งเฟส",LEFT(C87,4)="ผรม.",LEFT(C87,3)="เขต"),C87,IFERROR(INDEX('Master Plan'!$L$8:$L$27,MATCH(C87,'Master Plan'!$A$8:$A$27,0)),"?")))</f>
        <v/>
      </c>
      <c r="F87" s="60"/>
      <c r="G87" s="114"/>
      <c r="H87" s="60"/>
      <c r="I87" s="116"/>
      <c r="J87" s="225"/>
      <c r="K87" s="206" t="str">
        <f aca="false">IF(F87="","",IF(ISNUMBER(I87),I87,IFERROR(VLOOKUP(F87,RW_TBL,2,0),0)))</f>
        <v/>
      </c>
      <c r="L87" s="226" t="str">
        <f aca="false">IF(F87="","",IF(ISNUMBER(J87),J87,IFERROR(VLOOKUP(F87,RW_TBL,3,0),0)))</f>
        <v/>
      </c>
      <c r="M87" s="113"/>
      <c r="N87" s="114"/>
    </row>
    <row r="88" customFormat="false" ht="15" hidden="false" customHeight="false" outlineLevel="0" collapsed="false">
      <c r="A88" s="131" t="str">
        <f aca="false">IF(B88="","",ROW()-6)</f>
        <v/>
      </c>
      <c r="B88" s="207"/>
      <c r="C88" s="60"/>
      <c r="D88" s="131" t="str">
        <f aca="false">IF(C88="","",IF(OR(C88="ทั้งเฟส",LEFT(C88,4)="ผรม.",LEFT(C88,3)="เขต"),C88,IFERROR(INDEX('Master Plan'!$B$8:$B$27,MATCH(C88,'Master Plan'!$A$8:$A$27,0)),"?")))</f>
        <v/>
      </c>
      <c r="E88" s="118" t="str">
        <f aca="false">IF(C88="","",IF(OR(C88="ทั้งเฟส",LEFT(C88,4)="ผรม.",LEFT(C88,3)="เขต"),C88,IFERROR(INDEX('Master Plan'!$L$8:$L$27,MATCH(C88,'Master Plan'!$A$8:$A$27,0)),"?")))</f>
        <v/>
      </c>
      <c r="F88" s="60"/>
      <c r="G88" s="114"/>
      <c r="H88" s="60"/>
      <c r="I88" s="116"/>
      <c r="J88" s="225"/>
      <c r="K88" s="206" t="str">
        <f aca="false">IF(F88="","",IF(ISNUMBER(I88),I88,IFERROR(VLOOKUP(F88,RW_TBL,2,0),0)))</f>
        <v/>
      </c>
      <c r="L88" s="226" t="str">
        <f aca="false">IF(F88="","",IF(ISNUMBER(J88),J88,IFERROR(VLOOKUP(F88,RW_TBL,3,0),0)))</f>
        <v/>
      </c>
      <c r="M88" s="113"/>
      <c r="N88" s="114"/>
    </row>
    <row r="89" customFormat="false" ht="15" hidden="false" customHeight="false" outlineLevel="0" collapsed="false">
      <c r="A89" s="131" t="str">
        <f aca="false">IF(B89="","",ROW()-6)</f>
        <v/>
      </c>
      <c r="B89" s="207"/>
      <c r="C89" s="60"/>
      <c r="D89" s="131" t="str">
        <f aca="false">IF(C89="","",IF(OR(C89="ทั้งเฟส",LEFT(C89,4)="ผรม.",LEFT(C89,3)="เขต"),C89,IFERROR(INDEX('Master Plan'!$B$8:$B$27,MATCH(C89,'Master Plan'!$A$8:$A$27,0)),"?")))</f>
        <v/>
      </c>
      <c r="E89" s="118" t="str">
        <f aca="false">IF(C89="","",IF(OR(C89="ทั้งเฟส",LEFT(C89,4)="ผรม.",LEFT(C89,3)="เขต"),C89,IFERROR(INDEX('Master Plan'!$L$8:$L$27,MATCH(C89,'Master Plan'!$A$8:$A$27,0)),"?")))</f>
        <v/>
      </c>
      <c r="F89" s="60"/>
      <c r="G89" s="114"/>
      <c r="H89" s="60"/>
      <c r="I89" s="116"/>
      <c r="J89" s="225"/>
      <c r="K89" s="206" t="str">
        <f aca="false">IF(F89="","",IF(ISNUMBER(I89),I89,IFERROR(VLOOKUP(F89,RW_TBL,2,0),0)))</f>
        <v/>
      </c>
      <c r="L89" s="226" t="str">
        <f aca="false">IF(F89="","",IF(ISNUMBER(J89),J89,IFERROR(VLOOKUP(F89,RW_TBL,3,0),0)))</f>
        <v/>
      </c>
      <c r="M89" s="113"/>
      <c r="N89" s="114"/>
    </row>
    <row r="90" customFormat="false" ht="15" hidden="false" customHeight="false" outlineLevel="0" collapsed="false">
      <c r="A90" s="131" t="str">
        <f aca="false">IF(B90="","",ROW()-6)</f>
        <v/>
      </c>
      <c r="B90" s="207"/>
      <c r="C90" s="60"/>
      <c r="D90" s="131" t="str">
        <f aca="false">IF(C90="","",IF(OR(C90="ทั้งเฟส",LEFT(C90,4)="ผรม.",LEFT(C90,3)="เขต"),C90,IFERROR(INDEX('Master Plan'!$B$8:$B$27,MATCH(C90,'Master Plan'!$A$8:$A$27,0)),"?")))</f>
        <v/>
      </c>
      <c r="E90" s="118" t="str">
        <f aca="false">IF(C90="","",IF(OR(C90="ทั้งเฟส",LEFT(C90,4)="ผรม.",LEFT(C90,3)="เขต"),C90,IFERROR(INDEX('Master Plan'!$L$8:$L$27,MATCH(C90,'Master Plan'!$A$8:$A$27,0)),"?")))</f>
        <v/>
      </c>
      <c r="F90" s="60"/>
      <c r="G90" s="114"/>
      <c r="H90" s="60"/>
      <c r="I90" s="116"/>
      <c r="J90" s="225"/>
      <c r="K90" s="206" t="str">
        <f aca="false">IF(F90="","",IF(ISNUMBER(I90),I90,IFERROR(VLOOKUP(F90,RW_TBL,2,0),0)))</f>
        <v/>
      </c>
      <c r="L90" s="226" t="str">
        <f aca="false">IF(F90="","",IF(ISNUMBER(J90),J90,IFERROR(VLOOKUP(F90,RW_TBL,3,0),0)))</f>
        <v/>
      </c>
      <c r="M90" s="113"/>
      <c r="N90" s="114"/>
    </row>
    <row r="91" customFormat="false" ht="15" hidden="false" customHeight="false" outlineLevel="0" collapsed="false">
      <c r="A91" s="131" t="str">
        <f aca="false">IF(B91="","",ROW()-6)</f>
        <v/>
      </c>
      <c r="B91" s="207"/>
      <c r="C91" s="60"/>
      <c r="D91" s="131" t="str">
        <f aca="false">IF(C91="","",IF(OR(C91="ทั้งเฟส",LEFT(C91,4)="ผรม.",LEFT(C91,3)="เขต"),C91,IFERROR(INDEX('Master Plan'!$B$8:$B$27,MATCH(C91,'Master Plan'!$A$8:$A$27,0)),"?")))</f>
        <v/>
      </c>
      <c r="E91" s="118" t="str">
        <f aca="false">IF(C91="","",IF(OR(C91="ทั้งเฟส",LEFT(C91,4)="ผรม.",LEFT(C91,3)="เขต"),C91,IFERROR(INDEX('Master Plan'!$L$8:$L$27,MATCH(C91,'Master Plan'!$A$8:$A$27,0)),"?")))</f>
        <v/>
      </c>
      <c r="F91" s="60"/>
      <c r="G91" s="114"/>
      <c r="H91" s="60"/>
      <c r="I91" s="116"/>
      <c r="J91" s="225"/>
      <c r="K91" s="206" t="str">
        <f aca="false">IF(F91="","",IF(ISNUMBER(I91),I91,IFERROR(VLOOKUP(F91,RW_TBL,2,0),0)))</f>
        <v/>
      </c>
      <c r="L91" s="226" t="str">
        <f aca="false">IF(F91="","",IF(ISNUMBER(J91),J91,IFERROR(VLOOKUP(F91,RW_TBL,3,0),0)))</f>
        <v/>
      </c>
      <c r="M91" s="113"/>
      <c r="N91" s="114"/>
    </row>
    <row r="92" customFormat="false" ht="15" hidden="false" customHeight="false" outlineLevel="0" collapsed="false">
      <c r="A92" s="131" t="str">
        <f aca="false">IF(B92="","",ROW()-6)</f>
        <v/>
      </c>
      <c r="B92" s="207"/>
      <c r="C92" s="60"/>
      <c r="D92" s="131" t="str">
        <f aca="false">IF(C92="","",IF(OR(C92="ทั้งเฟส",LEFT(C92,4)="ผรม.",LEFT(C92,3)="เขต"),C92,IFERROR(INDEX('Master Plan'!$B$8:$B$27,MATCH(C92,'Master Plan'!$A$8:$A$27,0)),"?")))</f>
        <v/>
      </c>
      <c r="E92" s="118" t="str">
        <f aca="false">IF(C92="","",IF(OR(C92="ทั้งเฟส",LEFT(C92,4)="ผรม.",LEFT(C92,3)="เขต"),C92,IFERROR(INDEX('Master Plan'!$L$8:$L$27,MATCH(C92,'Master Plan'!$A$8:$A$27,0)),"?")))</f>
        <v/>
      </c>
      <c r="F92" s="60"/>
      <c r="G92" s="114"/>
      <c r="H92" s="60"/>
      <c r="I92" s="116"/>
      <c r="J92" s="225"/>
      <c r="K92" s="206" t="str">
        <f aca="false">IF(F92="","",IF(ISNUMBER(I92),I92,IFERROR(VLOOKUP(F92,RW_TBL,2,0),0)))</f>
        <v/>
      </c>
      <c r="L92" s="226" t="str">
        <f aca="false">IF(F92="","",IF(ISNUMBER(J92),J92,IFERROR(VLOOKUP(F92,RW_TBL,3,0),0)))</f>
        <v/>
      </c>
      <c r="M92" s="113"/>
      <c r="N92" s="114"/>
    </row>
    <row r="93" customFormat="false" ht="15" hidden="false" customHeight="false" outlineLevel="0" collapsed="false">
      <c r="A93" s="131" t="str">
        <f aca="false">IF(B93="","",ROW()-6)</f>
        <v/>
      </c>
      <c r="B93" s="207"/>
      <c r="C93" s="60"/>
      <c r="D93" s="131" t="str">
        <f aca="false">IF(C93="","",IF(OR(C93="ทั้งเฟส",LEFT(C93,4)="ผรม.",LEFT(C93,3)="เขต"),C93,IFERROR(INDEX('Master Plan'!$B$8:$B$27,MATCH(C93,'Master Plan'!$A$8:$A$27,0)),"?")))</f>
        <v/>
      </c>
      <c r="E93" s="118" t="str">
        <f aca="false">IF(C93="","",IF(OR(C93="ทั้งเฟส",LEFT(C93,4)="ผรม.",LEFT(C93,3)="เขต"),C93,IFERROR(INDEX('Master Plan'!$L$8:$L$27,MATCH(C93,'Master Plan'!$A$8:$A$27,0)),"?")))</f>
        <v/>
      </c>
      <c r="F93" s="60"/>
      <c r="G93" s="114"/>
      <c r="H93" s="60"/>
      <c r="I93" s="116"/>
      <c r="J93" s="225"/>
      <c r="K93" s="206" t="str">
        <f aca="false">IF(F93="","",IF(ISNUMBER(I93),I93,IFERROR(VLOOKUP(F93,RW_TBL,2,0),0)))</f>
        <v/>
      </c>
      <c r="L93" s="226" t="str">
        <f aca="false">IF(F93="","",IF(ISNUMBER(J93),J93,IFERROR(VLOOKUP(F93,RW_TBL,3,0),0)))</f>
        <v/>
      </c>
      <c r="M93" s="113"/>
      <c r="N93" s="114"/>
    </row>
    <row r="94" customFormat="false" ht="15" hidden="false" customHeight="false" outlineLevel="0" collapsed="false">
      <c r="A94" s="131" t="str">
        <f aca="false">IF(B94="","",ROW()-6)</f>
        <v/>
      </c>
      <c r="B94" s="207"/>
      <c r="C94" s="60"/>
      <c r="D94" s="131" t="str">
        <f aca="false">IF(C94="","",IF(OR(C94="ทั้งเฟส",LEFT(C94,4)="ผรม.",LEFT(C94,3)="เขต"),C94,IFERROR(INDEX('Master Plan'!$B$8:$B$27,MATCH(C94,'Master Plan'!$A$8:$A$27,0)),"?")))</f>
        <v/>
      </c>
      <c r="E94" s="118" t="str">
        <f aca="false">IF(C94="","",IF(OR(C94="ทั้งเฟส",LEFT(C94,4)="ผรม.",LEFT(C94,3)="เขต"),C94,IFERROR(INDEX('Master Plan'!$L$8:$L$27,MATCH(C94,'Master Plan'!$A$8:$A$27,0)),"?")))</f>
        <v/>
      </c>
      <c r="F94" s="60"/>
      <c r="G94" s="114"/>
      <c r="H94" s="60"/>
      <c r="I94" s="116"/>
      <c r="J94" s="225"/>
      <c r="K94" s="206" t="str">
        <f aca="false">IF(F94="","",IF(ISNUMBER(I94),I94,IFERROR(VLOOKUP(F94,RW_TBL,2,0),0)))</f>
        <v/>
      </c>
      <c r="L94" s="226" t="str">
        <f aca="false">IF(F94="","",IF(ISNUMBER(J94),J94,IFERROR(VLOOKUP(F94,RW_TBL,3,0),0)))</f>
        <v/>
      </c>
      <c r="M94" s="113"/>
      <c r="N94" s="114"/>
    </row>
    <row r="95" customFormat="false" ht="15" hidden="false" customHeight="false" outlineLevel="0" collapsed="false">
      <c r="A95" s="131" t="str">
        <f aca="false">IF(B95="","",ROW()-6)</f>
        <v/>
      </c>
      <c r="B95" s="207"/>
      <c r="C95" s="60"/>
      <c r="D95" s="131" t="str">
        <f aca="false">IF(C95="","",IF(OR(C95="ทั้งเฟส",LEFT(C95,4)="ผรม.",LEFT(C95,3)="เขต"),C95,IFERROR(INDEX('Master Plan'!$B$8:$B$27,MATCH(C95,'Master Plan'!$A$8:$A$27,0)),"?")))</f>
        <v/>
      </c>
      <c r="E95" s="118" t="str">
        <f aca="false">IF(C95="","",IF(OR(C95="ทั้งเฟส",LEFT(C95,4)="ผรม.",LEFT(C95,3)="เขต"),C95,IFERROR(INDEX('Master Plan'!$L$8:$L$27,MATCH(C95,'Master Plan'!$A$8:$A$27,0)),"?")))</f>
        <v/>
      </c>
      <c r="F95" s="60"/>
      <c r="G95" s="114"/>
      <c r="H95" s="60"/>
      <c r="I95" s="116"/>
      <c r="J95" s="225"/>
      <c r="K95" s="206" t="str">
        <f aca="false">IF(F95="","",IF(ISNUMBER(I95),I95,IFERROR(VLOOKUP(F95,RW_TBL,2,0),0)))</f>
        <v/>
      </c>
      <c r="L95" s="226" t="str">
        <f aca="false">IF(F95="","",IF(ISNUMBER(J95),J95,IFERROR(VLOOKUP(F95,RW_TBL,3,0),0)))</f>
        <v/>
      </c>
      <c r="M95" s="113"/>
      <c r="N95" s="114"/>
    </row>
    <row r="96" customFormat="false" ht="15" hidden="false" customHeight="false" outlineLevel="0" collapsed="false">
      <c r="A96" s="131" t="str">
        <f aca="false">IF(B96="","",ROW()-6)</f>
        <v/>
      </c>
      <c r="B96" s="207"/>
      <c r="C96" s="60"/>
      <c r="D96" s="131" t="str">
        <f aca="false">IF(C96="","",IF(OR(C96="ทั้งเฟส",LEFT(C96,4)="ผรม.",LEFT(C96,3)="เขต"),C96,IFERROR(INDEX('Master Plan'!$B$8:$B$27,MATCH(C96,'Master Plan'!$A$8:$A$27,0)),"?")))</f>
        <v/>
      </c>
      <c r="E96" s="118" t="str">
        <f aca="false">IF(C96="","",IF(OR(C96="ทั้งเฟส",LEFT(C96,4)="ผรม.",LEFT(C96,3)="เขต"),C96,IFERROR(INDEX('Master Plan'!$L$8:$L$27,MATCH(C96,'Master Plan'!$A$8:$A$27,0)),"?")))</f>
        <v/>
      </c>
      <c r="F96" s="60"/>
      <c r="G96" s="114"/>
      <c r="H96" s="60"/>
      <c r="I96" s="116"/>
      <c r="J96" s="225"/>
      <c r="K96" s="206" t="str">
        <f aca="false">IF(F96="","",IF(ISNUMBER(I96),I96,IFERROR(VLOOKUP(F96,RW_TBL,2,0),0)))</f>
        <v/>
      </c>
      <c r="L96" s="226" t="str">
        <f aca="false">IF(F96="","",IF(ISNUMBER(J96),J96,IFERROR(VLOOKUP(F96,RW_TBL,3,0),0)))</f>
        <v/>
      </c>
      <c r="M96" s="113"/>
      <c r="N96" s="114"/>
    </row>
    <row r="97" customFormat="false" ht="15" hidden="false" customHeight="false" outlineLevel="0" collapsed="false">
      <c r="A97" s="131" t="str">
        <f aca="false">IF(B97="","",ROW()-6)</f>
        <v/>
      </c>
      <c r="B97" s="207"/>
      <c r="C97" s="60"/>
      <c r="D97" s="131" t="str">
        <f aca="false">IF(C97="","",IF(OR(C97="ทั้งเฟส",LEFT(C97,4)="ผรม.",LEFT(C97,3)="เขต"),C97,IFERROR(INDEX('Master Plan'!$B$8:$B$27,MATCH(C97,'Master Plan'!$A$8:$A$27,0)),"?")))</f>
        <v/>
      </c>
      <c r="E97" s="118" t="str">
        <f aca="false">IF(C97="","",IF(OR(C97="ทั้งเฟส",LEFT(C97,4)="ผรม.",LEFT(C97,3)="เขต"),C97,IFERROR(INDEX('Master Plan'!$L$8:$L$27,MATCH(C97,'Master Plan'!$A$8:$A$27,0)),"?")))</f>
        <v/>
      </c>
      <c r="F97" s="60"/>
      <c r="G97" s="114"/>
      <c r="H97" s="60"/>
      <c r="I97" s="116"/>
      <c r="J97" s="225"/>
      <c r="K97" s="206" t="str">
        <f aca="false">IF(F97="","",IF(ISNUMBER(I97),I97,IFERROR(VLOOKUP(F97,RW_TBL,2,0),0)))</f>
        <v/>
      </c>
      <c r="L97" s="226" t="str">
        <f aca="false">IF(F97="","",IF(ISNUMBER(J97),J97,IFERROR(VLOOKUP(F97,RW_TBL,3,0),0)))</f>
        <v/>
      </c>
      <c r="M97" s="113"/>
      <c r="N97" s="114"/>
    </row>
    <row r="98" customFormat="false" ht="15" hidden="false" customHeight="false" outlineLevel="0" collapsed="false">
      <c r="A98" s="131" t="str">
        <f aca="false">IF(B98="","",ROW()-6)</f>
        <v/>
      </c>
      <c r="B98" s="207"/>
      <c r="C98" s="60"/>
      <c r="D98" s="131" t="str">
        <f aca="false">IF(C98="","",IF(OR(C98="ทั้งเฟส",LEFT(C98,4)="ผรม.",LEFT(C98,3)="เขต"),C98,IFERROR(INDEX('Master Plan'!$B$8:$B$27,MATCH(C98,'Master Plan'!$A$8:$A$27,0)),"?")))</f>
        <v/>
      </c>
      <c r="E98" s="118" t="str">
        <f aca="false">IF(C98="","",IF(OR(C98="ทั้งเฟส",LEFT(C98,4)="ผรม.",LEFT(C98,3)="เขต"),C98,IFERROR(INDEX('Master Plan'!$L$8:$L$27,MATCH(C98,'Master Plan'!$A$8:$A$27,0)),"?")))</f>
        <v/>
      </c>
      <c r="F98" s="60"/>
      <c r="G98" s="114"/>
      <c r="H98" s="60"/>
      <c r="I98" s="116"/>
      <c r="J98" s="225"/>
      <c r="K98" s="206" t="str">
        <f aca="false">IF(F98="","",IF(ISNUMBER(I98),I98,IFERROR(VLOOKUP(F98,RW_TBL,2,0),0)))</f>
        <v/>
      </c>
      <c r="L98" s="226" t="str">
        <f aca="false">IF(F98="","",IF(ISNUMBER(J98),J98,IFERROR(VLOOKUP(F98,RW_TBL,3,0),0)))</f>
        <v/>
      </c>
      <c r="M98" s="113"/>
      <c r="N98" s="114"/>
    </row>
    <row r="99" customFormat="false" ht="15" hidden="false" customHeight="false" outlineLevel="0" collapsed="false">
      <c r="A99" s="131" t="str">
        <f aca="false">IF(B99="","",ROW()-6)</f>
        <v/>
      </c>
      <c r="B99" s="207"/>
      <c r="C99" s="60"/>
      <c r="D99" s="131" t="str">
        <f aca="false">IF(C99="","",IF(OR(C99="ทั้งเฟส",LEFT(C99,4)="ผรม.",LEFT(C99,3)="เขต"),C99,IFERROR(INDEX('Master Plan'!$B$8:$B$27,MATCH(C99,'Master Plan'!$A$8:$A$27,0)),"?")))</f>
        <v/>
      </c>
      <c r="E99" s="118" t="str">
        <f aca="false">IF(C99="","",IF(OR(C99="ทั้งเฟส",LEFT(C99,4)="ผรม.",LEFT(C99,3)="เขต"),C99,IFERROR(INDEX('Master Plan'!$L$8:$L$27,MATCH(C99,'Master Plan'!$A$8:$A$27,0)),"?")))</f>
        <v/>
      </c>
      <c r="F99" s="60"/>
      <c r="G99" s="114"/>
      <c r="H99" s="60"/>
      <c r="I99" s="116"/>
      <c r="J99" s="225"/>
      <c r="K99" s="206" t="str">
        <f aca="false">IF(F99="","",IF(ISNUMBER(I99),I99,IFERROR(VLOOKUP(F99,RW_TBL,2,0),0)))</f>
        <v/>
      </c>
      <c r="L99" s="226" t="str">
        <f aca="false">IF(F99="","",IF(ISNUMBER(J99),J99,IFERROR(VLOOKUP(F99,RW_TBL,3,0),0)))</f>
        <v/>
      </c>
      <c r="M99" s="113"/>
      <c r="N99" s="114"/>
    </row>
    <row r="100" customFormat="false" ht="15" hidden="false" customHeight="false" outlineLevel="0" collapsed="false">
      <c r="A100" s="131" t="str">
        <f aca="false">IF(B100="","",ROW()-6)</f>
        <v/>
      </c>
      <c r="B100" s="207"/>
      <c r="C100" s="60"/>
      <c r="D100" s="131" t="str">
        <f aca="false">IF(C100="","",IF(OR(C100="ทั้งเฟส",LEFT(C100,4)="ผรม.",LEFT(C100,3)="เขต"),C100,IFERROR(INDEX('Master Plan'!$B$8:$B$27,MATCH(C100,'Master Plan'!$A$8:$A$27,0)),"?")))</f>
        <v/>
      </c>
      <c r="E100" s="118" t="str">
        <f aca="false">IF(C100="","",IF(OR(C100="ทั้งเฟส",LEFT(C100,4)="ผรม.",LEFT(C100,3)="เขต"),C100,IFERROR(INDEX('Master Plan'!$L$8:$L$27,MATCH(C100,'Master Plan'!$A$8:$A$27,0)),"?")))</f>
        <v/>
      </c>
      <c r="F100" s="60"/>
      <c r="G100" s="114"/>
      <c r="H100" s="60"/>
      <c r="I100" s="116"/>
      <c r="J100" s="225"/>
      <c r="K100" s="206" t="str">
        <f aca="false">IF(F100="","",IF(ISNUMBER(I100),I100,IFERROR(VLOOKUP(F100,RW_TBL,2,0),0)))</f>
        <v/>
      </c>
      <c r="L100" s="226" t="str">
        <f aca="false">IF(F100="","",IF(ISNUMBER(J100),J100,IFERROR(VLOOKUP(F100,RW_TBL,3,0),0)))</f>
        <v/>
      </c>
      <c r="M100" s="113"/>
      <c r="N100" s="114"/>
    </row>
    <row r="101" customFormat="false" ht="15" hidden="false" customHeight="false" outlineLevel="0" collapsed="false">
      <c r="A101" s="131" t="str">
        <f aca="false">IF(B101="","",ROW()-6)</f>
        <v/>
      </c>
      <c r="B101" s="207"/>
      <c r="C101" s="60"/>
      <c r="D101" s="131" t="str">
        <f aca="false">IF(C101="","",IF(OR(C101="ทั้งเฟส",LEFT(C101,4)="ผรม.",LEFT(C101,3)="เขต"),C101,IFERROR(INDEX('Master Plan'!$B$8:$B$27,MATCH(C101,'Master Plan'!$A$8:$A$27,0)),"?")))</f>
        <v/>
      </c>
      <c r="E101" s="118" t="str">
        <f aca="false">IF(C101="","",IF(OR(C101="ทั้งเฟส",LEFT(C101,4)="ผรม.",LEFT(C101,3)="เขต"),C101,IFERROR(INDEX('Master Plan'!$L$8:$L$27,MATCH(C101,'Master Plan'!$A$8:$A$27,0)),"?")))</f>
        <v/>
      </c>
      <c r="F101" s="60"/>
      <c r="G101" s="114"/>
      <c r="H101" s="60"/>
      <c r="I101" s="116"/>
      <c r="J101" s="225"/>
      <c r="K101" s="206" t="str">
        <f aca="false">IF(F101="","",IF(ISNUMBER(I101),I101,IFERROR(VLOOKUP(F101,RW_TBL,2,0),0)))</f>
        <v/>
      </c>
      <c r="L101" s="226" t="str">
        <f aca="false">IF(F101="","",IF(ISNUMBER(J101),J101,IFERROR(VLOOKUP(F101,RW_TBL,3,0),0)))</f>
        <v/>
      </c>
      <c r="M101" s="113"/>
      <c r="N101" s="114"/>
    </row>
    <row r="102" customFormat="false" ht="15" hidden="false" customHeight="false" outlineLevel="0" collapsed="false">
      <c r="A102" s="131" t="str">
        <f aca="false">IF(B102="","",ROW()-6)</f>
        <v/>
      </c>
      <c r="B102" s="207"/>
      <c r="C102" s="60"/>
      <c r="D102" s="131" t="str">
        <f aca="false">IF(C102="","",IF(OR(C102="ทั้งเฟส",LEFT(C102,4)="ผรม.",LEFT(C102,3)="เขต"),C102,IFERROR(INDEX('Master Plan'!$B$8:$B$27,MATCH(C102,'Master Plan'!$A$8:$A$27,0)),"?")))</f>
        <v/>
      </c>
      <c r="E102" s="118" t="str">
        <f aca="false">IF(C102="","",IF(OR(C102="ทั้งเฟส",LEFT(C102,4)="ผรม.",LEFT(C102,3)="เขต"),C102,IFERROR(INDEX('Master Plan'!$L$8:$L$27,MATCH(C102,'Master Plan'!$A$8:$A$27,0)),"?")))</f>
        <v/>
      </c>
      <c r="F102" s="60"/>
      <c r="G102" s="114"/>
      <c r="H102" s="60"/>
      <c r="I102" s="116"/>
      <c r="J102" s="225"/>
      <c r="K102" s="206" t="str">
        <f aca="false">IF(F102="","",IF(ISNUMBER(I102),I102,IFERROR(VLOOKUP(F102,RW_TBL,2,0),0)))</f>
        <v/>
      </c>
      <c r="L102" s="226" t="str">
        <f aca="false">IF(F102="","",IF(ISNUMBER(J102),J102,IFERROR(VLOOKUP(F102,RW_TBL,3,0),0)))</f>
        <v/>
      </c>
      <c r="M102" s="113"/>
      <c r="N102" s="114"/>
    </row>
    <row r="103" customFormat="false" ht="15" hidden="false" customHeight="false" outlineLevel="0" collapsed="false">
      <c r="A103" s="131" t="str">
        <f aca="false">IF(B103="","",ROW()-6)</f>
        <v/>
      </c>
      <c r="B103" s="207"/>
      <c r="C103" s="60"/>
      <c r="D103" s="131" t="str">
        <f aca="false">IF(C103="","",IF(OR(C103="ทั้งเฟส",LEFT(C103,4)="ผรม.",LEFT(C103,3)="เขต"),C103,IFERROR(INDEX('Master Plan'!$B$8:$B$27,MATCH(C103,'Master Plan'!$A$8:$A$27,0)),"?")))</f>
        <v/>
      </c>
      <c r="E103" s="118" t="str">
        <f aca="false">IF(C103="","",IF(OR(C103="ทั้งเฟส",LEFT(C103,4)="ผรม.",LEFT(C103,3)="เขต"),C103,IFERROR(INDEX('Master Plan'!$L$8:$L$27,MATCH(C103,'Master Plan'!$A$8:$A$27,0)),"?")))</f>
        <v/>
      </c>
      <c r="F103" s="60"/>
      <c r="G103" s="114"/>
      <c r="H103" s="60"/>
      <c r="I103" s="116"/>
      <c r="J103" s="225"/>
      <c r="K103" s="206" t="str">
        <f aca="false">IF(F103="","",IF(ISNUMBER(I103),I103,IFERROR(VLOOKUP(F103,RW_TBL,2,0),0)))</f>
        <v/>
      </c>
      <c r="L103" s="226" t="str">
        <f aca="false">IF(F103="","",IF(ISNUMBER(J103),J103,IFERROR(VLOOKUP(F103,RW_TBL,3,0),0)))</f>
        <v/>
      </c>
      <c r="M103" s="113"/>
      <c r="N103" s="114"/>
    </row>
    <row r="104" customFormat="false" ht="15" hidden="false" customHeight="false" outlineLevel="0" collapsed="false">
      <c r="A104" s="131" t="str">
        <f aca="false">IF(B104="","",ROW()-6)</f>
        <v/>
      </c>
      <c r="B104" s="207"/>
      <c r="C104" s="60"/>
      <c r="D104" s="131" t="str">
        <f aca="false">IF(C104="","",IF(OR(C104="ทั้งเฟส",LEFT(C104,4)="ผรม.",LEFT(C104,3)="เขต"),C104,IFERROR(INDEX('Master Plan'!$B$8:$B$27,MATCH(C104,'Master Plan'!$A$8:$A$27,0)),"?")))</f>
        <v/>
      </c>
      <c r="E104" s="118" t="str">
        <f aca="false">IF(C104="","",IF(OR(C104="ทั้งเฟส",LEFT(C104,4)="ผรม.",LEFT(C104,3)="เขต"),C104,IFERROR(INDEX('Master Plan'!$L$8:$L$27,MATCH(C104,'Master Plan'!$A$8:$A$27,0)),"?")))</f>
        <v/>
      </c>
      <c r="F104" s="60"/>
      <c r="G104" s="114"/>
      <c r="H104" s="60"/>
      <c r="I104" s="116"/>
      <c r="J104" s="225"/>
      <c r="K104" s="206" t="str">
        <f aca="false">IF(F104="","",IF(ISNUMBER(I104),I104,IFERROR(VLOOKUP(F104,RW_TBL,2,0),0)))</f>
        <v/>
      </c>
      <c r="L104" s="226" t="str">
        <f aca="false">IF(F104="","",IF(ISNUMBER(J104),J104,IFERROR(VLOOKUP(F104,RW_TBL,3,0),0)))</f>
        <v/>
      </c>
      <c r="M104" s="113"/>
      <c r="N104" s="114"/>
    </row>
    <row r="105" customFormat="false" ht="15" hidden="false" customHeight="false" outlineLevel="0" collapsed="false">
      <c r="A105" s="131" t="str">
        <f aca="false">IF(B105="","",ROW()-6)</f>
        <v/>
      </c>
      <c r="B105" s="207"/>
      <c r="C105" s="60"/>
      <c r="D105" s="131" t="str">
        <f aca="false">IF(C105="","",IF(OR(C105="ทั้งเฟส",LEFT(C105,4)="ผรม.",LEFT(C105,3)="เขต"),C105,IFERROR(INDEX('Master Plan'!$B$8:$B$27,MATCH(C105,'Master Plan'!$A$8:$A$27,0)),"?")))</f>
        <v/>
      </c>
      <c r="E105" s="118" t="str">
        <f aca="false">IF(C105="","",IF(OR(C105="ทั้งเฟส",LEFT(C105,4)="ผรม.",LEFT(C105,3)="เขต"),C105,IFERROR(INDEX('Master Plan'!$L$8:$L$27,MATCH(C105,'Master Plan'!$A$8:$A$27,0)),"?")))</f>
        <v/>
      </c>
      <c r="F105" s="60"/>
      <c r="G105" s="114"/>
      <c r="H105" s="60"/>
      <c r="I105" s="116"/>
      <c r="J105" s="225"/>
      <c r="K105" s="206" t="str">
        <f aca="false">IF(F105="","",IF(ISNUMBER(I105),I105,IFERROR(VLOOKUP(F105,RW_TBL,2,0),0)))</f>
        <v/>
      </c>
      <c r="L105" s="226" t="str">
        <f aca="false">IF(F105="","",IF(ISNUMBER(J105),J105,IFERROR(VLOOKUP(F105,RW_TBL,3,0),0)))</f>
        <v/>
      </c>
      <c r="M105" s="113"/>
      <c r="N105" s="114"/>
    </row>
    <row r="106" customFormat="false" ht="15" hidden="false" customHeight="false" outlineLevel="0" collapsed="false">
      <c r="A106" s="131" t="str">
        <f aca="false">IF(B106="","",ROW()-6)</f>
        <v/>
      </c>
      <c r="B106" s="207"/>
      <c r="C106" s="60"/>
      <c r="D106" s="131" t="str">
        <f aca="false">IF(C106="","",IF(OR(C106="ทั้งเฟส",LEFT(C106,4)="ผรม.",LEFT(C106,3)="เขต"),C106,IFERROR(INDEX('Master Plan'!$B$8:$B$27,MATCH(C106,'Master Plan'!$A$8:$A$27,0)),"?")))</f>
        <v/>
      </c>
      <c r="E106" s="118" t="str">
        <f aca="false">IF(C106="","",IF(OR(C106="ทั้งเฟส",LEFT(C106,4)="ผรม.",LEFT(C106,3)="เขต"),C106,IFERROR(INDEX('Master Plan'!$L$8:$L$27,MATCH(C106,'Master Plan'!$A$8:$A$27,0)),"?")))</f>
        <v/>
      </c>
      <c r="F106" s="60"/>
      <c r="G106" s="114"/>
      <c r="H106" s="60"/>
      <c r="I106" s="116"/>
      <c r="J106" s="225"/>
      <c r="K106" s="206" t="str">
        <f aca="false">IF(F106="","",IF(ISNUMBER(I106),I106,IFERROR(VLOOKUP(F106,RW_TBL,2,0),0)))</f>
        <v/>
      </c>
      <c r="L106" s="226" t="str">
        <f aca="false">IF(F106="","",IF(ISNUMBER(J106),J106,IFERROR(VLOOKUP(F106,RW_TBL,3,0),0)))</f>
        <v/>
      </c>
      <c r="M106" s="113"/>
      <c r="N106" s="114"/>
    </row>
    <row r="107" customFormat="false" ht="15" hidden="false" customHeight="false" outlineLevel="0" collapsed="false">
      <c r="A107" s="131" t="str">
        <f aca="false">IF(B107="","",ROW()-6)</f>
        <v/>
      </c>
      <c r="B107" s="207"/>
      <c r="C107" s="60"/>
      <c r="D107" s="131" t="str">
        <f aca="false">IF(C107="","",IF(OR(C107="ทั้งเฟส",LEFT(C107,4)="ผรม.",LEFT(C107,3)="เขต"),C107,IFERROR(INDEX('Master Plan'!$B$8:$B$27,MATCH(C107,'Master Plan'!$A$8:$A$27,0)),"?")))</f>
        <v/>
      </c>
      <c r="E107" s="118" t="str">
        <f aca="false">IF(C107="","",IF(OR(C107="ทั้งเฟส",LEFT(C107,4)="ผรม.",LEFT(C107,3)="เขต"),C107,IFERROR(INDEX('Master Plan'!$L$8:$L$27,MATCH(C107,'Master Plan'!$A$8:$A$27,0)),"?")))</f>
        <v/>
      </c>
      <c r="F107" s="60"/>
      <c r="G107" s="114"/>
      <c r="H107" s="60"/>
      <c r="I107" s="116"/>
      <c r="J107" s="225"/>
      <c r="K107" s="206" t="str">
        <f aca="false">IF(F107="","",IF(ISNUMBER(I107),I107,IFERROR(VLOOKUP(F107,RW_TBL,2,0),0)))</f>
        <v/>
      </c>
      <c r="L107" s="226" t="str">
        <f aca="false">IF(F107="","",IF(ISNUMBER(J107),J107,IFERROR(VLOOKUP(F107,RW_TBL,3,0),0)))</f>
        <v/>
      </c>
      <c r="M107" s="113"/>
      <c r="N107" s="114"/>
    </row>
    <row r="108" customFormat="false" ht="15" hidden="false" customHeight="false" outlineLevel="0" collapsed="false">
      <c r="A108" s="131" t="str">
        <f aca="false">IF(B108="","",ROW()-6)</f>
        <v/>
      </c>
      <c r="B108" s="207"/>
      <c r="C108" s="60"/>
      <c r="D108" s="131" t="str">
        <f aca="false">IF(C108="","",IF(OR(C108="ทั้งเฟส",LEFT(C108,4)="ผรม.",LEFT(C108,3)="เขต"),C108,IFERROR(INDEX('Master Plan'!$B$8:$B$27,MATCH(C108,'Master Plan'!$A$8:$A$27,0)),"?")))</f>
        <v/>
      </c>
      <c r="E108" s="118" t="str">
        <f aca="false">IF(C108="","",IF(OR(C108="ทั้งเฟส",LEFT(C108,4)="ผรม.",LEFT(C108,3)="เขต"),C108,IFERROR(INDEX('Master Plan'!$L$8:$L$27,MATCH(C108,'Master Plan'!$A$8:$A$27,0)),"?")))</f>
        <v/>
      </c>
      <c r="F108" s="60"/>
      <c r="G108" s="114"/>
      <c r="H108" s="60"/>
      <c r="I108" s="116"/>
      <c r="J108" s="225"/>
      <c r="K108" s="206" t="str">
        <f aca="false">IF(F108="","",IF(ISNUMBER(I108),I108,IFERROR(VLOOKUP(F108,RW_TBL,2,0),0)))</f>
        <v/>
      </c>
      <c r="L108" s="226" t="str">
        <f aca="false">IF(F108="","",IF(ISNUMBER(J108),J108,IFERROR(VLOOKUP(F108,RW_TBL,3,0),0)))</f>
        <v/>
      </c>
      <c r="M108" s="113"/>
      <c r="N108" s="114"/>
    </row>
    <row r="109" customFormat="false" ht="15" hidden="false" customHeight="false" outlineLevel="0" collapsed="false">
      <c r="A109" s="131" t="str">
        <f aca="false">IF(B109="","",ROW()-6)</f>
        <v/>
      </c>
      <c r="B109" s="207"/>
      <c r="C109" s="60"/>
      <c r="D109" s="131" t="str">
        <f aca="false">IF(C109="","",IF(OR(C109="ทั้งเฟส",LEFT(C109,4)="ผรม.",LEFT(C109,3)="เขต"),C109,IFERROR(INDEX('Master Plan'!$B$8:$B$27,MATCH(C109,'Master Plan'!$A$8:$A$27,0)),"?")))</f>
        <v/>
      </c>
      <c r="E109" s="118" t="str">
        <f aca="false">IF(C109="","",IF(OR(C109="ทั้งเฟส",LEFT(C109,4)="ผรม.",LEFT(C109,3)="เขต"),C109,IFERROR(INDEX('Master Plan'!$L$8:$L$27,MATCH(C109,'Master Plan'!$A$8:$A$27,0)),"?")))</f>
        <v/>
      </c>
      <c r="F109" s="60"/>
      <c r="G109" s="114"/>
      <c r="H109" s="60"/>
      <c r="I109" s="116"/>
      <c r="J109" s="225"/>
      <c r="K109" s="206" t="str">
        <f aca="false">IF(F109="","",IF(ISNUMBER(I109),I109,IFERROR(VLOOKUP(F109,RW_TBL,2,0),0)))</f>
        <v/>
      </c>
      <c r="L109" s="226" t="str">
        <f aca="false">IF(F109="","",IF(ISNUMBER(J109),J109,IFERROR(VLOOKUP(F109,RW_TBL,3,0),0)))</f>
        <v/>
      </c>
      <c r="M109" s="113"/>
      <c r="N109" s="114"/>
    </row>
    <row r="110" customFormat="false" ht="15" hidden="false" customHeight="false" outlineLevel="0" collapsed="false">
      <c r="A110" s="131" t="str">
        <f aca="false">IF(B110="","",ROW()-6)</f>
        <v/>
      </c>
      <c r="B110" s="207"/>
      <c r="C110" s="60"/>
      <c r="D110" s="131" t="str">
        <f aca="false">IF(C110="","",IF(OR(C110="ทั้งเฟส",LEFT(C110,4)="ผรม.",LEFT(C110,3)="เขต"),C110,IFERROR(INDEX('Master Plan'!$B$8:$B$27,MATCH(C110,'Master Plan'!$A$8:$A$27,0)),"?")))</f>
        <v/>
      </c>
      <c r="E110" s="118" t="str">
        <f aca="false">IF(C110="","",IF(OR(C110="ทั้งเฟส",LEFT(C110,4)="ผรม.",LEFT(C110,3)="เขต"),C110,IFERROR(INDEX('Master Plan'!$L$8:$L$27,MATCH(C110,'Master Plan'!$A$8:$A$27,0)),"?")))</f>
        <v/>
      </c>
      <c r="F110" s="60"/>
      <c r="G110" s="114"/>
      <c r="H110" s="60"/>
      <c r="I110" s="116"/>
      <c r="J110" s="225"/>
      <c r="K110" s="206" t="str">
        <f aca="false">IF(F110="","",IF(ISNUMBER(I110),I110,IFERROR(VLOOKUP(F110,RW_TBL,2,0),0)))</f>
        <v/>
      </c>
      <c r="L110" s="226" t="str">
        <f aca="false">IF(F110="","",IF(ISNUMBER(J110),J110,IFERROR(VLOOKUP(F110,RW_TBL,3,0),0)))</f>
        <v/>
      </c>
      <c r="M110" s="113"/>
      <c r="N110" s="114"/>
    </row>
    <row r="111" customFormat="false" ht="15" hidden="false" customHeight="false" outlineLevel="0" collapsed="false">
      <c r="A111" s="131" t="str">
        <f aca="false">IF(B111="","",ROW()-6)</f>
        <v/>
      </c>
      <c r="B111" s="207"/>
      <c r="C111" s="60"/>
      <c r="D111" s="131" t="str">
        <f aca="false">IF(C111="","",IF(OR(C111="ทั้งเฟส",LEFT(C111,4)="ผรม.",LEFT(C111,3)="เขต"),C111,IFERROR(INDEX('Master Plan'!$B$8:$B$27,MATCH(C111,'Master Plan'!$A$8:$A$27,0)),"?")))</f>
        <v/>
      </c>
      <c r="E111" s="118" t="str">
        <f aca="false">IF(C111="","",IF(OR(C111="ทั้งเฟส",LEFT(C111,4)="ผรม.",LEFT(C111,3)="เขต"),C111,IFERROR(INDEX('Master Plan'!$L$8:$L$27,MATCH(C111,'Master Plan'!$A$8:$A$27,0)),"?")))</f>
        <v/>
      </c>
      <c r="F111" s="60"/>
      <c r="G111" s="114"/>
      <c r="H111" s="60"/>
      <c r="I111" s="116"/>
      <c r="J111" s="225"/>
      <c r="K111" s="206" t="str">
        <f aca="false">IF(F111="","",IF(ISNUMBER(I111),I111,IFERROR(VLOOKUP(F111,RW_TBL,2,0),0)))</f>
        <v/>
      </c>
      <c r="L111" s="226" t="str">
        <f aca="false">IF(F111="","",IF(ISNUMBER(J111),J111,IFERROR(VLOOKUP(F111,RW_TBL,3,0),0)))</f>
        <v/>
      </c>
      <c r="M111" s="113"/>
      <c r="N111" s="114"/>
    </row>
    <row r="112" customFormat="false" ht="15" hidden="false" customHeight="false" outlineLevel="0" collapsed="false">
      <c r="A112" s="131" t="str">
        <f aca="false">IF(B112="","",ROW()-6)</f>
        <v/>
      </c>
      <c r="B112" s="207"/>
      <c r="C112" s="60"/>
      <c r="D112" s="131" t="str">
        <f aca="false">IF(C112="","",IF(OR(C112="ทั้งเฟส",LEFT(C112,4)="ผรม.",LEFT(C112,3)="เขต"),C112,IFERROR(INDEX('Master Plan'!$B$8:$B$27,MATCH(C112,'Master Plan'!$A$8:$A$27,0)),"?")))</f>
        <v/>
      </c>
      <c r="E112" s="118" t="str">
        <f aca="false">IF(C112="","",IF(OR(C112="ทั้งเฟส",LEFT(C112,4)="ผรม.",LEFT(C112,3)="เขต"),C112,IFERROR(INDEX('Master Plan'!$L$8:$L$27,MATCH(C112,'Master Plan'!$A$8:$A$27,0)),"?")))</f>
        <v/>
      </c>
      <c r="F112" s="60"/>
      <c r="G112" s="114"/>
      <c r="H112" s="60"/>
      <c r="I112" s="116"/>
      <c r="J112" s="225"/>
      <c r="K112" s="206" t="str">
        <f aca="false">IF(F112="","",IF(ISNUMBER(I112),I112,IFERROR(VLOOKUP(F112,RW_TBL,2,0),0)))</f>
        <v/>
      </c>
      <c r="L112" s="226" t="str">
        <f aca="false">IF(F112="","",IF(ISNUMBER(J112),J112,IFERROR(VLOOKUP(F112,RW_TBL,3,0),0)))</f>
        <v/>
      </c>
      <c r="M112" s="113"/>
      <c r="N112" s="114"/>
    </row>
    <row r="113" customFormat="false" ht="15" hidden="false" customHeight="false" outlineLevel="0" collapsed="false">
      <c r="A113" s="131" t="str">
        <f aca="false">IF(B113="","",ROW()-6)</f>
        <v/>
      </c>
      <c r="B113" s="207"/>
      <c r="C113" s="60"/>
      <c r="D113" s="131" t="str">
        <f aca="false">IF(C113="","",IF(OR(C113="ทั้งเฟส",LEFT(C113,4)="ผรม.",LEFT(C113,3)="เขต"),C113,IFERROR(INDEX('Master Plan'!$B$8:$B$27,MATCH(C113,'Master Plan'!$A$8:$A$27,0)),"?")))</f>
        <v/>
      </c>
      <c r="E113" s="118" t="str">
        <f aca="false">IF(C113="","",IF(OR(C113="ทั้งเฟส",LEFT(C113,4)="ผรม.",LEFT(C113,3)="เขต"),C113,IFERROR(INDEX('Master Plan'!$L$8:$L$27,MATCH(C113,'Master Plan'!$A$8:$A$27,0)),"?")))</f>
        <v/>
      </c>
      <c r="F113" s="60"/>
      <c r="G113" s="114"/>
      <c r="H113" s="60"/>
      <c r="I113" s="116"/>
      <c r="J113" s="225"/>
      <c r="K113" s="206" t="str">
        <f aca="false">IF(F113="","",IF(ISNUMBER(I113),I113,IFERROR(VLOOKUP(F113,RW_TBL,2,0),0)))</f>
        <v/>
      </c>
      <c r="L113" s="226" t="str">
        <f aca="false">IF(F113="","",IF(ISNUMBER(J113),J113,IFERROR(VLOOKUP(F113,RW_TBL,3,0),0)))</f>
        <v/>
      </c>
      <c r="M113" s="113"/>
      <c r="N113" s="114"/>
    </row>
    <row r="114" customFormat="false" ht="15" hidden="false" customHeight="false" outlineLevel="0" collapsed="false">
      <c r="A114" s="131" t="str">
        <f aca="false">IF(B114="","",ROW()-6)</f>
        <v/>
      </c>
      <c r="B114" s="207"/>
      <c r="C114" s="60"/>
      <c r="D114" s="131" t="str">
        <f aca="false">IF(C114="","",IF(OR(C114="ทั้งเฟส",LEFT(C114,4)="ผรม.",LEFT(C114,3)="เขต"),C114,IFERROR(INDEX('Master Plan'!$B$8:$B$27,MATCH(C114,'Master Plan'!$A$8:$A$27,0)),"?")))</f>
        <v/>
      </c>
      <c r="E114" s="118" t="str">
        <f aca="false">IF(C114="","",IF(OR(C114="ทั้งเฟส",LEFT(C114,4)="ผรม.",LEFT(C114,3)="เขต"),C114,IFERROR(INDEX('Master Plan'!$L$8:$L$27,MATCH(C114,'Master Plan'!$A$8:$A$27,0)),"?")))</f>
        <v/>
      </c>
      <c r="F114" s="60"/>
      <c r="G114" s="114"/>
      <c r="H114" s="60"/>
      <c r="I114" s="116"/>
      <c r="J114" s="225"/>
      <c r="K114" s="206" t="str">
        <f aca="false">IF(F114="","",IF(ISNUMBER(I114),I114,IFERROR(VLOOKUP(F114,RW_TBL,2,0),0)))</f>
        <v/>
      </c>
      <c r="L114" s="226" t="str">
        <f aca="false">IF(F114="","",IF(ISNUMBER(J114),J114,IFERROR(VLOOKUP(F114,RW_TBL,3,0),0)))</f>
        <v/>
      </c>
      <c r="M114" s="113"/>
      <c r="N114" s="114"/>
    </row>
    <row r="115" customFormat="false" ht="15" hidden="false" customHeight="false" outlineLevel="0" collapsed="false">
      <c r="A115" s="131" t="str">
        <f aca="false">IF(B115="","",ROW()-6)</f>
        <v/>
      </c>
      <c r="B115" s="207"/>
      <c r="C115" s="60"/>
      <c r="D115" s="131" t="str">
        <f aca="false">IF(C115="","",IF(OR(C115="ทั้งเฟส",LEFT(C115,4)="ผรม.",LEFT(C115,3)="เขต"),C115,IFERROR(INDEX('Master Plan'!$B$8:$B$27,MATCH(C115,'Master Plan'!$A$8:$A$27,0)),"?")))</f>
        <v/>
      </c>
      <c r="E115" s="118" t="str">
        <f aca="false">IF(C115="","",IF(OR(C115="ทั้งเฟส",LEFT(C115,4)="ผรม.",LEFT(C115,3)="เขต"),C115,IFERROR(INDEX('Master Plan'!$L$8:$L$27,MATCH(C115,'Master Plan'!$A$8:$A$27,0)),"?")))</f>
        <v/>
      </c>
      <c r="F115" s="60"/>
      <c r="G115" s="114"/>
      <c r="H115" s="60"/>
      <c r="I115" s="116"/>
      <c r="J115" s="225"/>
      <c r="K115" s="206" t="str">
        <f aca="false">IF(F115="","",IF(ISNUMBER(I115),I115,IFERROR(VLOOKUP(F115,RW_TBL,2,0),0)))</f>
        <v/>
      </c>
      <c r="L115" s="226" t="str">
        <f aca="false">IF(F115="","",IF(ISNUMBER(J115),J115,IFERROR(VLOOKUP(F115,RW_TBL,3,0),0)))</f>
        <v/>
      </c>
      <c r="M115" s="113"/>
      <c r="N115" s="114"/>
    </row>
    <row r="116" customFormat="false" ht="15" hidden="false" customHeight="false" outlineLevel="0" collapsed="false">
      <c r="A116" s="131" t="str">
        <f aca="false">IF(B116="","",ROW()-6)</f>
        <v/>
      </c>
      <c r="B116" s="207"/>
      <c r="C116" s="60"/>
      <c r="D116" s="131" t="str">
        <f aca="false">IF(C116="","",IF(OR(C116="ทั้งเฟส",LEFT(C116,4)="ผรม.",LEFT(C116,3)="เขต"),C116,IFERROR(INDEX('Master Plan'!$B$8:$B$27,MATCH(C116,'Master Plan'!$A$8:$A$27,0)),"?")))</f>
        <v/>
      </c>
      <c r="E116" s="118" t="str">
        <f aca="false">IF(C116="","",IF(OR(C116="ทั้งเฟส",LEFT(C116,4)="ผรม.",LEFT(C116,3)="เขต"),C116,IFERROR(INDEX('Master Plan'!$L$8:$L$27,MATCH(C116,'Master Plan'!$A$8:$A$27,0)),"?")))</f>
        <v/>
      </c>
      <c r="F116" s="60"/>
      <c r="G116" s="114"/>
      <c r="H116" s="60"/>
      <c r="I116" s="116"/>
      <c r="J116" s="225"/>
      <c r="K116" s="206" t="str">
        <f aca="false">IF(F116="","",IF(ISNUMBER(I116),I116,IFERROR(VLOOKUP(F116,RW_TBL,2,0),0)))</f>
        <v/>
      </c>
      <c r="L116" s="226" t="str">
        <f aca="false">IF(F116="","",IF(ISNUMBER(J116),J116,IFERROR(VLOOKUP(F116,RW_TBL,3,0),0)))</f>
        <v/>
      </c>
      <c r="M116" s="113"/>
      <c r="N116" s="114"/>
    </row>
    <row r="117" customFormat="false" ht="15" hidden="false" customHeight="false" outlineLevel="0" collapsed="false">
      <c r="A117" s="131" t="str">
        <f aca="false">IF(B117="","",ROW()-6)</f>
        <v/>
      </c>
      <c r="B117" s="207"/>
      <c r="C117" s="60"/>
      <c r="D117" s="131" t="str">
        <f aca="false">IF(C117="","",IF(OR(C117="ทั้งเฟส",LEFT(C117,4)="ผรม.",LEFT(C117,3)="เขต"),C117,IFERROR(INDEX('Master Plan'!$B$8:$B$27,MATCH(C117,'Master Plan'!$A$8:$A$27,0)),"?")))</f>
        <v/>
      </c>
      <c r="E117" s="118" t="str">
        <f aca="false">IF(C117="","",IF(OR(C117="ทั้งเฟส",LEFT(C117,4)="ผรม.",LEFT(C117,3)="เขต"),C117,IFERROR(INDEX('Master Plan'!$L$8:$L$27,MATCH(C117,'Master Plan'!$A$8:$A$27,0)),"?")))</f>
        <v/>
      </c>
      <c r="F117" s="60"/>
      <c r="G117" s="114"/>
      <c r="H117" s="60"/>
      <c r="I117" s="116"/>
      <c r="J117" s="225"/>
      <c r="K117" s="206" t="str">
        <f aca="false">IF(F117="","",IF(ISNUMBER(I117),I117,IFERROR(VLOOKUP(F117,RW_TBL,2,0),0)))</f>
        <v/>
      </c>
      <c r="L117" s="226" t="str">
        <f aca="false">IF(F117="","",IF(ISNUMBER(J117),J117,IFERROR(VLOOKUP(F117,RW_TBL,3,0),0)))</f>
        <v/>
      </c>
      <c r="M117" s="113"/>
      <c r="N117" s="114"/>
    </row>
    <row r="118" customFormat="false" ht="15" hidden="false" customHeight="false" outlineLevel="0" collapsed="false">
      <c r="A118" s="131" t="str">
        <f aca="false">IF(B118="","",ROW()-6)</f>
        <v/>
      </c>
      <c r="B118" s="207"/>
      <c r="C118" s="60"/>
      <c r="D118" s="131" t="str">
        <f aca="false">IF(C118="","",IF(OR(C118="ทั้งเฟส",LEFT(C118,4)="ผรม.",LEFT(C118,3)="เขต"),C118,IFERROR(INDEX('Master Plan'!$B$8:$B$27,MATCH(C118,'Master Plan'!$A$8:$A$27,0)),"?")))</f>
        <v/>
      </c>
      <c r="E118" s="118" t="str">
        <f aca="false">IF(C118="","",IF(OR(C118="ทั้งเฟส",LEFT(C118,4)="ผรม.",LEFT(C118,3)="เขต"),C118,IFERROR(INDEX('Master Plan'!$L$8:$L$27,MATCH(C118,'Master Plan'!$A$8:$A$27,0)),"?")))</f>
        <v/>
      </c>
      <c r="F118" s="60"/>
      <c r="G118" s="114"/>
      <c r="H118" s="60"/>
      <c r="I118" s="116"/>
      <c r="J118" s="225"/>
      <c r="K118" s="206" t="str">
        <f aca="false">IF(F118="","",IF(ISNUMBER(I118),I118,IFERROR(VLOOKUP(F118,RW_TBL,2,0),0)))</f>
        <v/>
      </c>
      <c r="L118" s="226" t="str">
        <f aca="false">IF(F118="","",IF(ISNUMBER(J118),J118,IFERROR(VLOOKUP(F118,RW_TBL,3,0),0)))</f>
        <v/>
      </c>
      <c r="M118" s="113"/>
      <c r="N118" s="114"/>
    </row>
    <row r="119" customFormat="false" ht="15" hidden="false" customHeight="false" outlineLevel="0" collapsed="false">
      <c r="A119" s="131" t="str">
        <f aca="false">IF(B119="","",ROW()-6)</f>
        <v/>
      </c>
      <c r="B119" s="207"/>
      <c r="C119" s="60"/>
      <c r="D119" s="131" t="str">
        <f aca="false">IF(C119="","",IF(OR(C119="ทั้งเฟส",LEFT(C119,4)="ผรม.",LEFT(C119,3)="เขต"),C119,IFERROR(INDEX('Master Plan'!$B$8:$B$27,MATCH(C119,'Master Plan'!$A$8:$A$27,0)),"?")))</f>
        <v/>
      </c>
      <c r="E119" s="118" t="str">
        <f aca="false">IF(C119="","",IF(OR(C119="ทั้งเฟส",LEFT(C119,4)="ผรม.",LEFT(C119,3)="เขต"),C119,IFERROR(INDEX('Master Plan'!$L$8:$L$27,MATCH(C119,'Master Plan'!$A$8:$A$27,0)),"?")))</f>
        <v/>
      </c>
      <c r="F119" s="60"/>
      <c r="G119" s="114"/>
      <c r="H119" s="60"/>
      <c r="I119" s="116"/>
      <c r="J119" s="225"/>
      <c r="K119" s="206" t="str">
        <f aca="false">IF(F119="","",IF(ISNUMBER(I119),I119,IFERROR(VLOOKUP(F119,RW_TBL,2,0),0)))</f>
        <v/>
      </c>
      <c r="L119" s="226" t="str">
        <f aca="false">IF(F119="","",IF(ISNUMBER(J119),J119,IFERROR(VLOOKUP(F119,RW_TBL,3,0),0)))</f>
        <v/>
      </c>
      <c r="M119" s="113"/>
      <c r="N119" s="114"/>
    </row>
    <row r="120" customFormat="false" ht="15" hidden="false" customHeight="false" outlineLevel="0" collapsed="false">
      <c r="A120" s="131" t="str">
        <f aca="false">IF(B120="","",ROW()-6)</f>
        <v/>
      </c>
      <c r="B120" s="207"/>
      <c r="C120" s="60"/>
      <c r="D120" s="131" t="str">
        <f aca="false">IF(C120="","",IF(OR(C120="ทั้งเฟส",LEFT(C120,4)="ผรม.",LEFT(C120,3)="เขต"),C120,IFERROR(INDEX('Master Plan'!$B$8:$B$27,MATCH(C120,'Master Plan'!$A$8:$A$27,0)),"?")))</f>
        <v/>
      </c>
      <c r="E120" s="118" t="str">
        <f aca="false">IF(C120="","",IF(OR(C120="ทั้งเฟส",LEFT(C120,4)="ผรม.",LEFT(C120,3)="เขต"),C120,IFERROR(INDEX('Master Plan'!$L$8:$L$27,MATCH(C120,'Master Plan'!$A$8:$A$27,0)),"?")))</f>
        <v/>
      </c>
      <c r="F120" s="60"/>
      <c r="G120" s="114"/>
      <c r="H120" s="60"/>
      <c r="I120" s="116"/>
      <c r="J120" s="225"/>
      <c r="K120" s="206" t="str">
        <f aca="false">IF(F120="","",IF(ISNUMBER(I120),I120,IFERROR(VLOOKUP(F120,RW_TBL,2,0),0)))</f>
        <v/>
      </c>
      <c r="L120" s="226" t="str">
        <f aca="false">IF(F120="","",IF(ISNUMBER(J120),J120,IFERROR(VLOOKUP(F120,RW_TBL,3,0),0)))</f>
        <v/>
      </c>
      <c r="M120" s="113"/>
      <c r="N120" s="114"/>
    </row>
    <row r="121" customFormat="false" ht="15" hidden="false" customHeight="false" outlineLevel="0" collapsed="false">
      <c r="A121" s="131" t="str">
        <f aca="false">IF(B121="","",ROW()-6)</f>
        <v/>
      </c>
      <c r="B121" s="207"/>
      <c r="C121" s="60"/>
      <c r="D121" s="131" t="str">
        <f aca="false">IF(C121="","",IF(OR(C121="ทั้งเฟส",LEFT(C121,4)="ผรม.",LEFT(C121,3)="เขต"),C121,IFERROR(INDEX('Master Plan'!$B$8:$B$27,MATCH(C121,'Master Plan'!$A$8:$A$27,0)),"?")))</f>
        <v/>
      </c>
      <c r="E121" s="118" t="str">
        <f aca="false">IF(C121="","",IF(OR(C121="ทั้งเฟส",LEFT(C121,4)="ผรม.",LEFT(C121,3)="เขต"),C121,IFERROR(INDEX('Master Plan'!$L$8:$L$27,MATCH(C121,'Master Plan'!$A$8:$A$27,0)),"?")))</f>
        <v/>
      </c>
      <c r="F121" s="60"/>
      <c r="G121" s="114"/>
      <c r="H121" s="60"/>
      <c r="I121" s="116"/>
      <c r="J121" s="225"/>
      <c r="K121" s="206" t="str">
        <f aca="false">IF(F121="","",IF(ISNUMBER(I121),I121,IFERROR(VLOOKUP(F121,RW_TBL,2,0),0)))</f>
        <v/>
      </c>
      <c r="L121" s="226" t="str">
        <f aca="false">IF(F121="","",IF(ISNUMBER(J121),J121,IFERROR(VLOOKUP(F121,RW_TBL,3,0),0)))</f>
        <v/>
      </c>
      <c r="M121" s="113"/>
      <c r="N121" s="114"/>
    </row>
    <row r="122" customFormat="false" ht="15" hidden="false" customHeight="false" outlineLevel="0" collapsed="false">
      <c r="A122" s="131" t="str">
        <f aca="false">IF(B122="","",ROW()-6)</f>
        <v/>
      </c>
      <c r="B122" s="207"/>
      <c r="C122" s="60"/>
      <c r="D122" s="131" t="str">
        <f aca="false">IF(C122="","",IF(OR(C122="ทั้งเฟส",LEFT(C122,4)="ผรม.",LEFT(C122,3)="เขต"),C122,IFERROR(INDEX('Master Plan'!$B$8:$B$27,MATCH(C122,'Master Plan'!$A$8:$A$27,0)),"?")))</f>
        <v/>
      </c>
      <c r="E122" s="118" t="str">
        <f aca="false">IF(C122="","",IF(OR(C122="ทั้งเฟส",LEFT(C122,4)="ผรม.",LEFT(C122,3)="เขต"),C122,IFERROR(INDEX('Master Plan'!$L$8:$L$27,MATCH(C122,'Master Plan'!$A$8:$A$27,0)),"?")))</f>
        <v/>
      </c>
      <c r="F122" s="60"/>
      <c r="G122" s="114"/>
      <c r="H122" s="60"/>
      <c r="I122" s="116"/>
      <c r="J122" s="225"/>
      <c r="K122" s="206" t="str">
        <f aca="false">IF(F122="","",IF(ISNUMBER(I122),I122,IFERROR(VLOOKUP(F122,RW_TBL,2,0),0)))</f>
        <v/>
      </c>
      <c r="L122" s="226" t="str">
        <f aca="false">IF(F122="","",IF(ISNUMBER(J122),J122,IFERROR(VLOOKUP(F122,RW_TBL,3,0),0)))</f>
        <v/>
      </c>
      <c r="M122" s="113"/>
      <c r="N122" s="114"/>
    </row>
    <row r="123" customFormat="false" ht="15" hidden="false" customHeight="false" outlineLevel="0" collapsed="false">
      <c r="A123" s="131" t="str">
        <f aca="false">IF(B123="","",ROW()-6)</f>
        <v/>
      </c>
      <c r="B123" s="207"/>
      <c r="C123" s="60"/>
      <c r="D123" s="131" t="str">
        <f aca="false">IF(C123="","",IF(OR(C123="ทั้งเฟส",LEFT(C123,4)="ผรม.",LEFT(C123,3)="เขต"),C123,IFERROR(INDEX('Master Plan'!$B$8:$B$27,MATCH(C123,'Master Plan'!$A$8:$A$27,0)),"?")))</f>
        <v/>
      </c>
      <c r="E123" s="118" t="str">
        <f aca="false">IF(C123="","",IF(OR(C123="ทั้งเฟส",LEFT(C123,4)="ผรม.",LEFT(C123,3)="เขต"),C123,IFERROR(INDEX('Master Plan'!$L$8:$L$27,MATCH(C123,'Master Plan'!$A$8:$A$27,0)),"?")))</f>
        <v/>
      </c>
      <c r="F123" s="60"/>
      <c r="G123" s="114"/>
      <c r="H123" s="60"/>
      <c r="I123" s="116"/>
      <c r="J123" s="225"/>
      <c r="K123" s="206" t="str">
        <f aca="false">IF(F123="","",IF(ISNUMBER(I123),I123,IFERROR(VLOOKUP(F123,RW_TBL,2,0),0)))</f>
        <v/>
      </c>
      <c r="L123" s="226" t="str">
        <f aca="false">IF(F123="","",IF(ISNUMBER(J123),J123,IFERROR(VLOOKUP(F123,RW_TBL,3,0),0)))</f>
        <v/>
      </c>
      <c r="M123" s="113"/>
      <c r="N123" s="114"/>
    </row>
    <row r="124" customFormat="false" ht="15" hidden="false" customHeight="false" outlineLevel="0" collapsed="false">
      <c r="A124" s="131" t="str">
        <f aca="false">IF(B124="","",ROW()-6)</f>
        <v/>
      </c>
      <c r="B124" s="207"/>
      <c r="C124" s="60"/>
      <c r="D124" s="131" t="str">
        <f aca="false">IF(C124="","",IF(OR(C124="ทั้งเฟส",LEFT(C124,4)="ผรม.",LEFT(C124,3)="เขต"),C124,IFERROR(INDEX('Master Plan'!$B$8:$B$27,MATCH(C124,'Master Plan'!$A$8:$A$27,0)),"?")))</f>
        <v/>
      </c>
      <c r="E124" s="118" t="str">
        <f aca="false">IF(C124="","",IF(OR(C124="ทั้งเฟส",LEFT(C124,4)="ผรม.",LEFT(C124,3)="เขต"),C124,IFERROR(INDEX('Master Plan'!$L$8:$L$27,MATCH(C124,'Master Plan'!$A$8:$A$27,0)),"?")))</f>
        <v/>
      </c>
      <c r="F124" s="60"/>
      <c r="G124" s="114"/>
      <c r="H124" s="60"/>
      <c r="I124" s="116"/>
      <c r="J124" s="225"/>
      <c r="K124" s="206" t="str">
        <f aca="false">IF(F124="","",IF(ISNUMBER(I124),I124,IFERROR(VLOOKUP(F124,RW_TBL,2,0),0)))</f>
        <v/>
      </c>
      <c r="L124" s="226" t="str">
        <f aca="false">IF(F124="","",IF(ISNUMBER(J124),J124,IFERROR(VLOOKUP(F124,RW_TBL,3,0),0)))</f>
        <v/>
      </c>
      <c r="M124" s="113"/>
      <c r="N124" s="114"/>
    </row>
    <row r="125" customFormat="false" ht="15" hidden="false" customHeight="false" outlineLevel="0" collapsed="false">
      <c r="A125" s="131" t="str">
        <f aca="false">IF(B125="","",ROW()-6)</f>
        <v/>
      </c>
      <c r="B125" s="207"/>
      <c r="C125" s="60"/>
      <c r="D125" s="131" t="str">
        <f aca="false">IF(C125="","",IF(OR(C125="ทั้งเฟส",LEFT(C125,4)="ผรม.",LEFT(C125,3)="เขต"),C125,IFERROR(INDEX('Master Plan'!$B$8:$B$27,MATCH(C125,'Master Plan'!$A$8:$A$27,0)),"?")))</f>
        <v/>
      </c>
      <c r="E125" s="118" t="str">
        <f aca="false">IF(C125="","",IF(OR(C125="ทั้งเฟส",LEFT(C125,4)="ผรม.",LEFT(C125,3)="เขต"),C125,IFERROR(INDEX('Master Plan'!$L$8:$L$27,MATCH(C125,'Master Plan'!$A$8:$A$27,0)),"?")))</f>
        <v/>
      </c>
      <c r="F125" s="60"/>
      <c r="G125" s="114"/>
      <c r="H125" s="60"/>
      <c r="I125" s="116"/>
      <c r="J125" s="225"/>
      <c r="K125" s="206" t="str">
        <f aca="false">IF(F125="","",IF(ISNUMBER(I125),I125,IFERROR(VLOOKUP(F125,RW_TBL,2,0),0)))</f>
        <v/>
      </c>
      <c r="L125" s="226" t="str">
        <f aca="false">IF(F125="","",IF(ISNUMBER(J125),J125,IFERROR(VLOOKUP(F125,RW_TBL,3,0),0)))</f>
        <v/>
      </c>
      <c r="M125" s="113"/>
      <c r="N125" s="114"/>
    </row>
    <row r="126" customFormat="false" ht="15" hidden="false" customHeight="false" outlineLevel="0" collapsed="false">
      <c r="A126" s="131" t="str">
        <f aca="false">IF(B126="","",ROW()-6)</f>
        <v/>
      </c>
      <c r="B126" s="207"/>
      <c r="C126" s="60"/>
      <c r="D126" s="131" t="str">
        <f aca="false">IF(C126="","",IF(OR(C126="ทั้งเฟส",LEFT(C126,4)="ผรม.",LEFT(C126,3)="เขต"),C126,IFERROR(INDEX('Master Plan'!$B$8:$B$27,MATCH(C126,'Master Plan'!$A$8:$A$27,0)),"?")))</f>
        <v/>
      </c>
      <c r="E126" s="118" t="str">
        <f aca="false">IF(C126="","",IF(OR(C126="ทั้งเฟส",LEFT(C126,4)="ผรม.",LEFT(C126,3)="เขต"),C126,IFERROR(INDEX('Master Plan'!$L$8:$L$27,MATCH(C126,'Master Plan'!$A$8:$A$27,0)),"?")))</f>
        <v/>
      </c>
      <c r="F126" s="60"/>
      <c r="G126" s="114"/>
      <c r="H126" s="60"/>
      <c r="I126" s="116"/>
      <c r="J126" s="225"/>
      <c r="K126" s="206" t="str">
        <f aca="false">IF(F126="","",IF(ISNUMBER(I126),I126,IFERROR(VLOOKUP(F126,RW_TBL,2,0),0)))</f>
        <v/>
      </c>
      <c r="L126" s="226" t="str">
        <f aca="false">IF(F126="","",IF(ISNUMBER(J126),J126,IFERROR(VLOOKUP(F126,RW_TBL,3,0),0)))</f>
        <v/>
      </c>
      <c r="M126" s="113"/>
      <c r="N126" s="114"/>
    </row>
    <row r="127" customFormat="false" ht="15" hidden="false" customHeight="false" outlineLevel="0" collapsed="false">
      <c r="A127" s="131" t="str">
        <f aca="false">IF(B127="","",ROW()-6)</f>
        <v/>
      </c>
      <c r="B127" s="207"/>
      <c r="C127" s="60"/>
      <c r="D127" s="131" t="str">
        <f aca="false">IF(C127="","",IF(OR(C127="ทั้งเฟส",LEFT(C127,4)="ผรม.",LEFT(C127,3)="เขต"),C127,IFERROR(INDEX('Master Plan'!$B$8:$B$27,MATCH(C127,'Master Plan'!$A$8:$A$27,0)),"?")))</f>
        <v/>
      </c>
      <c r="E127" s="118" t="str">
        <f aca="false">IF(C127="","",IF(OR(C127="ทั้งเฟส",LEFT(C127,4)="ผรม.",LEFT(C127,3)="เขต"),C127,IFERROR(INDEX('Master Plan'!$L$8:$L$27,MATCH(C127,'Master Plan'!$A$8:$A$27,0)),"?")))</f>
        <v/>
      </c>
      <c r="F127" s="60"/>
      <c r="G127" s="114"/>
      <c r="H127" s="60"/>
      <c r="I127" s="116"/>
      <c r="J127" s="225"/>
      <c r="K127" s="206" t="str">
        <f aca="false">IF(F127="","",IF(ISNUMBER(I127),I127,IFERROR(VLOOKUP(F127,RW_TBL,2,0),0)))</f>
        <v/>
      </c>
      <c r="L127" s="226" t="str">
        <f aca="false">IF(F127="","",IF(ISNUMBER(J127),J127,IFERROR(VLOOKUP(F127,RW_TBL,3,0),0)))</f>
        <v/>
      </c>
      <c r="M127" s="113"/>
      <c r="N127" s="114"/>
    </row>
    <row r="128" customFormat="false" ht="15" hidden="false" customHeight="false" outlineLevel="0" collapsed="false">
      <c r="A128" s="131" t="str">
        <f aca="false">IF(B128="","",ROW()-6)</f>
        <v/>
      </c>
      <c r="B128" s="207"/>
      <c r="C128" s="60"/>
      <c r="D128" s="131" t="str">
        <f aca="false">IF(C128="","",IF(OR(C128="ทั้งเฟส",LEFT(C128,4)="ผรม.",LEFT(C128,3)="เขต"),C128,IFERROR(INDEX('Master Plan'!$B$8:$B$27,MATCH(C128,'Master Plan'!$A$8:$A$27,0)),"?")))</f>
        <v/>
      </c>
      <c r="E128" s="118" t="str">
        <f aca="false">IF(C128="","",IF(OR(C128="ทั้งเฟส",LEFT(C128,4)="ผรม.",LEFT(C128,3)="เขต"),C128,IFERROR(INDEX('Master Plan'!$L$8:$L$27,MATCH(C128,'Master Plan'!$A$8:$A$27,0)),"?")))</f>
        <v/>
      </c>
      <c r="F128" s="60"/>
      <c r="G128" s="114"/>
      <c r="H128" s="60"/>
      <c r="I128" s="116"/>
      <c r="J128" s="225"/>
      <c r="K128" s="206" t="str">
        <f aca="false">IF(F128="","",IF(ISNUMBER(I128),I128,IFERROR(VLOOKUP(F128,RW_TBL,2,0),0)))</f>
        <v/>
      </c>
      <c r="L128" s="226" t="str">
        <f aca="false">IF(F128="","",IF(ISNUMBER(J128),J128,IFERROR(VLOOKUP(F128,RW_TBL,3,0),0)))</f>
        <v/>
      </c>
      <c r="M128" s="113"/>
      <c r="N128" s="114"/>
    </row>
    <row r="129" customFormat="false" ht="15" hidden="false" customHeight="false" outlineLevel="0" collapsed="false">
      <c r="A129" s="131" t="str">
        <f aca="false">IF(B129="","",ROW()-6)</f>
        <v/>
      </c>
      <c r="B129" s="207"/>
      <c r="C129" s="60"/>
      <c r="D129" s="131" t="str">
        <f aca="false">IF(C129="","",IF(OR(C129="ทั้งเฟส",LEFT(C129,4)="ผรม.",LEFT(C129,3)="เขต"),C129,IFERROR(INDEX('Master Plan'!$B$8:$B$27,MATCH(C129,'Master Plan'!$A$8:$A$27,0)),"?")))</f>
        <v/>
      </c>
      <c r="E129" s="118" t="str">
        <f aca="false">IF(C129="","",IF(OR(C129="ทั้งเฟส",LEFT(C129,4)="ผรม.",LEFT(C129,3)="เขต"),C129,IFERROR(INDEX('Master Plan'!$L$8:$L$27,MATCH(C129,'Master Plan'!$A$8:$A$27,0)),"?")))</f>
        <v/>
      </c>
      <c r="F129" s="60"/>
      <c r="G129" s="114"/>
      <c r="H129" s="60"/>
      <c r="I129" s="116"/>
      <c r="J129" s="225"/>
      <c r="K129" s="206" t="str">
        <f aca="false">IF(F129="","",IF(ISNUMBER(I129),I129,IFERROR(VLOOKUP(F129,RW_TBL,2,0),0)))</f>
        <v/>
      </c>
      <c r="L129" s="226" t="str">
        <f aca="false">IF(F129="","",IF(ISNUMBER(J129),J129,IFERROR(VLOOKUP(F129,RW_TBL,3,0),0)))</f>
        <v/>
      </c>
      <c r="M129" s="113"/>
      <c r="N129" s="114"/>
    </row>
    <row r="130" customFormat="false" ht="15" hidden="false" customHeight="false" outlineLevel="0" collapsed="false">
      <c r="A130" s="131" t="str">
        <f aca="false">IF(B130="","",ROW()-6)</f>
        <v/>
      </c>
      <c r="B130" s="207"/>
      <c r="C130" s="60"/>
      <c r="D130" s="131" t="str">
        <f aca="false">IF(C130="","",IF(OR(C130="ทั้งเฟส",LEFT(C130,4)="ผรม.",LEFT(C130,3)="เขต"),C130,IFERROR(INDEX('Master Plan'!$B$8:$B$27,MATCH(C130,'Master Plan'!$A$8:$A$27,0)),"?")))</f>
        <v/>
      </c>
      <c r="E130" s="118" t="str">
        <f aca="false">IF(C130="","",IF(OR(C130="ทั้งเฟส",LEFT(C130,4)="ผรม.",LEFT(C130,3)="เขต"),C130,IFERROR(INDEX('Master Plan'!$L$8:$L$27,MATCH(C130,'Master Plan'!$A$8:$A$27,0)),"?")))</f>
        <v/>
      </c>
      <c r="F130" s="60"/>
      <c r="G130" s="114"/>
      <c r="H130" s="60"/>
      <c r="I130" s="116"/>
      <c r="J130" s="225"/>
      <c r="K130" s="206" t="str">
        <f aca="false">IF(F130="","",IF(ISNUMBER(I130),I130,IFERROR(VLOOKUP(F130,RW_TBL,2,0),0)))</f>
        <v/>
      </c>
      <c r="L130" s="226" t="str">
        <f aca="false">IF(F130="","",IF(ISNUMBER(J130),J130,IFERROR(VLOOKUP(F130,RW_TBL,3,0),0)))</f>
        <v/>
      </c>
      <c r="M130" s="113"/>
      <c r="N130" s="114"/>
    </row>
    <row r="131" customFormat="false" ht="15" hidden="false" customHeight="false" outlineLevel="0" collapsed="false">
      <c r="A131" s="131" t="str">
        <f aca="false">IF(B131="","",ROW()-6)</f>
        <v/>
      </c>
      <c r="B131" s="207"/>
      <c r="C131" s="60"/>
      <c r="D131" s="131" t="str">
        <f aca="false">IF(C131="","",IF(OR(C131="ทั้งเฟส",LEFT(C131,4)="ผรม.",LEFT(C131,3)="เขต"),C131,IFERROR(INDEX('Master Plan'!$B$8:$B$27,MATCH(C131,'Master Plan'!$A$8:$A$27,0)),"?")))</f>
        <v/>
      </c>
      <c r="E131" s="118" t="str">
        <f aca="false">IF(C131="","",IF(OR(C131="ทั้งเฟส",LEFT(C131,4)="ผรม.",LEFT(C131,3)="เขต"),C131,IFERROR(INDEX('Master Plan'!$L$8:$L$27,MATCH(C131,'Master Plan'!$A$8:$A$27,0)),"?")))</f>
        <v/>
      </c>
      <c r="F131" s="60"/>
      <c r="G131" s="114"/>
      <c r="H131" s="60"/>
      <c r="I131" s="116"/>
      <c r="J131" s="225"/>
      <c r="K131" s="206" t="str">
        <f aca="false">IF(F131="","",IF(ISNUMBER(I131),I131,IFERROR(VLOOKUP(F131,RW_TBL,2,0),0)))</f>
        <v/>
      </c>
      <c r="L131" s="226" t="str">
        <f aca="false">IF(F131="","",IF(ISNUMBER(J131),J131,IFERROR(VLOOKUP(F131,RW_TBL,3,0),0)))</f>
        <v/>
      </c>
      <c r="M131" s="113"/>
      <c r="N131" s="114"/>
    </row>
    <row r="132" customFormat="false" ht="15" hidden="false" customHeight="false" outlineLevel="0" collapsed="false">
      <c r="A132" s="131" t="str">
        <f aca="false">IF(B132="","",ROW()-6)</f>
        <v/>
      </c>
      <c r="B132" s="207"/>
      <c r="C132" s="60"/>
      <c r="D132" s="131" t="str">
        <f aca="false">IF(C132="","",IF(OR(C132="ทั้งเฟส",LEFT(C132,4)="ผรม.",LEFT(C132,3)="เขต"),C132,IFERROR(INDEX('Master Plan'!$B$8:$B$27,MATCH(C132,'Master Plan'!$A$8:$A$27,0)),"?")))</f>
        <v/>
      </c>
      <c r="E132" s="118" t="str">
        <f aca="false">IF(C132="","",IF(OR(C132="ทั้งเฟส",LEFT(C132,4)="ผรม.",LEFT(C132,3)="เขต"),C132,IFERROR(INDEX('Master Plan'!$L$8:$L$27,MATCH(C132,'Master Plan'!$A$8:$A$27,0)),"?")))</f>
        <v/>
      </c>
      <c r="F132" s="60"/>
      <c r="G132" s="114"/>
      <c r="H132" s="60"/>
      <c r="I132" s="116"/>
      <c r="J132" s="225"/>
      <c r="K132" s="206" t="str">
        <f aca="false">IF(F132="","",IF(ISNUMBER(I132),I132,IFERROR(VLOOKUP(F132,RW_TBL,2,0),0)))</f>
        <v/>
      </c>
      <c r="L132" s="226" t="str">
        <f aca="false">IF(F132="","",IF(ISNUMBER(J132),J132,IFERROR(VLOOKUP(F132,RW_TBL,3,0),0)))</f>
        <v/>
      </c>
      <c r="M132" s="113"/>
      <c r="N132" s="114"/>
    </row>
    <row r="133" customFormat="false" ht="15" hidden="false" customHeight="false" outlineLevel="0" collapsed="false">
      <c r="A133" s="131" t="str">
        <f aca="false">IF(B133="","",ROW()-6)</f>
        <v/>
      </c>
      <c r="B133" s="207"/>
      <c r="C133" s="60"/>
      <c r="D133" s="131" t="str">
        <f aca="false">IF(C133="","",IF(OR(C133="ทั้งเฟส",LEFT(C133,4)="ผรม.",LEFT(C133,3)="เขต"),C133,IFERROR(INDEX('Master Plan'!$B$8:$B$27,MATCH(C133,'Master Plan'!$A$8:$A$27,0)),"?")))</f>
        <v/>
      </c>
      <c r="E133" s="118" t="str">
        <f aca="false">IF(C133="","",IF(OR(C133="ทั้งเฟส",LEFT(C133,4)="ผรม.",LEFT(C133,3)="เขต"),C133,IFERROR(INDEX('Master Plan'!$L$8:$L$27,MATCH(C133,'Master Plan'!$A$8:$A$27,0)),"?")))</f>
        <v/>
      </c>
      <c r="F133" s="60"/>
      <c r="G133" s="114"/>
      <c r="H133" s="60"/>
      <c r="I133" s="116"/>
      <c r="J133" s="225"/>
      <c r="K133" s="206" t="str">
        <f aca="false">IF(F133="","",IF(ISNUMBER(I133),I133,IFERROR(VLOOKUP(F133,RW_TBL,2,0),0)))</f>
        <v/>
      </c>
      <c r="L133" s="226" t="str">
        <f aca="false">IF(F133="","",IF(ISNUMBER(J133),J133,IFERROR(VLOOKUP(F133,RW_TBL,3,0),0)))</f>
        <v/>
      </c>
      <c r="M133" s="113"/>
      <c r="N133" s="114"/>
    </row>
    <row r="134" customFormat="false" ht="15" hidden="false" customHeight="false" outlineLevel="0" collapsed="false">
      <c r="A134" s="131" t="str">
        <f aca="false">IF(B134="","",ROW()-6)</f>
        <v/>
      </c>
      <c r="B134" s="207"/>
      <c r="C134" s="60"/>
      <c r="D134" s="131" t="str">
        <f aca="false">IF(C134="","",IF(OR(C134="ทั้งเฟส",LEFT(C134,4)="ผรม.",LEFT(C134,3)="เขต"),C134,IFERROR(INDEX('Master Plan'!$B$8:$B$27,MATCH(C134,'Master Plan'!$A$8:$A$27,0)),"?")))</f>
        <v/>
      </c>
      <c r="E134" s="118" t="str">
        <f aca="false">IF(C134="","",IF(OR(C134="ทั้งเฟส",LEFT(C134,4)="ผรม.",LEFT(C134,3)="เขต"),C134,IFERROR(INDEX('Master Plan'!$L$8:$L$27,MATCH(C134,'Master Plan'!$A$8:$A$27,0)),"?")))</f>
        <v/>
      </c>
      <c r="F134" s="60"/>
      <c r="G134" s="114"/>
      <c r="H134" s="60"/>
      <c r="I134" s="116"/>
      <c r="J134" s="225"/>
      <c r="K134" s="206" t="str">
        <f aca="false">IF(F134="","",IF(ISNUMBER(I134),I134,IFERROR(VLOOKUP(F134,RW_TBL,2,0),0)))</f>
        <v/>
      </c>
      <c r="L134" s="226" t="str">
        <f aca="false">IF(F134="","",IF(ISNUMBER(J134),J134,IFERROR(VLOOKUP(F134,RW_TBL,3,0),0)))</f>
        <v/>
      </c>
      <c r="M134" s="113"/>
      <c r="N134" s="114"/>
    </row>
    <row r="135" customFormat="false" ht="15" hidden="false" customHeight="false" outlineLevel="0" collapsed="false">
      <c r="A135" s="131" t="str">
        <f aca="false">IF(B135="","",ROW()-6)</f>
        <v/>
      </c>
      <c r="B135" s="207"/>
      <c r="C135" s="60"/>
      <c r="D135" s="131" t="str">
        <f aca="false">IF(C135="","",IF(OR(C135="ทั้งเฟส",LEFT(C135,4)="ผรม.",LEFT(C135,3)="เขต"),C135,IFERROR(INDEX('Master Plan'!$B$8:$B$27,MATCH(C135,'Master Plan'!$A$8:$A$27,0)),"?")))</f>
        <v/>
      </c>
      <c r="E135" s="118" t="str">
        <f aca="false">IF(C135="","",IF(OR(C135="ทั้งเฟส",LEFT(C135,4)="ผรม.",LEFT(C135,3)="เขต"),C135,IFERROR(INDEX('Master Plan'!$L$8:$L$27,MATCH(C135,'Master Plan'!$A$8:$A$27,0)),"?")))</f>
        <v/>
      </c>
      <c r="F135" s="60"/>
      <c r="G135" s="114"/>
      <c r="H135" s="60"/>
      <c r="I135" s="116"/>
      <c r="J135" s="225"/>
      <c r="K135" s="206" t="str">
        <f aca="false">IF(F135="","",IF(ISNUMBER(I135),I135,IFERROR(VLOOKUP(F135,RW_TBL,2,0),0)))</f>
        <v/>
      </c>
      <c r="L135" s="226" t="str">
        <f aca="false">IF(F135="","",IF(ISNUMBER(J135),J135,IFERROR(VLOOKUP(F135,RW_TBL,3,0),0)))</f>
        <v/>
      </c>
      <c r="M135" s="113"/>
      <c r="N135" s="114"/>
    </row>
    <row r="136" customFormat="false" ht="15" hidden="false" customHeight="false" outlineLevel="0" collapsed="false">
      <c r="A136" s="131" t="str">
        <f aca="false">IF(B136="","",ROW()-6)</f>
        <v/>
      </c>
      <c r="B136" s="207"/>
      <c r="C136" s="60"/>
      <c r="D136" s="131" t="str">
        <f aca="false">IF(C136="","",IF(OR(C136="ทั้งเฟส",LEFT(C136,4)="ผรม.",LEFT(C136,3)="เขต"),C136,IFERROR(INDEX('Master Plan'!$B$8:$B$27,MATCH(C136,'Master Plan'!$A$8:$A$27,0)),"?")))</f>
        <v/>
      </c>
      <c r="E136" s="118" t="str">
        <f aca="false">IF(C136="","",IF(OR(C136="ทั้งเฟส",LEFT(C136,4)="ผรม.",LEFT(C136,3)="เขต"),C136,IFERROR(INDEX('Master Plan'!$L$8:$L$27,MATCH(C136,'Master Plan'!$A$8:$A$27,0)),"?")))</f>
        <v/>
      </c>
      <c r="F136" s="60"/>
      <c r="G136" s="114"/>
      <c r="H136" s="60"/>
      <c r="I136" s="116"/>
      <c r="J136" s="225"/>
      <c r="K136" s="206" t="str">
        <f aca="false">IF(F136="","",IF(ISNUMBER(I136),I136,IFERROR(VLOOKUP(F136,RW_TBL,2,0),0)))</f>
        <v/>
      </c>
      <c r="L136" s="226" t="str">
        <f aca="false">IF(F136="","",IF(ISNUMBER(J136),J136,IFERROR(VLOOKUP(F136,RW_TBL,3,0),0)))</f>
        <v/>
      </c>
      <c r="M136" s="113"/>
      <c r="N136" s="114"/>
    </row>
    <row r="137" customFormat="false" ht="15" hidden="false" customHeight="false" outlineLevel="0" collapsed="false">
      <c r="A137" s="131" t="str">
        <f aca="false">IF(B137="","",ROW()-6)</f>
        <v/>
      </c>
      <c r="B137" s="207"/>
      <c r="C137" s="60"/>
      <c r="D137" s="131" t="str">
        <f aca="false">IF(C137="","",IF(OR(C137="ทั้งเฟส",LEFT(C137,4)="ผรม.",LEFT(C137,3)="เขต"),C137,IFERROR(INDEX('Master Plan'!$B$8:$B$27,MATCH(C137,'Master Plan'!$A$8:$A$27,0)),"?")))</f>
        <v/>
      </c>
      <c r="E137" s="118" t="str">
        <f aca="false">IF(C137="","",IF(OR(C137="ทั้งเฟส",LEFT(C137,4)="ผรม.",LEFT(C137,3)="เขต"),C137,IFERROR(INDEX('Master Plan'!$L$8:$L$27,MATCH(C137,'Master Plan'!$A$8:$A$27,0)),"?")))</f>
        <v/>
      </c>
      <c r="F137" s="60"/>
      <c r="G137" s="114"/>
      <c r="H137" s="60"/>
      <c r="I137" s="116"/>
      <c r="J137" s="225"/>
      <c r="K137" s="206" t="str">
        <f aca="false">IF(F137="","",IF(ISNUMBER(I137),I137,IFERROR(VLOOKUP(F137,RW_TBL,2,0),0)))</f>
        <v/>
      </c>
      <c r="L137" s="226" t="str">
        <f aca="false">IF(F137="","",IF(ISNUMBER(J137),J137,IFERROR(VLOOKUP(F137,RW_TBL,3,0),0)))</f>
        <v/>
      </c>
      <c r="M137" s="113"/>
      <c r="N137" s="114"/>
    </row>
    <row r="138" customFormat="false" ht="15" hidden="false" customHeight="false" outlineLevel="0" collapsed="false">
      <c r="A138" s="131" t="str">
        <f aca="false">IF(B138="","",ROW()-6)</f>
        <v/>
      </c>
      <c r="B138" s="207"/>
      <c r="C138" s="60"/>
      <c r="D138" s="131" t="str">
        <f aca="false">IF(C138="","",IF(OR(C138="ทั้งเฟส",LEFT(C138,4)="ผรม.",LEFT(C138,3)="เขต"),C138,IFERROR(INDEX('Master Plan'!$B$8:$B$27,MATCH(C138,'Master Plan'!$A$8:$A$27,0)),"?")))</f>
        <v/>
      </c>
      <c r="E138" s="118" t="str">
        <f aca="false">IF(C138="","",IF(OR(C138="ทั้งเฟส",LEFT(C138,4)="ผรม.",LEFT(C138,3)="เขต"),C138,IFERROR(INDEX('Master Plan'!$L$8:$L$27,MATCH(C138,'Master Plan'!$A$8:$A$27,0)),"?")))</f>
        <v/>
      </c>
      <c r="F138" s="60"/>
      <c r="G138" s="114"/>
      <c r="H138" s="60"/>
      <c r="I138" s="116"/>
      <c r="J138" s="225"/>
      <c r="K138" s="206" t="str">
        <f aca="false">IF(F138="","",IF(ISNUMBER(I138),I138,IFERROR(VLOOKUP(F138,RW_TBL,2,0),0)))</f>
        <v/>
      </c>
      <c r="L138" s="226" t="str">
        <f aca="false">IF(F138="","",IF(ISNUMBER(J138),J138,IFERROR(VLOOKUP(F138,RW_TBL,3,0),0)))</f>
        <v/>
      </c>
      <c r="M138" s="113"/>
      <c r="N138" s="114"/>
    </row>
    <row r="139" customFormat="false" ht="15" hidden="false" customHeight="false" outlineLevel="0" collapsed="false">
      <c r="A139" s="131" t="str">
        <f aca="false">IF(B139="","",ROW()-6)</f>
        <v/>
      </c>
      <c r="B139" s="207"/>
      <c r="C139" s="60"/>
      <c r="D139" s="131" t="str">
        <f aca="false">IF(C139="","",IF(OR(C139="ทั้งเฟส",LEFT(C139,4)="ผรม.",LEFT(C139,3)="เขต"),C139,IFERROR(INDEX('Master Plan'!$B$8:$B$27,MATCH(C139,'Master Plan'!$A$8:$A$27,0)),"?")))</f>
        <v/>
      </c>
      <c r="E139" s="118" t="str">
        <f aca="false">IF(C139="","",IF(OR(C139="ทั้งเฟส",LEFT(C139,4)="ผรม.",LEFT(C139,3)="เขต"),C139,IFERROR(INDEX('Master Plan'!$L$8:$L$27,MATCH(C139,'Master Plan'!$A$8:$A$27,0)),"?")))</f>
        <v/>
      </c>
      <c r="F139" s="60"/>
      <c r="G139" s="114"/>
      <c r="H139" s="60"/>
      <c r="I139" s="116"/>
      <c r="J139" s="225"/>
      <c r="K139" s="206" t="str">
        <f aca="false">IF(F139="","",IF(ISNUMBER(I139),I139,IFERROR(VLOOKUP(F139,RW_TBL,2,0),0)))</f>
        <v/>
      </c>
      <c r="L139" s="226" t="str">
        <f aca="false">IF(F139="","",IF(ISNUMBER(J139),J139,IFERROR(VLOOKUP(F139,RW_TBL,3,0),0)))</f>
        <v/>
      </c>
      <c r="M139" s="113"/>
      <c r="N139" s="114"/>
    </row>
    <row r="140" customFormat="false" ht="15" hidden="false" customHeight="false" outlineLevel="0" collapsed="false">
      <c r="A140" s="131" t="str">
        <f aca="false">IF(B140="","",ROW()-6)</f>
        <v/>
      </c>
      <c r="B140" s="207"/>
      <c r="C140" s="60"/>
      <c r="D140" s="131" t="str">
        <f aca="false">IF(C140="","",IF(OR(C140="ทั้งเฟส",LEFT(C140,4)="ผรม.",LEFT(C140,3)="เขต"),C140,IFERROR(INDEX('Master Plan'!$B$8:$B$27,MATCH(C140,'Master Plan'!$A$8:$A$27,0)),"?")))</f>
        <v/>
      </c>
      <c r="E140" s="118" t="str">
        <f aca="false">IF(C140="","",IF(OR(C140="ทั้งเฟส",LEFT(C140,4)="ผรม.",LEFT(C140,3)="เขต"),C140,IFERROR(INDEX('Master Plan'!$L$8:$L$27,MATCH(C140,'Master Plan'!$A$8:$A$27,0)),"?")))</f>
        <v/>
      </c>
      <c r="F140" s="60"/>
      <c r="G140" s="114"/>
      <c r="H140" s="60"/>
      <c r="I140" s="116"/>
      <c r="J140" s="225"/>
      <c r="K140" s="206" t="str">
        <f aca="false">IF(F140="","",IF(ISNUMBER(I140),I140,IFERROR(VLOOKUP(F140,RW_TBL,2,0),0)))</f>
        <v/>
      </c>
      <c r="L140" s="226" t="str">
        <f aca="false">IF(F140="","",IF(ISNUMBER(J140),J140,IFERROR(VLOOKUP(F140,RW_TBL,3,0),0)))</f>
        <v/>
      </c>
      <c r="M140" s="113"/>
      <c r="N140" s="114"/>
    </row>
    <row r="141" customFormat="false" ht="15" hidden="false" customHeight="false" outlineLevel="0" collapsed="false">
      <c r="A141" s="131" t="str">
        <f aca="false">IF(B141="","",ROW()-6)</f>
        <v/>
      </c>
      <c r="B141" s="207"/>
      <c r="C141" s="60"/>
      <c r="D141" s="131" t="str">
        <f aca="false">IF(C141="","",IF(OR(C141="ทั้งเฟส",LEFT(C141,4)="ผรม.",LEFT(C141,3)="เขต"),C141,IFERROR(INDEX('Master Plan'!$B$8:$B$27,MATCH(C141,'Master Plan'!$A$8:$A$27,0)),"?")))</f>
        <v/>
      </c>
      <c r="E141" s="118" t="str">
        <f aca="false">IF(C141="","",IF(OR(C141="ทั้งเฟส",LEFT(C141,4)="ผรม.",LEFT(C141,3)="เขต"),C141,IFERROR(INDEX('Master Plan'!$L$8:$L$27,MATCH(C141,'Master Plan'!$A$8:$A$27,0)),"?")))</f>
        <v/>
      </c>
      <c r="F141" s="60"/>
      <c r="G141" s="114"/>
      <c r="H141" s="60"/>
      <c r="I141" s="116"/>
      <c r="J141" s="225"/>
      <c r="K141" s="206" t="str">
        <f aca="false">IF(F141="","",IF(ISNUMBER(I141),I141,IFERROR(VLOOKUP(F141,RW_TBL,2,0),0)))</f>
        <v/>
      </c>
      <c r="L141" s="226" t="str">
        <f aca="false">IF(F141="","",IF(ISNUMBER(J141),J141,IFERROR(VLOOKUP(F141,RW_TBL,3,0),0)))</f>
        <v/>
      </c>
      <c r="M141" s="113"/>
      <c r="N141" s="114"/>
    </row>
    <row r="142" customFormat="false" ht="15" hidden="false" customHeight="false" outlineLevel="0" collapsed="false">
      <c r="A142" s="131" t="str">
        <f aca="false">IF(B142="","",ROW()-6)</f>
        <v/>
      </c>
      <c r="B142" s="207"/>
      <c r="C142" s="60"/>
      <c r="D142" s="131" t="str">
        <f aca="false">IF(C142="","",IF(OR(C142="ทั้งเฟส",LEFT(C142,4)="ผรม.",LEFT(C142,3)="เขต"),C142,IFERROR(INDEX('Master Plan'!$B$8:$B$27,MATCH(C142,'Master Plan'!$A$8:$A$27,0)),"?")))</f>
        <v/>
      </c>
      <c r="E142" s="118" t="str">
        <f aca="false">IF(C142="","",IF(OR(C142="ทั้งเฟส",LEFT(C142,4)="ผรม.",LEFT(C142,3)="เขต"),C142,IFERROR(INDEX('Master Plan'!$L$8:$L$27,MATCH(C142,'Master Plan'!$A$8:$A$27,0)),"?")))</f>
        <v/>
      </c>
      <c r="F142" s="60"/>
      <c r="G142" s="114"/>
      <c r="H142" s="60"/>
      <c r="I142" s="116"/>
      <c r="J142" s="225"/>
      <c r="K142" s="206" t="str">
        <f aca="false">IF(F142="","",IF(ISNUMBER(I142),I142,IFERROR(VLOOKUP(F142,RW_TBL,2,0),0)))</f>
        <v/>
      </c>
      <c r="L142" s="226" t="str">
        <f aca="false">IF(F142="","",IF(ISNUMBER(J142),J142,IFERROR(VLOOKUP(F142,RW_TBL,3,0),0)))</f>
        <v/>
      </c>
      <c r="M142" s="113"/>
      <c r="N142" s="114"/>
    </row>
    <row r="143" customFormat="false" ht="15" hidden="false" customHeight="false" outlineLevel="0" collapsed="false">
      <c r="A143" s="131" t="str">
        <f aca="false">IF(B143="","",ROW()-6)</f>
        <v/>
      </c>
      <c r="B143" s="207"/>
      <c r="C143" s="60"/>
      <c r="D143" s="131" t="str">
        <f aca="false">IF(C143="","",IF(OR(C143="ทั้งเฟส",LEFT(C143,4)="ผรม.",LEFT(C143,3)="เขต"),C143,IFERROR(INDEX('Master Plan'!$B$8:$B$27,MATCH(C143,'Master Plan'!$A$8:$A$27,0)),"?")))</f>
        <v/>
      </c>
      <c r="E143" s="118" t="str">
        <f aca="false">IF(C143="","",IF(OR(C143="ทั้งเฟส",LEFT(C143,4)="ผรม.",LEFT(C143,3)="เขต"),C143,IFERROR(INDEX('Master Plan'!$L$8:$L$27,MATCH(C143,'Master Plan'!$A$8:$A$27,0)),"?")))</f>
        <v/>
      </c>
      <c r="F143" s="60"/>
      <c r="G143" s="114"/>
      <c r="H143" s="60"/>
      <c r="I143" s="116"/>
      <c r="J143" s="225"/>
      <c r="K143" s="206" t="str">
        <f aca="false">IF(F143="","",IF(ISNUMBER(I143),I143,IFERROR(VLOOKUP(F143,RW_TBL,2,0),0)))</f>
        <v/>
      </c>
      <c r="L143" s="226" t="str">
        <f aca="false">IF(F143="","",IF(ISNUMBER(J143),J143,IFERROR(VLOOKUP(F143,RW_TBL,3,0),0)))</f>
        <v/>
      </c>
      <c r="M143" s="113"/>
      <c r="N143" s="114"/>
    </row>
    <row r="144" customFormat="false" ht="15" hidden="false" customHeight="false" outlineLevel="0" collapsed="false">
      <c r="A144" s="131" t="str">
        <f aca="false">IF(B144="","",ROW()-6)</f>
        <v/>
      </c>
      <c r="B144" s="207"/>
      <c r="C144" s="60"/>
      <c r="D144" s="131" t="str">
        <f aca="false">IF(C144="","",IF(OR(C144="ทั้งเฟส",LEFT(C144,4)="ผรม.",LEFT(C144,3)="เขต"),C144,IFERROR(INDEX('Master Plan'!$B$8:$B$27,MATCH(C144,'Master Plan'!$A$8:$A$27,0)),"?")))</f>
        <v/>
      </c>
      <c r="E144" s="118" t="str">
        <f aca="false">IF(C144="","",IF(OR(C144="ทั้งเฟส",LEFT(C144,4)="ผรม.",LEFT(C144,3)="เขต"),C144,IFERROR(INDEX('Master Plan'!$L$8:$L$27,MATCH(C144,'Master Plan'!$A$8:$A$27,0)),"?")))</f>
        <v/>
      </c>
      <c r="F144" s="60"/>
      <c r="G144" s="114"/>
      <c r="H144" s="60"/>
      <c r="I144" s="116"/>
      <c r="J144" s="225"/>
      <c r="K144" s="206" t="str">
        <f aca="false">IF(F144="","",IF(ISNUMBER(I144),I144,IFERROR(VLOOKUP(F144,RW_TBL,2,0),0)))</f>
        <v/>
      </c>
      <c r="L144" s="226" t="str">
        <f aca="false">IF(F144="","",IF(ISNUMBER(J144),J144,IFERROR(VLOOKUP(F144,RW_TBL,3,0),0)))</f>
        <v/>
      </c>
      <c r="M144" s="113"/>
      <c r="N144" s="114"/>
    </row>
    <row r="145" customFormat="false" ht="15" hidden="false" customHeight="false" outlineLevel="0" collapsed="false">
      <c r="A145" s="131" t="str">
        <f aca="false">IF(B145="","",ROW()-6)</f>
        <v/>
      </c>
      <c r="B145" s="207"/>
      <c r="C145" s="60"/>
      <c r="D145" s="131" t="str">
        <f aca="false">IF(C145="","",IF(OR(C145="ทั้งเฟส",LEFT(C145,4)="ผรม.",LEFT(C145,3)="เขต"),C145,IFERROR(INDEX('Master Plan'!$B$8:$B$27,MATCH(C145,'Master Plan'!$A$8:$A$27,0)),"?")))</f>
        <v/>
      </c>
      <c r="E145" s="118" t="str">
        <f aca="false">IF(C145="","",IF(OR(C145="ทั้งเฟส",LEFT(C145,4)="ผรม.",LEFT(C145,3)="เขต"),C145,IFERROR(INDEX('Master Plan'!$L$8:$L$27,MATCH(C145,'Master Plan'!$A$8:$A$27,0)),"?")))</f>
        <v/>
      </c>
      <c r="F145" s="60"/>
      <c r="G145" s="114"/>
      <c r="H145" s="60"/>
      <c r="I145" s="116"/>
      <c r="J145" s="225"/>
      <c r="K145" s="206" t="str">
        <f aca="false">IF(F145="","",IF(ISNUMBER(I145),I145,IFERROR(VLOOKUP(F145,RW_TBL,2,0),0)))</f>
        <v/>
      </c>
      <c r="L145" s="226" t="str">
        <f aca="false">IF(F145="","",IF(ISNUMBER(J145),J145,IFERROR(VLOOKUP(F145,RW_TBL,3,0),0)))</f>
        <v/>
      </c>
      <c r="M145" s="113"/>
      <c r="N145" s="114"/>
    </row>
    <row r="146" customFormat="false" ht="15" hidden="false" customHeight="false" outlineLevel="0" collapsed="false">
      <c r="A146" s="131" t="str">
        <f aca="false">IF(B146="","",ROW()-6)</f>
        <v/>
      </c>
      <c r="B146" s="207"/>
      <c r="C146" s="60"/>
      <c r="D146" s="131" t="str">
        <f aca="false">IF(C146="","",IF(OR(C146="ทั้งเฟส",LEFT(C146,4)="ผรม.",LEFT(C146,3)="เขต"),C146,IFERROR(INDEX('Master Plan'!$B$8:$B$27,MATCH(C146,'Master Plan'!$A$8:$A$27,0)),"?")))</f>
        <v/>
      </c>
      <c r="E146" s="118" t="str">
        <f aca="false">IF(C146="","",IF(OR(C146="ทั้งเฟส",LEFT(C146,4)="ผรม.",LEFT(C146,3)="เขต"),C146,IFERROR(INDEX('Master Plan'!$L$8:$L$27,MATCH(C146,'Master Plan'!$A$8:$A$27,0)),"?")))</f>
        <v/>
      </c>
      <c r="F146" s="60"/>
      <c r="G146" s="114"/>
      <c r="H146" s="60"/>
      <c r="I146" s="116"/>
      <c r="J146" s="225"/>
      <c r="K146" s="206" t="str">
        <f aca="false">IF(F146="","",IF(ISNUMBER(I146),I146,IFERROR(VLOOKUP(F146,RW_TBL,2,0),0)))</f>
        <v/>
      </c>
      <c r="L146" s="226" t="str">
        <f aca="false">IF(F146="","",IF(ISNUMBER(J146),J146,IFERROR(VLOOKUP(F146,RW_TBL,3,0),0)))</f>
        <v/>
      </c>
      <c r="M146" s="113"/>
      <c r="N146" s="114"/>
    </row>
    <row r="147" customFormat="false" ht="15" hidden="false" customHeight="false" outlineLevel="0" collapsed="false">
      <c r="A147" s="131" t="str">
        <f aca="false">IF(B147="","",ROW()-6)</f>
        <v/>
      </c>
      <c r="B147" s="207"/>
      <c r="C147" s="60"/>
      <c r="D147" s="131" t="str">
        <f aca="false">IF(C147="","",IF(OR(C147="ทั้งเฟส",LEFT(C147,4)="ผรม.",LEFT(C147,3)="เขต"),C147,IFERROR(INDEX('Master Plan'!$B$8:$B$27,MATCH(C147,'Master Plan'!$A$8:$A$27,0)),"?")))</f>
        <v/>
      </c>
      <c r="E147" s="118" t="str">
        <f aca="false">IF(C147="","",IF(OR(C147="ทั้งเฟส",LEFT(C147,4)="ผรม.",LEFT(C147,3)="เขต"),C147,IFERROR(INDEX('Master Plan'!$L$8:$L$27,MATCH(C147,'Master Plan'!$A$8:$A$27,0)),"?")))</f>
        <v/>
      </c>
      <c r="F147" s="60"/>
      <c r="G147" s="114"/>
      <c r="H147" s="60"/>
      <c r="I147" s="116"/>
      <c r="J147" s="225"/>
      <c r="K147" s="206" t="str">
        <f aca="false">IF(F147="","",IF(ISNUMBER(I147),I147,IFERROR(VLOOKUP(F147,RW_TBL,2,0),0)))</f>
        <v/>
      </c>
      <c r="L147" s="226" t="str">
        <f aca="false">IF(F147="","",IF(ISNUMBER(J147),J147,IFERROR(VLOOKUP(F147,RW_TBL,3,0),0)))</f>
        <v/>
      </c>
      <c r="M147" s="113"/>
      <c r="N147" s="114"/>
    </row>
    <row r="148" customFormat="false" ht="15" hidden="false" customHeight="false" outlineLevel="0" collapsed="false">
      <c r="A148" s="131" t="str">
        <f aca="false">IF(B148="","",ROW()-6)</f>
        <v/>
      </c>
      <c r="B148" s="207"/>
      <c r="C148" s="60"/>
      <c r="D148" s="131" t="str">
        <f aca="false">IF(C148="","",IF(OR(C148="ทั้งเฟส",LEFT(C148,4)="ผรม.",LEFT(C148,3)="เขต"),C148,IFERROR(INDEX('Master Plan'!$B$8:$B$27,MATCH(C148,'Master Plan'!$A$8:$A$27,0)),"?")))</f>
        <v/>
      </c>
      <c r="E148" s="118" t="str">
        <f aca="false">IF(C148="","",IF(OR(C148="ทั้งเฟส",LEFT(C148,4)="ผรม.",LEFT(C148,3)="เขต"),C148,IFERROR(INDEX('Master Plan'!$L$8:$L$27,MATCH(C148,'Master Plan'!$A$8:$A$27,0)),"?")))</f>
        <v/>
      </c>
      <c r="F148" s="60"/>
      <c r="G148" s="114"/>
      <c r="H148" s="60"/>
      <c r="I148" s="116"/>
      <c r="J148" s="225"/>
      <c r="K148" s="206" t="str">
        <f aca="false">IF(F148="","",IF(ISNUMBER(I148),I148,IFERROR(VLOOKUP(F148,RW_TBL,2,0),0)))</f>
        <v/>
      </c>
      <c r="L148" s="226" t="str">
        <f aca="false">IF(F148="","",IF(ISNUMBER(J148),J148,IFERROR(VLOOKUP(F148,RW_TBL,3,0),0)))</f>
        <v/>
      </c>
      <c r="M148" s="113"/>
      <c r="N148" s="114"/>
    </row>
    <row r="149" customFormat="false" ht="15" hidden="false" customHeight="false" outlineLevel="0" collapsed="false">
      <c r="A149" s="131" t="str">
        <f aca="false">IF(B149="","",ROW()-6)</f>
        <v/>
      </c>
      <c r="B149" s="207"/>
      <c r="C149" s="60"/>
      <c r="D149" s="131" t="str">
        <f aca="false">IF(C149="","",IF(OR(C149="ทั้งเฟส",LEFT(C149,4)="ผรม.",LEFT(C149,3)="เขต"),C149,IFERROR(INDEX('Master Plan'!$B$8:$B$27,MATCH(C149,'Master Plan'!$A$8:$A$27,0)),"?")))</f>
        <v/>
      </c>
      <c r="E149" s="118" t="str">
        <f aca="false">IF(C149="","",IF(OR(C149="ทั้งเฟส",LEFT(C149,4)="ผรม.",LEFT(C149,3)="เขต"),C149,IFERROR(INDEX('Master Plan'!$L$8:$L$27,MATCH(C149,'Master Plan'!$A$8:$A$27,0)),"?")))</f>
        <v/>
      </c>
      <c r="F149" s="60"/>
      <c r="G149" s="114"/>
      <c r="H149" s="60"/>
      <c r="I149" s="116"/>
      <c r="J149" s="225"/>
      <c r="K149" s="206" t="str">
        <f aca="false">IF(F149="","",IF(ISNUMBER(I149),I149,IFERROR(VLOOKUP(F149,RW_TBL,2,0),0)))</f>
        <v/>
      </c>
      <c r="L149" s="226" t="str">
        <f aca="false">IF(F149="","",IF(ISNUMBER(J149),J149,IFERROR(VLOOKUP(F149,RW_TBL,3,0),0)))</f>
        <v/>
      </c>
      <c r="M149" s="113"/>
      <c r="N149" s="114"/>
    </row>
    <row r="150" customFormat="false" ht="15" hidden="false" customHeight="false" outlineLevel="0" collapsed="false">
      <c r="A150" s="131" t="str">
        <f aca="false">IF(B150="","",ROW()-6)</f>
        <v/>
      </c>
      <c r="B150" s="207"/>
      <c r="C150" s="60"/>
      <c r="D150" s="131" t="str">
        <f aca="false">IF(C150="","",IF(OR(C150="ทั้งเฟส",LEFT(C150,4)="ผรม.",LEFT(C150,3)="เขต"),C150,IFERROR(INDEX('Master Plan'!$B$8:$B$27,MATCH(C150,'Master Plan'!$A$8:$A$27,0)),"?")))</f>
        <v/>
      </c>
      <c r="E150" s="118" t="str">
        <f aca="false">IF(C150="","",IF(OR(C150="ทั้งเฟส",LEFT(C150,4)="ผรม.",LEFT(C150,3)="เขต"),C150,IFERROR(INDEX('Master Plan'!$L$8:$L$27,MATCH(C150,'Master Plan'!$A$8:$A$27,0)),"?")))</f>
        <v/>
      </c>
      <c r="F150" s="60"/>
      <c r="G150" s="114"/>
      <c r="H150" s="60"/>
      <c r="I150" s="116"/>
      <c r="J150" s="225"/>
      <c r="K150" s="206" t="str">
        <f aca="false">IF(F150="","",IF(ISNUMBER(I150),I150,IFERROR(VLOOKUP(F150,RW_TBL,2,0),0)))</f>
        <v/>
      </c>
      <c r="L150" s="226" t="str">
        <f aca="false">IF(F150="","",IF(ISNUMBER(J150),J150,IFERROR(VLOOKUP(F150,RW_TBL,3,0),0)))</f>
        <v/>
      </c>
      <c r="M150" s="113"/>
      <c r="N150" s="114"/>
    </row>
    <row r="151" customFormat="false" ht="15" hidden="false" customHeight="false" outlineLevel="0" collapsed="false">
      <c r="A151" s="131" t="str">
        <f aca="false">IF(B151="","",ROW()-6)</f>
        <v/>
      </c>
      <c r="B151" s="207"/>
      <c r="C151" s="60"/>
      <c r="D151" s="131" t="str">
        <f aca="false">IF(C151="","",IF(OR(C151="ทั้งเฟส",LEFT(C151,4)="ผรม.",LEFT(C151,3)="เขต"),C151,IFERROR(INDEX('Master Plan'!$B$8:$B$27,MATCH(C151,'Master Plan'!$A$8:$A$27,0)),"?")))</f>
        <v/>
      </c>
      <c r="E151" s="118" t="str">
        <f aca="false">IF(C151="","",IF(OR(C151="ทั้งเฟส",LEFT(C151,4)="ผรม.",LEFT(C151,3)="เขต"),C151,IFERROR(INDEX('Master Plan'!$L$8:$L$27,MATCH(C151,'Master Plan'!$A$8:$A$27,0)),"?")))</f>
        <v/>
      </c>
      <c r="F151" s="60"/>
      <c r="G151" s="114"/>
      <c r="H151" s="60"/>
      <c r="I151" s="116"/>
      <c r="J151" s="225"/>
      <c r="K151" s="206" t="str">
        <f aca="false">IF(F151="","",IF(ISNUMBER(I151),I151,IFERROR(VLOOKUP(F151,RW_TBL,2,0),0)))</f>
        <v/>
      </c>
      <c r="L151" s="226" t="str">
        <f aca="false">IF(F151="","",IF(ISNUMBER(J151),J151,IFERROR(VLOOKUP(F151,RW_TBL,3,0),0)))</f>
        <v/>
      </c>
      <c r="M151" s="113"/>
      <c r="N151" s="114"/>
    </row>
    <row r="152" customFormat="false" ht="15" hidden="false" customHeight="false" outlineLevel="0" collapsed="false">
      <c r="A152" s="131" t="str">
        <f aca="false">IF(B152="","",ROW()-6)</f>
        <v/>
      </c>
      <c r="B152" s="207"/>
      <c r="C152" s="60"/>
      <c r="D152" s="131" t="str">
        <f aca="false">IF(C152="","",IF(OR(C152="ทั้งเฟส",LEFT(C152,4)="ผรม.",LEFT(C152,3)="เขต"),C152,IFERROR(INDEX('Master Plan'!$B$8:$B$27,MATCH(C152,'Master Plan'!$A$8:$A$27,0)),"?")))</f>
        <v/>
      </c>
      <c r="E152" s="118" t="str">
        <f aca="false">IF(C152="","",IF(OR(C152="ทั้งเฟส",LEFT(C152,4)="ผรม.",LEFT(C152,3)="เขต"),C152,IFERROR(INDEX('Master Plan'!$L$8:$L$27,MATCH(C152,'Master Plan'!$A$8:$A$27,0)),"?")))</f>
        <v/>
      </c>
      <c r="F152" s="60"/>
      <c r="G152" s="114"/>
      <c r="H152" s="60"/>
      <c r="I152" s="116"/>
      <c r="J152" s="225"/>
      <c r="K152" s="206" t="str">
        <f aca="false">IF(F152="","",IF(ISNUMBER(I152),I152,IFERROR(VLOOKUP(F152,RW_TBL,2,0),0)))</f>
        <v/>
      </c>
      <c r="L152" s="226" t="str">
        <f aca="false">IF(F152="","",IF(ISNUMBER(J152),J152,IFERROR(VLOOKUP(F152,RW_TBL,3,0),0)))</f>
        <v/>
      </c>
      <c r="M152" s="113"/>
      <c r="N152" s="114"/>
    </row>
    <row r="153" customFormat="false" ht="15" hidden="false" customHeight="false" outlineLevel="0" collapsed="false">
      <c r="A153" s="131" t="str">
        <f aca="false">IF(B153="","",ROW()-6)</f>
        <v/>
      </c>
      <c r="B153" s="207"/>
      <c r="C153" s="60"/>
      <c r="D153" s="131" t="str">
        <f aca="false">IF(C153="","",IF(OR(C153="ทั้งเฟส",LEFT(C153,4)="ผรม.",LEFT(C153,3)="เขต"),C153,IFERROR(INDEX('Master Plan'!$B$8:$B$27,MATCH(C153,'Master Plan'!$A$8:$A$27,0)),"?")))</f>
        <v/>
      </c>
      <c r="E153" s="118" t="str">
        <f aca="false">IF(C153="","",IF(OR(C153="ทั้งเฟส",LEFT(C153,4)="ผรม.",LEFT(C153,3)="เขต"),C153,IFERROR(INDEX('Master Plan'!$L$8:$L$27,MATCH(C153,'Master Plan'!$A$8:$A$27,0)),"?")))</f>
        <v/>
      </c>
      <c r="F153" s="60"/>
      <c r="G153" s="114"/>
      <c r="H153" s="60"/>
      <c r="I153" s="116"/>
      <c r="J153" s="225"/>
      <c r="K153" s="206" t="str">
        <f aca="false">IF(F153="","",IF(ISNUMBER(I153),I153,IFERROR(VLOOKUP(F153,RW_TBL,2,0),0)))</f>
        <v/>
      </c>
      <c r="L153" s="226" t="str">
        <f aca="false">IF(F153="","",IF(ISNUMBER(J153),J153,IFERROR(VLOOKUP(F153,RW_TBL,3,0),0)))</f>
        <v/>
      </c>
      <c r="M153" s="113"/>
      <c r="N153" s="114"/>
    </row>
    <row r="154" customFormat="false" ht="15" hidden="false" customHeight="false" outlineLevel="0" collapsed="false">
      <c r="A154" s="131" t="str">
        <f aca="false">IF(B154="","",ROW()-6)</f>
        <v/>
      </c>
      <c r="B154" s="207"/>
      <c r="C154" s="60"/>
      <c r="D154" s="131" t="str">
        <f aca="false">IF(C154="","",IF(OR(C154="ทั้งเฟส",LEFT(C154,4)="ผรม.",LEFT(C154,3)="เขต"),C154,IFERROR(INDEX('Master Plan'!$B$8:$B$27,MATCH(C154,'Master Plan'!$A$8:$A$27,0)),"?")))</f>
        <v/>
      </c>
      <c r="E154" s="118" t="str">
        <f aca="false">IF(C154="","",IF(OR(C154="ทั้งเฟส",LEFT(C154,4)="ผรม.",LEFT(C154,3)="เขต"),C154,IFERROR(INDEX('Master Plan'!$L$8:$L$27,MATCH(C154,'Master Plan'!$A$8:$A$27,0)),"?")))</f>
        <v/>
      </c>
      <c r="F154" s="60"/>
      <c r="G154" s="114"/>
      <c r="H154" s="60"/>
      <c r="I154" s="116"/>
      <c r="J154" s="225"/>
      <c r="K154" s="206" t="str">
        <f aca="false">IF(F154="","",IF(ISNUMBER(I154),I154,IFERROR(VLOOKUP(F154,RW_TBL,2,0),0)))</f>
        <v/>
      </c>
      <c r="L154" s="226" t="str">
        <f aca="false">IF(F154="","",IF(ISNUMBER(J154),J154,IFERROR(VLOOKUP(F154,RW_TBL,3,0),0)))</f>
        <v/>
      </c>
      <c r="M154" s="113"/>
      <c r="N154" s="114"/>
    </row>
    <row r="155" customFormat="false" ht="15" hidden="false" customHeight="false" outlineLevel="0" collapsed="false">
      <c r="A155" s="131" t="str">
        <f aca="false">IF(B155="","",ROW()-6)</f>
        <v/>
      </c>
      <c r="B155" s="207"/>
      <c r="C155" s="60"/>
      <c r="D155" s="131" t="str">
        <f aca="false">IF(C155="","",IF(OR(C155="ทั้งเฟส",LEFT(C155,4)="ผรม.",LEFT(C155,3)="เขต"),C155,IFERROR(INDEX('Master Plan'!$B$8:$B$27,MATCH(C155,'Master Plan'!$A$8:$A$27,0)),"?")))</f>
        <v/>
      </c>
      <c r="E155" s="118" t="str">
        <f aca="false">IF(C155="","",IF(OR(C155="ทั้งเฟส",LEFT(C155,4)="ผรม.",LEFT(C155,3)="เขต"),C155,IFERROR(INDEX('Master Plan'!$L$8:$L$27,MATCH(C155,'Master Plan'!$A$8:$A$27,0)),"?")))</f>
        <v/>
      </c>
      <c r="F155" s="60"/>
      <c r="G155" s="114"/>
      <c r="H155" s="60"/>
      <c r="I155" s="116"/>
      <c r="J155" s="225"/>
      <c r="K155" s="206" t="str">
        <f aca="false">IF(F155="","",IF(ISNUMBER(I155),I155,IFERROR(VLOOKUP(F155,RW_TBL,2,0),0)))</f>
        <v/>
      </c>
      <c r="L155" s="226" t="str">
        <f aca="false">IF(F155="","",IF(ISNUMBER(J155),J155,IFERROR(VLOOKUP(F155,RW_TBL,3,0),0)))</f>
        <v/>
      </c>
      <c r="M155" s="113"/>
      <c r="N155" s="114"/>
    </row>
    <row r="156" customFormat="false" ht="15" hidden="false" customHeight="false" outlineLevel="0" collapsed="false">
      <c r="A156" s="131" t="str">
        <f aca="false">IF(B156="","",ROW()-6)</f>
        <v/>
      </c>
      <c r="B156" s="207"/>
      <c r="C156" s="60"/>
      <c r="D156" s="131" t="str">
        <f aca="false">IF(C156="","",IF(OR(C156="ทั้งเฟส",LEFT(C156,4)="ผรม.",LEFT(C156,3)="เขต"),C156,IFERROR(INDEX('Master Plan'!$B$8:$B$27,MATCH(C156,'Master Plan'!$A$8:$A$27,0)),"?")))</f>
        <v/>
      </c>
      <c r="E156" s="118" t="str">
        <f aca="false">IF(C156="","",IF(OR(C156="ทั้งเฟส",LEFT(C156,4)="ผรม.",LEFT(C156,3)="เขต"),C156,IFERROR(INDEX('Master Plan'!$L$8:$L$27,MATCH(C156,'Master Plan'!$A$8:$A$27,0)),"?")))</f>
        <v/>
      </c>
      <c r="F156" s="60"/>
      <c r="G156" s="114"/>
      <c r="H156" s="60"/>
      <c r="I156" s="116"/>
      <c r="J156" s="225"/>
      <c r="K156" s="206" t="str">
        <f aca="false">IF(F156="","",IF(ISNUMBER(I156),I156,IFERROR(VLOOKUP(F156,RW_TBL,2,0),0)))</f>
        <v/>
      </c>
      <c r="L156" s="226" t="str">
        <f aca="false">IF(F156="","",IF(ISNUMBER(J156),J156,IFERROR(VLOOKUP(F156,RW_TBL,3,0),0)))</f>
        <v/>
      </c>
      <c r="M156" s="113"/>
      <c r="N156" s="114"/>
    </row>
    <row r="157" customFormat="false" ht="15" hidden="false" customHeight="false" outlineLevel="0" collapsed="false">
      <c r="A157" s="131" t="str">
        <f aca="false">IF(B157="","",ROW()-6)</f>
        <v/>
      </c>
      <c r="B157" s="207"/>
      <c r="C157" s="60"/>
      <c r="D157" s="131" t="str">
        <f aca="false">IF(C157="","",IF(OR(C157="ทั้งเฟส",LEFT(C157,4)="ผรม.",LEFT(C157,3)="เขต"),C157,IFERROR(INDEX('Master Plan'!$B$8:$B$27,MATCH(C157,'Master Plan'!$A$8:$A$27,0)),"?")))</f>
        <v/>
      </c>
      <c r="E157" s="118" t="str">
        <f aca="false">IF(C157="","",IF(OR(C157="ทั้งเฟส",LEFT(C157,4)="ผรม.",LEFT(C157,3)="เขต"),C157,IFERROR(INDEX('Master Plan'!$L$8:$L$27,MATCH(C157,'Master Plan'!$A$8:$A$27,0)),"?")))</f>
        <v/>
      </c>
      <c r="F157" s="60"/>
      <c r="G157" s="114"/>
      <c r="H157" s="60"/>
      <c r="I157" s="116"/>
      <c r="J157" s="225"/>
      <c r="K157" s="206" t="str">
        <f aca="false">IF(F157="","",IF(ISNUMBER(I157),I157,IFERROR(VLOOKUP(F157,RW_TBL,2,0),0)))</f>
        <v/>
      </c>
      <c r="L157" s="226" t="str">
        <f aca="false">IF(F157="","",IF(ISNUMBER(J157),J157,IFERROR(VLOOKUP(F157,RW_TBL,3,0),0)))</f>
        <v/>
      </c>
      <c r="M157" s="113"/>
      <c r="N157" s="114"/>
    </row>
    <row r="158" customFormat="false" ht="15" hidden="false" customHeight="false" outlineLevel="0" collapsed="false">
      <c r="A158" s="131" t="str">
        <f aca="false">IF(B158="","",ROW()-6)</f>
        <v/>
      </c>
      <c r="B158" s="207"/>
      <c r="C158" s="60"/>
      <c r="D158" s="131" t="str">
        <f aca="false">IF(C158="","",IF(OR(C158="ทั้งเฟส",LEFT(C158,4)="ผรม.",LEFT(C158,3)="เขต"),C158,IFERROR(INDEX('Master Plan'!$B$8:$B$27,MATCH(C158,'Master Plan'!$A$8:$A$27,0)),"?")))</f>
        <v/>
      </c>
      <c r="E158" s="118" t="str">
        <f aca="false">IF(C158="","",IF(OR(C158="ทั้งเฟส",LEFT(C158,4)="ผรม.",LEFT(C158,3)="เขต"),C158,IFERROR(INDEX('Master Plan'!$L$8:$L$27,MATCH(C158,'Master Plan'!$A$8:$A$27,0)),"?")))</f>
        <v/>
      </c>
      <c r="F158" s="60"/>
      <c r="G158" s="114"/>
      <c r="H158" s="60"/>
      <c r="I158" s="116"/>
      <c r="J158" s="225"/>
      <c r="K158" s="206" t="str">
        <f aca="false">IF(F158="","",IF(ISNUMBER(I158),I158,IFERROR(VLOOKUP(F158,RW_TBL,2,0),0)))</f>
        <v/>
      </c>
      <c r="L158" s="226" t="str">
        <f aca="false">IF(F158="","",IF(ISNUMBER(J158),J158,IFERROR(VLOOKUP(F158,RW_TBL,3,0),0)))</f>
        <v/>
      </c>
      <c r="M158" s="113"/>
      <c r="N158" s="114"/>
    </row>
    <row r="159" customFormat="false" ht="15" hidden="false" customHeight="false" outlineLevel="0" collapsed="false">
      <c r="A159" s="131" t="str">
        <f aca="false">IF(B159="","",ROW()-6)</f>
        <v/>
      </c>
      <c r="B159" s="207"/>
      <c r="C159" s="60"/>
      <c r="D159" s="131" t="str">
        <f aca="false">IF(C159="","",IF(OR(C159="ทั้งเฟส",LEFT(C159,4)="ผรม.",LEFT(C159,3)="เขต"),C159,IFERROR(INDEX('Master Plan'!$B$8:$B$27,MATCH(C159,'Master Plan'!$A$8:$A$27,0)),"?")))</f>
        <v/>
      </c>
      <c r="E159" s="118" t="str">
        <f aca="false">IF(C159="","",IF(OR(C159="ทั้งเฟส",LEFT(C159,4)="ผรม.",LEFT(C159,3)="เขต"),C159,IFERROR(INDEX('Master Plan'!$L$8:$L$27,MATCH(C159,'Master Plan'!$A$8:$A$27,0)),"?")))</f>
        <v/>
      </c>
      <c r="F159" s="60"/>
      <c r="G159" s="114"/>
      <c r="H159" s="60"/>
      <c r="I159" s="116"/>
      <c r="J159" s="225"/>
      <c r="K159" s="206" t="str">
        <f aca="false">IF(F159="","",IF(ISNUMBER(I159),I159,IFERROR(VLOOKUP(F159,RW_TBL,2,0),0)))</f>
        <v/>
      </c>
      <c r="L159" s="226" t="str">
        <f aca="false">IF(F159="","",IF(ISNUMBER(J159),J159,IFERROR(VLOOKUP(F159,RW_TBL,3,0),0)))</f>
        <v/>
      </c>
      <c r="M159" s="113"/>
      <c r="N159" s="114"/>
    </row>
    <row r="160" customFormat="false" ht="15" hidden="false" customHeight="false" outlineLevel="0" collapsed="false">
      <c r="A160" s="131" t="str">
        <f aca="false">IF(B160="","",ROW()-6)</f>
        <v/>
      </c>
      <c r="B160" s="207"/>
      <c r="C160" s="60"/>
      <c r="D160" s="131" t="str">
        <f aca="false">IF(C160="","",IF(OR(C160="ทั้งเฟส",LEFT(C160,4)="ผรม.",LEFT(C160,3)="เขต"),C160,IFERROR(INDEX('Master Plan'!$B$8:$B$27,MATCH(C160,'Master Plan'!$A$8:$A$27,0)),"?")))</f>
        <v/>
      </c>
      <c r="E160" s="118" t="str">
        <f aca="false">IF(C160="","",IF(OR(C160="ทั้งเฟส",LEFT(C160,4)="ผรม.",LEFT(C160,3)="เขต"),C160,IFERROR(INDEX('Master Plan'!$L$8:$L$27,MATCH(C160,'Master Plan'!$A$8:$A$27,0)),"?")))</f>
        <v/>
      </c>
      <c r="F160" s="60"/>
      <c r="G160" s="114"/>
      <c r="H160" s="60"/>
      <c r="I160" s="116"/>
      <c r="J160" s="225"/>
      <c r="K160" s="206" t="str">
        <f aca="false">IF(F160="","",IF(ISNUMBER(I160),I160,IFERROR(VLOOKUP(F160,RW_TBL,2,0),0)))</f>
        <v/>
      </c>
      <c r="L160" s="226" t="str">
        <f aca="false">IF(F160="","",IF(ISNUMBER(J160),J160,IFERROR(VLOOKUP(F160,RW_TBL,3,0),0)))</f>
        <v/>
      </c>
      <c r="M160" s="113"/>
      <c r="N160" s="114"/>
    </row>
    <row r="161" customFormat="false" ht="15" hidden="false" customHeight="false" outlineLevel="0" collapsed="false">
      <c r="A161" s="131" t="str">
        <f aca="false">IF(B161="","",ROW()-6)</f>
        <v/>
      </c>
      <c r="B161" s="207"/>
      <c r="C161" s="60"/>
      <c r="D161" s="131" t="str">
        <f aca="false">IF(C161="","",IF(OR(C161="ทั้งเฟส",LEFT(C161,4)="ผรม.",LEFT(C161,3)="เขต"),C161,IFERROR(INDEX('Master Plan'!$B$8:$B$27,MATCH(C161,'Master Plan'!$A$8:$A$27,0)),"?")))</f>
        <v/>
      </c>
      <c r="E161" s="118" t="str">
        <f aca="false">IF(C161="","",IF(OR(C161="ทั้งเฟส",LEFT(C161,4)="ผรม.",LEFT(C161,3)="เขต"),C161,IFERROR(INDEX('Master Plan'!$L$8:$L$27,MATCH(C161,'Master Plan'!$A$8:$A$27,0)),"?")))</f>
        <v/>
      </c>
      <c r="F161" s="60"/>
      <c r="G161" s="114"/>
      <c r="H161" s="60"/>
      <c r="I161" s="116"/>
      <c r="J161" s="225"/>
      <c r="K161" s="206" t="str">
        <f aca="false">IF(F161="","",IF(ISNUMBER(I161),I161,IFERROR(VLOOKUP(F161,RW_TBL,2,0),0)))</f>
        <v/>
      </c>
      <c r="L161" s="226" t="str">
        <f aca="false">IF(F161="","",IF(ISNUMBER(J161),J161,IFERROR(VLOOKUP(F161,RW_TBL,3,0),0)))</f>
        <v/>
      </c>
      <c r="M161" s="113"/>
      <c r="N161" s="114"/>
    </row>
    <row r="162" customFormat="false" ht="15" hidden="false" customHeight="false" outlineLevel="0" collapsed="false">
      <c r="A162" s="131" t="str">
        <f aca="false">IF(B162="","",ROW()-6)</f>
        <v/>
      </c>
      <c r="B162" s="207"/>
      <c r="C162" s="60"/>
      <c r="D162" s="131" t="str">
        <f aca="false">IF(C162="","",IF(OR(C162="ทั้งเฟส",LEFT(C162,4)="ผรม.",LEFT(C162,3)="เขต"),C162,IFERROR(INDEX('Master Plan'!$B$8:$B$27,MATCH(C162,'Master Plan'!$A$8:$A$27,0)),"?")))</f>
        <v/>
      </c>
      <c r="E162" s="118" t="str">
        <f aca="false">IF(C162="","",IF(OR(C162="ทั้งเฟส",LEFT(C162,4)="ผรม.",LEFT(C162,3)="เขต"),C162,IFERROR(INDEX('Master Plan'!$L$8:$L$27,MATCH(C162,'Master Plan'!$A$8:$A$27,0)),"?")))</f>
        <v/>
      </c>
      <c r="F162" s="60"/>
      <c r="G162" s="114"/>
      <c r="H162" s="60"/>
      <c r="I162" s="116"/>
      <c r="J162" s="225"/>
      <c r="K162" s="206" t="str">
        <f aca="false">IF(F162="","",IF(ISNUMBER(I162),I162,IFERROR(VLOOKUP(F162,RW_TBL,2,0),0)))</f>
        <v/>
      </c>
      <c r="L162" s="226" t="str">
        <f aca="false">IF(F162="","",IF(ISNUMBER(J162),J162,IFERROR(VLOOKUP(F162,RW_TBL,3,0),0)))</f>
        <v/>
      </c>
      <c r="M162" s="113"/>
      <c r="N162" s="114"/>
    </row>
    <row r="163" customFormat="false" ht="15" hidden="false" customHeight="false" outlineLevel="0" collapsed="false">
      <c r="A163" s="131" t="str">
        <f aca="false">IF(B163="","",ROW()-6)</f>
        <v/>
      </c>
      <c r="B163" s="207"/>
      <c r="C163" s="60"/>
      <c r="D163" s="131" t="str">
        <f aca="false">IF(C163="","",IF(OR(C163="ทั้งเฟส",LEFT(C163,4)="ผรม.",LEFT(C163,3)="เขต"),C163,IFERROR(INDEX('Master Plan'!$B$8:$B$27,MATCH(C163,'Master Plan'!$A$8:$A$27,0)),"?")))</f>
        <v/>
      </c>
      <c r="E163" s="118" t="str">
        <f aca="false">IF(C163="","",IF(OR(C163="ทั้งเฟส",LEFT(C163,4)="ผรม.",LEFT(C163,3)="เขต"),C163,IFERROR(INDEX('Master Plan'!$L$8:$L$27,MATCH(C163,'Master Plan'!$A$8:$A$27,0)),"?")))</f>
        <v/>
      </c>
      <c r="F163" s="60"/>
      <c r="G163" s="114"/>
      <c r="H163" s="60"/>
      <c r="I163" s="116"/>
      <c r="J163" s="225"/>
      <c r="K163" s="206" t="str">
        <f aca="false">IF(F163="","",IF(ISNUMBER(I163),I163,IFERROR(VLOOKUP(F163,RW_TBL,2,0),0)))</f>
        <v/>
      </c>
      <c r="L163" s="226" t="str">
        <f aca="false">IF(F163="","",IF(ISNUMBER(J163),J163,IFERROR(VLOOKUP(F163,RW_TBL,3,0),0)))</f>
        <v/>
      </c>
      <c r="M163" s="113"/>
      <c r="N163" s="114"/>
    </row>
    <row r="164" customFormat="false" ht="15" hidden="false" customHeight="false" outlineLevel="0" collapsed="false">
      <c r="A164" s="131" t="str">
        <f aca="false">IF(B164="","",ROW()-6)</f>
        <v/>
      </c>
      <c r="B164" s="207"/>
      <c r="C164" s="60"/>
      <c r="D164" s="131" t="str">
        <f aca="false">IF(C164="","",IF(OR(C164="ทั้งเฟส",LEFT(C164,4)="ผรม.",LEFT(C164,3)="เขต"),C164,IFERROR(INDEX('Master Plan'!$B$8:$B$27,MATCH(C164,'Master Plan'!$A$8:$A$27,0)),"?")))</f>
        <v/>
      </c>
      <c r="E164" s="118" t="str">
        <f aca="false">IF(C164="","",IF(OR(C164="ทั้งเฟส",LEFT(C164,4)="ผรม.",LEFT(C164,3)="เขต"),C164,IFERROR(INDEX('Master Plan'!$L$8:$L$27,MATCH(C164,'Master Plan'!$A$8:$A$27,0)),"?")))</f>
        <v/>
      </c>
      <c r="F164" s="60"/>
      <c r="G164" s="114"/>
      <c r="H164" s="60"/>
      <c r="I164" s="116"/>
      <c r="J164" s="225"/>
      <c r="K164" s="206" t="str">
        <f aca="false">IF(F164="","",IF(ISNUMBER(I164),I164,IFERROR(VLOOKUP(F164,RW_TBL,2,0),0)))</f>
        <v/>
      </c>
      <c r="L164" s="226" t="str">
        <f aca="false">IF(F164="","",IF(ISNUMBER(J164),J164,IFERROR(VLOOKUP(F164,RW_TBL,3,0),0)))</f>
        <v/>
      </c>
      <c r="M164" s="113"/>
      <c r="N164" s="114"/>
    </row>
    <row r="165" customFormat="false" ht="15" hidden="false" customHeight="false" outlineLevel="0" collapsed="false">
      <c r="A165" s="131" t="str">
        <f aca="false">IF(B165="","",ROW()-6)</f>
        <v/>
      </c>
      <c r="B165" s="207"/>
      <c r="C165" s="60"/>
      <c r="D165" s="131" t="str">
        <f aca="false">IF(C165="","",IF(OR(C165="ทั้งเฟส",LEFT(C165,4)="ผรม.",LEFT(C165,3)="เขต"),C165,IFERROR(INDEX('Master Plan'!$B$8:$B$27,MATCH(C165,'Master Plan'!$A$8:$A$27,0)),"?")))</f>
        <v/>
      </c>
      <c r="E165" s="118" t="str">
        <f aca="false">IF(C165="","",IF(OR(C165="ทั้งเฟส",LEFT(C165,4)="ผรม.",LEFT(C165,3)="เขต"),C165,IFERROR(INDEX('Master Plan'!$L$8:$L$27,MATCH(C165,'Master Plan'!$A$8:$A$27,0)),"?")))</f>
        <v/>
      </c>
      <c r="F165" s="60"/>
      <c r="G165" s="114"/>
      <c r="H165" s="60"/>
      <c r="I165" s="116"/>
      <c r="J165" s="225"/>
      <c r="K165" s="206" t="str">
        <f aca="false">IF(F165="","",IF(ISNUMBER(I165),I165,IFERROR(VLOOKUP(F165,RW_TBL,2,0),0)))</f>
        <v/>
      </c>
      <c r="L165" s="226" t="str">
        <f aca="false">IF(F165="","",IF(ISNUMBER(J165),J165,IFERROR(VLOOKUP(F165,RW_TBL,3,0),0)))</f>
        <v/>
      </c>
      <c r="M165" s="113"/>
      <c r="N165" s="114"/>
    </row>
    <row r="166" customFormat="false" ht="15" hidden="false" customHeight="false" outlineLevel="0" collapsed="false">
      <c r="A166" s="131" t="str">
        <f aca="false">IF(B166="","",ROW()-6)</f>
        <v/>
      </c>
      <c r="B166" s="207"/>
      <c r="C166" s="60"/>
      <c r="D166" s="131" t="str">
        <f aca="false">IF(C166="","",IF(OR(C166="ทั้งเฟส",LEFT(C166,4)="ผรม.",LEFT(C166,3)="เขต"),C166,IFERROR(INDEX('Master Plan'!$B$8:$B$27,MATCH(C166,'Master Plan'!$A$8:$A$27,0)),"?")))</f>
        <v/>
      </c>
      <c r="E166" s="118" t="str">
        <f aca="false">IF(C166="","",IF(OR(C166="ทั้งเฟส",LEFT(C166,4)="ผรม.",LEFT(C166,3)="เขต"),C166,IFERROR(INDEX('Master Plan'!$L$8:$L$27,MATCH(C166,'Master Plan'!$A$8:$A$27,0)),"?")))</f>
        <v/>
      </c>
      <c r="F166" s="60"/>
      <c r="G166" s="114"/>
      <c r="H166" s="60"/>
      <c r="I166" s="116"/>
      <c r="J166" s="225"/>
      <c r="K166" s="206" t="str">
        <f aca="false">IF(F166="","",IF(ISNUMBER(I166),I166,IFERROR(VLOOKUP(F166,RW_TBL,2,0),0)))</f>
        <v/>
      </c>
      <c r="L166" s="226" t="str">
        <f aca="false">IF(F166="","",IF(ISNUMBER(J166),J166,IFERROR(VLOOKUP(F166,RW_TBL,3,0),0)))</f>
        <v/>
      </c>
      <c r="M166" s="113"/>
      <c r="N166" s="114"/>
    </row>
    <row r="167" customFormat="false" ht="15" hidden="false" customHeight="false" outlineLevel="0" collapsed="false">
      <c r="A167" s="131" t="str">
        <f aca="false">IF(B167="","",ROW()-6)</f>
        <v/>
      </c>
      <c r="B167" s="207"/>
      <c r="C167" s="60"/>
      <c r="D167" s="131" t="str">
        <f aca="false">IF(C167="","",IF(OR(C167="ทั้งเฟส",LEFT(C167,4)="ผรม.",LEFT(C167,3)="เขต"),C167,IFERROR(INDEX('Master Plan'!$B$8:$B$27,MATCH(C167,'Master Plan'!$A$8:$A$27,0)),"?")))</f>
        <v/>
      </c>
      <c r="E167" s="118" t="str">
        <f aca="false">IF(C167="","",IF(OR(C167="ทั้งเฟส",LEFT(C167,4)="ผรม.",LEFT(C167,3)="เขต"),C167,IFERROR(INDEX('Master Plan'!$L$8:$L$27,MATCH(C167,'Master Plan'!$A$8:$A$27,0)),"?")))</f>
        <v/>
      </c>
      <c r="F167" s="60"/>
      <c r="G167" s="114"/>
      <c r="H167" s="60"/>
      <c r="I167" s="116"/>
      <c r="J167" s="225"/>
      <c r="K167" s="206" t="str">
        <f aca="false">IF(F167="","",IF(ISNUMBER(I167),I167,IFERROR(VLOOKUP(F167,RW_TBL,2,0),0)))</f>
        <v/>
      </c>
      <c r="L167" s="226" t="str">
        <f aca="false">IF(F167="","",IF(ISNUMBER(J167),J167,IFERROR(VLOOKUP(F167,RW_TBL,3,0),0)))</f>
        <v/>
      </c>
      <c r="M167" s="113"/>
      <c r="N167" s="114"/>
    </row>
    <row r="168" customFormat="false" ht="15" hidden="false" customHeight="false" outlineLevel="0" collapsed="false">
      <c r="A168" s="131" t="str">
        <f aca="false">IF(B168="","",ROW()-6)</f>
        <v/>
      </c>
      <c r="B168" s="207"/>
      <c r="C168" s="60"/>
      <c r="D168" s="131" t="str">
        <f aca="false">IF(C168="","",IF(OR(C168="ทั้งเฟส",LEFT(C168,4)="ผรม.",LEFT(C168,3)="เขต"),C168,IFERROR(INDEX('Master Plan'!$B$8:$B$27,MATCH(C168,'Master Plan'!$A$8:$A$27,0)),"?")))</f>
        <v/>
      </c>
      <c r="E168" s="118" t="str">
        <f aca="false">IF(C168="","",IF(OR(C168="ทั้งเฟส",LEFT(C168,4)="ผรม.",LEFT(C168,3)="เขต"),C168,IFERROR(INDEX('Master Plan'!$L$8:$L$27,MATCH(C168,'Master Plan'!$A$8:$A$27,0)),"?")))</f>
        <v/>
      </c>
      <c r="F168" s="60"/>
      <c r="G168" s="114"/>
      <c r="H168" s="60"/>
      <c r="I168" s="116"/>
      <c r="J168" s="225"/>
      <c r="K168" s="206" t="str">
        <f aca="false">IF(F168="","",IF(ISNUMBER(I168),I168,IFERROR(VLOOKUP(F168,RW_TBL,2,0),0)))</f>
        <v/>
      </c>
      <c r="L168" s="226" t="str">
        <f aca="false">IF(F168="","",IF(ISNUMBER(J168),J168,IFERROR(VLOOKUP(F168,RW_TBL,3,0),0)))</f>
        <v/>
      </c>
      <c r="M168" s="113"/>
      <c r="N168" s="114"/>
    </row>
    <row r="169" customFormat="false" ht="15" hidden="false" customHeight="false" outlineLevel="0" collapsed="false">
      <c r="A169" s="131" t="str">
        <f aca="false">IF(B169="","",ROW()-6)</f>
        <v/>
      </c>
      <c r="B169" s="207"/>
      <c r="C169" s="60"/>
      <c r="D169" s="131" t="str">
        <f aca="false">IF(C169="","",IF(OR(C169="ทั้งเฟส",LEFT(C169,4)="ผรม.",LEFT(C169,3)="เขต"),C169,IFERROR(INDEX('Master Plan'!$B$8:$B$27,MATCH(C169,'Master Plan'!$A$8:$A$27,0)),"?")))</f>
        <v/>
      </c>
      <c r="E169" s="118" t="str">
        <f aca="false">IF(C169="","",IF(OR(C169="ทั้งเฟส",LEFT(C169,4)="ผรม.",LEFT(C169,3)="เขต"),C169,IFERROR(INDEX('Master Plan'!$L$8:$L$27,MATCH(C169,'Master Plan'!$A$8:$A$27,0)),"?")))</f>
        <v/>
      </c>
      <c r="F169" s="60"/>
      <c r="G169" s="114"/>
      <c r="H169" s="60"/>
      <c r="I169" s="116"/>
      <c r="J169" s="225"/>
      <c r="K169" s="206" t="str">
        <f aca="false">IF(F169="","",IF(ISNUMBER(I169),I169,IFERROR(VLOOKUP(F169,RW_TBL,2,0),0)))</f>
        <v/>
      </c>
      <c r="L169" s="226" t="str">
        <f aca="false">IF(F169="","",IF(ISNUMBER(J169),J169,IFERROR(VLOOKUP(F169,RW_TBL,3,0),0)))</f>
        <v/>
      </c>
      <c r="M169" s="113"/>
      <c r="N169" s="114"/>
    </row>
    <row r="170" customFormat="false" ht="15" hidden="false" customHeight="false" outlineLevel="0" collapsed="false">
      <c r="A170" s="131" t="str">
        <f aca="false">IF(B170="","",ROW()-6)</f>
        <v/>
      </c>
      <c r="B170" s="207"/>
      <c r="C170" s="60"/>
      <c r="D170" s="131" t="str">
        <f aca="false">IF(C170="","",IF(OR(C170="ทั้งเฟส",LEFT(C170,4)="ผรม.",LEFT(C170,3)="เขต"),C170,IFERROR(INDEX('Master Plan'!$B$8:$B$27,MATCH(C170,'Master Plan'!$A$8:$A$27,0)),"?")))</f>
        <v/>
      </c>
      <c r="E170" s="118" t="str">
        <f aca="false">IF(C170="","",IF(OR(C170="ทั้งเฟส",LEFT(C170,4)="ผรม.",LEFT(C170,3)="เขต"),C170,IFERROR(INDEX('Master Plan'!$L$8:$L$27,MATCH(C170,'Master Plan'!$A$8:$A$27,0)),"?")))</f>
        <v/>
      </c>
      <c r="F170" s="60"/>
      <c r="G170" s="114"/>
      <c r="H170" s="60"/>
      <c r="I170" s="116"/>
      <c r="J170" s="225"/>
      <c r="K170" s="206" t="str">
        <f aca="false">IF(F170="","",IF(ISNUMBER(I170),I170,IFERROR(VLOOKUP(F170,RW_TBL,2,0),0)))</f>
        <v/>
      </c>
      <c r="L170" s="226" t="str">
        <f aca="false">IF(F170="","",IF(ISNUMBER(J170),J170,IFERROR(VLOOKUP(F170,RW_TBL,3,0),0)))</f>
        <v/>
      </c>
      <c r="M170" s="113"/>
      <c r="N170" s="114"/>
    </row>
    <row r="171" customFormat="false" ht="15" hidden="false" customHeight="false" outlineLevel="0" collapsed="false">
      <c r="A171" s="131" t="str">
        <f aca="false">IF(B171="","",ROW()-6)</f>
        <v/>
      </c>
      <c r="B171" s="207"/>
      <c r="C171" s="60"/>
      <c r="D171" s="131" t="str">
        <f aca="false">IF(C171="","",IF(OR(C171="ทั้งเฟส",LEFT(C171,4)="ผรม.",LEFT(C171,3)="เขต"),C171,IFERROR(INDEX('Master Plan'!$B$8:$B$27,MATCH(C171,'Master Plan'!$A$8:$A$27,0)),"?")))</f>
        <v/>
      </c>
      <c r="E171" s="118" t="str">
        <f aca="false">IF(C171="","",IF(OR(C171="ทั้งเฟส",LEFT(C171,4)="ผรม.",LEFT(C171,3)="เขต"),C171,IFERROR(INDEX('Master Plan'!$L$8:$L$27,MATCH(C171,'Master Plan'!$A$8:$A$27,0)),"?")))</f>
        <v/>
      </c>
      <c r="F171" s="60"/>
      <c r="G171" s="114"/>
      <c r="H171" s="60"/>
      <c r="I171" s="116"/>
      <c r="J171" s="225"/>
      <c r="K171" s="206" t="str">
        <f aca="false">IF(F171="","",IF(ISNUMBER(I171),I171,IFERROR(VLOOKUP(F171,RW_TBL,2,0),0)))</f>
        <v/>
      </c>
      <c r="L171" s="226" t="str">
        <f aca="false">IF(F171="","",IF(ISNUMBER(J171),J171,IFERROR(VLOOKUP(F171,RW_TBL,3,0),0)))</f>
        <v/>
      </c>
      <c r="M171" s="113"/>
      <c r="N171" s="114"/>
    </row>
    <row r="172" customFormat="false" ht="15" hidden="false" customHeight="false" outlineLevel="0" collapsed="false">
      <c r="A172" s="131" t="str">
        <f aca="false">IF(B172="","",ROW()-6)</f>
        <v/>
      </c>
      <c r="B172" s="207"/>
      <c r="C172" s="60"/>
      <c r="D172" s="131" t="str">
        <f aca="false">IF(C172="","",IF(OR(C172="ทั้งเฟส",LEFT(C172,4)="ผรม.",LEFT(C172,3)="เขต"),C172,IFERROR(INDEX('Master Plan'!$B$8:$B$27,MATCH(C172,'Master Plan'!$A$8:$A$27,0)),"?")))</f>
        <v/>
      </c>
      <c r="E172" s="118" t="str">
        <f aca="false">IF(C172="","",IF(OR(C172="ทั้งเฟส",LEFT(C172,4)="ผรม.",LEFT(C172,3)="เขต"),C172,IFERROR(INDEX('Master Plan'!$L$8:$L$27,MATCH(C172,'Master Plan'!$A$8:$A$27,0)),"?")))</f>
        <v/>
      </c>
      <c r="F172" s="60"/>
      <c r="G172" s="114"/>
      <c r="H172" s="60"/>
      <c r="I172" s="116"/>
      <c r="J172" s="225"/>
      <c r="K172" s="206" t="str">
        <f aca="false">IF(F172="","",IF(ISNUMBER(I172),I172,IFERROR(VLOOKUP(F172,RW_TBL,2,0),0)))</f>
        <v/>
      </c>
      <c r="L172" s="226" t="str">
        <f aca="false">IF(F172="","",IF(ISNUMBER(J172),J172,IFERROR(VLOOKUP(F172,RW_TBL,3,0),0)))</f>
        <v/>
      </c>
      <c r="M172" s="113"/>
      <c r="N172" s="114"/>
    </row>
    <row r="173" customFormat="false" ht="15" hidden="false" customHeight="false" outlineLevel="0" collapsed="false">
      <c r="A173" s="131" t="str">
        <f aca="false">IF(B173="","",ROW()-6)</f>
        <v/>
      </c>
      <c r="B173" s="207"/>
      <c r="C173" s="60"/>
      <c r="D173" s="131" t="str">
        <f aca="false">IF(C173="","",IF(OR(C173="ทั้งเฟส",LEFT(C173,4)="ผรม.",LEFT(C173,3)="เขต"),C173,IFERROR(INDEX('Master Plan'!$B$8:$B$27,MATCH(C173,'Master Plan'!$A$8:$A$27,0)),"?")))</f>
        <v/>
      </c>
      <c r="E173" s="118" t="str">
        <f aca="false">IF(C173="","",IF(OR(C173="ทั้งเฟส",LEFT(C173,4)="ผรม.",LEFT(C173,3)="เขต"),C173,IFERROR(INDEX('Master Plan'!$L$8:$L$27,MATCH(C173,'Master Plan'!$A$8:$A$27,0)),"?")))</f>
        <v/>
      </c>
      <c r="F173" s="60"/>
      <c r="G173" s="114"/>
      <c r="H173" s="60"/>
      <c r="I173" s="116"/>
      <c r="J173" s="225"/>
      <c r="K173" s="206" t="str">
        <f aca="false">IF(F173="","",IF(ISNUMBER(I173),I173,IFERROR(VLOOKUP(F173,RW_TBL,2,0),0)))</f>
        <v/>
      </c>
      <c r="L173" s="226" t="str">
        <f aca="false">IF(F173="","",IF(ISNUMBER(J173),J173,IFERROR(VLOOKUP(F173,RW_TBL,3,0),0)))</f>
        <v/>
      </c>
      <c r="M173" s="113"/>
      <c r="N173" s="114"/>
    </row>
    <row r="174" customFormat="false" ht="15" hidden="false" customHeight="false" outlineLevel="0" collapsed="false">
      <c r="A174" s="131" t="str">
        <f aca="false">IF(B174="","",ROW()-6)</f>
        <v/>
      </c>
      <c r="B174" s="207"/>
      <c r="C174" s="60"/>
      <c r="D174" s="131" t="str">
        <f aca="false">IF(C174="","",IF(OR(C174="ทั้งเฟส",LEFT(C174,4)="ผรม.",LEFT(C174,3)="เขต"),C174,IFERROR(INDEX('Master Plan'!$B$8:$B$27,MATCH(C174,'Master Plan'!$A$8:$A$27,0)),"?")))</f>
        <v/>
      </c>
      <c r="E174" s="118" t="str">
        <f aca="false">IF(C174="","",IF(OR(C174="ทั้งเฟส",LEFT(C174,4)="ผรม.",LEFT(C174,3)="เขต"),C174,IFERROR(INDEX('Master Plan'!$L$8:$L$27,MATCH(C174,'Master Plan'!$A$8:$A$27,0)),"?")))</f>
        <v/>
      </c>
      <c r="F174" s="60"/>
      <c r="G174" s="114"/>
      <c r="H174" s="60"/>
      <c r="I174" s="116"/>
      <c r="J174" s="225"/>
      <c r="K174" s="206" t="str">
        <f aca="false">IF(F174="","",IF(ISNUMBER(I174),I174,IFERROR(VLOOKUP(F174,RW_TBL,2,0),0)))</f>
        <v/>
      </c>
      <c r="L174" s="226" t="str">
        <f aca="false">IF(F174="","",IF(ISNUMBER(J174),J174,IFERROR(VLOOKUP(F174,RW_TBL,3,0),0)))</f>
        <v/>
      </c>
      <c r="M174" s="113"/>
      <c r="N174" s="114"/>
    </row>
    <row r="175" customFormat="false" ht="15" hidden="false" customHeight="false" outlineLevel="0" collapsed="false">
      <c r="A175" s="131" t="str">
        <f aca="false">IF(B175="","",ROW()-6)</f>
        <v/>
      </c>
      <c r="B175" s="207"/>
      <c r="C175" s="60"/>
      <c r="D175" s="131" t="str">
        <f aca="false">IF(C175="","",IF(OR(C175="ทั้งเฟส",LEFT(C175,4)="ผรม.",LEFT(C175,3)="เขต"),C175,IFERROR(INDEX('Master Plan'!$B$8:$B$27,MATCH(C175,'Master Plan'!$A$8:$A$27,0)),"?")))</f>
        <v/>
      </c>
      <c r="E175" s="118" t="str">
        <f aca="false">IF(C175="","",IF(OR(C175="ทั้งเฟส",LEFT(C175,4)="ผรม.",LEFT(C175,3)="เขต"),C175,IFERROR(INDEX('Master Plan'!$L$8:$L$27,MATCH(C175,'Master Plan'!$A$8:$A$27,0)),"?")))</f>
        <v/>
      </c>
      <c r="F175" s="60"/>
      <c r="G175" s="114"/>
      <c r="H175" s="60"/>
      <c r="I175" s="116"/>
      <c r="J175" s="225"/>
      <c r="K175" s="206" t="str">
        <f aca="false">IF(F175="","",IF(ISNUMBER(I175),I175,IFERROR(VLOOKUP(F175,RW_TBL,2,0),0)))</f>
        <v/>
      </c>
      <c r="L175" s="226" t="str">
        <f aca="false">IF(F175="","",IF(ISNUMBER(J175),J175,IFERROR(VLOOKUP(F175,RW_TBL,3,0),0)))</f>
        <v/>
      </c>
      <c r="M175" s="113"/>
      <c r="N175" s="114"/>
    </row>
    <row r="176" customFormat="false" ht="15" hidden="false" customHeight="false" outlineLevel="0" collapsed="false">
      <c r="A176" s="131" t="str">
        <f aca="false">IF(B176="","",ROW()-6)</f>
        <v/>
      </c>
      <c r="B176" s="207"/>
      <c r="C176" s="60"/>
      <c r="D176" s="131" t="str">
        <f aca="false">IF(C176="","",IF(OR(C176="ทั้งเฟส",LEFT(C176,4)="ผรม.",LEFT(C176,3)="เขต"),C176,IFERROR(INDEX('Master Plan'!$B$8:$B$27,MATCH(C176,'Master Plan'!$A$8:$A$27,0)),"?")))</f>
        <v/>
      </c>
      <c r="E176" s="118" t="str">
        <f aca="false">IF(C176="","",IF(OR(C176="ทั้งเฟส",LEFT(C176,4)="ผรม.",LEFT(C176,3)="เขต"),C176,IFERROR(INDEX('Master Plan'!$L$8:$L$27,MATCH(C176,'Master Plan'!$A$8:$A$27,0)),"?")))</f>
        <v/>
      </c>
      <c r="F176" s="60"/>
      <c r="G176" s="114"/>
      <c r="H176" s="60"/>
      <c r="I176" s="116"/>
      <c r="J176" s="225"/>
      <c r="K176" s="206" t="str">
        <f aca="false">IF(F176="","",IF(ISNUMBER(I176),I176,IFERROR(VLOOKUP(F176,RW_TBL,2,0),0)))</f>
        <v/>
      </c>
      <c r="L176" s="226" t="str">
        <f aca="false">IF(F176="","",IF(ISNUMBER(J176),J176,IFERROR(VLOOKUP(F176,RW_TBL,3,0),0)))</f>
        <v/>
      </c>
      <c r="M176" s="113"/>
      <c r="N176" s="114"/>
    </row>
    <row r="177" customFormat="false" ht="15" hidden="false" customHeight="false" outlineLevel="0" collapsed="false">
      <c r="A177" s="131" t="str">
        <f aca="false">IF(B177="","",ROW()-6)</f>
        <v/>
      </c>
      <c r="B177" s="207"/>
      <c r="C177" s="60"/>
      <c r="D177" s="131" t="str">
        <f aca="false">IF(C177="","",IF(OR(C177="ทั้งเฟส",LEFT(C177,4)="ผรม.",LEFT(C177,3)="เขต"),C177,IFERROR(INDEX('Master Plan'!$B$8:$B$27,MATCH(C177,'Master Plan'!$A$8:$A$27,0)),"?")))</f>
        <v/>
      </c>
      <c r="E177" s="118" t="str">
        <f aca="false">IF(C177="","",IF(OR(C177="ทั้งเฟส",LEFT(C177,4)="ผรม.",LEFT(C177,3)="เขต"),C177,IFERROR(INDEX('Master Plan'!$L$8:$L$27,MATCH(C177,'Master Plan'!$A$8:$A$27,0)),"?")))</f>
        <v/>
      </c>
      <c r="F177" s="60"/>
      <c r="G177" s="114"/>
      <c r="H177" s="60"/>
      <c r="I177" s="116"/>
      <c r="J177" s="225"/>
      <c r="K177" s="206" t="str">
        <f aca="false">IF(F177="","",IF(ISNUMBER(I177),I177,IFERROR(VLOOKUP(F177,RW_TBL,2,0),0)))</f>
        <v/>
      </c>
      <c r="L177" s="226" t="str">
        <f aca="false">IF(F177="","",IF(ISNUMBER(J177),J177,IFERROR(VLOOKUP(F177,RW_TBL,3,0),0)))</f>
        <v/>
      </c>
      <c r="M177" s="113"/>
      <c r="N177" s="114"/>
    </row>
    <row r="178" customFormat="false" ht="15" hidden="false" customHeight="false" outlineLevel="0" collapsed="false">
      <c r="A178" s="131" t="str">
        <f aca="false">IF(B178="","",ROW()-6)</f>
        <v/>
      </c>
      <c r="B178" s="207"/>
      <c r="C178" s="60"/>
      <c r="D178" s="131" t="str">
        <f aca="false">IF(C178="","",IF(OR(C178="ทั้งเฟส",LEFT(C178,4)="ผรม.",LEFT(C178,3)="เขต"),C178,IFERROR(INDEX('Master Plan'!$B$8:$B$27,MATCH(C178,'Master Plan'!$A$8:$A$27,0)),"?")))</f>
        <v/>
      </c>
      <c r="E178" s="118" t="str">
        <f aca="false">IF(C178="","",IF(OR(C178="ทั้งเฟส",LEFT(C178,4)="ผรม.",LEFT(C178,3)="เขต"),C178,IFERROR(INDEX('Master Plan'!$L$8:$L$27,MATCH(C178,'Master Plan'!$A$8:$A$27,0)),"?")))</f>
        <v/>
      </c>
      <c r="F178" s="60"/>
      <c r="G178" s="114"/>
      <c r="H178" s="60"/>
      <c r="I178" s="116"/>
      <c r="J178" s="225"/>
      <c r="K178" s="206" t="str">
        <f aca="false">IF(F178="","",IF(ISNUMBER(I178),I178,IFERROR(VLOOKUP(F178,RW_TBL,2,0),0)))</f>
        <v/>
      </c>
      <c r="L178" s="226" t="str">
        <f aca="false">IF(F178="","",IF(ISNUMBER(J178),J178,IFERROR(VLOOKUP(F178,RW_TBL,3,0),0)))</f>
        <v/>
      </c>
      <c r="M178" s="113"/>
      <c r="N178" s="114"/>
    </row>
    <row r="179" customFormat="false" ht="15" hidden="false" customHeight="false" outlineLevel="0" collapsed="false">
      <c r="A179" s="131" t="str">
        <f aca="false">IF(B179="","",ROW()-6)</f>
        <v/>
      </c>
      <c r="B179" s="207"/>
      <c r="C179" s="60"/>
      <c r="D179" s="131" t="str">
        <f aca="false">IF(C179="","",IF(OR(C179="ทั้งเฟส",LEFT(C179,4)="ผรม.",LEFT(C179,3)="เขต"),C179,IFERROR(INDEX('Master Plan'!$B$8:$B$27,MATCH(C179,'Master Plan'!$A$8:$A$27,0)),"?")))</f>
        <v/>
      </c>
      <c r="E179" s="118" t="str">
        <f aca="false">IF(C179="","",IF(OR(C179="ทั้งเฟส",LEFT(C179,4)="ผรม.",LEFT(C179,3)="เขต"),C179,IFERROR(INDEX('Master Plan'!$L$8:$L$27,MATCH(C179,'Master Plan'!$A$8:$A$27,0)),"?")))</f>
        <v/>
      </c>
      <c r="F179" s="60"/>
      <c r="G179" s="114"/>
      <c r="H179" s="60"/>
      <c r="I179" s="116"/>
      <c r="J179" s="225"/>
      <c r="K179" s="206" t="str">
        <f aca="false">IF(F179="","",IF(ISNUMBER(I179),I179,IFERROR(VLOOKUP(F179,RW_TBL,2,0),0)))</f>
        <v/>
      </c>
      <c r="L179" s="226" t="str">
        <f aca="false">IF(F179="","",IF(ISNUMBER(J179),J179,IFERROR(VLOOKUP(F179,RW_TBL,3,0),0)))</f>
        <v/>
      </c>
      <c r="M179" s="113"/>
      <c r="N179" s="114"/>
    </row>
    <row r="180" customFormat="false" ht="15" hidden="false" customHeight="false" outlineLevel="0" collapsed="false">
      <c r="A180" s="131" t="str">
        <f aca="false">IF(B180="","",ROW()-6)</f>
        <v/>
      </c>
      <c r="B180" s="207"/>
      <c r="C180" s="60"/>
      <c r="D180" s="131" t="str">
        <f aca="false">IF(C180="","",IF(OR(C180="ทั้งเฟส",LEFT(C180,4)="ผรม.",LEFT(C180,3)="เขต"),C180,IFERROR(INDEX('Master Plan'!$B$8:$B$27,MATCH(C180,'Master Plan'!$A$8:$A$27,0)),"?")))</f>
        <v/>
      </c>
      <c r="E180" s="118" t="str">
        <f aca="false">IF(C180="","",IF(OR(C180="ทั้งเฟส",LEFT(C180,4)="ผรม.",LEFT(C180,3)="เขต"),C180,IFERROR(INDEX('Master Plan'!$L$8:$L$27,MATCH(C180,'Master Plan'!$A$8:$A$27,0)),"?")))</f>
        <v/>
      </c>
      <c r="F180" s="60"/>
      <c r="G180" s="114"/>
      <c r="H180" s="60"/>
      <c r="I180" s="116"/>
      <c r="J180" s="225"/>
      <c r="K180" s="206" t="str">
        <f aca="false">IF(F180="","",IF(ISNUMBER(I180),I180,IFERROR(VLOOKUP(F180,RW_TBL,2,0),0)))</f>
        <v/>
      </c>
      <c r="L180" s="226" t="str">
        <f aca="false">IF(F180="","",IF(ISNUMBER(J180),J180,IFERROR(VLOOKUP(F180,RW_TBL,3,0),0)))</f>
        <v/>
      </c>
      <c r="M180" s="113"/>
      <c r="N180" s="114"/>
    </row>
    <row r="181" customFormat="false" ht="15" hidden="false" customHeight="false" outlineLevel="0" collapsed="false">
      <c r="A181" s="131" t="str">
        <f aca="false">IF(B181="","",ROW()-6)</f>
        <v/>
      </c>
      <c r="B181" s="207"/>
      <c r="C181" s="60"/>
      <c r="D181" s="131" t="str">
        <f aca="false">IF(C181="","",IF(OR(C181="ทั้งเฟส",LEFT(C181,4)="ผรม.",LEFT(C181,3)="เขต"),C181,IFERROR(INDEX('Master Plan'!$B$8:$B$27,MATCH(C181,'Master Plan'!$A$8:$A$27,0)),"?")))</f>
        <v/>
      </c>
      <c r="E181" s="118" t="str">
        <f aca="false">IF(C181="","",IF(OR(C181="ทั้งเฟส",LEFT(C181,4)="ผรม.",LEFT(C181,3)="เขต"),C181,IFERROR(INDEX('Master Plan'!$L$8:$L$27,MATCH(C181,'Master Plan'!$A$8:$A$27,0)),"?")))</f>
        <v/>
      </c>
      <c r="F181" s="60"/>
      <c r="G181" s="114"/>
      <c r="H181" s="60"/>
      <c r="I181" s="116"/>
      <c r="J181" s="225"/>
      <c r="K181" s="206" t="str">
        <f aca="false">IF(F181="","",IF(ISNUMBER(I181),I181,IFERROR(VLOOKUP(F181,RW_TBL,2,0),0)))</f>
        <v/>
      </c>
      <c r="L181" s="226" t="str">
        <f aca="false">IF(F181="","",IF(ISNUMBER(J181),J181,IFERROR(VLOOKUP(F181,RW_TBL,3,0),0)))</f>
        <v/>
      </c>
      <c r="M181" s="113"/>
      <c r="N181" s="114"/>
    </row>
    <row r="182" customFormat="false" ht="15" hidden="false" customHeight="false" outlineLevel="0" collapsed="false">
      <c r="A182" s="131" t="str">
        <f aca="false">IF(B182="","",ROW()-6)</f>
        <v/>
      </c>
      <c r="B182" s="207"/>
      <c r="C182" s="60"/>
      <c r="D182" s="131" t="str">
        <f aca="false">IF(C182="","",IF(OR(C182="ทั้งเฟส",LEFT(C182,4)="ผรม.",LEFT(C182,3)="เขต"),C182,IFERROR(INDEX('Master Plan'!$B$8:$B$27,MATCH(C182,'Master Plan'!$A$8:$A$27,0)),"?")))</f>
        <v/>
      </c>
      <c r="E182" s="118" t="str">
        <f aca="false">IF(C182="","",IF(OR(C182="ทั้งเฟส",LEFT(C182,4)="ผรม.",LEFT(C182,3)="เขต"),C182,IFERROR(INDEX('Master Plan'!$L$8:$L$27,MATCH(C182,'Master Plan'!$A$8:$A$27,0)),"?")))</f>
        <v/>
      </c>
      <c r="F182" s="60"/>
      <c r="G182" s="114"/>
      <c r="H182" s="60"/>
      <c r="I182" s="116"/>
      <c r="J182" s="225"/>
      <c r="K182" s="206" t="str">
        <f aca="false">IF(F182="","",IF(ISNUMBER(I182),I182,IFERROR(VLOOKUP(F182,RW_TBL,2,0),0)))</f>
        <v/>
      </c>
      <c r="L182" s="226" t="str">
        <f aca="false">IF(F182="","",IF(ISNUMBER(J182),J182,IFERROR(VLOOKUP(F182,RW_TBL,3,0),0)))</f>
        <v/>
      </c>
      <c r="M182" s="113"/>
      <c r="N182" s="114"/>
    </row>
    <row r="183" customFormat="false" ht="15" hidden="false" customHeight="false" outlineLevel="0" collapsed="false">
      <c r="A183" s="131" t="str">
        <f aca="false">IF(B183="","",ROW()-6)</f>
        <v/>
      </c>
      <c r="B183" s="207"/>
      <c r="C183" s="60"/>
      <c r="D183" s="131" t="str">
        <f aca="false">IF(C183="","",IF(OR(C183="ทั้งเฟส",LEFT(C183,4)="ผรม.",LEFT(C183,3)="เขต"),C183,IFERROR(INDEX('Master Plan'!$B$8:$B$27,MATCH(C183,'Master Plan'!$A$8:$A$27,0)),"?")))</f>
        <v/>
      </c>
      <c r="E183" s="118" t="str">
        <f aca="false">IF(C183="","",IF(OR(C183="ทั้งเฟส",LEFT(C183,4)="ผรม.",LEFT(C183,3)="เขต"),C183,IFERROR(INDEX('Master Plan'!$L$8:$L$27,MATCH(C183,'Master Plan'!$A$8:$A$27,0)),"?")))</f>
        <v/>
      </c>
      <c r="F183" s="60"/>
      <c r="G183" s="114"/>
      <c r="H183" s="60"/>
      <c r="I183" s="116"/>
      <c r="J183" s="225"/>
      <c r="K183" s="206" t="str">
        <f aca="false">IF(F183="","",IF(ISNUMBER(I183),I183,IFERROR(VLOOKUP(F183,RW_TBL,2,0),0)))</f>
        <v/>
      </c>
      <c r="L183" s="226" t="str">
        <f aca="false">IF(F183="","",IF(ISNUMBER(J183),J183,IFERROR(VLOOKUP(F183,RW_TBL,3,0),0)))</f>
        <v/>
      </c>
      <c r="M183" s="113"/>
      <c r="N183" s="114"/>
    </row>
    <row r="184" customFormat="false" ht="15" hidden="false" customHeight="false" outlineLevel="0" collapsed="false">
      <c r="A184" s="131" t="str">
        <f aca="false">IF(B184="","",ROW()-6)</f>
        <v/>
      </c>
      <c r="B184" s="207"/>
      <c r="C184" s="60"/>
      <c r="D184" s="131" t="str">
        <f aca="false">IF(C184="","",IF(OR(C184="ทั้งเฟส",LEFT(C184,4)="ผรม.",LEFT(C184,3)="เขต"),C184,IFERROR(INDEX('Master Plan'!$B$8:$B$27,MATCH(C184,'Master Plan'!$A$8:$A$27,0)),"?")))</f>
        <v/>
      </c>
      <c r="E184" s="118" t="str">
        <f aca="false">IF(C184="","",IF(OR(C184="ทั้งเฟส",LEFT(C184,4)="ผรม.",LEFT(C184,3)="เขต"),C184,IFERROR(INDEX('Master Plan'!$L$8:$L$27,MATCH(C184,'Master Plan'!$A$8:$A$27,0)),"?")))</f>
        <v/>
      </c>
      <c r="F184" s="60"/>
      <c r="G184" s="114"/>
      <c r="H184" s="60"/>
      <c r="I184" s="116"/>
      <c r="J184" s="225"/>
      <c r="K184" s="206" t="str">
        <f aca="false">IF(F184="","",IF(ISNUMBER(I184),I184,IFERROR(VLOOKUP(F184,RW_TBL,2,0),0)))</f>
        <v/>
      </c>
      <c r="L184" s="226" t="str">
        <f aca="false">IF(F184="","",IF(ISNUMBER(J184),J184,IFERROR(VLOOKUP(F184,RW_TBL,3,0),0)))</f>
        <v/>
      </c>
      <c r="M184" s="113"/>
      <c r="N184" s="114"/>
    </row>
    <row r="185" customFormat="false" ht="15" hidden="false" customHeight="false" outlineLevel="0" collapsed="false">
      <c r="A185" s="131" t="str">
        <f aca="false">IF(B185="","",ROW()-6)</f>
        <v/>
      </c>
      <c r="B185" s="207"/>
      <c r="C185" s="60"/>
      <c r="D185" s="131" t="str">
        <f aca="false">IF(C185="","",IF(OR(C185="ทั้งเฟส",LEFT(C185,4)="ผรม.",LEFT(C185,3)="เขต"),C185,IFERROR(INDEX('Master Plan'!$B$8:$B$27,MATCH(C185,'Master Plan'!$A$8:$A$27,0)),"?")))</f>
        <v/>
      </c>
      <c r="E185" s="118" t="str">
        <f aca="false">IF(C185="","",IF(OR(C185="ทั้งเฟส",LEFT(C185,4)="ผรม.",LEFT(C185,3)="เขต"),C185,IFERROR(INDEX('Master Plan'!$L$8:$L$27,MATCH(C185,'Master Plan'!$A$8:$A$27,0)),"?")))</f>
        <v/>
      </c>
      <c r="F185" s="60"/>
      <c r="G185" s="114"/>
      <c r="H185" s="60"/>
      <c r="I185" s="116"/>
      <c r="J185" s="225"/>
      <c r="K185" s="206" t="str">
        <f aca="false">IF(F185="","",IF(ISNUMBER(I185),I185,IFERROR(VLOOKUP(F185,RW_TBL,2,0),0)))</f>
        <v/>
      </c>
      <c r="L185" s="226" t="str">
        <f aca="false">IF(F185="","",IF(ISNUMBER(J185),J185,IFERROR(VLOOKUP(F185,RW_TBL,3,0),0)))</f>
        <v/>
      </c>
      <c r="M185" s="113"/>
      <c r="N185" s="114"/>
    </row>
    <row r="186" customFormat="false" ht="15" hidden="false" customHeight="false" outlineLevel="0" collapsed="false">
      <c r="A186" s="131" t="str">
        <f aca="false">IF(B186="","",ROW()-6)</f>
        <v/>
      </c>
      <c r="B186" s="207"/>
      <c r="C186" s="60"/>
      <c r="D186" s="131" t="str">
        <f aca="false">IF(C186="","",IF(OR(C186="ทั้งเฟส",LEFT(C186,4)="ผรม.",LEFT(C186,3)="เขต"),C186,IFERROR(INDEX('Master Plan'!$B$8:$B$27,MATCH(C186,'Master Plan'!$A$8:$A$27,0)),"?")))</f>
        <v/>
      </c>
      <c r="E186" s="118" t="str">
        <f aca="false">IF(C186="","",IF(OR(C186="ทั้งเฟส",LEFT(C186,4)="ผรม.",LEFT(C186,3)="เขต"),C186,IFERROR(INDEX('Master Plan'!$L$8:$L$27,MATCH(C186,'Master Plan'!$A$8:$A$27,0)),"?")))</f>
        <v/>
      </c>
      <c r="F186" s="60"/>
      <c r="G186" s="114"/>
      <c r="H186" s="60"/>
      <c r="I186" s="116"/>
      <c r="J186" s="225"/>
      <c r="K186" s="206" t="str">
        <f aca="false">IF(F186="","",IF(ISNUMBER(I186),I186,IFERROR(VLOOKUP(F186,RW_TBL,2,0),0)))</f>
        <v/>
      </c>
      <c r="L186" s="226" t="str">
        <f aca="false">IF(F186="","",IF(ISNUMBER(J186),J186,IFERROR(VLOOKUP(F186,RW_TBL,3,0),0)))</f>
        <v/>
      </c>
      <c r="M186" s="113"/>
      <c r="N186" s="114"/>
    </row>
    <row r="187" customFormat="false" ht="15" hidden="false" customHeight="false" outlineLevel="0" collapsed="false">
      <c r="A187" s="131" t="str">
        <f aca="false">IF(B187="","",ROW()-6)</f>
        <v/>
      </c>
      <c r="B187" s="207"/>
      <c r="C187" s="60"/>
      <c r="D187" s="131" t="str">
        <f aca="false">IF(C187="","",IF(OR(C187="ทั้งเฟส",LEFT(C187,4)="ผรม.",LEFT(C187,3)="เขต"),C187,IFERROR(INDEX('Master Plan'!$B$8:$B$27,MATCH(C187,'Master Plan'!$A$8:$A$27,0)),"?")))</f>
        <v/>
      </c>
      <c r="E187" s="118" t="str">
        <f aca="false">IF(C187="","",IF(OR(C187="ทั้งเฟส",LEFT(C187,4)="ผรม.",LEFT(C187,3)="เขต"),C187,IFERROR(INDEX('Master Plan'!$L$8:$L$27,MATCH(C187,'Master Plan'!$A$8:$A$27,0)),"?")))</f>
        <v/>
      </c>
      <c r="F187" s="60"/>
      <c r="G187" s="114"/>
      <c r="H187" s="60"/>
      <c r="I187" s="116"/>
      <c r="J187" s="225"/>
      <c r="K187" s="206" t="str">
        <f aca="false">IF(F187="","",IF(ISNUMBER(I187),I187,IFERROR(VLOOKUP(F187,RW_TBL,2,0),0)))</f>
        <v/>
      </c>
      <c r="L187" s="226" t="str">
        <f aca="false">IF(F187="","",IF(ISNUMBER(J187),J187,IFERROR(VLOOKUP(F187,RW_TBL,3,0),0)))</f>
        <v/>
      </c>
      <c r="M187" s="113"/>
      <c r="N187" s="114"/>
    </row>
    <row r="188" customFormat="false" ht="15" hidden="false" customHeight="false" outlineLevel="0" collapsed="false">
      <c r="A188" s="131" t="str">
        <f aca="false">IF(B188="","",ROW()-6)</f>
        <v/>
      </c>
      <c r="B188" s="207"/>
      <c r="C188" s="60"/>
      <c r="D188" s="131" t="str">
        <f aca="false">IF(C188="","",IF(OR(C188="ทั้งเฟส",LEFT(C188,4)="ผรม.",LEFT(C188,3)="เขต"),C188,IFERROR(INDEX('Master Plan'!$B$8:$B$27,MATCH(C188,'Master Plan'!$A$8:$A$27,0)),"?")))</f>
        <v/>
      </c>
      <c r="E188" s="118" t="str">
        <f aca="false">IF(C188="","",IF(OR(C188="ทั้งเฟส",LEFT(C188,4)="ผรม.",LEFT(C188,3)="เขต"),C188,IFERROR(INDEX('Master Plan'!$L$8:$L$27,MATCH(C188,'Master Plan'!$A$8:$A$27,0)),"?")))</f>
        <v/>
      </c>
      <c r="F188" s="60"/>
      <c r="G188" s="114"/>
      <c r="H188" s="60"/>
      <c r="I188" s="116"/>
      <c r="J188" s="225"/>
      <c r="K188" s="206" t="str">
        <f aca="false">IF(F188="","",IF(ISNUMBER(I188),I188,IFERROR(VLOOKUP(F188,RW_TBL,2,0),0)))</f>
        <v/>
      </c>
      <c r="L188" s="226" t="str">
        <f aca="false">IF(F188="","",IF(ISNUMBER(J188),J188,IFERROR(VLOOKUP(F188,RW_TBL,3,0),0)))</f>
        <v/>
      </c>
      <c r="M188" s="113"/>
      <c r="N188" s="114"/>
    </row>
    <row r="189" customFormat="false" ht="15" hidden="false" customHeight="false" outlineLevel="0" collapsed="false">
      <c r="A189" s="131" t="str">
        <f aca="false">IF(B189="","",ROW()-6)</f>
        <v/>
      </c>
      <c r="B189" s="207"/>
      <c r="C189" s="60"/>
      <c r="D189" s="131" t="str">
        <f aca="false">IF(C189="","",IF(OR(C189="ทั้งเฟส",LEFT(C189,4)="ผรม.",LEFT(C189,3)="เขต"),C189,IFERROR(INDEX('Master Plan'!$B$8:$B$27,MATCH(C189,'Master Plan'!$A$8:$A$27,0)),"?")))</f>
        <v/>
      </c>
      <c r="E189" s="118" t="str">
        <f aca="false">IF(C189="","",IF(OR(C189="ทั้งเฟส",LEFT(C189,4)="ผรม.",LEFT(C189,3)="เขต"),C189,IFERROR(INDEX('Master Plan'!$L$8:$L$27,MATCH(C189,'Master Plan'!$A$8:$A$27,0)),"?")))</f>
        <v/>
      </c>
      <c r="F189" s="60"/>
      <c r="G189" s="114"/>
      <c r="H189" s="60"/>
      <c r="I189" s="116"/>
      <c r="J189" s="225"/>
      <c r="K189" s="206" t="str">
        <f aca="false">IF(F189="","",IF(ISNUMBER(I189),I189,IFERROR(VLOOKUP(F189,RW_TBL,2,0),0)))</f>
        <v/>
      </c>
      <c r="L189" s="226" t="str">
        <f aca="false">IF(F189="","",IF(ISNUMBER(J189),J189,IFERROR(VLOOKUP(F189,RW_TBL,3,0),0)))</f>
        <v/>
      </c>
      <c r="M189" s="113"/>
      <c r="N189" s="114"/>
    </row>
    <row r="190" customFormat="false" ht="15" hidden="false" customHeight="false" outlineLevel="0" collapsed="false">
      <c r="A190" s="131" t="str">
        <f aca="false">IF(B190="","",ROW()-6)</f>
        <v/>
      </c>
      <c r="B190" s="207"/>
      <c r="C190" s="60"/>
      <c r="D190" s="131" t="str">
        <f aca="false">IF(C190="","",IF(OR(C190="ทั้งเฟส",LEFT(C190,4)="ผรม.",LEFT(C190,3)="เขต"),C190,IFERROR(INDEX('Master Plan'!$B$8:$B$27,MATCH(C190,'Master Plan'!$A$8:$A$27,0)),"?")))</f>
        <v/>
      </c>
      <c r="E190" s="118" t="str">
        <f aca="false">IF(C190="","",IF(OR(C190="ทั้งเฟส",LEFT(C190,4)="ผรม.",LEFT(C190,3)="เขต"),C190,IFERROR(INDEX('Master Plan'!$L$8:$L$27,MATCH(C190,'Master Plan'!$A$8:$A$27,0)),"?")))</f>
        <v/>
      </c>
      <c r="F190" s="60"/>
      <c r="G190" s="114"/>
      <c r="H190" s="60"/>
      <c r="I190" s="116"/>
      <c r="J190" s="225"/>
      <c r="K190" s="206" t="str">
        <f aca="false">IF(F190="","",IF(ISNUMBER(I190),I190,IFERROR(VLOOKUP(F190,RW_TBL,2,0),0)))</f>
        <v/>
      </c>
      <c r="L190" s="226" t="str">
        <f aca="false">IF(F190="","",IF(ISNUMBER(J190),J190,IFERROR(VLOOKUP(F190,RW_TBL,3,0),0)))</f>
        <v/>
      </c>
      <c r="M190" s="113"/>
      <c r="N190" s="114"/>
    </row>
    <row r="191" customFormat="false" ht="15" hidden="false" customHeight="false" outlineLevel="0" collapsed="false">
      <c r="A191" s="131" t="str">
        <f aca="false">IF(B191="","",ROW()-6)</f>
        <v/>
      </c>
      <c r="B191" s="207"/>
      <c r="C191" s="60"/>
      <c r="D191" s="131" t="str">
        <f aca="false">IF(C191="","",IF(OR(C191="ทั้งเฟส",LEFT(C191,4)="ผรม.",LEFT(C191,3)="เขต"),C191,IFERROR(INDEX('Master Plan'!$B$8:$B$27,MATCH(C191,'Master Plan'!$A$8:$A$27,0)),"?")))</f>
        <v/>
      </c>
      <c r="E191" s="118" t="str">
        <f aca="false">IF(C191="","",IF(OR(C191="ทั้งเฟส",LEFT(C191,4)="ผรม.",LEFT(C191,3)="เขต"),C191,IFERROR(INDEX('Master Plan'!$L$8:$L$27,MATCH(C191,'Master Plan'!$A$8:$A$27,0)),"?")))</f>
        <v/>
      </c>
      <c r="F191" s="60"/>
      <c r="G191" s="114"/>
      <c r="H191" s="60"/>
      <c r="I191" s="116"/>
      <c r="J191" s="225"/>
      <c r="K191" s="206" t="str">
        <f aca="false">IF(F191="","",IF(ISNUMBER(I191),I191,IFERROR(VLOOKUP(F191,RW_TBL,2,0),0)))</f>
        <v/>
      </c>
      <c r="L191" s="226" t="str">
        <f aca="false">IF(F191="","",IF(ISNUMBER(J191),J191,IFERROR(VLOOKUP(F191,RW_TBL,3,0),0)))</f>
        <v/>
      </c>
      <c r="M191" s="113"/>
      <c r="N191" s="114"/>
    </row>
    <row r="192" customFormat="false" ht="15" hidden="false" customHeight="false" outlineLevel="0" collapsed="false">
      <c r="A192" s="131" t="str">
        <f aca="false">IF(B192="","",ROW()-6)</f>
        <v/>
      </c>
      <c r="B192" s="207"/>
      <c r="C192" s="60"/>
      <c r="D192" s="131" t="str">
        <f aca="false">IF(C192="","",IF(OR(C192="ทั้งเฟส",LEFT(C192,4)="ผรม.",LEFT(C192,3)="เขต"),C192,IFERROR(INDEX('Master Plan'!$B$8:$B$27,MATCH(C192,'Master Plan'!$A$8:$A$27,0)),"?")))</f>
        <v/>
      </c>
      <c r="E192" s="118" t="str">
        <f aca="false">IF(C192="","",IF(OR(C192="ทั้งเฟส",LEFT(C192,4)="ผรม.",LEFT(C192,3)="เขต"),C192,IFERROR(INDEX('Master Plan'!$L$8:$L$27,MATCH(C192,'Master Plan'!$A$8:$A$27,0)),"?")))</f>
        <v/>
      </c>
      <c r="F192" s="60"/>
      <c r="G192" s="114"/>
      <c r="H192" s="60"/>
      <c r="I192" s="116"/>
      <c r="J192" s="225"/>
      <c r="K192" s="206" t="str">
        <f aca="false">IF(F192="","",IF(ISNUMBER(I192),I192,IFERROR(VLOOKUP(F192,RW_TBL,2,0),0)))</f>
        <v/>
      </c>
      <c r="L192" s="226" t="str">
        <f aca="false">IF(F192="","",IF(ISNUMBER(J192),J192,IFERROR(VLOOKUP(F192,RW_TBL,3,0),0)))</f>
        <v/>
      </c>
      <c r="M192" s="113"/>
      <c r="N192" s="114"/>
    </row>
    <row r="193" customFormat="false" ht="15" hidden="false" customHeight="false" outlineLevel="0" collapsed="false">
      <c r="A193" s="131" t="str">
        <f aca="false">IF(B193="","",ROW()-6)</f>
        <v/>
      </c>
      <c r="B193" s="207"/>
      <c r="C193" s="60"/>
      <c r="D193" s="131" t="str">
        <f aca="false">IF(C193="","",IF(OR(C193="ทั้งเฟส",LEFT(C193,4)="ผรม.",LEFT(C193,3)="เขต"),C193,IFERROR(INDEX('Master Plan'!$B$8:$B$27,MATCH(C193,'Master Plan'!$A$8:$A$27,0)),"?")))</f>
        <v/>
      </c>
      <c r="E193" s="118" t="str">
        <f aca="false">IF(C193="","",IF(OR(C193="ทั้งเฟส",LEFT(C193,4)="ผรม.",LEFT(C193,3)="เขต"),C193,IFERROR(INDEX('Master Plan'!$L$8:$L$27,MATCH(C193,'Master Plan'!$A$8:$A$27,0)),"?")))</f>
        <v/>
      </c>
      <c r="F193" s="60"/>
      <c r="G193" s="114"/>
      <c r="H193" s="60"/>
      <c r="I193" s="116"/>
      <c r="J193" s="225"/>
      <c r="K193" s="206" t="str">
        <f aca="false">IF(F193="","",IF(ISNUMBER(I193),I193,IFERROR(VLOOKUP(F193,RW_TBL,2,0),0)))</f>
        <v/>
      </c>
      <c r="L193" s="226" t="str">
        <f aca="false">IF(F193="","",IF(ISNUMBER(J193),J193,IFERROR(VLOOKUP(F193,RW_TBL,3,0),0)))</f>
        <v/>
      </c>
      <c r="M193" s="113"/>
      <c r="N193" s="114"/>
    </row>
    <row r="194" customFormat="false" ht="15" hidden="false" customHeight="false" outlineLevel="0" collapsed="false">
      <c r="A194" s="131" t="str">
        <f aca="false">IF(B194="","",ROW()-6)</f>
        <v/>
      </c>
      <c r="B194" s="207"/>
      <c r="C194" s="60"/>
      <c r="D194" s="131" t="str">
        <f aca="false">IF(C194="","",IF(OR(C194="ทั้งเฟส",LEFT(C194,4)="ผรม.",LEFT(C194,3)="เขต"),C194,IFERROR(INDEX('Master Plan'!$B$8:$B$27,MATCH(C194,'Master Plan'!$A$8:$A$27,0)),"?")))</f>
        <v/>
      </c>
      <c r="E194" s="118" t="str">
        <f aca="false">IF(C194="","",IF(OR(C194="ทั้งเฟส",LEFT(C194,4)="ผรม.",LEFT(C194,3)="เขต"),C194,IFERROR(INDEX('Master Plan'!$L$8:$L$27,MATCH(C194,'Master Plan'!$A$8:$A$27,0)),"?")))</f>
        <v/>
      </c>
      <c r="F194" s="60"/>
      <c r="G194" s="114"/>
      <c r="H194" s="60"/>
      <c r="I194" s="116"/>
      <c r="J194" s="225"/>
      <c r="K194" s="206" t="str">
        <f aca="false">IF(F194="","",IF(ISNUMBER(I194),I194,IFERROR(VLOOKUP(F194,RW_TBL,2,0),0)))</f>
        <v/>
      </c>
      <c r="L194" s="226" t="str">
        <f aca="false">IF(F194="","",IF(ISNUMBER(J194),J194,IFERROR(VLOOKUP(F194,RW_TBL,3,0),0)))</f>
        <v/>
      </c>
      <c r="M194" s="113"/>
      <c r="N194" s="114"/>
    </row>
    <row r="195" customFormat="false" ht="15" hidden="false" customHeight="false" outlineLevel="0" collapsed="false">
      <c r="A195" s="131" t="str">
        <f aca="false">IF(B195="","",ROW()-6)</f>
        <v/>
      </c>
      <c r="B195" s="207"/>
      <c r="C195" s="60"/>
      <c r="D195" s="131" t="str">
        <f aca="false">IF(C195="","",IF(OR(C195="ทั้งเฟส",LEFT(C195,4)="ผรม.",LEFT(C195,3)="เขต"),C195,IFERROR(INDEX('Master Plan'!$B$8:$B$27,MATCH(C195,'Master Plan'!$A$8:$A$27,0)),"?")))</f>
        <v/>
      </c>
      <c r="E195" s="118" t="str">
        <f aca="false">IF(C195="","",IF(OR(C195="ทั้งเฟส",LEFT(C195,4)="ผรม.",LEFT(C195,3)="เขต"),C195,IFERROR(INDEX('Master Plan'!$L$8:$L$27,MATCH(C195,'Master Plan'!$A$8:$A$27,0)),"?")))</f>
        <v/>
      </c>
      <c r="F195" s="60"/>
      <c r="G195" s="114"/>
      <c r="H195" s="60"/>
      <c r="I195" s="116"/>
      <c r="J195" s="225"/>
      <c r="K195" s="206" t="str">
        <f aca="false">IF(F195="","",IF(ISNUMBER(I195),I195,IFERROR(VLOOKUP(F195,RW_TBL,2,0),0)))</f>
        <v/>
      </c>
      <c r="L195" s="226" t="str">
        <f aca="false">IF(F195="","",IF(ISNUMBER(J195),J195,IFERROR(VLOOKUP(F195,RW_TBL,3,0),0)))</f>
        <v/>
      </c>
      <c r="M195" s="113"/>
      <c r="N195" s="114"/>
    </row>
    <row r="196" customFormat="false" ht="15" hidden="false" customHeight="false" outlineLevel="0" collapsed="false">
      <c r="A196" s="131" t="str">
        <f aca="false">IF(B196="","",ROW()-6)</f>
        <v/>
      </c>
      <c r="B196" s="207"/>
      <c r="C196" s="60"/>
      <c r="D196" s="131" t="str">
        <f aca="false">IF(C196="","",IF(OR(C196="ทั้งเฟส",LEFT(C196,4)="ผรม.",LEFT(C196,3)="เขต"),C196,IFERROR(INDEX('Master Plan'!$B$8:$B$27,MATCH(C196,'Master Plan'!$A$8:$A$27,0)),"?")))</f>
        <v/>
      </c>
      <c r="E196" s="118" t="str">
        <f aca="false">IF(C196="","",IF(OR(C196="ทั้งเฟส",LEFT(C196,4)="ผรม.",LEFT(C196,3)="เขต"),C196,IFERROR(INDEX('Master Plan'!$L$8:$L$27,MATCH(C196,'Master Plan'!$A$8:$A$27,0)),"?")))</f>
        <v/>
      </c>
      <c r="F196" s="60"/>
      <c r="G196" s="114"/>
      <c r="H196" s="60"/>
      <c r="I196" s="116"/>
      <c r="J196" s="225"/>
      <c r="K196" s="206" t="str">
        <f aca="false">IF(F196="","",IF(ISNUMBER(I196),I196,IFERROR(VLOOKUP(F196,RW_TBL,2,0),0)))</f>
        <v/>
      </c>
      <c r="L196" s="226" t="str">
        <f aca="false">IF(F196="","",IF(ISNUMBER(J196),J196,IFERROR(VLOOKUP(F196,RW_TBL,3,0),0)))</f>
        <v/>
      </c>
      <c r="M196" s="113"/>
      <c r="N196" s="114"/>
    </row>
    <row r="197" customFormat="false" ht="15" hidden="false" customHeight="false" outlineLevel="0" collapsed="false">
      <c r="A197" s="131" t="str">
        <f aca="false">IF(B197="","",ROW()-6)</f>
        <v/>
      </c>
      <c r="B197" s="207"/>
      <c r="C197" s="60"/>
      <c r="D197" s="131" t="str">
        <f aca="false">IF(C197="","",IF(OR(C197="ทั้งเฟส",LEFT(C197,4)="ผรม.",LEFT(C197,3)="เขต"),C197,IFERROR(INDEX('Master Plan'!$B$8:$B$27,MATCH(C197,'Master Plan'!$A$8:$A$27,0)),"?")))</f>
        <v/>
      </c>
      <c r="E197" s="118" t="str">
        <f aca="false">IF(C197="","",IF(OR(C197="ทั้งเฟส",LEFT(C197,4)="ผรม.",LEFT(C197,3)="เขต"),C197,IFERROR(INDEX('Master Plan'!$L$8:$L$27,MATCH(C197,'Master Plan'!$A$8:$A$27,0)),"?")))</f>
        <v/>
      </c>
      <c r="F197" s="60"/>
      <c r="G197" s="114"/>
      <c r="H197" s="60"/>
      <c r="I197" s="116"/>
      <c r="J197" s="225"/>
      <c r="K197" s="206" t="str">
        <f aca="false">IF(F197="","",IF(ISNUMBER(I197),I197,IFERROR(VLOOKUP(F197,RW_TBL,2,0),0)))</f>
        <v/>
      </c>
      <c r="L197" s="226" t="str">
        <f aca="false">IF(F197="","",IF(ISNUMBER(J197),J197,IFERROR(VLOOKUP(F197,RW_TBL,3,0),0)))</f>
        <v/>
      </c>
      <c r="M197" s="113"/>
      <c r="N197" s="114"/>
    </row>
    <row r="198" customFormat="false" ht="15" hidden="false" customHeight="false" outlineLevel="0" collapsed="false">
      <c r="A198" s="131" t="str">
        <f aca="false">IF(B198="","",ROW()-6)</f>
        <v/>
      </c>
      <c r="B198" s="207"/>
      <c r="C198" s="60"/>
      <c r="D198" s="131" t="str">
        <f aca="false">IF(C198="","",IF(OR(C198="ทั้งเฟส",LEFT(C198,4)="ผรม.",LEFT(C198,3)="เขต"),C198,IFERROR(INDEX('Master Plan'!$B$8:$B$27,MATCH(C198,'Master Plan'!$A$8:$A$27,0)),"?")))</f>
        <v/>
      </c>
      <c r="E198" s="118" t="str">
        <f aca="false">IF(C198="","",IF(OR(C198="ทั้งเฟส",LEFT(C198,4)="ผรม.",LEFT(C198,3)="เขต"),C198,IFERROR(INDEX('Master Plan'!$L$8:$L$27,MATCH(C198,'Master Plan'!$A$8:$A$27,0)),"?")))</f>
        <v/>
      </c>
      <c r="F198" s="60"/>
      <c r="G198" s="114"/>
      <c r="H198" s="60"/>
      <c r="I198" s="116"/>
      <c r="J198" s="225"/>
      <c r="K198" s="206" t="str">
        <f aca="false">IF(F198="","",IF(ISNUMBER(I198),I198,IFERROR(VLOOKUP(F198,RW_TBL,2,0),0)))</f>
        <v/>
      </c>
      <c r="L198" s="226" t="str">
        <f aca="false">IF(F198="","",IF(ISNUMBER(J198),J198,IFERROR(VLOOKUP(F198,RW_TBL,3,0),0)))</f>
        <v/>
      </c>
      <c r="M198" s="113"/>
      <c r="N198" s="114"/>
    </row>
    <row r="199" customFormat="false" ht="15" hidden="false" customHeight="false" outlineLevel="0" collapsed="false">
      <c r="A199" s="131" t="str">
        <f aca="false">IF(B199="","",ROW()-6)</f>
        <v/>
      </c>
      <c r="B199" s="207"/>
      <c r="C199" s="60"/>
      <c r="D199" s="131" t="str">
        <f aca="false">IF(C199="","",IF(OR(C199="ทั้งเฟส",LEFT(C199,4)="ผรม.",LEFT(C199,3)="เขต"),C199,IFERROR(INDEX('Master Plan'!$B$8:$B$27,MATCH(C199,'Master Plan'!$A$8:$A$27,0)),"?")))</f>
        <v/>
      </c>
      <c r="E199" s="118" t="str">
        <f aca="false">IF(C199="","",IF(OR(C199="ทั้งเฟส",LEFT(C199,4)="ผรม.",LEFT(C199,3)="เขต"),C199,IFERROR(INDEX('Master Plan'!$L$8:$L$27,MATCH(C199,'Master Plan'!$A$8:$A$27,0)),"?")))</f>
        <v/>
      </c>
      <c r="F199" s="60"/>
      <c r="G199" s="114"/>
      <c r="H199" s="60"/>
      <c r="I199" s="116"/>
      <c r="J199" s="225"/>
      <c r="K199" s="206" t="str">
        <f aca="false">IF(F199="","",IF(ISNUMBER(I199),I199,IFERROR(VLOOKUP(F199,RW_TBL,2,0),0)))</f>
        <v/>
      </c>
      <c r="L199" s="226" t="str">
        <f aca="false">IF(F199="","",IF(ISNUMBER(J199),J199,IFERROR(VLOOKUP(F199,RW_TBL,3,0),0)))</f>
        <v/>
      </c>
      <c r="M199" s="113"/>
      <c r="N199" s="114"/>
    </row>
    <row r="200" customFormat="false" ht="15" hidden="false" customHeight="false" outlineLevel="0" collapsed="false">
      <c r="A200" s="131" t="str">
        <f aca="false">IF(B200="","",ROW()-6)</f>
        <v/>
      </c>
      <c r="B200" s="207"/>
      <c r="C200" s="60"/>
      <c r="D200" s="131" t="str">
        <f aca="false">IF(C200="","",IF(OR(C200="ทั้งเฟส",LEFT(C200,4)="ผรม.",LEFT(C200,3)="เขต"),C200,IFERROR(INDEX('Master Plan'!$B$8:$B$27,MATCH(C200,'Master Plan'!$A$8:$A$27,0)),"?")))</f>
        <v/>
      </c>
      <c r="E200" s="118" t="str">
        <f aca="false">IF(C200="","",IF(OR(C200="ทั้งเฟส",LEFT(C200,4)="ผรม.",LEFT(C200,3)="เขต"),C200,IFERROR(INDEX('Master Plan'!$L$8:$L$27,MATCH(C200,'Master Plan'!$A$8:$A$27,0)),"?")))</f>
        <v/>
      </c>
      <c r="F200" s="60"/>
      <c r="G200" s="114"/>
      <c r="H200" s="60"/>
      <c r="I200" s="116"/>
      <c r="J200" s="225"/>
      <c r="K200" s="206" t="str">
        <f aca="false">IF(F200="","",IF(ISNUMBER(I200),I200,IFERROR(VLOOKUP(F200,RW_TBL,2,0),0)))</f>
        <v/>
      </c>
      <c r="L200" s="226" t="str">
        <f aca="false">IF(F200="","",IF(ISNUMBER(J200),J200,IFERROR(VLOOKUP(F200,RW_TBL,3,0),0)))</f>
        <v/>
      </c>
      <c r="M200" s="113"/>
      <c r="N200" s="114"/>
    </row>
    <row r="201" customFormat="false" ht="15" hidden="false" customHeight="false" outlineLevel="0" collapsed="false">
      <c r="A201" s="131" t="str">
        <f aca="false">IF(B201="","",ROW()-6)</f>
        <v/>
      </c>
      <c r="B201" s="207"/>
      <c r="C201" s="60"/>
      <c r="D201" s="131" t="str">
        <f aca="false">IF(C201="","",IF(OR(C201="ทั้งเฟส",LEFT(C201,4)="ผรม.",LEFT(C201,3)="เขต"),C201,IFERROR(INDEX('Master Plan'!$B$8:$B$27,MATCH(C201,'Master Plan'!$A$8:$A$27,0)),"?")))</f>
        <v/>
      </c>
      <c r="E201" s="118" t="str">
        <f aca="false">IF(C201="","",IF(OR(C201="ทั้งเฟส",LEFT(C201,4)="ผรม.",LEFT(C201,3)="เขต"),C201,IFERROR(INDEX('Master Plan'!$L$8:$L$27,MATCH(C201,'Master Plan'!$A$8:$A$27,0)),"?")))</f>
        <v/>
      </c>
      <c r="F201" s="60"/>
      <c r="G201" s="114"/>
      <c r="H201" s="60"/>
      <c r="I201" s="116"/>
      <c r="J201" s="225"/>
      <c r="K201" s="206" t="str">
        <f aca="false">IF(F201="","",IF(ISNUMBER(I201),I201,IFERROR(VLOOKUP(F201,RW_TBL,2,0),0)))</f>
        <v/>
      </c>
      <c r="L201" s="226" t="str">
        <f aca="false">IF(F201="","",IF(ISNUMBER(J201),J201,IFERROR(VLOOKUP(F201,RW_TBL,3,0),0)))</f>
        <v/>
      </c>
      <c r="M201" s="113"/>
      <c r="N201" s="114"/>
    </row>
    <row r="202" customFormat="false" ht="15" hidden="false" customHeight="false" outlineLevel="0" collapsed="false">
      <c r="A202" s="131" t="str">
        <f aca="false">IF(B202="","",ROW()-6)</f>
        <v/>
      </c>
      <c r="B202" s="207"/>
      <c r="C202" s="60"/>
      <c r="D202" s="131" t="str">
        <f aca="false">IF(C202="","",IF(OR(C202="ทั้งเฟส",LEFT(C202,4)="ผรม.",LEFT(C202,3)="เขต"),C202,IFERROR(INDEX('Master Plan'!$B$8:$B$27,MATCH(C202,'Master Plan'!$A$8:$A$27,0)),"?")))</f>
        <v/>
      </c>
      <c r="E202" s="118" t="str">
        <f aca="false">IF(C202="","",IF(OR(C202="ทั้งเฟส",LEFT(C202,4)="ผรม.",LEFT(C202,3)="เขต"),C202,IFERROR(INDEX('Master Plan'!$L$8:$L$27,MATCH(C202,'Master Plan'!$A$8:$A$27,0)),"?")))</f>
        <v/>
      </c>
      <c r="F202" s="60"/>
      <c r="G202" s="114"/>
      <c r="H202" s="60"/>
      <c r="I202" s="116"/>
      <c r="J202" s="225"/>
      <c r="K202" s="206" t="str">
        <f aca="false">IF(F202="","",IF(ISNUMBER(I202),I202,IFERROR(VLOOKUP(F202,RW_TBL,2,0),0)))</f>
        <v/>
      </c>
      <c r="L202" s="226" t="str">
        <f aca="false">IF(F202="","",IF(ISNUMBER(J202),J202,IFERROR(VLOOKUP(F202,RW_TBL,3,0),0)))</f>
        <v/>
      </c>
      <c r="M202" s="113"/>
      <c r="N202" s="114"/>
    </row>
    <row r="203" customFormat="false" ht="15" hidden="false" customHeight="false" outlineLevel="0" collapsed="false">
      <c r="A203" s="131" t="str">
        <f aca="false">IF(B203="","",ROW()-6)</f>
        <v/>
      </c>
      <c r="B203" s="207"/>
      <c r="C203" s="60"/>
      <c r="D203" s="131" t="str">
        <f aca="false">IF(C203="","",IF(OR(C203="ทั้งเฟส",LEFT(C203,4)="ผรม.",LEFT(C203,3)="เขต"),C203,IFERROR(INDEX('Master Plan'!$B$8:$B$27,MATCH(C203,'Master Plan'!$A$8:$A$27,0)),"?")))</f>
        <v/>
      </c>
      <c r="E203" s="118" t="str">
        <f aca="false">IF(C203="","",IF(OR(C203="ทั้งเฟส",LEFT(C203,4)="ผรม.",LEFT(C203,3)="เขต"),C203,IFERROR(INDEX('Master Plan'!$L$8:$L$27,MATCH(C203,'Master Plan'!$A$8:$A$27,0)),"?")))</f>
        <v/>
      </c>
      <c r="F203" s="60"/>
      <c r="G203" s="114"/>
      <c r="H203" s="60"/>
      <c r="I203" s="116"/>
      <c r="J203" s="225"/>
      <c r="K203" s="206" t="str">
        <f aca="false">IF(F203="","",IF(ISNUMBER(I203),I203,IFERROR(VLOOKUP(F203,RW_TBL,2,0),0)))</f>
        <v/>
      </c>
      <c r="L203" s="226" t="str">
        <f aca="false">IF(F203="","",IF(ISNUMBER(J203),J203,IFERROR(VLOOKUP(F203,RW_TBL,3,0),0)))</f>
        <v/>
      </c>
      <c r="M203" s="113"/>
      <c r="N203" s="114"/>
    </row>
    <row r="204" customFormat="false" ht="15" hidden="false" customHeight="false" outlineLevel="0" collapsed="false">
      <c r="A204" s="131" t="str">
        <f aca="false">IF(B204="","",ROW()-6)</f>
        <v/>
      </c>
      <c r="B204" s="207"/>
      <c r="C204" s="60"/>
      <c r="D204" s="131" t="str">
        <f aca="false">IF(C204="","",IF(OR(C204="ทั้งเฟส",LEFT(C204,4)="ผรม.",LEFT(C204,3)="เขต"),C204,IFERROR(INDEX('Master Plan'!$B$8:$B$27,MATCH(C204,'Master Plan'!$A$8:$A$27,0)),"?")))</f>
        <v/>
      </c>
      <c r="E204" s="118" t="str">
        <f aca="false">IF(C204="","",IF(OR(C204="ทั้งเฟส",LEFT(C204,4)="ผรม.",LEFT(C204,3)="เขต"),C204,IFERROR(INDEX('Master Plan'!$L$8:$L$27,MATCH(C204,'Master Plan'!$A$8:$A$27,0)),"?")))</f>
        <v/>
      </c>
      <c r="F204" s="60"/>
      <c r="G204" s="114"/>
      <c r="H204" s="60"/>
      <c r="I204" s="116"/>
      <c r="J204" s="225"/>
      <c r="K204" s="206" t="str">
        <f aca="false">IF(F204="","",IF(ISNUMBER(I204),I204,IFERROR(VLOOKUP(F204,RW_TBL,2,0),0)))</f>
        <v/>
      </c>
      <c r="L204" s="226" t="str">
        <f aca="false">IF(F204="","",IF(ISNUMBER(J204),J204,IFERROR(VLOOKUP(F204,RW_TBL,3,0),0)))</f>
        <v/>
      </c>
      <c r="M204" s="113"/>
      <c r="N204" s="114"/>
    </row>
    <row r="205" customFormat="false" ht="15" hidden="false" customHeight="false" outlineLevel="0" collapsed="false">
      <c r="A205" s="131" t="str">
        <f aca="false">IF(B205="","",ROW()-6)</f>
        <v/>
      </c>
      <c r="B205" s="207"/>
      <c r="C205" s="60"/>
      <c r="D205" s="131" t="str">
        <f aca="false">IF(C205="","",IF(OR(C205="ทั้งเฟส",LEFT(C205,4)="ผรม.",LEFT(C205,3)="เขต"),C205,IFERROR(INDEX('Master Plan'!$B$8:$B$27,MATCH(C205,'Master Plan'!$A$8:$A$27,0)),"?")))</f>
        <v/>
      </c>
      <c r="E205" s="118" t="str">
        <f aca="false">IF(C205="","",IF(OR(C205="ทั้งเฟส",LEFT(C205,4)="ผรม.",LEFT(C205,3)="เขต"),C205,IFERROR(INDEX('Master Plan'!$L$8:$L$27,MATCH(C205,'Master Plan'!$A$8:$A$27,0)),"?")))</f>
        <v/>
      </c>
      <c r="F205" s="60"/>
      <c r="G205" s="114"/>
      <c r="H205" s="60"/>
      <c r="I205" s="116"/>
      <c r="J205" s="225"/>
      <c r="K205" s="206" t="str">
        <f aca="false">IF(F205="","",IF(ISNUMBER(I205),I205,IFERROR(VLOOKUP(F205,RW_TBL,2,0),0)))</f>
        <v/>
      </c>
      <c r="L205" s="226" t="str">
        <f aca="false">IF(F205="","",IF(ISNUMBER(J205),J205,IFERROR(VLOOKUP(F205,RW_TBL,3,0),0)))</f>
        <v/>
      </c>
      <c r="M205" s="113"/>
      <c r="N205" s="114"/>
    </row>
    <row r="206" customFormat="false" ht="15" hidden="false" customHeight="false" outlineLevel="0" collapsed="false">
      <c r="A206" s="131" t="str">
        <f aca="false">IF(B206="","",ROW()-6)</f>
        <v/>
      </c>
      <c r="B206" s="207"/>
      <c r="C206" s="60"/>
      <c r="D206" s="131" t="str">
        <f aca="false">IF(C206="","",IF(OR(C206="ทั้งเฟส",LEFT(C206,4)="ผรม.",LEFT(C206,3)="เขต"),C206,IFERROR(INDEX('Master Plan'!$B$8:$B$27,MATCH(C206,'Master Plan'!$A$8:$A$27,0)),"?")))</f>
        <v/>
      </c>
      <c r="E206" s="118" t="str">
        <f aca="false">IF(C206="","",IF(OR(C206="ทั้งเฟส",LEFT(C206,4)="ผรม.",LEFT(C206,3)="เขต"),C206,IFERROR(INDEX('Master Plan'!$L$8:$L$27,MATCH(C206,'Master Plan'!$A$8:$A$27,0)),"?")))</f>
        <v/>
      </c>
      <c r="F206" s="60"/>
      <c r="G206" s="114"/>
      <c r="H206" s="60"/>
      <c r="I206" s="116"/>
      <c r="J206" s="225"/>
      <c r="K206" s="206" t="str">
        <f aca="false">IF(F206="","",IF(ISNUMBER(I206),I206,IFERROR(VLOOKUP(F206,RW_TBL,2,0),0)))</f>
        <v/>
      </c>
      <c r="L206" s="226" t="str">
        <f aca="false">IF(F206="","",IF(ISNUMBER(J206),J206,IFERROR(VLOOKUP(F206,RW_TBL,3,0),0)))</f>
        <v/>
      </c>
      <c r="M206" s="113"/>
      <c r="N206" s="114"/>
    </row>
    <row r="207" customFormat="false" ht="15" hidden="false" customHeight="false" outlineLevel="0" collapsed="false">
      <c r="A207" s="131" t="str">
        <f aca="false">IF(B207="","",ROW()-6)</f>
        <v/>
      </c>
      <c r="B207" s="207"/>
      <c r="C207" s="60"/>
      <c r="D207" s="131" t="str">
        <f aca="false">IF(C207="","",IF(OR(C207="ทั้งเฟส",LEFT(C207,4)="ผรม.",LEFT(C207,3)="เขต"),C207,IFERROR(INDEX('Master Plan'!$B$8:$B$27,MATCH(C207,'Master Plan'!$A$8:$A$27,0)),"?")))</f>
        <v/>
      </c>
      <c r="E207" s="118" t="str">
        <f aca="false">IF(C207="","",IF(OR(C207="ทั้งเฟส",LEFT(C207,4)="ผรม.",LEFT(C207,3)="เขต"),C207,IFERROR(INDEX('Master Plan'!$L$8:$L$27,MATCH(C207,'Master Plan'!$A$8:$A$27,0)),"?")))</f>
        <v/>
      </c>
      <c r="F207" s="60"/>
      <c r="G207" s="114"/>
      <c r="H207" s="60"/>
      <c r="I207" s="116"/>
      <c r="J207" s="225"/>
      <c r="K207" s="206" t="str">
        <f aca="false">IF(F207="","",IF(ISNUMBER(I207),I207,IFERROR(VLOOKUP(F207,RW_TBL,2,0),0)))</f>
        <v/>
      </c>
      <c r="L207" s="226" t="str">
        <f aca="false">IF(F207="","",IF(ISNUMBER(J207),J207,IFERROR(VLOOKUP(F207,RW_TBL,3,0),0)))</f>
        <v/>
      </c>
      <c r="M207" s="113"/>
      <c r="N207" s="114"/>
    </row>
    <row r="208" customFormat="false" ht="15" hidden="false" customHeight="false" outlineLevel="0" collapsed="false">
      <c r="A208" s="131" t="str">
        <f aca="false">IF(B208="","",ROW()-6)</f>
        <v/>
      </c>
      <c r="B208" s="207"/>
      <c r="C208" s="60"/>
      <c r="D208" s="131" t="str">
        <f aca="false">IF(C208="","",IF(OR(C208="ทั้งเฟส",LEFT(C208,4)="ผรม.",LEFT(C208,3)="เขต"),C208,IFERROR(INDEX('Master Plan'!$B$8:$B$27,MATCH(C208,'Master Plan'!$A$8:$A$27,0)),"?")))</f>
        <v/>
      </c>
      <c r="E208" s="118" t="str">
        <f aca="false">IF(C208="","",IF(OR(C208="ทั้งเฟส",LEFT(C208,4)="ผรม.",LEFT(C208,3)="เขต"),C208,IFERROR(INDEX('Master Plan'!$L$8:$L$27,MATCH(C208,'Master Plan'!$A$8:$A$27,0)),"?")))</f>
        <v/>
      </c>
      <c r="F208" s="60"/>
      <c r="G208" s="114"/>
      <c r="H208" s="60"/>
      <c r="I208" s="116"/>
      <c r="J208" s="225"/>
      <c r="K208" s="206" t="str">
        <f aca="false">IF(F208="","",IF(ISNUMBER(I208),I208,IFERROR(VLOOKUP(F208,RW_TBL,2,0),0)))</f>
        <v/>
      </c>
      <c r="L208" s="226" t="str">
        <f aca="false">IF(F208="","",IF(ISNUMBER(J208),J208,IFERROR(VLOOKUP(F208,RW_TBL,3,0),0)))</f>
        <v/>
      </c>
      <c r="M208" s="113"/>
      <c r="N208" s="114"/>
    </row>
    <row r="209" customFormat="false" ht="15" hidden="false" customHeight="false" outlineLevel="0" collapsed="false">
      <c r="A209" s="131" t="str">
        <f aca="false">IF(B209="","",ROW()-6)</f>
        <v/>
      </c>
      <c r="B209" s="207"/>
      <c r="C209" s="60"/>
      <c r="D209" s="131" t="str">
        <f aca="false">IF(C209="","",IF(OR(C209="ทั้งเฟส",LEFT(C209,4)="ผรม.",LEFT(C209,3)="เขต"),C209,IFERROR(INDEX('Master Plan'!$B$8:$B$27,MATCH(C209,'Master Plan'!$A$8:$A$27,0)),"?")))</f>
        <v/>
      </c>
      <c r="E209" s="118" t="str">
        <f aca="false">IF(C209="","",IF(OR(C209="ทั้งเฟส",LEFT(C209,4)="ผรม.",LEFT(C209,3)="เขต"),C209,IFERROR(INDEX('Master Plan'!$L$8:$L$27,MATCH(C209,'Master Plan'!$A$8:$A$27,0)),"?")))</f>
        <v/>
      </c>
      <c r="F209" s="60"/>
      <c r="G209" s="114"/>
      <c r="H209" s="60"/>
      <c r="I209" s="116"/>
      <c r="J209" s="225"/>
      <c r="K209" s="206" t="str">
        <f aca="false">IF(F209="","",IF(ISNUMBER(I209),I209,IFERROR(VLOOKUP(F209,RW_TBL,2,0),0)))</f>
        <v/>
      </c>
      <c r="L209" s="226" t="str">
        <f aca="false">IF(F209="","",IF(ISNUMBER(J209),J209,IFERROR(VLOOKUP(F209,RW_TBL,3,0),0)))</f>
        <v/>
      </c>
      <c r="M209" s="113"/>
      <c r="N209" s="114"/>
    </row>
    <row r="210" customFormat="false" ht="15" hidden="false" customHeight="false" outlineLevel="0" collapsed="false">
      <c r="A210" s="131" t="str">
        <f aca="false">IF(B210="","",ROW()-6)</f>
        <v/>
      </c>
      <c r="B210" s="207"/>
      <c r="C210" s="60"/>
      <c r="D210" s="131" t="str">
        <f aca="false">IF(C210="","",IF(OR(C210="ทั้งเฟส",LEFT(C210,4)="ผรม.",LEFT(C210,3)="เขต"),C210,IFERROR(INDEX('Master Plan'!$B$8:$B$27,MATCH(C210,'Master Plan'!$A$8:$A$27,0)),"?")))</f>
        <v/>
      </c>
      <c r="E210" s="118" t="str">
        <f aca="false">IF(C210="","",IF(OR(C210="ทั้งเฟส",LEFT(C210,4)="ผรม.",LEFT(C210,3)="เขต"),C210,IFERROR(INDEX('Master Plan'!$L$8:$L$27,MATCH(C210,'Master Plan'!$A$8:$A$27,0)),"?")))</f>
        <v/>
      </c>
      <c r="F210" s="60"/>
      <c r="G210" s="114"/>
      <c r="H210" s="60"/>
      <c r="I210" s="116"/>
      <c r="J210" s="225"/>
      <c r="K210" s="206" t="str">
        <f aca="false">IF(F210="","",IF(ISNUMBER(I210),I210,IFERROR(VLOOKUP(F210,RW_TBL,2,0),0)))</f>
        <v/>
      </c>
      <c r="L210" s="226" t="str">
        <f aca="false">IF(F210="","",IF(ISNUMBER(J210),J210,IFERROR(VLOOKUP(F210,RW_TBL,3,0),0)))</f>
        <v/>
      </c>
      <c r="M210" s="113"/>
      <c r="N210" s="114"/>
    </row>
    <row r="211" customFormat="false" ht="15" hidden="false" customHeight="false" outlineLevel="0" collapsed="false">
      <c r="A211" s="131" t="str">
        <f aca="false">IF(B211="","",ROW()-6)</f>
        <v/>
      </c>
      <c r="B211" s="207"/>
      <c r="C211" s="60"/>
      <c r="D211" s="131" t="str">
        <f aca="false">IF(C211="","",IF(OR(C211="ทั้งเฟส",LEFT(C211,4)="ผรม.",LEFT(C211,3)="เขต"),C211,IFERROR(INDEX('Master Plan'!$B$8:$B$27,MATCH(C211,'Master Plan'!$A$8:$A$27,0)),"?")))</f>
        <v/>
      </c>
      <c r="E211" s="118" t="str">
        <f aca="false">IF(C211="","",IF(OR(C211="ทั้งเฟส",LEFT(C211,4)="ผรม.",LEFT(C211,3)="เขต"),C211,IFERROR(INDEX('Master Plan'!$L$8:$L$27,MATCH(C211,'Master Plan'!$A$8:$A$27,0)),"?")))</f>
        <v/>
      </c>
      <c r="F211" s="60"/>
      <c r="G211" s="114"/>
      <c r="H211" s="60"/>
      <c r="I211" s="116"/>
      <c r="J211" s="225"/>
      <c r="K211" s="206" t="str">
        <f aca="false">IF(F211="","",IF(ISNUMBER(I211),I211,IFERROR(VLOOKUP(F211,RW_TBL,2,0),0)))</f>
        <v/>
      </c>
      <c r="L211" s="226" t="str">
        <f aca="false">IF(F211="","",IF(ISNUMBER(J211),J211,IFERROR(VLOOKUP(F211,RW_TBL,3,0),0)))</f>
        <v/>
      </c>
      <c r="M211" s="113"/>
      <c r="N211" s="114"/>
    </row>
    <row r="212" customFormat="false" ht="15" hidden="false" customHeight="false" outlineLevel="0" collapsed="false">
      <c r="A212" s="131" t="str">
        <f aca="false">IF(B212="","",ROW()-6)</f>
        <v/>
      </c>
      <c r="B212" s="207"/>
      <c r="C212" s="60"/>
      <c r="D212" s="131" t="str">
        <f aca="false">IF(C212="","",IF(OR(C212="ทั้งเฟส",LEFT(C212,4)="ผรม.",LEFT(C212,3)="เขต"),C212,IFERROR(INDEX('Master Plan'!$B$8:$B$27,MATCH(C212,'Master Plan'!$A$8:$A$27,0)),"?")))</f>
        <v/>
      </c>
      <c r="E212" s="118" t="str">
        <f aca="false">IF(C212="","",IF(OR(C212="ทั้งเฟส",LEFT(C212,4)="ผรม.",LEFT(C212,3)="เขต"),C212,IFERROR(INDEX('Master Plan'!$L$8:$L$27,MATCH(C212,'Master Plan'!$A$8:$A$27,0)),"?")))</f>
        <v/>
      </c>
      <c r="F212" s="60"/>
      <c r="G212" s="114"/>
      <c r="H212" s="60"/>
      <c r="I212" s="116"/>
      <c r="J212" s="225"/>
      <c r="K212" s="206" t="str">
        <f aca="false">IF(F212="","",IF(ISNUMBER(I212),I212,IFERROR(VLOOKUP(F212,RW_TBL,2,0),0)))</f>
        <v/>
      </c>
      <c r="L212" s="226" t="str">
        <f aca="false">IF(F212="","",IF(ISNUMBER(J212),J212,IFERROR(VLOOKUP(F212,RW_TBL,3,0),0)))</f>
        <v/>
      </c>
      <c r="M212" s="113"/>
      <c r="N212" s="114"/>
    </row>
    <row r="213" customFormat="false" ht="15" hidden="false" customHeight="false" outlineLevel="0" collapsed="false">
      <c r="A213" s="131" t="str">
        <f aca="false">IF(B213="","",ROW()-6)</f>
        <v/>
      </c>
      <c r="B213" s="207"/>
      <c r="C213" s="60"/>
      <c r="D213" s="131" t="str">
        <f aca="false">IF(C213="","",IF(OR(C213="ทั้งเฟส",LEFT(C213,4)="ผรม.",LEFT(C213,3)="เขต"),C213,IFERROR(INDEX('Master Plan'!$B$8:$B$27,MATCH(C213,'Master Plan'!$A$8:$A$27,0)),"?")))</f>
        <v/>
      </c>
      <c r="E213" s="118" t="str">
        <f aca="false">IF(C213="","",IF(OR(C213="ทั้งเฟส",LEFT(C213,4)="ผรม.",LEFT(C213,3)="เขต"),C213,IFERROR(INDEX('Master Plan'!$L$8:$L$27,MATCH(C213,'Master Plan'!$A$8:$A$27,0)),"?")))</f>
        <v/>
      </c>
      <c r="F213" s="60"/>
      <c r="G213" s="114"/>
      <c r="H213" s="60"/>
      <c r="I213" s="116"/>
      <c r="J213" s="225"/>
      <c r="K213" s="206" t="str">
        <f aca="false">IF(F213="","",IF(ISNUMBER(I213),I213,IFERROR(VLOOKUP(F213,RW_TBL,2,0),0)))</f>
        <v/>
      </c>
      <c r="L213" s="226" t="str">
        <f aca="false">IF(F213="","",IF(ISNUMBER(J213),J213,IFERROR(VLOOKUP(F213,RW_TBL,3,0),0)))</f>
        <v/>
      </c>
      <c r="M213" s="113"/>
      <c r="N213" s="114"/>
    </row>
    <row r="214" customFormat="false" ht="15" hidden="false" customHeight="false" outlineLevel="0" collapsed="false">
      <c r="A214" s="131" t="str">
        <f aca="false">IF(B214="","",ROW()-6)</f>
        <v/>
      </c>
      <c r="B214" s="207"/>
      <c r="C214" s="60"/>
      <c r="D214" s="131" t="str">
        <f aca="false">IF(C214="","",IF(OR(C214="ทั้งเฟส",LEFT(C214,4)="ผรม.",LEFT(C214,3)="เขต"),C214,IFERROR(INDEX('Master Plan'!$B$8:$B$27,MATCH(C214,'Master Plan'!$A$8:$A$27,0)),"?")))</f>
        <v/>
      </c>
      <c r="E214" s="118" t="str">
        <f aca="false">IF(C214="","",IF(OR(C214="ทั้งเฟส",LEFT(C214,4)="ผรม.",LEFT(C214,3)="เขต"),C214,IFERROR(INDEX('Master Plan'!$L$8:$L$27,MATCH(C214,'Master Plan'!$A$8:$A$27,0)),"?")))</f>
        <v/>
      </c>
      <c r="F214" s="60"/>
      <c r="G214" s="114"/>
      <c r="H214" s="60"/>
      <c r="I214" s="116"/>
      <c r="J214" s="225"/>
      <c r="K214" s="206" t="str">
        <f aca="false">IF(F214="","",IF(ISNUMBER(I214),I214,IFERROR(VLOOKUP(F214,RW_TBL,2,0),0)))</f>
        <v/>
      </c>
      <c r="L214" s="226" t="str">
        <f aca="false">IF(F214="","",IF(ISNUMBER(J214),J214,IFERROR(VLOOKUP(F214,RW_TBL,3,0),0)))</f>
        <v/>
      </c>
      <c r="M214" s="113"/>
      <c r="N214" s="114"/>
    </row>
    <row r="215" customFormat="false" ht="15" hidden="false" customHeight="false" outlineLevel="0" collapsed="false">
      <c r="A215" s="131" t="str">
        <f aca="false">IF(B215="","",ROW()-6)</f>
        <v/>
      </c>
      <c r="B215" s="207"/>
      <c r="C215" s="60"/>
      <c r="D215" s="131" t="str">
        <f aca="false">IF(C215="","",IF(OR(C215="ทั้งเฟส",LEFT(C215,4)="ผรม.",LEFT(C215,3)="เขต"),C215,IFERROR(INDEX('Master Plan'!$B$8:$B$27,MATCH(C215,'Master Plan'!$A$8:$A$27,0)),"?")))</f>
        <v/>
      </c>
      <c r="E215" s="118" t="str">
        <f aca="false">IF(C215="","",IF(OR(C215="ทั้งเฟส",LEFT(C215,4)="ผรม.",LEFT(C215,3)="เขต"),C215,IFERROR(INDEX('Master Plan'!$L$8:$L$27,MATCH(C215,'Master Plan'!$A$8:$A$27,0)),"?")))</f>
        <v/>
      </c>
      <c r="F215" s="60"/>
      <c r="G215" s="114"/>
      <c r="H215" s="60"/>
      <c r="I215" s="116"/>
      <c r="J215" s="225"/>
      <c r="K215" s="206" t="str">
        <f aca="false">IF(F215="","",IF(ISNUMBER(I215),I215,IFERROR(VLOOKUP(F215,RW_TBL,2,0),0)))</f>
        <v/>
      </c>
      <c r="L215" s="226" t="str">
        <f aca="false">IF(F215="","",IF(ISNUMBER(J215),J215,IFERROR(VLOOKUP(F215,RW_TBL,3,0),0)))</f>
        <v/>
      </c>
      <c r="M215" s="113"/>
      <c r="N215" s="114"/>
    </row>
    <row r="216" customFormat="false" ht="15" hidden="false" customHeight="false" outlineLevel="0" collapsed="false">
      <c r="A216" s="131" t="str">
        <f aca="false">IF(B216="","",ROW()-6)</f>
        <v/>
      </c>
      <c r="B216" s="207"/>
      <c r="C216" s="60"/>
      <c r="D216" s="131" t="str">
        <f aca="false">IF(C216="","",IF(OR(C216="ทั้งเฟส",LEFT(C216,4)="ผรม.",LEFT(C216,3)="เขต"),C216,IFERROR(INDEX('Master Plan'!$B$8:$B$27,MATCH(C216,'Master Plan'!$A$8:$A$27,0)),"?")))</f>
        <v/>
      </c>
      <c r="E216" s="118" t="str">
        <f aca="false">IF(C216="","",IF(OR(C216="ทั้งเฟส",LEFT(C216,4)="ผรม.",LEFT(C216,3)="เขต"),C216,IFERROR(INDEX('Master Plan'!$L$8:$L$27,MATCH(C216,'Master Plan'!$A$8:$A$27,0)),"?")))</f>
        <v/>
      </c>
      <c r="F216" s="60"/>
      <c r="G216" s="114"/>
      <c r="H216" s="60"/>
      <c r="I216" s="116"/>
      <c r="J216" s="225"/>
      <c r="K216" s="206" t="str">
        <f aca="false">IF(F216="","",IF(ISNUMBER(I216),I216,IFERROR(VLOOKUP(F216,RW_TBL,2,0),0)))</f>
        <v/>
      </c>
      <c r="L216" s="226" t="str">
        <f aca="false">IF(F216="","",IF(ISNUMBER(J216),J216,IFERROR(VLOOKUP(F216,RW_TBL,3,0),0)))</f>
        <v/>
      </c>
      <c r="M216" s="113"/>
      <c r="N216" s="114"/>
    </row>
    <row r="217" customFormat="false" ht="15" hidden="false" customHeight="false" outlineLevel="0" collapsed="false">
      <c r="A217" s="131" t="str">
        <f aca="false">IF(B217="","",ROW()-6)</f>
        <v/>
      </c>
      <c r="B217" s="207"/>
      <c r="C217" s="60"/>
      <c r="D217" s="131" t="str">
        <f aca="false">IF(C217="","",IF(OR(C217="ทั้งเฟส",LEFT(C217,4)="ผรม.",LEFT(C217,3)="เขต"),C217,IFERROR(INDEX('Master Plan'!$B$8:$B$27,MATCH(C217,'Master Plan'!$A$8:$A$27,0)),"?")))</f>
        <v/>
      </c>
      <c r="E217" s="118" t="str">
        <f aca="false">IF(C217="","",IF(OR(C217="ทั้งเฟส",LEFT(C217,4)="ผรม.",LEFT(C217,3)="เขต"),C217,IFERROR(INDEX('Master Plan'!$L$8:$L$27,MATCH(C217,'Master Plan'!$A$8:$A$27,0)),"?")))</f>
        <v/>
      </c>
      <c r="F217" s="60"/>
      <c r="G217" s="114"/>
      <c r="H217" s="60"/>
      <c r="I217" s="116"/>
      <c r="J217" s="225"/>
      <c r="K217" s="206" t="str">
        <f aca="false">IF(F217="","",IF(ISNUMBER(I217),I217,IFERROR(VLOOKUP(F217,RW_TBL,2,0),0)))</f>
        <v/>
      </c>
      <c r="L217" s="226" t="str">
        <f aca="false">IF(F217="","",IF(ISNUMBER(J217),J217,IFERROR(VLOOKUP(F217,RW_TBL,3,0),0)))</f>
        <v/>
      </c>
      <c r="M217" s="113"/>
      <c r="N217" s="114"/>
    </row>
    <row r="218" customFormat="false" ht="15" hidden="false" customHeight="false" outlineLevel="0" collapsed="false">
      <c r="A218" s="131" t="str">
        <f aca="false">IF(B218="","",ROW()-6)</f>
        <v/>
      </c>
      <c r="B218" s="207"/>
      <c r="C218" s="60"/>
      <c r="D218" s="131" t="str">
        <f aca="false">IF(C218="","",IF(OR(C218="ทั้งเฟส",LEFT(C218,4)="ผรม.",LEFT(C218,3)="เขต"),C218,IFERROR(INDEX('Master Plan'!$B$8:$B$27,MATCH(C218,'Master Plan'!$A$8:$A$27,0)),"?")))</f>
        <v/>
      </c>
      <c r="E218" s="118" t="str">
        <f aca="false">IF(C218="","",IF(OR(C218="ทั้งเฟส",LEFT(C218,4)="ผรม.",LEFT(C218,3)="เขต"),C218,IFERROR(INDEX('Master Plan'!$L$8:$L$27,MATCH(C218,'Master Plan'!$A$8:$A$27,0)),"?")))</f>
        <v/>
      </c>
      <c r="F218" s="60"/>
      <c r="G218" s="114"/>
      <c r="H218" s="60"/>
      <c r="I218" s="116"/>
      <c r="J218" s="225"/>
      <c r="K218" s="206" t="str">
        <f aca="false">IF(F218="","",IF(ISNUMBER(I218),I218,IFERROR(VLOOKUP(F218,RW_TBL,2,0),0)))</f>
        <v/>
      </c>
      <c r="L218" s="226" t="str">
        <f aca="false">IF(F218="","",IF(ISNUMBER(J218),J218,IFERROR(VLOOKUP(F218,RW_TBL,3,0),0)))</f>
        <v/>
      </c>
      <c r="M218" s="113"/>
      <c r="N218" s="114"/>
    </row>
    <row r="219" customFormat="false" ht="15" hidden="false" customHeight="false" outlineLevel="0" collapsed="false">
      <c r="A219" s="131" t="str">
        <f aca="false">IF(B219="","",ROW()-6)</f>
        <v/>
      </c>
      <c r="B219" s="207"/>
      <c r="C219" s="60"/>
      <c r="D219" s="131" t="str">
        <f aca="false">IF(C219="","",IF(OR(C219="ทั้งเฟส",LEFT(C219,4)="ผรม.",LEFT(C219,3)="เขต"),C219,IFERROR(INDEX('Master Plan'!$B$8:$B$27,MATCH(C219,'Master Plan'!$A$8:$A$27,0)),"?")))</f>
        <v/>
      </c>
      <c r="E219" s="118" t="str">
        <f aca="false">IF(C219="","",IF(OR(C219="ทั้งเฟส",LEFT(C219,4)="ผรม.",LEFT(C219,3)="เขต"),C219,IFERROR(INDEX('Master Plan'!$L$8:$L$27,MATCH(C219,'Master Plan'!$A$8:$A$27,0)),"?")))</f>
        <v/>
      </c>
      <c r="F219" s="60"/>
      <c r="G219" s="114"/>
      <c r="H219" s="60"/>
      <c r="I219" s="116"/>
      <c r="J219" s="225"/>
      <c r="K219" s="206" t="str">
        <f aca="false">IF(F219="","",IF(ISNUMBER(I219),I219,IFERROR(VLOOKUP(F219,RW_TBL,2,0),0)))</f>
        <v/>
      </c>
      <c r="L219" s="226" t="str">
        <f aca="false">IF(F219="","",IF(ISNUMBER(J219),J219,IFERROR(VLOOKUP(F219,RW_TBL,3,0),0)))</f>
        <v/>
      </c>
      <c r="M219" s="113"/>
      <c r="N219" s="114"/>
    </row>
    <row r="220" customFormat="false" ht="15" hidden="false" customHeight="false" outlineLevel="0" collapsed="false">
      <c r="A220" s="131" t="str">
        <f aca="false">IF(B220="","",ROW()-6)</f>
        <v/>
      </c>
      <c r="B220" s="207"/>
      <c r="C220" s="60"/>
      <c r="D220" s="131" t="str">
        <f aca="false">IF(C220="","",IF(OR(C220="ทั้งเฟส",LEFT(C220,4)="ผรม.",LEFT(C220,3)="เขต"),C220,IFERROR(INDEX('Master Plan'!$B$8:$B$27,MATCH(C220,'Master Plan'!$A$8:$A$27,0)),"?")))</f>
        <v/>
      </c>
      <c r="E220" s="118" t="str">
        <f aca="false">IF(C220="","",IF(OR(C220="ทั้งเฟส",LEFT(C220,4)="ผรม.",LEFT(C220,3)="เขต"),C220,IFERROR(INDEX('Master Plan'!$L$8:$L$27,MATCH(C220,'Master Plan'!$A$8:$A$27,0)),"?")))</f>
        <v/>
      </c>
      <c r="F220" s="60"/>
      <c r="G220" s="114"/>
      <c r="H220" s="60"/>
      <c r="I220" s="116"/>
      <c r="J220" s="225"/>
      <c r="K220" s="206" t="str">
        <f aca="false">IF(F220="","",IF(ISNUMBER(I220),I220,IFERROR(VLOOKUP(F220,RW_TBL,2,0),0)))</f>
        <v/>
      </c>
      <c r="L220" s="226" t="str">
        <f aca="false">IF(F220="","",IF(ISNUMBER(J220),J220,IFERROR(VLOOKUP(F220,RW_TBL,3,0),0)))</f>
        <v/>
      </c>
      <c r="M220" s="113"/>
      <c r="N220" s="114"/>
    </row>
    <row r="221" customFormat="false" ht="15" hidden="false" customHeight="false" outlineLevel="0" collapsed="false">
      <c r="A221" s="131" t="str">
        <f aca="false">IF(B221="","",ROW()-6)</f>
        <v/>
      </c>
      <c r="B221" s="207"/>
      <c r="C221" s="60"/>
      <c r="D221" s="131" t="str">
        <f aca="false">IF(C221="","",IF(OR(C221="ทั้งเฟส",LEFT(C221,4)="ผรม.",LEFT(C221,3)="เขต"),C221,IFERROR(INDEX('Master Plan'!$B$8:$B$27,MATCH(C221,'Master Plan'!$A$8:$A$27,0)),"?")))</f>
        <v/>
      </c>
      <c r="E221" s="118" t="str">
        <f aca="false">IF(C221="","",IF(OR(C221="ทั้งเฟส",LEFT(C221,4)="ผรม.",LEFT(C221,3)="เขต"),C221,IFERROR(INDEX('Master Plan'!$L$8:$L$27,MATCH(C221,'Master Plan'!$A$8:$A$27,0)),"?")))</f>
        <v/>
      </c>
      <c r="F221" s="60"/>
      <c r="G221" s="114"/>
      <c r="H221" s="60"/>
      <c r="I221" s="116"/>
      <c r="J221" s="225"/>
      <c r="K221" s="206" t="str">
        <f aca="false">IF(F221="","",IF(ISNUMBER(I221),I221,IFERROR(VLOOKUP(F221,RW_TBL,2,0),0)))</f>
        <v/>
      </c>
      <c r="L221" s="226" t="str">
        <f aca="false">IF(F221="","",IF(ISNUMBER(J221),J221,IFERROR(VLOOKUP(F221,RW_TBL,3,0),0)))</f>
        <v/>
      </c>
      <c r="M221" s="113"/>
      <c r="N221" s="114"/>
    </row>
    <row r="222" customFormat="false" ht="15" hidden="false" customHeight="false" outlineLevel="0" collapsed="false">
      <c r="A222" s="131" t="str">
        <f aca="false">IF(B222="","",ROW()-6)</f>
        <v/>
      </c>
      <c r="B222" s="207"/>
      <c r="C222" s="60"/>
      <c r="D222" s="131" t="str">
        <f aca="false">IF(C222="","",IF(OR(C222="ทั้งเฟส",LEFT(C222,4)="ผรม.",LEFT(C222,3)="เขต"),C222,IFERROR(INDEX('Master Plan'!$B$8:$B$27,MATCH(C222,'Master Plan'!$A$8:$A$27,0)),"?")))</f>
        <v/>
      </c>
      <c r="E222" s="118" t="str">
        <f aca="false">IF(C222="","",IF(OR(C222="ทั้งเฟส",LEFT(C222,4)="ผรม.",LEFT(C222,3)="เขต"),C222,IFERROR(INDEX('Master Plan'!$L$8:$L$27,MATCH(C222,'Master Plan'!$A$8:$A$27,0)),"?")))</f>
        <v/>
      </c>
      <c r="F222" s="60"/>
      <c r="G222" s="114"/>
      <c r="H222" s="60"/>
      <c r="I222" s="116"/>
      <c r="J222" s="225"/>
      <c r="K222" s="206" t="str">
        <f aca="false">IF(F222="","",IF(ISNUMBER(I222),I222,IFERROR(VLOOKUP(F222,RW_TBL,2,0),0)))</f>
        <v/>
      </c>
      <c r="L222" s="226" t="str">
        <f aca="false">IF(F222="","",IF(ISNUMBER(J222),J222,IFERROR(VLOOKUP(F222,RW_TBL,3,0),0)))</f>
        <v/>
      </c>
      <c r="M222" s="113"/>
      <c r="N222" s="114"/>
    </row>
    <row r="223" customFormat="false" ht="15" hidden="false" customHeight="false" outlineLevel="0" collapsed="false">
      <c r="A223" s="131" t="str">
        <f aca="false">IF(B223="","",ROW()-6)</f>
        <v/>
      </c>
      <c r="B223" s="207"/>
      <c r="C223" s="60"/>
      <c r="D223" s="131" t="str">
        <f aca="false">IF(C223="","",IF(OR(C223="ทั้งเฟส",LEFT(C223,4)="ผรม.",LEFT(C223,3)="เขต"),C223,IFERROR(INDEX('Master Plan'!$B$8:$B$27,MATCH(C223,'Master Plan'!$A$8:$A$27,0)),"?")))</f>
        <v/>
      </c>
      <c r="E223" s="118" t="str">
        <f aca="false">IF(C223="","",IF(OR(C223="ทั้งเฟส",LEFT(C223,4)="ผรม.",LEFT(C223,3)="เขต"),C223,IFERROR(INDEX('Master Plan'!$L$8:$L$27,MATCH(C223,'Master Plan'!$A$8:$A$27,0)),"?")))</f>
        <v/>
      </c>
      <c r="F223" s="60"/>
      <c r="G223" s="114"/>
      <c r="H223" s="60"/>
      <c r="I223" s="116"/>
      <c r="J223" s="225"/>
      <c r="K223" s="206" t="str">
        <f aca="false">IF(F223="","",IF(ISNUMBER(I223),I223,IFERROR(VLOOKUP(F223,RW_TBL,2,0),0)))</f>
        <v/>
      </c>
      <c r="L223" s="226" t="str">
        <f aca="false">IF(F223="","",IF(ISNUMBER(J223),J223,IFERROR(VLOOKUP(F223,RW_TBL,3,0),0)))</f>
        <v/>
      </c>
      <c r="M223" s="113"/>
      <c r="N223" s="114"/>
    </row>
    <row r="224" customFormat="false" ht="15" hidden="false" customHeight="false" outlineLevel="0" collapsed="false">
      <c r="A224" s="131" t="str">
        <f aca="false">IF(B224="","",ROW()-6)</f>
        <v/>
      </c>
      <c r="B224" s="207"/>
      <c r="C224" s="60"/>
      <c r="D224" s="131" t="str">
        <f aca="false">IF(C224="","",IF(OR(C224="ทั้งเฟส",LEFT(C224,4)="ผรม.",LEFT(C224,3)="เขต"),C224,IFERROR(INDEX('Master Plan'!$B$8:$B$27,MATCH(C224,'Master Plan'!$A$8:$A$27,0)),"?")))</f>
        <v/>
      </c>
      <c r="E224" s="118" t="str">
        <f aca="false">IF(C224="","",IF(OR(C224="ทั้งเฟส",LEFT(C224,4)="ผรม.",LEFT(C224,3)="เขต"),C224,IFERROR(INDEX('Master Plan'!$L$8:$L$27,MATCH(C224,'Master Plan'!$A$8:$A$27,0)),"?")))</f>
        <v/>
      </c>
      <c r="F224" s="60"/>
      <c r="G224" s="114"/>
      <c r="H224" s="60"/>
      <c r="I224" s="116"/>
      <c r="J224" s="225"/>
      <c r="K224" s="206" t="str">
        <f aca="false">IF(F224="","",IF(ISNUMBER(I224),I224,IFERROR(VLOOKUP(F224,RW_TBL,2,0),0)))</f>
        <v/>
      </c>
      <c r="L224" s="226" t="str">
        <f aca="false">IF(F224="","",IF(ISNUMBER(J224),J224,IFERROR(VLOOKUP(F224,RW_TBL,3,0),0)))</f>
        <v/>
      </c>
      <c r="M224" s="113"/>
      <c r="N224" s="114"/>
    </row>
    <row r="225" customFormat="false" ht="15" hidden="false" customHeight="false" outlineLevel="0" collapsed="false">
      <c r="A225" s="131" t="str">
        <f aca="false">IF(B225="","",ROW()-6)</f>
        <v/>
      </c>
      <c r="B225" s="207"/>
      <c r="C225" s="60"/>
      <c r="D225" s="131" t="str">
        <f aca="false">IF(C225="","",IF(OR(C225="ทั้งเฟส",LEFT(C225,4)="ผรม.",LEFT(C225,3)="เขต"),C225,IFERROR(INDEX('Master Plan'!$B$8:$B$27,MATCH(C225,'Master Plan'!$A$8:$A$27,0)),"?")))</f>
        <v/>
      </c>
      <c r="E225" s="118" t="str">
        <f aca="false">IF(C225="","",IF(OR(C225="ทั้งเฟส",LEFT(C225,4)="ผรม.",LEFT(C225,3)="เขต"),C225,IFERROR(INDEX('Master Plan'!$L$8:$L$27,MATCH(C225,'Master Plan'!$A$8:$A$27,0)),"?")))</f>
        <v/>
      </c>
      <c r="F225" s="60"/>
      <c r="G225" s="114"/>
      <c r="H225" s="60"/>
      <c r="I225" s="116"/>
      <c r="J225" s="225"/>
      <c r="K225" s="206" t="str">
        <f aca="false">IF(F225="","",IF(ISNUMBER(I225),I225,IFERROR(VLOOKUP(F225,RW_TBL,2,0),0)))</f>
        <v/>
      </c>
      <c r="L225" s="226" t="str">
        <f aca="false">IF(F225="","",IF(ISNUMBER(J225),J225,IFERROR(VLOOKUP(F225,RW_TBL,3,0),0)))</f>
        <v/>
      </c>
      <c r="M225" s="113"/>
      <c r="N225" s="114"/>
    </row>
    <row r="226" customFormat="false" ht="15" hidden="false" customHeight="false" outlineLevel="0" collapsed="false">
      <c r="A226" s="131" t="str">
        <f aca="false">IF(B226="","",ROW()-6)</f>
        <v/>
      </c>
      <c r="B226" s="207"/>
      <c r="C226" s="60"/>
      <c r="D226" s="131" t="str">
        <f aca="false">IF(C226="","",IF(OR(C226="ทั้งเฟส",LEFT(C226,4)="ผรม.",LEFT(C226,3)="เขต"),C226,IFERROR(INDEX('Master Plan'!$B$8:$B$27,MATCH(C226,'Master Plan'!$A$8:$A$27,0)),"?")))</f>
        <v/>
      </c>
      <c r="E226" s="118" t="str">
        <f aca="false">IF(C226="","",IF(OR(C226="ทั้งเฟส",LEFT(C226,4)="ผรม.",LEFT(C226,3)="เขต"),C226,IFERROR(INDEX('Master Plan'!$L$8:$L$27,MATCH(C226,'Master Plan'!$A$8:$A$27,0)),"?")))</f>
        <v/>
      </c>
      <c r="F226" s="60"/>
      <c r="G226" s="114"/>
      <c r="H226" s="60"/>
      <c r="I226" s="116"/>
      <c r="J226" s="225"/>
      <c r="K226" s="206" t="str">
        <f aca="false">IF(F226="","",IF(ISNUMBER(I226),I226,IFERROR(VLOOKUP(F226,RW_TBL,2,0),0)))</f>
        <v/>
      </c>
      <c r="L226" s="226" t="str">
        <f aca="false">IF(F226="","",IF(ISNUMBER(J226),J226,IFERROR(VLOOKUP(F226,RW_TBL,3,0),0)))</f>
        <v/>
      </c>
      <c r="M226" s="113"/>
      <c r="N226" s="114"/>
    </row>
    <row r="227" customFormat="false" ht="15" hidden="false" customHeight="false" outlineLevel="0" collapsed="false">
      <c r="A227" s="131" t="str">
        <f aca="false">IF(B227="","",ROW()-6)</f>
        <v/>
      </c>
      <c r="B227" s="207"/>
      <c r="C227" s="60"/>
      <c r="D227" s="131" t="str">
        <f aca="false">IF(C227="","",IF(OR(C227="ทั้งเฟส",LEFT(C227,4)="ผรม.",LEFT(C227,3)="เขต"),C227,IFERROR(INDEX('Master Plan'!$B$8:$B$27,MATCH(C227,'Master Plan'!$A$8:$A$27,0)),"?")))</f>
        <v/>
      </c>
      <c r="E227" s="118" t="str">
        <f aca="false">IF(C227="","",IF(OR(C227="ทั้งเฟส",LEFT(C227,4)="ผรม.",LEFT(C227,3)="เขต"),C227,IFERROR(INDEX('Master Plan'!$L$8:$L$27,MATCH(C227,'Master Plan'!$A$8:$A$27,0)),"?")))</f>
        <v/>
      </c>
      <c r="F227" s="60"/>
      <c r="G227" s="114"/>
      <c r="H227" s="60"/>
      <c r="I227" s="116"/>
      <c r="J227" s="225"/>
      <c r="K227" s="206" t="str">
        <f aca="false">IF(F227="","",IF(ISNUMBER(I227),I227,IFERROR(VLOOKUP(F227,RW_TBL,2,0),0)))</f>
        <v/>
      </c>
      <c r="L227" s="226" t="str">
        <f aca="false">IF(F227="","",IF(ISNUMBER(J227),J227,IFERROR(VLOOKUP(F227,RW_TBL,3,0),0)))</f>
        <v/>
      </c>
      <c r="M227" s="113"/>
      <c r="N227" s="114"/>
    </row>
    <row r="228" customFormat="false" ht="15" hidden="false" customHeight="false" outlineLevel="0" collapsed="false">
      <c r="A228" s="131" t="str">
        <f aca="false">IF(B228="","",ROW()-6)</f>
        <v/>
      </c>
      <c r="B228" s="207"/>
      <c r="C228" s="60"/>
      <c r="D228" s="131" t="str">
        <f aca="false">IF(C228="","",IF(OR(C228="ทั้งเฟส",LEFT(C228,4)="ผรม.",LEFT(C228,3)="เขต"),C228,IFERROR(INDEX('Master Plan'!$B$8:$B$27,MATCH(C228,'Master Plan'!$A$8:$A$27,0)),"?")))</f>
        <v/>
      </c>
      <c r="E228" s="118" t="str">
        <f aca="false">IF(C228="","",IF(OR(C228="ทั้งเฟส",LEFT(C228,4)="ผรม.",LEFT(C228,3)="เขต"),C228,IFERROR(INDEX('Master Plan'!$L$8:$L$27,MATCH(C228,'Master Plan'!$A$8:$A$27,0)),"?")))</f>
        <v/>
      </c>
      <c r="F228" s="60"/>
      <c r="G228" s="114"/>
      <c r="H228" s="60"/>
      <c r="I228" s="116"/>
      <c r="J228" s="225"/>
      <c r="K228" s="206" t="str">
        <f aca="false">IF(F228="","",IF(ISNUMBER(I228),I228,IFERROR(VLOOKUP(F228,RW_TBL,2,0),0)))</f>
        <v/>
      </c>
      <c r="L228" s="226" t="str">
        <f aca="false">IF(F228="","",IF(ISNUMBER(J228),J228,IFERROR(VLOOKUP(F228,RW_TBL,3,0),0)))</f>
        <v/>
      </c>
      <c r="M228" s="113"/>
      <c r="N228" s="114"/>
    </row>
    <row r="229" customFormat="false" ht="15" hidden="false" customHeight="false" outlineLevel="0" collapsed="false">
      <c r="A229" s="131" t="str">
        <f aca="false">IF(B229="","",ROW()-6)</f>
        <v/>
      </c>
      <c r="B229" s="207"/>
      <c r="C229" s="60"/>
      <c r="D229" s="131" t="str">
        <f aca="false">IF(C229="","",IF(OR(C229="ทั้งเฟส",LEFT(C229,4)="ผรม.",LEFT(C229,3)="เขต"),C229,IFERROR(INDEX('Master Plan'!$B$8:$B$27,MATCH(C229,'Master Plan'!$A$8:$A$27,0)),"?")))</f>
        <v/>
      </c>
      <c r="E229" s="118" t="str">
        <f aca="false">IF(C229="","",IF(OR(C229="ทั้งเฟส",LEFT(C229,4)="ผรม.",LEFT(C229,3)="เขต"),C229,IFERROR(INDEX('Master Plan'!$L$8:$L$27,MATCH(C229,'Master Plan'!$A$8:$A$27,0)),"?")))</f>
        <v/>
      </c>
      <c r="F229" s="60"/>
      <c r="G229" s="114"/>
      <c r="H229" s="60"/>
      <c r="I229" s="116"/>
      <c r="J229" s="225"/>
      <c r="K229" s="206" t="str">
        <f aca="false">IF(F229="","",IF(ISNUMBER(I229),I229,IFERROR(VLOOKUP(F229,RW_TBL,2,0),0)))</f>
        <v/>
      </c>
      <c r="L229" s="226" t="str">
        <f aca="false">IF(F229="","",IF(ISNUMBER(J229),J229,IFERROR(VLOOKUP(F229,RW_TBL,3,0),0)))</f>
        <v/>
      </c>
      <c r="M229" s="113"/>
      <c r="N229" s="114"/>
    </row>
    <row r="230" customFormat="false" ht="15" hidden="false" customHeight="false" outlineLevel="0" collapsed="false">
      <c r="A230" s="131" t="str">
        <f aca="false">IF(B230="","",ROW()-6)</f>
        <v/>
      </c>
      <c r="B230" s="207"/>
      <c r="C230" s="60"/>
      <c r="D230" s="131" t="str">
        <f aca="false">IF(C230="","",IF(OR(C230="ทั้งเฟส",LEFT(C230,4)="ผรม.",LEFT(C230,3)="เขต"),C230,IFERROR(INDEX('Master Plan'!$B$8:$B$27,MATCH(C230,'Master Plan'!$A$8:$A$27,0)),"?")))</f>
        <v/>
      </c>
      <c r="E230" s="118" t="str">
        <f aca="false">IF(C230="","",IF(OR(C230="ทั้งเฟส",LEFT(C230,4)="ผรม.",LEFT(C230,3)="เขต"),C230,IFERROR(INDEX('Master Plan'!$L$8:$L$27,MATCH(C230,'Master Plan'!$A$8:$A$27,0)),"?")))</f>
        <v/>
      </c>
      <c r="F230" s="60"/>
      <c r="G230" s="114"/>
      <c r="H230" s="60"/>
      <c r="I230" s="116"/>
      <c r="J230" s="225"/>
      <c r="K230" s="206" t="str">
        <f aca="false">IF(F230="","",IF(ISNUMBER(I230),I230,IFERROR(VLOOKUP(F230,RW_TBL,2,0),0)))</f>
        <v/>
      </c>
      <c r="L230" s="226" t="str">
        <f aca="false">IF(F230="","",IF(ISNUMBER(J230),J230,IFERROR(VLOOKUP(F230,RW_TBL,3,0),0)))</f>
        <v/>
      </c>
      <c r="M230" s="113"/>
      <c r="N230" s="114"/>
    </row>
    <row r="231" customFormat="false" ht="15" hidden="false" customHeight="false" outlineLevel="0" collapsed="false">
      <c r="A231" s="131" t="str">
        <f aca="false">IF(B231="","",ROW()-6)</f>
        <v/>
      </c>
      <c r="B231" s="207"/>
      <c r="C231" s="60"/>
      <c r="D231" s="131" t="str">
        <f aca="false">IF(C231="","",IF(OR(C231="ทั้งเฟส",LEFT(C231,4)="ผรม.",LEFT(C231,3)="เขต"),C231,IFERROR(INDEX('Master Plan'!$B$8:$B$27,MATCH(C231,'Master Plan'!$A$8:$A$27,0)),"?")))</f>
        <v/>
      </c>
      <c r="E231" s="118" t="str">
        <f aca="false">IF(C231="","",IF(OR(C231="ทั้งเฟส",LEFT(C231,4)="ผรม.",LEFT(C231,3)="เขต"),C231,IFERROR(INDEX('Master Plan'!$L$8:$L$27,MATCH(C231,'Master Plan'!$A$8:$A$27,0)),"?")))</f>
        <v/>
      </c>
      <c r="F231" s="60"/>
      <c r="G231" s="114"/>
      <c r="H231" s="60"/>
      <c r="I231" s="116"/>
      <c r="J231" s="225"/>
      <c r="K231" s="206" t="str">
        <f aca="false">IF(F231="","",IF(ISNUMBER(I231),I231,IFERROR(VLOOKUP(F231,RW_TBL,2,0),0)))</f>
        <v/>
      </c>
      <c r="L231" s="226" t="str">
        <f aca="false">IF(F231="","",IF(ISNUMBER(J231),J231,IFERROR(VLOOKUP(F231,RW_TBL,3,0),0)))</f>
        <v/>
      </c>
      <c r="M231" s="113"/>
      <c r="N231" s="114"/>
    </row>
    <row r="232" customFormat="false" ht="15" hidden="false" customHeight="false" outlineLevel="0" collapsed="false">
      <c r="A232" s="131" t="str">
        <f aca="false">IF(B232="","",ROW()-6)</f>
        <v/>
      </c>
      <c r="B232" s="207"/>
      <c r="C232" s="60"/>
      <c r="D232" s="131" t="str">
        <f aca="false">IF(C232="","",IF(OR(C232="ทั้งเฟส",LEFT(C232,4)="ผรม.",LEFT(C232,3)="เขต"),C232,IFERROR(INDEX('Master Plan'!$B$8:$B$27,MATCH(C232,'Master Plan'!$A$8:$A$27,0)),"?")))</f>
        <v/>
      </c>
      <c r="E232" s="118" t="str">
        <f aca="false">IF(C232="","",IF(OR(C232="ทั้งเฟส",LEFT(C232,4)="ผรม.",LEFT(C232,3)="เขต"),C232,IFERROR(INDEX('Master Plan'!$L$8:$L$27,MATCH(C232,'Master Plan'!$A$8:$A$27,0)),"?")))</f>
        <v/>
      </c>
      <c r="F232" s="60"/>
      <c r="G232" s="114"/>
      <c r="H232" s="60"/>
      <c r="I232" s="116"/>
      <c r="J232" s="225"/>
      <c r="K232" s="206" t="str">
        <f aca="false">IF(F232="","",IF(ISNUMBER(I232),I232,IFERROR(VLOOKUP(F232,RW_TBL,2,0),0)))</f>
        <v/>
      </c>
      <c r="L232" s="226" t="str">
        <f aca="false">IF(F232="","",IF(ISNUMBER(J232),J232,IFERROR(VLOOKUP(F232,RW_TBL,3,0),0)))</f>
        <v/>
      </c>
      <c r="M232" s="113"/>
      <c r="N232" s="114"/>
    </row>
    <row r="233" customFormat="false" ht="15" hidden="false" customHeight="false" outlineLevel="0" collapsed="false">
      <c r="A233" s="131" t="str">
        <f aca="false">IF(B233="","",ROW()-6)</f>
        <v/>
      </c>
      <c r="B233" s="207"/>
      <c r="C233" s="60"/>
      <c r="D233" s="131" t="str">
        <f aca="false">IF(C233="","",IF(OR(C233="ทั้งเฟส",LEFT(C233,4)="ผรม.",LEFT(C233,3)="เขต"),C233,IFERROR(INDEX('Master Plan'!$B$8:$B$27,MATCH(C233,'Master Plan'!$A$8:$A$27,0)),"?")))</f>
        <v/>
      </c>
      <c r="E233" s="118" t="str">
        <f aca="false">IF(C233="","",IF(OR(C233="ทั้งเฟส",LEFT(C233,4)="ผรม.",LEFT(C233,3)="เขต"),C233,IFERROR(INDEX('Master Plan'!$L$8:$L$27,MATCH(C233,'Master Plan'!$A$8:$A$27,0)),"?")))</f>
        <v/>
      </c>
      <c r="F233" s="60"/>
      <c r="G233" s="114"/>
      <c r="H233" s="60"/>
      <c r="I233" s="116"/>
      <c r="J233" s="225"/>
      <c r="K233" s="206" t="str">
        <f aca="false">IF(F233="","",IF(ISNUMBER(I233),I233,IFERROR(VLOOKUP(F233,RW_TBL,2,0),0)))</f>
        <v/>
      </c>
      <c r="L233" s="226" t="str">
        <f aca="false">IF(F233="","",IF(ISNUMBER(J233),J233,IFERROR(VLOOKUP(F233,RW_TBL,3,0),0)))</f>
        <v/>
      </c>
      <c r="M233" s="113"/>
      <c r="N233" s="114"/>
    </row>
    <row r="234" customFormat="false" ht="15" hidden="false" customHeight="false" outlineLevel="0" collapsed="false">
      <c r="A234" s="131" t="str">
        <f aca="false">IF(B234="","",ROW()-6)</f>
        <v/>
      </c>
      <c r="B234" s="207"/>
      <c r="C234" s="60"/>
      <c r="D234" s="131" t="str">
        <f aca="false">IF(C234="","",IF(OR(C234="ทั้งเฟส",LEFT(C234,4)="ผรม.",LEFT(C234,3)="เขต"),C234,IFERROR(INDEX('Master Plan'!$B$8:$B$27,MATCH(C234,'Master Plan'!$A$8:$A$27,0)),"?")))</f>
        <v/>
      </c>
      <c r="E234" s="118" t="str">
        <f aca="false">IF(C234="","",IF(OR(C234="ทั้งเฟส",LEFT(C234,4)="ผรม.",LEFT(C234,3)="เขต"),C234,IFERROR(INDEX('Master Plan'!$L$8:$L$27,MATCH(C234,'Master Plan'!$A$8:$A$27,0)),"?")))</f>
        <v/>
      </c>
      <c r="F234" s="60"/>
      <c r="G234" s="114"/>
      <c r="H234" s="60"/>
      <c r="I234" s="116"/>
      <c r="J234" s="225"/>
      <c r="K234" s="206" t="str">
        <f aca="false">IF(F234="","",IF(ISNUMBER(I234),I234,IFERROR(VLOOKUP(F234,RW_TBL,2,0),0)))</f>
        <v/>
      </c>
      <c r="L234" s="226" t="str">
        <f aca="false">IF(F234="","",IF(ISNUMBER(J234),J234,IFERROR(VLOOKUP(F234,RW_TBL,3,0),0)))</f>
        <v/>
      </c>
      <c r="M234" s="113"/>
      <c r="N234" s="114"/>
    </row>
    <row r="235" customFormat="false" ht="15" hidden="false" customHeight="false" outlineLevel="0" collapsed="false">
      <c r="A235" s="131" t="str">
        <f aca="false">IF(B235="","",ROW()-6)</f>
        <v/>
      </c>
      <c r="B235" s="207"/>
      <c r="C235" s="60"/>
      <c r="D235" s="131" t="str">
        <f aca="false">IF(C235="","",IF(OR(C235="ทั้งเฟส",LEFT(C235,4)="ผรม.",LEFT(C235,3)="เขต"),C235,IFERROR(INDEX('Master Plan'!$B$8:$B$27,MATCH(C235,'Master Plan'!$A$8:$A$27,0)),"?")))</f>
        <v/>
      </c>
      <c r="E235" s="118" t="str">
        <f aca="false">IF(C235="","",IF(OR(C235="ทั้งเฟส",LEFT(C235,4)="ผรม.",LEFT(C235,3)="เขต"),C235,IFERROR(INDEX('Master Plan'!$L$8:$L$27,MATCH(C235,'Master Plan'!$A$8:$A$27,0)),"?")))</f>
        <v/>
      </c>
      <c r="F235" s="60"/>
      <c r="G235" s="114"/>
      <c r="H235" s="60"/>
      <c r="I235" s="116"/>
      <c r="J235" s="225"/>
      <c r="K235" s="206" t="str">
        <f aca="false">IF(F235="","",IF(ISNUMBER(I235),I235,IFERROR(VLOOKUP(F235,RW_TBL,2,0),0)))</f>
        <v/>
      </c>
      <c r="L235" s="226" t="str">
        <f aca="false">IF(F235="","",IF(ISNUMBER(J235),J235,IFERROR(VLOOKUP(F235,RW_TBL,3,0),0)))</f>
        <v/>
      </c>
      <c r="M235" s="113"/>
      <c r="N235" s="114"/>
    </row>
    <row r="236" customFormat="false" ht="15" hidden="false" customHeight="false" outlineLevel="0" collapsed="false">
      <c r="A236" s="131" t="str">
        <f aca="false">IF(B236="","",ROW()-6)</f>
        <v/>
      </c>
      <c r="B236" s="207"/>
      <c r="C236" s="60"/>
      <c r="D236" s="131" t="str">
        <f aca="false">IF(C236="","",IF(OR(C236="ทั้งเฟส",LEFT(C236,4)="ผรม.",LEFT(C236,3)="เขต"),C236,IFERROR(INDEX('Master Plan'!$B$8:$B$27,MATCH(C236,'Master Plan'!$A$8:$A$27,0)),"?")))</f>
        <v/>
      </c>
      <c r="E236" s="118" t="str">
        <f aca="false">IF(C236="","",IF(OR(C236="ทั้งเฟส",LEFT(C236,4)="ผรม.",LEFT(C236,3)="เขต"),C236,IFERROR(INDEX('Master Plan'!$L$8:$L$27,MATCH(C236,'Master Plan'!$A$8:$A$27,0)),"?")))</f>
        <v/>
      </c>
      <c r="F236" s="60"/>
      <c r="G236" s="114"/>
      <c r="H236" s="60"/>
      <c r="I236" s="116"/>
      <c r="J236" s="225"/>
      <c r="K236" s="206" t="str">
        <f aca="false">IF(F236="","",IF(ISNUMBER(I236),I236,IFERROR(VLOOKUP(F236,RW_TBL,2,0),0)))</f>
        <v/>
      </c>
      <c r="L236" s="226" t="str">
        <f aca="false">IF(F236="","",IF(ISNUMBER(J236),J236,IFERROR(VLOOKUP(F236,RW_TBL,3,0),0)))</f>
        <v/>
      </c>
      <c r="M236" s="113"/>
      <c r="N236" s="114"/>
    </row>
    <row r="237" customFormat="false" ht="15" hidden="false" customHeight="false" outlineLevel="0" collapsed="false">
      <c r="A237" s="131" t="str">
        <f aca="false">IF(B237="","",ROW()-6)</f>
        <v/>
      </c>
      <c r="B237" s="207"/>
      <c r="C237" s="60"/>
      <c r="D237" s="131" t="str">
        <f aca="false">IF(C237="","",IF(OR(C237="ทั้งเฟส",LEFT(C237,4)="ผรม.",LEFT(C237,3)="เขต"),C237,IFERROR(INDEX('Master Plan'!$B$8:$B$27,MATCH(C237,'Master Plan'!$A$8:$A$27,0)),"?")))</f>
        <v/>
      </c>
      <c r="E237" s="118" t="str">
        <f aca="false">IF(C237="","",IF(OR(C237="ทั้งเฟส",LEFT(C237,4)="ผรม.",LEFT(C237,3)="เขต"),C237,IFERROR(INDEX('Master Plan'!$L$8:$L$27,MATCH(C237,'Master Plan'!$A$8:$A$27,0)),"?")))</f>
        <v/>
      </c>
      <c r="F237" s="60"/>
      <c r="G237" s="114"/>
      <c r="H237" s="60"/>
      <c r="I237" s="116"/>
      <c r="J237" s="225"/>
      <c r="K237" s="206" t="str">
        <f aca="false">IF(F237="","",IF(ISNUMBER(I237),I237,IFERROR(VLOOKUP(F237,RW_TBL,2,0),0)))</f>
        <v/>
      </c>
      <c r="L237" s="226" t="str">
        <f aca="false">IF(F237="","",IF(ISNUMBER(J237),J237,IFERROR(VLOOKUP(F237,RW_TBL,3,0),0)))</f>
        <v/>
      </c>
      <c r="M237" s="113"/>
      <c r="N237" s="114"/>
    </row>
    <row r="238" customFormat="false" ht="15" hidden="false" customHeight="false" outlineLevel="0" collapsed="false">
      <c r="A238" s="131" t="str">
        <f aca="false">IF(B238="","",ROW()-6)</f>
        <v/>
      </c>
      <c r="B238" s="207"/>
      <c r="C238" s="60"/>
      <c r="D238" s="131" t="str">
        <f aca="false">IF(C238="","",IF(OR(C238="ทั้งเฟส",LEFT(C238,4)="ผรม.",LEFT(C238,3)="เขต"),C238,IFERROR(INDEX('Master Plan'!$B$8:$B$27,MATCH(C238,'Master Plan'!$A$8:$A$27,0)),"?")))</f>
        <v/>
      </c>
      <c r="E238" s="118" t="str">
        <f aca="false">IF(C238="","",IF(OR(C238="ทั้งเฟส",LEFT(C238,4)="ผรม.",LEFT(C238,3)="เขต"),C238,IFERROR(INDEX('Master Plan'!$L$8:$L$27,MATCH(C238,'Master Plan'!$A$8:$A$27,0)),"?")))</f>
        <v/>
      </c>
      <c r="F238" s="60"/>
      <c r="G238" s="114"/>
      <c r="H238" s="60"/>
      <c r="I238" s="116"/>
      <c r="J238" s="225"/>
      <c r="K238" s="206" t="str">
        <f aca="false">IF(F238="","",IF(ISNUMBER(I238),I238,IFERROR(VLOOKUP(F238,RW_TBL,2,0),0)))</f>
        <v/>
      </c>
      <c r="L238" s="226" t="str">
        <f aca="false">IF(F238="","",IF(ISNUMBER(J238),J238,IFERROR(VLOOKUP(F238,RW_TBL,3,0),0)))</f>
        <v/>
      </c>
      <c r="M238" s="113"/>
      <c r="N238" s="114"/>
    </row>
    <row r="239" customFormat="false" ht="15" hidden="false" customHeight="false" outlineLevel="0" collapsed="false">
      <c r="A239" s="131" t="str">
        <f aca="false">IF(B239="","",ROW()-6)</f>
        <v/>
      </c>
      <c r="B239" s="207"/>
      <c r="C239" s="60"/>
      <c r="D239" s="131" t="str">
        <f aca="false">IF(C239="","",IF(OR(C239="ทั้งเฟส",LEFT(C239,4)="ผรม.",LEFT(C239,3)="เขต"),C239,IFERROR(INDEX('Master Plan'!$B$8:$B$27,MATCH(C239,'Master Plan'!$A$8:$A$27,0)),"?")))</f>
        <v/>
      </c>
      <c r="E239" s="118" t="str">
        <f aca="false">IF(C239="","",IF(OR(C239="ทั้งเฟส",LEFT(C239,4)="ผรม.",LEFT(C239,3)="เขต"),C239,IFERROR(INDEX('Master Plan'!$L$8:$L$27,MATCH(C239,'Master Plan'!$A$8:$A$27,0)),"?")))</f>
        <v/>
      </c>
      <c r="F239" s="60"/>
      <c r="G239" s="114"/>
      <c r="H239" s="60"/>
      <c r="I239" s="116"/>
      <c r="J239" s="225"/>
      <c r="K239" s="206" t="str">
        <f aca="false">IF(F239="","",IF(ISNUMBER(I239),I239,IFERROR(VLOOKUP(F239,RW_TBL,2,0),0)))</f>
        <v/>
      </c>
      <c r="L239" s="226" t="str">
        <f aca="false">IF(F239="","",IF(ISNUMBER(J239),J239,IFERROR(VLOOKUP(F239,RW_TBL,3,0),0)))</f>
        <v/>
      </c>
      <c r="M239" s="113"/>
      <c r="N239" s="114"/>
    </row>
    <row r="240" customFormat="false" ht="15" hidden="false" customHeight="false" outlineLevel="0" collapsed="false">
      <c r="A240" s="131" t="str">
        <f aca="false">IF(B240="","",ROW()-6)</f>
        <v/>
      </c>
      <c r="B240" s="207"/>
      <c r="C240" s="60"/>
      <c r="D240" s="131" t="str">
        <f aca="false">IF(C240="","",IF(OR(C240="ทั้งเฟส",LEFT(C240,4)="ผรม.",LEFT(C240,3)="เขต"),C240,IFERROR(INDEX('Master Plan'!$B$8:$B$27,MATCH(C240,'Master Plan'!$A$8:$A$27,0)),"?")))</f>
        <v/>
      </c>
      <c r="E240" s="118" t="str">
        <f aca="false">IF(C240="","",IF(OR(C240="ทั้งเฟส",LEFT(C240,4)="ผรม.",LEFT(C240,3)="เขต"),C240,IFERROR(INDEX('Master Plan'!$L$8:$L$27,MATCH(C240,'Master Plan'!$A$8:$A$27,0)),"?")))</f>
        <v/>
      </c>
      <c r="F240" s="60"/>
      <c r="G240" s="114"/>
      <c r="H240" s="60"/>
      <c r="I240" s="116"/>
      <c r="J240" s="225"/>
      <c r="K240" s="206" t="str">
        <f aca="false">IF(F240="","",IF(ISNUMBER(I240),I240,IFERROR(VLOOKUP(F240,RW_TBL,2,0),0)))</f>
        <v/>
      </c>
      <c r="L240" s="226" t="str">
        <f aca="false">IF(F240="","",IF(ISNUMBER(J240),J240,IFERROR(VLOOKUP(F240,RW_TBL,3,0),0)))</f>
        <v/>
      </c>
      <c r="M240" s="113"/>
      <c r="N240" s="114"/>
    </row>
    <row r="241" customFormat="false" ht="15" hidden="false" customHeight="false" outlineLevel="0" collapsed="false">
      <c r="A241" s="131" t="str">
        <f aca="false">IF(B241="","",ROW()-6)</f>
        <v/>
      </c>
      <c r="B241" s="207"/>
      <c r="C241" s="60"/>
      <c r="D241" s="131" t="str">
        <f aca="false">IF(C241="","",IF(OR(C241="ทั้งเฟส",LEFT(C241,4)="ผรม.",LEFT(C241,3)="เขต"),C241,IFERROR(INDEX('Master Plan'!$B$8:$B$27,MATCH(C241,'Master Plan'!$A$8:$A$27,0)),"?")))</f>
        <v/>
      </c>
      <c r="E241" s="118" t="str">
        <f aca="false">IF(C241="","",IF(OR(C241="ทั้งเฟส",LEFT(C241,4)="ผรม.",LEFT(C241,3)="เขต"),C241,IFERROR(INDEX('Master Plan'!$L$8:$L$27,MATCH(C241,'Master Plan'!$A$8:$A$27,0)),"?")))</f>
        <v/>
      </c>
      <c r="F241" s="60"/>
      <c r="G241" s="114"/>
      <c r="H241" s="60"/>
      <c r="I241" s="116"/>
      <c r="J241" s="225"/>
      <c r="K241" s="206" t="str">
        <f aca="false">IF(F241="","",IF(ISNUMBER(I241),I241,IFERROR(VLOOKUP(F241,RW_TBL,2,0),0)))</f>
        <v/>
      </c>
      <c r="L241" s="226" t="str">
        <f aca="false">IF(F241="","",IF(ISNUMBER(J241),J241,IFERROR(VLOOKUP(F241,RW_TBL,3,0),0)))</f>
        <v/>
      </c>
      <c r="M241" s="113"/>
      <c r="N241" s="114"/>
    </row>
    <row r="242" customFormat="false" ht="15" hidden="false" customHeight="false" outlineLevel="0" collapsed="false">
      <c r="A242" s="131" t="str">
        <f aca="false">IF(B242="","",ROW()-6)</f>
        <v/>
      </c>
      <c r="B242" s="207"/>
      <c r="C242" s="60"/>
      <c r="D242" s="131" t="str">
        <f aca="false">IF(C242="","",IF(OR(C242="ทั้งเฟส",LEFT(C242,4)="ผรม.",LEFT(C242,3)="เขต"),C242,IFERROR(INDEX('Master Plan'!$B$8:$B$27,MATCH(C242,'Master Plan'!$A$8:$A$27,0)),"?")))</f>
        <v/>
      </c>
      <c r="E242" s="118" t="str">
        <f aca="false">IF(C242="","",IF(OR(C242="ทั้งเฟส",LEFT(C242,4)="ผรม.",LEFT(C242,3)="เขต"),C242,IFERROR(INDEX('Master Plan'!$L$8:$L$27,MATCH(C242,'Master Plan'!$A$8:$A$27,0)),"?")))</f>
        <v/>
      </c>
      <c r="F242" s="60"/>
      <c r="G242" s="114"/>
      <c r="H242" s="60"/>
      <c r="I242" s="116"/>
      <c r="J242" s="225"/>
      <c r="K242" s="206" t="str">
        <f aca="false">IF(F242="","",IF(ISNUMBER(I242),I242,IFERROR(VLOOKUP(F242,RW_TBL,2,0),0)))</f>
        <v/>
      </c>
      <c r="L242" s="226" t="str">
        <f aca="false">IF(F242="","",IF(ISNUMBER(J242),J242,IFERROR(VLOOKUP(F242,RW_TBL,3,0),0)))</f>
        <v/>
      </c>
      <c r="M242" s="113"/>
      <c r="N242" s="114"/>
    </row>
    <row r="243" customFormat="false" ht="15" hidden="false" customHeight="false" outlineLevel="0" collapsed="false">
      <c r="A243" s="131" t="str">
        <f aca="false">IF(B243="","",ROW()-6)</f>
        <v/>
      </c>
      <c r="B243" s="207"/>
      <c r="C243" s="60"/>
      <c r="D243" s="131" t="str">
        <f aca="false">IF(C243="","",IF(OR(C243="ทั้งเฟส",LEFT(C243,4)="ผรม.",LEFT(C243,3)="เขต"),C243,IFERROR(INDEX('Master Plan'!$B$8:$B$27,MATCH(C243,'Master Plan'!$A$8:$A$27,0)),"?")))</f>
        <v/>
      </c>
      <c r="E243" s="118" t="str">
        <f aca="false">IF(C243="","",IF(OR(C243="ทั้งเฟส",LEFT(C243,4)="ผรม.",LEFT(C243,3)="เขต"),C243,IFERROR(INDEX('Master Plan'!$L$8:$L$27,MATCH(C243,'Master Plan'!$A$8:$A$27,0)),"?")))</f>
        <v/>
      </c>
      <c r="F243" s="60"/>
      <c r="G243" s="114"/>
      <c r="H243" s="60"/>
      <c r="I243" s="116"/>
      <c r="J243" s="225"/>
      <c r="K243" s="206" t="str">
        <f aca="false">IF(F243="","",IF(ISNUMBER(I243),I243,IFERROR(VLOOKUP(F243,RW_TBL,2,0),0)))</f>
        <v/>
      </c>
      <c r="L243" s="226" t="str">
        <f aca="false">IF(F243="","",IF(ISNUMBER(J243),J243,IFERROR(VLOOKUP(F243,RW_TBL,3,0),0)))</f>
        <v/>
      </c>
      <c r="M243" s="113"/>
      <c r="N243" s="114"/>
    </row>
    <row r="244" customFormat="false" ht="15" hidden="false" customHeight="false" outlineLevel="0" collapsed="false">
      <c r="A244" s="131" t="str">
        <f aca="false">IF(B244="","",ROW()-6)</f>
        <v/>
      </c>
      <c r="B244" s="207"/>
      <c r="C244" s="60"/>
      <c r="D244" s="131" t="str">
        <f aca="false">IF(C244="","",IF(OR(C244="ทั้งเฟส",LEFT(C244,4)="ผรม.",LEFT(C244,3)="เขต"),C244,IFERROR(INDEX('Master Plan'!$B$8:$B$27,MATCH(C244,'Master Plan'!$A$8:$A$27,0)),"?")))</f>
        <v/>
      </c>
      <c r="E244" s="118" t="str">
        <f aca="false">IF(C244="","",IF(OR(C244="ทั้งเฟส",LEFT(C244,4)="ผรม.",LEFT(C244,3)="เขต"),C244,IFERROR(INDEX('Master Plan'!$L$8:$L$27,MATCH(C244,'Master Plan'!$A$8:$A$27,0)),"?")))</f>
        <v/>
      </c>
      <c r="F244" s="60"/>
      <c r="G244" s="114"/>
      <c r="H244" s="60"/>
      <c r="I244" s="116"/>
      <c r="J244" s="225"/>
      <c r="K244" s="206" t="str">
        <f aca="false">IF(F244="","",IF(ISNUMBER(I244),I244,IFERROR(VLOOKUP(F244,RW_TBL,2,0),0)))</f>
        <v/>
      </c>
      <c r="L244" s="226" t="str">
        <f aca="false">IF(F244="","",IF(ISNUMBER(J244),J244,IFERROR(VLOOKUP(F244,RW_TBL,3,0),0)))</f>
        <v/>
      </c>
      <c r="M244" s="113"/>
      <c r="N244" s="114"/>
    </row>
    <row r="245" customFormat="false" ht="15" hidden="false" customHeight="false" outlineLevel="0" collapsed="false">
      <c r="A245" s="131" t="str">
        <f aca="false">IF(B245="","",ROW()-6)</f>
        <v/>
      </c>
      <c r="B245" s="207"/>
      <c r="C245" s="60"/>
      <c r="D245" s="131" t="str">
        <f aca="false">IF(C245="","",IF(OR(C245="ทั้งเฟส",LEFT(C245,4)="ผรม.",LEFT(C245,3)="เขต"),C245,IFERROR(INDEX('Master Plan'!$B$8:$B$27,MATCH(C245,'Master Plan'!$A$8:$A$27,0)),"?")))</f>
        <v/>
      </c>
      <c r="E245" s="118" t="str">
        <f aca="false">IF(C245="","",IF(OR(C245="ทั้งเฟส",LEFT(C245,4)="ผรม.",LEFT(C245,3)="เขต"),C245,IFERROR(INDEX('Master Plan'!$L$8:$L$27,MATCH(C245,'Master Plan'!$A$8:$A$27,0)),"?")))</f>
        <v/>
      </c>
      <c r="F245" s="60"/>
      <c r="G245" s="114"/>
      <c r="H245" s="60"/>
      <c r="I245" s="116"/>
      <c r="J245" s="225"/>
      <c r="K245" s="206" t="str">
        <f aca="false">IF(F245="","",IF(ISNUMBER(I245),I245,IFERROR(VLOOKUP(F245,RW_TBL,2,0),0)))</f>
        <v/>
      </c>
      <c r="L245" s="226" t="str">
        <f aca="false">IF(F245="","",IF(ISNUMBER(J245),J245,IFERROR(VLOOKUP(F245,RW_TBL,3,0),0)))</f>
        <v/>
      </c>
      <c r="M245" s="113"/>
      <c r="N245" s="114"/>
    </row>
    <row r="246" customFormat="false" ht="15" hidden="false" customHeight="false" outlineLevel="0" collapsed="false">
      <c r="A246" s="131" t="str">
        <f aca="false">IF(B246="","",ROW()-6)</f>
        <v/>
      </c>
      <c r="B246" s="207"/>
      <c r="C246" s="60"/>
      <c r="D246" s="131" t="str">
        <f aca="false">IF(C246="","",IF(OR(C246="ทั้งเฟส",LEFT(C246,4)="ผรม.",LEFT(C246,3)="เขต"),C246,IFERROR(INDEX('Master Plan'!$B$8:$B$27,MATCH(C246,'Master Plan'!$A$8:$A$27,0)),"?")))</f>
        <v/>
      </c>
      <c r="E246" s="118" t="str">
        <f aca="false">IF(C246="","",IF(OR(C246="ทั้งเฟส",LEFT(C246,4)="ผรม.",LEFT(C246,3)="เขต"),C246,IFERROR(INDEX('Master Plan'!$L$8:$L$27,MATCH(C246,'Master Plan'!$A$8:$A$27,0)),"?")))</f>
        <v/>
      </c>
      <c r="F246" s="60"/>
      <c r="G246" s="114"/>
      <c r="H246" s="60"/>
      <c r="I246" s="116"/>
      <c r="J246" s="225"/>
      <c r="K246" s="206" t="str">
        <f aca="false">IF(F246="","",IF(ISNUMBER(I246),I246,IFERROR(VLOOKUP(F246,RW_TBL,2,0),0)))</f>
        <v/>
      </c>
      <c r="L246" s="226" t="str">
        <f aca="false">IF(F246="","",IF(ISNUMBER(J246),J246,IFERROR(VLOOKUP(F246,RW_TBL,3,0),0)))</f>
        <v/>
      </c>
      <c r="M246" s="113"/>
      <c r="N246" s="114"/>
    </row>
    <row r="247" customFormat="false" ht="15" hidden="false" customHeight="false" outlineLevel="0" collapsed="false">
      <c r="A247" s="131" t="str">
        <f aca="false">IF(B247="","",ROW()-6)</f>
        <v/>
      </c>
      <c r="B247" s="207"/>
      <c r="C247" s="60"/>
      <c r="D247" s="131" t="str">
        <f aca="false">IF(C247="","",IF(OR(C247="ทั้งเฟส",LEFT(C247,4)="ผรม.",LEFT(C247,3)="เขต"),C247,IFERROR(INDEX('Master Plan'!$B$8:$B$27,MATCH(C247,'Master Plan'!$A$8:$A$27,0)),"?")))</f>
        <v/>
      </c>
      <c r="E247" s="118" t="str">
        <f aca="false">IF(C247="","",IF(OR(C247="ทั้งเฟส",LEFT(C247,4)="ผรม.",LEFT(C247,3)="เขต"),C247,IFERROR(INDEX('Master Plan'!$L$8:$L$27,MATCH(C247,'Master Plan'!$A$8:$A$27,0)),"?")))</f>
        <v/>
      </c>
      <c r="F247" s="60"/>
      <c r="G247" s="114"/>
      <c r="H247" s="60"/>
      <c r="I247" s="116"/>
      <c r="J247" s="225"/>
      <c r="K247" s="206" t="str">
        <f aca="false">IF(F247="","",IF(ISNUMBER(I247),I247,IFERROR(VLOOKUP(F247,RW_TBL,2,0),0)))</f>
        <v/>
      </c>
      <c r="L247" s="226" t="str">
        <f aca="false">IF(F247="","",IF(ISNUMBER(J247),J247,IFERROR(VLOOKUP(F247,RW_TBL,3,0),0)))</f>
        <v/>
      </c>
      <c r="M247" s="113"/>
      <c r="N247" s="114"/>
    </row>
    <row r="248" customFormat="false" ht="15" hidden="false" customHeight="false" outlineLevel="0" collapsed="false">
      <c r="A248" s="131" t="str">
        <f aca="false">IF(B248="","",ROW()-6)</f>
        <v/>
      </c>
      <c r="B248" s="207"/>
      <c r="C248" s="60"/>
      <c r="D248" s="131" t="str">
        <f aca="false">IF(C248="","",IF(OR(C248="ทั้งเฟส",LEFT(C248,4)="ผรม.",LEFT(C248,3)="เขต"),C248,IFERROR(INDEX('Master Plan'!$B$8:$B$27,MATCH(C248,'Master Plan'!$A$8:$A$27,0)),"?")))</f>
        <v/>
      </c>
      <c r="E248" s="118" t="str">
        <f aca="false">IF(C248="","",IF(OR(C248="ทั้งเฟส",LEFT(C248,4)="ผรม.",LEFT(C248,3)="เขต"),C248,IFERROR(INDEX('Master Plan'!$L$8:$L$27,MATCH(C248,'Master Plan'!$A$8:$A$27,0)),"?")))</f>
        <v/>
      </c>
      <c r="F248" s="60"/>
      <c r="G248" s="114"/>
      <c r="H248" s="60"/>
      <c r="I248" s="116"/>
      <c r="J248" s="225"/>
      <c r="K248" s="206" t="str">
        <f aca="false">IF(F248="","",IF(ISNUMBER(I248),I248,IFERROR(VLOOKUP(F248,RW_TBL,2,0),0)))</f>
        <v/>
      </c>
      <c r="L248" s="226" t="str">
        <f aca="false">IF(F248="","",IF(ISNUMBER(J248),J248,IFERROR(VLOOKUP(F248,RW_TBL,3,0),0)))</f>
        <v/>
      </c>
      <c r="M248" s="113"/>
      <c r="N248" s="114"/>
    </row>
    <row r="249" customFormat="false" ht="15" hidden="false" customHeight="false" outlineLevel="0" collapsed="false">
      <c r="A249" s="131" t="str">
        <f aca="false">IF(B249="","",ROW()-6)</f>
        <v/>
      </c>
      <c r="B249" s="207"/>
      <c r="C249" s="60"/>
      <c r="D249" s="131" t="str">
        <f aca="false">IF(C249="","",IF(OR(C249="ทั้งเฟส",LEFT(C249,4)="ผรม.",LEFT(C249,3)="เขต"),C249,IFERROR(INDEX('Master Plan'!$B$8:$B$27,MATCH(C249,'Master Plan'!$A$8:$A$27,0)),"?")))</f>
        <v/>
      </c>
      <c r="E249" s="118" t="str">
        <f aca="false">IF(C249="","",IF(OR(C249="ทั้งเฟส",LEFT(C249,4)="ผรม.",LEFT(C249,3)="เขต"),C249,IFERROR(INDEX('Master Plan'!$L$8:$L$27,MATCH(C249,'Master Plan'!$A$8:$A$27,0)),"?")))</f>
        <v/>
      </c>
      <c r="F249" s="60"/>
      <c r="G249" s="114"/>
      <c r="H249" s="60"/>
      <c r="I249" s="116"/>
      <c r="J249" s="225"/>
      <c r="K249" s="206" t="str">
        <f aca="false">IF(F249="","",IF(ISNUMBER(I249),I249,IFERROR(VLOOKUP(F249,RW_TBL,2,0),0)))</f>
        <v/>
      </c>
      <c r="L249" s="226" t="str">
        <f aca="false">IF(F249="","",IF(ISNUMBER(J249),J249,IFERROR(VLOOKUP(F249,RW_TBL,3,0),0)))</f>
        <v/>
      </c>
      <c r="M249" s="113"/>
      <c r="N249" s="114"/>
    </row>
    <row r="250" customFormat="false" ht="15" hidden="false" customHeight="false" outlineLevel="0" collapsed="false">
      <c r="A250" s="131" t="str">
        <f aca="false">IF(B250="","",ROW()-6)</f>
        <v/>
      </c>
      <c r="B250" s="207"/>
      <c r="C250" s="60"/>
      <c r="D250" s="131" t="str">
        <f aca="false">IF(C250="","",IF(OR(C250="ทั้งเฟส",LEFT(C250,4)="ผรม.",LEFT(C250,3)="เขต"),C250,IFERROR(INDEX('Master Plan'!$B$8:$B$27,MATCH(C250,'Master Plan'!$A$8:$A$27,0)),"?")))</f>
        <v/>
      </c>
      <c r="E250" s="118" t="str">
        <f aca="false">IF(C250="","",IF(OR(C250="ทั้งเฟส",LEFT(C250,4)="ผรม.",LEFT(C250,3)="เขต"),C250,IFERROR(INDEX('Master Plan'!$L$8:$L$27,MATCH(C250,'Master Plan'!$A$8:$A$27,0)),"?")))</f>
        <v/>
      </c>
      <c r="F250" s="60"/>
      <c r="G250" s="114"/>
      <c r="H250" s="60"/>
      <c r="I250" s="116"/>
      <c r="J250" s="225"/>
      <c r="K250" s="206" t="str">
        <f aca="false">IF(F250="","",IF(ISNUMBER(I250),I250,IFERROR(VLOOKUP(F250,RW_TBL,2,0),0)))</f>
        <v/>
      </c>
      <c r="L250" s="226" t="str">
        <f aca="false">IF(F250="","",IF(ISNUMBER(J250),J250,IFERROR(VLOOKUP(F250,RW_TBL,3,0),0)))</f>
        <v/>
      </c>
      <c r="M250" s="113"/>
      <c r="N250" s="114"/>
    </row>
    <row r="251" customFormat="false" ht="15" hidden="false" customHeight="false" outlineLevel="0" collapsed="false">
      <c r="A251" s="131" t="str">
        <f aca="false">IF(B251="","",ROW()-6)</f>
        <v/>
      </c>
      <c r="B251" s="207"/>
      <c r="C251" s="60"/>
      <c r="D251" s="131" t="str">
        <f aca="false">IF(C251="","",IF(OR(C251="ทั้งเฟส",LEFT(C251,4)="ผรม.",LEFT(C251,3)="เขต"),C251,IFERROR(INDEX('Master Plan'!$B$8:$B$27,MATCH(C251,'Master Plan'!$A$8:$A$27,0)),"?")))</f>
        <v/>
      </c>
      <c r="E251" s="118" t="str">
        <f aca="false">IF(C251="","",IF(OR(C251="ทั้งเฟส",LEFT(C251,4)="ผรม.",LEFT(C251,3)="เขต"),C251,IFERROR(INDEX('Master Plan'!$L$8:$L$27,MATCH(C251,'Master Plan'!$A$8:$A$27,0)),"?")))</f>
        <v/>
      </c>
      <c r="F251" s="60"/>
      <c r="G251" s="114"/>
      <c r="H251" s="60"/>
      <c r="I251" s="116"/>
      <c r="J251" s="225"/>
      <c r="K251" s="206" t="str">
        <f aca="false">IF(F251="","",IF(ISNUMBER(I251),I251,IFERROR(VLOOKUP(F251,RW_TBL,2,0),0)))</f>
        <v/>
      </c>
      <c r="L251" s="226" t="str">
        <f aca="false">IF(F251="","",IF(ISNUMBER(J251),J251,IFERROR(VLOOKUP(F251,RW_TBL,3,0),0)))</f>
        <v/>
      </c>
      <c r="M251" s="113"/>
      <c r="N251" s="114"/>
    </row>
    <row r="252" customFormat="false" ht="15" hidden="false" customHeight="false" outlineLevel="0" collapsed="false">
      <c r="A252" s="131" t="str">
        <f aca="false">IF(B252="","",ROW()-6)</f>
        <v/>
      </c>
      <c r="B252" s="207"/>
      <c r="C252" s="60"/>
      <c r="D252" s="131" t="str">
        <f aca="false">IF(C252="","",IF(OR(C252="ทั้งเฟส",LEFT(C252,4)="ผรม.",LEFT(C252,3)="เขต"),C252,IFERROR(INDEX('Master Plan'!$B$8:$B$27,MATCH(C252,'Master Plan'!$A$8:$A$27,0)),"?")))</f>
        <v/>
      </c>
      <c r="E252" s="118" t="str">
        <f aca="false">IF(C252="","",IF(OR(C252="ทั้งเฟส",LEFT(C252,4)="ผรม.",LEFT(C252,3)="เขต"),C252,IFERROR(INDEX('Master Plan'!$L$8:$L$27,MATCH(C252,'Master Plan'!$A$8:$A$27,0)),"?")))</f>
        <v/>
      </c>
      <c r="F252" s="60"/>
      <c r="G252" s="114"/>
      <c r="H252" s="60"/>
      <c r="I252" s="116"/>
      <c r="J252" s="225"/>
      <c r="K252" s="206" t="str">
        <f aca="false">IF(F252="","",IF(ISNUMBER(I252),I252,IFERROR(VLOOKUP(F252,RW_TBL,2,0),0)))</f>
        <v/>
      </c>
      <c r="L252" s="226" t="str">
        <f aca="false">IF(F252="","",IF(ISNUMBER(J252),J252,IFERROR(VLOOKUP(F252,RW_TBL,3,0),0)))</f>
        <v/>
      </c>
      <c r="M252" s="113"/>
      <c r="N252" s="114"/>
    </row>
    <row r="253" customFormat="false" ht="15" hidden="false" customHeight="false" outlineLevel="0" collapsed="false">
      <c r="A253" s="131" t="str">
        <f aca="false">IF(B253="","",ROW()-6)</f>
        <v/>
      </c>
      <c r="B253" s="207"/>
      <c r="C253" s="60"/>
      <c r="D253" s="131" t="str">
        <f aca="false">IF(C253="","",IF(OR(C253="ทั้งเฟส",LEFT(C253,4)="ผรม.",LEFT(C253,3)="เขต"),C253,IFERROR(INDEX('Master Plan'!$B$8:$B$27,MATCH(C253,'Master Plan'!$A$8:$A$27,0)),"?")))</f>
        <v/>
      </c>
      <c r="E253" s="118" t="str">
        <f aca="false">IF(C253="","",IF(OR(C253="ทั้งเฟส",LEFT(C253,4)="ผรม.",LEFT(C253,3)="เขต"),C253,IFERROR(INDEX('Master Plan'!$L$8:$L$27,MATCH(C253,'Master Plan'!$A$8:$A$27,0)),"?")))</f>
        <v/>
      </c>
      <c r="F253" s="60"/>
      <c r="G253" s="114"/>
      <c r="H253" s="60"/>
      <c r="I253" s="116"/>
      <c r="J253" s="225"/>
      <c r="K253" s="206" t="str">
        <f aca="false">IF(F253="","",IF(ISNUMBER(I253),I253,IFERROR(VLOOKUP(F253,RW_TBL,2,0),0)))</f>
        <v/>
      </c>
      <c r="L253" s="226" t="str">
        <f aca="false">IF(F253="","",IF(ISNUMBER(J253),J253,IFERROR(VLOOKUP(F253,RW_TBL,3,0),0)))</f>
        <v/>
      </c>
      <c r="M253" s="113"/>
      <c r="N253" s="114"/>
    </row>
    <row r="254" customFormat="false" ht="15" hidden="false" customHeight="false" outlineLevel="0" collapsed="false">
      <c r="A254" s="131" t="str">
        <f aca="false">IF(B254="","",ROW()-6)</f>
        <v/>
      </c>
      <c r="B254" s="207"/>
      <c r="C254" s="60"/>
      <c r="D254" s="131" t="str">
        <f aca="false">IF(C254="","",IF(OR(C254="ทั้งเฟส",LEFT(C254,4)="ผรม.",LEFT(C254,3)="เขต"),C254,IFERROR(INDEX('Master Plan'!$B$8:$B$27,MATCH(C254,'Master Plan'!$A$8:$A$27,0)),"?")))</f>
        <v/>
      </c>
      <c r="E254" s="118" t="str">
        <f aca="false">IF(C254="","",IF(OR(C254="ทั้งเฟส",LEFT(C254,4)="ผรม.",LEFT(C254,3)="เขต"),C254,IFERROR(INDEX('Master Plan'!$L$8:$L$27,MATCH(C254,'Master Plan'!$A$8:$A$27,0)),"?")))</f>
        <v/>
      </c>
      <c r="F254" s="60"/>
      <c r="G254" s="114"/>
      <c r="H254" s="60"/>
      <c r="I254" s="116"/>
      <c r="J254" s="225"/>
      <c r="K254" s="206" t="str">
        <f aca="false">IF(F254="","",IF(ISNUMBER(I254),I254,IFERROR(VLOOKUP(F254,RW_TBL,2,0),0)))</f>
        <v/>
      </c>
      <c r="L254" s="226" t="str">
        <f aca="false">IF(F254="","",IF(ISNUMBER(J254),J254,IFERROR(VLOOKUP(F254,RW_TBL,3,0),0)))</f>
        <v/>
      </c>
      <c r="M254" s="113"/>
      <c r="N254" s="114"/>
    </row>
    <row r="255" customFormat="false" ht="15" hidden="false" customHeight="false" outlineLevel="0" collapsed="false">
      <c r="A255" s="131" t="str">
        <f aca="false">IF(B255="","",ROW()-6)</f>
        <v/>
      </c>
      <c r="B255" s="207"/>
      <c r="C255" s="60"/>
      <c r="D255" s="131" t="str">
        <f aca="false">IF(C255="","",IF(OR(C255="ทั้งเฟส",LEFT(C255,4)="ผรม.",LEFT(C255,3)="เขต"),C255,IFERROR(INDEX('Master Plan'!$B$8:$B$27,MATCH(C255,'Master Plan'!$A$8:$A$27,0)),"?")))</f>
        <v/>
      </c>
      <c r="E255" s="118" t="str">
        <f aca="false">IF(C255="","",IF(OR(C255="ทั้งเฟส",LEFT(C255,4)="ผรม.",LEFT(C255,3)="เขต"),C255,IFERROR(INDEX('Master Plan'!$L$8:$L$27,MATCH(C255,'Master Plan'!$A$8:$A$27,0)),"?")))</f>
        <v/>
      </c>
      <c r="F255" s="60"/>
      <c r="G255" s="114"/>
      <c r="H255" s="60"/>
      <c r="I255" s="116"/>
      <c r="J255" s="225"/>
      <c r="K255" s="206" t="str">
        <f aca="false">IF(F255="","",IF(ISNUMBER(I255),I255,IFERROR(VLOOKUP(F255,RW_TBL,2,0),0)))</f>
        <v/>
      </c>
      <c r="L255" s="226" t="str">
        <f aca="false">IF(F255="","",IF(ISNUMBER(J255),J255,IFERROR(VLOOKUP(F255,RW_TBL,3,0),0)))</f>
        <v/>
      </c>
      <c r="M255" s="113"/>
      <c r="N255" s="114"/>
    </row>
    <row r="256" customFormat="false" ht="15" hidden="false" customHeight="false" outlineLevel="0" collapsed="false">
      <c r="A256" s="131" t="str">
        <f aca="false">IF(B256="","",ROW()-6)</f>
        <v/>
      </c>
      <c r="B256" s="207"/>
      <c r="C256" s="60"/>
      <c r="D256" s="131" t="str">
        <f aca="false">IF(C256="","",IF(OR(C256="ทั้งเฟส",LEFT(C256,4)="ผรม.",LEFT(C256,3)="เขต"),C256,IFERROR(INDEX('Master Plan'!$B$8:$B$27,MATCH(C256,'Master Plan'!$A$8:$A$27,0)),"?")))</f>
        <v/>
      </c>
      <c r="E256" s="118" t="str">
        <f aca="false">IF(C256="","",IF(OR(C256="ทั้งเฟส",LEFT(C256,4)="ผรม.",LEFT(C256,3)="เขต"),C256,IFERROR(INDEX('Master Plan'!$L$8:$L$27,MATCH(C256,'Master Plan'!$A$8:$A$27,0)),"?")))</f>
        <v/>
      </c>
      <c r="F256" s="60"/>
      <c r="G256" s="114"/>
      <c r="H256" s="60"/>
      <c r="I256" s="116"/>
      <c r="J256" s="225"/>
      <c r="K256" s="206" t="str">
        <f aca="false">IF(F256="","",IF(ISNUMBER(I256),I256,IFERROR(VLOOKUP(F256,RW_TBL,2,0),0)))</f>
        <v/>
      </c>
      <c r="L256" s="226" t="str">
        <f aca="false">IF(F256="","",IF(ISNUMBER(J256),J256,IFERROR(VLOOKUP(F256,RW_TBL,3,0),0)))</f>
        <v/>
      </c>
      <c r="M256" s="113"/>
      <c r="N256" s="114"/>
    </row>
    <row r="257" customFormat="false" ht="15" hidden="false" customHeight="false" outlineLevel="0" collapsed="false">
      <c r="A257" s="131" t="str">
        <f aca="false">IF(B257="","",ROW()-6)</f>
        <v/>
      </c>
      <c r="B257" s="207"/>
      <c r="C257" s="60"/>
      <c r="D257" s="131" t="str">
        <f aca="false">IF(C257="","",IF(OR(C257="ทั้งเฟส",LEFT(C257,4)="ผรม.",LEFT(C257,3)="เขต"),C257,IFERROR(INDEX('Master Plan'!$B$8:$B$27,MATCH(C257,'Master Plan'!$A$8:$A$27,0)),"?")))</f>
        <v/>
      </c>
      <c r="E257" s="118" t="str">
        <f aca="false">IF(C257="","",IF(OR(C257="ทั้งเฟส",LEFT(C257,4)="ผรม.",LEFT(C257,3)="เขต"),C257,IFERROR(INDEX('Master Plan'!$L$8:$L$27,MATCH(C257,'Master Plan'!$A$8:$A$27,0)),"?")))</f>
        <v/>
      </c>
      <c r="F257" s="60"/>
      <c r="G257" s="114"/>
      <c r="H257" s="60"/>
      <c r="I257" s="116"/>
      <c r="J257" s="225"/>
      <c r="K257" s="206" t="str">
        <f aca="false">IF(F257="","",IF(ISNUMBER(I257),I257,IFERROR(VLOOKUP(F257,RW_TBL,2,0),0)))</f>
        <v/>
      </c>
      <c r="L257" s="226" t="str">
        <f aca="false">IF(F257="","",IF(ISNUMBER(J257),J257,IFERROR(VLOOKUP(F257,RW_TBL,3,0),0)))</f>
        <v/>
      </c>
      <c r="M257" s="113"/>
      <c r="N257" s="114"/>
    </row>
    <row r="258" customFormat="false" ht="15" hidden="false" customHeight="false" outlineLevel="0" collapsed="false">
      <c r="A258" s="131" t="str">
        <f aca="false">IF(B258="","",ROW()-6)</f>
        <v/>
      </c>
      <c r="B258" s="207"/>
      <c r="C258" s="60"/>
      <c r="D258" s="131" t="str">
        <f aca="false">IF(C258="","",IF(OR(C258="ทั้งเฟส",LEFT(C258,4)="ผรม.",LEFT(C258,3)="เขต"),C258,IFERROR(INDEX('Master Plan'!$B$8:$B$27,MATCH(C258,'Master Plan'!$A$8:$A$27,0)),"?")))</f>
        <v/>
      </c>
      <c r="E258" s="118" t="str">
        <f aca="false">IF(C258="","",IF(OR(C258="ทั้งเฟส",LEFT(C258,4)="ผรม.",LEFT(C258,3)="เขต"),C258,IFERROR(INDEX('Master Plan'!$L$8:$L$27,MATCH(C258,'Master Plan'!$A$8:$A$27,0)),"?")))</f>
        <v/>
      </c>
      <c r="F258" s="60"/>
      <c r="G258" s="114"/>
      <c r="H258" s="60"/>
      <c r="I258" s="116"/>
      <c r="J258" s="225"/>
      <c r="K258" s="206" t="str">
        <f aca="false">IF(F258="","",IF(ISNUMBER(I258),I258,IFERROR(VLOOKUP(F258,RW_TBL,2,0),0)))</f>
        <v/>
      </c>
      <c r="L258" s="226" t="str">
        <f aca="false">IF(F258="","",IF(ISNUMBER(J258),J258,IFERROR(VLOOKUP(F258,RW_TBL,3,0),0)))</f>
        <v/>
      </c>
      <c r="M258" s="113"/>
      <c r="N258" s="114"/>
    </row>
    <row r="259" customFormat="false" ht="15" hidden="false" customHeight="false" outlineLevel="0" collapsed="false">
      <c r="A259" s="131" t="str">
        <f aca="false">IF(B259="","",ROW()-6)</f>
        <v/>
      </c>
      <c r="B259" s="207"/>
      <c r="C259" s="60"/>
      <c r="D259" s="131" t="str">
        <f aca="false">IF(C259="","",IF(OR(C259="ทั้งเฟส",LEFT(C259,4)="ผรม.",LEFT(C259,3)="เขต"),C259,IFERROR(INDEX('Master Plan'!$B$8:$B$27,MATCH(C259,'Master Plan'!$A$8:$A$27,0)),"?")))</f>
        <v/>
      </c>
      <c r="E259" s="118" t="str">
        <f aca="false">IF(C259="","",IF(OR(C259="ทั้งเฟส",LEFT(C259,4)="ผรม.",LEFT(C259,3)="เขต"),C259,IFERROR(INDEX('Master Plan'!$L$8:$L$27,MATCH(C259,'Master Plan'!$A$8:$A$27,0)),"?")))</f>
        <v/>
      </c>
      <c r="F259" s="60"/>
      <c r="G259" s="114"/>
      <c r="H259" s="60"/>
      <c r="I259" s="116"/>
      <c r="J259" s="225"/>
      <c r="K259" s="206" t="str">
        <f aca="false">IF(F259="","",IF(ISNUMBER(I259),I259,IFERROR(VLOOKUP(F259,RW_TBL,2,0),0)))</f>
        <v/>
      </c>
      <c r="L259" s="226" t="str">
        <f aca="false">IF(F259="","",IF(ISNUMBER(J259),J259,IFERROR(VLOOKUP(F259,RW_TBL,3,0),0)))</f>
        <v/>
      </c>
      <c r="M259" s="113"/>
      <c r="N259" s="114"/>
    </row>
    <row r="260" customFormat="false" ht="15" hidden="false" customHeight="false" outlineLevel="0" collapsed="false">
      <c r="A260" s="131" t="str">
        <f aca="false">IF(B260="","",ROW()-6)</f>
        <v/>
      </c>
      <c r="B260" s="207"/>
      <c r="C260" s="60"/>
      <c r="D260" s="131" t="str">
        <f aca="false">IF(C260="","",IF(OR(C260="ทั้งเฟส",LEFT(C260,4)="ผรม.",LEFT(C260,3)="เขต"),C260,IFERROR(INDEX('Master Plan'!$B$8:$B$27,MATCH(C260,'Master Plan'!$A$8:$A$27,0)),"?")))</f>
        <v/>
      </c>
      <c r="E260" s="118" t="str">
        <f aca="false">IF(C260="","",IF(OR(C260="ทั้งเฟส",LEFT(C260,4)="ผรม.",LEFT(C260,3)="เขต"),C260,IFERROR(INDEX('Master Plan'!$L$8:$L$27,MATCH(C260,'Master Plan'!$A$8:$A$27,0)),"?")))</f>
        <v/>
      </c>
      <c r="F260" s="60"/>
      <c r="G260" s="114"/>
      <c r="H260" s="60"/>
      <c r="I260" s="116"/>
      <c r="J260" s="225"/>
      <c r="K260" s="206" t="str">
        <f aca="false">IF(F260="","",IF(ISNUMBER(I260),I260,IFERROR(VLOOKUP(F260,RW_TBL,2,0),0)))</f>
        <v/>
      </c>
      <c r="L260" s="226" t="str">
        <f aca="false">IF(F260="","",IF(ISNUMBER(J260),J260,IFERROR(VLOOKUP(F260,RW_TBL,3,0),0)))</f>
        <v/>
      </c>
      <c r="M260" s="113"/>
      <c r="N260" s="114"/>
    </row>
    <row r="261" customFormat="false" ht="15" hidden="false" customHeight="false" outlineLevel="0" collapsed="false">
      <c r="A261" s="131" t="str">
        <f aca="false">IF(B261="","",ROW()-6)</f>
        <v/>
      </c>
      <c r="B261" s="207"/>
      <c r="C261" s="60"/>
      <c r="D261" s="131" t="str">
        <f aca="false">IF(C261="","",IF(OR(C261="ทั้งเฟส",LEFT(C261,4)="ผรม.",LEFT(C261,3)="เขต"),C261,IFERROR(INDEX('Master Plan'!$B$8:$B$27,MATCH(C261,'Master Plan'!$A$8:$A$27,0)),"?")))</f>
        <v/>
      </c>
      <c r="E261" s="118" t="str">
        <f aca="false">IF(C261="","",IF(OR(C261="ทั้งเฟส",LEFT(C261,4)="ผรม.",LEFT(C261,3)="เขต"),C261,IFERROR(INDEX('Master Plan'!$L$8:$L$27,MATCH(C261,'Master Plan'!$A$8:$A$27,0)),"?")))</f>
        <v/>
      </c>
      <c r="F261" s="60"/>
      <c r="G261" s="114"/>
      <c r="H261" s="60"/>
      <c r="I261" s="116"/>
      <c r="J261" s="225"/>
      <c r="K261" s="206" t="str">
        <f aca="false">IF(F261="","",IF(ISNUMBER(I261),I261,IFERROR(VLOOKUP(F261,RW_TBL,2,0),0)))</f>
        <v/>
      </c>
      <c r="L261" s="226" t="str">
        <f aca="false">IF(F261="","",IF(ISNUMBER(J261),J261,IFERROR(VLOOKUP(F261,RW_TBL,3,0),0)))</f>
        <v/>
      </c>
      <c r="M261" s="113"/>
      <c r="N261" s="114"/>
    </row>
    <row r="262" customFormat="false" ht="15" hidden="false" customHeight="false" outlineLevel="0" collapsed="false">
      <c r="A262" s="131" t="str">
        <f aca="false">IF(B262="","",ROW()-6)</f>
        <v/>
      </c>
      <c r="B262" s="207"/>
      <c r="C262" s="60"/>
      <c r="D262" s="131" t="str">
        <f aca="false">IF(C262="","",IF(OR(C262="ทั้งเฟส",LEFT(C262,4)="ผรม.",LEFT(C262,3)="เขต"),C262,IFERROR(INDEX('Master Plan'!$B$8:$B$27,MATCH(C262,'Master Plan'!$A$8:$A$27,0)),"?")))</f>
        <v/>
      </c>
      <c r="E262" s="118" t="str">
        <f aca="false">IF(C262="","",IF(OR(C262="ทั้งเฟส",LEFT(C262,4)="ผรม.",LEFT(C262,3)="เขต"),C262,IFERROR(INDEX('Master Plan'!$L$8:$L$27,MATCH(C262,'Master Plan'!$A$8:$A$27,0)),"?")))</f>
        <v/>
      </c>
      <c r="F262" s="60"/>
      <c r="G262" s="114"/>
      <c r="H262" s="60"/>
      <c r="I262" s="116"/>
      <c r="J262" s="225"/>
      <c r="K262" s="206" t="str">
        <f aca="false">IF(F262="","",IF(ISNUMBER(I262),I262,IFERROR(VLOOKUP(F262,RW_TBL,2,0),0)))</f>
        <v/>
      </c>
      <c r="L262" s="226" t="str">
        <f aca="false">IF(F262="","",IF(ISNUMBER(J262),J262,IFERROR(VLOOKUP(F262,RW_TBL,3,0),0)))</f>
        <v/>
      </c>
      <c r="M262" s="113"/>
      <c r="N262" s="114"/>
    </row>
    <row r="263" customFormat="false" ht="15" hidden="false" customHeight="false" outlineLevel="0" collapsed="false">
      <c r="A263" s="131" t="str">
        <f aca="false">IF(B263="","",ROW()-6)</f>
        <v/>
      </c>
      <c r="B263" s="207"/>
      <c r="C263" s="60"/>
      <c r="D263" s="131" t="str">
        <f aca="false">IF(C263="","",IF(OR(C263="ทั้งเฟส",LEFT(C263,4)="ผรม.",LEFT(C263,3)="เขต"),C263,IFERROR(INDEX('Master Plan'!$B$8:$B$27,MATCH(C263,'Master Plan'!$A$8:$A$27,0)),"?")))</f>
        <v/>
      </c>
      <c r="E263" s="118" t="str">
        <f aca="false">IF(C263="","",IF(OR(C263="ทั้งเฟส",LEFT(C263,4)="ผรม.",LEFT(C263,3)="เขต"),C263,IFERROR(INDEX('Master Plan'!$L$8:$L$27,MATCH(C263,'Master Plan'!$A$8:$A$27,0)),"?")))</f>
        <v/>
      </c>
      <c r="F263" s="60"/>
      <c r="G263" s="114"/>
      <c r="H263" s="60"/>
      <c r="I263" s="116"/>
      <c r="J263" s="225"/>
      <c r="K263" s="206" t="str">
        <f aca="false">IF(F263="","",IF(ISNUMBER(I263),I263,IFERROR(VLOOKUP(F263,RW_TBL,2,0),0)))</f>
        <v/>
      </c>
      <c r="L263" s="226" t="str">
        <f aca="false">IF(F263="","",IF(ISNUMBER(J263),J263,IFERROR(VLOOKUP(F263,RW_TBL,3,0),0)))</f>
        <v/>
      </c>
      <c r="M263" s="113"/>
      <c r="N263" s="114"/>
    </row>
    <row r="264" customFormat="false" ht="15" hidden="false" customHeight="false" outlineLevel="0" collapsed="false">
      <c r="A264" s="131" t="str">
        <f aca="false">IF(B264="","",ROW()-6)</f>
        <v/>
      </c>
      <c r="B264" s="207"/>
      <c r="C264" s="60"/>
      <c r="D264" s="131" t="str">
        <f aca="false">IF(C264="","",IF(OR(C264="ทั้งเฟส",LEFT(C264,4)="ผรม.",LEFT(C264,3)="เขต"),C264,IFERROR(INDEX('Master Plan'!$B$8:$B$27,MATCH(C264,'Master Plan'!$A$8:$A$27,0)),"?")))</f>
        <v/>
      </c>
      <c r="E264" s="118" t="str">
        <f aca="false">IF(C264="","",IF(OR(C264="ทั้งเฟส",LEFT(C264,4)="ผรม.",LEFT(C264,3)="เขต"),C264,IFERROR(INDEX('Master Plan'!$L$8:$L$27,MATCH(C264,'Master Plan'!$A$8:$A$27,0)),"?")))</f>
        <v/>
      </c>
      <c r="F264" s="60"/>
      <c r="G264" s="114"/>
      <c r="H264" s="60"/>
      <c r="I264" s="116"/>
      <c r="J264" s="225"/>
      <c r="K264" s="206" t="str">
        <f aca="false">IF(F264="","",IF(ISNUMBER(I264),I264,IFERROR(VLOOKUP(F264,RW_TBL,2,0),0)))</f>
        <v/>
      </c>
      <c r="L264" s="226" t="str">
        <f aca="false">IF(F264="","",IF(ISNUMBER(J264),J264,IFERROR(VLOOKUP(F264,RW_TBL,3,0),0)))</f>
        <v/>
      </c>
      <c r="M264" s="113"/>
      <c r="N264" s="114"/>
    </row>
    <row r="265" customFormat="false" ht="15" hidden="false" customHeight="false" outlineLevel="0" collapsed="false">
      <c r="A265" s="131" t="str">
        <f aca="false">IF(B265="","",ROW()-6)</f>
        <v/>
      </c>
      <c r="B265" s="207"/>
      <c r="C265" s="60"/>
      <c r="D265" s="131" t="str">
        <f aca="false">IF(C265="","",IF(OR(C265="ทั้งเฟส",LEFT(C265,4)="ผรม.",LEFT(C265,3)="เขต"),C265,IFERROR(INDEX('Master Plan'!$B$8:$B$27,MATCH(C265,'Master Plan'!$A$8:$A$27,0)),"?")))</f>
        <v/>
      </c>
      <c r="E265" s="118" t="str">
        <f aca="false">IF(C265="","",IF(OR(C265="ทั้งเฟส",LEFT(C265,4)="ผรม.",LEFT(C265,3)="เขต"),C265,IFERROR(INDEX('Master Plan'!$L$8:$L$27,MATCH(C265,'Master Plan'!$A$8:$A$27,0)),"?")))</f>
        <v/>
      </c>
      <c r="F265" s="60"/>
      <c r="G265" s="114"/>
      <c r="H265" s="60"/>
      <c r="I265" s="116"/>
      <c r="J265" s="225"/>
      <c r="K265" s="206" t="str">
        <f aca="false">IF(F265="","",IF(ISNUMBER(I265),I265,IFERROR(VLOOKUP(F265,RW_TBL,2,0),0)))</f>
        <v/>
      </c>
      <c r="L265" s="226" t="str">
        <f aca="false">IF(F265="","",IF(ISNUMBER(J265),J265,IFERROR(VLOOKUP(F265,RW_TBL,3,0),0)))</f>
        <v/>
      </c>
      <c r="M265" s="113"/>
      <c r="N265" s="114"/>
    </row>
    <row r="266" customFormat="false" ht="15" hidden="false" customHeight="false" outlineLevel="0" collapsed="false">
      <c r="A266" s="131" t="str">
        <f aca="false">IF(B266="","",ROW()-6)</f>
        <v/>
      </c>
      <c r="B266" s="207"/>
      <c r="C266" s="60"/>
      <c r="D266" s="131" t="str">
        <f aca="false">IF(C266="","",IF(OR(C266="ทั้งเฟส",LEFT(C266,4)="ผรม.",LEFT(C266,3)="เขต"),C266,IFERROR(INDEX('Master Plan'!$B$8:$B$27,MATCH(C266,'Master Plan'!$A$8:$A$27,0)),"?")))</f>
        <v/>
      </c>
      <c r="E266" s="118" t="str">
        <f aca="false">IF(C266="","",IF(OR(C266="ทั้งเฟส",LEFT(C266,4)="ผรม.",LEFT(C266,3)="เขต"),C266,IFERROR(INDEX('Master Plan'!$L$8:$L$27,MATCH(C266,'Master Plan'!$A$8:$A$27,0)),"?")))</f>
        <v/>
      </c>
      <c r="F266" s="60"/>
      <c r="G266" s="114"/>
      <c r="H266" s="60"/>
      <c r="I266" s="116"/>
      <c r="J266" s="225"/>
      <c r="K266" s="206" t="str">
        <f aca="false">IF(F266="","",IF(ISNUMBER(I266),I266,IFERROR(VLOOKUP(F266,RW_TBL,2,0),0)))</f>
        <v/>
      </c>
      <c r="L266" s="226" t="str">
        <f aca="false">IF(F266="","",IF(ISNUMBER(J266),J266,IFERROR(VLOOKUP(F266,RW_TBL,3,0),0)))</f>
        <v/>
      </c>
      <c r="M266" s="113"/>
      <c r="N266" s="114"/>
    </row>
    <row r="267" customFormat="false" ht="15" hidden="false" customHeight="false" outlineLevel="0" collapsed="false">
      <c r="A267" s="131" t="str">
        <f aca="false">IF(B267="","",ROW()-6)</f>
        <v/>
      </c>
      <c r="B267" s="207"/>
      <c r="C267" s="60"/>
      <c r="D267" s="131" t="str">
        <f aca="false">IF(C267="","",IF(OR(C267="ทั้งเฟส",LEFT(C267,4)="ผรม.",LEFT(C267,3)="เขต"),C267,IFERROR(INDEX('Master Plan'!$B$8:$B$27,MATCH(C267,'Master Plan'!$A$8:$A$27,0)),"?")))</f>
        <v/>
      </c>
      <c r="E267" s="118" t="str">
        <f aca="false">IF(C267="","",IF(OR(C267="ทั้งเฟส",LEFT(C267,4)="ผรม.",LEFT(C267,3)="เขต"),C267,IFERROR(INDEX('Master Plan'!$L$8:$L$27,MATCH(C267,'Master Plan'!$A$8:$A$27,0)),"?")))</f>
        <v/>
      </c>
      <c r="F267" s="60"/>
      <c r="G267" s="114"/>
      <c r="H267" s="60"/>
      <c r="I267" s="116"/>
      <c r="J267" s="225"/>
      <c r="K267" s="206" t="str">
        <f aca="false">IF(F267="","",IF(ISNUMBER(I267),I267,IFERROR(VLOOKUP(F267,RW_TBL,2,0),0)))</f>
        <v/>
      </c>
      <c r="L267" s="226" t="str">
        <f aca="false">IF(F267="","",IF(ISNUMBER(J267),J267,IFERROR(VLOOKUP(F267,RW_TBL,3,0),0)))</f>
        <v/>
      </c>
      <c r="M267" s="113"/>
      <c r="N267" s="114"/>
    </row>
    <row r="268" customFormat="false" ht="15" hidden="false" customHeight="false" outlineLevel="0" collapsed="false">
      <c r="A268" s="131" t="str">
        <f aca="false">IF(B268="","",ROW()-6)</f>
        <v/>
      </c>
      <c r="B268" s="207"/>
      <c r="C268" s="60"/>
      <c r="D268" s="131" t="str">
        <f aca="false">IF(C268="","",IF(OR(C268="ทั้งเฟส",LEFT(C268,4)="ผรม.",LEFT(C268,3)="เขต"),C268,IFERROR(INDEX('Master Plan'!$B$8:$B$27,MATCH(C268,'Master Plan'!$A$8:$A$27,0)),"?")))</f>
        <v/>
      </c>
      <c r="E268" s="118" t="str">
        <f aca="false">IF(C268="","",IF(OR(C268="ทั้งเฟส",LEFT(C268,4)="ผรม.",LEFT(C268,3)="เขต"),C268,IFERROR(INDEX('Master Plan'!$L$8:$L$27,MATCH(C268,'Master Plan'!$A$8:$A$27,0)),"?")))</f>
        <v/>
      </c>
      <c r="F268" s="60"/>
      <c r="G268" s="114"/>
      <c r="H268" s="60"/>
      <c r="I268" s="116"/>
      <c r="J268" s="225"/>
      <c r="K268" s="206" t="str">
        <f aca="false">IF(F268="","",IF(ISNUMBER(I268),I268,IFERROR(VLOOKUP(F268,RW_TBL,2,0),0)))</f>
        <v/>
      </c>
      <c r="L268" s="226" t="str">
        <f aca="false">IF(F268="","",IF(ISNUMBER(J268),J268,IFERROR(VLOOKUP(F268,RW_TBL,3,0),0)))</f>
        <v/>
      </c>
      <c r="M268" s="113"/>
      <c r="N268" s="114"/>
    </row>
    <row r="269" customFormat="false" ht="15" hidden="false" customHeight="false" outlineLevel="0" collapsed="false">
      <c r="A269" s="131" t="str">
        <f aca="false">IF(B269="","",ROW()-6)</f>
        <v/>
      </c>
      <c r="B269" s="207"/>
      <c r="C269" s="60"/>
      <c r="D269" s="131" t="str">
        <f aca="false">IF(C269="","",IF(OR(C269="ทั้งเฟส",LEFT(C269,4)="ผรม.",LEFT(C269,3)="เขต"),C269,IFERROR(INDEX('Master Plan'!$B$8:$B$27,MATCH(C269,'Master Plan'!$A$8:$A$27,0)),"?")))</f>
        <v/>
      </c>
      <c r="E269" s="118" t="str">
        <f aca="false">IF(C269="","",IF(OR(C269="ทั้งเฟส",LEFT(C269,4)="ผรม.",LEFT(C269,3)="เขต"),C269,IFERROR(INDEX('Master Plan'!$L$8:$L$27,MATCH(C269,'Master Plan'!$A$8:$A$27,0)),"?")))</f>
        <v/>
      </c>
      <c r="F269" s="60"/>
      <c r="G269" s="114"/>
      <c r="H269" s="60"/>
      <c r="I269" s="116"/>
      <c r="J269" s="225"/>
      <c r="K269" s="206" t="str">
        <f aca="false">IF(F269="","",IF(ISNUMBER(I269),I269,IFERROR(VLOOKUP(F269,RW_TBL,2,0),0)))</f>
        <v/>
      </c>
      <c r="L269" s="226" t="str">
        <f aca="false">IF(F269="","",IF(ISNUMBER(J269),J269,IFERROR(VLOOKUP(F269,RW_TBL,3,0),0)))</f>
        <v/>
      </c>
      <c r="M269" s="113"/>
      <c r="N269" s="114"/>
    </row>
    <row r="270" customFormat="false" ht="15" hidden="false" customHeight="false" outlineLevel="0" collapsed="false">
      <c r="A270" s="131" t="str">
        <f aca="false">IF(B270="","",ROW()-6)</f>
        <v/>
      </c>
      <c r="B270" s="207"/>
      <c r="C270" s="60"/>
      <c r="D270" s="131" t="str">
        <f aca="false">IF(C270="","",IF(OR(C270="ทั้งเฟส",LEFT(C270,4)="ผรม.",LEFT(C270,3)="เขต"),C270,IFERROR(INDEX('Master Plan'!$B$8:$B$27,MATCH(C270,'Master Plan'!$A$8:$A$27,0)),"?")))</f>
        <v/>
      </c>
      <c r="E270" s="118" t="str">
        <f aca="false">IF(C270="","",IF(OR(C270="ทั้งเฟส",LEFT(C270,4)="ผรม.",LEFT(C270,3)="เขต"),C270,IFERROR(INDEX('Master Plan'!$L$8:$L$27,MATCH(C270,'Master Plan'!$A$8:$A$27,0)),"?")))</f>
        <v/>
      </c>
      <c r="F270" s="60"/>
      <c r="G270" s="114"/>
      <c r="H270" s="60"/>
      <c r="I270" s="116"/>
      <c r="J270" s="225"/>
      <c r="K270" s="206" t="str">
        <f aca="false">IF(F270="","",IF(ISNUMBER(I270),I270,IFERROR(VLOOKUP(F270,RW_TBL,2,0),0)))</f>
        <v/>
      </c>
      <c r="L270" s="226" t="str">
        <f aca="false">IF(F270="","",IF(ISNUMBER(J270),J270,IFERROR(VLOOKUP(F270,RW_TBL,3,0),0)))</f>
        <v/>
      </c>
      <c r="M270" s="113"/>
      <c r="N270" s="114"/>
    </row>
    <row r="271" customFormat="false" ht="15" hidden="false" customHeight="false" outlineLevel="0" collapsed="false">
      <c r="A271" s="131" t="str">
        <f aca="false">IF(B271="","",ROW()-6)</f>
        <v/>
      </c>
      <c r="B271" s="207"/>
      <c r="C271" s="60"/>
      <c r="D271" s="131" t="str">
        <f aca="false">IF(C271="","",IF(OR(C271="ทั้งเฟส",LEFT(C271,4)="ผรม.",LEFT(C271,3)="เขต"),C271,IFERROR(INDEX('Master Plan'!$B$8:$B$27,MATCH(C271,'Master Plan'!$A$8:$A$27,0)),"?")))</f>
        <v/>
      </c>
      <c r="E271" s="118" t="str">
        <f aca="false">IF(C271="","",IF(OR(C271="ทั้งเฟส",LEFT(C271,4)="ผรม.",LEFT(C271,3)="เขต"),C271,IFERROR(INDEX('Master Plan'!$L$8:$L$27,MATCH(C271,'Master Plan'!$A$8:$A$27,0)),"?")))</f>
        <v/>
      </c>
      <c r="F271" s="60"/>
      <c r="G271" s="114"/>
      <c r="H271" s="60"/>
      <c r="I271" s="116"/>
      <c r="J271" s="225"/>
      <c r="K271" s="206" t="str">
        <f aca="false">IF(F271="","",IF(ISNUMBER(I271),I271,IFERROR(VLOOKUP(F271,RW_TBL,2,0),0)))</f>
        <v/>
      </c>
      <c r="L271" s="226" t="str">
        <f aca="false">IF(F271="","",IF(ISNUMBER(J271),J271,IFERROR(VLOOKUP(F271,RW_TBL,3,0),0)))</f>
        <v/>
      </c>
      <c r="M271" s="113"/>
      <c r="N271" s="114"/>
    </row>
    <row r="272" customFormat="false" ht="15" hidden="false" customHeight="false" outlineLevel="0" collapsed="false">
      <c r="A272" s="131" t="str">
        <f aca="false">IF(B272="","",ROW()-6)</f>
        <v/>
      </c>
      <c r="B272" s="207"/>
      <c r="C272" s="60"/>
      <c r="D272" s="131" t="str">
        <f aca="false">IF(C272="","",IF(OR(C272="ทั้งเฟส",LEFT(C272,4)="ผรม.",LEFT(C272,3)="เขต"),C272,IFERROR(INDEX('Master Plan'!$B$8:$B$27,MATCH(C272,'Master Plan'!$A$8:$A$27,0)),"?")))</f>
        <v/>
      </c>
      <c r="E272" s="118" t="str">
        <f aca="false">IF(C272="","",IF(OR(C272="ทั้งเฟส",LEFT(C272,4)="ผรม.",LEFT(C272,3)="เขต"),C272,IFERROR(INDEX('Master Plan'!$L$8:$L$27,MATCH(C272,'Master Plan'!$A$8:$A$27,0)),"?")))</f>
        <v/>
      </c>
      <c r="F272" s="60"/>
      <c r="G272" s="114"/>
      <c r="H272" s="60"/>
      <c r="I272" s="116"/>
      <c r="J272" s="225"/>
      <c r="K272" s="206" t="str">
        <f aca="false">IF(F272="","",IF(ISNUMBER(I272),I272,IFERROR(VLOOKUP(F272,RW_TBL,2,0),0)))</f>
        <v/>
      </c>
      <c r="L272" s="226" t="str">
        <f aca="false">IF(F272="","",IF(ISNUMBER(J272),J272,IFERROR(VLOOKUP(F272,RW_TBL,3,0),0)))</f>
        <v/>
      </c>
      <c r="M272" s="113"/>
      <c r="N272" s="114"/>
    </row>
    <row r="273" customFormat="false" ht="15" hidden="false" customHeight="false" outlineLevel="0" collapsed="false">
      <c r="A273" s="131" t="str">
        <f aca="false">IF(B273="","",ROW()-6)</f>
        <v/>
      </c>
      <c r="B273" s="207"/>
      <c r="C273" s="60"/>
      <c r="D273" s="131" t="str">
        <f aca="false">IF(C273="","",IF(OR(C273="ทั้งเฟส",LEFT(C273,4)="ผรม.",LEFT(C273,3)="เขต"),C273,IFERROR(INDEX('Master Plan'!$B$8:$B$27,MATCH(C273,'Master Plan'!$A$8:$A$27,0)),"?")))</f>
        <v/>
      </c>
      <c r="E273" s="118" t="str">
        <f aca="false">IF(C273="","",IF(OR(C273="ทั้งเฟส",LEFT(C273,4)="ผรม.",LEFT(C273,3)="เขต"),C273,IFERROR(INDEX('Master Plan'!$L$8:$L$27,MATCH(C273,'Master Plan'!$A$8:$A$27,0)),"?")))</f>
        <v/>
      </c>
      <c r="F273" s="60"/>
      <c r="G273" s="114"/>
      <c r="H273" s="60"/>
      <c r="I273" s="116"/>
      <c r="J273" s="225"/>
      <c r="K273" s="206" t="str">
        <f aca="false">IF(F273="","",IF(ISNUMBER(I273),I273,IFERROR(VLOOKUP(F273,RW_TBL,2,0),0)))</f>
        <v/>
      </c>
      <c r="L273" s="226" t="str">
        <f aca="false">IF(F273="","",IF(ISNUMBER(J273),J273,IFERROR(VLOOKUP(F273,RW_TBL,3,0),0)))</f>
        <v/>
      </c>
      <c r="M273" s="113"/>
      <c r="N273" s="114"/>
    </row>
    <row r="274" customFormat="false" ht="15" hidden="false" customHeight="false" outlineLevel="0" collapsed="false">
      <c r="A274" s="131" t="str">
        <f aca="false">IF(B274="","",ROW()-6)</f>
        <v/>
      </c>
      <c r="B274" s="207"/>
      <c r="C274" s="60"/>
      <c r="D274" s="131" t="str">
        <f aca="false">IF(C274="","",IF(OR(C274="ทั้งเฟส",LEFT(C274,4)="ผรม.",LEFT(C274,3)="เขต"),C274,IFERROR(INDEX('Master Plan'!$B$8:$B$27,MATCH(C274,'Master Plan'!$A$8:$A$27,0)),"?")))</f>
        <v/>
      </c>
      <c r="E274" s="118" t="str">
        <f aca="false">IF(C274="","",IF(OR(C274="ทั้งเฟส",LEFT(C274,4)="ผรม.",LEFT(C274,3)="เขต"),C274,IFERROR(INDEX('Master Plan'!$L$8:$L$27,MATCH(C274,'Master Plan'!$A$8:$A$27,0)),"?")))</f>
        <v/>
      </c>
      <c r="F274" s="60"/>
      <c r="G274" s="114"/>
      <c r="H274" s="60"/>
      <c r="I274" s="116"/>
      <c r="J274" s="225"/>
      <c r="K274" s="206" t="str">
        <f aca="false">IF(F274="","",IF(ISNUMBER(I274),I274,IFERROR(VLOOKUP(F274,RW_TBL,2,0),0)))</f>
        <v/>
      </c>
      <c r="L274" s="226" t="str">
        <f aca="false">IF(F274="","",IF(ISNUMBER(J274),J274,IFERROR(VLOOKUP(F274,RW_TBL,3,0),0)))</f>
        <v/>
      </c>
      <c r="M274" s="113"/>
      <c r="N274" s="114"/>
    </row>
    <row r="275" customFormat="false" ht="15" hidden="false" customHeight="false" outlineLevel="0" collapsed="false">
      <c r="A275" s="131" t="str">
        <f aca="false">IF(B275="","",ROW()-6)</f>
        <v/>
      </c>
      <c r="B275" s="207"/>
      <c r="C275" s="60"/>
      <c r="D275" s="131" t="str">
        <f aca="false">IF(C275="","",IF(OR(C275="ทั้งเฟส",LEFT(C275,4)="ผรม.",LEFT(C275,3)="เขต"),C275,IFERROR(INDEX('Master Plan'!$B$8:$B$27,MATCH(C275,'Master Plan'!$A$8:$A$27,0)),"?")))</f>
        <v/>
      </c>
      <c r="E275" s="118" t="str">
        <f aca="false">IF(C275="","",IF(OR(C275="ทั้งเฟส",LEFT(C275,4)="ผรม.",LEFT(C275,3)="เขต"),C275,IFERROR(INDEX('Master Plan'!$L$8:$L$27,MATCH(C275,'Master Plan'!$A$8:$A$27,0)),"?")))</f>
        <v/>
      </c>
      <c r="F275" s="60"/>
      <c r="G275" s="114"/>
      <c r="H275" s="60"/>
      <c r="I275" s="116"/>
      <c r="J275" s="225"/>
      <c r="K275" s="206" t="str">
        <f aca="false">IF(F275="","",IF(ISNUMBER(I275),I275,IFERROR(VLOOKUP(F275,RW_TBL,2,0),0)))</f>
        <v/>
      </c>
      <c r="L275" s="226" t="str">
        <f aca="false">IF(F275="","",IF(ISNUMBER(J275),J275,IFERROR(VLOOKUP(F275,RW_TBL,3,0),0)))</f>
        <v/>
      </c>
      <c r="M275" s="113"/>
      <c r="N275" s="114"/>
    </row>
    <row r="276" customFormat="false" ht="15" hidden="false" customHeight="false" outlineLevel="0" collapsed="false">
      <c r="A276" s="131" t="str">
        <f aca="false">IF(B276="","",ROW()-6)</f>
        <v/>
      </c>
      <c r="B276" s="207"/>
      <c r="C276" s="60"/>
      <c r="D276" s="131" t="str">
        <f aca="false">IF(C276="","",IF(OR(C276="ทั้งเฟส",LEFT(C276,4)="ผรม.",LEFT(C276,3)="เขต"),C276,IFERROR(INDEX('Master Plan'!$B$8:$B$27,MATCH(C276,'Master Plan'!$A$8:$A$27,0)),"?")))</f>
        <v/>
      </c>
      <c r="E276" s="118" t="str">
        <f aca="false">IF(C276="","",IF(OR(C276="ทั้งเฟส",LEFT(C276,4)="ผรม.",LEFT(C276,3)="เขต"),C276,IFERROR(INDEX('Master Plan'!$L$8:$L$27,MATCH(C276,'Master Plan'!$A$8:$A$27,0)),"?")))</f>
        <v/>
      </c>
      <c r="F276" s="60"/>
      <c r="G276" s="114"/>
      <c r="H276" s="60"/>
      <c r="I276" s="116"/>
      <c r="J276" s="225"/>
      <c r="K276" s="206" t="str">
        <f aca="false">IF(F276="","",IF(ISNUMBER(I276),I276,IFERROR(VLOOKUP(F276,RW_TBL,2,0),0)))</f>
        <v/>
      </c>
      <c r="L276" s="226" t="str">
        <f aca="false">IF(F276="","",IF(ISNUMBER(J276),J276,IFERROR(VLOOKUP(F276,RW_TBL,3,0),0)))</f>
        <v/>
      </c>
      <c r="M276" s="113"/>
      <c r="N276" s="114"/>
    </row>
    <row r="277" customFormat="false" ht="15" hidden="false" customHeight="false" outlineLevel="0" collapsed="false">
      <c r="A277" s="131" t="str">
        <f aca="false">IF(B277="","",ROW()-6)</f>
        <v/>
      </c>
      <c r="B277" s="207"/>
      <c r="C277" s="60"/>
      <c r="D277" s="131" t="str">
        <f aca="false">IF(C277="","",IF(OR(C277="ทั้งเฟส",LEFT(C277,4)="ผรม.",LEFT(C277,3)="เขต"),C277,IFERROR(INDEX('Master Plan'!$B$8:$B$27,MATCH(C277,'Master Plan'!$A$8:$A$27,0)),"?")))</f>
        <v/>
      </c>
      <c r="E277" s="118" t="str">
        <f aca="false">IF(C277="","",IF(OR(C277="ทั้งเฟส",LEFT(C277,4)="ผรม.",LEFT(C277,3)="เขต"),C277,IFERROR(INDEX('Master Plan'!$L$8:$L$27,MATCH(C277,'Master Plan'!$A$8:$A$27,0)),"?")))</f>
        <v/>
      </c>
      <c r="F277" s="60"/>
      <c r="G277" s="114"/>
      <c r="H277" s="60"/>
      <c r="I277" s="116"/>
      <c r="J277" s="225"/>
      <c r="K277" s="206" t="str">
        <f aca="false">IF(F277="","",IF(ISNUMBER(I277),I277,IFERROR(VLOOKUP(F277,RW_TBL,2,0),0)))</f>
        <v/>
      </c>
      <c r="L277" s="226" t="str">
        <f aca="false">IF(F277="","",IF(ISNUMBER(J277),J277,IFERROR(VLOOKUP(F277,RW_TBL,3,0),0)))</f>
        <v/>
      </c>
      <c r="M277" s="113"/>
      <c r="N277" s="114"/>
    </row>
    <row r="278" customFormat="false" ht="15" hidden="false" customHeight="false" outlineLevel="0" collapsed="false">
      <c r="A278" s="131" t="str">
        <f aca="false">IF(B278="","",ROW()-6)</f>
        <v/>
      </c>
      <c r="B278" s="207"/>
      <c r="C278" s="60"/>
      <c r="D278" s="131" t="str">
        <f aca="false">IF(C278="","",IF(OR(C278="ทั้งเฟส",LEFT(C278,4)="ผรม.",LEFT(C278,3)="เขต"),C278,IFERROR(INDEX('Master Plan'!$B$8:$B$27,MATCH(C278,'Master Plan'!$A$8:$A$27,0)),"?")))</f>
        <v/>
      </c>
      <c r="E278" s="118" t="str">
        <f aca="false">IF(C278="","",IF(OR(C278="ทั้งเฟส",LEFT(C278,4)="ผรม.",LEFT(C278,3)="เขต"),C278,IFERROR(INDEX('Master Plan'!$L$8:$L$27,MATCH(C278,'Master Plan'!$A$8:$A$27,0)),"?")))</f>
        <v/>
      </c>
      <c r="F278" s="60"/>
      <c r="G278" s="114"/>
      <c r="H278" s="60"/>
      <c r="I278" s="116"/>
      <c r="J278" s="225"/>
      <c r="K278" s="206" t="str">
        <f aca="false">IF(F278="","",IF(ISNUMBER(I278),I278,IFERROR(VLOOKUP(F278,RW_TBL,2,0),0)))</f>
        <v/>
      </c>
      <c r="L278" s="226" t="str">
        <f aca="false">IF(F278="","",IF(ISNUMBER(J278),J278,IFERROR(VLOOKUP(F278,RW_TBL,3,0),0)))</f>
        <v/>
      </c>
      <c r="M278" s="113"/>
      <c r="N278" s="114"/>
    </row>
    <row r="279" customFormat="false" ht="15" hidden="false" customHeight="false" outlineLevel="0" collapsed="false">
      <c r="A279" s="131" t="str">
        <f aca="false">IF(B279="","",ROW()-6)</f>
        <v/>
      </c>
      <c r="B279" s="207"/>
      <c r="C279" s="60"/>
      <c r="D279" s="131" t="str">
        <f aca="false">IF(C279="","",IF(OR(C279="ทั้งเฟส",LEFT(C279,4)="ผรม.",LEFT(C279,3)="เขต"),C279,IFERROR(INDEX('Master Plan'!$B$8:$B$27,MATCH(C279,'Master Plan'!$A$8:$A$27,0)),"?")))</f>
        <v/>
      </c>
      <c r="E279" s="118" t="str">
        <f aca="false">IF(C279="","",IF(OR(C279="ทั้งเฟส",LEFT(C279,4)="ผรม.",LEFT(C279,3)="เขต"),C279,IFERROR(INDEX('Master Plan'!$L$8:$L$27,MATCH(C279,'Master Plan'!$A$8:$A$27,0)),"?")))</f>
        <v/>
      </c>
      <c r="F279" s="60"/>
      <c r="G279" s="114"/>
      <c r="H279" s="60"/>
      <c r="I279" s="116"/>
      <c r="J279" s="225"/>
      <c r="K279" s="206" t="str">
        <f aca="false">IF(F279="","",IF(ISNUMBER(I279),I279,IFERROR(VLOOKUP(F279,RW_TBL,2,0),0)))</f>
        <v/>
      </c>
      <c r="L279" s="226" t="str">
        <f aca="false">IF(F279="","",IF(ISNUMBER(J279),J279,IFERROR(VLOOKUP(F279,RW_TBL,3,0),0)))</f>
        <v/>
      </c>
      <c r="M279" s="113"/>
      <c r="N279" s="114"/>
    </row>
    <row r="280" customFormat="false" ht="15" hidden="false" customHeight="false" outlineLevel="0" collapsed="false">
      <c r="A280" s="131" t="str">
        <f aca="false">IF(B280="","",ROW()-6)</f>
        <v/>
      </c>
      <c r="B280" s="207"/>
      <c r="C280" s="60"/>
      <c r="D280" s="131" t="str">
        <f aca="false">IF(C280="","",IF(OR(C280="ทั้งเฟส",LEFT(C280,4)="ผรม.",LEFT(C280,3)="เขต"),C280,IFERROR(INDEX('Master Plan'!$B$8:$B$27,MATCH(C280,'Master Plan'!$A$8:$A$27,0)),"?")))</f>
        <v/>
      </c>
      <c r="E280" s="118" t="str">
        <f aca="false">IF(C280="","",IF(OR(C280="ทั้งเฟส",LEFT(C280,4)="ผรม.",LEFT(C280,3)="เขต"),C280,IFERROR(INDEX('Master Plan'!$L$8:$L$27,MATCH(C280,'Master Plan'!$A$8:$A$27,0)),"?")))</f>
        <v/>
      </c>
      <c r="F280" s="60"/>
      <c r="G280" s="114"/>
      <c r="H280" s="60"/>
      <c r="I280" s="116"/>
      <c r="J280" s="225"/>
      <c r="K280" s="206" t="str">
        <f aca="false">IF(F280="","",IF(ISNUMBER(I280),I280,IFERROR(VLOOKUP(F280,RW_TBL,2,0),0)))</f>
        <v/>
      </c>
      <c r="L280" s="226" t="str">
        <f aca="false">IF(F280="","",IF(ISNUMBER(J280),J280,IFERROR(VLOOKUP(F280,RW_TBL,3,0),0)))</f>
        <v/>
      </c>
      <c r="M280" s="113"/>
      <c r="N280" s="114"/>
    </row>
    <row r="281" customFormat="false" ht="15" hidden="false" customHeight="false" outlineLevel="0" collapsed="false">
      <c r="A281" s="131" t="str">
        <f aca="false">IF(B281="","",ROW()-6)</f>
        <v/>
      </c>
      <c r="B281" s="207"/>
      <c r="C281" s="60"/>
      <c r="D281" s="131" t="str">
        <f aca="false">IF(C281="","",IF(OR(C281="ทั้งเฟส",LEFT(C281,4)="ผรม.",LEFT(C281,3)="เขต"),C281,IFERROR(INDEX('Master Plan'!$B$8:$B$27,MATCH(C281,'Master Plan'!$A$8:$A$27,0)),"?")))</f>
        <v/>
      </c>
      <c r="E281" s="118" t="str">
        <f aca="false">IF(C281="","",IF(OR(C281="ทั้งเฟส",LEFT(C281,4)="ผรม.",LEFT(C281,3)="เขต"),C281,IFERROR(INDEX('Master Plan'!$L$8:$L$27,MATCH(C281,'Master Plan'!$A$8:$A$27,0)),"?")))</f>
        <v/>
      </c>
      <c r="F281" s="60"/>
      <c r="G281" s="114"/>
      <c r="H281" s="60"/>
      <c r="I281" s="116"/>
      <c r="J281" s="225"/>
      <c r="K281" s="206" t="str">
        <f aca="false">IF(F281="","",IF(ISNUMBER(I281),I281,IFERROR(VLOOKUP(F281,RW_TBL,2,0),0)))</f>
        <v/>
      </c>
      <c r="L281" s="226" t="str">
        <f aca="false">IF(F281="","",IF(ISNUMBER(J281),J281,IFERROR(VLOOKUP(F281,RW_TBL,3,0),0)))</f>
        <v/>
      </c>
      <c r="M281" s="113"/>
      <c r="N281" s="114"/>
    </row>
    <row r="282" customFormat="false" ht="15" hidden="false" customHeight="false" outlineLevel="0" collapsed="false">
      <c r="A282" s="131" t="str">
        <f aca="false">IF(B282="","",ROW()-6)</f>
        <v/>
      </c>
      <c r="B282" s="207"/>
      <c r="C282" s="60"/>
      <c r="D282" s="131" t="str">
        <f aca="false">IF(C282="","",IF(OR(C282="ทั้งเฟส",LEFT(C282,4)="ผรม.",LEFT(C282,3)="เขต"),C282,IFERROR(INDEX('Master Plan'!$B$8:$B$27,MATCH(C282,'Master Plan'!$A$8:$A$27,0)),"?")))</f>
        <v/>
      </c>
      <c r="E282" s="118" t="str">
        <f aca="false">IF(C282="","",IF(OR(C282="ทั้งเฟส",LEFT(C282,4)="ผรม.",LEFT(C282,3)="เขต"),C282,IFERROR(INDEX('Master Plan'!$L$8:$L$27,MATCH(C282,'Master Plan'!$A$8:$A$27,0)),"?")))</f>
        <v/>
      </c>
      <c r="F282" s="60"/>
      <c r="G282" s="114"/>
      <c r="H282" s="60"/>
      <c r="I282" s="116"/>
      <c r="J282" s="225"/>
      <c r="K282" s="206" t="str">
        <f aca="false">IF(F282="","",IF(ISNUMBER(I282),I282,IFERROR(VLOOKUP(F282,RW_TBL,2,0),0)))</f>
        <v/>
      </c>
      <c r="L282" s="226" t="str">
        <f aca="false">IF(F282="","",IF(ISNUMBER(J282),J282,IFERROR(VLOOKUP(F282,RW_TBL,3,0),0)))</f>
        <v/>
      </c>
      <c r="M282" s="113"/>
      <c r="N282" s="114"/>
    </row>
    <row r="283" customFormat="false" ht="15" hidden="false" customHeight="false" outlineLevel="0" collapsed="false">
      <c r="A283" s="131" t="str">
        <f aca="false">IF(B283="","",ROW()-6)</f>
        <v/>
      </c>
      <c r="B283" s="207"/>
      <c r="C283" s="60"/>
      <c r="D283" s="131" t="str">
        <f aca="false">IF(C283="","",IF(OR(C283="ทั้งเฟส",LEFT(C283,4)="ผรม.",LEFT(C283,3)="เขต"),C283,IFERROR(INDEX('Master Plan'!$B$8:$B$27,MATCH(C283,'Master Plan'!$A$8:$A$27,0)),"?")))</f>
        <v/>
      </c>
      <c r="E283" s="118" t="str">
        <f aca="false">IF(C283="","",IF(OR(C283="ทั้งเฟส",LEFT(C283,4)="ผรม.",LEFT(C283,3)="เขต"),C283,IFERROR(INDEX('Master Plan'!$L$8:$L$27,MATCH(C283,'Master Plan'!$A$8:$A$27,0)),"?")))</f>
        <v/>
      </c>
      <c r="F283" s="60"/>
      <c r="G283" s="114"/>
      <c r="H283" s="60"/>
      <c r="I283" s="116"/>
      <c r="J283" s="225"/>
      <c r="K283" s="206" t="str">
        <f aca="false">IF(F283="","",IF(ISNUMBER(I283),I283,IFERROR(VLOOKUP(F283,RW_TBL,2,0),0)))</f>
        <v/>
      </c>
      <c r="L283" s="226" t="str">
        <f aca="false">IF(F283="","",IF(ISNUMBER(J283),J283,IFERROR(VLOOKUP(F283,RW_TBL,3,0),0)))</f>
        <v/>
      </c>
      <c r="M283" s="113"/>
      <c r="N283" s="114"/>
    </row>
    <row r="284" customFormat="false" ht="15" hidden="false" customHeight="false" outlineLevel="0" collapsed="false">
      <c r="A284" s="131" t="str">
        <f aca="false">IF(B284="","",ROW()-6)</f>
        <v/>
      </c>
      <c r="B284" s="207"/>
      <c r="C284" s="60"/>
      <c r="D284" s="131" t="str">
        <f aca="false">IF(C284="","",IF(OR(C284="ทั้งเฟส",LEFT(C284,4)="ผรม.",LEFT(C284,3)="เขต"),C284,IFERROR(INDEX('Master Plan'!$B$8:$B$27,MATCH(C284,'Master Plan'!$A$8:$A$27,0)),"?")))</f>
        <v/>
      </c>
      <c r="E284" s="118" t="str">
        <f aca="false">IF(C284="","",IF(OR(C284="ทั้งเฟส",LEFT(C284,4)="ผรม.",LEFT(C284,3)="เขต"),C284,IFERROR(INDEX('Master Plan'!$L$8:$L$27,MATCH(C284,'Master Plan'!$A$8:$A$27,0)),"?")))</f>
        <v/>
      </c>
      <c r="F284" s="60"/>
      <c r="G284" s="114"/>
      <c r="H284" s="60"/>
      <c r="I284" s="116"/>
      <c r="J284" s="225"/>
      <c r="K284" s="206" t="str">
        <f aca="false">IF(F284="","",IF(ISNUMBER(I284),I284,IFERROR(VLOOKUP(F284,RW_TBL,2,0),0)))</f>
        <v/>
      </c>
      <c r="L284" s="226" t="str">
        <f aca="false">IF(F284="","",IF(ISNUMBER(J284),J284,IFERROR(VLOOKUP(F284,RW_TBL,3,0),0)))</f>
        <v/>
      </c>
      <c r="M284" s="113"/>
      <c r="N284" s="114"/>
    </row>
    <row r="285" customFormat="false" ht="15" hidden="false" customHeight="false" outlineLevel="0" collapsed="false">
      <c r="A285" s="131" t="str">
        <f aca="false">IF(B285="","",ROW()-6)</f>
        <v/>
      </c>
      <c r="B285" s="207"/>
      <c r="C285" s="60"/>
      <c r="D285" s="131" t="str">
        <f aca="false">IF(C285="","",IF(OR(C285="ทั้งเฟส",LEFT(C285,4)="ผรม.",LEFT(C285,3)="เขต"),C285,IFERROR(INDEX('Master Plan'!$B$8:$B$27,MATCH(C285,'Master Plan'!$A$8:$A$27,0)),"?")))</f>
        <v/>
      </c>
      <c r="E285" s="118" t="str">
        <f aca="false">IF(C285="","",IF(OR(C285="ทั้งเฟส",LEFT(C285,4)="ผรม.",LEFT(C285,3)="เขต"),C285,IFERROR(INDEX('Master Plan'!$L$8:$L$27,MATCH(C285,'Master Plan'!$A$8:$A$27,0)),"?")))</f>
        <v/>
      </c>
      <c r="F285" s="60"/>
      <c r="G285" s="114"/>
      <c r="H285" s="60"/>
      <c r="I285" s="116"/>
      <c r="J285" s="225"/>
      <c r="K285" s="206" t="str">
        <f aca="false">IF(F285="","",IF(ISNUMBER(I285),I285,IFERROR(VLOOKUP(F285,RW_TBL,2,0),0)))</f>
        <v/>
      </c>
      <c r="L285" s="226" t="str">
        <f aca="false">IF(F285="","",IF(ISNUMBER(J285),J285,IFERROR(VLOOKUP(F285,RW_TBL,3,0),0)))</f>
        <v/>
      </c>
      <c r="M285" s="113"/>
      <c r="N285" s="114"/>
    </row>
    <row r="286" customFormat="false" ht="15" hidden="false" customHeight="false" outlineLevel="0" collapsed="false">
      <c r="A286" s="131" t="str">
        <f aca="false">IF(B286="","",ROW()-6)</f>
        <v/>
      </c>
      <c r="B286" s="207"/>
      <c r="C286" s="60"/>
      <c r="D286" s="131" t="str">
        <f aca="false">IF(C286="","",IF(OR(C286="ทั้งเฟส",LEFT(C286,4)="ผรม.",LEFT(C286,3)="เขต"),C286,IFERROR(INDEX('Master Plan'!$B$8:$B$27,MATCH(C286,'Master Plan'!$A$8:$A$27,0)),"?")))</f>
        <v/>
      </c>
      <c r="E286" s="118" t="str">
        <f aca="false">IF(C286="","",IF(OR(C286="ทั้งเฟส",LEFT(C286,4)="ผรม.",LEFT(C286,3)="เขต"),C286,IFERROR(INDEX('Master Plan'!$L$8:$L$27,MATCH(C286,'Master Plan'!$A$8:$A$27,0)),"?")))</f>
        <v/>
      </c>
      <c r="F286" s="60"/>
      <c r="G286" s="114"/>
      <c r="H286" s="60"/>
      <c r="I286" s="116"/>
      <c r="J286" s="225"/>
      <c r="K286" s="206" t="str">
        <f aca="false">IF(F286="","",IF(ISNUMBER(I286),I286,IFERROR(VLOOKUP(F286,RW_TBL,2,0),0)))</f>
        <v/>
      </c>
      <c r="L286" s="226" t="str">
        <f aca="false">IF(F286="","",IF(ISNUMBER(J286),J286,IFERROR(VLOOKUP(F286,RW_TBL,3,0),0)))</f>
        <v/>
      </c>
      <c r="M286" s="113"/>
      <c r="N286" s="114"/>
    </row>
    <row r="287" customFormat="false" ht="15" hidden="false" customHeight="false" outlineLevel="0" collapsed="false">
      <c r="A287" s="131" t="str">
        <f aca="false">IF(B287="","",ROW()-6)</f>
        <v/>
      </c>
      <c r="B287" s="207"/>
      <c r="C287" s="60"/>
      <c r="D287" s="131" t="str">
        <f aca="false">IF(C287="","",IF(OR(C287="ทั้งเฟส",LEFT(C287,4)="ผรม.",LEFT(C287,3)="เขต"),C287,IFERROR(INDEX('Master Plan'!$B$8:$B$27,MATCH(C287,'Master Plan'!$A$8:$A$27,0)),"?")))</f>
        <v/>
      </c>
      <c r="E287" s="118" t="str">
        <f aca="false">IF(C287="","",IF(OR(C287="ทั้งเฟส",LEFT(C287,4)="ผรม.",LEFT(C287,3)="เขต"),C287,IFERROR(INDEX('Master Plan'!$L$8:$L$27,MATCH(C287,'Master Plan'!$A$8:$A$27,0)),"?")))</f>
        <v/>
      </c>
      <c r="F287" s="60"/>
      <c r="G287" s="114"/>
      <c r="H287" s="60"/>
      <c r="I287" s="116"/>
      <c r="J287" s="225"/>
      <c r="K287" s="206" t="str">
        <f aca="false">IF(F287="","",IF(ISNUMBER(I287),I287,IFERROR(VLOOKUP(F287,RW_TBL,2,0),0)))</f>
        <v/>
      </c>
      <c r="L287" s="226" t="str">
        <f aca="false">IF(F287="","",IF(ISNUMBER(J287),J287,IFERROR(VLOOKUP(F287,RW_TBL,3,0),0)))</f>
        <v/>
      </c>
      <c r="M287" s="113"/>
      <c r="N287" s="114"/>
    </row>
    <row r="288" customFormat="false" ht="15" hidden="false" customHeight="false" outlineLevel="0" collapsed="false">
      <c r="A288" s="131" t="str">
        <f aca="false">IF(B288="","",ROW()-6)</f>
        <v/>
      </c>
      <c r="B288" s="207"/>
      <c r="C288" s="60"/>
      <c r="D288" s="131" t="str">
        <f aca="false">IF(C288="","",IF(OR(C288="ทั้งเฟส",LEFT(C288,4)="ผรม.",LEFT(C288,3)="เขต"),C288,IFERROR(INDEX('Master Plan'!$B$8:$B$27,MATCH(C288,'Master Plan'!$A$8:$A$27,0)),"?")))</f>
        <v/>
      </c>
      <c r="E288" s="118" t="str">
        <f aca="false">IF(C288="","",IF(OR(C288="ทั้งเฟส",LEFT(C288,4)="ผรม.",LEFT(C288,3)="เขต"),C288,IFERROR(INDEX('Master Plan'!$L$8:$L$27,MATCH(C288,'Master Plan'!$A$8:$A$27,0)),"?")))</f>
        <v/>
      </c>
      <c r="F288" s="60"/>
      <c r="G288" s="114"/>
      <c r="H288" s="60"/>
      <c r="I288" s="116"/>
      <c r="J288" s="225"/>
      <c r="K288" s="206" t="str">
        <f aca="false">IF(F288="","",IF(ISNUMBER(I288),I288,IFERROR(VLOOKUP(F288,RW_TBL,2,0),0)))</f>
        <v/>
      </c>
      <c r="L288" s="226" t="str">
        <f aca="false">IF(F288="","",IF(ISNUMBER(J288),J288,IFERROR(VLOOKUP(F288,RW_TBL,3,0),0)))</f>
        <v/>
      </c>
      <c r="M288" s="113"/>
      <c r="N288" s="114"/>
    </row>
    <row r="289" customFormat="false" ht="15" hidden="false" customHeight="false" outlineLevel="0" collapsed="false">
      <c r="A289" s="131" t="str">
        <f aca="false">IF(B289="","",ROW()-6)</f>
        <v/>
      </c>
      <c r="B289" s="207"/>
      <c r="C289" s="60"/>
      <c r="D289" s="131" t="str">
        <f aca="false">IF(C289="","",IF(OR(C289="ทั้งเฟส",LEFT(C289,4)="ผรม.",LEFT(C289,3)="เขต"),C289,IFERROR(INDEX('Master Plan'!$B$8:$B$27,MATCH(C289,'Master Plan'!$A$8:$A$27,0)),"?")))</f>
        <v/>
      </c>
      <c r="E289" s="118" t="str">
        <f aca="false">IF(C289="","",IF(OR(C289="ทั้งเฟส",LEFT(C289,4)="ผรม.",LEFT(C289,3)="เขต"),C289,IFERROR(INDEX('Master Plan'!$L$8:$L$27,MATCH(C289,'Master Plan'!$A$8:$A$27,0)),"?")))</f>
        <v/>
      </c>
      <c r="F289" s="60"/>
      <c r="G289" s="114"/>
      <c r="H289" s="60"/>
      <c r="I289" s="116"/>
      <c r="J289" s="225"/>
      <c r="K289" s="206" t="str">
        <f aca="false">IF(F289="","",IF(ISNUMBER(I289),I289,IFERROR(VLOOKUP(F289,RW_TBL,2,0),0)))</f>
        <v/>
      </c>
      <c r="L289" s="226" t="str">
        <f aca="false">IF(F289="","",IF(ISNUMBER(J289),J289,IFERROR(VLOOKUP(F289,RW_TBL,3,0),0)))</f>
        <v/>
      </c>
      <c r="M289" s="113"/>
      <c r="N289" s="114"/>
    </row>
    <row r="290" customFormat="false" ht="15" hidden="false" customHeight="false" outlineLevel="0" collapsed="false">
      <c r="A290" s="131" t="str">
        <f aca="false">IF(B290="","",ROW()-6)</f>
        <v/>
      </c>
      <c r="B290" s="207"/>
      <c r="C290" s="60"/>
      <c r="D290" s="131" t="str">
        <f aca="false">IF(C290="","",IF(OR(C290="ทั้งเฟส",LEFT(C290,4)="ผรม.",LEFT(C290,3)="เขต"),C290,IFERROR(INDEX('Master Plan'!$B$8:$B$27,MATCH(C290,'Master Plan'!$A$8:$A$27,0)),"?")))</f>
        <v/>
      </c>
      <c r="E290" s="118" t="str">
        <f aca="false">IF(C290="","",IF(OR(C290="ทั้งเฟส",LEFT(C290,4)="ผรม.",LEFT(C290,3)="เขต"),C290,IFERROR(INDEX('Master Plan'!$L$8:$L$27,MATCH(C290,'Master Plan'!$A$8:$A$27,0)),"?")))</f>
        <v/>
      </c>
      <c r="F290" s="60"/>
      <c r="G290" s="114"/>
      <c r="H290" s="60"/>
      <c r="I290" s="116"/>
      <c r="J290" s="225"/>
      <c r="K290" s="206" t="str">
        <f aca="false">IF(F290="","",IF(ISNUMBER(I290),I290,IFERROR(VLOOKUP(F290,RW_TBL,2,0),0)))</f>
        <v/>
      </c>
      <c r="L290" s="226" t="str">
        <f aca="false">IF(F290="","",IF(ISNUMBER(J290),J290,IFERROR(VLOOKUP(F290,RW_TBL,3,0),0)))</f>
        <v/>
      </c>
      <c r="M290" s="113"/>
      <c r="N290" s="114"/>
    </row>
    <row r="291" customFormat="false" ht="15" hidden="false" customHeight="false" outlineLevel="0" collapsed="false">
      <c r="A291" s="131" t="str">
        <f aca="false">IF(B291="","",ROW()-6)</f>
        <v/>
      </c>
      <c r="B291" s="207"/>
      <c r="C291" s="60"/>
      <c r="D291" s="131" t="str">
        <f aca="false">IF(C291="","",IF(OR(C291="ทั้งเฟส",LEFT(C291,4)="ผรม.",LEFT(C291,3)="เขต"),C291,IFERROR(INDEX('Master Plan'!$B$8:$B$27,MATCH(C291,'Master Plan'!$A$8:$A$27,0)),"?")))</f>
        <v/>
      </c>
      <c r="E291" s="118" t="str">
        <f aca="false">IF(C291="","",IF(OR(C291="ทั้งเฟส",LEFT(C291,4)="ผรม.",LEFT(C291,3)="เขต"),C291,IFERROR(INDEX('Master Plan'!$L$8:$L$27,MATCH(C291,'Master Plan'!$A$8:$A$27,0)),"?")))</f>
        <v/>
      </c>
      <c r="F291" s="60"/>
      <c r="G291" s="114"/>
      <c r="H291" s="60"/>
      <c r="I291" s="116"/>
      <c r="J291" s="225"/>
      <c r="K291" s="206" t="str">
        <f aca="false">IF(F291="","",IF(ISNUMBER(I291),I291,IFERROR(VLOOKUP(F291,RW_TBL,2,0),0)))</f>
        <v/>
      </c>
      <c r="L291" s="226" t="str">
        <f aca="false">IF(F291="","",IF(ISNUMBER(J291),J291,IFERROR(VLOOKUP(F291,RW_TBL,3,0),0)))</f>
        <v/>
      </c>
      <c r="M291" s="113"/>
      <c r="N291" s="114"/>
    </row>
    <row r="292" customFormat="false" ht="15" hidden="false" customHeight="false" outlineLevel="0" collapsed="false">
      <c r="A292" s="131" t="str">
        <f aca="false">IF(B292="","",ROW()-6)</f>
        <v/>
      </c>
      <c r="B292" s="207"/>
      <c r="C292" s="60"/>
      <c r="D292" s="131" t="str">
        <f aca="false">IF(C292="","",IF(OR(C292="ทั้งเฟส",LEFT(C292,4)="ผรม.",LEFT(C292,3)="เขต"),C292,IFERROR(INDEX('Master Plan'!$B$8:$B$27,MATCH(C292,'Master Plan'!$A$8:$A$27,0)),"?")))</f>
        <v/>
      </c>
      <c r="E292" s="118" t="str">
        <f aca="false">IF(C292="","",IF(OR(C292="ทั้งเฟส",LEFT(C292,4)="ผรม.",LEFT(C292,3)="เขต"),C292,IFERROR(INDEX('Master Plan'!$L$8:$L$27,MATCH(C292,'Master Plan'!$A$8:$A$27,0)),"?")))</f>
        <v/>
      </c>
      <c r="F292" s="60"/>
      <c r="G292" s="114"/>
      <c r="H292" s="60"/>
      <c r="I292" s="116"/>
      <c r="J292" s="225"/>
      <c r="K292" s="206" t="str">
        <f aca="false">IF(F292="","",IF(ISNUMBER(I292),I292,IFERROR(VLOOKUP(F292,RW_TBL,2,0),0)))</f>
        <v/>
      </c>
      <c r="L292" s="226" t="str">
        <f aca="false">IF(F292="","",IF(ISNUMBER(J292),J292,IFERROR(VLOOKUP(F292,RW_TBL,3,0),0)))</f>
        <v/>
      </c>
      <c r="M292" s="113"/>
      <c r="N292" s="114"/>
    </row>
    <row r="293" customFormat="false" ht="15" hidden="false" customHeight="false" outlineLevel="0" collapsed="false">
      <c r="A293" s="131" t="str">
        <f aca="false">IF(B293="","",ROW()-6)</f>
        <v/>
      </c>
      <c r="B293" s="207"/>
      <c r="C293" s="60"/>
      <c r="D293" s="131" t="str">
        <f aca="false">IF(C293="","",IF(OR(C293="ทั้งเฟส",LEFT(C293,4)="ผรม.",LEFT(C293,3)="เขต"),C293,IFERROR(INDEX('Master Plan'!$B$8:$B$27,MATCH(C293,'Master Plan'!$A$8:$A$27,0)),"?")))</f>
        <v/>
      </c>
      <c r="E293" s="118" t="str">
        <f aca="false">IF(C293="","",IF(OR(C293="ทั้งเฟส",LEFT(C293,4)="ผรม.",LEFT(C293,3)="เขต"),C293,IFERROR(INDEX('Master Plan'!$L$8:$L$27,MATCH(C293,'Master Plan'!$A$8:$A$27,0)),"?")))</f>
        <v/>
      </c>
      <c r="F293" s="60"/>
      <c r="G293" s="114"/>
      <c r="H293" s="60"/>
      <c r="I293" s="116"/>
      <c r="J293" s="225"/>
      <c r="K293" s="206" t="str">
        <f aca="false">IF(F293="","",IF(ISNUMBER(I293),I293,IFERROR(VLOOKUP(F293,RW_TBL,2,0),0)))</f>
        <v/>
      </c>
      <c r="L293" s="226" t="str">
        <f aca="false">IF(F293="","",IF(ISNUMBER(J293),J293,IFERROR(VLOOKUP(F293,RW_TBL,3,0),0)))</f>
        <v/>
      </c>
      <c r="M293" s="113"/>
      <c r="N293" s="114"/>
    </row>
    <row r="294" customFormat="false" ht="15" hidden="false" customHeight="false" outlineLevel="0" collapsed="false">
      <c r="A294" s="131" t="str">
        <f aca="false">IF(B294="","",ROW()-6)</f>
        <v/>
      </c>
      <c r="B294" s="207"/>
      <c r="C294" s="60"/>
      <c r="D294" s="131" t="str">
        <f aca="false">IF(C294="","",IF(OR(C294="ทั้งเฟส",LEFT(C294,4)="ผรม.",LEFT(C294,3)="เขต"),C294,IFERROR(INDEX('Master Plan'!$B$8:$B$27,MATCH(C294,'Master Plan'!$A$8:$A$27,0)),"?")))</f>
        <v/>
      </c>
      <c r="E294" s="118" t="str">
        <f aca="false">IF(C294="","",IF(OR(C294="ทั้งเฟส",LEFT(C294,4)="ผรม.",LEFT(C294,3)="เขต"),C294,IFERROR(INDEX('Master Plan'!$L$8:$L$27,MATCH(C294,'Master Plan'!$A$8:$A$27,0)),"?")))</f>
        <v/>
      </c>
      <c r="F294" s="60"/>
      <c r="G294" s="114"/>
      <c r="H294" s="60"/>
      <c r="I294" s="116"/>
      <c r="J294" s="225"/>
      <c r="K294" s="206" t="str">
        <f aca="false">IF(F294="","",IF(ISNUMBER(I294),I294,IFERROR(VLOOKUP(F294,RW_TBL,2,0),0)))</f>
        <v/>
      </c>
      <c r="L294" s="226" t="str">
        <f aca="false">IF(F294="","",IF(ISNUMBER(J294),J294,IFERROR(VLOOKUP(F294,RW_TBL,3,0),0)))</f>
        <v/>
      </c>
      <c r="M294" s="113"/>
      <c r="N294" s="114"/>
    </row>
    <row r="295" customFormat="false" ht="15" hidden="false" customHeight="false" outlineLevel="0" collapsed="false">
      <c r="A295" s="131" t="str">
        <f aca="false">IF(B295="","",ROW()-6)</f>
        <v/>
      </c>
      <c r="B295" s="207"/>
      <c r="C295" s="60"/>
      <c r="D295" s="131" t="str">
        <f aca="false">IF(C295="","",IF(OR(C295="ทั้งเฟส",LEFT(C295,4)="ผรม.",LEFT(C295,3)="เขต"),C295,IFERROR(INDEX('Master Plan'!$B$8:$B$27,MATCH(C295,'Master Plan'!$A$8:$A$27,0)),"?")))</f>
        <v/>
      </c>
      <c r="E295" s="118" t="str">
        <f aca="false">IF(C295="","",IF(OR(C295="ทั้งเฟส",LEFT(C295,4)="ผรม.",LEFT(C295,3)="เขต"),C295,IFERROR(INDEX('Master Plan'!$L$8:$L$27,MATCH(C295,'Master Plan'!$A$8:$A$27,0)),"?")))</f>
        <v/>
      </c>
      <c r="F295" s="60"/>
      <c r="G295" s="114"/>
      <c r="H295" s="60"/>
      <c r="I295" s="116"/>
      <c r="J295" s="225"/>
      <c r="K295" s="206" t="str">
        <f aca="false">IF(F295="","",IF(ISNUMBER(I295),I295,IFERROR(VLOOKUP(F295,RW_TBL,2,0),0)))</f>
        <v/>
      </c>
      <c r="L295" s="226" t="str">
        <f aca="false">IF(F295="","",IF(ISNUMBER(J295),J295,IFERROR(VLOOKUP(F295,RW_TBL,3,0),0)))</f>
        <v/>
      </c>
      <c r="M295" s="113"/>
      <c r="N295" s="114"/>
    </row>
    <row r="296" customFormat="false" ht="15" hidden="false" customHeight="false" outlineLevel="0" collapsed="false">
      <c r="A296" s="131" t="str">
        <f aca="false">IF(B296="","",ROW()-6)</f>
        <v/>
      </c>
      <c r="B296" s="207"/>
      <c r="C296" s="60"/>
      <c r="D296" s="131" t="str">
        <f aca="false">IF(C296="","",IF(OR(C296="ทั้งเฟส",LEFT(C296,4)="ผรม.",LEFT(C296,3)="เขต"),C296,IFERROR(INDEX('Master Plan'!$B$8:$B$27,MATCH(C296,'Master Plan'!$A$8:$A$27,0)),"?")))</f>
        <v/>
      </c>
      <c r="E296" s="118" t="str">
        <f aca="false">IF(C296="","",IF(OR(C296="ทั้งเฟส",LEFT(C296,4)="ผรม.",LEFT(C296,3)="เขต"),C296,IFERROR(INDEX('Master Plan'!$L$8:$L$27,MATCH(C296,'Master Plan'!$A$8:$A$27,0)),"?")))</f>
        <v/>
      </c>
      <c r="F296" s="60"/>
      <c r="G296" s="114"/>
      <c r="H296" s="60"/>
      <c r="I296" s="116"/>
      <c r="J296" s="225"/>
      <c r="K296" s="206" t="str">
        <f aca="false">IF(F296="","",IF(ISNUMBER(I296),I296,IFERROR(VLOOKUP(F296,RW_TBL,2,0),0)))</f>
        <v/>
      </c>
      <c r="L296" s="226" t="str">
        <f aca="false">IF(F296="","",IF(ISNUMBER(J296),J296,IFERROR(VLOOKUP(F296,RW_TBL,3,0),0)))</f>
        <v/>
      </c>
      <c r="M296" s="113"/>
      <c r="N296" s="114"/>
    </row>
    <row r="297" customFormat="false" ht="15" hidden="false" customHeight="false" outlineLevel="0" collapsed="false">
      <c r="A297" s="131" t="str">
        <f aca="false">IF(B297="","",ROW()-6)</f>
        <v/>
      </c>
      <c r="B297" s="207"/>
      <c r="C297" s="60"/>
      <c r="D297" s="131" t="str">
        <f aca="false">IF(C297="","",IF(OR(C297="ทั้งเฟส",LEFT(C297,4)="ผรม.",LEFT(C297,3)="เขต"),C297,IFERROR(INDEX('Master Plan'!$B$8:$B$27,MATCH(C297,'Master Plan'!$A$8:$A$27,0)),"?")))</f>
        <v/>
      </c>
      <c r="E297" s="118" t="str">
        <f aca="false">IF(C297="","",IF(OR(C297="ทั้งเฟส",LEFT(C297,4)="ผรม.",LEFT(C297,3)="เขต"),C297,IFERROR(INDEX('Master Plan'!$L$8:$L$27,MATCH(C297,'Master Plan'!$A$8:$A$27,0)),"?")))</f>
        <v/>
      </c>
      <c r="F297" s="60"/>
      <c r="G297" s="114"/>
      <c r="H297" s="60"/>
      <c r="I297" s="116"/>
      <c r="J297" s="225"/>
      <c r="K297" s="206" t="str">
        <f aca="false">IF(F297="","",IF(ISNUMBER(I297),I297,IFERROR(VLOOKUP(F297,RW_TBL,2,0),0)))</f>
        <v/>
      </c>
      <c r="L297" s="226" t="str">
        <f aca="false">IF(F297="","",IF(ISNUMBER(J297),J297,IFERROR(VLOOKUP(F297,RW_TBL,3,0),0)))</f>
        <v/>
      </c>
      <c r="M297" s="113"/>
      <c r="N297" s="114"/>
    </row>
    <row r="298" customFormat="false" ht="15" hidden="false" customHeight="false" outlineLevel="0" collapsed="false">
      <c r="A298" s="131" t="str">
        <f aca="false">IF(B298="","",ROW()-6)</f>
        <v/>
      </c>
      <c r="B298" s="207"/>
      <c r="C298" s="60"/>
      <c r="D298" s="131" t="str">
        <f aca="false">IF(C298="","",IF(OR(C298="ทั้งเฟส",LEFT(C298,4)="ผรม.",LEFT(C298,3)="เขต"),C298,IFERROR(INDEX('Master Plan'!$B$8:$B$27,MATCH(C298,'Master Plan'!$A$8:$A$27,0)),"?")))</f>
        <v/>
      </c>
      <c r="E298" s="118" t="str">
        <f aca="false">IF(C298="","",IF(OR(C298="ทั้งเฟส",LEFT(C298,4)="ผรม.",LEFT(C298,3)="เขต"),C298,IFERROR(INDEX('Master Plan'!$L$8:$L$27,MATCH(C298,'Master Plan'!$A$8:$A$27,0)),"?")))</f>
        <v/>
      </c>
      <c r="F298" s="60"/>
      <c r="G298" s="114"/>
      <c r="H298" s="60"/>
      <c r="I298" s="116"/>
      <c r="J298" s="225"/>
      <c r="K298" s="206" t="str">
        <f aca="false">IF(F298="","",IF(ISNUMBER(I298),I298,IFERROR(VLOOKUP(F298,RW_TBL,2,0),0)))</f>
        <v/>
      </c>
      <c r="L298" s="226" t="str">
        <f aca="false">IF(F298="","",IF(ISNUMBER(J298),J298,IFERROR(VLOOKUP(F298,RW_TBL,3,0),0)))</f>
        <v/>
      </c>
      <c r="M298" s="113"/>
      <c r="N298" s="114"/>
    </row>
    <row r="299" customFormat="false" ht="15" hidden="false" customHeight="false" outlineLevel="0" collapsed="false">
      <c r="A299" s="131" t="str">
        <f aca="false">IF(B299="","",ROW()-6)</f>
        <v/>
      </c>
      <c r="B299" s="207"/>
      <c r="C299" s="60"/>
      <c r="D299" s="131" t="str">
        <f aca="false">IF(C299="","",IF(OR(C299="ทั้งเฟส",LEFT(C299,4)="ผรม.",LEFT(C299,3)="เขต"),C299,IFERROR(INDEX('Master Plan'!$B$8:$B$27,MATCH(C299,'Master Plan'!$A$8:$A$27,0)),"?")))</f>
        <v/>
      </c>
      <c r="E299" s="118" t="str">
        <f aca="false">IF(C299="","",IF(OR(C299="ทั้งเฟส",LEFT(C299,4)="ผรม.",LEFT(C299,3)="เขต"),C299,IFERROR(INDEX('Master Plan'!$L$8:$L$27,MATCH(C299,'Master Plan'!$A$8:$A$27,0)),"?")))</f>
        <v/>
      </c>
      <c r="F299" s="60"/>
      <c r="G299" s="114"/>
      <c r="H299" s="60"/>
      <c r="I299" s="116"/>
      <c r="J299" s="225"/>
      <c r="K299" s="206" t="str">
        <f aca="false">IF(F299="","",IF(ISNUMBER(I299),I299,IFERROR(VLOOKUP(F299,RW_TBL,2,0),0)))</f>
        <v/>
      </c>
      <c r="L299" s="226" t="str">
        <f aca="false">IF(F299="","",IF(ISNUMBER(J299),J299,IFERROR(VLOOKUP(F299,RW_TBL,3,0),0)))</f>
        <v/>
      </c>
      <c r="M299" s="113"/>
      <c r="N299" s="114"/>
    </row>
    <row r="300" customFormat="false" ht="15" hidden="false" customHeight="false" outlineLevel="0" collapsed="false">
      <c r="A300" s="131" t="str">
        <f aca="false">IF(B300="","",ROW()-6)</f>
        <v/>
      </c>
      <c r="B300" s="207"/>
      <c r="C300" s="60"/>
      <c r="D300" s="131" t="str">
        <f aca="false">IF(C300="","",IF(OR(C300="ทั้งเฟส",LEFT(C300,4)="ผรม.",LEFT(C300,3)="เขต"),C300,IFERROR(INDEX('Master Plan'!$B$8:$B$27,MATCH(C300,'Master Plan'!$A$8:$A$27,0)),"?")))</f>
        <v/>
      </c>
      <c r="E300" s="118" t="str">
        <f aca="false">IF(C300="","",IF(OR(C300="ทั้งเฟส",LEFT(C300,4)="ผรม.",LEFT(C300,3)="เขต"),C300,IFERROR(INDEX('Master Plan'!$L$8:$L$27,MATCH(C300,'Master Plan'!$A$8:$A$27,0)),"?")))</f>
        <v/>
      </c>
      <c r="F300" s="60"/>
      <c r="G300" s="114"/>
      <c r="H300" s="60"/>
      <c r="I300" s="116"/>
      <c r="J300" s="225"/>
      <c r="K300" s="206" t="str">
        <f aca="false">IF(F300="","",IF(ISNUMBER(I300),I300,IFERROR(VLOOKUP(F300,RW_TBL,2,0),0)))</f>
        <v/>
      </c>
      <c r="L300" s="226" t="str">
        <f aca="false">IF(F300="","",IF(ISNUMBER(J300),J300,IFERROR(VLOOKUP(F300,RW_TBL,3,0),0)))</f>
        <v/>
      </c>
      <c r="M300" s="113"/>
      <c r="N300" s="114"/>
    </row>
    <row r="301" customFormat="false" ht="15" hidden="false" customHeight="false" outlineLevel="0" collapsed="false">
      <c r="A301" s="131" t="str">
        <f aca="false">IF(B301="","",ROW()-6)</f>
        <v/>
      </c>
      <c r="B301" s="207"/>
      <c r="C301" s="60"/>
      <c r="D301" s="131" t="str">
        <f aca="false">IF(C301="","",IF(OR(C301="ทั้งเฟส",LEFT(C301,4)="ผรม.",LEFT(C301,3)="เขต"),C301,IFERROR(INDEX('Master Plan'!$B$8:$B$27,MATCH(C301,'Master Plan'!$A$8:$A$27,0)),"?")))</f>
        <v/>
      </c>
      <c r="E301" s="118" t="str">
        <f aca="false">IF(C301="","",IF(OR(C301="ทั้งเฟส",LEFT(C301,4)="ผรม.",LEFT(C301,3)="เขต"),C301,IFERROR(INDEX('Master Plan'!$L$8:$L$27,MATCH(C301,'Master Plan'!$A$8:$A$27,0)),"?")))</f>
        <v/>
      </c>
      <c r="F301" s="60"/>
      <c r="G301" s="114"/>
      <c r="H301" s="60"/>
      <c r="I301" s="116"/>
      <c r="J301" s="225"/>
      <c r="K301" s="206" t="str">
        <f aca="false">IF(F301="","",IF(ISNUMBER(I301),I301,IFERROR(VLOOKUP(F301,RW_TBL,2,0),0)))</f>
        <v/>
      </c>
      <c r="L301" s="226" t="str">
        <f aca="false">IF(F301="","",IF(ISNUMBER(J301),J301,IFERROR(VLOOKUP(F301,RW_TBL,3,0),0)))</f>
        <v/>
      </c>
      <c r="M301" s="113"/>
      <c r="N301" s="114"/>
    </row>
    <row r="302" customFormat="false" ht="15" hidden="false" customHeight="false" outlineLevel="0" collapsed="false">
      <c r="A302" s="131" t="str">
        <f aca="false">IF(B302="","",ROW()-6)</f>
        <v/>
      </c>
      <c r="B302" s="207"/>
      <c r="C302" s="60"/>
      <c r="D302" s="131" t="str">
        <f aca="false">IF(C302="","",IF(OR(C302="ทั้งเฟส",LEFT(C302,4)="ผรม.",LEFT(C302,3)="เขต"),C302,IFERROR(INDEX('Master Plan'!$B$8:$B$27,MATCH(C302,'Master Plan'!$A$8:$A$27,0)),"?")))</f>
        <v/>
      </c>
      <c r="E302" s="118" t="str">
        <f aca="false">IF(C302="","",IF(OR(C302="ทั้งเฟส",LEFT(C302,4)="ผรม.",LEFT(C302,3)="เขต"),C302,IFERROR(INDEX('Master Plan'!$L$8:$L$27,MATCH(C302,'Master Plan'!$A$8:$A$27,0)),"?")))</f>
        <v/>
      </c>
      <c r="F302" s="60"/>
      <c r="G302" s="114"/>
      <c r="H302" s="60"/>
      <c r="I302" s="116"/>
      <c r="J302" s="225"/>
      <c r="K302" s="206" t="str">
        <f aca="false">IF(F302="","",IF(ISNUMBER(I302),I302,IFERROR(VLOOKUP(F302,RW_TBL,2,0),0)))</f>
        <v/>
      </c>
      <c r="L302" s="226" t="str">
        <f aca="false">IF(F302="","",IF(ISNUMBER(J302),J302,IFERROR(VLOOKUP(F302,RW_TBL,3,0),0)))</f>
        <v/>
      </c>
      <c r="M302" s="113"/>
      <c r="N302" s="114"/>
    </row>
    <row r="303" customFormat="false" ht="15" hidden="false" customHeight="false" outlineLevel="0" collapsed="false">
      <c r="A303" s="131" t="str">
        <f aca="false">IF(B303="","",ROW()-6)</f>
        <v/>
      </c>
      <c r="B303" s="207"/>
      <c r="C303" s="60"/>
      <c r="D303" s="131" t="str">
        <f aca="false">IF(C303="","",IF(OR(C303="ทั้งเฟส",LEFT(C303,4)="ผรม.",LEFT(C303,3)="เขต"),C303,IFERROR(INDEX('Master Plan'!$B$8:$B$27,MATCH(C303,'Master Plan'!$A$8:$A$27,0)),"?")))</f>
        <v/>
      </c>
      <c r="E303" s="118" t="str">
        <f aca="false">IF(C303="","",IF(OR(C303="ทั้งเฟส",LEFT(C303,4)="ผรม.",LEFT(C303,3)="เขต"),C303,IFERROR(INDEX('Master Plan'!$L$8:$L$27,MATCH(C303,'Master Plan'!$A$8:$A$27,0)),"?")))</f>
        <v/>
      </c>
      <c r="F303" s="60"/>
      <c r="G303" s="114"/>
      <c r="H303" s="60"/>
      <c r="I303" s="116"/>
      <c r="J303" s="225"/>
      <c r="K303" s="206" t="str">
        <f aca="false">IF(F303="","",IF(ISNUMBER(I303),I303,IFERROR(VLOOKUP(F303,RW_TBL,2,0),0)))</f>
        <v/>
      </c>
      <c r="L303" s="226" t="str">
        <f aca="false">IF(F303="","",IF(ISNUMBER(J303),J303,IFERROR(VLOOKUP(F303,RW_TBL,3,0),0)))</f>
        <v/>
      </c>
      <c r="M303" s="113"/>
      <c r="N303" s="114"/>
    </row>
    <row r="304" customFormat="false" ht="15" hidden="false" customHeight="false" outlineLevel="0" collapsed="false">
      <c r="A304" s="131" t="str">
        <f aca="false">IF(B304="","",ROW()-6)</f>
        <v/>
      </c>
      <c r="B304" s="207"/>
      <c r="C304" s="60"/>
      <c r="D304" s="131" t="str">
        <f aca="false">IF(C304="","",IF(OR(C304="ทั้งเฟส",LEFT(C304,4)="ผรม.",LEFT(C304,3)="เขต"),C304,IFERROR(INDEX('Master Plan'!$B$8:$B$27,MATCH(C304,'Master Plan'!$A$8:$A$27,0)),"?")))</f>
        <v/>
      </c>
      <c r="E304" s="118" t="str">
        <f aca="false">IF(C304="","",IF(OR(C304="ทั้งเฟส",LEFT(C304,4)="ผรม.",LEFT(C304,3)="เขต"),C304,IFERROR(INDEX('Master Plan'!$L$8:$L$27,MATCH(C304,'Master Plan'!$A$8:$A$27,0)),"?")))</f>
        <v/>
      </c>
      <c r="F304" s="60"/>
      <c r="G304" s="114"/>
      <c r="H304" s="60"/>
      <c r="I304" s="116"/>
      <c r="J304" s="225"/>
      <c r="K304" s="206" t="str">
        <f aca="false">IF(F304="","",IF(ISNUMBER(I304),I304,IFERROR(VLOOKUP(F304,RW_TBL,2,0),0)))</f>
        <v/>
      </c>
      <c r="L304" s="226" t="str">
        <f aca="false">IF(F304="","",IF(ISNUMBER(J304),J304,IFERROR(VLOOKUP(F304,RW_TBL,3,0),0)))</f>
        <v/>
      </c>
      <c r="M304" s="113"/>
      <c r="N304" s="114"/>
    </row>
    <row r="305" customFormat="false" ht="15" hidden="false" customHeight="false" outlineLevel="0" collapsed="false">
      <c r="A305" s="131" t="str">
        <f aca="false">IF(B305="","",ROW()-6)</f>
        <v/>
      </c>
      <c r="B305" s="207"/>
      <c r="C305" s="60"/>
      <c r="D305" s="131" t="str">
        <f aca="false">IF(C305="","",IF(OR(C305="ทั้งเฟส",LEFT(C305,4)="ผรม.",LEFT(C305,3)="เขต"),C305,IFERROR(INDEX('Master Plan'!$B$8:$B$27,MATCH(C305,'Master Plan'!$A$8:$A$27,0)),"?")))</f>
        <v/>
      </c>
      <c r="E305" s="118" t="str">
        <f aca="false">IF(C305="","",IF(OR(C305="ทั้งเฟส",LEFT(C305,4)="ผรม.",LEFT(C305,3)="เขต"),C305,IFERROR(INDEX('Master Plan'!$L$8:$L$27,MATCH(C305,'Master Plan'!$A$8:$A$27,0)),"?")))</f>
        <v/>
      </c>
      <c r="F305" s="60"/>
      <c r="G305" s="114"/>
      <c r="H305" s="60"/>
      <c r="I305" s="116"/>
      <c r="J305" s="225"/>
      <c r="K305" s="206" t="str">
        <f aca="false">IF(F305="","",IF(ISNUMBER(I305),I305,IFERROR(VLOOKUP(F305,RW_TBL,2,0),0)))</f>
        <v/>
      </c>
      <c r="L305" s="226" t="str">
        <f aca="false">IF(F305="","",IF(ISNUMBER(J305),J305,IFERROR(VLOOKUP(F305,RW_TBL,3,0),0)))</f>
        <v/>
      </c>
      <c r="M305" s="113"/>
      <c r="N305" s="114"/>
    </row>
    <row r="306" customFormat="false" ht="15" hidden="false" customHeight="false" outlineLevel="0" collapsed="false">
      <c r="A306" s="131" t="str">
        <f aca="false">IF(B306="","",ROW()-6)</f>
        <v/>
      </c>
      <c r="B306" s="207"/>
      <c r="C306" s="60"/>
      <c r="D306" s="131" t="str">
        <f aca="false">IF(C306="","",IF(OR(C306="ทั้งเฟส",LEFT(C306,4)="ผรม.",LEFT(C306,3)="เขต"),C306,IFERROR(INDEX('Master Plan'!$B$8:$B$27,MATCH(C306,'Master Plan'!$A$8:$A$27,0)),"?")))</f>
        <v/>
      </c>
      <c r="E306" s="118" t="str">
        <f aca="false">IF(C306="","",IF(OR(C306="ทั้งเฟส",LEFT(C306,4)="ผรม.",LEFT(C306,3)="เขต"),C306,IFERROR(INDEX('Master Plan'!$L$8:$L$27,MATCH(C306,'Master Plan'!$A$8:$A$27,0)),"?")))</f>
        <v/>
      </c>
      <c r="F306" s="60"/>
      <c r="G306" s="114"/>
      <c r="H306" s="60"/>
      <c r="I306" s="116"/>
      <c r="J306" s="225"/>
      <c r="K306" s="206" t="str">
        <f aca="false">IF(F306="","",IF(ISNUMBER(I306),I306,IFERROR(VLOOKUP(F306,RW_TBL,2,0),0)))</f>
        <v/>
      </c>
      <c r="L306" s="226" t="str">
        <f aca="false">IF(F306="","",IF(ISNUMBER(J306),J306,IFERROR(VLOOKUP(F306,RW_TBL,3,0),0)))</f>
        <v/>
      </c>
      <c r="M306" s="113"/>
      <c r="N306" s="114"/>
    </row>
    <row r="307" customFormat="false" ht="15" hidden="false" customHeight="false" outlineLevel="0" collapsed="false">
      <c r="A307" s="131" t="str">
        <f aca="false">IF(B307="","",ROW()-6)</f>
        <v/>
      </c>
      <c r="B307" s="207"/>
      <c r="C307" s="60"/>
      <c r="D307" s="131" t="str">
        <f aca="false">IF(C307="","",IF(OR(C307="ทั้งเฟส",LEFT(C307,4)="ผรม.",LEFT(C307,3)="เขต"),C307,IFERROR(INDEX('Master Plan'!$B$8:$B$27,MATCH(C307,'Master Plan'!$A$8:$A$27,0)),"?")))</f>
        <v/>
      </c>
      <c r="E307" s="118" t="str">
        <f aca="false">IF(C307="","",IF(OR(C307="ทั้งเฟส",LEFT(C307,4)="ผรม.",LEFT(C307,3)="เขต"),C307,IFERROR(INDEX('Master Plan'!$L$8:$L$27,MATCH(C307,'Master Plan'!$A$8:$A$27,0)),"?")))</f>
        <v/>
      </c>
      <c r="F307" s="60"/>
      <c r="G307" s="114"/>
      <c r="H307" s="60"/>
      <c r="I307" s="116"/>
      <c r="J307" s="225"/>
      <c r="K307" s="206" t="str">
        <f aca="false">IF(F307="","",IF(ISNUMBER(I307),I307,IFERROR(VLOOKUP(F307,RW_TBL,2,0),0)))</f>
        <v/>
      </c>
      <c r="L307" s="226" t="str">
        <f aca="false">IF(F307="","",IF(ISNUMBER(J307),J307,IFERROR(VLOOKUP(F307,RW_TBL,3,0),0)))</f>
        <v/>
      </c>
      <c r="M307" s="113"/>
      <c r="N307" s="114"/>
    </row>
    <row r="308" customFormat="false" ht="15" hidden="false" customHeight="false" outlineLevel="0" collapsed="false">
      <c r="A308" s="131" t="str">
        <f aca="false">IF(B308="","",ROW()-6)</f>
        <v/>
      </c>
      <c r="B308" s="207"/>
      <c r="C308" s="60"/>
      <c r="D308" s="131" t="str">
        <f aca="false">IF(C308="","",IF(OR(C308="ทั้งเฟส",LEFT(C308,4)="ผรม.",LEFT(C308,3)="เขต"),C308,IFERROR(INDEX('Master Plan'!$B$8:$B$27,MATCH(C308,'Master Plan'!$A$8:$A$27,0)),"?")))</f>
        <v/>
      </c>
      <c r="E308" s="118" t="str">
        <f aca="false">IF(C308="","",IF(OR(C308="ทั้งเฟส",LEFT(C308,4)="ผรม.",LEFT(C308,3)="เขต"),C308,IFERROR(INDEX('Master Plan'!$L$8:$L$27,MATCH(C308,'Master Plan'!$A$8:$A$27,0)),"?")))</f>
        <v/>
      </c>
      <c r="F308" s="60"/>
      <c r="G308" s="114"/>
      <c r="H308" s="60"/>
      <c r="I308" s="116"/>
      <c r="J308" s="225"/>
      <c r="K308" s="206" t="str">
        <f aca="false">IF(F308="","",IF(ISNUMBER(I308),I308,IFERROR(VLOOKUP(F308,RW_TBL,2,0),0)))</f>
        <v/>
      </c>
      <c r="L308" s="226" t="str">
        <f aca="false">IF(F308="","",IF(ISNUMBER(J308),J308,IFERROR(VLOOKUP(F308,RW_TBL,3,0),0)))</f>
        <v/>
      </c>
      <c r="M308" s="113"/>
      <c r="N308" s="114"/>
    </row>
    <row r="309" customFormat="false" ht="15" hidden="false" customHeight="false" outlineLevel="0" collapsed="false">
      <c r="A309" s="131" t="str">
        <f aca="false">IF(B309="","",ROW()-6)</f>
        <v/>
      </c>
      <c r="B309" s="207"/>
      <c r="C309" s="60"/>
      <c r="D309" s="131" t="str">
        <f aca="false">IF(C309="","",IF(OR(C309="ทั้งเฟส",LEFT(C309,4)="ผรม.",LEFT(C309,3)="เขต"),C309,IFERROR(INDEX('Master Plan'!$B$8:$B$27,MATCH(C309,'Master Plan'!$A$8:$A$27,0)),"?")))</f>
        <v/>
      </c>
      <c r="E309" s="118" t="str">
        <f aca="false">IF(C309="","",IF(OR(C309="ทั้งเฟส",LEFT(C309,4)="ผรม.",LEFT(C309,3)="เขต"),C309,IFERROR(INDEX('Master Plan'!$L$8:$L$27,MATCH(C309,'Master Plan'!$A$8:$A$27,0)),"?")))</f>
        <v/>
      </c>
      <c r="F309" s="60"/>
      <c r="G309" s="114"/>
      <c r="H309" s="60"/>
      <c r="I309" s="116"/>
      <c r="J309" s="225"/>
      <c r="K309" s="206" t="str">
        <f aca="false">IF(F309="","",IF(ISNUMBER(I309),I309,IFERROR(VLOOKUP(F309,RW_TBL,2,0),0)))</f>
        <v/>
      </c>
      <c r="L309" s="226" t="str">
        <f aca="false">IF(F309="","",IF(ISNUMBER(J309),J309,IFERROR(VLOOKUP(F309,RW_TBL,3,0),0)))</f>
        <v/>
      </c>
      <c r="M309" s="113"/>
      <c r="N309" s="114"/>
    </row>
    <row r="310" customFormat="false" ht="15" hidden="false" customHeight="false" outlineLevel="0" collapsed="false">
      <c r="A310" s="131" t="str">
        <f aca="false">IF(B310="","",ROW()-6)</f>
        <v/>
      </c>
      <c r="B310" s="207"/>
      <c r="C310" s="60"/>
      <c r="D310" s="131" t="str">
        <f aca="false">IF(C310="","",IF(OR(C310="ทั้งเฟส",LEFT(C310,4)="ผรม.",LEFT(C310,3)="เขต"),C310,IFERROR(INDEX('Master Plan'!$B$8:$B$27,MATCH(C310,'Master Plan'!$A$8:$A$27,0)),"?")))</f>
        <v/>
      </c>
      <c r="E310" s="118" t="str">
        <f aca="false">IF(C310="","",IF(OR(C310="ทั้งเฟส",LEFT(C310,4)="ผรม.",LEFT(C310,3)="เขต"),C310,IFERROR(INDEX('Master Plan'!$L$8:$L$27,MATCH(C310,'Master Plan'!$A$8:$A$27,0)),"?")))</f>
        <v/>
      </c>
      <c r="F310" s="60"/>
      <c r="G310" s="114"/>
      <c r="H310" s="60"/>
      <c r="I310" s="116"/>
      <c r="J310" s="225"/>
      <c r="K310" s="206" t="str">
        <f aca="false">IF(F310="","",IF(ISNUMBER(I310),I310,IFERROR(VLOOKUP(F310,RW_TBL,2,0),0)))</f>
        <v/>
      </c>
      <c r="L310" s="226" t="str">
        <f aca="false">IF(F310="","",IF(ISNUMBER(J310),J310,IFERROR(VLOOKUP(F310,RW_TBL,3,0),0)))</f>
        <v/>
      </c>
      <c r="M310" s="113"/>
      <c r="N310" s="114"/>
    </row>
    <row r="311" customFormat="false" ht="15" hidden="false" customHeight="false" outlineLevel="0" collapsed="false">
      <c r="A311" s="131" t="str">
        <f aca="false">IF(B311="","",ROW()-6)</f>
        <v/>
      </c>
      <c r="B311" s="207"/>
      <c r="C311" s="60"/>
      <c r="D311" s="131" t="str">
        <f aca="false">IF(C311="","",IF(OR(C311="ทั้งเฟส",LEFT(C311,4)="ผรม.",LEFT(C311,3)="เขต"),C311,IFERROR(INDEX('Master Plan'!$B$8:$B$27,MATCH(C311,'Master Plan'!$A$8:$A$27,0)),"?")))</f>
        <v/>
      </c>
      <c r="E311" s="118" t="str">
        <f aca="false">IF(C311="","",IF(OR(C311="ทั้งเฟส",LEFT(C311,4)="ผรม.",LEFT(C311,3)="เขต"),C311,IFERROR(INDEX('Master Plan'!$L$8:$L$27,MATCH(C311,'Master Plan'!$A$8:$A$27,0)),"?")))</f>
        <v/>
      </c>
      <c r="F311" s="60"/>
      <c r="G311" s="114"/>
      <c r="H311" s="60"/>
      <c r="I311" s="116"/>
      <c r="J311" s="225"/>
      <c r="K311" s="206" t="str">
        <f aca="false">IF(F311="","",IF(ISNUMBER(I311),I311,IFERROR(VLOOKUP(F311,RW_TBL,2,0),0)))</f>
        <v/>
      </c>
      <c r="L311" s="226" t="str">
        <f aca="false">IF(F311="","",IF(ISNUMBER(J311),J311,IFERROR(VLOOKUP(F311,RW_TBL,3,0),0)))</f>
        <v/>
      </c>
      <c r="M311" s="113"/>
      <c r="N311" s="114"/>
    </row>
    <row r="312" customFormat="false" ht="15" hidden="false" customHeight="false" outlineLevel="0" collapsed="false">
      <c r="A312" s="131" t="str">
        <f aca="false">IF(B312="","",ROW()-6)</f>
        <v/>
      </c>
      <c r="B312" s="207"/>
      <c r="C312" s="60"/>
      <c r="D312" s="131" t="str">
        <f aca="false">IF(C312="","",IF(OR(C312="ทั้งเฟส",LEFT(C312,4)="ผรม.",LEFT(C312,3)="เขต"),C312,IFERROR(INDEX('Master Plan'!$B$8:$B$27,MATCH(C312,'Master Plan'!$A$8:$A$27,0)),"?")))</f>
        <v/>
      </c>
      <c r="E312" s="118" t="str">
        <f aca="false">IF(C312="","",IF(OR(C312="ทั้งเฟส",LEFT(C312,4)="ผรม.",LEFT(C312,3)="เขต"),C312,IFERROR(INDEX('Master Plan'!$L$8:$L$27,MATCH(C312,'Master Plan'!$A$8:$A$27,0)),"?")))</f>
        <v/>
      </c>
      <c r="F312" s="60"/>
      <c r="G312" s="114"/>
      <c r="H312" s="60"/>
      <c r="I312" s="116"/>
      <c r="J312" s="225"/>
      <c r="K312" s="206" t="str">
        <f aca="false">IF(F312="","",IF(ISNUMBER(I312),I312,IFERROR(VLOOKUP(F312,RW_TBL,2,0),0)))</f>
        <v/>
      </c>
      <c r="L312" s="226" t="str">
        <f aca="false">IF(F312="","",IF(ISNUMBER(J312),J312,IFERROR(VLOOKUP(F312,RW_TBL,3,0),0)))</f>
        <v/>
      </c>
      <c r="M312" s="113"/>
      <c r="N312" s="114"/>
    </row>
    <row r="313" customFormat="false" ht="15" hidden="false" customHeight="false" outlineLevel="0" collapsed="false">
      <c r="A313" s="131" t="str">
        <f aca="false">IF(B313="","",ROW()-6)</f>
        <v/>
      </c>
      <c r="B313" s="207"/>
      <c r="C313" s="60"/>
      <c r="D313" s="131" t="str">
        <f aca="false">IF(C313="","",IF(OR(C313="ทั้งเฟส",LEFT(C313,4)="ผรม.",LEFT(C313,3)="เขต"),C313,IFERROR(INDEX('Master Plan'!$B$8:$B$27,MATCH(C313,'Master Plan'!$A$8:$A$27,0)),"?")))</f>
        <v/>
      </c>
      <c r="E313" s="118" t="str">
        <f aca="false">IF(C313="","",IF(OR(C313="ทั้งเฟส",LEFT(C313,4)="ผรม.",LEFT(C313,3)="เขต"),C313,IFERROR(INDEX('Master Plan'!$L$8:$L$27,MATCH(C313,'Master Plan'!$A$8:$A$27,0)),"?")))</f>
        <v/>
      </c>
      <c r="F313" s="60"/>
      <c r="G313" s="114"/>
      <c r="H313" s="60"/>
      <c r="I313" s="116"/>
      <c r="J313" s="225"/>
      <c r="K313" s="206" t="str">
        <f aca="false">IF(F313="","",IF(ISNUMBER(I313),I313,IFERROR(VLOOKUP(F313,RW_TBL,2,0),0)))</f>
        <v/>
      </c>
      <c r="L313" s="226" t="str">
        <f aca="false">IF(F313="","",IF(ISNUMBER(J313),J313,IFERROR(VLOOKUP(F313,RW_TBL,3,0),0)))</f>
        <v/>
      </c>
      <c r="M313" s="113"/>
      <c r="N313" s="114"/>
    </row>
    <row r="314" customFormat="false" ht="15" hidden="false" customHeight="false" outlineLevel="0" collapsed="false">
      <c r="A314" s="131" t="str">
        <f aca="false">IF(B314="","",ROW()-6)</f>
        <v/>
      </c>
      <c r="B314" s="207"/>
      <c r="C314" s="60"/>
      <c r="D314" s="131" t="str">
        <f aca="false">IF(C314="","",IF(OR(C314="ทั้งเฟส",LEFT(C314,4)="ผรม.",LEFT(C314,3)="เขต"),C314,IFERROR(INDEX('Master Plan'!$B$8:$B$27,MATCH(C314,'Master Plan'!$A$8:$A$27,0)),"?")))</f>
        <v/>
      </c>
      <c r="E314" s="118" t="str">
        <f aca="false">IF(C314="","",IF(OR(C314="ทั้งเฟส",LEFT(C314,4)="ผรม.",LEFT(C314,3)="เขต"),C314,IFERROR(INDEX('Master Plan'!$L$8:$L$27,MATCH(C314,'Master Plan'!$A$8:$A$27,0)),"?")))</f>
        <v/>
      </c>
      <c r="F314" s="60"/>
      <c r="G314" s="114"/>
      <c r="H314" s="60"/>
      <c r="I314" s="116"/>
      <c r="J314" s="225"/>
      <c r="K314" s="206" t="str">
        <f aca="false">IF(F314="","",IF(ISNUMBER(I314),I314,IFERROR(VLOOKUP(F314,RW_TBL,2,0),0)))</f>
        <v/>
      </c>
      <c r="L314" s="226" t="str">
        <f aca="false">IF(F314="","",IF(ISNUMBER(J314),J314,IFERROR(VLOOKUP(F314,RW_TBL,3,0),0)))</f>
        <v/>
      </c>
      <c r="M314" s="113"/>
      <c r="N314" s="114"/>
    </row>
    <row r="315" customFormat="false" ht="15" hidden="false" customHeight="false" outlineLevel="0" collapsed="false">
      <c r="A315" s="131" t="str">
        <f aca="false">IF(B315="","",ROW()-6)</f>
        <v/>
      </c>
      <c r="B315" s="207"/>
      <c r="C315" s="60"/>
      <c r="D315" s="131" t="str">
        <f aca="false">IF(C315="","",IF(OR(C315="ทั้งเฟส",LEFT(C315,4)="ผรม.",LEFT(C315,3)="เขต"),C315,IFERROR(INDEX('Master Plan'!$B$8:$B$27,MATCH(C315,'Master Plan'!$A$8:$A$27,0)),"?")))</f>
        <v/>
      </c>
      <c r="E315" s="118" t="str">
        <f aca="false">IF(C315="","",IF(OR(C315="ทั้งเฟส",LEFT(C315,4)="ผรม.",LEFT(C315,3)="เขต"),C315,IFERROR(INDEX('Master Plan'!$L$8:$L$27,MATCH(C315,'Master Plan'!$A$8:$A$27,0)),"?")))</f>
        <v/>
      </c>
      <c r="F315" s="60"/>
      <c r="G315" s="114"/>
      <c r="H315" s="60"/>
      <c r="I315" s="116"/>
      <c r="J315" s="225"/>
      <c r="K315" s="206" t="str">
        <f aca="false">IF(F315="","",IF(ISNUMBER(I315),I315,IFERROR(VLOOKUP(F315,RW_TBL,2,0),0)))</f>
        <v/>
      </c>
      <c r="L315" s="226" t="str">
        <f aca="false">IF(F315="","",IF(ISNUMBER(J315),J315,IFERROR(VLOOKUP(F315,RW_TBL,3,0),0)))</f>
        <v/>
      </c>
      <c r="M315" s="113"/>
      <c r="N315" s="114"/>
    </row>
    <row r="316" customFormat="false" ht="15" hidden="false" customHeight="false" outlineLevel="0" collapsed="false">
      <c r="A316" s="131" t="str">
        <f aca="false">IF(B316="","",ROW()-6)</f>
        <v/>
      </c>
      <c r="B316" s="207"/>
      <c r="C316" s="60"/>
      <c r="D316" s="131" t="str">
        <f aca="false">IF(C316="","",IF(OR(C316="ทั้งเฟส",LEFT(C316,4)="ผรม.",LEFT(C316,3)="เขต"),C316,IFERROR(INDEX('Master Plan'!$B$8:$B$27,MATCH(C316,'Master Plan'!$A$8:$A$27,0)),"?")))</f>
        <v/>
      </c>
      <c r="E316" s="118" t="str">
        <f aca="false">IF(C316="","",IF(OR(C316="ทั้งเฟส",LEFT(C316,4)="ผรม.",LEFT(C316,3)="เขต"),C316,IFERROR(INDEX('Master Plan'!$L$8:$L$27,MATCH(C316,'Master Plan'!$A$8:$A$27,0)),"?")))</f>
        <v/>
      </c>
      <c r="F316" s="60"/>
      <c r="G316" s="114"/>
      <c r="H316" s="60"/>
      <c r="I316" s="116"/>
      <c r="J316" s="225"/>
      <c r="K316" s="206" t="str">
        <f aca="false">IF(F316="","",IF(ISNUMBER(I316),I316,IFERROR(VLOOKUP(F316,RW_TBL,2,0),0)))</f>
        <v/>
      </c>
      <c r="L316" s="226" t="str">
        <f aca="false">IF(F316="","",IF(ISNUMBER(J316),J316,IFERROR(VLOOKUP(F316,RW_TBL,3,0),0)))</f>
        <v/>
      </c>
      <c r="M316" s="113"/>
      <c r="N316" s="114"/>
    </row>
    <row r="317" customFormat="false" ht="15" hidden="false" customHeight="false" outlineLevel="0" collapsed="false">
      <c r="A317" s="131" t="str">
        <f aca="false">IF(B317="","",ROW()-6)</f>
        <v/>
      </c>
      <c r="B317" s="207"/>
      <c r="C317" s="60"/>
      <c r="D317" s="131" t="str">
        <f aca="false">IF(C317="","",IF(OR(C317="ทั้งเฟส",LEFT(C317,4)="ผรม.",LEFT(C317,3)="เขต"),C317,IFERROR(INDEX('Master Plan'!$B$8:$B$27,MATCH(C317,'Master Plan'!$A$8:$A$27,0)),"?")))</f>
        <v/>
      </c>
      <c r="E317" s="118" t="str">
        <f aca="false">IF(C317="","",IF(OR(C317="ทั้งเฟส",LEFT(C317,4)="ผรม.",LEFT(C317,3)="เขต"),C317,IFERROR(INDEX('Master Plan'!$L$8:$L$27,MATCH(C317,'Master Plan'!$A$8:$A$27,0)),"?")))</f>
        <v/>
      </c>
      <c r="F317" s="60"/>
      <c r="G317" s="114"/>
      <c r="H317" s="60"/>
      <c r="I317" s="116"/>
      <c r="J317" s="225"/>
      <c r="K317" s="206" t="str">
        <f aca="false">IF(F317="","",IF(ISNUMBER(I317),I317,IFERROR(VLOOKUP(F317,RW_TBL,2,0),0)))</f>
        <v/>
      </c>
      <c r="L317" s="226" t="str">
        <f aca="false">IF(F317="","",IF(ISNUMBER(J317),J317,IFERROR(VLOOKUP(F317,RW_TBL,3,0),0)))</f>
        <v/>
      </c>
      <c r="M317" s="113"/>
      <c r="N317" s="114"/>
    </row>
    <row r="318" customFormat="false" ht="15" hidden="false" customHeight="false" outlineLevel="0" collapsed="false">
      <c r="A318" s="131" t="str">
        <f aca="false">IF(B318="","",ROW()-6)</f>
        <v/>
      </c>
      <c r="B318" s="207"/>
      <c r="C318" s="60"/>
      <c r="D318" s="131" t="str">
        <f aca="false">IF(C318="","",IF(OR(C318="ทั้งเฟส",LEFT(C318,4)="ผรม.",LEFT(C318,3)="เขต"),C318,IFERROR(INDEX('Master Plan'!$B$8:$B$27,MATCH(C318,'Master Plan'!$A$8:$A$27,0)),"?")))</f>
        <v/>
      </c>
      <c r="E318" s="118" t="str">
        <f aca="false">IF(C318="","",IF(OR(C318="ทั้งเฟส",LEFT(C318,4)="ผรม.",LEFT(C318,3)="เขต"),C318,IFERROR(INDEX('Master Plan'!$L$8:$L$27,MATCH(C318,'Master Plan'!$A$8:$A$27,0)),"?")))</f>
        <v/>
      </c>
      <c r="F318" s="60"/>
      <c r="G318" s="114"/>
      <c r="H318" s="60"/>
      <c r="I318" s="116"/>
      <c r="J318" s="225"/>
      <c r="K318" s="206" t="str">
        <f aca="false">IF(F318="","",IF(ISNUMBER(I318),I318,IFERROR(VLOOKUP(F318,RW_TBL,2,0),0)))</f>
        <v/>
      </c>
      <c r="L318" s="226" t="str">
        <f aca="false">IF(F318="","",IF(ISNUMBER(J318),J318,IFERROR(VLOOKUP(F318,RW_TBL,3,0),0)))</f>
        <v/>
      </c>
      <c r="M318" s="113"/>
      <c r="N318" s="114"/>
    </row>
    <row r="319" customFormat="false" ht="15" hidden="false" customHeight="false" outlineLevel="0" collapsed="false">
      <c r="A319" s="131" t="str">
        <f aca="false">IF(B319="","",ROW()-6)</f>
        <v/>
      </c>
      <c r="B319" s="207"/>
      <c r="C319" s="60"/>
      <c r="D319" s="131" t="str">
        <f aca="false">IF(C319="","",IF(OR(C319="ทั้งเฟส",LEFT(C319,4)="ผรม.",LEFT(C319,3)="เขต"),C319,IFERROR(INDEX('Master Plan'!$B$8:$B$27,MATCH(C319,'Master Plan'!$A$8:$A$27,0)),"?")))</f>
        <v/>
      </c>
      <c r="E319" s="118" t="str">
        <f aca="false">IF(C319="","",IF(OR(C319="ทั้งเฟส",LEFT(C319,4)="ผรม.",LEFT(C319,3)="เขต"),C319,IFERROR(INDEX('Master Plan'!$L$8:$L$27,MATCH(C319,'Master Plan'!$A$8:$A$27,0)),"?")))</f>
        <v/>
      </c>
      <c r="F319" s="60"/>
      <c r="G319" s="114"/>
      <c r="H319" s="60"/>
      <c r="I319" s="116"/>
      <c r="J319" s="225"/>
      <c r="K319" s="206" t="str">
        <f aca="false">IF(F319="","",IF(ISNUMBER(I319),I319,IFERROR(VLOOKUP(F319,RW_TBL,2,0),0)))</f>
        <v/>
      </c>
      <c r="L319" s="226" t="str">
        <f aca="false">IF(F319="","",IF(ISNUMBER(J319),J319,IFERROR(VLOOKUP(F319,RW_TBL,3,0),0)))</f>
        <v/>
      </c>
      <c r="M319" s="113"/>
      <c r="N319" s="114"/>
    </row>
    <row r="320" customFormat="false" ht="15" hidden="false" customHeight="false" outlineLevel="0" collapsed="false">
      <c r="A320" s="131" t="str">
        <f aca="false">IF(B320="","",ROW()-6)</f>
        <v/>
      </c>
      <c r="B320" s="207"/>
      <c r="C320" s="60"/>
      <c r="D320" s="131" t="str">
        <f aca="false">IF(C320="","",IF(OR(C320="ทั้งเฟส",LEFT(C320,4)="ผรม.",LEFT(C320,3)="เขต"),C320,IFERROR(INDEX('Master Plan'!$B$8:$B$27,MATCH(C320,'Master Plan'!$A$8:$A$27,0)),"?")))</f>
        <v/>
      </c>
      <c r="E320" s="118" t="str">
        <f aca="false">IF(C320="","",IF(OR(C320="ทั้งเฟส",LEFT(C320,4)="ผรม.",LEFT(C320,3)="เขต"),C320,IFERROR(INDEX('Master Plan'!$L$8:$L$27,MATCH(C320,'Master Plan'!$A$8:$A$27,0)),"?")))</f>
        <v/>
      </c>
      <c r="F320" s="60"/>
      <c r="G320" s="114"/>
      <c r="H320" s="60"/>
      <c r="I320" s="116"/>
      <c r="J320" s="225"/>
      <c r="K320" s="206" t="str">
        <f aca="false">IF(F320="","",IF(ISNUMBER(I320),I320,IFERROR(VLOOKUP(F320,RW_TBL,2,0),0)))</f>
        <v/>
      </c>
      <c r="L320" s="226" t="str">
        <f aca="false">IF(F320="","",IF(ISNUMBER(J320),J320,IFERROR(VLOOKUP(F320,RW_TBL,3,0),0)))</f>
        <v/>
      </c>
      <c r="M320" s="113"/>
      <c r="N320" s="114"/>
    </row>
    <row r="321" customFormat="false" ht="15" hidden="false" customHeight="false" outlineLevel="0" collapsed="false">
      <c r="A321" s="131" t="str">
        <f aca="false">IF(B321="","",ROW()-6)</f>
        <v/>
      </c>
      <c r="B321" s="207"/>
      <c r="C321" s="60"/>
      <c r="D321" s="131" t="str">
        <f aca="false">IF(C321="","",IF(OR(C321="ทั้งเฟส",LEFT(C321,4)="ผรม.",LEFT(C321,3)="เขต"),C321,IFERROR(INDEX('Master Plan'!$B$8:$B$27,MATCH(C321,'Master Plan'!$A$8:$A$27,0)),"?")))</f>
        <v/>
      </c>
      <c r="E321" s="118" t="str">
        <f aca="false">IF(C321="","",IF(OR(C321="ทั้งเฟส",LEFT(C321,4)="ผรม.",LEFT(C321,3)="เขต"),C321,IFERROR(INDEX('Master Plan'!$L$8:$L$27,MATCH(C321,'Master Plan'!$A$8:$A$27,0)),"?")))</f>
        <v/>
      </c>
      <c r="F321" s="60"/>
      <c r="G321" s="114"/>
      <c r="H321" s="60"/>
      <c r="I321" s="116"/>
      <c r="J321" s="225"/>
      <c r="K321" s="206" t="str">
        <f aca="false">IF(F321="","",IF(ISNUMBER(I321),I321,IFERROR(VLOOKUP(F321,RW_TBL,2,0),0)))</f>
        <v/>
      </c>
      <c r="L321" s="226" t="str">
        <f aca="false">IF(F321="","",IF(ISNUMBER(J321),J321,IFERROR(VLOOKUP(F321,RW_TBL,3,0),0)))</f>
        <v/>
      </c>
      <c r="M321" s="113"/>
      <c r="N321" s="114"/>
    </row>
    <row r="322" customFormat="false" ht="15" hidden="false" customHeight="false" outlineLevel="0" collapsed="false">
      <c r="A322" s="131" t="str">
        <f aca="false">IF(B322="","",ROW()-6)</f>
        <v/>
      </c>
      <c r="B322" s="207"/>
      <c r="C322" s="60"/>
      <c r="D322" s="131" t="str">
        <f aca="false">IF(C322="","",IF(OR(C322="ทั้งเฟส",LEFT(C322,4)="ผรม.",LEFT(C322,3)="เขต"),C322,IFERROR(INDEX('Master Plan'!$B$8:$B$27,MATCH(C322,'Master Plan'!$A$8:$A$27,0)),"?")))</f>
        <v/>
      </c>
      <c r="E322" s="118" t="str">
        <f aca="false">IF(C322="","",IF(OR(C322="ทั้งเฟส",LEFT(C322,4)="ผรม.",LEFT(C322,3)="เขต"),C322,IFERROR(INDEX('Master Plan'!$L$8:$L$27,MATCH(C322,'Master Plan'!$A$8:$A$27,0)),"?")))</f>
        <v/>
      </c>
      <c r="F322" s="60"/>
      <c r="G322" s="114"/>
      <c r="H322" s="60"/>
      <c r="I322" s="116"/>
      <c r="J322" s="225"/>
      <c r="K322" s="206" t="str">
        <f aca="false">IF(F322="","",IF(ISNUMBER(I322),I322,IFERROR(VLOOKUP(F322,RW_TBL,2,0),0)))</f>
        <v/>
      </c>
      <c r="L322" s="226" t="str">
        <f aca="false">IF(F322="","",IF(ISNUMBER(J322),J322,IFERROR(VLOOKUP(F322,RW_TBL,3,0),0)))</f>
        <v/>
      </c>
      <c r="M322" s="113"/>
      <c r="N322" s="114"/>
    </row>
    <row r="323" customFormat="false" ht="15" hidden="false" customHeight="false" outlineLevel="0" collapsed="false">
      <c r="A323" s="131" t="str">
        <f aca="false">IF(B323="","",ROW()-6)</f>
        <v/>
      </c>
      <c r="B323" s="207"/>
      <c r="C323" s="60"/>
      <c r="D323" s="131" t="str">
        <f aca="false">IF(C323="","",IF(OR(C323="ทั้งเฟส",LEFT(C323,4)="ผรม.",LEFT(C323,3)="เขต"),C323,IFERROR(INDEX('Master Plan'!$B$8:$B$27,MATCH(C323,'Master Plan'!$A$8:$A$27,0)),"?")))</f>
        <v/>
      </c>
      <c r="E323" s="118" t="str">
        <f aca="false">IF(C323="","",IF(OR(C323="ทั้งเฟส",LEFT(C323,4)="ผรม.",LEFT(C323,3)="เขต"),C323,IFERROR(INDEX('Master Plan'!$L$8:$L$27,MATCH(C323,'Master Plan'!$A$8:$A$27,0)),"?")))</f>
        <v/>
      </c>
      <c r="F323" s="60"/>
      <c r="G323" s="114"/>
      <c r="H323" s="60"/>
      <c r="I323" s="116"/>
      <c r="J323" s="225"/>
      <c r="K323" s="206" t="str">
        <f aca="false">IF(F323="","",IF(ISNUMBER(I323),I323,IFERROR(VLOOKUP(F323,RW_TBL,2,0),0)))</f>
        <v/>
      </c>
      <c r="L323" s="226" t="str">
        <f aca="false">IF(F323="","",IF(ISNUMBER(J323),J323,IFERROR(VLOOKUP(F323,RW_TBL,3,0),0)))</f>
        <v/>
      </c>
      <c r="M323" s="113"/>
      <c r="N323" s="114"/>
    </row>
    <row r="324" customFormat="false" ht="15" hidden="false" customHeight="false" outlineLevel="0" collapsed="false">
      <c r="A324" s="131" t="str">
        <f aca="false">IF(B324="","",ROW()-6)</f>
        <v/>
      </c>
      <c r="B324" s="207"/>
      <c r="C324" s="60"/>
      <c r="D324" s="131" t="str">
        <f aca="false">IF(C324="","",IF(OR(C324="ทั้งเฟส",LEFT(C324,4)="ผรม.",LEFT(C324,3)="เขต"),C324,IFERROR(INDEX('Master Plan'!$B$8:$B$27,MATCH(C324,'Master Plan'!$A$8:$A$27,0)),"?")))</f>
        <v/>
      </c>
      <c r="E324" s="118" t="str">
        <f aca="false">IF(C324="","",IF(OR(C324="ทั้งเฟส",LEFT(C324,4)="ผรม.",LEFT(C324,3)="เขต"),C324,IFERROR(INDEX('Master Plan'!$L$8:$L$27,MATCH(C324,'Master Plan'!$A$8:$A$27,0)),"?")))</f>
        <v/>
      </c>
      <c r="F324" s="60"/>
      <c r="G324" s="114"/>
      <c r="H324" s="60"/>
      <c r="I324" s="116"/>
      <c r="J324" s="225"/>
      <c r="K324" s="206" t="str">
        <f aca="false">IF(F324="","",IF(ISNUMBER(I324),I324,IFERROR(VLOOKUP(F324,RW_TBL,2,0),0)))</f>
        <v/>
      </c>
      <c r="L324" s="226" t="str">
        <f aca="false">IF(F324="","",IF(ISNUMBER(J324),J324,IFERROR(VLOOKUP(F324,RW_TBL,3,0),0)))</f>
        <v/>
      </c>
      <c r="M324" s="113"/>
      <c r="N324" s="114"/>
    </row>
    <row r="325" customFormat="false" ht="15" hidden="false" customHeight="false" outlineLevel="0" collapsed="false">
      <c r="A325" s="131" t="str">
        <f aca="false">IF(B325="","",ROW()-6)</f>
        <v/>
      </c>
      <c r="B325" s="207"/>
      <c r="C325" s="60"/>
      <c r="D325" s="131" t="str">
        <f aca="false">IF(C325="","",IF(OR(C325="ทั้งเฟส",LEFT(C325,4)="ผรม.",LEFT(C325,3)="เขต"),C325,IFERROR(INDEX('Master Plan'!$B$8:$B$27,MATCH(C325,'Master Plan'!$A$8:$A$27,0)),"?")))</f>
        <v/>
      </c>
      <c r="E325" s="118" t="str">
        <f aca="false">IF(C325="","",IF(OR(C325="ทั้งเฟส",LEFT(C325,4)="ผรม.",LEFT(C325,3)="เขต"),C325,IFERROR(INDEX('Master Plan'!$L$8:$L$27,MATCH(C325,'Master Plan'!$A$8:$A$27,0)),"?")))</f>
        <v/>
      </c>
      <c r="F325" s="60"/>
      <c r="G325" s="114"/>
      <c r="H325" s="60"/>
      <c r="I325" s="116"/>
      <c r="J325" s="225"/>
      <c r="K325" s="206" t="str">
        <f aca="false">IF(F325="","",IF(ISNUMBER(I325),I325,IFERROR(VLOOKUP(F325,RW_TBL,2,0),0)))</f>
        <v/>
      </c>
      <c r="L325" s="226" t="str">
        <f aca="false">IF(F325="","",IF(ISNUMBER(J325),J325,IFERROR(VLOOKUP(F325,RW_TBL,3,0),0)))</f>
        <v/>
      </c>
      <c r="M325" s="113"/>
      <c r="N325" s="114"/>
    </row>
    <row r="326" customFormat="false" ht="15" hidden="false" customHeight="false" outlineLevel="0" collapsed="false">
      <c r="A326" s="131" t="str">
        <f aca="false">IF(B326="","",ROW()-6)</f>
        <v/>
      </c>
      <c r="B326" s="207"/>
      <c r="C326" s="60"/>
      <c r="D326" s="131" t="str">
        <f aca="false">IF(C326="","",IF(OR(C326="ทั้งเฟส",LEFT(C326,4)="ผรม.",LEFT(C326,3)="เขต"),C326,IFERROR(INDEX('Master Plan'!$B$8:$B$27,MATCH(C326,'Master Plan'!$A$8:$A$27,0)),"?")))</f>
        <v/>
      </c>
      <c r="E326" s="118" t="str">
        <f aca="false">IF(C326="","",IF(OR(C326="ทั้งเฟส",LEFT(C326,4)="ผรม.",LEFT(C326,3)="เขต"),C326,IFERROR(INDEX('Master Plan'!$L$8:$L$27,MATCH(C326,'Master Plan'!$A$8:$A$27,0)),"?")))</f>
        <v/>
      </c>
      <c r="F326" s="60"/>
      <c r="G326" s="114"/>
      <c r="H326" s="60"/>
      <c r="I326" s="116"/>
      <c r="J326" s="225"/>
      <c r="K326" s="206" t="str">
        <f aca="false">IF(F326="","",IF(ISNUMBER(I326),I326,IFERROR(VLOOKUP(F326,RW_TBL,2,0),0)))</f>
        <v/>
      </c>
      <c r="L326" s="226" t="str">
        <f aca="false">IF(F326="","",IF(ISNUMBER(J326),J326,IFERROR(VLOOKUP(F326,RW_TBL,3,0),0)))</f>
        <v/>
      </c>
      <c r="M326" s="113"/>
      <c r="N326" s="114"/>
    </row>
    <row r="327" customFormat="false" ht="15" hidden="false" customHeight="false" outlineLevel="0" collapsed="false">
      <c r="A327" s="131" t="str">
        <f aca="false">IF(B327="","",ROW()-6)</f>
        <v/>
      </c>
      <c r="B327" s="207"/>
      <c r="C327" s="60"/>
      <c r="D327" s="131" t="str">
        <f aca="false">IF(C327="","",IF(OR(C327="ทั้งเฟส",LEFT(C327,4)="ผรม.",LEFT(C327,3)="เขต"),C327,IFERROR(INDEX('Master Plan'!$B$8:$B$27,MATCH(C327,'Master Plan'!$A$8:$A$27,0)),"?")))</f>
        <v/>
      </c>
      <c r="E327" s="118" t="str">
        <f aca="false">IF(C327="","",IF(OR(C327="ทั้งเฟส",LEFT(C327,4)="ผรม.",LEFT(C327,3)="เขต"),C327,IFERROR(INDEX('Master Plan'!$L$8:$L$27,MATCH(C327,'Master Plan'!$A$8:$A$27,0)),"?")))</f>
        <v/>
      </c>
      <c r="F327" s="60"/>
      <c r="G327" s="114"/>
      <c r="H327" s="60"/>
      <c r="I327" s="116"/>
      <c r="J327" s="225"/>
      <c r="K327" s="206" t="str">
        <f aca="false">IF(F327="","",IF(ISNUMBER(I327),I327,IFERROR(VLOOKUP(F327,RW_TBL,2,0),0)))</f>
        <v/>
      </c>
      <c r="L327" s="226" t="str">
        <f aca="false">IF(F327="","",IF(ISNUMBER(J327),J327,IFERROR(VLOOKUP(F327,RW_TBL,3,0),0)))</f>
        <v/>
      </c>
      <c r="M327" s="113"/>
      <c r="N327" s="114"/>
    </row>
    <row r="328" customFormat="false" ht="15" hidden="false" customHeight="false" outlineLevel="0" collapsed="false">
      <c r="A328" s="131" t="str">
        <f aca="false">IF(B328="","",ROW()-6)</f>
        <v/>
      </c>
      <c r="B328" s="207"/>
      <c r="C328" s="60"/>
      <c r="D328" s="131" t="str">
        <f aca="false">IF(C328="","",IF(OR(C328="ทั้งเฟส",LEFT(C328,4)="ผรม.",LEFT(C328,3)="เขต"),C328,IFERROR(INDEX('Master Plan'!$B$8:$B$27,MATCH(C328,'Master Plan'!$A$8:$A$27,0)),"?")))</f>
        <v/>
      </c>
      <c r="E328" s="118" t="str">
        <f aca="false">IF(C328="","",IF(OR(C328="ทั้งเฟส",LEFT(C328,4)="ผรม.",LEFT(C328,3)="เขต"),C328,IFERROR(INDEX('Master Plan'!$L$8:$L$27,MATCH(C328,'Master Plan'!$A$8:$A$27,0)),"?")))</f>
        <v/>
      </c>
      <c r="F328" s="60"/>
      <c r="G328" s="114"/>
      <c r="H328" s="60"/>
      <c r="I328" s="116"/>
      <c r="J328" s="225"/>
      <c r="K328" s="206" t="str">
        <f aca="false">IF(F328="","",IF(ISNUMBER(I328),I328,IFERROR(VLOOKUP(F328,RW_TBL,2,0),0)))</f>
        <v/>
      </c>
      <c r="L328" s="226" t="str">
        <f aca="false">IF(F328="","",IF(ISNUMBER(J328),J328,IFERROR(VLOOKUP(F328,RW_TBL,3,0),0)))</f>
        <v/>
      </c>
      <c r="M328" s="113"/>
      <c r="N328" s="114"/>
    </row>
    <row r="329" customFormat="false" ht="15" hidden="false" customHeight="false" outlineLevel="0" collapsed="false">
      <c r="A329" s="131" t="str">
        <f aca="false">IF(B329="","",ROW()-6)</f>
        <v/>
      </c>
      <c r="B329" s="207"/>
      <c r="C329" s="60"/>
      <c r="D329" s="131" t="str">
        <f aca="false">IF(C329="","",IF(OR(C329="ทั้งเฟส",LEFT(C329,4)="ผรม.",LEFT(C329,3)="เขต"),C329,IFERROR(INDEX('Master Plan'!$B$8:$B$27,MATCH(C329,'Master Plan'!$A$8:$A$27,0)),"?")))</f>
        <v/>
      </c>
      <c r="E329" s="118" t="str">
        <f aca="false">IF(C329="","",IF(OR(C329="ทั้งเฟส",LEFT(C329,4)="ผรม.",LEFT(C329,3)="เขต"),C329,IFERROR(INDEX('Master Plan'!$L$8:$L$27,MATCH(C329,'Master Plan'!$A$8:$A$27,0)),"?")))</f>
        <v/>
      </c>
      <c r="F329" s="60"/>
      <c r="G329" s="114"/>
      <c r="H329" s="60"/>
      <c r="I329" s="116"/>
      <c r="J329" s="225"/>
      <c r="K329" s="206" t="str">
        <f aca="false">IF(F329="","",IF(ISNUMBER(I329),I329,IFERROR(VLOOKUP(F329,RW_TBL,2,0),0)))</f>
        <v/>
      </c>
      <c r="L329" s="226" t="str">
        <f aca="false">IF(F329="","",IF(ISNUMBER(J329),J329,IFERROR(VLOOKUP(F329,RW_TBL,3,0),0)))</f>
        <v/>
      </c>
      <c r="M329" s="113"/>
      <c r="N329" s="114"/>
    </row>
    <row r="330" customFormat="false" ht="15" hidden="false" customHeight="false" outlineLevel="0" collapsed="false">
      <c r="A330" s="131" t="str">
        <f aca="false">IF(B330="","",ROW()-6)</f>
        <v/>
      </c>
      <c r="B330" s="207"/>
      <c r="C330" s="60"/>
      <c r="D330" s="131" t="str">
        <f aca="false">IF(C330="","",IF(OR(C330="ทั้งเฟส",LEFT(C330,4)="ผรม.",LEFT(C330,3)="เขต"),C330,IFERROR(INDEX('Master Plan'!$B$8:$B$27,MATCH(C330,'Master Plan'!$A$8:$A$27,0)),"?")))</f>
        <v/>
      </c>
      <c r="E330" s="118" t="str">
        <f aca="false">IF(C330="","",IF(OR(C330="ทั้งเฟส",LEFT(C330,4)="ผรม.",LEFT(C330,3)="เขต"),C330,IFERROR(INDEX('Master Plan'!$L$8:$L$27,MATCH(C330,'Master Plan'!$A$8:$A$27,0)),"?")))</f>
        <v/>
      </c>
      <c r="F330" s="60"/>
      <c r="G330" s="114"/>
      <c r="H330" s="60"/>
      <c r="I330" s="116"/>
      <c r="J330" s="225"/>
      <c r="K330" s="206" t="str">
        <f aca="false">IF(F330="","",IF(ISNUMBER(I330),I330,IFERROR(VLOOKUP(F330,RW_TBL,2,0),0)))</f>
        <v/>
      </c>
      <c r="L330" s="226" t="str">
        <f aca="false">IF(F330="","",IF(ISNUMBER(J330),J330,IFERROR(VLOOKUP(F330,RW_TBL,3,0),0)))</f>
        <v/>
      </c>
      <c r="M330" s="113"/>
      <c r="N330" s="114"/>
    </row>
    <row r="331" customFormat="false" ht="15" hidden="false" customHeight="false" outlineLevel="0" collapsed="false">
      <c r="A331" s="131" t="str">
        <f aca="false">IF(B331="","",ROW()-6)</f>
        <v/>
      </c>
      <c r="B331" s="207"/>
      <c r="C331" s="60"/>
      <c r="D331" s="131" t="str">
        <f aca="false">IF(C331="","",IF(OR(C331="ทั้งเฟส",LEFT(C331,4)="ผรม.",LEFT(C331,3)="เขต"),C331,IFERROR(INDEX('Master Plan'!$B$8:$B$27,MATCH(C331,'Master Plan'!$A$8:$A$27,0)),"?")))</f>
        <v/>
      </c>
      <c r="E331" s="118" t="str">
        <f aca="false">IF(C331="","",IF(OR(C331="ทั้งเฟส",LEFT(C331,4)="ผรม.",LEFT(C331,3)="เขต"),C331,IFERROR(INDEX('Master Plan'!$L$8:$L$27,MATCH(C331,'Master Plan'!$A$8:$A$27,0)),"?")))</f>
        <v/>
      </c>
      <c r="F331" s="60"/>
      <c r="G331" s="114"/>
      <c r="H331" s="60"/>
      <c r="I331" s="116"/>
      <c r="J331" s="225"/>
      <c r="K331" s="206" t="str">
        <f aca="false">IF(F331="","",IF(ISNUMBER(I331),I331,IFERROR(VLOOKUP(F331,RW_TBL,2,0),0)))</f>
        <v/>
      </c>
      <c r="L331" s="226" t="str">
        <f aca="false">IF(F331="","",IF(ISNUMBER(J331),J331,IFERROR(VLOOKUP(F331,RW_TBL,3,0),0)))</f>
        <v/>
      </c>
      <c r="M331" s="113"/>
      <c r="N331" s="114"/>
    </row>
    <row r="332" customFormat="false" ht="15" hidden="false" customHeight="false" outlineLevel="0" collapsed="false">
      <c r="A332" s="131" t="str">
        <f aca="false">IF(B332="","",ROW()-6)</f>
        <v/>
      </c>
      <c r="B332" s="207"/>
      <c r="C332" s="60"/>
      <c r="D332" s="131" t="str">
        <f aca="false">IF(C332="","",IF(OR(C332="ทั้งเฟส",LEFT(C332,4)="ผรม.",LEFT(C332,3)="เขต"),C332,IFERROR(INDEX('Master Plan'!$B$8:$B$27,MATCH(C332,'Master Plan'!$A$8:$A$27,0)),"?")))</f>
        <v/>
      </c>
      <c r="E332" s="118" t="str">
        <f aca="false">IF(C332="","",IF(OR(C332="ทั้งเฟส",LEFT(C332,4)="ผรม.",LEFT(C332,3)="เขต"),C332,IFERROR(INDEX('Master Plan'!$L$8:$L$27,MATCH(C332,'Master Plan'!$A$8:$A$27,0)),"?")))</f>
        <v/>
      </c>
      <c r="F332" s="60"/>
      <c r="G332" s="114"/>
      <c r="H332" s="60"/>
      <c r="I332" s="116"/>
      <c r="J332" s="225"/>
      <c r="K332" s="206" t="str">
        <f aca="false">IF(F332="","",IF(ISNUMBER(I332),I332,IFERROR(VLOOKUP(F332,RW_TBL,2,0),0)))</f>
        <v/>
      </c>
      <c r="L332" s="226" t="str">
        <f aca="false">IF(F332="","",IF(ISNUMBER(J332),J332,IFERROR(VLOOKUP(F332,RW_TBL,3,0),0)))</f>
        <v/>
      </c>
      <c r="M332" s="113"/>
      <c r="N332" s="114"/>
    </row>
    <row r="333" customFormat="false" ht="15" hidden="false" customHeight="false" outlineLevel="0" collapsed="false">
      <c r="A333" s="131" t="str">
        <f aca="false">IF(B333="","",ROW()-6)</f>
        <v/>
      </c>
      <c r="B333" s="207"/>
      <c r="C333" s="60"/>
      <c r="D333" s="131" t="str">
        <f aca="false">IF(C333="","",IF(OR(C333="ทั้งเฟส",LEFT(C333,4)="ผรม.",LEFT(C333,3)="เขต"),C333,IFERROR(INDEX('Master Plan'!$B$8:$B$27,MATCH(C333,'Master Plan'!$A$8:$A$27,0)),"?")))</f>
        <v/>
      </c>
      <c r="E333" s="118" t="str">
        <f aca="false">IF(C333="","",IF(OR(C333="ทั้งเฟส",LEFT(C333,4)="ผรม.",LEFT(C333,3)="เขต"),C333,IFERROR(INDEX('Master Plan'!$L$8:$L$27,MATCH(C333,'Master Plan'!$A$8:$A$27,0)),"?")))</f>
        <v/>
      </c>
      <c r="F333" s="60"/>
      <c r="G333" s="114"/>
      <c r="H333" s="60"/>
      <c r="I333" s="116"/>
      <c r="J333" s="225"/>
      <c r="K333" s="206" t="str">
        <f aca="false">IF(F333="","",IF(ISNUMBER(I333),I333,IFERROR(VLOOKUP(F333,RW_TBL,2,0),0)))</f>
        <v/>
      </c>
      <c r="L333" s="226" t="str">
        <f aca="false">IF(F333="","",IF(ISNUMBER(J333),J333,IFERROR(VLOOKUP(F333,RW_TBL,3,0),0)))</f>
        <v/>
      </c>
      <c r="M333" s="113"/>
      <c r="N333" s="114"/>
    </row>
    <row r="334" customFormat="false" ht="15" hidden="false" customHeight="false" outlineLevel="0" collapsed="false">
      <c r="A334" s="131" t="str">
        <f aca="false">IF(B334="","",ROW()-6)</f>
        <v/>
      </c>
      <c r="B334" s="207"/>
      <c r="C334" s="60"/>
      <c r="D334" s="131" t="str">
        <f aca="false">IF(C334="","",IF(OR(C334="ทั้งเฟส",LEFT(C334,4)="ผรม.",LEFT(C334,3)="เขต"),C334,IFERROR(INDEX('Master Plan'!$B$8:$B$27,MATCH(C334,'Master Plan'!$A$8:$A$27,0)),"?")))</f>
        <v/>
      </c>
      <c r="E334" s="118" t="str">
        <f aca="false">IF(C334="","",IF(OR(C334="ทั้งเฟส",LEFT(C334,4)="ผรม.",LEFT(C334,3)="เขต"),C334,IFERROR(INDEX('Master Plan'!$L$8:$L$27,MATCH(C334,'Master Plan'!$A$8:$A$27,0)),"?")))</f>
        <v/>
      </c>
      <c r="F334" s="60"/>
      <c r="G334" s="114"/>
      <c r="H334" s="60"/>
      <c r="I334" s="116"/>
      <c r="J334" s="225"/>
      <c r="K334" s="206" t="str">
        <f aca="false">IF(F334="","",IF(ISNUMBER(I334),I334,IFERROR(VLOOKUP(F334,RW_TBL,2,0),0)))</f>
        <v/>
      </c>
      <c r="L334" s="226" t="str">
        <f aca="false">IF(F334="","",IF(ISNUMBER(J334),J334,IFERROR(VLOOKUP(F334,RW_TBL,3,0),0)))</f>
        <v/>
      </c>
      <c r="M334" s="113"/>
      <c r="N334" s="114"/>
    </row>
    <row r="335" customFormat="false" ht="15" hidden="false" customHeight="false" outlineLevel="0" collapsed="false">
      <c r="A335" s="131" t="str">
        <f aca="false">IF(B335="","",ROW()-6)</f>
        <v/>
      </c>
      <c r="B335" s="207"/>
      <c r="C335" s="60"/>
      <c r="D335" s="131" t="str">
        <f aca="false">IF(C335="","",IF(OR(C335="ทั้งเฟส",LEFT(C335,4)="ผรม.",LEFT(C335,3)="เขต"),C335,IFERROR(INDEX('Master Plan'!$B$8:$B$27,MATCH(C335,'Master Plan'!$A$8:$A$27,0)),"?")))</f>
        <v/>
      </c>
      <c r="E335" s="118" t="str">
        <f aca="false">IF(C335="","",IF(OR(C335="ทั้งเฟส",LEFT(C335,4)="ผรม.",LEFT(C335,3)="เขต"),C335,IFERROR(INDEX('Master Plan'!$L$8:$L$27,MATCH(C335,'Master Plan'!$A$8:$A$27,0)),"?")))</f>
        <v/>
      </c>
      <c r="F335" s="60"/>
      <c r="G335" s="114"/>
      <c r="H335" s="60"/>
      <c r="I335" s="116"/>
      <c r="J335" s="225"/>
      <c r="K335" s="206" t="str">
        <f aca="false">IF(F335="","",IF(ISNUMBER(I335),I335,IFERROR(VLOOKUP(F335,RW_TBL,2,0),0)))</f>
        <v/>
      </c>
      <c r="L335" s="226" t="str">
        <f aca="false">IF(F335="","",IF(ISNUMBER(J335),J335,IFERROR(VLOOKUP(F335,RW_TBL,3,0),0)))</f>
        <v/>
      </c>
      <c r="M335" s="113"/>
      <c r="N335" s="114"/>
    </row>
    <row r="336" customFormat="false" ht="15" hidden="false" customHeight="false" outlineLevel="0" collapsed="false">
      <c r="A336" s="131" t="str">
        <f aca="false">IF(B336="","",ROW()-6)</f>
        <v/>
      </c>
      <c r="B336" s="207"/>
      <c r="C336" s="60"/>
      <c r="D336" s="131" t="str">
        <f aca="false">IF(C336="","",IF(OR(C336="ทั้งเฟส",LEFT(C336,4)="ผรม.",LEFT(C336,3)="เขต"),C336,IFERROR(INDEX('Master Plan'!$B$8:$B$27,MATCH(C336,'Master Plan'!$A$8:$A$27,0)),"?")))</f>
        <v/>
      </c>
      <c r="E336" s="118" t="str">
        <f aca="false">IF(C336="","",IF(OR(C336="ทั้งเฟส",LEFT(C336,4)="ผรม.",LEFT(C336,3)="เขต"),C336,IFERROR(INDEX('Master Plan'!$L$8:$L$27,MATCH(C336,'Master Plan'!$A$8:$A$27,0)),"?")))</f>
        <v/>
      </c>
      <c r="F336" s="60"/>
      <c r="G336" s="114"/>
      <c r="H336" s="60"/>
      <c r="I336" s="116"/>
      <c r="J336" s="225"/>
      <c r="K336" s="206" t="str">
        <f aca="false">IF(F336="","",IF(ISNUMBER(I336),I336,IFERROR(VLOOKUP(F336,RW_TBL,2,0),0)))</f>
        <v/>
      </c>
      <c r="L336" s="226" t="str">
        <f aca="false">IF(F336="","",IF(ISNUMBER(J336),J336,IFERROR(VLOOKUP(F336,RW_TBL,3,0),0)))</f>
        <v/>
      </c>
      <c r="M336" s="113"/>
      <c r="N336" s="114"/>
    </row>
    <row r="337" customFormat="false" ht="15" hidden="false" customHeight="false" outlineLevel="0" collapsed="false">
      <c r="A337" s="131" t="str">
        <f aca="false">IF(B337="","",ROW()-6)</f>
        <v/>
      </c>
      <c r="B337" s="207"/>
      <c r="C337" s="60"/>
      <c r="D337" s="131" t="str">
        <f aca="false">IF(C337="","",IF(OR(C337="ทั้งเฟส",LEFT(C337,4)="ผรม.",LEFT(C337,3)="เขต"),C337,IFERROR(INDEX('Master Plan'!$B$8:$B$27,MATCH(C337,'Master Plan'!$A$8:$A$27,0)),"?")))</f>
        <v/>
      </c>
      <c r="E337" s="118" t="str">
        <f aca="false">IF(C337="","",IF(OR(C337="ทั้งเฟส",LEFT(C337,4)="ผรม.",LEFT(C337,3)="เขต"),C337,IFERROR(INDEX('Master Plan'!$L$8:$L$27,MATCH(C337,'Master Plan'!$A$8:$A$27,0)),"?")))</f>
        <v/>
      </c>
      <c r="F337" s="60"/>
      <c r="G337" s="114"/>
      <c r="H337" s="60"/>
      <c r="I337" s="116"/>
      <c r="J337" s="225"/>
      <c r="K337" s="206" t="str">
        <f aca="false">IF(F337="","",IF(ISNUMBER(I337),I337,IFERROR(VLOOKUP(F337,RW_TBL,2,0),0)))</f>
        <v/>
      </c>
      <c r="L337" s="226" t="str">
        <f aca="false">IF(F337="","",IF(ISNUMBER(J337),J337,IFERROR(VLOOKUP(F337,RW_TBL,3,0),0)))</f>
        <v/>
      </c>
      <c r="M337" s="113"/>
      <c r="N337" s="114"/>
    </row>
    <row r="338" customFormat="false" ht="15" hidden="false" customHeight="false" outlineLevel="0" collapsed="false">
      <c r="A338" s="131" t="str">
        <f aca="false">IF(B338="","",ROW()-6)</f>
        <v/>
      </c>
      <c r="B338" s="207"/>
      <c r="C338" s="60"/>
      <c r="D338" s="131" t="str">
        <f aca="false">IF(C338="","",IF(OR(C338="ทั้งเฟส",LEFT(C338,4)="ผรม.",LEFT(C338,3)="เขต"),C338,IFERROR(INDEX('Master Plan'!$B$8:$B$27,MATCH(C338,'Master Plan'!$A$8:$A$27,0)),"?")))</f>
        <v/>
      </c>
      <c r="E338" s="118" t="str">
        <f aca="false">IF(C338="","",IF(OR(C338="ทั้งเฟส",LEFT(C338,4)="ผรม.",LEFT(C338,3)="เขต"),C338,IFERROR(INDEX('Master Plan'!$L$8:$L$27,MATCH(C338,'Master Plan'!$A$8:$A$27,0)),"?")))</f>
        <v/>
      </c>
      <c r="F338" s="60"/>
      <c r="G338" s="114"/>
      <c r="H338" s="60"/>
      <c r="I338" s="116"/>
      <c r="J338" s="225"/>
      <c r="K338" s="206" t="str">
        <f aca="false">IF(F338="","",IF(ISNUMBER(I338),I338,IFERROR(VLOOKUP(F338,RW_TBL,2,0),0)))</f>
        <v/>
      </c>
      <c r="L338" s="226" t="str">
        <f aca="false">IF(F338="","",IF(ISNUMBER(J338),J338,IFERROR(VLOOKUP(F338,RW_TBL,3,0),0)))</f>
        <v/>
      </c>
      <c r="M338" s="113"/>
      <c r="N338" s="114"/>
    </row>
    <row r="339" customFormat="false" ht="15" hidden="false" customHeight="false" outlineLevel="0" collapsed="false">
      <c r="A339" s="131" t="str">
        <f aca="false">IF(B339="","",ROW()-6)</f>
        <v/>
      </c>
      <c r="B339" s="207"/>
      <c r="C339" s="60"/>
      <c r="D339" s="131" t="str">
        <f aca="false">IF(C339="","",IF(OR(C339="ทั้งเฟส",LEFT(C339,4)="ผรม.",LEFT(C339,3)="เขต"),C339,IFERROR(INDEX('Master Plan'!$B$8:$B$27,MATCH(C339,'Master Plan'!$A$8:$A$27,0)),"?")))</f>
        <v/>
      </c>
      <c r="E339" s="118" t="str">
        <f aca="false">IF(C339="","",IF(OR(C339="ทั้งเฟส",LEFT(C339,4)="ผรม.",LEFT(C339,3)="เขต"),C339,IFERROR(INDEX('Master Plan'!$L$8:$L$27,MATCH(C339,'Master Plan'!$A$8:$A$27,0)),"?")))</f>
        <v/>
      </c>
      <c r="F339" s="60"/>
      <c r="G339" s="114"/>
      <c r="H339" s="60"/>
      <c r="I339" s="116"/>
      <c r="J339" s="225"/>
      <c r="K339" s="206" t="str">
        <f aca="false">IF(F339="","",IF(ISNUMBER(I339),I339,IFERROR(VLOOKUP(F339,RW_TBL,2,0),0)))</f>
        <v/>
      </c>
      <c r="L339" s="226" t="str">
        <f aca="false">IF(F339="","",IF(ISNUMBER(J339),J339,IFERROR(VLOOKUP(F339,RW_TBL,3,0),0)))</f>
        <v/>
      </c>
      <c r="M339" s="113"/>
      <c r="N339" s="114"/>
    </row>
    <row r="340" customFormat="false" ht="15" hidden="false" customHeight="false" outlineLevel="0" collapsed="false">
      <c r="A340" s="131" t="str">
        <f aca="false">IF(B340="","",ROW()-6)</f>
        <v/>
      </c>
      <c r="B340" s="207"/>
      <c r="C340" s="60"/>
      <c r="D340" s="131" t="str">
        <f aca="false">IF(C340="","",IF(OR(C340="ทั้งเฟส",LEFT(C340,4)="ผรม.",LEFT(C340,3)="เขต"),C340,IFERROR(INDEX('Master Plan'!$B$8:$B$27,MATCH(C340,'Master Plan'!$A$8:$A$27,0)),"?")))</f>
        <v/>
      </c>
      <c r="E340" s="118" t="str">
        <f aca="false">IF(C340="","",IF(OR(C340="ทั้งเฟส",LEFT(C340,4)="ผรม.",LEFT(C340,3)="เขต"),C340,IFERROR(INDEX('Master Plan'!$L$8:$L$27,MATCH(C340,'Master Plan'!$A$8:$A$27,0)),"?")))</f>
        <v/>
      </c>
      <c r="F340" s="60"/>
      <c r="G340" s="114"/>
      <c r="H340" s="60"/>
      <c r="I340" s="116"/>
      <c r="J340" s="225"/>
      <c r="K340" s="206" t="str">
        <f aca="false">IF(F340="","",IF(ISNUMBER(I340),I340,IFERROR(VLOOKUP(F340,RW_TBL,2,0),0)))</f>
        <v/>
      </c>
      <c r="L340" s="226" t="str">
        <f aca="false">IF(F340="","",IF(ISNUMBER(J340),J340,IFERROR(VLOOKUP(F340,RW_TBL,3,0),0)))</f>
        <v/>
      </c>
      <c r="M340" s="113"/>
      <c r="N340" s="114"/>
    </row>
    <row r="341" customFormat="false" ht="15" hidden="false" customHeight="false" outlineLevel="0" collapsed="false">
      <c r="A341" s="131" t="str">
        <f aca="false">IF(B341="","",ROW()-6)</f>
        <v/>
      </c>
      <c r="B341" s="207"/>
      <c r="C341" s="60"/>
      <c r="D341" s="131" t="str">
        <f aca="false">IF(C341="","",IF(OR(C341="ทั้งเฟส",LEFT(C341,4)="ผรม.",LEFT(C341,3)="เขต"),C341,IFERROR(INDEX('Master Plan'!$B$8:$B$27,MATCH(C341,'Master Plan'!$A$8:$A$27,0)),"?")))</f>
        <v/>
      </c>
      <c r="E341" s="118" t="str">
        <f aca="false">IF(C341="","",IF(OR(C341="ทั้งเฟส",LEFT(C341,4)="ผรม.",LEFT(C341,3)="เขต"),C341,IFERROR(INDEX('Master Plan'!$L$8:$L$27,MATCH(C341,'Master Plan'!$A$8:$A$27,0)),"?")))</f>
        <v/>
      </c>
      <c r="F341" s="60"/>
      <c r="G341" s="114"/>
      <c r="H341" s="60"/>
      <c r="I341" s="116"/>
      <c r="J341" s="225"/>
      <c r="K341" s="206" t="str">
        <f aca="false">IF(F341="","",IF(ISNUMBER(I341),I341,IFERROR(VLOOKUP(F341,RW_TBL,2,0),0)))</f>
        <v/>
      </c>
      <c r="L341" s="226" t="str">
        <f aca="false">IF(F341="","",IF(ISNUMBER(J341),J341,IFERROR(VLOOKUP(F341,RW_TBL,3,0),0)))</f>
        <v/>
      </c>
      <c r="M341" s="113"/>
      <c r="N341" s="114"/>
    </row>
    <row r="342" customFormat="false" ht="15" hidden="false" customHeight="false" outlineLevel="0" collapsed="false">
      <c r="A342" s="131" t="str">
        <f aca="false">IF(B342="","",ROW()-6)</f>
        <v/>
      </c>
      <c r="B342" s="207"/>
      <c r="C342" s="60"/>
      <c r="D342" s="131" t="str">
        <f aca="false">IF(C342="","",IF(OR(C342="ทั้งเฟส",LEFT(C342,4)="ผรม.",LEFT(C342,3)="เขต"),C342,IFERROR(INDEX('Master Plan'!$B$8:$B$27,MATCH(C342,'Master Plan'!$A$8:$A$27,0)),"?")))</f>
        <v/>
      </c>
      <c r="E342" s="118" t="str">
        <f aca="false">IF(C342="","",IF(OR(C342="ทั้งเฟส",LEFT(C342,4)="ผรม.",LEFT(C342,3)="เขต"),C342,IFERROR(INDEX('Master Plan'!$L$8:$L$27,MATCH(C342,'Master Plan'!$A$8:$A$27,0)),"?")))</f>
        <v/>
      </c>
      <c r="F342" s="60"/>
      <c r="G342" s="114"/>
      <c r="H342" s="60"/>
      <c r="I342" s="116"/>
      <c r="J342" s="225"/>
      <c r="K342" s="206" t="str">
        <f aca="false">IF(F342="","",IF(ISNUMBER(I342),I342,IFERROR(VLOOKUP(F342,RW_TBL,2,0),0)))</f>
        <v/>
      </c>
      <c r="L342" s="226" t="str">
        <f aca="false">IF(F342="","",IF(ISNUMBER(J342),J342,IFERROR(VLOOKUP(F342,RW_TBL,3,0),0)))</f>
        <v/>
      </c>
      <c r="M342" s="113"/>
      <c r="N342" s="114"/>
    </row>
    <row r="343" customFormat="false" ht="15" hidden="false" customHeight="false" outlineLevel="0" collapsed="false">
      <c r="A343" s="131" t="str">
        <f aca="false">IF(B343="","",ROW()-6)</f>
        <v/>
      </c>
      <c r="B343" s="207"/>
      <c r="C343" s="60"/>
      <c r="D343" s="131" t="str">
        <f aca="false">IF(C343="","",IF(OR(C343="ทั้งเฟส",LEFT(C343,4)="ผรม.",LEFT(C343,3)="เขต"),C343,IFERROR(INDEX('Master Plan'!$B$8:$B$27,MATCH(C343,'Master Plan'!$A$8:$A$27,0)),"?")))</f>
        <v/>
      </c>
      <c r="E343" s="118" t="str">
        <f aca="false">IF(C343="","",IF(OR(C343="ทั้งเฟส",LEFT(C343,4)="ผรม.",LEFT(C343,3)="เขต"),C343,IFERROR(INDEX('Master Plan'!$L$8:$L$27,MATCH(C343,'Master Plan'!$A$8:$A$27,0)),"?")))</f>
        <v/>
      </c>
      <c r="F343" s="60"/>
      <c r="G343" s="114"/>
      <c r="H343" s="60"/>
      <c r="I343" s="116"/>
      <c r="J343" s="225"/>
      <c r="K343" s="206" t="str">
        <f aca="false">IF(F343="","",IF(ISNUMBER(I343),I343,IFERROR(VLOOKUP(F343,RW_TBL,2,0),0)))</f>
        <v/>
      </c>
      <c r="L343" s="226" t="str">
        <f aca="false">IF(F343="","",IF(ISNUMBER(J343),J343,IFERROR(VLOOKUP(F343,RW_TBL,3,0),0)))</f>
        <v/>
      </c>
      <c r="M343" s="113"/>
      <c r="N343" s="114"/>
    </row>
    <row r="344" customFormat="false" ht="15" hidden="false" customHeight="false" outlineLevel="0" collapsed="false">
      <c r="A344" s="131" t="str">
        <f aca="false">IF(B344="","",ROW()-6)</f>
        <v/>
      </c>
      <c r="B344" s="207"/>
      <c r="C344" s="60"/>
      <c r="D344" s="131" t="str">
        <f aca="false">IF(C344="","",IF(OR(C344="ทั้งเฟส",LEFT(C344,4)="ผรม.",LEFT(C344,3)="เขต"),C344,IFERROR(INDEX('Master Plan'!$B$8:$B$27,MATCH(C344,'Master Plan'!$A$8:$A$27,0)),"?")))</f>
        <v/>
      </c>
      <c r="E344" s="118" t="str">
        <f aca="false">IF(C344="","",IF(OR(C344="ทั้งเฟส",LEFT(C344,4)="ผรม.",LEFT(C344,3)="เขต"),C344,IFERROR(INDEX('Master Plan'!$L$8:$L$27,MATCH(C344,'Master Plan'!$A$8:$A$27,0)),"?")))</f>
        <v/>
      </c>
      <c r="F344" s="60"/>
      <c r="G344" s="114"/>
      <c r="H344" s="60"/>
      <c r="I344" s="116"/>
      <c r="J344" s="225"/>
      <c r="K344" s="206" t="str">
        <f aca="false">IF(F344="","",IF(ISNUMBER(I344),I344,IFERROR(VLOOKUP(F344,RW_TBL,2,0),0)))</f>
        <v/>
      </c>
      <c r="L344" s="226" t="str">
        <f aca="false">IF(F344="","",IF(ISNUMBER(J344),J344,IFERROR(VLOOKUP(F344,RW_TBL,3,0),0)))</f>
        <v/>
      </c>
      <c r="M344" s="113"/>
      <c r="N344" s="114"/>
    </row>
    <row r="345" customFormat="false" ht="15" hidden="false" customHeight="false" outlineLevel="0" collapsed="false">
      <c r="A345" s="131" t="str">
        <f aca="false">IF(B345="","",ROW()-6)</f>
        <v/>
      </c>
      <c r="B345" s="207"/>
      <c r="C345" s="60"/>
      <c r="D345" s="131" t="str">
        <f aca="false">IF(C345="","",IF(OR(C345="ทั้งเฟส",LEFT(C345,4)="ผรม.",LEFT(C345,3)="เขต"),C345,IFERROR(INDEX('Master Plan'!$B$8:$B$27,MATCH(C345,'Master Plan'!$A$8:$A$27,0)),"?")))</f>
        <v/>
      </c>
      <c r="E345" s="118" t="str">
        <f aca="false">IF(C345="","",IF(OR(C345="ทั้งเฟส",LEFT(C345,4)="ผรม.",LEFT(C345,3)="เขต"),C345,IFERROR(INDEX('Master Plan'!$L$8:$L$27,MATCH(C345,'Master Plan'!$A$8:$A$27,0)),"?")))</f>
        <v/>
      </c>
      <c r="F345" s="60"/>
      <c r="G345" s="114"/>
      <c r="H345" s="60"/>
      <c r="I345" s="116"/>
      <c r="J345" s="225"/>
      <c r="K345" s="206" t="str">
        <f aca="false">IF(F345="","",IF(ISNUMBER(I345),I345,IFERROR(VLOOKUP(F345,RW_TBL,2,0),0)))</f>
        <v/>
      </c>
      <c r="L345" s="226" t="str">
        <f aca="false">IF(F345="","",IF(ISNUMBER(J345),J345,IFERROR(VLOOKUP(F345,RW_TBL,3,0),0)))</f>
        <v/>
      </c>
      <c r="M345" s="113"/>
      <c r="N345" s="114"/>
    </row>
    <row r="346" customFormat="false" ht="15" hidden="false" customHeight="false" outlineLevel="0" collapsed="false">
      <c r="A346" s="131" t="str">
        <f aca="false">IF(B346="","",ROW()-6)</f>
        <v/>
      </c>
      <c r="B346" s="207"/>
      <c r="C346" s="60"/>
      <c r="D346" s="131" t="str">
        <f aca="false">IF(C346="","",IF(OR(C346="ทั้งเฟส",LEFT(C346,4)="ผรม.",LEFT(C346,3)="เขต"),C346,IFERROR(INDEX('Master Plan'!$B$8:$B$27,MATCH(C346,'Master Plan'!$A$8:$A$27,0)),"?")))</f>
        <v/>
      </c>
      <c r="E346" s="118" t="str">
        <f aca="false">IF(C346="","",IF(OR(C346="ทั้งเฟส",LEFT(C346,4)="ผรม.",LEFT(C346,3)="เขต"),C346,IFERROR(INDEX('Master Plan'!$L$8:$L$27,MATCH(C346,'Master Plan'!$A$8:$A$27,0)),"?")))</f>
        <v/>
      </c>
      <c r="F346" s="60"/>
      <c r="G346" s="114"/>
      <c r="H346" s="60"/>
      <c r="I346" s="116"/>
      <c r="J346" s="225"/>
      <c r="K346" s="206" t="str">
        <f aca="false">IF(F346="","",IF(ISNUMBER(I346),I346,IFERROR(VLOOKUP(F346,RW_TBL,2,0),0)))</f>
        <v/>
      </c>
      <c r="L346" s="226" t="str">
        <f aca="false">IF(F346="","",IF(ISNUMBER(J346),J346,IFERROR(VLOOKUP(F346,RW_TBL,3,0),0)))</f>
        <v/>
      </c>
      <c r="M346" s="113"/>
      <c r="N346" s="114"/>
    </row>
    <row r="347" customFormat="false" ht="15" hidden="false" customHeight="false" outlineLevel="0" collapsed="false">
      <c r="A347" s="131" t="str">
        <f aca="false">IF(B347="","",ROW()-6)</f>
        <v/>
      </c>
      <c r="B347" s="207"/>
      <c r="C347" s="60"/>
      <c r="D347" s="131" t="str">
        <f aca="false">IF(C347="","",IF(OR(C347="ทั้งเฟส",LEFT(C347,4)="ผรม.",LEFT(C347,3)="เขต"),C347,IFERROR(INDEX('Master Plan'!$B$8:$B$27,MATCH(C347,'Master Plan'!$A$8:$A$27,0)),"?")))</f>
        <v/>
      </c>
      <c r="E347" s="118" t="str">
        <f aca="false">IF(C347="","",IF(OR(C347="ทั้งเฟส",LEFT(C347,4)="ผรม.",LEFT(C347,3)="เขต"),C347,IFERROR(INDEX('Master Plan'!$L$8:$L$27,MATCH(C347,'Master Plan'!$A$8:$A$27,0)),"?")))</f>
        <v/>
      </c>
      <c r="F347" s="60"/>
      <c r="G347" s="114"/>
      <c r="H347" s="60"/>
      <c r="I347" s="116"/>
      <c r="J347" s="225"/>
      <c r="K347" s="206" t="str">
        <f aca="false">IF(F347="","",IF(ISNUMBER(I347),I347,IFERROR(VLOOKUP(F347,RW_TBL,2,0),0)))</f>
        <v/>
      </c>
      <c r="L347" s="226" t="str">
        <f aca="false">IF(F347="","",IF(ISNUMBER(J347),J347,IFERROR(VLOOKUP(F347,RW_TBL,3,0),0)))</f>
        <v/>
      </c>
      <c r="M347" s="113"/>
      <c r="N347" s="114"/>
    </row>
    <row r="348" customFormat="false" ht="15" hidden="false" customHeight="false" outlineLevel="0" collapsed="false">
      <c r="A348" s="131" t="str">
        <f aca="false">IF(B348="","",ROW()-6)</f>
        <v/>
      </c>
      <c r="B348" s="207"/>
      <c r="C348" s="60"/>
      <c r="D348" s="131" t="str">
        <f aca="false">IF(C348="","",IF(OR(C348="ทั้งเฟส",LEFT(C348,4)="ผรม.",LEFT(C348,3)="เขต"),C348,IFERROR(INDEX('Master Plan'!$B$8:$B$27,MATCH(C348,'Master Plan'!$A$8:$A$27,0)),"?")))</f>
        <v/>
      </c>
      <c r="E348" s="118" t="str">
        <f aca="false">IF(C348="","",IF(OR(C348="ทั้งเฟส",LEFT(C348,4)="ผรม.",LEFT(C348,3)="เขต"),C348,IFERROR(INDEX('Master Plan'!$L$8:$L$27,MATCH(C348,'Master Plan'!$A$8:$A$27,0)),"?")))</f>
        <v/>
      </c>
      <c r="F348" s="60"/>
      <c r="G348" s="114"/>
      <c r="H348" s="60"/>
      <c r="I348" s="116"/>
      <c r="J348" s="225"/>
      <c r="K348" s="206" t="str">
        <f aca="false">IF(F348="","",IF(ISNUMBER(I348),I348,IFERROR(VLOOKUP(F348,RW_TBL,2,0),0)))</f>
        <v/>
      </c>
      <c r="L348" s="226" t="str">
        <f aca="false">IF(F348="","",IF(ISNUMBER(J348),J348,IFERROR(VLOOKUP(F348,RW_TBL,3,0),0)))</f>
        <v/>
      </c>
      <c r="M348" s="113"/>
      <c r="N348" s="114"/>
    </row>
    <row r="349" customFormat="false" ht="15" hidden="false" customHeight="false" outlineLevel="0" collapsed="false">
      <c r="A349" s="131" t="str">
        <f aca="false">IF(B349="","",ROW()-6)</f>
        <v/>
      </c>
      <c r="B349" s="207"/>
      <c r="C349" s="60"/>
      <c r="D349" s="131" t="str">
        <f aca="false">IF(C349="","",IF(OR(C349="ทั้งเฟส",LEFT(C349,4)="ผรม.",LEFT(C349,3)="เขต"),C349,IFERROR(INDEX('Master Plan'!$B$8:$B$27,MATCH(C349,'Master Plan'!$A$8:$A$27,0)),"?")))</f>
        <v/>
      </c>
      <c r="E349" s="118" t="str">
        <f aca="false">IF(C349="","",IF(OR(C349="ทั้งเฟส",LEFT(C349,4)="ผรม.",LEFT(C349,3)="เขต"),C349,IFERROR(INDEX('Master Plan'!$L$8:$L$27,MATCH(C349,'Master Plan'!$A$8:$A$27,0)),"?")))</f>
        <v/>
      </c>
      <c r="F349" s="60"/>
      <c r="G349" s="114"/>
      <c r="H349" s="60"/>
      <c r="I349" s="116"/>
      <c r="J349" s="225"/>
      <c r="K349" s="206" t="str">
        <f aca="false">IF(F349="","",IF(ISNUMBER(I349),I349,IFERROR(VLOOKUP(F349,RW_TBL,2,0),0)))</f>
        <v/>
      </c>
      <c r="L349" s="226" t="str">
        <f aca="false">IF(F349="","",IF(ISNUMBER(J349),J349,IFERROR(VLOOKUP(F349,RW_TBL,3,0),0)))</f>
        <v/>
      </c>
      <c r="M349" s="113"/>
      <c r="N349" s="114"/>
    </row>
    <row r="350" customFormat="false" ht="15" hidden="false" customHeight="false" outlineLevel="0" collapsed="false">
      <c r="A350" s="131" t="str">
        <f aca="false">IF(B350="","",ROW()-6)</f>
        <v/>
      </c>
      <c r="B350" s="207"/>
      <c r="C350" s="60"/>
      <c r="D350" s="131" t="str">
        <f aca="false">IF(C350="","",IF(OR(C350="ทั้งเฟส",LEFT(C350,4)="ผรม.",LEFT(C350,3)="เขต"),C350,IFERROR(INDEX('Master Plan'!$B$8:$B$27,MATCH(C350,'Master Plan'!$A$8:$A$27,0)),"?")))</f>
        <v/>
      </c>
      <c r="E350" s="118" t="str">
        <f aca="false">IF(C350="","",IF(OR(C350="ทั้งเฟส",LEFT(C350,4)="ผรม.",LEFT(C350,3)="เขต"),C350,IFERROR(INDEX('Master Plan'!$L$8:$L$27,MATCH(C350,'Master Plan'!$A$8:$A$27,0)),"?")))</f>
        <v/>
      </c>
      <c r="F350" s="60"/>
      <c r="G350" s="114"/>
      <c r="H350" s="60"/>
      <c r="I350" s="116"/>
      <c r="J350" s="225"/>
      <c r="K350" s="206" t="str">
        <f aca="false">IF(F350="","",IF(ISNUMBER(I350),I350,IFERROR(VLOOKUP(F350,RW_TBL,2,0),0)))</f>
        <v/>
      </c>
      <c r="L350" s="226" t="str">
        <f aca="false">IF(F350="","",IF(ISNUMBER(J350),J350,IFERROR(VLOOKUP(F350,RW_TBL,3,0),0)))</f>
        <v/>
      </c>
      <c r="M350" s="113"/>
      <c r="N350" s="114"/>
    </row>
    <row r="351" customFormat="false" ht="15" hidden="false" customHeight="false" outlineLevel="0" collapsed="false">
      <c r="A351" s="131" t="str">
        <f aca="false">IF(B351="","",ROW()-6)</f>
        <v/>
      </c>
      <c r="B351" s="207"/>
      <c r="C351" s="60"/>
      <c r="D351" s="131" t="str">
        <f aca="false">IF(C351="","",IF(OR(C351="ทั้งเฟส",LEFT(C351,4)="ผรม.",LEFT(C351,3)="เขต"),C351,IFERROR(INDEX('Master Plan'!$B$8:$B$27,MATCH(C351,'Master Plan'!$A$8:$A$27,0)),"?")))</f>
        <v/>
      </c>
      <c r="E351" s="118" t="str">
        <f aca="false">IF(C351="","",IF(OR(C351="ทั้งเฟส",LEFT(C351,4)="ผรม.",LEFT(C351,3)="เขต"),C351,IFERROR(INDEX('Master Plan'!$L$8:$L$27,MATCH(C351,'Master Plan'!$A$8:$A$27,0)),"?")))</f>
        <v/>
      </c>
      <c r="F351" s="60"/>
      <c r="G351" s="114"/>
      <c r="H351" s="60"/>
      <c r="I351" s="116"/>
      <c r="J351" s="225"/>
      <c r="K351" s="206" t="str">
        <f aca="false">IF(F351="","",IF(ISNUMBER(I351),I351,IFERROR(VLOOKUP(F351,RW_TBL,2,0),0)))</f>
        <v/>
      </c>
      <c r="L351" s="226" t="str">
        <f aca="false">IF(F351="","",IF(ISNUMBER(J351),J351,IFERROR(VLOOKUP(F351,RW_TBL,3,0),0)))</f>
        <v/>
      </c>
      <c r="M351" s="113"/>
      <c r="N351" s="114"/>
    </row>
    <row r="352" customFormat="false" ht="15" hidden="false" customHeight="false" outlineLevel="0" collapsed="false">
      <c r="A352" s="131" t="str">
        <f aca="false">IF(B352="","",ROW()-6)</f>
        <v/>
      </c>
      <c r="B352" s="207"/>
      <c r="C352" s="60"/>
      <c r="D352" s="131" t="str">
        <f aca="false">IF(C352="","",IF(OR(C352="ทั้งเฟส",LEFT(C352,4)="ผรม.",LEFT(C352,3)="เขต"),C352,IFERROR(INDEX('Master Plan'!$B$8:$B$27,MATCH(C352,'Master Plan'!$A$8:$A$27,0)),"?")))</f>
        <v/>
      </c>
      <c r="E352" s="118" t="str">
        <f aca="false">IF(C352="","",IF(OR(C352="ทั้งเฟส",LEFT(C352,4)="ผรม.",LEFT(C352,3)="เขต"),C352,IFERROR(INDEX('Master Plan'!$L$8:$L$27,MATCH(C352,'Master Plan'!$A$8:$A$27,0)),"?")))</f>
        <v/>
      </c>
      <c r="F352" s="60"/>
      <c r="G352" s="114"/>
      <c r="H352" s="60"/>
      <c r="I352" s="116"/>
      <c r="J352" s="225"/>
      <c r="K352" s="206" t="str">
        <f aca="false">IF(F352="","",IF(ISNUMBER(I352),I352,IFERROR(VLOOKUP(F352,RW_TBL,2,0),0)))</f>
        <v/>
      </c>
      <c r="L352" s="226" t="str">
        <f aca="false">IF(F352="","",IF(ISNUMBER(J352),J352,IFERROR(VLOOKUP(F352,RW_TBL,3,0),0)))</f>
        <v/>
      </c>
      <c r="M352" s="113"/>
      <c r="N352" s="114"/>
    </row>
    <row r="353" customFormat="false" ht="15" hidden="false" customHeight="false" outlineLevel="0" collapsed="false">
      <c r="A353" s="131" t="str">
        <f aca="false">IF(B353="","",ROW()-6)</f>
        <v/>
      </c>
      <c r="B353" s="207"/>
      <c r="C353" s="60"/>
      <c r="D353" s="131" t="str">
        <f aca="false">IF(C353="","",IF(OR(C353="ทั้งเฟส",LEFT(C353,4)="ผรม.",LEFT(C353,3)="เขต"),C353,IFERROR(INDEX('Master Plan'!$B$8:$B$27,MATCH(C353,'Master Plan'!$A$8:$A$27,0)),"?")))</f>
        <v/>
      </c>
      <c r="E353" s="118" t="str">
        <f aca="false">IF(C353="","",IF(OR(C353="ทั้งเฟส",LEFT(C353,4)="ผรม.",LEFT(C353,3)="เขต"),C353,IFERROR(INDEX('Master Plan'!$L$8:$L$27,MATCH(C353,'Master Plan'!$A$8:$A$27,0)),"?")))</f>
        <v/>
      </c>
      <c r="F353" s="60"/>
      <c r="G353" s="114"/>
      <c r="H353" s="60"/>
      <c r="I353" s="116"/>
      <c r="J353" s="225"/>
      <c r="K353" s="206" t="str">
        <f aca="false">IF(F353="","",IF(ISNUMBER(I353),I353,IFERROR(VLOOKUP(F353,RW_TBL,2,0),0)))</f>
        <v/>
      </c>
      <c r="L353" s="226" t="str">
        <f aca="false">IF(F353="","",IF(ISNUMBER(J353),J353,IFERROR(VLOOKUP(F353,RW_TBL,3,0),0)))</f>
        <v/>
      </c>
      <c r="M353" s="113"/>
      <c r="N353" s="114"/>
    </row>
    <row r="354" customFormat="false" ht="15" hidden="false" customHeight="false" outlineLevel="0" collapsed="false">
      <c r="A354" s="131" t="str">
        <f aca="false">IF(B354="","",ROW()-6)</f>
        <v/>
      </c>
      <c r="B354" s="207"/>
      <c r="C354" s="60"/>
      <c r="D354" s="131" t="str">
        <f aca="false">IF(C354="","",IF(OR(C354="ทั้งเฟส",LEFT(C354,4)="ผรม.",LEFT(C354,3)="เขต"),C354,IFERROR(INDEX('Master Plan'!$B$8:$B$27,MATCH(C354,'Master Plan'!$A$8:$A$27,0)),"?")))</f>
        <v/>
      </c>
      <c r="E354" s="118" t="str">
        <f aca="false">IF(C354="","",IF(OR(C354="ทั้งเฟส",LEFT(C354,4)="ผรม.",LEFT(C354,3)="เขต"),C354,IFERROR(INDEX('Master Plan'!$L$8:$L$27,MATCH(C354,'Master Plan'!$A$8:$A$27,0)),"?")))</f>
        <v/>
      </c>
      <c r="F354" s="60"/>
      <c r="G354" s="114"/>
      <c r="H354" s="60"/>
      <c r="I354" s="116"/>
      <c r="J354" s="225"/>
      <c r="K354" s="206" t="str">
        <f aca="false">IF(F354="","",IF(ISNUMBER(I354),I354,IFERROR(VLOOKUP(F354,RW_TBL,2,0),0)))</f>
        <v/>
      </c>
      <c r="L354" s="226" t="str">
        <f aca="false">IF(F354="","",IF(ISNUMBER(J354),J354,IFERROR(VLOOKUP(F354,RW_TBL,3,0),0)))</f>
        <v/>
      </c>
      <c r="M354" s="113"/>
      <c r="N354" s="114"/>
    </row>
    <row r="355" customFormat="false" ht="15" hidden="false" customHeight="false" outlineLevel="0" collapsed="false">
      <c r="A355" s="131" t="str">
        <f aca="false">IF(B355="","",ROW()-6)</f>
        <v/>
      </c>
      <c r="B355" s="207"/>
      <c r="C355" s="60"/>
      <c r="D355" s="131" t="str">
        <f aca="false">IF(C355="","",IF(OR(C355="ทั้งเฟส",LEFT(C355,4)="ผรม.",LEFT(C355,3)="เขต"),C355,IFERROR(INDEX('Master Plan'!$B$8:$B$27,MATCH(C355,'Master Plan'!$A$8:$A$27,0)),"?")))</f>
        <v/>
      </c>
      <c r="E355" s="118" t="str">
        <f aca="false">IF(C355="","",IF(OR(C355="ทั้งเฟส",LEFT(C355,4)="ผรม.",LEFT(C355,3)="เขต"),C355,IFERROR(INDEX('Master Plan'!$L$8:$L$27,MATCH(C355,'Master Plan'!$A$8:$A$27,0)),"?")))</f>
        <v/>
      </c>
      <c r="F355" s="60"/>
      <c r="G355" s="114"/>
      <c r="H355" s="60"/>
      <c r="I355" s="116"/>
      <c r="J355" s="225"/>
      <c r="K355" s="206" t="str">
        <f aca="false">IF(F355="","",IF(ISNUMBER(I355),I355,IFERROR(VLOOKUP(F355,RW_TBL,2,0),0)))</f>
        <v/>
      </c>
      <c r="L355" s="226" t="str">
        <f aca="false">IF(F355="","",IF(ISNUMBER(J355),J355,IFERROR(VLOOKUP(F355,RW_TBL,3,0),0)))</f>
        <v/>
      </c>
      <c r="M355" s="113"/>
      <c r="N355" s="114"/>
    </row>
    <row r="356" customFormat="false" ht="15" hidden="false" customHeight="false" outlineLevel="0" collapsed="false">
      <c r="A356" s="131" t="str">
        <f aca="false">IF(B356="","",ROW()-6)</f>
        <v/>
      </c>
      <c r="B356" s="207"/>
      <c r="C356" s="60"/>
      <c r="D356" s="131" t="str">
        <f aca="false">IF(C356="","",IF(OR(C356="ทั้งเฟส",LEFT(C356,4)="ผรม.",LEFT(C356,3)="เขต"),C356,IFERROR(INDEX('Master Plan'!$B$8:$B$27,MATCH(C356,'Master Plan'!$A$8:$A$27,0)),"?")))</f>
        <v/>
      </c>
      <c r="E356" s="118" t="str">
        <f aca="false">IF(C356="","",IF(OR(C356="ทั้งเฟส",LEFT(C356,4)="ผรม.",LEFT(C356,3)="เขต"),C356,IFERROR(INDEX('Master Plan'!$L$8:$L$27,MATCH(C356,'Master Plan'!$A$8:$A$27,0)),"?")))</f>
        <v/>
      </c>
      <c r="F356" s="60"/>
      <c r="G356" s="114"/>
      <c r="H356" s="60"/>
      <c r="I356" s="116"/>
      <c r="J356" s="225"/>
      <c r="K356" s="206" t="str">
        <f aca="false">IF(F356="","",IF(ISNUMBER(I356),I356,IFERROR(VLOOKUP(F356,RW_TBL,2,0),0)))</f>
        <v/>
      </c>
      <c r="L356" s="226" t="str">
        <f aca="false">IF(F356="","",IF(ISNUMBER(J356),J356,IFERROR(VLOOKUP(F356,RW_TBL,3,0),0)))</f>
        <v/>
      </c>
      <c r="M356" s="113"/>
      <c r="N356" s="114"/>
    </row>
    <row r="357" customFormat="false" ht="15" hidden="false" customHeight="false" outlineLevel="0" collapsed="false">
      <c r="A357" s="131" t="str">
        <f aca="false">IF(B357="","",ROW()-6)</f>
        <v/>
      </c>
      <c r="B357" s="207"/>
      <c r="C357" s="60"/>
      <c r="D357" s="131" t="str">
        <f aca="false">IF(C357="","",IF(OR(C357="ทั้งเฟส",LEFT(C357,4)="ผรม.",LEFT(C357,3)="เขต"),C357,IFERROR(INDEX('Master Plan'!$B$8:$B$27,MATCH(C357,'Master Plan'!$A$8:$A$27,0)),"?")))</f>
        <v/>
      </c>
      <c r="E357" s="118" t="str">
        <f aca="false">IF(C357="","",IF(OR(C357="ทั้งเฟส",LEFT(C357,4)="ผรม.",LEFT(C357,3)="เขต"),C357,IFERROR(INDEX('Master Plan'!$L$8:$L$27,MATCH(C357,'Master Plan'!$A$8:$A$27,0)),"?")))</f>
        <v/>
      </c>
      <c r="F357" s="60"/>
      <c r="G357" s="114"/>
      <c r="H357" s="60"/>
      <c r="I357" s="116"/>
      <c r="J357" s="225"/>
      <c r="K357" s="206" t="str">
        <f aca="false">IF(F357="","",IF(ISNUMBER(I357),I357,IFERROR(VLOOKUP(F357,RW_TBL,2,0),0)))</f>
        <v/>
      </c>
      <c r="L357" s="226" t="str">
        <f aca="false">IF(F357="","",IF(ISNUMBER(J357),J357,IFERROR(VLOOKUP(F357,RW_TBL,3,0),0)))</f>
        <v/>
      </c>
      <c r="M357" s="113"/>
      <c r="N357" s="114"/>
    </row>
    <row r="358" customFormat="false" ht="15" hidden="false" customHeight="false" outlineLevel="0" collapsed="false">
      <c r="A358" s="131" t="str">
        <f aca="false">IF(B358="","",ROW()-6)</f>
        <v/>
      </c>
      <c r="B358" s="207"/>
      <c r="C358" s="60"/>
      <c r="D358" s="131" t="str">
        <f aca="false">IF(C358="","",IF(OR(C358="ทั้งเฟส",LEFT(C358,4)="ผรม.",LEFT(C358,3)="เขต"),C358,IFERROR(INDEX('Master Plan'!$B$8:$B$27,MATCH(C358,'Master Plan'!$A$8:$A$27,0)),"?")))</f>
        <v/>
      </c>
      <c r="E358" s="118" t="str">
        <f aca="false">IF(C358="","",IF(OR(C358="ทั้งเฟส",LEFT(C358,4)="ผรม.",LEFT(C358,3)="เขต"),C358,IFERROR(INDEX('Master Plan'!$L$8:$L$27,MATCH(C358,'Master Plan'!$A$8:$A$27,0)),"?")))</f>
        <v/>
      </c>
      <c r="F358" s="60"/>
      <c r="G358" s="114"/>
      <c r="H358" s="60"/>
      <c r="I358" s="116"/>
      <c r="J358" s="225"/>
      <c r="K358" s="206" t="str">
        <f aca="false">IF(F358="","",IF(ISNUMBER(I358),I358,IFERROR(VLOOKUP(F358,RW_TBL,2,0),0)))</f>
        <v/>
      </c>
      <c r="L358" s="226" t="str">
        <f aca="false">IF(F358="","",IF(ISNUMBER(J358),J358,IFERROR(VLOOKUP(F358,RW_TBL,3,0),0)))</f>
        <v/>
      </c>
      <c r="M358" s="113"/>
      <c r="N358" s="114"/>
    </row>
    <row r="359" customFormat="false" ht="15" hidden="false" customHeight="false" outlineLevel="0" collapsed="false">
      <c r="A359" s="131" t="str">
        <f aca="false">IF(B359="","",ROW()-6)</f>
        <v/>
      </c>
      <c r="B359" s="207"/>
      <c r="C359" s="60"/>
      <c r="D359" s="131" t="str">
        <f aca="false">IF(C359="","",IF(OR(C359="ทั้งเฟส",LEFT(C359,4)="ผรม.",LEFT(C359,3)="เขต"),C359,IFERROR(INDEX('Master Plan'!$B$8:$B$27,MATCH(C359,'Master Plan'!$A$8:$A$27,0)),"?")))</f>
        <v/>
      </c>
      <c r="E359" s="118" t="str">
        <f aca="false">IF(C359="","",IF(OR(C359="ทั้งเฟส",LEFT(C359,4)="ผรม.",LEFT(C359,3)="เขต"),C359,IFERROR(INDEX('Master Plan'!$L$8:$L$27,MATCH(C359,'Master Plan'!$A$8:$A$27,0)),"?")))</f>
        <v/>
      </c>
      <c r="F359" s="60"/>
      <c r="G359" s="114"/>
      <c r="H359" s="60"/>
      <c r="I359" s="116"/>
      <c r="J359" s="225"/>
      <c r="K359" s="206" t="str">
        <f aca="false">IF(F359="","",IF(ISNUMBER(I359),I359,IFERROR(VLOOKUP(F359,RW_TBL,2,0),0)))</f>
        <v/>
      </c>
      <c r="L359" s="226" t="str">
        <f aca="false">IF(F359="","",IF(ISNUMBER(J359),J359,IFERROR(VLOOKUP(F359,RW_TBL,3,0),0)))</f>
        <v/>
      </c>
      <c r="M359" s="113"/>
      <c r="N359" s="114"/>
    </row>
    <row r="360" customFormat="false" ht="15" hidden="false" customHeight="false" outlineLevel="0" collapsed="false">
      <c r="A360" s="131" t="str">
        <f aca="false">IF(B360="","",ROW()-6)</f>
        <v/>
      </c>
      <c r="B360" s="207"/>
      <c r="C360" s="60"/>
      <c r="D360" s="131" t="str">
        <f aca="false">IF(C360="","",IF(OR(C360="ทั้งเฟส",LEFT(C360,4)="ผรม.",LEFT(C360,3)="เขต"),C360,IFERROR(INDEX('Master Plan'!$B$8:$B$27,MATCH(C360,'Master Plan'!$A$8:$A$27,0)),"?")))</f>
        <v/>
      </c>
      <c r="E360" s="118" t="str">
        <f aca="false">IF(C360="","",IF(OR(C360="ทั้งเฟส",LEFT(C360,4)="ผรม.",LEFT(C360,3)="เขต"),C360,IFERROR(INDEX('Master Plan'!$L$8:$L$27,MATCH(C360,'Master Plan'!$A$8:$A$27,0)),"?")))</f>
        <v/>
      </c>
      <c r="F360" s="60"/>
      <c r="G360" s="114"/>
      <c r="H360" s="60"/>
      <c r="I360" s="116"/>
      <c r="J360" s="225"/>
      <c r="K360" s="206" t="str">
        <f aca="false">IF(F360="","",IF(ISNUMBER(I360),I360,IFERROR(VLOOKUP(F360,RW_TBL,2,0),0)))</f>
        <v/>
      </c>
      <c r="L360" s="226" t="str">
        <f aca="false">IF(F360="","",IF(ISNUMBER(J360),J360,IFERROR(VLOOKUP(F360,RW_TBL,3,0),0)))</f>
        <v/>
      </c>
      <c r="M360" s="113"/>
      <c r="N360" s="114"/>
    </row>
    <row r="361" customFormat="false" ht="15" hidden="false" customHeight="false" outlineLevel="0" collapsed="false">
      <c r="A361" s="131" t="str">
        <f aca="false">IF(B361="","",ROW()-6)</f>
        <v/>
      </c>
      <c r="B361" s="207"/>
      <c r="C361" s="60"/>
      <c r="D361" s="131" t="str">
        <f aca="false">IF(C361="","",IF(OR(C361="ทั้งเฟส",LEFT(C361,4)="ผรม.",LEFT(C361,3)="เขต"),C361,IFERROR(INDEX('Master Plan'!$B$8:$B$27,MATCH(C361,'Master Plan'!$A$8:$A$27,0)),"?")))</f>
        <v/>
      </c>
      <c r="E361" s="118" t="str">
        <f aca="false">IF(C361="","",IF(OR(C361="ทั้งเฟส",LEFT(C361,4)="ผรม.",LEFT(C361,3)="เขต"),C361,IFERROR(INDEX('Master Plan'!$L$8:$L$27,MATCH(C361,'Master Plan'!$A$8:$A$27,0)),"?")))</f>
        <v/>
      </c>
      <c r="F361" s="60"/>
      <c r="G361" s="114"/>
      <c r="H361" s="60"/>
      <c r="I361" s="116"/>
      <c r="J361" s="225"/>
      <c r="K361" s="206" t="str">
        <f aca="false">IF(F361="","",IF(ISNUMBER(I361),I361,IFERROR(VLOOKUP(F361,RW_TBL,2,0),0)))</f>
        <v/>
      </c>
      <c r="L361" s="226" t="str">
        <f aca="false">IF(F361="","",IF(ISNUMBER(J361),J361,IFERROR(VLOOKUP(F361,RW_TBL,3,0),0)))</f>
        <v/>
      </c>
      <c r="M361" s="113"/>
      <c r="N361" s="114"/>
    </row>
    <row r="362" customFormat="false" ht="15" hidden="false" customHeight="false" outlineLevel="0" collapsed="false">
      <c r="A362" s="131" t="str">
        <f aca="false">IF(B362="","",ROW()-6)</f>
        <v/>
      </c>
      <c r="B362" s="207"/>
      <c r="C362" s="60"/>
      <c r="D362" s="131" t="str">
        <f aca="false">IF(C362="","",IF(OR(C362="ทั้งเฟส",LEFT(C362,4)="ผรม.",LEFT(C362,3)="เขต"),C362,IFERROR(INDEX('Master Plan'!$B$8:$B$27,MATCH(C362,'Master Plan'!$A$8:$A$27,0)),"?")))</f>
        <v/>
      </c>
      <c r="E362" s="118" t="str">
        <f aca="false">IF(C362="","",IF(OR(C362="ทั้งเฟส",LEFT(C362,4)="ผรม.",LEFT(C362,3)="เขต"),C362,IFERROR(INDEX('Master Plan'!$L$8:$L$27,MATCH(C362,'Master Plan'!$A$8:$A$27,0)),"?")))</f>
        <v/>
      </c>
      <c r="F362" s="60"/>
      <c r="G362" s="114"/>
      <c r="H362" s="60"/>
      <c r="I362" s="116"/>
      <c r="J362" s="225"/>
      <c r="K362" s="206" t="str">
        <f aca="false">IF(F362="","",IF(ISNUMBER(I362),I362,IFERROR(VLOOKUP(F362,RW_TBL,2,0),0)))</f>
        <v/>
      </c>
      <c r="L362" s="226" t="str">
        <f aca="false">IF(F362="","",IF(ISNUMBER(J362),J362,IFERROR(VLOOKUP(F362,RW_TBL,3,0),0)))</f>
        <v/>
      </c>
      <c r="M362" s="113"/>
      <c r="N362" s="114"/>
    </row>
    <row r="363" customFormat="false" ht="15" hidden="false" customHeight="false" outlineLevel="0" collapsed="false">
      <c r="A363" s="131" t="str">
        <f aca="false">IF(B363="","",ROW()-6)</f>
        <v/>
      </c>
      <c r="B363" s="207"/>
      <c r="C363" s="60"/>
      <c r="D363" s="131" t="str">
        <f aca="false">IF(C363="","",IF(OR(C363="ทั้งเฟส",LEFT(C363,4)="ผรม.",LEFT(C363,3)="เขต"),C363,IFERROR(INDEX('Master Plan'!$B$8:$B$27,MATCH(C363,'Master Plan'!$A$8:$A$27,0)),"?")))</f>
        <v/>
      </c>
      <c r="E363" s="118" t="str">
        <f aca="false">IF(C363="","",IF(OR(C363="ทั้งเฟส",LEFT(C363,4)="ผรม.",LEFT(C363,3)="เขต"),C363,IFERROR(INDEX('Master Plan'!$L$8:$L$27,MATCH(C363,'Master Plan'!$A$8:$A$27,0)),"?")))</f>
        <v/>
      </c>
      <c r="F363" s="60"/>
      <c r="G363" s="114"/>
      <c r="H363" s="60"/>
      <c r="I363" s="116"/>
      <c r="J363" s="225"/>
      <c r="K363" s="206" t="str">
        <f aca="false">IF(F363="","",IF(ISNUMBER(I363),I363,IFERROR(VLOOKUP(F363,RW_TBL,2,0),0)))</f>
        <v/>
      </c>
      <c r="L363" s="226" t="str">
        <f aca="false">IF(F363="","",IF(ISNUMBER(J363),J363,IFERROR(VLOOKUP(F363,RW_TBL,3,0),0)))</f>
        <v/>
      </c>
      <c r="M363" s="113"/>
      <c r="N363" s="114"/>
    </row>
    <row r="364" customFormat="false" ht="15" hidden="false" customHeight="false" outlineLevel="0" collapsed="false">
      <c r="A364" s="131" t="str">
        <f aca="false">IF(B364="","",ROW()-6)</f>
        <v/>
      </c>
      <c r="B364" s="207"/>
      <c r="C364" s="60"/>
      <c r="D364" s="131" t="str">
        <f aca="false">IF(C364="","",IF(OR(C364="ทั้งเฟส",LEFT(C364,4)="ผรม.",LEFT(C364,3)="เขต"),C364,IFERROR(INDEX('Master Plan'!$B$8:$B$27,MATCH(C364,'Master Plan'!$A$8:$A$27,0)),"?")))</f>
        <v/>
      </c>
      <c r="E364" s="118" t="str">
        <f aca="false">IF(C364="","",IF(OR(C364="ทั้งเฟส",LEFT(C364,4)="ผรม.",LEFT(C364,3)="เขต"),C364,IFERROR(INDEX('Master Plan'!$L$8:$L$27,MATCH(C364,'Master Plan'!$A$8:$A$27,0)),"?")))</f>
        <v/>
      </c>
      <c r="F364" s="60"/>
      <c r="G364" s="114"/>
      <c r="H364" s="60"/>
      <c r="I364" s="116"/>
      <c r="J364" s="225"/>
      <c r="K364" s="206" t="str">
        <f aca="false">IF(F364="","",IF(ISNUMBER(I364),I364,IFERROR(VLOOKUP(F364,RW_TBL,2,0),0)))</f>
        <v/>
      </c>
      <c r="L364" s="226" t="str">
        <f aca="false">IF(F364="","",IF(ISNUMBER(J364),J364,IFERROR(VLOOKUP(F364,RW_TBL,3,0),0)))</f>
        <v/>
      </c>
      <c r="M364" s="113"/>
      <c r="N364" s="114"/>
    </row>
    <row r="365" customFormat="false" ht="15" hidden="false" customHeight="false" outlineLevel="0" collapsed="false">
      <c r="A365" s="131" t="str">
        <f aca="false">IF(B365="","",ROW()-6)</f>
        <v/>
      </c>
      <c r="B365" s="207"/>
      <c r="C365" s="60"/>
      <c r="D365" s="131" t="str">
        <f aca="false">IF(C365="","",IF(OR(C365="ทั้งเฟส",LEFT(C365,4)="ผรม.",LEFT(C365,3)="เขต"),C365,IFERROR(INDEX('Master Plan'!$B$8:$B$27,MATCH(C365,'Master Plan'!$A$8:$A$27,0)),"?")))</f>
        <v/>
      </c>
      <c r="E365" s="118" t="str">
        <f aca="false">IF(C365="","",IF(OR(C365="ทั้งเฟส",LEFT(C365,4)="ผรม.",LEFT(C365,3)="เขต"),C365,IFERROR(INDEX('Master Plan'!$L$8:$L$27,MATCH(C365,'Master Plan'!$A$8:$A$27,0)),"?")))</f>
        <v/>
      </c>
      <c r="F365" s="60"/>
      <c r="G365" s="114"/>
      <c r="H365" s="60"/>
      <c r="I365" s="116"/>
      <c r="J365" s="225"/>
      <c r="K365" s="206" t="str">
        <f aca="false">IF(F365="","",IF(ISNUMBER(I365),I365,IFERROR(VLOOKUP(F365,RW_TBL,2,0),0)))</f>
        <v/>
      </c>
      <c r="L365" s="226" t="str">
        <f aca="false">IF(F365="","",IF(ISNUMBER(J365),J365,IFERROR(VLOOKUP(F365,RW_TBL,3,0),0)))</f>
        <v/>
      </c>
      <c r="M365" s="113"/>
      <c r="N365" s="114"/>
    </row>
    <row r="366" customFormat="false" ht="15" hidden="false" customHeight="false" outlineLevel="0" collapsed="false">
      <c r="A366" s="131" t="str">
        <f aca="false">IF(B366="","",ROW()-6)</f>
        <v/>
      </c>
      <c r="B366" s="207"/>
      <c r="C366" s="60"/>
      <c r="D366" s="131" t="str">
        <f aca="false">IF(C366="","",IF(OR(C366="ทั้งเฟส",LEFT(C366,4)="ผรม.",LEFT(C366,3)="เขต"),C366,IFERROR(INDEX('Master Plan'!$B$8:$B$27,MATCH(C366,'Master Plan'!$A$8:$A$27,0)),"?")))</f>
        <v/>
      </c>
      <c r="E366" s="118" t="str">
        <f aca="false">IF(C366="","",IF(OR(C366="ทั้งเฟส",LEFT(C366,4)="ผรม.",LEFT(C366,3)="เขต"),C366,IFERROR(INDEX('Master Plan'!$L$8:$L$27,MATCH(C366,'Master Plan'!$A$8:$A$27,0)),"?")))</f>
        <v/>
      </c>
      <c r="F366" s="60"/>
      <c r="G366" s="114"/>
      <c r="H366" s="60"/>
      <c r="I366" s="116"/>
      <c r="J366" s="225"/>
      <c r="K366" s="206" t="str">
        <f aca="false">IF(F366="","",IF(ISNUMBER(I366),I366,IFERROR(VLOOKUP(F366,RW_TBL,2,0),0)))</f>
        <v/>
      </c>
      <c r="L366" s="226" t="str">
        <f aca="false">IF(F366="","",IF(ISNUMBER(J366),J366,IFERROR(VLOOKUP(F366,RW_TBL,3,0),0)))</f>
        <v/>
      </c>
      <c r="M366" s="113"/>
      <c r="N366" s="114"/>
    </row>
    <row r="367" customFormat="false" ht="15" hidden="false" customHeight="false" outlineLevel="0" collapsed="false">
      <c r="A367" s="131" t="str">
        <f aca="false">IF(B367="","",ROW()-6)</f>
        <v/>
      </c>
      <c r="B367" s="207"/>
      <c r="C367" s="60"/>
      <c r="D367" s="131" t="str">
        <f aca="false">IF(C367="","",IF(OR(C367="ทั้งเฟส",LEFT(C367,4)="ผรม.",LEFT(C367,3)="เขต"),C367,IFERROR(INDEX('Master Plan'!$B$8:$B$27,MATCH(C367,'Master Plan'!$A$8:$A$27,0)),"?")))</f>
        <v/>
      </c>
      <c r="E367" s="118" t="str">
        <f aca="false">IF(C367="","",IF(OR(C367="ทั้งเฟส",LEFT(C367,4)="ผรม.",LEFT(C367,3)="เขต"),C367,IFERROR(INDEX('Master Plan'!$L$8:$L$27,MATCH(C367,'Master Plan'!$A$8:$A$27,0)),"?")))</f>
        <v/>
      </c>
      <c r="F367" s="60"/>
      <c r="G367" s="114"/>
      <c r="H367" s="60"/>
      <c r="I367" s="116"/>
      <c r="J367" s="225"/>
      <c r="K367" s="206" t="str">
        <f aca="false">IF(F367="","",IF(ISNUMBER(I367),I367,IFERROR(VLOOKUP(F367,RW_TBL,2,0),0)))</f>
        <v/>
      </c>
      <c r="L367" s="226" t="str">
        <f aca="false">IF(F367="","",IF(ISNUMBER(J367),J367,IFERROR(VLOOKUP(F367,RW_TBL,3,0),0)))</f>
        <v/>
      </c>
      <c r="M367" s="113"/>
      <c r="N367" s="114"/>
    </row>
    <row r="368" customFormat="false" ht="15" hidden="false" customHeight="false" outlineLevel="0" collapsed="false">
      <c r="A368" s="131" t="str">
        <f aca="false">IF(B368="","",ROW()-6)</f>
        <v/>
      </c>
      <c r="B368" s="207"/>
      <c r="C368" s="60"/>
      <c r="D368" s="131" t="str">
        <f aca="false">IF(C368="","",IF(OR(C368="ทั้งเฟส",LEFT(C368,4)="ผรม.",LEFT(C368,3)="เขต"),C368,IFERROR(INDEX('Master Plan'!$B$8:$B$27,MATCH(C368,'Master Plan'!$A$8:$A$27,0)),"?")))</f>
        <v/>
      </c>
      <c r="E368" s="118" t="str">
        <f aca="false">IF(C368="","",IF(OR(C368="ทั้งเฟส",LEFT(C368,4)="ผรม.",LEFT(C368,3)="เขต"),C368,IFERROR(INDEX('Master Plan'!$L$8:$L$27,MATCH(C368,'Master Plan'!$A$8:$A$27,0)),"?")))</f>
        <v/>
      </c>
      <c r="F368" s="60"/>
      <c r="G368" s="114"/>
      <c r="H368" s="60"/>
      <c r="I368" s="116"/>
      <c r="J368" s="225"/>
      <c r="K368" s="206" t="str">
        <f aca="false">IF(F368="","",IF(ISNUMBER(I368),I368,IFERROR(VLOOKUP(F368,RW_TBL,2,0),0)))</f>
        <v/>
      </c>
      <c r="L368" s="226" t="str">
        <f aca="false">IF(F368="","",IF(ISNUMBER(J368),J368,IFERROR(VLOOKUP(F368,RW_TBL,3,0),0)))</f>
        <v/>
      </c>
      <c r="M368" s="113"/>
      <c r="N368" s="114"/>
    </row>
    <row r="369" customFormat="false" ht="15" hidden="false" customHeight="false" outlineLevel="0" collapsed="false">
      <c r="A369" s="131" t="str">
        <f aca="false">IF(B369="","",ROW()-6)</f>
        <v/>
      </c>
      <c r="B369" s="207"/>
      <c r="C369" s="60"/>
      <c r="D369" s="131" t="str">
        <f aca="false">IF(C369="","",IF(OR(C369="ทั้งเฟส",LEFT(C369,4)="ผรม.",LEFT(C369,3)="เขต"),C369,IFERROR(INDEX('Master Plan'!$B$8:$B$27,MATCH(C369,'Master Plan'!$A$8:$A$27,0)),"?")))</f>
        <v/>
      </c>
      <c r="E369" s="118" t="str">
        <f aca="false">IF(C369="","",IF(OR(C369="ทั้งเฟส",LEFT(C369,4)="ผรม.",LEFT(C369,3)="เขต"),C369,IFERROR(INDEX('Master Plan'!$L$8:$L$27,MATCH(C369,'Master Plan'!$A$8:$A$27,0)),"?")))</f>
        <v/>
      </c>
      <c r="F369" s="60"/>
      <c r="G369" s="114"/>
      <c r="H369" s="60"/>
      <c r="I369" s="116"/>
      <c r="J369" s="225"/>
      <c r="K369" s="206" t="str">
        <f aca="false">IF(F369="","",IF(ISNUMBER(I369),I369,IFERROR(VLOOKUP(F369,RW_TBL,2,0),0)))</f>
        <v/>
      </c>
      <c r="L369" s="226" t="str">
        <f aca="false">IF(F369="","",IF(ISNUMBER(J369),J369,IFERROR(VLOOKUP(F369,RW_TBL,3,0),0)))</f>
        <v/>
      </c>
      <c r="M369" s="113"/>
      <c r="N369" s="114"/>
    </row>
    <row r="370" customFormat="false" ht="15" hidden="false" customHeight="false" outlineLevel="0" collapsed="false">
      <c r="A370" s="131" t="str">
        <f aca="false">IF(B370="","",ROW()-6)</f>
        <v/>
      </c>
      <c r="B370" s="207"/>
      <c r="C370" s="60"/>
      <c r="D370" s="131" t="str">
        <f aca="false">IF(C370="","",IF(OR(C370="ทั้งเฟส",LEFT(C370,4)="ผรม.",LEFT(C370,3)="เขต"),C370,IFERROR(INDEX('Master Plan'!$B$8:$B$27,MATCH(C370,'Master Plan'!$A$8:$A$27,0)),"?")))</f>
        <v/>
      </c>
      <c r="E370" s="118" t="str">
        <f aca="false">IF(C370="","",IF(OR(C370="ทั้งเฟส",LEFT(C370,4)="ผรม.",LEFT(C370,3)="เขต"),C370,IFERROR(INDEX('Master Plan'!$L$8:$L$27,MATCH(C370,'Master Plan'!$A$8:$A$27,0)),"?")))</f>
        <v/>
      </c>
      <c r="F370" s="60"/>
      <c r="G370" s="114"/>
      <c r="H370" s="60"/>
      <c r="I370" s="116"/>
      <c r="J370" s="225"/>
      <c r="K370" s="206" t="str">
        <f aca="false">IF(F370="","",IF(ISNUMBER(I370),I370,IFERROR(VLOOKUP(F370,RW_TBL,2,0),0)))</f>
        <v/>
      </c>
      <c r="L370" s="226" t="str">
        <f aca="false">IF(F370="","",IF(ISNUMBER(J370),J370,IFERROR(VLOOKUP(F370,RW_TBL,3,0),0)))</f>
        <v/>
      </c>
      <c r="M370" s="113"/>
      <c r="N370" s="114"/>
    </row>
    <row r="371" customFormat="false" ht="15" hidden="false" customHeight="false" outlineLevel="0" collapsed="false">
      <c r="A371" s="131" t="str">
        <f aca="false">IF(B371="","",ROW()-6)</f>
        <v/>
      </c>
      <c r="B371" s="207"/>
      <c r="C371" s="60"/>
      <c r="D371" s="131" t="str">
        <f aca="false">IF(C371="","",IF(OR(C371="ทั้งเฟส",LEFT(C371,4)="ผรม.",LEFT(C371,3)="เขต"),C371,IFERROR(INDEX('Master Plan'!$B$8:$B$27,MATCH(C371,'Master Plan'!$A$8:$A$27,0)),"?")))</f>
        <v/>
      </c>
      <c r="E371" s="118" t="str">
        <f aca="false">IF(C371="","",IF(OR(C371="ทั้งเฟส",LEFT(C371,4)="ผรม.",LEFT(C371,3)="เขต"),C371,IFERROR(INDEX('Master Plan'!$L$8:$L$27,MATCH(C371,'Master Plan'!$A$8:$A$27,0)),"?")))</f>
        <v/>
      </c>
      <c r="F371" s="60"/>
      <c r="G371" s="114"/>
      <c r="H371" s="60"/>
      <c r="I371" s="116"/>
      <c r="J371" s="225"/>
      <c r="K371" s="206" t="str">
        <f aca="false">IF(F371="","",IF(ISNUMBER(I371),I371,IFERROR(VLOOKUP(F371,RW_TBL,2,0),0)))</f>
        <v/>
      </c>
      <c r="L371" s="226" t="str">
        <f aca="false">IF(F371="","",IF(ISNUMBER(J371),J371,IFERROR(VLOOKUP(F371,RW_TBL,3,0),0)))</f>
        <v/>
      </c>
      <c r="M371" s="113"/>
      <c r="N371" s="114"/>
    </row>
    <row r="372" customFormat="false" ht="15" hidden="false" customHeight="false" outlineLevel="0" collapsed="false">
      <c r="A372" s="131" t="str">
        <f aca="false">IF(B372="","",ROW()-6)</f>
        <v/>
      </c>
      <c r="B372" s="207"/>
      <c r="C372" s="60"/>
      <c r="D372" s="131" t="str">
        <f aca="false">IF(C372="","",IF(OR(C372="ทั้งเฟส",LEFT(C372,4)="ผรม.",LEFT(C372,3)="เขต"),C372,IFERROR(INDEX('Master Plan'!$B$8:$B$27,MATCH(C372,'Master Plan'!$A$8:$A$27,0)),"?")))</f>
        <v/>
      </c>
      <c r="E372" s="118" t="str">
        <f aca="false">IF(C372="","",IF(OR(C372="ทั้งเฟส",LEFT(C372,4)="ผรม.",LEFT(C372,3)="เขต"),C372,IFERROR(INDEX('Master Plan'!$L$8:$L$27,MATCH(C372,'Master Plan'!$A$8:$A$27,0)),"?")))</f>
        <v/>
      </c>
      <c r="F372" s="60"/>
      <c r="G372" s="114"/>
      <c r="H372" s="60"/>
      <c r="I372" s="116"/>
      <c r="J372" s="225"/>
      <c r="K372" s="206" t="str">
        <f aca="false">IF(F372="","",IF(ISNUMBER(I372),I372,IFERROR(VLOOKUP(F372,RW_TBL,2,0),0)))</f>
        <v/>
      </c>
      <c r="L372" s="226" t="str">
        <f aca="false">IF(F372="","",IF(ISNUMBER(J372),J372,IFERROR(VLOOKUP(F372,RW_TBL,3,0),0)))</f>
        <v/>
      </c>
      <c r="M372" s="113"/>
      <c r="N372" s="114"/>
    </row>
    <row r="373" customFormat="false" ht="15" hidden="false" customHeight="false" outlineLevel="0" collapsed="false">
      <c r="A373" s="131" t="str">
        <f aca="false">IF(B373="","",ROW()-6)</f>
        <v/>
      </c>
      <c r="B373" s="207"/>
      <c r="C373" s="60"/>
      <c r="D373" s="131" t="str">
        <f aca="false">IF(C373="","",IF(OR(C373="ทั้งเฟส",LEFT(C373,4)="ผรม.",LEFT(C373,3)="เขต"),C373,IFERROR(INDEX('Master Plan'!$B$8:$B$27,MATCH(C373,'Master Plan'!$A$8:$A$27,0)),"?")))</f>
        <v/>
      </c>
      <c r="E373" s="118" t="str">
        <f aca="false">IF(C373="","",IF(OR(C373="ทั้งเฟส",LEFT(C373,4)="ผรม.",LEFT(C373,3)="เขต"),C373,IFERROR(INDEX('Master Plan'!$L$8:$L$27,MATCH(C373,'Master Plan'!$A$8:$A$27,0)),"?")))</f>
        <v/>
      </c>
      <c r="F373" s="60"/>
      <c r="G373" s="114"/>
      <c r="H373" s="60"/>
      <c r="I373" s="116"/>
      <c r="J373" s="225"/>
      <c r="K373" s="206" t="str">
        <f aca="false">IF(F373="","",IF(ISNUMBER(I373),I373,IFERROR(VLOOKUP(F373,RW_TBL,2,0),0)))</f>
        <v/>
      </c>
      <c r="L373" s="226" t="str">
        <f aca="false">IF(F373="","",IF(ISNUMBER(J373),J373,IFERROR(VLOOKUP(F373,RW_TBL,3,0),0)))</f>
        <v/>
      </c>
      <c r="M373" s="113"/>
      <c r="N373" s="114"/>
    </row>
    <row r="374" customFormat="false" ht="15" hidden="false" customHeight="false" outlineLevel="0" collapsed="false">
      <c r="A374" s="131" t="str">
        <f aca="false">IF(B374="","",ROW()-6)</f>
        <v/>
      </c>
      <c r="B374" s="207"/>
      <c r="C374" s="60"/>
      <c r="D374" s="131" t="str">
        <f aca="false">IF(C374="","",IF(OR(C374="ทั้งเฟส",LEFT(C374,4)="ผรม.",LEFT(C374,3)="เขต"),C374,IFERROR(INDEX('Master Plan'!$B$8:$B$27,MATCH(C374,'Master Plan'!$A$8:$A$27,0)),"?")))</f>
        <v/>
      </c>
      <c r="E374" s="118" t="str">
        <f aca="false">IF(C374="","",IF(OR(C374="ทั้งเฟส",LEFT(C374,4)="ผรม.",LEFT(C374,3)="เขต"),C374,IFERROR(INDEX('Master Plan'!$L$8:$L$27,MATCH(C374,'Master Plan'!$A$8:$A$27,0)),"?")))</f>
        <v/>
      </c>
      <c r="F374" s="60"/>
      <c r="G374" s="114"/>
      <c r="H374" s="60"/>
      <c r="I374" s="116"/>
      <c r="J374" s="225"/>
      <c r="K374" s="206" t="str">
        <f aca="false">IF(F374="","",IF(ISNUMBER(I374),I374,IFERROR(VLOOKUP(F374,RW_TBL,2,0),0)))</f>
        <v/>
      </c>
      <c r="L374" s="226" t="str">
        <f aca="false">IF(F374="","",IF(ISNUMBER(J374),J374,IFERROR(VLOOKUP(F374,RW_TBL,3,0),0)))</f>
        <v/>
      </c>
      <c r="M374" s="113"/>
      <c r="N374" s="114"/>
    </row>
    <row r="375" customFormat="false" ht="15" hidden="false" customHeight="false" outlineLevel="0" collapsed="false">
      <c r="A375" s="131" t="str">
        <f aca="false">IF(B375="","",ROW()-6)</f>
        <v/>
      </c>
      <c r="B375" s="207"/>
      <c r="C375" s="60"/>
      <c r="D375" s="131" t="str">
        <f aca="false">IF(C375="","",IF(OR(C375="ทั้งเฟส",LEFT(C375,4)="ผรม.",LEFT(C375,3)="เขต"),C375,IFERROR(INDEX('Master Plan'!$B$8:$B$27,MATCH(C375,'Master Plan'!$A$8:$A$27,0)),"?")))</f>
        <v/>
      </c>
      <c r="E375" s="118" t="str">
        <f aca="false">IF(C375="","",IF(OR(C375="ทั้งเฟส",LEFT(C375,4)="ผรม.",LEFT(C375,3)="เขต"),C375,IFERROR(INDEX('Master Plan'!$L$8:$L$27,MATCH(C375,'Master Plan'!$A$8:$A$27,0)),"?")))</f>
        <v/>
      </c>
      <c r="F375" s="60"/>
      <c r="G375" s="114"/>
      <c r="H375" s="60"/>
      <c r="I375" s="116"/>
      <c r="J375" s="225"/>
      <c r="K375" s="206" t="str">
        <f aca="false">IF(F375="","",IF(ISNUMBER(I375),I375,IFERROR(VLOOKUP(F375,RW_TBL,2,0),0)))</f>
        <v/>
      </c>
      <c r="L375" s="226" t="str">
        <f aca="false">IF(F375="","",IF(ISNUMBER(J375),J375,IFERROR(VLOOKUP(F375,RW_TBL,3,0),0)))</f>
        <v/>
      </c>
      <c r="M375" s="113"/>
      <c r="N375" s="114"/>
    </row>
    <row r="376" customFormat="false" ht="15" hidden="false" customHeight="false" outlineLevel="0" collapsed="false">
      <c r="A376" s="131" t="str">
        <f aca="false">IF(B376="","",ROW()-6)</f>
        <v/>
      </c>
      <c r="B376" s="207"/>
      <c r="C376" s="60"/>
      <c r="D376" s="131" t="str">
        <f aca="false">IF(C376="","",IF(OR(C376="ทั้งเฟส",LEFT(C376,4)="ผรม.",LEFT(C376,3)="เขต"),C376,IFERROR(INDEX('Master Plan'!$B$8:$B$27,MATCH(C376,'Master Plan'!$A$8:$A$27,0)),"?")))</f>
        <v/>
      </c>
      <c r="E376" s="118" t="str">
        <f aca="false">IF(C376="","",IF(OR(C376="ทั้งเฟส",LEFT(C376,4)="ผรม.",LEFT(C376,3)="เขต"),C376,IFERROR(INDEX('Master Plan'!$L$8:$L$27,MATCH(C376,'Master Plan'!$A$8:$A$27,0)),"?")))</f>
        <v/>
      </c>
      <c r="F376" s="60"/>
      <c r="G376" s="114"/>
      <c r="H376" s="60"/>
      <c r="I376" s="116"/>
      <c r="J376" s="225"/>
      <c r="K376" s="206" t="str">
        <f aca="false">IF(F376="","",IF(ISNUMBER(I376),I376,IFERROR(VLOOKUP(F376,RW_TBL,2,0),0)))</f>
        <v/>
      </c>
      <c r="L376" s="226" t="str">
        <f aca="false">IF(F376="","",IF(ISNUMBER(J376),J376,IFERROR(VLOOKUP(F376,RW_TBL,3,0),0)))</f>
        <v/>
      </c>
      <c r="M376" s="113"/>
      <c r="N376" s="114"/>
    </row>
    <row r="377" customFormat="false" ht="15" hidden="false" customHeight="false" outlineLevel="0" collapsed="false">
      <c r="A377" s="131" t="str">
        <f aca="false">IF(B377="","",ROW()-6)</f>
        <v/>
      </c>
      <c r="B377" s="207"/>
      <c r="C377" s="60"/>
      <c r="D377" s="131" t="str">
        <f aca="false">IF(C377="","",IF(OR(C377="ทั้งเฟส",LEFT(C377,4)="ผรม.",LEFT(C377,3)="เขต"),C377,IFERROR(INDEX('Master Plan'!$B$8:$B$27,MATCH(C377,'Master Plan'!$A$8:$A$27,0)),"?")))</f>
        <v/>
      </c>
      <c r="E377" s="118" t="str">
        <f aca="false">IF(C377="","",IF(OR(C377="ทั้งเฟส",LEFT(C377,4)="ผรม.",LEFT(C377,3)="เขต"),C377,IFERROR(INDEX('Master Plan'!$L$8:$L$27,MATCH(C377,'Master Plan'!$A$8:$A$27,0)),"?")))</f>
        <v/>
      </c>
      <c r="F377" s="60"/>
      <c r="G377" s="114"/>
      <c r="H377" s="60"/>
      <c r="I377" s="116"/>
      <c r="J377" s="225"/>
      <c r="K377" s="206" t="str">
        <f aca="false">IF(F377="","",IF(ISNUMBER(I377),I377,IFERROR(VLOOKUP(F377,RW_TBL,2,0),0)))</f>
        <v/>
      </c>
      <c r="L377" s="226" t="str">
        <f aca="false">IF(F377="","",IF(ISNUMBER(J377),J377,IFERROR(VLOOKUP(F377,RW_TBL,3,0),0)))</f>
        <v/>
      </c>
      <c r="M377" s="113"/>
      <c r="N377" s="114"/>
    </row>
    <row r="378" customFormat="false" ht="15" hidden="false" customHeight="false" outlineLevel="0" collapsed="false">
      <c r="A378" s="131" t="str">
        <f aca="false">IF(B378="","",ROW()-6)</f>
        <v/>
      </c>
      <c r="B378" s="207"/>
      <c r="C378" s="60"/>
      <c r="D378" s="131" t="str">
        <f aca="false">IF(C378="","",IF(OR(C378="ทั้งเฟส",LEFT(C378,4)="ผรม.",LEFT(C378,3)="เขต"),C378,IFERROR(INDEX('Master Plan'!$B$8:$B$27,MATCH(C378,'Master Plan'!$A$8:$A$27,0)),"?")))</f>
        <v/>
      </c>
      <c r="E378" s="118" t="str">
        <f aca="false">IF(C378="","",IF(OR(C378="ทั้งเฟส",LEFT(C378,4)="ผรม.",LEFT(C378,3)="เขต"),C378,IFERROR(INDEX('Master Plan'!$L$8:$L$27,MATCH(C378,'Master Plan'!$A$8:$A$27,0)),"?")))</f>
        <v/>
      </c>
      <c r="F378" s="60"/>
      <c r="G378" s="114"/>
      <c r="H378" s="60"/>
      <c r="I378" s="116"/>
      <c r="J378" s="225"/>
      <c r="K378" s="206" t="str">
        <f aca="false">IF(F378="","",IF(ISNUMBER(I378),I378,IFERROR(VLOOKUP(F378,RW_TBL,2,0),0)))</f>
        <v/>
      </c>
      <c r="L378" s="226" t="str">
        <f aca="false">IF(F378="","",IF(ISNUMBER(J378),J378,IFERROR(VLOOKUP(F378,RW_TBL,3,0),0)))</f>
        <v/>
      </c>
      <c r="M378" s="113"/>
      <c r="N378" s="114"/>
    </row>
    <row r="379" customFormat="false" ht="15" hidden="false" customHeight="false" outlineLevel="0" collapsed="false">
      <c r="A379" s="131" t="str">
        <f aca="false">IF(B379="","",ROW()-6)</f>
        <v/>
      </c>
      <c r="B379" s="207"/>
      <c r="C379" s="60"/>
      <c r="D379" s="131" t="str">
        <f aca="false">IF(C379="","",IF(OR(C379="ทั้งเฟส",LEFT(C379,4)="ผรม.",LEFT(C379,3)="เขต"),C379,IFERROR(INDEX('Master Plan'!$B$8:$B$27,MATCH(C379,'Master Plan'!$A$8:$A$27,0)),"?")))</f>
        <v/>
      </c>
      <c r="E379" s="118" t="str">
        <f aca="false">IF(C379="","",IF(OR(C379="ทั้งเฟส",LEFT(C379,4)="ผรม.",LEFT(C379,3)="เขต"),C379,IFERROR(INDEX('Master Plan'!$L$8:$L$27,MATCH(C379,'Master Plan'!$A$8:$A$27,0)),"?")))</f>
        <v/>
      </c>
      <c r="F379" s="60"/>
      <c r="G379" s="114"/>
      <c r="H379" s="60"/>
      <c r="I379" s="116"/>
      <c r="J379" s="225"/>
      <c r="K379" s="206" t="str">
        <f aca="false">IF(F379="","",IF(ISNUMBER(I379),I379,IFERROR(VLOOKUP(F379,RW_TBL,2,0),0)))</f>
        <v/>
      </c>
      <c r="L379" s="226" t="str">
        <f aca="false">IF(F379="","",IF(ISNUMBER(J379),J379,IFERROR(VLOOKUP(F379,RW_TBL,3,0),0)))</f>
        <v/>
      </c>
      <c r="M379" s="113"/>
      <c r="N379" s="114"/>
    </row>
    <row r="380" customFormat="false" ht="15" hidden="false" customHeight="false" outlineLevel="0" collapsed="false">
      <c r="A380" s="131" t="str">
        <f aca="false">IF(B380="","",ROW()-6)</f>
        <v/>
      </c>
      <c r="B380" s="207"/>
      <c r="C380" s="60"/>
      <c r="D380" s="131" t="str">
        <f aca="false">IF(C380="","",IF(OR(C380="ทั้งเฟส",LEFT(C380,4)="ผรม.",LEFT(C380,3)="เขต"),C380,IFERROR(INDEX('Master Plan'!$B$8:$B$27,MATCH(C380,'Master Plan'!$A$8:$A$27,0)),"?")))</f>
        <v/>
      </c>
      <c r="E380" s="118" t="str">
        <f aca="false">IF(C380="","",IF(OR(C380="ทั้งเฟส",LEFT(C380,4)="ผรม.",LEFT(C380,3)="เขต"),C380,IFERROR(INDEX('Master Plan'!$L$8:$L$27,MATCH(C380,'Master Plan'!$A$8:$A$27,0)),"?")))</f>
        <v/>
      </c>
      <c r="F380" s="60"/>
      <c r="G380" s="114"/>
      <c r="H380" s="60"/>
      <c r="I380" s="116"/>
      <c r="J380" s="225"/>
      <c r="K380" s="206" t="str">
        <f aca="false">IF(F380="","",IF(ISNUMBER(I380),I380,IFERROR(VLOOKUP(F380,RW_TBL,2,0),0)))</f>
        <v/>
      </c>
      <c r="L380" s="226" t="str">
        <f aca="false">IF(F380="","",IF(ISNUMBER(J380),J380,IFERROR(VLOOKUP(F380,RW_TBL,3,0),0)))</f>
        <v/>
      </c>
      <c r="M380" s="113"/>
      <c r="N380" s="114"/>
    </row>
    <row r="381" customFormat="false" ht="15" hidden="false" customHeight="false" outlineLevel="0" collapsed="false">
      <c r="A381" s="131" t="str">
        <f aca="false">IF(B381="","",ROW()-6)</f>
        <v/>
      </c>
      <c r="B381" s="207"/>
      <c r="C381" s="60"/>
      <c r="D381" s="131" t="str">
        <f aca="false">IF(C381="","",IF(OR(C381="ทั้งเฟส",LEFT(C381,4)="ผรม.",LEFT(C381,3)="เขต"),C381,IFERROR(INDEX('Master Plan'!$B$8:$B$27,MATCH(C381,'Master Plan'!$A$8:$A$27,0)),"?")))</f>
        <v/>
      </c>
      <c r="E381" s="118" t="str">
        <f aca="false">IF(C381="","",IF(OR(C381="ทั้งเฟส",LEFT(C381,4)="ผรม.",LEFT(C381,3)="เขต"),C381,IFERROR(INDEX('Master Plan'!$L$8:$L$27,MATCH(C381,'Master Plan'!$A$8:$A$27,0)),"?")))</f>
        <v/>
      </c>
      <c r="F381" s="60"/>
      <c r="G381" s="114"/>
      <c r="H381" s="60"/>
      <c r="I381" s="116"/>
      <c r="J381" s="225"/>
      <c r="K381" s="206" t="str">
        <f aca="false">IF(F381="","",IF(ISNUMBER(I381),I381,IFERROR(VLOOKUP(F381,RW_TBL,2,0),0)))</f>
        <v/>
      </c>
      <c r="L381" s="226" t="str">
        <f aca="false">IF(F381="","",IF(ISNUMBER(J381),J381,IFERROR(VLOOKUP(F381,RW_TBL,3,0),0)))</f>
        <v/>
      </c>
      <c r="M381" s="113"/>
      <c r="N381" s="114"/>
    </row>
    <row r="382" customFormat="false" ht="15" hidden="false" customHeight="false" outlineLevel="0" collapsed="false">
      <c r="A382" s="131" t="str">
        <f aca="false">IF(B382="","",ROW()-6)</f>
        <v/>
      </c>
      <c r="B382" s="207"/>
      <c r="C382" s="60"/>
      <c r="D382" s="131" t="str">
        <f aca="false">IF(C382="","",IF(OR(C382="ทั้งเฟส",LEFT(C382,4)="ผรม.",LEFT(C382,3)="เขต"),C382,IFERROR(INDEX('Master Plan'!$B$8:$B$27,MATCH(C382,'Master Plan'!$A$8:$A$27,0)),"?")))</f>
        <v/>
      </c>
      <c r="E382" s="118" t="str">
        <f aca="false">IF(C382="","",IF(OR(C382="ทั้งเฟส",LEFT(C382,4)="ผรม.",LEFT(C382,3)="เขต"),C382,IFERROR(INDEX('Master Plan'!$L$8:$L$27,MATCH(C382,'Master Plan'!$A$8:$A$27,0)),"?")))</f>
        <v/>
      </c>
      <c r="F382" s="60"/>
      <c r="G382" s="114"/>
      <c r="H382" s="60"/>
      <c r="I382" s="116"/>
      <c r="J382" s="225"/>
      <c r="K382" s="206" t="str">
        <f aca="false">IF(F382="","",IF(ISNUMBER(I382),I382,IFERROR(VLOOKUP(F382,RW_TBL,2,0),0)))</f>
        <v/>
      </c>
      <c r="L382" s="226" t="str">
        <f aca="false">IF(F382="","",IF(ISNUMBER(J382),J382,IFERROR(VLOOKUP(F382,RW_TBL,3,0),0)))</f>
        <v/>
      </c>
      <c r="M382" s="113"/>
      <c r="N382" s="114"/>
    </row>
    <row r="383" customFormat="false" ht="15" hidden="false" customHeight="false" outlineLevel="0" collapsed="false">
      <c r="A383" s="131" t="str">
        <f aca="false">IF(B383="","",ROW()-6)</f>
        <v/>
      </c>
      <c r="B383" s="207"/>
      <c r="C383" s="60"/>
      <c r="D383" s="131" t="str">
        <f aca="false">IF(C383="","",IF(OR(C383="ทั้งเฟส",LEFT(C383,4)="ผรม.",LEFT(C383,3)="เขต"),C383,IFERROR(INDEX('Master Plan'!$B$8:$B$27,MATCH(C383,'Master Plan'!$A$8:$A$27,0)),"?")))</f>
        <v/>
      </c>
      <c r="E383" s="118" t="str">
        <f aca="false">IF(C383="","",IF(OR(C383="ทั้งเฟส",LEFT(C383,4)="ผรม.",LEFT(C383,3)="เขต"),C383,IFERROR(INDEX('Master Plan'!$L$8:$L$27,MATCH(C383,'Master Plan'!$A$8:$A$27,0)),"?")))</f>
        <v/>
      </c>
      <c r="F383" s="60"/>
      <c r="G383" s="114"/>
      <c r="H383" s="60"/>
      <c r="I383" s="116"/>
      <c r="J383" s="225"/>
      <c r="K383" s="206" t="str">
        <f aca="false">IF(F383="","",IF(ISNUMBER(I383),I383,IFERROR(VLOOKUP(F383,RW_TBL,2,0),0)))</f>
        <v/>
      </c>
      <c r="L383" s="226" t="str">
        <f aca="false">IF(F383="","",IF(ISNUMBER(J383),J383,IFERROR(VLOOKUP(F383,RW_TBL,3,0),0)))</f>
        <v/>
      </c>
      <c r="M383" s="113"/>
      <c r="N383" s="114"/>
    </row>
    <row r="384" customFormat="false" ht="15" hidden="false" customHeight="false" outlineLevel="0" collapsed="false">
      <c r="A384" s="131" t="str">
        <f aca="false">IF(B384="","",ROW()-6)</f>
        <v/>
      </c>
      <c r="B384" s="207"/>
      <c r="C384" s="60"/>
      <c r="D384" s="131" t="str">
        <f aca="false">IF(C384="","",IF(OR(C384="ทั้งเฟส",LEFT(C384,4)="ผรม.",LEFT(C384,3)="เขต"),C384,IFERROR(INDEX('Master Plan'!$B$8:$B$27,MATCH(C384,'Master Plan'!$A$8:$A$27,0)),"?")))</f>
        <v/>
      </c>
      <c r="E384" s="118" t="str">
        <f aca="false">IF(C384="","",IF(OR(C384="ทั้งเฟส",LEFT(C384,4)="ผรม.",LEFT(C384,3)="เขต"),C384,IFERROR(INDEX('Master Plan'!$L$8:$L$27,MATCH(C384,'Master Plan'!$A$8:$A$27,0)),"?")))</f>
        <v/>
      </c>
      <c r="F384" s="60"/>
      <c r="G384" s="114"/>
      <c r="H384" s="60"/>
      <c r="I384" s="116"/>
      <c r="J384" s="225"/>
      <c r="K384" s="206" t="str">
        <f aca="false">IF(F384="","",IF(ISNUMBER(I384),I384,IFERROR(VLOOKUP(F384,RW_TBL,2,0),0)))</f>
        <v/>
      </c>
      <c r="L384" s="226" t="str">
        <f aca="false">IF(F384="","",IF(ISNUMBER(J384),J384,IFERROR(VLOOKUP(F384,RW_TBL,3,0),0)))</f>
        <v/>
      </c>
      <c r="M384" s="113"/>
      <c r="N384" s="114"/>
    </row>
    <row r="385" customFormat="false" ht="15" hidden="false" customHeight="false" outlineLevel="0" collapsed="false">
      <c r="A385" s="131" t="str">
        <f aca="false">IF(B385="","",ROW()-6)</f>
        <v/>
      </c>
      <c r="B385" s="207"/>
      <c r="C385" s="60"/>
      <c r="D385" s="131" t="str">
        <f aca="false">IF(C385="","",IF(OR(C385="ทั้งเฟส",LEFT(C385,4)="ผรม.",LEFT(C385,3)="เขต"),C385,IFERROR(INDEX('Master Plan'!$B$8:$B$27,MATCH(C385,'Master Plan'!$A$8:$A$27,0)),"?")))</f>
        <v/>
      </c>
      <c r="E385" s="118" t="str">
        <f aca="false">IF(C385="","",IF(OR(C385="ทั้งเฟส",LEFT(C385,4)="ผรม.",LEFT(C385,3)="เขต"),C385,IFERROR(INDEX('Master Plan'!$L$8:$L$27,MATCH(C385,'Master Plan'!$A$8:$A$27,0)),"?")))</f>
        <v/>
      </c>
      <c r="F385" s="60"/>
      <c r="G385" s="114"/>
      <c r="H385" s="60"/>
      <c r="I385" s="116"/>
      <c r="J385" s="225"/>
      <c r="K385" s="206" t="str">
        <f aca="false">IF(F385="","",IF(ISNUMBER(I385),I385,IFERROR(VLOOKUP(F385,RW_TBL,2,0),0)))</f>
        <v/>
      </c>
      <c r="L385" s="226" t="str">
        <f aca="false">IF(F385="","",IF(ISNUMBER(J385),J385,IFERROR(VLOOKUP(F385,RW_TBL,3,0),0)))</f>
        <v/>
      </c>
      <c r="M385" s="113"/>
      <c r="N385" s="114"/>
    </row>
    <row r="386" customFormat="false" ht="15" hidden="false" customHeight="false" outlineLevel="0" collapsed="false">
      <c r="A386" s="131" t="str">
        <f aca="false">IF(B386="","",ROW()-6)</f>
        <v/>
      </c>
      <c r="B386" s="207"/>
      <c r="C386" s="60"/>
      <c r="D386" s="131" t="str">
        <f aca="false">IF(C386="","",IF(OR(C386="ทั้งเฟส",LEFT(C386,4)="ผรม.",LEFT(C386,3)="เขต"),C386,IFERROR(INDEX('Master Plan'!$B$8:$B$27,MATCH(C386,'Master Plan'!$A$8:$A$27,0)),"?")))</f>
        <v/>
      </c>
      <c r="E386" s="118" t="str">
        <f aca="false">IF(C386="","",IF(OR(C386="ทั้งเฟส",LEFT(C386,4)="ผรม.",LEFT(C386,3)="เขต"),C386,IFERROR(INDEX('Master Plan'!$L$8:$L$27,MATCH(C386,'Master Plan'!$A$8:$A$27,0)),"?")))</f>
        <v/>
      </c>
      <c r="F386" s="60"/>
      <c r="G386" s="114"/>
      <c r="H386" s="60"/>
      <c r="I386" s="116"/>
      <c r="J386" s="225"/>
      <c r="K386" s="206" t="str">
        <f aca="false">IF(F386="","",IF(ISNUMBER(I386),I386,IFERROR(VLOOKUP(F386,RW_TBL,2,0),0)))</f>
        <v/>
      </c>
      <c r="L386" s="226" t="str">
        <f aca="false">IF(F386="","",IF(ISNUMBER(J386),J386,IFERROR(VLOOKUP(F386,RW_TBL,3,0),0)))</f>
        <v/>
      </c>
      <c r="M386" s="113"/>
      <c r="N386" s="114"/>
    </row>
    <row r="387" customFormat="false" ht="15" hidden="false" customHeight="false" outlineLevel="0" collapsed="false">
      <c r="A387" s="131" t="str">
        <f aca="false">IF(B387="","",ROW()-6)</f>
        <v/>
      </c>
      <c r="B387" s="207"/>
      <c r="C387" s="60"/>
      <c r="D387" s="131" t="str">
        <f aca="false">IF(C387="","",IF(OR(C387="ทั้งเฟส",LEFT(C387,4)="ผรม.",LEFT(C387,3)="เขต"),C387,IFERROR(INDEX('Master Plan'!$B$8:$B$27,MATCH(C387,'Master Plan'!$A$8:$A$27,0)),"?")))</f>
        <v/>
      </c>
      <c r="E387" s="118" t="str">
        <f aca="false">IF(C387="","",IF(OR(C387="ทั้งเฟส",LEFT(C387,4)="ผรม.",LEFT(C387,3)="เขต"),C387,IFERROR(INDEX('Master Plan'!$L$8:$L$27,MATCH(C387,'Master Plan'!$A$8:$A$27,0)),"?")))</f>
        <v/>
      </c>
      <c r="F387" s="60"/>
      <c r="G387" s="114"/>
      <c r="H387" s="60"/>
      <c r="I387" s="116"/>
      <c r="J387" s="225"/>
      <c r="K387" s="206" t="str">
        <f aca="false">IF(F387="","",IF(ISNUMBER(I387),I387,IFERROR(VLOOKUP(F387,RW_TBL,2,0),0)))</f>
        <v/>
      </c>
      <c r="L387" s="226" t="str">
        <f aca="false">IF(F387="","",IF(ISNUMBER(J387),J387,IFERROR(VLOOKUP(F387,RW_TBL,3,0),0)))</f>
        <v/>
      </c>
      <c r="M387" s="113"/>
      <c r="N387" s="114"/>
    </row>
    <row r="388" customFormat="false" ht="15" hidden="false" customHeight="false" outlineLevel="0" collapsed="false">
      <c r="A388" s="131" t="str">
        <f aca="false">IF(B388="","",ROW()-6)</f>
        <v/>
      </c>
      <c r="B388" s="207"/>
      <c r="C388" s="60"/>
      <c r="D388" s="131" t="str">
        <f aca="false">IF(C388="","",IF(OR(C388="ทั้งเฟส",LEFT(C388,4)="ผรม.",LEFT(C388,3)="เขต"),C388,IFERROR(INDEX('Master Plan'!$B$8:$B$27,MATCH(C388,'Master Plan'!$A$8:$A$27,0)),"?")))</f>
        <v/>
      </c>
      <c r="E388" s="118" t="str">
        <f aca="false">IF(C388="","",IF(OR(C388="ทั้งเฟส",LEFT(C388,4)="ผรม.",LEFT(C388,3)="เขต"),C388,IFERROR(INDEX('Master Plan'!$L$8:$L$27,MATCH(C388,'Master Plan'!$A$8:$A$27,0)),"?")))</f>
        <v/>
      </c>
      <c r="F388" s="60"/>
      <c r="G388" s="114"/>
      <c r="H388" s="60"/>
      <c r="I388" s="116"/>
      <c r="J388" s="225"/>
      <c r="K388" s="206" t="str">
        <f aca="false">IF(F388="","",IF(ISNUMBER(I388),I388,IFERROR(VLOOKUP(F388,RW_TBL,2,0),0)))</f>
        <v/>
      </c>
      <c r="L388" s="226" t="str">
        <f aca="false">IF(F388="","",IF(ISNUMBER(J388),J388,IFERROR(VLOOKUP(F388,RW_TBL,3,0),0)))</f>
        <v/>
      </c>
      <c r="M388" s="113"/>
      <c r="N388" s="114"/>
    </row>
    <row r="389" customFormat="false" ht="15" hidden="false" customHeight="false" outlineLevel="0" collapsed="false">
      <c r="A389" s="131" t="str">
        <f aca="false">IF(B389="","",ROW()-6)</f>
        <v/>
      </c>
      <c r="B389" s="207"/>
      <c r="C389" s="60"/>
      <c r="D389" s="131" t="str">
        <f aca="false">IF(C389="","",IF(OR(C389="ทั้งเฟส",LEFT(C389,4)="ผรม.",LEFT(C389,3)="เขต"),C389,IFERROR(INDEX('Master Plan'!$B$8:$B$27,MATCH(C389,'Master Plan'!$A$8:$A$27,0)),"?")))</f>
        <v/>
      </c>
      <c r="E389" s="118" t="str">
        <f aca="false">IF(C389="","",IF(OR(C389="ทั้งเฟส",LEFT(C389,4)="ผรม.",LEFT(C389,3)="เขต"),C389,IFERROR(INDEX('Master Plan'!$L$8:$L$27,MATCH(C389,'Master Plan'!$A$8:$A$27,0)),"?")))</f>
        <v/>
      </c>
      <c r="F389" s="60"/>
      <c r="G389" s="114"/>
      <c r="H389" s="60"/>
      <c r="I389" s="116"/>
      <c r="J389" s="225"/>
      <c r="K389" s="206" t="str">
        <f aca="false">IF(F389="","",IF(ISNUMBER(I389),I389,IFERROR(VLOOKUP(F389,RW_TBL,2,0),0)))</f>
        <v/>
      </c>
      <c r="L389" s="226" t="str">
        <f aca="false">IF(F389="","",IF(ISNUMBER(J389),J389,IFERROR(VLOOKUP(F389,RW_TBL,3,0),0)))</f>
        <v/>
      </c>
      <c r="M389" s="113"/>
      <c r="N389" s="114"/>
    </row>
    <row r="390" customFormat="false" ht="15" hidden="false" customHeight="false" outlineLevel="0" collapsed="false">
      <c r="A390" s="131" t="str">
        <f aca="false">IF(B390="","",ROW()-6)</f>
        <v/>
      </c>
      <c r="B390" s="207"/>
      <c r="C390" s="60"/>
      <c r="D390" s="131" t="str">
        <f aca="false">IF(C390="","",IF(OR(C390="ทั้งเฟส",LEFT(C390,4)="ผรม.",LEFT(C390,3)="เขต"),C390,IFERROR(INDEX('Master Plan'!$B$8:$B$27,MATCH(C390,'Master Plan'!$A$8:$A$27,0)),"?")))</f>
        <v/>
      </c>
      <c r="E390" s="118" t="str">
        <f aca="false">IF(C390="","",IF(OR(C390="ทั้งเฟส",LEFT(C390,4)="ผรม.",LEFT(C390,3)="เขต"),C390,IFERROR(INDEX('Master Plan'!$L$8:$L$27,MATCH(C390,'Master Plan'!$A$8:$A$27,0)),"?")))</f>
        <v/>
      </c>
      <c r="F390" s="60"/>
      <c r="G390" s="114"/>
      <c r="H390" s="60"/>
      <c r="I390" s="116"/>
      <c r="J390" s="225"/>
      <c r="K390" s="206" t="str">
        <f aca="false">IF(F390="","",IF(ISNUMBER(I390),I390,IFERROR(VLOOKUP(F390,RW_TBL,2,0),0)))</f>
        <v/>
      </c>
      <c r="L390" s="226" t="str">
        <f aca="false">IF(F390="","",IF(ISNUMBER(J390),J390,IFERROR(VLOOKUP(F390,RW_TBL,3,0),0)))</f>
        <v/>
      </c>
      <c r="M390" s="113"/>
      <c r="N390" s="114"/>
    </row>
    <row r="391" customFormat="false" ht="15" hidden="false" customHeight="false" outlineLevel="0" collapsed="false">
      <c r="A391" s="131" t="str">
        <f aca="false">IF(B391="","",ROW()-6)</f>
        <v/>
      </c>
      <c r="B391" s="207"/>
      <c r="C391" s="60"/>
      <c r="D391" s="131" t="str">
        <f aca="false">IF(C391="","",IF(OR(C391="ทั้งเฟส",LEFT(C391,4)="ผรม.",LEFT(C391,3)="เขต"),C391,IFERROR(INDEX('Master Plan'!$B$8:$B$27,MATCH(C391,'Master Plan'!$A$8:$A$27,0)),"?")))</f>
        <v/>
      </c>
      <c r="E391" s="118" t="str">
        <f aca="false">IF(C391="","",IF(OR(C391="ทั้งเฟส",LEFT(C391,4)="ผรม.",LEFT(C391,3)="เขต"),C391,IFERROR(INDEX('Master Plan'!$L$8:$L$27,MATCH(C391,'Master Plan'!$A$8:$A$27,0)),"?")))</f>
        <v/>
      </c>
      <c r="F391" s="60"/>
      <c r="G391" s="114"/>
      <c r="H391" s="60"/>
      <c r="I391" s="116"/>
      <c r="J391" s="225"/>
      <c r="K391" s="206" t="str">
        <f aca="false">IF(F391="","",IF(ISNUMBER(I391),I391,IFERROR(VLOOKUP(F391,RW_TBL,2,0),0)))</f>
        <v/>
      </c>
      <c r="L391" s="226" t="str">
        <f aca="false">IF(F391="","",IF(ISNUMBER(J391),J391,IFERROR(VLOOKUP(F391,RW_TBL,3,0),0)))</f>
        <v/>
      </c>
      <c r="M391" s="113"/>
      <c r="N391" s="114"/>
    </row>
    <row r="392" customFormat="false" ht="15" hidden="false" customHeight="false" outlineLevel="0" collapsed="false">
      <c r="A392" s="131" t="str">
        <f aca="false">IF(B392="","",ROW()-6)</f>
        <v/>
      </c>
      <c r="B392" s="207"/>
      <c r="C392" s="60"/>
      <c r="D392" s="131" t="str">
        <f aca="false">IF(C392="","",IF(OR(C392="ทั้งเฟส",LEFT(C392,4)="ผรม.",LEFT(C392,3)="เขต"),C392,IFERROR(INDEX('Master Plan'!$B$8:$B$27,MATCH(C392,'Master Plan'!$A$8:$A$27,0)),"?")))</f>
        <v/>
      </c>
      <c r="E392" s="118" t="str">
        <f aca="false">IF(C392="","",IF(OR(C392="ทั้งเฟส",LEFT(C392,4)="ผรม.",LEFT(C392,3)="เขต"),C392,IFERROR(INDEX('Master Plan'!$L$8:$L$27,MATCH(C392,'Master Plan'!$A$8:$A$27,0)),"?")))</f>
        <v/>
      </c>
      <c r="F392" s="60"/>
      <c r="G392" s="114"/>
      <c r="H392" s="60"/>
      <c r="I392" s="116"/>
      <c r="J392" s="225"/>
      <c r="K392" s="206" t="str">
        <f aca="false">IF(F392="","",IF(ISNUMBER(I392),I392,IFERROR(VLOOKUP(F392,RW_TBL,2,0),0)))</f>
        <v/>
      </c>
      <c r="L392" s="226" t="str">
        <f aca="false">IF(F392="","",IF(ISNUMBER(J392),J392,IFERROR(VLOOKUP(F392,RW_TBL,3,0),0)))</f>
        <v/>
      </c>
      <c r="M392" s="113"/>
      <c r="N392" s="114"/>
    </row>
    <row r="393" customFormat="false" ht="15" hidden="false" customHeight="false" outlineLevel="0" collapsed="false">
      <c r="A393" s="131" t="str">
        <f aca="false">IF(B393="","",ROW()-6)</f>
        <v/>
      </c>
      <c r="B393" s="207"/>
      <c r="C393" s="60"/>
      <c r="D393" s="131" t="str">
        <f aca="false">IF(C393="","",IF(OR(C393="ทั้งเฟส",LEFT(C393,4)="ผรม.",LEFT(C393,3)="เขต"),C393,IFERROR(INDEX('Master Plan'!$B$8:$B$27,MATCH(C393,'Master Plan'!$A$8:$A$27,0)),"?")))</f>
        <v/>
      </c>
      <c r="E393" s="118" t="str">
        <f aca="false">IF(C393="","",IF(OR(C393="ทั้งเฟส",LEFT(C393,4)="ผรม.",LEFT(C393,3)="เขต"),C393,IFERROR(INDEX('Master Plan'!$L$8:$L$27,MATCH(C393,'Master Plan'!$A$8:$A$27,0)),"?")))</f>
        <v/>
      </c>
      <c r="F393" s="60"/>
      <c r="G393" s="114"/>
      <c r="H393" s="60"/>
      <c r="I393" s="116"/>
      <c r="J393" s="225"/>
      <c r="K393" s="206" t="str">
        <f aca="false">IF(F393="","",IF(ISNUMBER(I393),I393,IFERROR(VLOOKUP(F393,RW_TBL,2,0),0)))</f>
        <v/>
      </c>
      <c r="L393" s="226" t="str">
        <f aca="false">IF(F393="","",IF(ISNUMBER(J393),J393,IFERROR(VLOOKUP(F393,RW_TBL,3,0),0)))</f>
        <v/>
      </c>
      <c r="M393" s="113"/>
      <c r="N393" s="114"/>
    </row>
    <row r="394" customFormat="false" ht="15" hidden="false" customHeight="false" outlineLevel="0" collapsed="false">
      <c r="A394" s="131" t="str">
        <f aca="false">IF(B394="","",ROW()-6)</f>
        <v/>
      </c>
      <c r="B394" s="207"/>
      <c r="C394" s="60"/>
      <c r="D394" s="131" t="str">
        <f aca="false">IF(C394="","",IF(OR(C394="ทั้งเฟส",LEFT(C394,4)="ผรม.",LEFT(C394,3)="เขต"),C394,IFERROR(INDEX('Master Plan'!$B$8:$B$27,MATCH(C394,'Master Plan'!$A$8:$A$27,0)),"?")))</f>
        <v/>
      </c>
      <c r="E394" s="118" t="str">
        <f aca="false">IF(C394="","",IF(OR(C394="ทั้งเฟส",LEFT(C394,4)="ผรม.",LEFT(C394,3)="เขต"),C394,IFERROR(INDEX('Master Plan'!$L$8:$L$27,MATCH(C394,'Master Plan'!$A$8:$A$27,0)),"?")))</f>
        <v/>
      </c>
      <c r="F394" s="60"/>
      <c r="G394" s="114"/>
      <c r="H394" s="60"/>
      <c r="I394" s="116"/>
      <c r="J394" s="225"/>
      <c r="K394" s="206" t="str">
        <f aca="false">IF(F394="","",IF(ISNUMBER(I394),I394,IFERROR(VLOOKUP(F394,RW_TBL,2,0),0)))</f>
        <v/>
      </c>
      <c r="L394" s="226" t="str">
        <f aca="false">IF(F394="","",IF(ISNUMBER(J394),J394,IFERROR(VLOOKUP(F394,RW_TBL,3,0),0)))</f>
        <v/>
      </c>
      <c r="M394" s="113"/>
      <c r="N394" s="114"/>
    </row>
    <row r="395" customFormat="false" ht="15" hidden="false" customHeight="false" outlineLevel="0" collapsed="false">
      <c r="A395" s="131" t="str">
        <f aca="false">IF(B395="","",ROW()-6)</f>
        <v/>
      </c>
      <c r="B395" s="207"/>
      <c r="C395" s="60"/>
      <c r="D395" s="131" t="str">
        <f aca="false">IF(C395="","",IF(OR(C395="ทั้งเฟส",LEFT(C395,4)="ผรม.",LEFT(C395,3)="เขต"),C395,IFERROR(INDEX('Master Plan'!$B$8:$B$27,MATCH(C395,'Master Plan'!$A$8:$A$27,0)),"?")))</f>
        <v/>
      </c>
      <c r="E395" s="118" t="str">
        <f aca="false">IF(C395="","",IF(OR(C395="ทั้งเฟส",LEFT(C395,4)="ผรม.",LEFT(C395,3)="เขต"),C395,IFERROR(INDEX('Master Plan'!$L$8:$L$27,MATCH(C395,'Master Plan'!$A$8:$A$27,0)),"?")))</f>
        <v/>
      </c>
      <c r="F395" s="60"/>
      <c r="G395" s="114"/>
      <c r="H395" s="60"/>
      <c r="I395" s="116"/>
      <c r="J395" s="225"/>
      <c r="K395" s="206" t="str">
        <f aca="false">IF(F395="","",IF(ISNUMBER(I395),I395,IFERROR(VLOOKUP(F395,RW_TBL,2,0),0)))</f>
        <v/>
      </c>
      <c r="L395" s="226" t="str">
        <f aca="false">IF(F395="","",IF(ISNUMBER(J395),J395,IFERROR(VLOOKUP(F395,RW_TBL,3,0),0)))</f>
        <v/>
      </c>
      <c r="M395" s="113"/>
      <c r="N395" s="114"/>
    </row>
    <row r="396" customFormat="false" ht="15" hidden="false" customHeight="false" outlineLevel="0" collapsed="false">
      <c r="A396" s="131" t="str">
        <f aca="false">IF(B396="","",ROW()-6)</f>
        <v/>
      </c>
      <c r="B396" s="207"/>
      <c r="C396" s="60"/>
      <c r="D396" s="131" t="str">
        <f aca="false">IF(C396="","",IF(OR(C396="ทั้งเฟส",LEFT(C396,4)="ผรม.",LEFT(C396,3)="เขต"),C396,IFERROR(INDEX('Master Plan'!$B$8:$B$27,MATCH(C396,'Master Plan'!$A$8:$A$27,0)),"?")))</f>
        <v/>
      </c>
      <c r="E396" s="118" t="str">
        <f aca="false">IF(C396="","",IF(OR(C396="ทั้งเฟส",LEFT(C396,4)="ผรม.",LEFT(C396,3)="เขต"),C396,IFERROR(INDEX('Master Plan'!$L$8:$L$27,MATCH(C396,'Master Plan'!$A$8:$A$27,0)),"?")))</f>
        <v/>
      </c>
      <c r="F396" s="60"/>
      <c r="G396" s="114"/>
      <c r="H396" s="60"/>
      <c r="I396" s="116"/>
      <c r="J396" s="225"/>
      <c r="K396" s="206" t="str">
        <f aca="false">IF(F396="","",IF(ISNUMBER(I396),I396,IFERROR(VLOOKUP(F396,RW_TBL,2,0),0)))</f>
        <v/>
      </c>
      <c r="L396" s="226" t="str">
        <f aca="false">IF(F396="","",IF(ISNUMBER(J396),J396,IFERROR(VLOOKUP(F396,RW_TBL,3,0),0)))</f>
        <v/>
      </c>
      <c r="M396" s="113"/>
      <c r="N396" s="114"/>
    </row>
    <row r="397" customFormat="false" ht="15" hidden="false" customHeight="false" outlineLevel="0" collapsed="false">
      <c r="A397" s="131" t="str">
        <f aca="false">IF(B397="","",ROW()-6)</f>
        <v/>
      </c>
      <c r="B397" s="207"/>
      <c r="C397" s="60"/>
      <c r="D397" s="131" t="str">
        <f aca="false">IF(C397="","",IF(OR(C397="ทั้งเฟส",LEFT(C397,4)="ผรม.",LEFT(C397,3)="เขต"),C397,IFERROR(INDEX('Master Plan'!$B$8:$B$27,MATCH(C397,'Master Plan'!$A$8:$A$27,0)),"?")))</f>
        <v/>
      </c>
      <c r="E397" s="118" t="str">
        <f aca="false">IF(C397="","",IF(OR(C397="ทั้งเฟส",LEFT(C397,4)="ผรม.",LEFT(C397,3)="เขต"),C397,IFERROR(INDEX('Master Plan'!$L$8:$L$27,MATCH(C397,'Master Plan'!$A$8:$A$27,0)),"?")))</f>
        <v/>
      </c>
      <c r="F397" s="60"/>
      <c r="G397" s="114"/>
      <c r="H397" s="60"/>
      <c r="I397" s="116"/>
      <c r="J397" s="225"/>
      <c r="K397" s="206" t="str">
        <f aca="false">IF(F397="","",IF(ISNUMBER(I397),I397,IFERROR(VLOOKUP(F397,RW_TBL,2,0),0)))</f>
        <v/>
      </c>
      <c r="L397" s="226" t="str">
        <f aca="false">IF(F397="","",IF(ISNUMBER(J397),J397,IFERROR(VLOOKUP(F397,RW_TBL,3,0),0)))</f>
        <v/>
      </c>
      <c r="M397" s="113"/>
      <c r="N397" s="114"/>
    </row>
    <row r="398" customFormat="false" ht="15" hidden="false" customHeight="false" outlineLevel="0" collapsed="false">
      <c r="A398" s="131" t="str">
        <f aca="false">IF(B398="","",ROW()-6)</f>
        <v/>
      </c>
      <c r="B398" s="207"/>
      <c r="C398" s="60"/>
      <c r="D398" s="131" t="str">
        <f aca="false">IF(C398="","",IF(OR(C398="ทั้งเฟส",LEFT(C398,4)="ผรม.",LEFT(C398,3)="เขต"),C398,IFERROR(INDEX('Master Plan'!$B$8:$B$27,MATCH(C398,'Master Plan'!$A$8:$A$27,0)),"?")))</f>
        <v/>
      </c>
      <c r="E398" s="118" t="str">
        <f aca="false">IF(C398="","",IF(OR(C398="ทั้งเฟส",LEFT(C398,4)="ผรม.",LEFT(C398,3)="เขต"),C398,IFERROR(INDEX('Master Plan'!$L$8:$L$27,MATCH(C398,'Master Plan'!$A$8:$A$27,0)),"?")))</f>
        <v/>
      </c>
      <c r="F398" s="60"/>
      <c r="G398" s="114"/>
      <c r="H398" s="60"/>
      <c r="I398" s="116"/>
      <c r="J398" s="225"/>
      <c r="K398" s="206" t="str">
        <f aca="false">IF(F398="","",IF(ISNUMBER(I398),I398,IFERROR(VLOOKUP(F398,RW_TBL,2,0),0)))</f>
        <v/>
      </c>
      <c r="L398" s="226" t="str">
        <f aca="false">IF(F398="","",IF(ISNUMBER(J398),J398,IFERROR(VLOOKUP(F398,RW_TBL,3,0),0)))</f>
        <v/>
      </c>
      <c r="M398" s="113"/>
      <c r="N398" s="114"/>
    </row>
    <row r="399" customFormat="false" ht="15" hidden="false" customHeight="false" outlineLevel="0" collapsed="false">
      <c r="A399" s="131" t="str">
        <f aca="false">IF(B399="","",ROW()-6)</f>
        <v/>
      </c>
      <c r="B399" s="207"/>
      <c r="C399" s="60"/>
      <c r="D399" s="131" t="str">
        <f aca="false">IF(C399="","",IF(OR(C399="ทั้งเฟส",LEFT(C399,4)="ผรม.",LEFT(C399,3)="เขต"),C399,IFERROR(INDEX('Master Plan'!$B$8:$B$27,MATCH(C399,'Master Plan'!$A$8:$A$27,0)),"?")))</f>
        <v/>
      </c>
      <c r="E399" s="118" t="str">
        <f aca="false">IF(C399="","",IF(OR(C399="ทั้งเฟส",LEFT(C399,4)="ผรม.",LEFT(C399,3)="เขต"),C399,IFERROR(INDEX('Master Plan'!$L$8:$L$27,MATCH(C399,'Master Plan'!$A$8:$A$27,0)),"?")))</f>
        <v/>
      </c>
      <c r="F399" s="60"/>
      <c r="G399" s="114"/>
      <c r="H399" s="60"/>
      <c r="I399" s="116"/>
      <c r="J399" s="225"/>
      <c r="K399" s="206" t="str">
        <f aca="false">IF(F399="","",IF(ISNUMBER(I399),I399,IFERROR(VLOOKUP(F399,RW_TBL,2,0),0)))</f>
        <v/>
      </c>
      <c r="L399" s="226" t="str">
        <f aca="false">IF(F399="","",IF(ISNUMBER(J399),J399,IFERROR(VLOOKUP(F399,RW_TBL,3,0),0)))</f>
        <v/>
      </c>
      <c r="M399" s="113"/>
      <c r="N399" s="114"/>
    </row>
    <row r="400" customFormat="false" ht="15" hidden="false" customHeight="false" outlineLevel="0" collapsed="false">
      <c r="A400" s="131" t="str">
        <f aca="false">IF(B400="","",ROW()-6)</f>
        <v/>
      </c>
      <c r="B400" s="207"/>
      <c r="C400" s="60"/>
      <c r="D400" s="131" t="str">
        <f aca="false">IF(C400="","",IF(OR(C400="ทั้งเฟส",LEFT(C400,4)="ผรม.",LEFT(C400,3)="เขต"),C400,IFERROR(INDEX('Master Plan'!$B$8:$B$27,MATCH(C400,'Master Plan'!$A$8:$A$27,0)),"?")))</f>
        <v/>
      </c>
      <c r="E400" s="118" t="str">
        <f aca="false">IF(C400="","",IF(OR(C400="ทั้งเฟส",LEFT(C400,4)="ผรม.",LEFT(C400,3)="เขต"),C400,IFERROR(INDEX('Master Plan'!$L$8:$L$27,MATCH(C400,'Master Plan'!$A$8:$A$27,0)),"?")))</f>
        <v/>
      </c>
      <c r="F400" s="60"/>
      <c r="G400" s="114"/>
      <c r="H400" s="60"/>
      <c r="I400" s="116"/>
      <c r="J400" s="225"/>
      <c r="K400" s="206" t="str">
        <f aca="false">IF(F400="","",IF(ISNUMBER(I400),I400,IFERROR(VLOOKUP(F400,RW_TBL,2,0),0)))</f>
        <v/>
      </c>
      <c r="L400" s="226" t="str">
        <f aca="false">IF(F400="","",IF(ISNUMBER(J400),J400,IFERROR(VLOOKUP(F400,RW_TBL,3,0),0)))</f>
        <v/>
      </c>
      <c r="M400" s="113"/>
      <c r="N400" s="114"/>
    </row>
    <row r="401" customFormat="false" ht="15" hidden="false" customHeight="false" outlineLevel="0" collapsed="false">
      <c r="A401" s="131" t="str">
        <f aca="false">IF(B401="","",ROW()-6)</f>
        <v/>
      </c>
      <c r="B401" s="207"/>
      <c r="C401" s="60"/>
      <c r="D401" s="131" t="str">
        <f aca="false">IF(C401="","",IF(OR(C401="ทั้งเฟส",LEFT(C401,4)="ผรม.",LEFT(C401,3)="เขต"),C401,IFERROR(INDEX('Master Plan'!$B$8:$B$27,MATCH(C401,'Master Plan'!$A$8:$A$27,0)),"?")))</f>
        <v/>
      </c>
      <c r="E401" s="118" t="str">
        <f aca="false">IF(C401="","",IF(OR(C401="ทั้งเฟส",LEFT(C401,4)="ผรม.",LEFT(C401,3)="เขต"),C401,IFERROR(INDEX('Master Plan'!$L$8:$L$27,MATCH(C401,'Master Plan'!$A$8:$A$27,0)),"?")))</f>
        <v/>
      </c>
      <c r="F401" s="60"/>
      <c r="G401" s="114"/>
      <c r="H401" s="60"/>
      <c r="I401" s="116"/>
      <c r="J401" s="225"/>
      <c r="K401" s="206" t="str">
        <f aca="false">IF(F401="","",IF(ISNUMBER(I401),I401,IFERROR(VLOOKUP(F401,RW_TBL,2,0),0)))</f>
        <v/>
      </c>
      <c r="L401" s="226" t="str">
        <f aca="false">IF(F401="","",IF(ISNUMBER(J401),J401,IFERROR(VLOOKUP(F401,RW_TBL,3,0),0)))</f>
        <v/>
      </c>
      <c r="M401" s="113"/>
      <c r="N401" s="114"/>
    </row>
    <row r="402" customFormat="false" ht="15" hidden="false" customHeight="false" outlineLevel="0" collapsed="false">
      <c r="A402" s="131" t="str">
        <f aca="false">IF(B402="","",ROW()-6)</f>
        <v/>
      </c>
      <c r="B402" s="207"/>
      <c r="C402" s="60"/>
      <c r="D402" s="131" t="str">
        <f aca="false">IF(C402="","",IF(OR(C402="ทั้งเฟส",LEFT(C402,4)="ผรม.",LEFT(C402,3)="เขต"),C402,IFERROR(INDEX('Master Plan'!$B$8:$B$27,MATCH(C402,'Master Plan'!$A$8:$A$27,0)),"?")))</f>
        <v/>
      </c>
      <c r="E402" s="118" t="str">
        <f aca="false">IF(C402="","",IF(OR(C402="ทั้งเฟส",LEFT(C402,4)="ผรม.",LEFT(C402,3)="เขต"),C402,IFERROR(INDEX('Master Plan'!$L$8:$L$27,MATCH(C402,'Master Plan'!$A$8:$A$27,0)),"?")))</f>
        <v/>
      </c>
      <c r="F402" s="60"/>
      <c r="G402" s="114"/>
      <c r="H402" s="60"/>
      <c r="I402" s="116"/>
      <c r="J402" s="225"/>
      <c r="K402" s="206" t="str">
        <f aca="false">IF(F402="","",IF(ISNUMBER(I402),I402,IFERROR(VLOOKUP(F402,RW_TBL,2,0),0)))</f>
        <v/>
      </c>
      <c r="L402" s="226" t="str">
        <f aca="false">IF(F402="","",IF(ISNUMBER(J402),J402,IFERROR(VLOOKUP(F402,RW_TBL,3,0),0)))</f>
        <v/>
      </c>
      <c r="M402" s="113"/>
      <c r="N402" s="114"/>
    </row>
    <row r="403" customFormat="false" ht="15" hidden="false" customHeight="false" outlineLevel="0" collapsed="false">
      <c r="A403" s="131" t="str">
        <f aca="false">IF(B403="","",ROW()-6)</f>
        <v/>
      </c>
      <c r="B403" s="207"/>
      <c r="C403" s="60"/>
      <c r="D403" s="131" t="str">
        <f aca="false">IF(C403="","",IF(OR(C403="ทั้งเฟส",LEFT(C403,4)="ผรม.",LEFT(C403,3)="เขต"),C403,IFERROR(INDEX('Master Plan'!$B$8:$B$27,MATCH(C403,'Master Plan'!$A$8:$A$27,0)),"?")))</f>
        <v/>
      </c>
      <c r="E403" s="118" t="str">
        <f aca="false">IF(C403="","",IF(OR(C403="ทั้งเฟส",LEFT(C403,4)="ผรม.",LEFT(C403,3)="เขต"),C403,IFERROR(INDEX('Master Plan'!$L$8:$L$27,MATCH(C403,'Master Plan'!$A$8:$A$27,0)),"?")))</f>
        <v/>
      </c>
      <c r="F403" s="60"/>
      <c r="G403" s="114"/>
      <c r="H403" s="60"/>
      <c r="I403" s="116"/>
      <c r="J403" s="225"/>
      <c r="K403" s="206" t="str">
        <f aca="false">IF(F403="","",IF(ISNUMBER(I403),I403,IFERROR(VLOOKUP(F403,RW_TBL,2,0),0)))</f>
        <v/>
      </c>
      <c r="L403" s="226" t="str">
        <f aca="false">IF(F403="","",IF(ISNUMBER(J403),J403,IFERROR(VLOOKUP(F403,RW_TBL,3,0),0)))</f>
        <v/>
      </c>
      <c r="M403" s="113"/>
      <c r="N403" s="114"/>
    </row>
    <row r="404" customFormat="false" ht="15" hidden="false" customHeight="false" outlineLevel="0" collapsed="false">
      <c r="A404" s="131" t="str">
        <f aca="false">IF(B404="","",ROW()-6)</f>
        <v/>
      </c>
      <c r="B404" s="207"/>
      <c r="C404" s="60"/>
      <c r="D404" s="131" t="str">
        <f aca="false">IF(C404="","",IF(OR(C404="ทั้งเฟส",LEFT(C404,4)="ผรม.",LEFT(C404,3)="เขต"),C404,IFERROR(INDEX('Master Plan'!$B$8:$B$27,MATCH(C404,'Master Plan'!$A$8:$A$27,0)),"?")))</f>
        <v/>
      </c>
      <c r="E404" s="118" t="str">
        <f aca="false">IF(C404="","",IF(OR(C404="ทั้งเฟส",LEFT(C404,4)="ผรม.",LEFT(C404,3)="เขต"),C404,IFERROR(INDEX('Master Plan'!$L$8:$L$27,MATCH(C404,'Master Plan'!$A$8:$A$27,0)),"?")))</f>
        <v/>
      </c>
      <c r="F404" s="60"/>
      <c r="G404" s="114"/>
      <c r="H404" s="60"/>
      <c r="I404" s="116"/>
      <c r="J404" s="225"/>
      <c r="K404" s="206" t="str">
        <f aca="false">IF(F404="","",IF(ISNUMBER(I404),I404,IFERROR(VLOOKUP(F404,RW_TBL,2,0),0)))</f>
        <v/>
      </c>
      <c r="L404" s="226" t="str">
        <f aca="false">IF(F404="","",IF(ISNUMBER(J404),J404,IFERROR(VLOOKUP(F404,RW_TBL,3,0),0)))</f>
        <v/>
      </c>
      <c r="M404" s="113"/>
      <c r="N404" s="114"/>
    </row>
    <row r="405" customFormat="false" ht="15" hidden="false" customHeight="false" outlineLevel="0" collapsed="false">
      <c r="A405" s="131" t="str">
        <f aca="false">IF(B405="","",ROW()-6)</f>
        <v/>
      </c>
      <c r="B405" s="207"/>
      <c r="C405" s="60"/>
      <c r="D405" s="131" t="str">
        <f aca="false">IF(C405="","",IF(OR(C405="ทั้งเฟส",LEFT(C405,4)="ผรม.",LEFT(C405,3)="เขต"),C405,IFERROR(INDEX('Master Plan'!$B$8:$B$27,MATCH(C405,'Master Plan'!$A$8:$A$27,0)),"?")))</f>
        <v/>
      </c>
      <c r="E405" s="118" t="str">
        <f aca="false">IF(C405="","",IF(OR(C405="ทั้งเฟส",LEFT(C405,4)="ผรม.",LEFT(C405,3)="เขต"),C405,IFERROR(INDEX('Master Plan'!$L$8:$L$27,MATCH(C405,'Master Plan'!$A$8:$A$27,0)),"?")))</f>
        <v/>
      </c>
      <c r="F405" s="60"/>
      <c r="G405" s="114"/>
      <c r="H405" s="60"/>
      <c r="I405" s="116"/>
      <c r="J405" s="225"/>
      <c r="K405" s="206" t="str">
        <f aca="false">IF(F405="","",IF(ISNUMBER(I405),I405,IFERROR(VLOOKUP(F405,RW_TBL,2,0),0)))</f>
        <v/>
      </c>
      <c r="L405" s="226" t="str">
        <f aca="false">IF(F405="","",IF(ISNUMBER(J405),J405,IFERROR(VLOOKUP(F405,RW_TBL,3,0),0)))</f>
        <v/>
      </c>
      <c r="M405" s="113"/>
      <c r="N405" s="114"/>
    </row>
    <row r="406" customFormat="false" ht="15" hidden="false" customHeight="false" outlineLevel="0" collapsed="false">
      <c r="A406" s="131" t="str">
        <f aca="false">IF(B406="","",ROW()-6)</f>
        <v/>
      </c>
      <c r="B406" s="207"/>
      <c r="C406" s="60"/>
      <c r="D406" s="131" t="str">
        <f aca="false">IF(C406="","",IF(OR(C406="ทั้งเฟส",LEFT(C406,4)="ผรม.",LEFT(C406,3)="เขต"),C406,IFERROR(INDEX('Master Plan'!$B$8:$B$27,MATCH(C406,'Master Plan'!$A$8:$A$27,0)),"?")))</f>
        <v/>
      </c>
      <c r="E406" s="118" t="str">
        <f aca="false">IF(C406="","",IF(OR(C406="ทั้งเฟส",LEFT(C406,4)="ผรม.",LEFT(C406,3)="เขต"),C406,IFERROR(INDEX('Master Plan'!$L$8:$L$27,MATCH(C406,'Master Plan'!$A$8:$A$27,0)),"?")))</f>
        <v/>
      </c>
      <c r="F406" s="60"/>
      <c r="G406" s="114"/>
      <c r="H406" s="60"/>
      <c r="I406" s="116"/>
      <c r="J406" s="225"/>
      <c r="K406" s="206" t="str">
        <f aca="false">IF(F406="","",IF(ISNUMBER(I406),I406,IFERROR(VLOOKUP(F406,RW_TBL,2,0),0)))</f>
        <v/>
      </c>
      <c r="L406" s="226" t="str">
        <f aca="false">IF(F406="","",IF(ISNUMBER(J406),J406,IFERROR(VLOOKUP(F406,RW_TBL,3,0),0)))</f>
        <v/>
      </c>
      <c r="M406" s="113"/>
      <c r="N406" s="114"/>
    </row>
  </sheetData>
  <sheetProtection sheet="true" formatColumns="false" formatRows="false" sort="false" autoFilter="false"/>
  <autoFilter ref="A6:N406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A7:N406">
    <cfRule type="expression" priority="2" aboveAverage="0" equalAverage="0" bottom="0" percent="0" rank="0" text="" dxfId="54">
      <formula>AND($F7&lt;&gt;"",$M7&lt;&gt;"Y")</formula>
    </cfRule>
  </conditionalFormatting>
  <conditionalFormatting sqref="H7:H406">
    <cfRule type="expression" priority="3" aboveAverage="0" equalAverage="0" bottom="0" percent="0" rank="0" text="" dxfId="55">
      <formula>H7="ยังไม่ระบุ"</formula>
    </cfRule>
  </conditionalFormatting>
  <dataValidations count="6">
    <dataValidation allowBlank="true" error="เลือกจากรายการ" errorStyle="stop" operator="between" showDropDown="false" showErrorMessage="true" showInputMessage="false" sqref="M7:M406" type="list">
      <formula1>"Y"</formula1>
      <formula2>0</formula2>
    </dataValidation>
    <dataValidation allowBlank="true" error="เลือกจากรายการ" errorStyle="stop" operator="between" showDropDown="false" showErrorMessage="true" showInputMessage="false" sqref="F7:F406" type="list">
      <formula1>'Cost of Quality'!$P$7:$P$15</formula1>
      <formula2>0</formula2>
    </dataValidation>
    <dataValidation allowBlank="true" error="เลือกจากรายการ" errorStyle="stop" operator="between" showDropDown="false" showErrorMessage="true" showInputMessage="false" sqref="H7:H406" type="list">
      <formula1>"ผรม.,ทีม TC,กฟภ.,สถานี/กปภ.,ผู้ขาย,ยังไม่ระบุ"</formula1>
      <formula2>0</formula2>
    </dataValidation>
    <dataValidation allowBlank="true" error="เลือกจากรายการ" errorStyle="stop" operator="between" showDropDown="false" showErrorMessage="true" showInputMessage="false" sqref="C7:C406" type="list">
      <formula1>'Master Plan'!$A$8:$A$27</formula1>
      <formula2>0</formula2>
    </dataValidation>
    <dataValidation allowBlank="true" error="เลือกจากรายการ" errorStyle="stop" operator="between" showDropDown="false" showErrorMessage="true" showInputMessage="false" sqref="S7:S15" type="list">
      <formula1>"ภายใน,ภายนอก"</formula1>
      <formula2>0</formula2>
    </dataValidation>
    <dataValidation allowBlank="true" error="ใส่วันที่ (2568–2571)" errorStyle="stop" operator="between" showDropDown="false" showErrorMessage="true" showInputMessage="false" sqref="B7:B4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8.65" hidden="false" customHeight="false" outlineLevel="0" collapsed="false">
      <c r="A1" s="37" t="s">
        <v>1820</v>
      </c>
    </row>
    <row r="2" customFormat="false" ht="15" hidden="false" customHeight="false" outlineLevel="0" collapsed="false">
      <c r="A2" s="230" t="s">
        <v>1821</v>
      </c>
    </row>
    <row r="4" customFormat="false" ht="15" hidden="false" customHeight="false" outlineLevel="0" collapsed="false">
      <c r="A4" s="231" t="s">
        <v>1822</v>
      </c>
      <c r="B4" s="232" t="s">
        <v>1823</v>
      </c>
    </row>
    <row r="5" customFormat="false" ht="15" hidden="false" customHeight="false" outlineLevel="0" collapsed="false">
      <c r="A5" s="233" t="s">
        <v>1824</v>
      </c>
      <c r="B5" s="234" t="n">
        <f aca="false">ICMS_N_ST</f>
        <v>20</v>
      </c>
    </row>
    <row r="6" customFormat="false" ht="15" hidden="false" customHeight="false" outlineLevel="0" collapsed="false">
      <c r="A6" s="233" t="s">
        <v>1825</v>
      </c>
      <c r="B6" s="234" t="n">
        <f aca="false">ICMS_T_KWP</f>
        <v>4309.2</v>
      </c>
    </row>
    <row r="7" customFormat="false" ht="15" hidden="false" customHeight="false" outlineLevel="0" collapsed="false">
      <c r="A7" s="233" t="s">
        <v>1826</v>
      </c>
      <c r="B7" s="234" t="n">
        <f aca="false">ICMS_T_M2</f>
        <v>19529.748</v>
      </c>
    </row>
    <row r="8" customFormat="false" ht="15" hidden="false" customHeight="false" outlineLevel="0" collapsed="false">
      <c r="A8" s="233" t="s">
        <v>1827</v>
      </c>
      <c r="B8" s="232" t="s">
        <v>1828</v>
      </c>
    </row>
    <row r="9" customFormat="false" ht="15" hidden="false" customHeight="false" outlineLevel="0" collapsed="false">
      <c r="A9" s="233" t="s">
        <v>1829</v>
      </c>
      <c r="B9" s="235"/>
    </row>
    <row r="11" customFormat="false" ht="30" hidden="false" customHeight="true" outlineLevel="0" collapsed="false">
      <c r="A11" s="28" t="s">
        <v>34</v>
      </c>
      <c r="B11" s="29" t="s">
        <v>1830</v>
      </c>
      <c r="C11" s="28" t="s">
        <v>1831</v>
      </c>
      <c r="D11" s="28" t="s">
        <v>1832</v>
      </c>
      <c r="E11" s="28" t="s">
        <v>1833</v>
      </c>
      <c r="F11" s="28" t="s">
        <v>1834</v>
      </c>
      <c r="G11" s="28" t="s">
        <v>1835</v>
      </c>
      <c r="H11" s="28" t="s">
        <v>1836</v>
      </c>
      <c r="I11" s="28" t="s">
        <v>1837</v>
      </c>
    </row>
    <row r="12" customFormat="false" ht="15" hidden="false" customHeight="false" outlineLevel="0" collapsed="false">
      <c r="A12" s="231" t="s">
        <v>1838</v>
      </c>
      <c r="B12" s="153" t="s">
        <v>1839</v>
      </c>
      <c r="C12" s="154" t="s">
        <v>1840</v>
      </c>
      <c r="D12" s="236" t="n">
        <f aca="false">D13+D24</f>
        <v>0</v>
      </c>
      <c r="E12" s="237" t="str">
        <f aca="false">IF(OR(D12=0,D$12=0),"",D12/D$12)</f>
        <v/>
      </c>
      <c r="F12" s="236" t="str">
        <f aca="false">IF(D12=0,"",D12/ICMS_T_KWP)</f>
        <v/>
      </c>
      <c r="G12" s="236" t="str">
        <f aca="false">IF(D12=0,"",D12/ICMS_T_M2)</f>
        <v/>
      </c>
      <c r="H12" s="238" t="n">
        <f aca="false">H13+H24</f>
        <v>100</v>
      </c>
      <c r="I12" s="231"/>
    </row>
    <row r="13" customFormat="false" ht="15" hidden="false" customHeight="false" outlineLevel="0" collapsed="false">
      <c r="A13" s="231" t="s">
        <v>1841</v>
      </c>
      <c r="B13" s="153" t="s">
        <v>1842</v>
      </c>
      <c r="C13" s="154" t="s">
        <v>1843</v>
      </c>
      <c r="D13" s="236" t="n">
        <f aca="false">SUM(D14:D23)</f>
        <v>0</v>
      </c>
      <c r="E13" s="237" t="str">
        <f aca="false">IF(OR(D13=0,D$12=0),"",D13/D$12)</f>
        <v/>
      </c>
      <c r="F13" s="236" t="str">
        <f aca="false">IF(D13=0,"",D13/ICMS_T_KWP)</f>
        <v/>
      </c>
      <c r="G13" s="236" t="str">
        <f aca="false">IF(D13=0,"",D13/ICMS_T_M2)</f>
        <v/>
      </c>
      <c r="H13" s="238" t="n">
        <f aca="false">SUM(H14:H23)</f>
        <v>93.95</v>
      </c>
      <c r="I13" s="231"/>
    </row>
    <row r="14" customFormat="false" ht="15" hidden="false" customHeight="false" outlineLevel="0" collapsed="false">
      <c r="A14" s="232" t="s">
        <v>1844</v>
      </c>
      <c r="B14" s="158" t="s">
        <v>1845</v>
      </c>
      <c r="C14" s="159" t="s">
        <v>1846</v>
      </c>
      <c r="D14" s="234" t="n">
        <f aca="false">SUMIF(ICMS_M_ICMS,"1.1",ICMS_M_BUD)</f>
        <v>0</v>
      </c>
      <c r="E14" s="239" t="str">
        <f aca="false">IF(OR(D14=0,D$12=0),"",D14/D$12)</f>
        <v/>
      </c>
      <c r="F14" s="234" t="str">
        <f aca="false">IF(D14=0,"",D14/ICMS_T_KWP)</f>
        <v/>
      </c>
      <c r="G14" s="234" t="str">
        <f aca="false">IF(D14=0,"",D14/ICMS_T_M2)</f>
        <v/>
      </c>
      <c r="H14" s="240" t="n">
        <f aca="false">SUMIFS(ICMS_M_WT,ICMS_M_ICMS,"1.1",ICMS_M_LVL,3,ICMS_M_APP,"&lt;&gt;กันย้อน LV")+SUMIFS(ICMS_M_WT,ICMS_M_ICMS,"1.1",ICMS_M_LVL,2)</f>
        <v>0</v>
      </c>
      <c r="I14" s="232" t="str">
        <f aca="false">IF(D14&gt;0,"มีงบ",IF(H14&gt;0,"รองบ (มีงานใน WBS)","not applicable"))</f>
        <v>not applicable</v>
      </c>
    </row>
    <row r="15" customFormat="false" ht="15" hidden="false" customHeight="false" outlineLevel="0" collapsed="false">
      <c r="A15" s="232" t="s">
        <v>1847</v>
      </c>
      <c r="B15" s="158" t="s">
        <v>1848</v>
      </c>
      <c r="C15" s="159" t="s">
        <v>1849</v>
      </c>
      <c r="D15" s="234" t="n">
        <f aca="false">SUMIF(ICMS_M_ICMS,"1.2",ICMS_M_BUD)</f>
        <v>0</v>
      </c>
      <c r="E15" s="239" t="str">
        <f aca="false">IF(OR(D15=0,D$12=0),"",D15/D$12)</f>
        <v/>
      </c>
      <c r="F15" s="234" t="str">
        <f aca="false">IF(D15=0,"",D15/ICMS_T_KWP)</f>
        <v/>
      </c>
      <c r="G15" s="234" t="str">
        <f aca="false">IF(D15=0,"",D15/ICMS_T_M2)</f>
        <v/>
      </c>
      <c r="H15" s="240" t="n">
        <f aca="false">SUMIFS(ICMS_M_WT,ICMS_M_ICMS,"1.2",ICMS_M_LVL,3,ICMS_M_APP,"&lt;&gt;กันย้อน LV")+SUMIFS(ICMS_M_WT,ICMS_M_ICMS,"1.2",ICMS_M_LVL,2)</f>
        <v>0</v>
      </c>
      <c r="I15" s="232" t="str">
        <f aca="false">IF(D15&gt;0,"มีงบ",IF(H15&gt;0,"รองบ (มีงานใน WBS)","ยังไม่มีรายการ"))</f>
        <v>ยังไม่มีรายการ</v>
      </c>
    </row>
    <row r="16" customFormat="false" ht="15" hidden="false" customHeight="false" outlineLevel="0" collapsed="false">
      <c r="A16" s="232" t="s">
        <v>1850</v>
      </c>
      <c r="B16" s="158" t="s">
        <v>1851</v>
      </c>
      <c r="C16" s="159" t="s">
        <v>825</v>
      </c>
      <c r="D16" s="234" t="n">
        <f aca="false">SUMIF(ICMS_M_ICMS,"1.3",ICMS_M_BUD)</f>
        <v>0</v>
      </c>
      <c r="E16" s="239" t="str">
        <f aca="false">IF(OR(D16=0,D$12=0),"",D16/D$12)</f>
        <v/>
      </c>
      <c r="F16" s="234" t="str">
        <f aca="false">IF(D16=0,"",D16/ICMS_T_KWP)</f>
        <v/>
      </c>
      <c r="G16" s="234" t="str">
        <f aca="false">IF(D16=0,"",D16/ICMS_T_M2)</f>
        <v/>
      </c>
      <c r="H16" s="240" t="n">
        <f aca="false">SUMIFS(ICMS_M_WT,ICMS_M_ICMS,"1.3",ICMS_M_LVL,3,ICMS_M_APP,"&lt;&gt;กันย้อน LV")+SUMIFS(ICMS_M_WT,ICMS_M_ICMS,"1.3",ICMS_M_LVL,2)</f>
        <v>20.5</v>
      </c>
      <c r="I16" s="232" t="str">
        <f aca="false">IF(D16&gt;0,"มีงบ",IF(H16&gt;0,"รองบ (มีงานใน WBS)","ยังไม่มีรายการ"))</f>
        <v>รองบ (มีงานใน WBS)</v>
      </c>
    </row>
    <row r="17" customFormat="false" ht="15" hidden="false" customHeight="false" outlineLevel="0" collapsed="false">
      <c r="A17" s="232" t="s">
        <v>1852</v>
      </c>
      <c r="B17" s="158" t="s">
        <v>1853</v>
      </c>
      <c r="C17" s="159" t="s">
        <v>1854</v>
      </c>
      <c r="D17" s="234" t="n">
        <f aca="false">SUMIF(ICMS_M_ICMS,"1.4",ICMS_M_BUD)</f>
        <v>0</v>
      </c>
      <c r="E17" s="239" t="str">
        <f aca="false">IF(OR(D17=0,D$12=0),"",D17/D$12)</f>
        <v/>
      </c>
      <c r="F17" s="234" t="str">
        <f aca="false">IF(D17=0,"",D17/ICMS_T_KWP)</f>
        <v/>
      </c>
      <c r="G17" s="234" t="str">
        <f aca="false">IF(D17=0,"",D17/ICMS_T_M2)</f>
        <v/>
      </c>
      <c r="H17" s="240" t="n">
        <f aca="false">SUMIFS(ICMS_M_WT,ICMS_M_ICMS,"1.4",ICMS_M_LVL,3,ICMS_M_APP,"&lt;&gt;กันย้อน LV")+SUMIFS(ICMS_M_WT,ICMS_M_ICMS,"1.4",ICMS_M_LVL,2)</f>
        <v>3</v>
      </c>
      <c r="I17" s="232" t="str">
        <f aca="false">IF(D17&gt;0,"มีงบ",IF(H17&gt;0,"รองบ (มีงานใน WBS)","ยังไม่มีรายการ"))</f>
        <v>รองบ (มีงานใน WBS)</v>
      </c>
    </row>
    <row r="18" customFormat="false" ht="15" hidden="false" customHeight="false" outlineLevel="0" collapsed="false">
      <c r="A18" s="232" t="s">
        <v>1491</v>
      </c>
      <c r="B18" s="158" t="s">
        <v>1855</v>
      </c>
      <c r="C18" s="159" t="s">
        <v>1856</v>
      </c>
      <c r="D18" s="234" t="n">
        <f aca="false">SUMIF(ICMS_M_ICMS,"1.5",ICMS_M_BUD)</f>
        <v>0</v>
      </c>
      <c r="E18" s="239" t="str">
        <f aca="false">IF(OR(D18=0,D$12=0),"",D18/D$12)</f>
        <v/>
      </c>
      <c r="F18" s="234" t="str">
        <f aca="false">IF(D18=0,"",D18/ICMS_T_KWP)</f>
        <v/>
      </c>
      <c r="G18" s="234" t="str">
        <f aca="false">IF(D18=0,"",D18/ICMS_T_M2)</f>
        <v/>
      </c>
      <c r="H18" s="240" t="n">
        <f aca="false">SUMIFS(ICMS_M_WT,ICMS_M_ICMS,"1.5",ICMS_M_LVL,3,ICMS_M_APP,"&lt;&gt;กันย้อน LV")+SUMIFS(ICMS_M_WT,ICMS_M_ICMS,"1.5",ICMS_M_LVL,2)</f>
        <v>59.5</v>
      </c>
      <c r="I18" s="232" t="str">
        <f aca="false">IF(D18&gt;0,"มีงบ",IF(H18&gt;0,"รองบ (มีงานใน WBS)","ยังไม่มีรายการ"))</f>
        <v>รองบ (มีงานใน WBS)</v>
      </c>
    </row>
    <row r="19" customFormat="false" ht="15" hidden="false" customHeight="false" outlineLevel="0" collapsed="false">
      <c r="A19" s="232" t="s">
        <v>1857</v>
      </c>
      <c r="B19" s="158" t="s">
        <v>1858</v>
      </c>
      <c r="C19" s="159" t="s">
        <v>1859</v>
      </c>
      <c r="D19" s="234" t="n">
        <f aca="false">SUMIF(ICMS_M_ICMS,"1.6",ICMS_M_BUD)</f>
        <v>0</v>
      </c>
      <c r="E19" s="239" t="str">
        <f aca="false">IF(OR(D19=0,D$12=0),"",D19/D$12)</f>
        <v/>
      </c>
      <c r="F19" s="234" t="str">
        <f aca="false">IF(D19=0,"",D19/ICMS_T_KWP)</f>
        <v/>
      </c>
      <c r="G19" s="234" t="str">
        <f aca="false">IF(D19=0,"",D19/ICMS_T_M2)</f>
        <v/>
      </c>
      <c r="H19" s="240" t="n">
        <f aca="false">SUMIFS(ICMS_M_WT,ICMS_M_ICMS,"1.6",ICMS_M_LVL,3,ICMS_M_APP,"&lt;&gt;กันย้อน LV")+SUMIFS(ICMS_M_WT,ICMS_M_ICMS,"1.6",ICMS_M_LVL,2)</f>
        <v>0</v>
      </c>
      <c r="I19" s="232" t="str">
        <f aca="false">IF(D19&gt;0,"มีงบ",IF(H19&gt;0,"รองบ (มีงานใน WBS)","not applicable"))</f>
        <v>not applicable</v>
      </c>
    </row>
    <row r="20" customFormat="false" ht="15" hidden="false" customHeight="false" outlineLevel="0" collapsed="false">
      <c r="A20" s="232" t="s">
        <v>1860</v>
      </c>
      <c r="B20" s="158" t="s">
        <v>1861</v>
      </c>
      <c r="C20" s="159" t="s">
        <v>1862</v>
      </c>
      <c r="D20" s="234" t="n">
        <f aca="false">SUMIF(ICMS_M_ICMS,"1.7",ICMS_M_BUD)</f>
        <v>0</v>
      </c>
      <c r="E20" s="239" t="str">
        <f aca="false">IF(OR(D20=0,D$12=0),"",D20/D$12)</f>
        <v/>
      </c>
      <c r="F20" s="234" t="str">
        <f aca="false">IF(D20=0,"",D20/ICMS_T_KWP)</f>
        <v/>
      </c>
      <c r="G20" s="234" t="str">
        <f aca="false">IF(D20=0,"",D20/ICMS_T_M2)</f>
        <v/>
      </c>
      <c r="H20" s="240" t="n">
        <f aca="false">SUMIFS(ICMS_M_WT,ICMS_M_ICMS,"1.7",ICMS_M_LVL,3,ICMS_M_APP,"&lt;&gt;กันย้อน LV")+SUMIFS(ICMS_M_WT,ICMS_M_ICMS,"1.7",ICMS_M_LVL,2)</f>
        <v>0</v>
      </c>
      <c r="I20" s="232" t="str">
        <f aca="false">IF(D20&gt;0,"มีงบ",IF(H20&gt;0,"รองบ (มีงานใน WBS)","ยังไม่มีรายการ"))</f>
        <v>ยังไม่มีรายการ</v>
      </c>
    </row>
    <row r="21" customFormat="false" ht="15" hidden="false" customHeight="false" outlineLevel="0" collapsed="false">
      <c r="A21" s="232" t="s">
        <v>1863</v>
      </c>
      <c r="B21" s="158" t="s">
        <v>1864</v>
      </c>
      <c r="C21" s="159" t="s">
        <v>1865</v>
      </c>
      <c r="D21" s="234" t="n">
        <f aca="false">SUMIF(ICMS_M_ICMS,"1.8",ICMS_M_BUD)</f>
        <v>0</v>
      </c>
      <c r="E21" s="239" t="str">
        <f aca="false">IF(OR(D21=0,D$12=0),"",D21/D$12)</f>
        <v/>
      </c>
      <c r="F21" s="234" t="str">
        <f aca="false">IF(D21=0,"",D21/ICMS_T_KWP)</f>
        <v/>
      </c>
      <c r="G21" s="234" t="str">
        <f aca="false">IF(D21=0,"",D21/ICMS_T_M2)</f>
        <v/>
      </c>
      <c r="H21" s="240" t="n">
        <f aca="false">SUMIFS(ICMS_M_WT,ICMS_M_ICMS,"1.8",ICMS_M_LVL,3,ICMS_M_APP,"&lt;&gt;กันย้อน LV")+SUMIFS(ICMS_M_WT,ICMS_M_ICMS,"1.8",ICMS_M_LVL,2)</f>
        <v>10.95</v>
      </c>
      <c r="I21" s="232" t="str">
        <f aca="false">IF(D21&gt;0,"มีงบ",IF(H21&gt;0,"รองบ (มีงานใน WBS)","ยังไม่มีรายการ"))</f>
        <v>รองบ (มีงานใน WBS)</v>
      </c>
    </row>
    <row r="22" customFormat="false" ht="15" hidden="false" customHeight="false" outlineLevel="0" collapsed="false">
      <c r="A22" s="232" t="s">
        <v>1866</v>
      </c>
      <c r="B22" s="158" t="s">
        <v>1867</v>
      </c>
      <c r="C22" s="159" t="s">
        <v>1868</v>
      </c>
      <c r="D22" s="234" t="n">
        <f aca="false">SUMIF(ICMS_M_ICMS,"1.9",ICMS_M_BUD)</f>
        <v>0</v>
      </c>
      <c r="E22" s="239" t="str">
        <f aca="false">IF(OR(D22=0,D$12=0),"",D22/D$12)</f>
        <v/>
      </c>
      <c r="F22" s="234" t="str">
        <f aca="false">IF(D22=0,"",D22/ICMS_T_KWP)</f>
        <v/>
      </c>
      <c r="G22" s="234" t="str">
        <f aca="false">IF(D22=0,"",D22/ICMS_T_M2)</f>
        <v/>
      </c>
      <c r="H22" s="240" t="n">
        <f aca="false">SUMIFS(ICMS_M_WT,ICMS_M_ICMS,"1.9",ICMS_M_LVL,3,ICMS_M_APP,"&lt;&gt;กันย้อน LV")+SUMIFS(ICMS_M_WT,ICMS_M_ICMS,"1.9",ICMS_M_LVL,2)</f>
        <v>0</v>
      </c>
      <c r="I22" s="232" t="str">
        <f aca="false">IF(D22&gt;0,"มีงบ",IF(H22&gt;0,"รองบ (มีงานใน WBS)","ยังไม่มีรายการ"))</f>
        <v>ยังไม่มีรายการ</v>
      </c>
    </row>
    <row r="23" customFormat="false" ht="15" hidden="false" customHeight="false" outlineLevel="0" collapsed="false">
      <c r="A23" s="232" t="s">
        <v>1869</v>
      </c>
      <c r="B23" s="158" t="s">
        <v>1870</v>
      </c>
      <c r="C23" s="159" t="s">
        <v>1871</v>
      </c>
      <c r="D23" s="234" t="n">
        <f aca="false">SUMIF(ICMS_M_ICMS,"1.10",ICMS_M_BUD)</f>
        <v>0</v>
      </c>
      <c r="E23" s="239" t="str">
        <f aca="false">IF(OR(D23=0,D$12=0),"",D23/D$12)</f>
        <v/>
      </c>
      <c r="F23" s="234" t="str">
        <f aca="false">IF(D23=0,"",D23/ICMS_T_KWP)</f>
        <v/>
      </c>
      <c r="G23" s="234" t="str">
        <f aca="false">IF(D23=0,"",D23/ICMS_T_M2)</f>
        <v/>
      </c>
      <c r="H23" s="240" t="n">
        <f aca="false">SUMIFS(ICMS_M_WT,ICMS_M_ICMS,"1.10",ICMS_M_LVL,3,ICMS_M_APP,"&lt;&gt;กันย้อน LV")+SUMIFS(ICMS_M_WT,ICMS_M_ICMS,"1.10",ICMS_M_LVL,2)</f>
        <v>0</v>
      </c>
      <c r="I23" s="232" t="str">
        <f aca="false">IF(D23&gt;0,"มีงบ",IF(H23&gt;0,"รองบ (มีงานใน WBS)","ยังไม่มีรายการ"))</f>
        <v>ยังไม่มีรายการ</v>
      </c>
    </row>
    <row r="24" customFormat="false" ht="15" hidden="false" customHeight="false" outlineLevel="0" collapsed="false">
      <c r="A24" s="231" t="s">
        <v>1872</v>
      </c>
      <c r="B24" s="153" t="s">
        <v>1873</v>
      </c>
      <c r="C24" s="154" t="s">
        <v>1874</v>
      </c>
      <c r="D24" s="236" t="n">
        <f aca="false">SUM(D25:D30)</f>
        <v>0</v>
      </c>
      <c r="E24" s="237" t="str">
        <f aca="false">IF(OR(D24=0,D$12=0),"",D24/D$12)</f>
        <v/>
      </c>
      <c r="F24" s="236" t="str">
        <f aca="false">IF(D24=0,"",D24/ICMS_T_KWP)</f>
        <v/>
      </c>
      <c r="G24" s="236" t="str">
        <f aca="false">IF(D24=0,"",D24/ICMS_T_M2)</f>
        <v/>
      </c>
      <c r="H24" s="238" t="n">
        <f aca="false">SUM(H25:H30)</f>
        <v>6.05</v>
      </c>
      <c r="I24" s="231"/>
    </row>
    <row r="25" customFormat="false" ht="15" hidden="false" customHeight="false" outlineLevel="0" collapsed="false">
      <c r="A25" s="232" t="s">
        <v>872</v>
      </c>
      <c r="B25" s="158" t="s">
        <v>1875</v>
      </c>
      <c r="C25" s="159" t="s">
        <v>1876</v>
      </c>
      <c r="D25" s="234" t="n">
        <f aca="false">SUMIF(ICMS_M_ICMS,"2.1",ICMS_M_BUD)</f>
        <v>0</v>
      </c>
      <c r="E25" s="239" t="str">
        <f aca="false">IF(OR(D25=0,D$12=0),"",D25/D$12)</f>
        <v/>
      </c>
      <c r="F25" s="234" t="str">
        <f aca="false">IF(D25=0,"",D25/ICMS_T_KWP)</f>
        <v/>
      </c>
      <c r="G25" s="234" t="str">
        <f aca="false">IF(D25=0,"",D25/ICMS_T_M2)</f>
        <v/>
      </c>
      <c r="H25" s="240" t="n">
        <f aca="false">SUMIFS(ICMS_M_WT,ICMS_M_ICMS,"2.1",ICMS_M_LVL,3,ICMS_M_APP,"&lt;&gt;กันย้อน LV")+SUMIFS(ICMS_M_WT,ICMS_M_ICMS,"2.1",ICMS_M_LVL,2)</f>
        <v>0</v>
      </c>
      <c r="I25" s="232" t="str">
        <f aca="false">IF(D25&gt;0,"มีงบ",IF(H25&gt;0,"รองบ (มีงานใน WBS)","not applicable"))</f>
        <v>not applicable</v>
      </c>
    </row>
    <row r="26" customFormat="false" ht="15" hidden="false" customHeight="false" outlineLevel="0" collapsed="false">
      <c r="A26" s="232" t="s">
        <v>987</v>
      </c>
      <c r="B26" s="158" t="s">
        <v>1877</v>
      </c>
      <c r="C26" s="159" t="s">
        <v>1878</v>
      </c>
      <c r="D26" s="234" t="n">
        <f aca="false">SUMIF(ICMS_M_ICMS,"2.2",ICMS_M_BUD)</f>
        <v>0</v>
      </c>
      <c r="E26" s="239" t="str">
        <f aca="false">IF(OR(D26=0,D$12=0),"",D26/D$12)</f>
        <v/>
      </c>
      <c r="F26" s="234" t="str">
        <f aca="false">IF(D26=0,"",D26/ICMS_T_KWP)</f>
        <v/>
      </c>
      <c r="G26" s="234" t="str">
        <f aca="false">IF(D26=0,"",D26/ICMS_T_M2)</f>
        <v/>
      </c>
      <c r="H26" s="240" t="n">
        <f aca="false">SUMIFS(ICMS_M_WT,ICMS_M_ICMS,"2.2",ICMS_M_LVL,3,ICMS_M_APP,"&lt;&gt;กันย้อน LV")+SUMIFS(ICMS_M_WT,ICMS_M_ICMS,"2.2",ICMS_M_LVL,2)</f>
        <v>0.3</v>
      </c>
      <c r="I26" s="232" t="str">
        <f aca="false">IF(D26&gt;0,"มีงบ",IF(H26&gt;0,"รองบ (มีงานใน WBS)","ยังไม่มีรายการ"))</f>
        <v>รองบ (มีงานใน WBS)</v>
      </c>
    </row>
    <row r="27" customFormat="false" ht="15" hidden="false" customHeight="false" outlineLevel="0" collapsed="false">
      <c r="A27" s="232" t="s">
        <v>1037</v>
      </c>
      <c r="B27" s="158" t="s">
        <v>1879</v>
      </c>
      <c r="C27" s="159" t="s">
        <v>1880</v>
      </c>
      <c r="D27" s="234" t="n">
        <f aca="false">SUMIF(ICMS_M_ICMS,"2.3",ICMS_M_BUD)</f>
        <v>0</v>
      </c>
      <c r="E27" s="239" t="str">
        <f aca="false">IF(OR(D27=0,D$12=0),"",D27/D$12)</f>
        <v/>
      </c>
      <c r="F27" s="234" t="str">
        <f aca="false">IF(D27=0,"",D27/ICMS_T_KWP)</f>
        <v/>
      </c>
      <c r="G27" s="234" t="str">
        <f aca="false">IF(D27=0,"",D27/ICMS_T_M2)</f>
        <v/>
      </c>
      <c r="H27" s="240" t="n">
        <f aca="false">SUMIFS(ICMS_M_WT,ICMS_M_ICMS,"2.3",ICMS_M_LVL,3,ICMS_M_APP,"&lt;&gt;กันย้อน LV")+SUMIFS(ICMS_M_WT,ICMS_M_ICMS,"2.3",ICMS_M_LVL,2)</f>
        <v>2</v>
      </c>
      <c r="I27" s="232" t="str">
        <f aca="false">IF(D27&gt;0,"มีงบ",IF(H27&gt;0,"รองบ (มีงานใน WBS)","ยังไม่มีรายการ"))</f>
        <v>รองบ (มีงานใน WBS)</v>
      </c>
    </row>
    <row r="28" customFormat="false" ht="15" hidden="false" customHeight="false" outlineLevel="0" collapsed="false">
      <c r="A28" s="232" t="s">
        <v>1063</v>
      </c>
      <c r="B28" s="158" t="s">
        <v>1881</v>
      </c>
      <c r="C28" s="159" t="s">
        <v>1882</v>
      </c>
      <c r="D28" s="234" t="n">
        <f aca="false">SUMIF(ICMS_M_ICMS,"2.4",ICMS_M_BUD)</f>
        <v>0</v>
      </c>
      <c r="E28" s="239" t="str">
        <f aca="false">IF(OR(D28=0,D$12=0),"",D28/D$12)</f>
        <v/>
      </c>
      <c r="F28" s="234" t="str">
        <f aca="false">IF(D28=0,"",D28/ICMS_T_KWP)</f>
        <v/>
      </c>
      <c r="G28" s="234" t="str">
        <f aca="false">IF(D28=0,"",D28/ICMS_T_M2)</f>
        <v/>
      </c>
      <c r="H28" s="240" t="n">
        <f aca="false">SUMIFS(ICMS_M_WT,ICMS_M_ICMS,"2.4",ICMS_M_LVL,3,ICMS_M_APP,"&lt;&gt;กันย้อน LV")+SUMIFS(ICMS_M_WT,ICMS_M_ICMS,"2.4",ICMS_M_LVL,2)</f>
        <v>0</v>
      </c>
      <c r="I28" s="232" t="str">
        <f aca="false">IF(D28&gt;0,"มีงบ",IF(H28&gt;0,"รองบ (มีงานใน WBS)","not applicable"))</f>
        <v>not applicable</v>
      </c>
    </row>
    <row r="29" customFormat="false" ht="23.85" hidden="false" customHeight="false" outlineLevel="0" collapsed="false">
      <c r="A29" s="232" t="s">
        <v>1079</v>
      </c>
      <c r="B29" s="158" t="s">
        <v>1883</v>
      </c>
      <c r="C29" s="159" t="s">
        <v>1884</v>
      </c>
      <c r="D29" s="234" t="n">
        <f aca="false">SUMIF(ICMS_M_ICMS,"2.5",ICMS_M_BUD)</f>
        <v>0</v>
      </c>
      <c r="E29" s="239" t="str">
        <f aca="false">IF(OR(D29=0,D$12=0),"",D29/D$12)</f>
        <v/>
      </c>
      <c r="F29" s="234" t="str">
        <f aca="false">IF(D29=0,"",D29/ICMS_T_KWP)</f>
        <v/>
      </c>
      <c r="G29" s="234" t="str">
        <f aca="false">IF(D29=0,"",D29/ICMS_T_M2)</f>
        <v/>
      </c>
      <c r="H29" s="240" t="n">
        <f aca="false">SUMIFS(ICMS_M_WT,ICMS_M_ICMS,"2.5",ICMS_M_LVL,3,ICMS_M_APP,"&lt;&gt;กันย้อน LV")+SUMIFS(ICMS_M_WT,ICMS_M_ICMS,"2.5",ICMS_M_LVL,2)</f>
        <v>3.75</v>
      </c>
      <c r="I29" s="232" t="str">
        <f aca="false">IF(D29&gt;0,"มีงบ",IF(H29&gt;0,"รองบ (มีงานใน WBS)","ยังไม่มีรายการ"))</f>
        <v>รองบ (มีงานใน WBS)</v>
      </c>
    </row>
    <row r="30" customFormat="false" ht="15" hidden="false" customHeight="false" outlineLevel="0" collapsed="false">
      <c r="A30" s="232" t="s">
        <v>1113</v>
      </c>
      <c r="B30" s="158" t="s">
        <v>1867</v>
      </c>
      <c r="C30" s="159" t="s">
        <v>1885</v>
      </c>
      <c r="D30" s="234" t="n">
        <f aca="false">SUMIF(ICMS_M_ICMS,"2.6",ICMS_M_BUD)</f>
        <v>0</v>
      </c>
      <c r="E30" s="239" t="str">
        <f aca="false">IF(OR(D30=0,D$12=0),"",D30/D$12)</f>
        <v/>
      </c>
      <c r="F30" s="234" t="str">
        <f aca="false">IF(D30=0,"",D30/ICMS_T_KWP)</f>
        <v/>
      </c>
      <c r="G30" s="234" t="str">
        <f aca="false">IF(D30=0,"",D30/ICMS_T_M2)</f>
        <v/>
      </c>
      <c r="H30" s="240" t="n">
        <f aca="false">SUMIFS(ICMS_M_WT,ICMS_M_ICMS,"2.6",ICMS_M_LVL,3,ICMS_M_APP,"&lt;&gt;กันย้อน LV")+SUMIFS(ICMS_M_WT,ICMS_M_ICMS,"2.6",ICMS_M_LVL,2)</f>
        <v>0</v>
      </c>
      <c r="I30" s="232" t="str">
        <f aca="false">IF(D30&gt;0,"มีงบ",IF(H30&gt;0,"รองบ (มีงานใน WBS)","ยังไม่มีรายการ"))</f>
        <v>ยังไม่มีรายการ</v>
      </c>
    </row>
    <row r="32" customFormat="false" ht="15" hidden="false" customHeight="false" outlineLevel="0" collapsed="false">
      <c r="A32" s="233" t="s">
        <v>1886</v>
      </c>
      <c r="B32" s="232" t="str">
        <f aca="false">IF(COUNTIF(ICMS_M_CHK,"⚠*")=0,"✓ งาน WBS ทุกรายการมีกลุ่ม ICMS","⚠ "&amp;COUNTIF(ICMS_M_CHK,"⚠*")&amp;" งานยังไม่จัดกลุ่ม → ชีต ICMS WBS")</f>
        <v>✓ งาน WBS ทุกรายการมีกลุ่ม ICMS</v>
      </c>
    </row>
    <row r="33" customFormat="false" ht="15" hidden="false" customHeight="false" outlineLevel="0" collapsed="false">
      <c r="B33" s="232" t="str">
        <f aca="false">IF(ABS(H12-100)&lt;0.001,"✓ น้ำหนักงานรวม 100 (สถานีกันย้อน HV, สถานี LV ใช้ 2.8.6 แทน 2.8.2 น้ำหนักเท่ากัน)","⚠ น้ำหนักงานรวมไม่เท่า 100")</f>
        <v>✓ น้ำหนักงานรวม 100 (สถานีกันย้อน HV, สถานี LV ใช้ 2.8.6 แทน 2.8.2 น้ำหนักเท่ากัน)</v>
      </c>
    </row>
    <row r="34" customFormat="false" ht="27.75" hidden="false" customHeight="true" outlineLevel="0" collapsed="false">
      <c r="A34" s="233" t="s">
        <v>1782</v>
      </c>
      <c r="B34" s="159" t="s">
        <v>1887</v>
      </c>
      <c r="C34" s="159"/>
      <c r="D34" s="159"/>
      <c r="E34" s="159"/>
      <c r="F34" s="159"/>
      <c r="G34" s="159"/>
      <c r="H34" s="159"/>
      <c r="I34" s="159"/>
    </row>
  </sheetData>
  <mergeCells count="1">
    <mergeCell ref="B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5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8.65" hidden="false" customHeight="false" outlineLevel="0" collapsed="false">
      <c r="A1" s="37" t="s">
        <v>1888</v>
      </c>
    </row>
    <row r="2" customFormat="false" ht="15" hidden="false" customHeight="false" outlineLevel="0" collapsed="false">
      <c r="A2" s="230" t="s">
        <v>1889</v>
      </c>
    </row>
    <row r="4" customFormat="false" ht="30" hidden="false" customHeight="true" outlineLevel="0" collapsed="false">
      <c r="A4" s="29" t="s">
        <v>197</v>
      </c>
      <c r="B4" s="28" t="s">
        <v>1890</v>
      </c>
      <c r="C4" s="28" t="s">
        <v>1592</v>
      </c>
      <c r="D4" s="28" t="s">
        <v>1891</v>
      </c>
      <c r="E4" s="28" t="s">
        <v>1892</v>
      </c>
      <c r="F4" s="28" t="s">
        <v>1893</v>
      </c>
      <c r="G4" s="28" t="s">
        <v>1894</v>
      </c>
      <c r="H4" s="28" t="s">
        <v>1895</v>
      </c>
      <c r="I4" s="28" t="s">
        <v>1896</v>
      </c>
      <c r="J4" s="28" t="s">
        <v>1886</v>
      </c>
      <c r="K4" s="28" t="s">
        <v>869</v>
      </c>
    </row>
    <row r="5" customFormat="false" ht="15" hidden="false" customHeight="false" outlineLevel="0" collapsed="false">
      <c r="A5" s="231" t="s">
        <v>1660</v>
      </c>
      <c r="B5" s="231" t="s">
        <v>1897</v>
      </c>
      <c r="C5" s="231" t="n">
        <v>2</v>
      </c>
      <c r="D5" s="238" t="n">
        <v>0</v>
      </c>
      <c r="E5" s="241"/>
      <c r="F5" s="242" t="str">
        <f aca="false">IF(E5="","",IFERROR(INDEX(ICMS_TH,MATCH(E5,ICMS_CODES,0)),"⚠ รหัสไม่มีใน ICMS"))</f>
        <v/>
      </c>
      <c r="G5" s="243" t="s">
        <v>1898</v>
      </c>
      <c r="H5" s="244"/>
      <c r="I5" s="244" t="str">
        <f aca="false">IF(H5="","",H5*ICMS_N_ST)</f>
        <v/>
      </c>
      <c r="J5" s="241"/>
      <c r="K5" s="245" t="s">
        <v>784</v>
      </c>
    </row>
    <row r="6" customFormat="false" ht="15" hidden="false" customHeight="false" outlineLevel="0" collapsed="false">
      <c r="A6" s="232" t="s">
        <v>208</v>
      </c>
      <c r="B6" s="246" t="s">
        <v>1899</v>
      </c>
      <c r="C6" s="232" t="n">
        <v>3</v>
      </c>
      <c r="D6" s="240" t="n">
        <v>0</v>
      </c>
      <c r="E6" s="247" t="s">
        <v>1863</v>
      </c>
      <c r="F6" s="232" t="str">
        <f aca="false">IF(E6="","",IFERROR(INDEX(ICMS_TH,MATCH(E6,ICMS_CODES,0)),"⚠ รหัสไม่มีใน ICMS"))</f>
        <v>ค่าดำเนินการหน้างานของผู้รับเหมา</v>
      </c>
      <c r="G6" s="161"/>
      <c r="H6" s="248"/>
      <c r="I6" s="234" t="str">
        <f aca="false">IF(H6="","",H6*ICMS_N_ST)</f>
        <v/>
      </c>
      <c r="J6" s="249" t="str">
        <f aca="false">IF(E6="",IF(LEFT(G6,5)="นอกขอ","นอกขอบเขต","⚠ ยังไม่จัดกลุ่ม"),IF(COUNTIF(ICMS_GROUPS,E6)=0,"⚠ รหัสผิด","✓"))</f>
        <v>✓</v>
      </c>
      <c r="K6" s="250" t="s">
        <v>784</v>
      </c>
    </row>
    <row r="7" customFormat="false" ht="15" hidden="false" customHeight="false" outlineLevel="0" collapsed="false">
      <c r="A7" s="232" t="s">
        <v>212</v>
      </c>
      <c r="B7" s="246" t="s">
        <v>1900</v>
      </c>
      <c r="C7" s="232" t="n">
        <v>3</v>
      </c>
      <c r="D7" s="240" t="n">
        <v>0</v>
      </c>
      <c r="E7" s="247" t="s">
        <v>1863</v>
      </c>
      <c r="F7" s="232" t="str">
        <f aca="false">IF(E7="","",IFERROR(INDEX(ICMS_TH,MATCH(E7,ICMS_CODES,0)),"⚠ รหัสไม่มีใน ICMS"))</f>
        <v>ค่าดำเนินการหน้างานของผู้รับเหมา</v>
      </c>
      <c r="G7" s="161"/>
      <c r="H7" s="248"/>
      <c r="I7" s="234" t="str">
        <f aca="false">IF(H7="","",H7*ICMS_N_ST)</f>
        <v/>
      </c>
      <c r="J7" s="249" t="str">
        <f aca="false">IF(E7="",IF(LEFT(G7,5)="นอกขอ","นอกขอบเขต","⚠ ยังไม่จัดกลุ่ม"),IF(COUNTIF(ICMS_GROUPS,E7)=0,"⚠ รหัสผิด","✓"))</f>
        <v>✓</v>
      </c>
      <c r="K7" s="250" t="s">
        <v>784</v>
      </c>
    </row>
    <row r="8" customFormat="false" ht="15" hidden="false" customHeight="false" outlineLevel="0" collapsed="false">
      <c r="A8" s="232" t="s">
        <v>215</v>
      </c>
      <c r="B8" s="246" t="s">
        <v>1901</v>
      </c>
      <c r="C8" s="232" t="n">
        <v>3</v>
      </c>
      <c r="D8" s="240" t="n">
        <v>0</v>
      </c>
      <c r="E8" s="247" t="s">
        <v>1863</v>
      </c>
      <c r="F8" s="232" t="str">
        <f aca="false">IF(E8="","",IFERROR(INDEX(ICMS_TH,MATCH(E8,ICMS_CODES,0)),"⚠ รหัสไม่มีใน ICMS"))</f>
        <v>ค่าดำเนินการหน้างานของผู้รับเหมา</v>
      </c>
      <c r="G8" s="161"/>
      <c r="H8" s="248"/>
      <c r="I8" s="234" t="str">
        <f aca="false">IF(H8="","",H8*ICMS_N_ST)</f>
        <v/>
      </c>
      <c r="J8" s="249" t="str">
        <f aca="false">IF(E8="",IF(LEFT(G8,5)="นอกขอ","นอกขอบเขต","⚠ ยังไม่จัดกลุ่ม"),IF(COUNTIF(ICMS_GROUPS,E8)=0,"⚠ รหัสผิด","✓"))</f>
        <v>✓</v>
      </c>
      <c r="K8" s="250" t="s">
        <v>784</v>
      </c>
    </row>
    <row r="9" customFormat="false" ht="15" hidden="false" customHeight="false" outlineLevel="0" collapsed="false">
      <c r="A9" s="232" t="s">
        <v>218</v>
      </c>
      <c r="B9" s="246" t="s">
        <v>1902</v>
      </c>
      <c r="C9" s="232" t="n">
        <v>3</v>
      </c>
      <c r="D9" s="240" t="n">
        <v>0</v>
      </c>
      <c r="E9" s="247" t="s">
        <v>1863</v>
      </c>
      <c r="F9" s="232" t="str">
        <f aca="false">IF(E9="","",IFERROR(INDEX(ICMS_TH,MATCH(E9,ICMS_CODES,0)),"⚠ รหัสไม่มีใน ICMS"))</f>
        <v>ค่าดำเนินการหน้างานของผู้รับเหมา</v>
      </c>
      <c r="G9" s="161"/>
      <c r="H9" s="248"/>
      <c r="I9" s="234" t="str">
        <f aca="false">IF(H9="","",H9*ICMS_N_ST)</f>
        <v/>
      </c>
      <c r="J9" s="249" t="str">
        <f aca="false">IF(E9="",IF(LEFT(G9,5)="นอกขอ","นอกขอบเขต","⚠ ยังไม่จัดกลุ่ม"),IF(COUNTIF(ICMS_GROUPS,E9)=0,"⚠ รหัสผิด","✓"))</f>
        <v>✓</v>
      </c>
      <c r="K9" s="250" t="s">
        <v>784</v>
      </c>
    </row>
    <row r="10" customFormat="false" ht="15" hidden="false" customHeight="false" outlineLevel="0" collapsed="false">
      <c r="A10" s="232" t="s">
        <v>221</v>
      </c>
      <c r="B10" s="246" t="s">
        <v>1903</v>
      </c>
      <c r="C10" s="232" t="n">
        <v>3</v>
      </c>
      <c r="D10" s="240" t="n">
        <v>0</v>
      </c>
      <c r="E10" s="247" t="s">
        <v>1863</v>
      </c>
      <c r="F10" s="232" t="str">
        <f aca="false">IF(E10="","",IFERROR(INDEX(ICMS_TH,MATCH(E10,ICMS_CODES,0)),"⚠ รหัสไม่มีใน ICMS"))</f>
        <v>ค่าดำเนินการหน้างานของผู้รับเหมา</v>
      </c>
      <c r="G10" s="161"/>
      <c r="H10" s="248"/>
      <c r="I10" s="234" t="str">
        <f aca="false">IF(H10="","",H10*ICMS_N_ST)</f>
        <v/>
      </c>
      <c r="J10" s="249" t="str">
        <f aca="false">IF(E10="",IF(LEFT(G10,5)="นอกขอ","นอกขอบเขต","⚠ ยังไม่จัดกลุ่ม"),IF(COUNTIF(ICMS_GROUPS,E10)=0,"⚠ รหัสผิด","✓"))</f>
        <v>✓</v>
      </c>
      <c r="K10" s="250" t="s">
        <v>784</v>
      </c>
    </row>
    <row r="11" customFormat="false" ht="15" hidden="false" customHeight="false" outlineLevel="0" collapsed="false">
      <c r="A11" s="232" t="s">
        <v>224</v>
      </c>
      <c r="B11" s="246" t="s">
        <v>1904</v>
      </c>
      <c r="C11" s="232" t="n">
        <v>3</v>
      </c>
      <c r="D11" s="240" t="n">
        <v>0</v>
      </c>
      <c r="E11" s="247" t="s">
        <v>1863</v>
      </c>
      <c r="F11" s="232" t="str">
        <f aca="false">IF(E11="","",IFERROR(INDEX(ICMS_TH,MATCH(E11,ICMS_CODES,0)),"⚠ รหัสไม่มีใน ICMS"))</f>
        <v>ค่าดำเนินการหน้างานของผู้รับเหมา</v>
      </c>
      <c r="G11" s="161"/>
      <c r="H11" s="248"/>
      <c r="I11" s="234" t="str">
        <f aca="false">IF(H11="","",H11*ICMS_N_ST)</f>
        <v/>
      </c>
      <c r="J11" s="249" t="str">
        <f aca="false">IF(E11="",IF(LEFT(G11,5)="นอกขอ","นอกขอบเขต","⚠ ยังไม่จัดกลุ่ม"),IF(COUNTIF(ICMS_GROUPS,E11)=0,"⚠ รหัสผิด","✓"))</f>
        <v>✓</v>
      </c>
      <c r="K11" s="250" t="s">
        <v>784</v>
      </c>
    </row>
    <row r="12" customFormat="false" ht="15" hidden="false" customHeight="false" outlineLevel="0" collapsed="false">
      <c r="A12" s="231" t="s">
        <v>1685</v>
      </c>
      <c r="B12" s="233" t="s">
        <v>1905</v>
      </c>
      <c r="C12" s="231" t="n">
        <v>2</v>
      </c>
      <c r="D12" s="238" t="n">
        <v>0</v>
      </c>
      <c r="E12" s="241"/>
      <c r="F12" s="242" t="str">
        <f aca="false">IF(E12="","",IFERROR(INDEX(ICMS_TH,MATCH(E12,ICMS_CODES,0)),"⚠ รหัสไม่มีใน ICMS"))</f>
        <v/>
      </c>
      <c r="G12" s="243" t="s">
        <v>1898</v>
      </c>
      <c r="H12" s="244"/>
      <c r="I12" s="244" t="str">
        <f aca="false">IF(H12="","",H12*ICMS_N_ST)</f>
        <v/>
      </c>
      <c r="J12" s="241"/>
      <c r="K12" s="245" t="s">
        <v>784</v>
      </c>
    </row>
    <row r="13" customFormat="false" ht="15" hidden="false" customHeight="false" outlineLevel="0" collapsed="false">
      <c r="A13" s="232" t="s">
        <v>227</v>
      </c>
      <c r="B13" s="246" t="s">
        <v>1906</v>
      </c>
      <c r="C13" s="232" t="n">
        <v>3</v>
      </c>
      <c r="D13" s="240" t="n">
        <v>0</v>
      </c>
      <c r="E13" s="247" t="s">
        <v>1491</v>
      </c>
      <c r="F13" s="232" t="str">
        <f aca="false">IF(E13="","",IFERROR(INDEX(ICMS_TH,MATCH(E13,ICMS_CODES,0)),"⚠ รหัสไม่มีใน ICMS"))</f>
        <v>ระบบและอุปกรณ์</v>
      </c>
      <c r="G13" s="161" t="s">
        <v>1907</v>
      </c>
      <c r="H13" s="248"/>
      <c r="I13" s="234" t="str">
        <f aca="false">IF(H13="","",H13*ICMS_N_ST)</f>
        <v/>
      </c>
      <c r="J13" s="249" t="str">
        <f aca="false">IF(E13="",IF(LEFT(G13,5)="นอกขอ","นอกขอบเขต","⚠ ยังไม่จัดกลุ่ม"),IF(COUNTIF(ICMS_GROUPS,E13)=0,"⚠ รหัสผิด","✓"))</f>
        <v>✓</v>
      </c>
      <c r="K13" s="250" t="s">
        <v>784</v>
      </c>
    </row>
    <row r="14" customFormat="false" ht="15" hidden="false" customHeight="false" outlineLevel="0" collapsed="false">
      <c r="A14" s="232" t="s">
        <v>230</v>
      </c>
      <c r="B14" s="246" t="s">
        <v>1908</v>
      </c>
      <c r="C14" s="232" t="n">
        <v>3</v>
      </c>
      <c r="D14" s="240" t="n">
        <v>0</v>
      </c>
      <c r="E14" s="247" t="s">
        <v>1491</v>
      </c>
      <c r="F14" s="232" t="str">
        <f aca="false">IF(E14="","",IFERROR(INDEX(ICMS_TH,MATCH(E14,ICMS_CODES,0)),"⚠ รหัสไม่มีใน ICMS"))</f>
        <v>ระบบและอุปกรณ์</v>
      </c>
      <c r="G14" s="161" t="s">
        <v>1909</v>
      </c>
      <c r="H14" s="248"/>
      <c r="I14" s="234" t="str">
        <f aca="false">IF(H14="","",H14*ICMS_N_ST)</f>
        <v/>
      </c>
      <c r="J14" s="249" t="str">
        <f aca="false">IF(E14="",IF(LEFT(G14,5)="นอกขอ","นอกขอบเขต","⚠ ยังไม่จัดกลุ่ม"),IF(COUNTIF(ICMS_GROUPS,E14)=0,"⚠ รหัสผิด","✓"))</f>
        <v>✓</v>
      </c>
      <c r="K14" s="250" t="s">
        <v>784</v>
      </c>
    </row>
    <row r="15" customFormat="false" ht="15" hidden="false" customHeight="false" outlineLevel="0" collapsed="false">
      <c r="A15" s="232" t="s">
        <v>233</v>
      </c>
      <c r="B15" s="246" t="s">
        <v>1910</v>
      </c>
      <c r="C15" s="232" t="n">
        <v>3</v>
      </c>
      <c r="D15" s="240" t="n">
        <v>0</v>
      </c>
      <c r="E15" s="247" t="s">
        <v>1491</v>
      </c>
      <c r="F15" s="232" t="str">
        <f aca="false">IF(E15="","",IFERROR(INDEX(ICMS_TH,MATCH(E15,ICMS_CODES,0)),"⚠ รหัสไม่มีใน ICMS"))</f>
        <v>ระบบและอุปกรณ์</v>
      </c>
      <c r="G15" s="161" t="s">
        <v>1909</v>
      </c>
      <c r="H15" s="248"/>
      <c r="I15" s="234" t="str">
        <f aca="false">IF(H15="","",H15*ICMS_N_ST)</f>
        <v/>
      </c>
      <c r="J15" s="249" t="str">
        <f aca="false">IF(E15="",IF(LEFT(G15,5)="นอกขอ","นอกขอบเขต","⚠ ยังไม่จัดกลุ่ม"),IF(COUNTIF(ICMS_GROUPS,E15)=0,"⚠ รหัสผิด","✓"))</f>
        <v>✓</v>
      </c>
      <c r="K15" s="250" t="s">
        <v>784</v>
      </c>
    </row>
    <row r="16" customFormat="false" ht="15" hidden="false" customHeight="false" outlineLevel="0" collapsed="false">
      <c r="A16" s="232" t="s">
        <v>236</v>
      </c>
      <c r="B16" s="246" t="s">
        <v>1911</v>
      </c>
      <c r="C16" s="232" t="n">
        <v>3</v>
      </c>
      <c r="D16" s="240" t="n">
        <v>0</v>
      </c>
      <c r="E16" s="247" t="s">
        <v>1850</v>
      </c>
      <c r="F16" s="232" t="str">
        <f aca="false">IF(E16="","",IFERROR(INDEX(ICMS_TH,MATCH(E16,ICMS_CODES,0)),"⚠ รหัสไม่มีใน ICMS"))</f>
        <v>โครงสร้าง</v>
      </c>
      <c r="G16" s="161" t="s">
        <v>1912</v>
      </c>
      <c r="H16" s="248"/>
      <c r="I16" s="234" t="str">
        <f aca="false">IF(H16="","",H16*ICMS_N_ST)</f>
        <v/>
      </c>
      <c r="J16" s="249" t="str">
        <f aca="false">IF(E16="",IF(LEFT(G16,5)="นอกขอ","นอกขอบเขต","⚠ ยังไม่จัดกลุ่ม"),IF(COUNTIF(ICMS_GROUPS,E16)=0,"⚠ รหัสผิด","✓"))</f>
        <v>✓</v>
      </c>
      <c r="K16" s="250" t="s">
        <v>784</v>
      </c>
    </row>
    <row r="17" customFormat="false" ht="15" hidden="false" customHeight="false" outlineLevel="0" collapsed="false">
      <c r="A17" s="232" t="s">
        <v>239</v>
      </c>
      <c r="B17" s="246" t="s">
        <v>1913</v>
      </c>
      <c r="C17" s="232" t="n">
        <v>3</v>
      </c>
      <c r="D17" s="240" t="n">
        <v>0</v>
      </c>
      <c r="E17" s="247" t="s">
        <v>1491</v>
      </c>
      <c r="F17" s="232" t="str">
        <f aca="false">IF(E17="","",IFERROR(INDEX(ICMS_TH,MATCH(E17,ICMS_CODES,0)),"⚠ รหัสไม่มีใน ICMS"))</f>
        <v>ระบบและอุปกรณ์</v>
      </c>
      <c r="G17" s="161" t="s">
        <v>1909</v>
      </c>
      <c r="H17" s="248"/>
      <c r="I17" s="234" t="str">
        <f aca="false">IF(H17="","",H17*ICMS_N_ST)</f>
        <v/>
      </c>
      <c r="J17" s="249" t="str">
        <f aca="false">IF(E17="",IF(LEFT(G17,5)="นอกขอ","นอกขอบเขต","⚠ ยังไม่จัดกลุ่ม"),IF(COUNTIF(ICMS_GROUPS,E17)=0,"⚠ รหัสผิด","✓"))</f>
        <v>✓</v>
      </c>
      <c r="K17" s="250" t="s">
        <v>784</v>
      </c>
    </row>
    <row r="18" customFormat="false" ht="15" hidden="false" customHeight="false" outlineLevel="0" collapsed="false">
      <c r="A18" s="232" t="s">
        <v>242</v>
      </c>
      <c r="B18" s="246" t="s">
        <v>1914</v>
      </c>
      <c r="C18" s="232" t="n">
        <v>3</v>
      </c>
      <c r="D18" s="240" t="n">
        <v>0</v>
      </c>
      <c r="E18" s="247" t="s">
        <v>1491</v>
      </c>
      <c r="F18" s="232" t="str">
        <f aca="false">IF(E18="","",IFERROR(INDEX(ICMS_TH,MATCH(E18,ICMS_CODES,0)),"⚠ รหัสไม่มีใน ICMS"))</f>
        <v>ระบบและอุปกรณ์</v>
      </c>
      <c r="G18" s="161" t="s">
        <v>1909</v>
      </c>
      <c r="H18" s="248"/>
      <c r="I18" s="234" t="str">
        <f aca="false">IF(H18="","",H18*ICMS_N_ST)</f>
        <v/>
      </c>
      <c r="J18" s="249" t="str">
        <f aca="false">IF(E18="",IF(LEFT(G18,5)="นอกขอ","นอกขอบเขต","⚠ ยังไม่จัดกลุ่ม"),IF(COUNTIF(ICMS_GROUPS,E18)=0,"⚠ รหัสผิด","✓"))</f>
        <v>✓</v>
      </c>
      <c r="K18" s="250" t="s">
        <v>784</v>
      </c>
    </row>
    <row r="19" customFormat="false" ht="15" hidden="false" customHeight="false" outlineLevel="0" collapsed="false">
      <c r="A19" s="232" t="s">
        <v>245</v>
      </c>
      <c r="B19" s="246" t="s">
        <v>1915</v>
      </c>
      <c r="C19" s="232" t="n">
        <v>3</v>
      </c>
      <c r="D19" s="240" t="n">
        <v>0</v>
      </c>
      <c r="E19" s="247" t="s">
        <v>1491</v>
      </c>
      <c r="F19" s="232" t="str">
        <f aca="false">IF(E19="","",IFERROR(INDEX(ICMS_TH,MATCH(E19,ICMS_CODES,0)),"⚠ รหัสไม่มีใน ICMS"))</f>
        <v>ระบบและอุปกรณ์</v>
      </c>
      <c r="G19" s="161" t="s">
        <v>1909</v>
      </c>
      <c r="H19" s="248"/>
      <c r="I19" s="234" t="str">
        <f aca="false">IF(H19="","",H19*ICMS_N_ST)</f>
        <v/>
      </c>
      <c r="J19" s="249" t="str">
        <f aca="false">IF(E19="",IF(LEFT(G19,5)="นอกขอ","นอกขอบเขต","⚠ ยังไม่จัดกลุ่ม"),IF(COUNTIF(ICMS_GROUPS,E19)=0,"⚠ รหัสผิด","✓"))</f>
        <v>✓</v>
      </c>
      <c r="K19" s="250" t="s">
        <v>1146</v>
      </c>
    </row>
    <row r="20" customFormat="false" ht="15" hidden="false" customHeight="false" outlineLevel="0" collapsed="false">
      <c r="A20" s="232" t="s">
        <v>248</v>
      </c>
      <c r="B20" s="246" t="s">
        <v>1916</v>
      </c>
      <c r="C20" s="232" t="n">
        <v>3</v>
      </c>
      <c r="D20" s="240" t="n">
        <v>0</v>
      </c>
      <c r="E20" s="247" t="s">
        <v>1491</v>
      </c>
      <c r="F20" s="232" t="str">
        <f aca="false">IF(E20="","",IFERROR(INDEX(ICMS_TH,MATCH(E20,ICMS_CODES,0)),"⚠ รหัสไม่มีใน ICMS"))</f>
        <v>ระบบและอุปกรณ์</v>
      </c>
      <c r="G20" s="161" t="s">
        <v>1909</v>
      </c>
      <c r="H20" s="248"/>
      <c r="I20" s="234" t="str">
        <f aca="false">IF(H20="","",H20*ICMS_N_ST)</f>
        <v/>
      </c>
      <c r="J20" s="249" t="str">
        <f aca="false">IF(E20="",IF(LEFT(G20,5)="นอกขอ","นอกขอบเขต","⚠ ยังไม่จัดกลุ่ม"),IF(COUNTIF(ICMS_GROUPS,E20)=0,"⚠ รหัสผิด","✓"))</f>
        <v>✓</v>
      </c>
      <c r="K20" s="250" t="s">
        <v>784</v>
      </c>
    </row>
    <row r="21" customFormat="false" ht="15" hidden="false" customHeight="false" outlineLevel="0" collapsed="false">
      <c r="A21" s="231" t="s">
        <v>1917</v>
      </c>
      <c r="B21" s="233" t="s">
        <v>1918</v>
      </c>
      <c r="C21" s="231" t="n">
        <v>2</v>
      </c>
      <c r="D21" s="238" t="n">
        <v>0</v>
      </c>
      <c r="E21" s="241"/>
      <c r="F21" s="242" t="str">
        <f aca="false">IF(E21="","",IFERROR(INDEX(ICMS_TH,MATCH(E21,ICMS_CODES,0)),"⚠ รหัสไม่มีใน ICMS"))</f>
        <v/>
      </c>
      <c r="G21" s="243" t="s">
        <v>1898</v>
      </c>
      <c r="H21" s="244"/>
      <c r="I21" s="244" t="str">
        <f aca="false">IF(H21="","",H21*ICMS_N_ST)</f>
        <v/>
      </c>
      <c r="J21" s="241"/>
      <c r="K21" s="245" t="s">
        <v>784</v>
      </c>
    </row>
    <row r="22" customFormat="false" ht="15" hidden="false" customHeight="false" outlineLevel="0" collapsed="false">
      <c r="A22" s="232" t="s">
        <v>251</v>
      </c>
      <c r="B22" s="246" t="s">
        <v>1919</v>
      </c>
      <c r="C22" s="232" t="n">
        <v>3</v>
      </c>
      <c r="D22" s="240" t="n">
        <v>0</v>
      </c>
      <c r="E22" s="247" t="s">
        <v>1079</v>
      </c>
      <c r="F22" s="232" t="str">
        <f aca="false">IF(E22="","",IFERROR(INDEX(ICMS_TH,MATCH(E22,ICMS_CODES,0)),"⚠ รหัสไม่มีใน ICMS"))</f>
        <v>ค่าบริหาร การเงิน กฎหมาย</v>
      </c>
      <c r="G22" s="161"/>
      <c r="H22" s="248"/>
      <c r="I22" s="234" t="str">
        <f aca="false">IF(H22="","",H22*ICMS_N_ST)</f>
        <v/>
      </c>
      <c r="J22" s="249" t="str">
        <f aca="false">IF(E22="",IF(LEFT(G22,5)="นอกขอ","นอกขอบเขต","⚠ ยังไม่จัดกลุ่ม"),IF(COUNTIF(ICMS_GROUPS,E22)=0,"⚠ รหัสผิด","✓"))</f>
        <v>✓</v>
      </c>
      <c r="K22" s="250" t="s">
        <v>784</v>
      </c>
    </row>
    <row r="23" customFormat="false" ht="15" hidden="false" customHeight="false" outlineLevel="0" collapsed="false">
      <c r="A23" s="232" t="s">
        <v>254</v>
      </c>
      <c r="B23" s="246" t="s">
        <v>1920</v>
      </c>
      <c r="C23" s="232" t="n">
        <v>3</v>
      </c>
      <c r="D23" s="240" t="n">
        <v>0</v>
      </c>
      <c r="E23" s="247" t="s">
        <v>1079</v>
      </c>
      <c r="F23" s="232" t="str">
        <f aca="false">IF(E23="","",IFERROR(INDEX(ICMS_TH,MATCH(E23,ICMS_CODES,0)),"⚠ รหัสไม่มีใน ICMS"))</f>
        <v>ค่าบริหาร การเงิน กฎหมาย</v>
      </c>
      <c r="G23" s="161"/>
      <c r="H23" s="248"/>
      <c r="I23" s="234" t="str">
        <f aca="false">IF(H23="","",H23*ICMS_N_ST)</f>
        <v/>
      </c>
      <c r="J23" s="249" t="str">
        <f aca="false">IF(E23="",IF(LEFT(G23,5)="นอกขอ","นอกขอบเขต","⚠ ยังไม่จัดกลุ่ม"),IF(COUNTIF(ICMS_GROUPS,E23)=0,"⚠ รหัสผิด","✓"))</f>
        <v>✓</v>
      </c>
      <c r="K23" s="250" t="s">
        <v>784</v>
      </c>
    </row>
    <row r="24" customFormat="false" ht="15" hidden="false" customHeight="false" outlineLevel="0" collapsed="false">
      <c r="A24" s="232" t="s">
        <v>257</v>
      </c>
      <c r="B24" s="246" t="s">
        <v>1921</v>
      </c>
      <c r="C24" s="232" t="n">
        <v>3</v>
      </c>
      <c r="D24" s="240" t="n">
        <v>0</v>
      </c>
      <c r="E24" s="247" t="s">
        <v>1079</v>
      </c>
      <c r="F24" s="232" t="str">
        <f aca="false">IF(E24="","",IFERROR(INDEX(ICMS_TH,MATCH(E24,ICMS_CODES,0)),"⚠ รหัสไม่มีใน ICMS"))</f>
        <v>ค่าบริหาร การเงิน กฎหมาย</v>
      </c>
      <c r="G24" s="161"/>
      <c r="H24" s="248"/>
      <c r="I24" s="234" t="str">
        <f aca="false">IF(H24="","",H24*ICMS_N_ST)</f>
        <v/>
      </c>
      <c r="J24" s="249" t="str">
        <f aca="false">IF(E24="",IF(LEFT(G24,5)="นอกขอ","นอกขอบเขต","⚠ ยังไม่จัดกลุ่ม"),IF(COUNTIF(ICMS_GROUPS,E24)=0,"⚠ รหัสผิด","✓"))</f>
        <v>✓</v>
      </c>
      <c r="K24" s="250" t="s">
        <v>784</v>
      </c>
    </row>
    <row r="25" customFormat="false" ht="15" hidden="false" customHeight="false" outlineLevel="0" collapsed="false">
      <c r="A25" s="231" t="s">
        <v>1844</v>
      </c>
      <c r="B25" s="231" t="s">
        <v>1922</v>
      </c>
      <c r="C25" s="231" t="n">
        <v>2</v>
      </c>
      <c r="D25" s="238" t="n">
        <v>0.5</v>
      </c>
      <c r="E25" s="241"/>
      <c r="F25" s="242" t="str">
        <f aca="false">IF(E25="","",IFERROR(INDEX(ICMS_TH,MATCH(E25,ICMS_CODES,0)),"⚠ รหัสไม่มีใน ICMS"))</f>
        <v/>
      </c>
      <c r="G25" s="243" t="s">
        <v>1898</v>
      </c>
      <c r="H25" s="244"/>
      <c r="I25" s="244" t="str">
        <f aca="false">IF(H25="","",H25*ICMS_N_ST)</f>
        <v/>
      </c>
      <c r="J25" s="241"/>
      <c r="K25" s="245" t="s">
        <v>784</v>
      </c>
    </row>
    <row r="26" customFormat="false" ht="15" hidden="false" customHeight="false" outlineLevel="0" collapsed="false">
      <c r="A26" s="232" t="s">
        <v>260</v>
      </c>
      <c r="B26" s="246" t="s">
        <v>1923</v>
      </c>
      <c r="C26" s="232" t="n">
        <v>3</v>
      </c>
      <c r="D26" s="240" t="n">
        <v>0.2</v>
      </c>
      <c r="E26" s="247" t="s">
        <v>1863</v>
      </c>
      <c r="F26" s="232" t="str">
        <f aca="false">IF(E26="","",IFERROR(INDEX(ICMS_TH,MATCH(E26,ICMS_CODES,0)),"⚠ รหัสไม่มีใน ICMS"))</f>
        <v>ค่าดำเนินการหน้างานของผู้รับเหมา</v>
      </c>
      <c r="G26" s="161"/>
      <c r="H26" s="248"/>
      <c r="I26" s="234" t="str">
        <f aca="false">IF(H26="","",H26*ICMS_N_ST)</f>
        <v/>
      </c>
      <c r="J26" s="249" t="str">
        <f aca="false">IF(E26="",IF(LEFT(G26,5)="นอกขอ","นอกขอบเขต","⚠ ยังไม่จัดกลุ่ม"),IF(COUNTIF(ICMS_GROUPS,E26)=0,"⚠ รหัสผิด","✓"))</f>
        <v>✓</v>
      </c>
      <c r="K26" s="250" t="s">
        <v>784</v>
      </c>
    </row>
    <row r="27" customFormat="false" ht="15" hidden="false" customHeight="false" outlineLevel="0" collapsed="false">
      <c r="A27" s="232" t="s">
        <v>263</v>
      </c>
      <c r="B27" s="246" t="s">
        <v>1924</v>
      </c>
      <c r="C27" s="232" t="n">
        <v>3</v>
      </c>
      <c r="D27" s="240" t="n">
        <v>0.1</v>
      </c>
      <c r="E27" s="247" t="s">
        <v>1079</v>
      </c>
      <c r="F27" s="232" t="str">
        <f aca="false">IF(E27="","",IFERROR(INDEX(ICMS_TH,MATCH(E27,ICMS_CODES,0)),"⚠ รหัสไม่มีใน ICMS"))</f>
        <v>ค่าบริหาร การเงิน กฎหมาย</v>
      </c>
      <c r="G27" s="161"/>
      <c r="H27" s="248"/>
      <c r="I27" s="234" t="str">
        <f aca="false">IF(H27="","",H27*ICMS_N_ST)</f>
        <v/>
      </c>
      <c r="J27" s="249" t="str">
        <f aca="false">IF(E27="",IF(LEFT(G27,5)="นอกขอ","นอกขอบเขต","⚠ ยังไม่จัดกลุ่ม"),IF(COUNTIF(ICMS_GROUPS,E27)=0,"⚠ รหัสผิด","✓"))</f>
        <v>✓</v>
      </c>
      <c r="K27" s="250" t="s">
        <v>784</v>
      </c>
    </row>
    <row r="28" customFormat="false" ht="15" hidden="false" customHeight="false" outlineLevel="0" collapsed="false">
      <c r="A28" s="232" t="s">
        <v>266</v>
      </c>
      <c r="B28" s="246" t="s">
        <v>1925</v>
      </c>
      <c r="C28" s="232" t="n">
        <v>3</v>
      </c>
      <c r="D28" s="240" t="n">
        <v>0.2</v>
      </c>
      <c r="E28" s="247" t="s">
        <v>1863</v>
      </c>
      <c r="F28" s="232" t="str">
        <f aca="false">IF(E28="","",IFERROR(INDEX(ICMS_TH,MATCH(E28,ICMS_CODES,0)),"⚠ รหัสไม่มีใน ICMS"))</f>
        <v>ค่าดำเนินการหน้างานของผู้รับเหมา</v>
      </c>
      <c r="G28" s="161" t="s">
        <v>1926</v>
      </c>
      <c r="H28" s="248"/>
      <c r="I28" s="234" t="str">
        <f aca="false">IF(H28="","",H28*ICMS_N_ST)</f>
        <v/>
      </c>
      <c r="J28" s="249" t="str">
        <f aca="false">IF(E28="",IF(LEFT(G28,5)="นอกขอ","นอกขอบเขต","⚠ ยังไม่จัดกลุ่ม"),IF(COUNTIF(ICMS_GROUPS,E28)=0,"⚠ รหัสผิด","✓"))</f>
        <v>✓</v>
      </c>
      <c r="K28" s="250" t="s">
        <v>784</v>
      </c>
    </row>
    <row r="29" customFormat="false" ht="15" hidden="false" customHeight="false" outlineLevel="0" collapsed="false">
      <c r="A29" s="231" t="s">
        <v>1847</v>
      </c>
      <c r="B29" s="231" t="s">
        <v>1927</v>
      </c>
      <c r="C29" s="231" t="n">
        <v>2</v>
      </c>
      <c r="D29" s="238" t="n">
        <v>1</v>
      </c>
      <c r="E29" s="241"/>
      <c r="F29" s="242" t="str">
        <f aca="false">IF(E29="","",IFERROR(INDEX(ICMS_TH,MATCH(E29,ICMS_CODES,0)),"⚠ รหัสไม่มีใน ICMS"))</f>
        <v/>
      </c>
      <c r="G29" s="243" t="s">
        <v>1898</v>
      </c>
      <c r="H29" s="244"/>
      <c r="I29" s="244" t="str">
        <f aca="false">IF(H29="","",H29*ICMS_N_ST)</f>
        <v/>
      </c>
      <c r="J29" s="241"/>
      <c r="K29" s="245" t="s">
        <v>784</v>
      </c>
    </row>
    <row r="30" customFormat="false" ht="15" hidden="false" customHeight="false" outlineLevel="0" collapsed="false">
      <c r="A30" s="232" t="s">
        <v>269</v>
      </c>
      <c r="B30" s="232" t="s">
        <v>1928</v>
      </c>
      <c r="C30" s="232" t="n">
        <v>3</v>
      </c>
      <c r="D30" s="240" t="n">
        <v>0.3</v>
      </c>
      <c r="E30" s="247" t="s">
        <v>1863</v>
      </c>
      <c r="F30" s="232" t="str">
        <f aca="false">IF(E30="","",IFERROR(INDEX(ICMS_TH,MATCH(E30,ICMS_CODES,0)),"⚠ รหัสไม่มีใน ICMS"))</f>
        <v>ค่าดำเนินการหน้างานของผู้รับเหมา</v>
      </c>
      <c r="G30" s="164" t="s">
        <v>1929</v>
      </c>
      <c r="H30" s="248"/>
      <c r="I30" s="234" t="str">
        <f aca="false">IF(H30="","",H30*ICMS_N_ST)</f>
        <v/>
      </c>
      <c r="J30" s="249" t="str">
        <f aca="false">IF(E30="",IF(LEFT(G30,5)="นอกขอ","นอกขอบเขต","⚠ ยังไม่จัดกลุ่ม"),IF(COUNTIF(ICMS_GROUPS,E30)=0,"⚠ รหัสผิด","✓"))</f>
        <v>✓</v>
      </c>
      <c r="K30" s="250" t="s">
        <v>784</v>
      </c>
    </row>
    <row r="31" customFormat="false" ht="15" hidden="false" customHeight="false" outlineLevel="0" collapsed="false">
      <c r="A31" s="232" t="s">
        <v>272</v>
      </c>
      <c r="B31" s="246" t="s">
        <v>1930</v>
      </c>
      <c r="C31" s="232" t="n">
        <v>3</v>
      </c>
      <c r="D31" s="240" t="n">
        <v>0.3</v>
      </c>
      <c r="E31" s="247" t="s">
        <v>1863</v>
      </c>
      <c r="F31" s="232" t="str">
        <f aca="false">IF(E31="","",IFERROR(INDEX(ICMS_TH,MATCH(E31,ICMS_CODES,0)),"⚠ รหัสไม่มีใน ICMS"))</f>
        <v>ค่าดำเนินการหน้างานของผู้รับเหมา</v>
      </c>
      <c r="G31" s="164" t="s">
        <v>1929</v>
      </c>
      <c r="H31" s="248"/>
      <c r="I31" s="234" t="str">
        <f aca="false">IF(H31="","",H31*ICMS_N_ST)</f>
        <v/>
      </c>
      <c r="J31" s="249" t="str">
        <f aca="false">IF(E31="",IF(LEFT(G31,5)="นอกขอ","นอกขอบเขต","⚠ ยังไม่จัดกลุ่ม"),IF(COUNTIF(ICMS_GROUPS,E31)=0,"⚠ รหัสผิด","✓"))</f>
        <v>✓</v>
      </c>
      <c r="K31" s="250" t="s">
        <v>784</v>
      </c>
    </row>
    <row r="32" customFormat="false" ht="15" hidden="false" customHeight="false" outlineLevel="0" collapsed="false">
      <c r="A32" s="232" t="s">
        <v>275</v>
      </c>
      <c r="B32" s="246" t="s">
        <v>1931</v>
      </c>
      <c r="C32" s="232" t="n">
        <v>3</v>
      </c>
      <c r="D32" s="240" t="n">
        <v>0.1</v>
      </c>
      <c r="E32" s="247" t="s">
        <v>1863</v>
      </c>
      <c r="F32" s="232" t="str">
        <f aca="false">IF(E32="","",IFERROR(INDEX(ICMS_TH,MATCH(E32,ICMS_CODES,0)),"⚠ รหัสไม่มีใน ICMS"))</f>
        <v>ค่าดำเนินการหน้างานของผู้รับเหมา</v>
      </c>
      <c r="G32" s="164" t="s">
        <v>1929</v>
      </c>
      <c r="H32" s="248"/>
      <c r="I32" s="234" t="str">
        <f aca="false">IF(H32="","",H32*ICMS_N_ST)</f>
        <v/>
      </c>
      <c r="J32" s="249" t="str">
        <f aca="false">IF(E32="",IF(LEFT(G32,5)="นอกขอ","นอกขอบเขต","⚠ ยังไม่จัดกลุ่ม"),IF(COUNTIF(ICMS_GROUPS,E32)=0,"⚠ รหัสผิด","✓"))</f>
        <v>✓</v>
      </c>
      <c r="K32" s="250" t="s">
        <v>784</v>
      </c>
    </row>
    <row r="33" customFormat="false" ht="15" hidden="false" customHeight="false" outlineLevel="0" collapsed="false">
      <c r="A33" s="232" t="s">
        <v>278</v>
      </c>
      <c r="B33" s="246" t="s">
        <v>1932</v>
      </c>
      <c r="C33" s="232" t="n">
        <v>3</v>
      </c>
      <c r="D33" s="240" t="n">
        <v>0.3</v>
      </c>
      <c r="E33" s="247" t="s">
        <v>987</v>
      </c>
      <c r="F33" s="232" t="str">
        <f aca="false">IF(E33="","",IFERROR(INDEX(ICMS_TH,MATCH(E33,ICMS_CODES,0)),"⚠ รหัสไม่มีใน ICMS"))</f>
        <v>ที่ปรึกษาและควบคุมงาน</v>
      </c>
      <c r="G33" s="161" t="s">
        <v>1933</v>
      </c>
      <c r="H33" s="248"/>
      <c r="I33" s="234" t="str">
        <f aca="false">IF(H33="","",H33*ICMS_N_ST)</f>
        <v/>
      </c>
      <c r="J33" s="249" t="str">
        <f aca="false">IF(E33="",IF(LEFT(G33,5)="นอกขอ","นอกขอบเขต","⚠ ยังไม่จัดกลุ่ม"),IF(COUNTIF(ICMS_GROUPS,E33)=0,"⚠ รหัสผิด","✓"))</f>
        <v>✓</v>
      </c>
      <c r="K33" s="250" t="s">
        <v>784</v>
      </c>
    </row>
    <row r="34" customFormat="false" ht="15" hidden="false" customHeight="false" outlineLevel="0" collapsed="false">
      <c r="A34" s="231" t="s">
        <v>1850</v>
      </c>
      <c r="B34" s="233" t="s">
        <v>1934</v>
      </c>
      <c r="C34" s="231" t="n">
        <v>2</v>
      </c>
      <c r="D34" s="238" t="n">
        <v>0.5</v>
      </c>
      <c r="E34" s="241"/>
      <c r="F34" s="242" t="str">
        <f aca="false">IF(E34="","",IFERROR(INDEX(ICMS_TH,MATCH(E34,ICMS_CODES,0)),"⚠ รหัสไม่มีใน ICMS"))</f>
        <v/>
      </c>
      <c r="G34" s="243" t="s">
        <v>1898</v>
      </c>
      <c r="H34" s="244"/>
      <c r="I34" s="244" t="str">
        <f aca="false">IF(H34="","",H34*ICMS_N_ST)</f>
        <v/>
      </c>
      <c r="J34" s="241"/>
      <c r="K34" s="245" t="s">
        <v>784</v>
      </c>
    </row>
    <row r="35" customFormat="false" ht="15" hidden="false" customHeight="false" outlineLevel="0" collapsed="false">
      <c r="A35" s="232" t="s">
        <v>281</v>
      </c>
      <c r="B35" s="246" t="s">
        <v>1935</v>
      </c>
      <c r="C35" s="232" t="n">
        <v>3</v>
      </c>
      <c r="D35" s="240" t="n">
        <v>0.2</v>
      </c>
      <c r="E35" s="247" t="s">
        <v>1079</v>
      </c>
      <c r="F35" s="232" t="str">
        <f aca="false">IF(E35="","",IFERROR(INDEX(ICMS_TH,MATCH(E35,ICMS_CODES,0)),"⚠ รหัสไม่มีใน ICMS"))</f>
        <v>ค่าบริหาร การเงิน กฎหมาย</v>
      </c>
      <c r="G35" s="161"/>
      <c r="H35" s="248"/>
      <c r="I35" s="234" t="str">
        <f aca="false">IF(H35="","",H35*ICMS_N_ST)</f>
        <v/>
      </c>
      <c r="J35" s="249" t="str">
        <f aca="false">IF(E35="",IF(LEFT(G35,5)="นอกขอ","นอกขอบเขต","⚠ ยังไม่จัดกลุ่ม"),IF(COUNTIF(ICMS_GROUPS,E35)=0,"⚠ รหัสผิด","✓"))</f>
        <v>✓</v>
      </c>
      <c r="K35" s="250" t="s">
        <v>784</v>
      </c>
    </row>
    <row r="36" customFormat="false" ht="15" hidden="false" customHeight="false" outlineLevel="0" collapsed="false">
      <c r="A36" s="232" t="s">
        <v>284</v>
      </c>
      <c r="B36" s="246" t="s">
        <v>1936</v>
      </c>
      <c r="C36" s="232" t="n">
        <v>3</v>
      </c>
      <c r="D36" s="240" t="n">
        <v>0.2</v>
      </c>
      <c r="E36" s="247" t="s">
        <v>1863</v>
      </c>
      <c r="F36" s="232" t="str">
        <f aca="false">IF(E36="","",IFERROR(INDEX(ICMS_TH,MATCH(E36,ICMS_CODES,0)),"⚠ รหัสไม่มีใน ICMS"))</f>
        <v>ค่าดำเนินการหน้างานของผู้รับเหมา</v>
      </c>
      <c r="G36" s="161"/>
      <c r="H36" s="248"/>
      <c r="I36" s="234" t="str">
        <f aca="false">IF(H36="","",H36*ICMS_N_ST)</f>
        <v/>
      </c>
      <c r="J36" s="249" t="str">
        <f aca="false">IF(E36="",IF(LEFT(G36,5)="นอกขอ","นอกขอบเขต","⚠ ยังไม่จัดกลุ่ม"),IF(COUNTIF(ICMS_GROUPS,E36)=0,"⚠ รหัสผิด","✓"))</f>
        <v>✓</v>
      </c>
      <c r="K36" s="250" t="s">
        <v>784</v>
      </c>
    </row>
    <row r="37" customFormat="false" ht="15" hidden="false" customHeight="false" outlineLevel="0" collapsed="false">
      <c r="A37" s="232" t="s">
        <v>287</v>
      </c>
      <c r="B37" s="246" t="s">
        <v>1937</v>
      </c>
      <c r="C37" s="232" t="n">
        <v>3</v>
      </c>
      <c r="D37" s="240" t="n">
        <v>0.1</v>
      </c>
      <c r="E37" s="247" t="s">
        <v>1863</v>
      </c>
      <c r="F37" s="232" t="str">
        <f aca="false">IF(E37="","",IFERROR(INDEX(ICMS_TH,MATCH(E37,ICMS_CODES,0)),"⚠ รหัสไม่มีใน ICMS"))</f>
        <v>ค่าดำเนินการหน้างานของผู้รับเหมา</v>
      </c>
      <c r="G37" s="161"/>
      <c r="H37" s="248"/>
      <c r="I37" s="234" t="str">
        <f aca="false">IF(H37="","",H37*ICMS_N_ST)</f>
        <v/>
      </c>
      <c r="J37" s="249" t="str">
        <f aca="false">IF(E37="",IF(LEFT(G37,5)="นอกขอ","นอกขอบเขต","⚠ ยังไม่จัดกลุ่ม"),IF(COUNTIF(ICMS_GROUPS,E37)=0,"⚠ รหัสผิด","✓"))</f>
        <v>✓</v>
      </c>
      <c r="K37" s="250" t="s">
        <v>784</v>
      </c>
    </row>
    <row r="38" customFormat="false" ht="15" hidden="false" customHeight="false" outlineLevel="0" collapsed="false">
      <c r="A38" s="231" t="s">
        <v>1852</v>
      </c>
      <c r="B38" s="233" t="s">
        <v>1938</v>
      </c>
      <c r="C38" s="231" t="n">
        <v>2</v>
      </c>
      <c r="D38" s="238" t="n">
        <v>1.5</v>
      </c>
      <c r="E38" s="241"/>
      <c r="F38" s="242" t="str">
        <f aca="false">IF(E38="","",IFERROR(INDEX(ICMS_TH,MATCH(E38,ICMS_CODES,0)),"⚠ รหัสไม่มีใน ICMS"))</f>
        <v/>
      </c>
      <c r="G38" s="243" t="s">
        <v>1898</v>
      </c>
      <c r="H38" s="244"/>
      <c r="I38" s="244" t="str">
        <f aca="false">IF(H38="","",H38*ICMS_N_ST)</f>
        <v/>
      </c>
      <c r="J38" s="241"/>
      <c r="K38" s="245" t="s">
        <v>784</v>
      </c>
    </row>
    <row r="39" customFormat="false" ht="15" hidden="false" customHeight="false" outlineLevel="0" collapsed="false">
      <c r="A39" s="232" t="s">
        <v>290</v>
      </c>
      <c r="B39" s="246" t="s">
        <v>1939</v>
      </c>
      <c r="C39" s="232" t="n">
        <v>3</v>
      </c>
      <c r="D39" s="240" t="n">
        <v>0.3</v>
      </c>
      <c r="E39" s="247" t="s">
        <v>1863</v>
      </c>
      <c r="F39" s="232" t="str">
        <f aca="false">IF(E39="","",IFERROR(INDEX(ICMS_TH,MATCH(E39,ICMS_CODES,0)),"⚠ รหัสไม่มีใน ICMS"))</f>
        <v>ค่าดำเนินการหน้างานของผู้รับเหมา</v>
      </c>
      <c r="G39" s="161" t="s">
        <v>1940</v>
      </c>
      <c r="H39" s="248"/>
      <c r="I39" s="234" t="str">
        <f aca="false">IF(H39="","",H39*ICMS_N_ST)</f>
        <v/>
      </c>
      <c r="J39" s="249" t="str">
        <f aca="false">IF(E39="",IF(LEFT(G39,5)="นอกขอ","นอกขอบเขต","⚠ ยังไม่จัดกลุ่ม"),IF(COUNTIF(ICMS_GROUPS,E39)=0,"⚠ รหัสผิด","✓"))</f>
        <v>✓</v>
      </c>
      <c r="K39" s="250" t="s">
        <v>784</v>
      </c>
    </row>
    <row r="40" customFormat="false" ht="15" hidden="false" customHeight="false" outlineLevel="0" collapsed="false">
      <c r="A40" s="232" t="s">
        <v>293</v>
      </c>
      <c r="B40" s="246" t="s">
        <v>1941</v>
      </c>
      <c r="C40" s="232" t="n">
        <v>3</v>
      </c>
      <c r="D40" s="240" t="n">
        <v>0.6</v>
      </c>
      <c r="E40" s="247" t="s">
        <v>1079</v>
      </c>
      <c r="F40" s="232" t="str">
        <f aca="false">IF(E40="","",IFERROR(INDEX(ICMS_TH,MATCH(E40,ICMS_CODES,0)),"⚠ รหัสไม่มีใน ICMS"))</f>
        <v>ค่าบริหาร การเงิน กฎหมาย</v>
      </c>
      <c r="G40" s="161"/>
      <c r="H40" s="248"/>
      <c r="I40" s="234" t="str">
        <f aca="false">IF(H40="","",H40*ICMS_N_ST)</f>
        <v/>
      </c>
      <c r="J40" s="249" t="str">
        <f aca="false">IF(E40="",IF(LEFT(G40,5)="นอกขอ","นอกขอบเขต","⚠ ยังไม่จัดกลุ่ม"),IF(COUNTIF(ICMS_GROUPS,E40)=0,"⚠ รหัสผิด","✓"))</f>
        <v>✓</v>
      </c>
      <c r="K40" s="250" t="s">
        <v>784</v>
      </c>
    </row>
    <row r="41" customFormat="false" ht="15" hidden="false" customHeight="false" outlineLevel="0" collapsed="false">
      <c r="A41" s="232" t="s">
        <v>296</v>
      </c>
      <c r="B41" s="246" t="s">
        <v>1942</v>
      </c>
      <c r="C41" s="232" t="n">
        <v>3</v>
      </c>
      <c r="D41" s="240" t="n">
        <v>0.6</v>
      </c>
      <c r="E41" s="247" t="s">
        <v>1079</v>
      </c>
      <c r="F41" s="232" t="str">
        <f aca="false">IF(E41="","",IFERROR(INDEX(ICMS_TH,MATCH(E41,ICMS_CODES,0)),"⚠ รหัสไม่มีใน ICMS"))</f>
        <v>ค่าบริหาร การเงิน กฎหมาย</v>
      </c>
      <c r="G41" s="161"/>
      <c r="H41" s="248"/>
      <c r="I41" s="234" t="str">
        <f aca="false">IF(H41="","",H41*ICMS_N_ST)</f>
        <v/>
      </c>
      <c r="J41" s="249" t="str">
        <f aca="false">IF(E41="",IF(LEFT(G41,5)="นอกขอ","นอกขอบเขต","⚠ ยังไม่จัดกลุ่ม"),IF(COUNTIF(ICMS_GROUPS,E41)=0,"⚠ รหัสผิด","✓"))</f>
        <v>✓</v>
      </c>
      <c r="K41" s="250" t="s">
        <v>784</v>
      </c>
    </row>
    <row r="42" customFormat="false" ht="15" hidden="false" customHeight="false" outlineLevel="0" collapsed="false">
      <c r="A42" s="231" t="s">
        <v>1491</v>
      </c>
      <c r="B42" s="233" t="s">
        <v>1943</v>
      </c>
      <c r="C42" s="231" t="n">
        <v>2</v>
      </c>
      <c r="D42" s="238" t="n">
        <v>0</v>
      </c>
      <c r="E42" s="241"/>
      <c r="F42" s="242" t="str">
        <f aca="false">IF(E42="","",IFERROR(INDEX(ICMS_TH,MATCH(E42,ICMS_CODES,0)),"⚠ รหัสไม่มีใน ICMS"))</f>
        <v/>
      </c>
      <c r="G42" s="243" t="s">
        <v>1898</v>
      </c>
      <c r="H42" s="244"/>
      <c r="I42" s="244" t="str">
        <f aca="false">IF(H42="","",H42*ICMS_N_ST)</f>
        <v/>
      </c>
      <c r="J42" s="241"/>
      <c r="K42" s="241" t="s">
        <v>1944</v>
      </c>
    </row>
    <row r="43" customFormat="false" ht="15" hidden="false" customHeight="false" outlineLevel="0" collapsed="false">
      <c r="A43" s="232" t="s">
        <v>456</v>
      </c>
      <c r="B43" s="232" t="s">
        <v>1945</v>
      </c>
      <c r="C43" s="232" t="n">
        <v>3</v>
      </c>
      <c r="D43" s="240" t="n">
        <v>0</v>
      </c>
      <c r="E43" s="247" t="s">
        <v>1079</v>
      </c>
      <c r="F43" s="232" t="str">
        <f aca="false">IF(E43="","",IFERROR(INDEX(ICMS_TH,MATCH(E43,ICMS_CODES,0)),"⚠ รหัสไม่มีใน ICMS"))</f>
        <v>ค่าบริหาร การเงิน กฎหมาย</v>
      </c>
      <c r="G43" s="161"/>
      <c r="H43" s="248"/>
      <c r="I43" s="234" t="str">
        <f aca="false">IF(H43="","",H43*ICMS_N_ST)</f>
        <v/>
      </c>
      <c r="J43" s="249" t="str">
        <f aca="false">IF(E43="",IF(LEFT(G43,5)="นอกขอ","นอกขอบเขต","⚠ ยังไม่จัดกลุ่ม"),IF(COUNTIF(ICMS_GROUPS,E43)=0,"⚠ รหัสผิด","✓"))</f>
        <v>✓</v>
      </c>
      <c r="K43" s="249" t="s">
        <v>1944</v>
      </c>
    </row>
    <row r="44" customFormat="false" ht="15" hidden="false" customHeight="false" outlineLevel="0" collapsed="false">
      <c r="A44" s="232" t="s">
        <v>459</v>
      </c>
      <c r="B44" s="246" t="s">
        <v>1946</v>
      </c>
      <c r="C44" s="232" t="n">
        <v>3</v>
      </c>
      <c r="D44" s="240" t="n">
        <v>0</v>
      </c>
      <c r="E44" s="247" t="s">
        <v>1079</v>
      </c>
      <c r="F44" s="232" t="str">
        <f aca="false">IF(E44="","",IFERROR(INDEX(ICMS_TH,MATCH(E44,ICMS_CODES,0)),"⚠ รหัสไม่มีใน ICMS"))</f>
        <v>ค่าบริหาร การเงิน กฎหมาย</v>
      </c>
      <c r="G44" s="161"/>
      <c r="H44" s="248"/>
      <c r="I44" s="234" t="str">
        <f aca="false">IF(H44="","",H44*ICMS_N_ST)</f>
        <v/>
      </c>
      <c r="J44" s="249" t="str">
        <f aca="false">IF(E44="",IF(LEFT(G44,5)="นอกขอ","นอกขอบเขต","⚠ ยังไม่จัดกลุ่ม"),IF(COUNTIF(ICMS_GROUPS,E44)=0,"⚠ รหัสผิด","✓"))</f>
        <v>✓</v>
      </c>
      <c r="K44" s="249" t="s">
        <v>1944</v>
      </c>
    </row>
    <row r="45" customFormat="false" ht="15" hidden="false" customHeight="false" outlineLevel="0" collapsed="false">
      <c r="A45" s="232" t="s">
        <v>1947</v>
      </c>
      <c r="B45" s="246" t="s">
        <v>1948</v>
      </c>
      <c r="C45" s="232" t="n">
        <v>3</v>
      </c>
      <c r="D45" s="240" t="n">
        <v>0</v>
      </c>
      <c r="E45" s="247" t="s">
        <v>1079</v>
      </c>
      <c r="F45" s="232" t="str">
        <f aca="false">IF(E45="","",IFERROR(INDEX(ICMS_TH,MATCH(E45,ICMS_CODES,0)),"⚠ รหัสไม่มีใน ICMS"))</f>
        <v>ค่าบริหาร การเงิน กฎหมาย</v>
      </c>
      <c r="G45" s="161"/>
      <c r="H45" s="248"/>
      <c r="I45" s="234" t="str">
        <f aca="false">IF(H45="","",H45*ICMS_N_ST)</f>
        <v/>
      </c>
      <c r="J45" s="249" t="str">
        <f aca="false">IF(E45="",IF(LEFT(G45,5)="นอกขอ","นอกขอบเขต","⚠ ยังไม่จัดกลุ่ม"),IF(COUNTIF(ICMS_GROUPS,E45)=0,"⚠ รหัสผิด","✓"))</f>
        <v>✓</v>
      </c>
      <c r="K45" s="249" t="s">
        <v>1944</v>
      </c>
    </row>
    <row r="46" customFormat="false" ht="15" hidden="false" customHeight="false" outlineLevel="0" collapsed="false">
      <c r="A46" s="232" t="s">
        <v>462</v>
      </c>
      <c r="B46" s="246" t="s">
        <v>1949</v>
      </c>
      <c r="C46" s="232" t="n">
        <v>3</v>
      </c>
      <c r="D46" s="240" t="n">
        <v>0</v>
      </c>
      <c r="E46" s="247" t="s">
        <v>1079</v>
      </c>
      <c r="F46" s="232" t="str">
        <f aca="false">IF(E46="","",IFERROR(INDEX(ICMS_TH,MATCH(E46,ICMS_CODES,0)),"⚠ รหัสไม่มีใน ICMS"))</f>
        <v>ค่าบริหาร การเงิน กฎหมาย</v>
      </c>
      <c r="G46" s="161"/>
      <c r="H46" s="248"/>
      <c r="I46" s="234" t="str">
        <f aca="false">IF(H46="","",H46*ICMS_N_ST)</f>
        <v/>
      </c>
      <c r="J46" s="249" t="str">
        <f aca="false">IF(E46="",IF(LEFT(G46,5)="นอกขอ","นอกขอบเขต","⚠ ยังไม่จัดกลุ่ม"),IF(COUNTIF(ICMS_GROUPS,E46)=0,"⚠ รหัสผิด","✓"))</f>
        <v>✓</v>
      </c>
      <c r="K46" s="249" t="s">
        <v>1944</v>
      </c>
    </row>
    <row r="47" customFormat="false" ht="15" hidden="false" customHeight="false" outlineLevel="0" collapsed="false">
      <c r="A47" s="231" t="s">
        <v>1857</v>
      </c>
      <c r="B47" s="231" t="s">
        <v>1950</v>
      </c>
      <c r="C47" s="231" t="n">
        <v>2</v>
      </c>
      <c r="D47" s="238" t="n">
        <v>0</v>
      </c>
      <c r="E47" s="241"/>
      <c r="F47" s="242" t="str">
        <f aca="false">IF(E47="","",IFERROR(INDEX(ICMS_TH,MATCH(E47,ICMS_CODES,0)),"⚠ รหัสไม่มีใน ICMS"))</f>
        <v/>
      </c>
      <c r="G47" s="243" t="s">
        <v>1898</v>
      </c>
      <c r="H47" s="244"/>
      <c r="I47" s="244" t="str">
        <f aca="false">IF(H47="","",H47*ICMS_N_ST)</f>
        <v/>
      </c>
      <c r="J47" s="241"/>
      <c r="K47" s="245" t="s">
        <v>784</v>
      </c>
    </row>
    <row r="48" customFormat="false" ht="15" hidden="false" customHeight="false" outlineLevel="0" collapsed="false">
      <c r="A48" s="232" t="s">
        <v>299</v>
      </c>
      <c r="B48" s="246" t="s">
        <v>1951</v>
      </c>
      <c r="C48" s="232" t="n">
        <v>3</v>
      </c>
      <c r="D48" s="240" t="n">
        <v>0</v>
      </c>
      <c r="E48" s="247" t="s">
        <v>1079</v>
      </c>
      <c r="F48" s="232" t="str">
        <f aca="false">IF(E48="","",IFERROR(INDEX(ICMS_TH,MATCH(E48,ICMS_CODES,0)),"⚠ รหัสไม่มีใน ICMS"))</f>
        <v>ค่าบริหาร การเงิน กฎหมาย</v>
      </c>
      <c r="G48" s="161"/>
      <c r="H48" s="248"/>
      <c r="I48" s="234" t="str">
        <f aca="false">IF(H48="","",H48*ICMS_N_ST)</f>
        <v/>
      </c>
      <c r="J48" s="249" t="str">
        <f aca="false">IF(E48="",IF(LEFT(G48,5)="นอกขอ","นอกขอบเขต","⚠ ยังไม่จัดกลุ่ม"),IF(COUNTIF(ICMS_GROUPS,E48)=0,"⚠ รหัสผิด","✓"))</f>
        <v>✓</v>
      </c>
      <c r="K48" s="250" t="s">
        <v>784</v>
      </c>
    </row>
    <row r="49" customFormat="false" ht="15" hidden="false" customHeight="false" outlineLevel="0" collapsed="false">
      <c r="A49" s="232" t="s">
        <v>302</v>
      </c>
      <c r="B49" s="246" t="s">
        <v>1952</v>
      </c>
      <c r="C49" s="232" t="n">
        <v>3</v>
      </c>
      <c r="D49" s="240" t="n">
        <v>0</v>
      </c>
      <c r="E49" s="247" t="s">
        <v>1079</v>
      </c>
      <c r="F49" s="232" t="str">
        <f aca="false">IF(E49="","",IFERROR(INDEX(ICMS_TH,MATCH(E49,ICMS_CODES,0)),"⚠ รหัสไม่มีใน ICMS"))</f>
        <v>ค่าบริหาร การเงิน กฎหมาย</v>
      </c>
      <c r="G49" s="161"/>
      <c r="H49" s="248"/>
      <c r="I49" s="234" t="str">
        <f aca="false">IF(H49="","",H49*ICMS_N_ST)</f>
        <v/>
      </c>
      <c r="J49" s="249" t="str">
        <f aca="false">IF(E49="",IF(LEFT(G49,5)="นอกขอ","นอกขอบเขต","⚠ ยังไม่จัดกลุ่ม"),IF(COUNTIF(ICMS_GROUPS,E49)=0,"⚠ รหัสผิด","✓"))</f>
        <v>✓</v>
      </c>
      <c r="K49" s="250" t="s">
        <v>784</v>
      </c>
    </row>
    <row r="50" customFormat="false" ht="15" hidden="false" customHeight="false" outlineLevel="0" collapsed="false">
      <c r="A50" s="231" t="s">
        <v>1860</v>
      </c>
      <c r="B50" s="233" t="s">
        <v>1953</v>
      </c>
      <c r="C50" s="231" t="n">
        <v>2</v>
      </c>
      <c r="D50" s="238" t="n">
        <v>1.5</v>
      </c>
      <c r="E50" s="241"/>
      <c r="F50" s="242" t="str">
        <f aca="false">IF(E50="","",IFERROR(INDEX(ICMS_TH,MATCH(E50,ICMS_CODES,0)),"⚠ รหัสไม่มีใน ICMS"))</f>
        <v/>
      </c>
      <c r="G50" s="243" t="s">
        <v>1898</v>
      </c>
      <c r="H50" s="244"/>
      <c r="I50" s="244" t="str">
        <f aca="false">IF(H50="","",H50*ICMS_N_ST)</f>
        <v/>
      </c>
      <c r="J50" s="241"/>
      <c r="K50" s="245" t="s">
        <v>784</v>
      </c>
    </row>
    <row r="51" customFormat="false" ht="15" hidden="false" customHeight="false" outlineLevel="0" collapsed="false">
      <c r="A51" s="232" t="s">
        <v>1489</v>
      </c>
      <c r="B51" s="246" t="s">
        <v>1954</v>
      </c>
      <c r="C51" s="232" t="n">
        <v>3</v>
      </c>
      <c r="D51" s="240" t="n">
        <v>1.5</v>
      </c>
      <c r="E51" s="247" t="s">
        <v>1079</v>
      </c>
      <c r="F51" s="232" t="str">
        <f aca="false">IF(E51="","",IFERROR(INDEX(ICMS_TH,MATCH(E51,ICMS_CODES,0)),"⚠ รหัสไม่มีใน ICMS"))</f>
        <v>ค่าบริหาร การเงิน กฎหมาย</v>
      </c>
      <c r="G51" s="161"/>
      <c r="H51" s="248"/>
      <c r="I51" s="234" t="str">
        <f aca="false">IF(H51="","",H51*ICMS_N_ST)</f>
        <v/>
      </c>
      <c r="J51" s="249" t="str">
        <f aca="false">IF(E51="",IF(LEFT(G51,5)="นอกขอ","นอกขอบเขต","⚠ ยังไม่จัดกลุ่ม"),IF(COUNTIF(ICMS_GROUPS,E51)=0,"⚠ รหัสผิด","✓"))</f>
        <v>✓</v>
      </c>
      <c r="K51" s="250" t="s">
        <v>784</v>
      </c>
    </row>
    <row r="52" customFormat="false" ht="15" hidden="false" customHeight="false" outlineLevel="0" collapsed="false">
      <c r="A52" s="232" t="s">
        <v>1787</v>
      </c>
      <c r="B52" s="246" t="s">
        <v>1955</v>
      </c>
      <c r="C52" s="232" t="n">
        <v>3</v>
      </c>
      <c r="D52" s="240" t="n">
        <v>0</v>
      </c>
      <c r="E52" s="247" t="s">
        <v>1079</v>
      </c>
      <c r="F52" s="232" t="str">
        <f aca="false">IF(E52="","",IFERROR(INDEX(ICMS_TH,MATCH(E52,ICMS_CODES,0)),"⚠ รหัสไม่มีใน ICMS"))</f>
        <v>ค่าบริหาร การเงิน กฎหมาย</v>
      </c>
      <c r="G52" s="161"/>
      <c r="H52" s="248"/>
      <c r="I52" s="234" t="str">
        <f aca="false">IF(H52="","",H52*ICMS_N_ST)</f>
        <v/>
      </c>
      <c r="J52" s="249" t="str">
        <f aca="false">IF(E52="",IF(LEFT(G52,5)="นอกขอ","นอกขอบเขต","⚠ ยังไม่จัดกลุ่ม"),IF(COUNTIF(ICMS_GROUPS,E52)=0,"⚠ รหัสผิด","✓"))</f>
        <v>✓</v>
      </c>
      <c r="K52" s="250" t="s">
        <v>784</v>
      </c>
    </row>
    <row r="53" customFormat="false" ht="15" hidden="false" customHeight="false" outlineLevel="0" collapsed="false">
      <c r="A53" s="232" t="s">
        <v>1498</v>
      </c>
      <c r="B53" s="246" t="s">
        <v>1956</v>
      </c>
      <c r="C53" s="232" t="n">
        <v>3</v>
      </c>
      <c r="D53" s="240" t="n">
        <v>0</v>
      </c>
      <c r="E53" s="247" t="s">
        <v>1079</v>
      </c>
      <c r="F53" s="232" t="str">
        <f aca="false">IF(E53="","",IFERROR(INDEX(ICMS_TH,MATCH(E53,ICMS_CODES,0)),"⚠ รหัสไม่มีใน ICMS"))</f>
        <v>ค่าบริหาร การเงิน กฎหมาย</v>
      </c>
      <c r="G53" s="161"/>
      <c r="H53" s="248"/>
      <c r="I53" s="234" t="str">
        <f aca="false">IF(H53="","",H53*ICMS_N_ST)</f>
        <v/>
      </c>
      <c r="J53" s="249" t="str">
        <f aca="false">IF(E53="",IF(LEFT(G53,5)="นอกขอ","นอกขอบเขต","⚠ ยังไม่จัดกลุ่ม"),IF(COUNTIF(ICMS_GROUPS,E53)=0,"⚠ รหัสผิด","✓"))</f>
        <v>✓</v>
      </c>
      <c r="K53" s="250" t="s">
        <v>784</v>
      </c>
    </row>
    <row r="54" customFormat="false" ht="15" hidden="false" customHeight="false" outlineLevel="0" collapsed="false">
      <c r="A54" s="232" t="s">
        <v>1502</v>
      </c>
      <c r="B54" s="246" t="s">
        <v>1957</v>
      </c>
      <c r="C54" s="232" t="n">
        <v>3</v>
      </c>
      <c r="D54" s="240" t="n">
        <v>0</v>
      </c>
      <c r="E54" s="247" t="s">
        <v>1037</v>
      </c>
      <c r="F54" s="232" t="str">
        <f aca="false">IF(E54="","",IFERROR(INDEX(ICMS_TH,MATCH(E54,ICMS_CODES,0)),"⚠ รหัสไม่มีใน ICMS"))</f>
        <v>งานและสาธารณูปโภคนอกพื้นที่</v>
      </c>
      <c r="G54" s="161" t="s">
        <v>1958</v>
      </c>
      <c r="H54" s="248"/>
      <c r="I54" s="234" t="str">
        <f aca="false">IF(H54="","",H54*ICMS_N_ST)</f>
        <v/>
      </c>
      <c r="J54" s="249" t="str">
        <f aca="false">IF(E54="",IF(LEFT(G54,5)="นอกขอ","นอกขอบเขต","⚠ ยังไม่จัดกลุ่ม"),IF(COUNTIF(ICMS_GROUPS,E54)=0,"⚠ รหัสผิด","✓"))</f>
        <v>✓</v>
      </c>
      <c r="K54" s="250" t="s">
        <v>784</v>
      </c>
    </row>
    <row r="55" customFormat="false" ht="15" hidden="false" customHeight="false" outlineLevel="0" collapsed="false">
      <c r="A55" s="232" t="s">
        <v>1504</v>
      </c>
      <c r="B55" s="246" t="s">
        <v>1959</v>
      </c>
      <c r="C55" s="232" t="n">
        <v>3</v>
      </c>
      <c r="D55" s="240" t="n">
        <v>0</v>
      </c>
      <c r="E55" s="247" t="s">
        <v>1079</v>
      </c>
      <c r="F55" s="232" t="str">
        <f aca="false">IF(E55="","",IFERROR(INDEX(ICMS_TH,MATCH(E55,ICMS_CODES,0)),"⚠ รหัสไม่มีใน ICMS"))</f>
        <v>ค่าบริหาร การเงิน กฎหมาย</v>
      </c>
      <c r="G55" s="161"/>
      <c r="H55" s="248"/>
      <c r="I55" s="234" t="str">
        <f aca="false">IF(H55="","",H55*ICMS_N_ST)</f>
        <v/>
      </c>
      <c r="J55" s="249" t="str">
        <f aca="false">IF(E55="",IF(LEFT(G55,5)="นอกขอ","นอกขอบเขต","⚠ ยังไม่จัดกลุ่ม"),IF(COUNTIF(ICMS_GROUPS,E55)=0,"⚠ รหัสผิด","✓"))</f>
        <v>✓</v>
      </c>
      <c r="K55" s="250" t="s">
        <v>784</v>
      </c>
    </row>
    <row r="56" customFormat="false" ht="15" hidden="false" customHeight="false" outlineLevel="0" collapsed="false">
      <c r="A56" s="232" t="s">
        <v>1506</v>
      </c>
      <c r="B56" s="246" t="s">
        <v>1960</v>
      </c>
      <c r="C56" s="232" t="n">
        <v>3</v>
      </c>
      <c r="D56" s="240" t="n">
        <v>0</v>
      </c>
      <c r="E56" s="247" t="s">
        <v>1037</v>
      </c>
      <c r="F56" s="232" t="str">
        <f aca="false">IF(E56="","",IFERROR(INDEX(ICMS_TH,MATCH(E56,ICMS_CODES,0)),"⚠ รหัสไม่มีใน ICMS"))</f>
        <v>งานและสาธารณูปโภคนอกพื้นที่</v>
      </c>
      <c r="G56" s="161" t="s">
        <v>1958</v>
      </c>
      <c r="H56" s="248"/>
      <c r="I56" s="234" t="str">
        <f aca="false">IF(H56="","",H56*ICMS_N_ST)</f>
        <v/>
      </c>
      <c r="J56" s="249" t="str">
        <f aca="false">IF(E56="",IF(LEFT(G56,5)="นอกขอ","นอกขอบเขต","⚠ ยังไม่จัดกลุ่ม"),IF(COUNTIF(ICMS_GROUPS,E56)=0,"⚠ รหัสผิด","✓"))</f>
        <v>✓</v>
      </c>
      <c r="K56" s="250" t="s">
        <v>784</v>
      </c>
    </row>
    <row r="57" customFormat="false" ht="15" hidden="false" customHeight="false" outlineLevel="0" collapsed="false">
      <c r="A57" s="231" t="s">
        <v>872</v>
      </c>
      <c r="B57" s="233" t="s">
        <v>1961</v>
      </c>
      <c r="C57" s="231" t="n">
        <v>2</v>
      </c>
      <c r="D57" s="238" t="n">
        <v>20</v>
      </c>
      <c r="E57" s="241"/>
      <c r="F57" s="242" t="str">
        <f aca="false">IF(E57="","",IFERROR(INDEX(ICMS_TH,MATCH(E57,ICMS_CODES,0)),"⚠ รหัสไม่มีใน ICMS"))</f>
        <v/>
      </c>
      <c r="G57" s="243" t="s">
        <v>1898</v>
      </c>
      <c r="H57" s="244"/>
      <c r="I57" s="244" t="str">
        <f aca="false">IF(H57="","",H57*ICMS_N_ST)</f>
        <v/>
      </c>
      <c r="J57" s="241"/>
      <c r="K57" s="245" t="s">
        <v>784</v>
      </c>
    </row>
    <row r="58" customFormat="false" ht="15" hidden="false" customHeight="false" outlineLevel="0" collapsed="false">
      <c r="A58" s="232" t="s">
        <v>305</v>
      </c>
      <c r="B58" s="246" t="s">
        <v>1962</v>
      </c>
      <c r="C58" s="232" t="n">
        <v>3</v>
      </c>
      <c r="D58" s="240" t="n">
        <v>1</v>
      </c>
      <c r="E58" s="247" t="s">
        <v>1850</v>
      </c>
      <c r="F58" s="232" t="str">
        <f aca="false">IF(E58="","",IFERROR(INDEX(ICMS_TH,MATCH(E58,ICMS_CODES,0)),"⚠ รหัสไม่มีใน ICMS"))</f>
        <v>โครงสร้าง</v>
      </c>
      <c r="G58" s="161"/>
      <c r="H58" s="248"/>
      <c r="I58" s="234" t="str">
        <f aca="false">IF(H58="","",H58*ICMS_N_ST)</f>
        <v/>
      </c>
      <c r="J58" s="249" t="str">
        <f aca="false">IF(E58="",IF(LEFT(G58,5)="นอกขอ","นอกขอบเขต","⚠ ยังไม่จัดกลุ่ม"),IF(COUNTIF(ICMS_GROUPS,E58)=0,"⚠ รหัสผิด","✓"))</f>
        <v>✓</v>
      </c>
      <c r="K58" s="250" t="s">
        <v>784</v>
      </c>
    </row>
    <row r="59" customFormat="false" ht="15" hidden="false" customHeight="false" outlineLevel="0" collapsed="false">
      <c r="A59" s="232" t="s">
        <v>308</v>
      </c>
      <c r="B59" s="246" t="s">
        <v>1963</v>
      </c>
      <c r="C59" s="232" t="n">
        <v>3</v>
      </c>
      <c r="D59" s="240" t="n">
        <v>2.5</v>
      </c>
      <c r="E59" s="247" t="s">
        <v>1850</v>
      </c>
      <c r="F59" s="232" t="str">
        <f aca="false">IF(E59="","",IFERROR(INDEX(ICMS_TH,MATCH(E59,ICMS_CODES,0)),"⚠ รหัสไม่มีใน ICMS"))</f>
        <v>โครงสร้าง</v>
      </c>
      <c r="G59" s="161" t="s">
        <v>1964</v>
      </c>
      <c r="H59" s="248"/>
      <c r="I59" s="234" t="str">
        <f aca="false">IF(H59="","",H59*ICMS_N_ST)</f>
        <v/>
      </c>
      <c r="J59" s="249" t="str">
        <f aca="false">IF(E59="",IF(LEFT(G59,5)="นอกขอ","นอกขอบเขต","⚠ ยังไม่จัดกลุ่ม"),IF(COUNTIF(ICMS_GROUPS,E59)=0,"⚠ รหัสผิด","✓"))</f>
        <v>✓</v>
      </c>
      <c r="K59" s="250" t="s">
        <v>784</v>
      </c>
    </row>
    <row r="60" customFormat="false" ht="15" hidden="false" customHeight="false" outlineLevel="0" collapsed="false">
      <c r="A60" s="232" t="s">
        <v>311</v>
      </c>
      <c r="B60" s="246" t="s">
        <v>1965</v>
      </c>
      <c r="C60" s="232" t="n">
        <v>3</v>
      </c>
      <c r="D60" s="240" t="n">
        <v>5</v>
      </c>
      <c r="E60" s="247" t="s">
        <v>1850</v>
      </c>
      <c r="F60" s="232" t="str">
        <f aca="false">IF(E60="","",IFERROR(INDEX(ICMS_TH,MATCH(E60,ICMS_CODES,0)),"⚠ รหัสไม่มีใน ICMS"))</f>
        <v>โครงสร้าง</v>
      </c>
      <c r="G60" s="161"/>
      <c r="H60" s="248"/>
      <c r="I60" s="234" t="str">
        <f aca="false">IF(H60="","",H60*ICMS_N_ST)</f>
        <v/>
      </c>
      <c r="J60" s="249" t="str">
        <f aca="false">IF(E60="",IF(LEFT(G60,5)="นอกขอ","นอกขอบเขต","⚠ ยังไม่จัดกลุ่ม"),IF(COUNTIF(ICMS_GROUPS,E60)=0,"⚠ รหัสผิด","✓"))</f>
        <v>✓</v>
      </c>
      <c r="K60" s="250" t="s">
        <v>784</v>
      </c>
    </row>
    <row r="61" customFormat="false" ht="15" hidden="false" customHeight="false" outlineLevel="0" collapsed="false">
      <c r="A61" s="232" t="s">
        <v>314</v>
      </c>
      <c r="B61" s="246" t="s">
        <v>1966</v>
      </c>
      <c r="C61" s="232" t="n">
        <v>3</v>
      </c>
      <c r="D61" s="240" t="n">
        <v>7</v>
      </c>
      <c r="E61" s="247" t="s">
        <v>1850</v>
      </c>
      <c r="F61" s="232" t="str">
        <f aca="false">IF(E61="","",IFERROR(INDEX(ICMS_TH,MATCH(E61,ICMS_CODES,0)),"⚠ รหัสไม่มีใน ICMS"))</f>
        <v>โครงสร้าง</v>
      </c>
      <c r="G61" s="161"/>
      <c r="H61" s="248"/>
      <c r="I61" s="234" t="str">
        <f aca="false">IF(H61="","",H61*ICMS_N_ST)</f>
        <v/>
      </c>
      <c r="J61" s="249" t="str">
        <f aca="false">IF(E61="",IF(LEFT(G61,5)="นอกขอ","นอกขอบเขต","⚠ ยังไม่จัดกลุ่ม"),IF(COUNTIF(ICMS_GROUPS,E61)=0,"⚠ รหัสผิด","✓"))</f>
        <v>✓</v>
      </c>
      <c r="K61" s="250" t="s">
        <v>784</v>
      </c>
    </row>
    <row r="62" customFormat="false" ht="15" hidden="false" customHeight="false" outlineLevel="0" collapsed="false">
      <c r="A62" s="232" t="s">
        <v>317</v>
      </c>
      <c r="B62" s="232" t="s">
        <v>1967</v>
      </c>
      <c r="C62" s="232" t="n">
        <v>3</v>
      </c>
      <c r="D62" s="240" t="n">
        <v>3</v>
      </c>
      <c r="E62" s="247" t="s">
        <v>1852</v>
      </c>
      <c r="F62" s="232" t="str">
        <f aca="false">IF(E62="","",IFERROR(INDEX(ICMS_TH,MATCH(E62,ICMS_CODES,0)),"⚠ รหัสไม่มีใน ICMS"))</f>
        <v>งานสถาปัตย์ / งานไม่รับน้ำหนัก</v>
      </c>
      <c r="G62" s="161"/>
      <c r="H62" s="248"/>
      <c r="I62" s="234" t="str">
        <f aca="false">IF(H62="","",H62*ICMS_N_ST)</f>
        <v/>
      </c>
      <c r="J62" s="249" t="str">
        <f aca="false">IF(E62="",IF(LEFT(G62,5)="นอกขอ","นอกขอบเขต","⚠ ยังไม่จัดกลุ่ม"),IF(COUNTIF(ICMS_GROUPS,E62)=0,"⚠ รหัสผิด","✓"))</f>
        <v>✓</v>
      </c>
      <c r="K62" s="250" t="s">
        <v>784</v>
      </c>
    </row>
    <row r="63" customFormat="false" ht="15" hidden="false" customHeight="false" outlineLevel="0" collapsed="false">
      <c r="A63" s="232" t="s">
        <v>320</v>
      </c>
      <c r="B63" s="246" t="s">
        <v>1968</v>
      </c>
      <c r="C63" s="232" t="n">
        <v>3</v>
      </c>
      <c r="D63" s="240" t="n">
        <v>0.5</v>
      </c>
      <c r="E63" s="247" t="s">
        <v>1491</v>
      </c>
      <c r="F63" s="232" t="str">
        <f aca="false">IF(E63="","",IFERROR(INDEX(ICMS_TH,MATCH(E63,ICMS_CODES,0)),"⚠ รหัสไม่มีใน ICMS"))</f>
        <v>ระบบและอุปกรณ์</v>
      </c>
      <c r="G63" s="161"/>
      <c r="H63" s="248"/>
      <c r="I63" s="234" t="str">
        <f aca="false">IF(H63="","",H63*ICMS_N_ST)</f>
        <v/>
      </c>
      <c r="J63" s="249" t="str">
        <f aca="false">IF(E63="",IF(LEFT(G63,5)="นอกขอ","นอกขอบเขต","⚠ ยังไม่จัดกลุ่ม"),IF(COUNTIF(ICMS_GROUPS,E63)=0,"⚠ รหัสผิด","✓"))</f>
        <v>✓</v>
      </c>
      <c r="K63" s="250" t="s">
        <v>784</v>
      </c>
    </row>
    <row r="64" customFormat="false" ht="15" hidden="false" customHeight="false" outlineLevel="0" collapsed="false">
      <c r="A64" s="232" t="s">
        <v>323</v>
      </c>
      <c r="B64" s="232" t="s">
        <v>1969</v>
      </c>
      <c r="C64" s="232" t="n">
        <v>3</v>
      </c>
      <c r="D64" s="240" t="n">
        <v>1</v>
      </c>
      <c r="E64" s="247" t="s">
        <v>1863</v>
      </c>
      <c r="F64" s="232" t="str">
        <f aca="false">IF(E64="","",IFERROR(INDEX(ICMS_TH,MATCH(E64,ICMS_CODES,0)),"⚠ รหัสไม่มีใน ICMS"))</f>
        <v>ค่าดำเนินการหน้างานของผู้รับเหมา</v>
      </c>
      <c r="G64" s="161"/>
      <c r="H64" s="248"/>
      <c r="I64" s="234" t="str">
        <f aca="false">IF(H64="","",H64*ICMS_N_ST)</f>
        <v/>
      </c>
      <c r="J64" s="249" t="str">
        <f aca="false">IF(E64="",IF(LEFT(G64,5)="นอกขอ","นอกขอบเขต","⚠ ยังไม่จัดกลุ่ม"),IF(COUNTIF(ICMS_GROUPS,E64)=0,"⚠ รหัสผิด","✓"))</f>
        <v>✓</v>
      </c>
      <c r="K64" s="250" t="s">
        <v>784</v>
      </c>
    </row>
    <row r="65" customFormat="false" ht="15" hidden="false" customHeight="false" outlineLevel="0" collapsed="false">
      <c r="A65" s="231" t="s">
        <v>987</v>
      </c>
      <c r="B65" s="233" t="s">
        <v>1970</v>
      </c>
      <c r="C65" s="231" t="n">
        <v>2</v>
      </c>
      <c r="D65" s="238" t="n">
        <v>10</v>
      </c>
      <c r="E65" s="241"/>
      <c r="F65" s="242" t="str">
        <f aca="false">IF(E65="","",IFERROR(INDEX(ICMS_TH,MATCH(E65,ICMS_CODES,0)),"⚠ รหัสไม่มีใน ICMS"))</f>
        <v/>
      </c>
      <c r="G65" s="243" t="s">
        <v>1898</v>
      </c>
      <c r="H65" s="244"/>
      <c r="I65" s="244" t="str">
        <f aca="false">IF(H65="","",H65*ICMS_N_ST)</f>
        <v/>
      </c>
      <c r="J65" s="241"/>
      <c r="K65" s="245" t="s">
        <v>784</v>
      </c>
    </row>
    <row r="66" customFormat="false" ht="15" hidden="false" customHeight="false" outlineLevel="0" collapsed="false">
      <c r="A66" s="232" t="s">
        <v>326</v>
      </c>
      <c r="B66" s="246" t="s">
        <v>1971</v>
      </c>
      <c r="C66" s="232" t="n">
        <v>3</v>
      </c>
      <c r="D66" s="240" t="n">
        <v>3</v>
      </c>
      <c r="E66" s="247" t="s">
        <v>1491</v>
      </c>
      <c r="F66" s="232" t="str">
        <f aca="false">IF(E66="","",IFERROR(INDEX(ICMS_TH,MATCH(E66,ICMS_CODES,0)),"⚠ รหัสไม่มีใน ICMS"))</f>
        <v>ระบบและอุปกรณ์</v>
      </c>
      <c r="G66" s="161"/>
      <c r="H66" s="248"/>
      <c r="I66" s="234" t="str">
        <f aca="false">IF(H66="","",H66*ICMS_N_ST)</f>
        <v/>
      </c>
      <c r="J66" s="249" t="str">
        <f aca="false">IF(E66="",IF(LEFT(G66,5)="นอกขอ","นอกขอบเขต","⚠ ยังไม่จัดกลุ่ม"),IF(COUNTIF(ICMS_GROUPS,E66)=0,"⚠ รหัสผิด","✓"))</f>
        <v>✓</v>
      </c>
      <c r="K66" s="250" t="s">
        <v>784</v>
      </c>
    </row>
    <row r="67" customFormat="false" ht="15" hidden="false" customHeight="false" outlineLevel="0" collapsed="false">
      <c r="A67" s="232" t="s">
        <v>329</v>
      </c>
      <c r="B67" s="246" t="s">
        <v>1972</v>
      </c>
      <c r="C67" s="232" t="n">
        <v>3</v>
      </c>
      <c r="D67" s="240" t="n">
        <v>3</v>
      </c>
      <c r="E67" s="247" t="s">
        <v>1491</v>
      </c>
      <c r="F67" s="232" t="str">
        <f aca="false">IF(E67="","",IFERROR(INDEX(ICMS_TH,MATCH(E67,ICMS_CODES,0)),"⚠ รหัสไม่มีใน ICMS"))</f>
        <v>ระบบและอุปกรณ์</v>
      </c>
      <c r="G67" s="161"/>
      <c r="H67" s="248"/>
      <c r="I67" s="234" t="str">
        <f aca="false">IF(H67="","",H67*ICMS_N_ST)</f>
        <v/>
      </c>
      <c r="J67" s="249" t="str">
        <f aca="false">IF(E67="",IF(LEFT(G67,5)="นอกขอ","นอกขอบเขต","⚠ ยังไม่จัดกลุ่ม"),IF(COUNTIF(ICMS_GROUPS,E67)=0,"⚠ รหัสผิด","✓"))</f>
        <v>✓</v>
      </c>
      <c r="K67" s="250" t="s">
        <v>784</v>
      </c>
    </row>
    <row r="68" customFormat="false" ht="15" hidden="false" customHeight="false" outlineLevel="0" collapsed="false">
      <c r="A68" s="232" t="s">
        <v>332</v>
      </c>
      <c r="B68" s="246" t="s">
        <v>1973</v>
      </c>
      <c r="C68" s="232" t="n">
        <v>3</v>
      </c>
      <c r="D68" s="240" t="n">
        <v>2</v>
      </c>
      <c r="E68" s="247" t="s">
        <v>1491</v>
      </c>
      <c r="F68" s="232" t="str">
        <f aca="false">IF(E68="","",IFERROR(INDEX(ICMS_TH,MATCH(E68,ICMS_CODES,0)),"⚠ รหัสไม่มีใน ICMS"))</f>
        <v>ระบบและอุปกรณ์</v>
      </c>
      <c r="G68" s="161"/>
      <c r="H68" s="248"/>
      <c r="I68" s="234" t="str">
        <f aca="false">IF(H68="","",H68*ICMS_N_ST)</f>
        <v/>
      </c>
      <c r="J68" s="249" t="str">
        <f aca="false">IF(E68="",IF(LEFT(G68,5)="นอกขอ","นอกขอบเขต","⚠ ยังไม่จัดกลุ่ม"),IF(COUNTIF(ICMS_GROUPS,E68)=0,"⚠ รหัสผิด","✓"))</f>
        <v>✓</v>
      </c>
      <c r="K68" s="250" t="s">
        <v>784</v>
      </c>
    </row>
    <row r="69" customFormat="false" ht="15" hidden="false" customHeight="false" outlineLevel="0" collapsed="false">
      <c r="A69" s="232" t="s">
        <v>335</v>
      </c>
      <c r="B69" s="246" t="s">
        <v>1974</v>
      </c>
      <c r="C69" s="232" t="n">
        <v>3</v>
      </c>
      <c r="D69" s="240" t="n">
        <v>1</v>
      </c>
      <c r="E69" s="247" t="s">
        <v>1491</v>
      </c>
      <c r="F69" s="232" t="str">
        <f aca="false">IF(E69="","",IFERROR(INDEX(ICMS_TH,MATCH(E69,ICMS_CODES,0)),"⚠ รหัสไม่มีใน ICMS"))</f>
        <v>ระบบและอุปกรณ์</v>
      </c>
      <c r="G69" s="161"/>
      <c r="H69" s="248"/>
      <c r="I69" s="234" t="str">
        <f aca="false">IF(H69="","",H69*ICMS_N_ST)</f>
        <v/>
      </c>
      <c r="J69" s="249" t="str">
        <f aca="false">IF(E69="",IF(LEFT(G69,5)="นอกขอ","นอกขอบเขต","⚠ ยังไม่จัดกลุ่ม"),IF(COUNTIF(ICMS_GROUPS,E69)=0,"⚠ รหัสผิด","✓"))</f>
        <v>✓</v>
      </c>
      <c r="K69" s="250" t="s">
        <v>784</v>
      </c>
    </row>
    <row r="70" customFormat="false" ht="15" hidden="false" customHeight="false" outlineLevel="0" collapsed="false">
      <c r="A70" s="232" t="s">
        <v>338</v>
      </c>
      <c r="B70" s="232" t="s">
        <v>1975</v>
      </c>
      <c r="C70" s="232" t="n">
        <v>3</v>
      </c>
      <c r="D70" s="240" t="n">
        <v>1</v>
      </c>
      <c r="E70" s="247" t="s">
        <v>1863</v>
      </c>
      <c r="F70" s="232" t="str">
        <f aca="false">IF(E70="","",IFERROR(INDEX(ICMS_TH,MATCH(E70,ICMS_CODES,0)),"⚠ รหัสไม่มีใน ICMS"))</f>
        <v>ค่าดำเนินการหน้างานของผู้รับเหมา</v>
      </c>
      <c r="G70" s="161"/>
      <c r="H70" s="248"/>
      <c r="I70" s="234" t="str">
        <f aca="false">IF(H70="","",H70*ICMS_N_ST)</f>
        <v/>
      </c>
      <c r="J70" s="249" t="str">
        <f aca="false">IF(E70="",IF(LEFT(G70,5)="นอกขอ","นอกขอบเขต","⚠ ยังไม่จัดกลุ่ม"),IF(COUNTIF(ICMS_GROUPS,E70)=0,"⚠ รหัสผิด","✓"))</f>
        <v>✓</v>
      </c>
      <c r="K70" s="250" t="s">
        <v>784</v>
      </c>
    </row>
    <row r="71" customFormat="false" ht="15" hidden="false" customHeight="false" outlineLevel="0" collapsed="false">
      <c r="A71" s="231" t="s">
        <v>1037</v>
      </c>
      <c r="B71" s="233" t="s">
        <v>1976</v>
      </c>
      <c r="C71" s="231" t="n">
        <v>2</v>
      </c>
      <c r="D71" s="238" t="n">
        <v>20</v>
      </c>
      <c r="E71" s="241"/>
      <c r="F71" s="242" t="str">
        <f aca="false">IF(E71="","",IFERROR(INDEX(ICMS_TH,MATCH(E71,ICMS_CODES,0)),"⚠ รหัสไม่มีใน ICMS"))</f>
        <v/>
      </c>
      <c r="G71" s="243" t="s">
        <v>1898</v>
      </c>
      <c r="H71" s="244"/>
      <c r="I71" s="244" t="str">
        <f aca="false">IF(H71="","",H71*ICMS_N_ST)</f>
        <v/>
      </c>
      <c r="J71" s="241"/>
      <c r="K71" s="245" t="s">
        <v>784</v>
      </c>
    </row>
    <row r="72" customFormat="false" ht="15" hidden="false" customHeight="false" outlineLevel="0" collapsed="false">
      <c r="A72" s="232" t="s">
        <v>341</v>
      </c>
      <c r="B72" s="246" t="s">
        <v>1977</v>
      </c>
      <c r="C72" s="232" t="n">
        <v>3</v>
      </c>
      <c r="D72" s="240" t="n">
        <v>2</v>
      </c>
      <c r="E72" s="247" t="s">
        <v>1863</v>
      </c>
      <c r="F72" s="232" t="str">
        <f aca="false">IF(E72="","",IFERROR(INDEX(ICMS_TH,MATCH(E72,ICMS_CODES,0)),"⚠ รหัสไม่มีใน ICMS"))</f>
        <v>ค่าดำเนินการหน้างานของผู้รับเหมา</v>
      </c>
      <c r="G72" s="161" t="s">
        <v>1978</v>
      </c>
      <c r="H72" s="248"/>
      <c r="I72" s="234" t="str">
        <f aca="false">IF(H72="","",H72*ICMS_N_ST)</f>
        <v/>
      </c>
      <c r="J72" s="249" t="str">
        <f aca="false">IF(E72="",IF(LEFT(G72,5)="นอกขอ","นอกขอบเขต","⚠ ยังไม่จัดกลุ่ม"),IF(COUNTIF(ICMS_GROUPS,E72)=0,"⚠ รหัสผิด","✓"))</f>
        <v>✓</v>
      </c>
      <c r="K72" s="250" t="s">
        <v>784</v>
      </c>
    </row>
    <row r="73" customFormat="false" ht="15" hidden="false" customHeight="false" outlineLevel="0" collapsed="false">
      <c r="A73" s="232" t="s">
        <v>344</v>
      </c>
      <c r="B73" s="246" t="s">
        <v>1979</v>
      </c>
      <c r="C73" s="232" t="n">
        <v>3</v>
      </c>
      <c r="D73" s="240" t="n">
        <v>12</v>
      </c>
      <c r="E73" s="247" t="s">
        <v>1491</v>
      </c>
      <c r="F73" s="232" t="str">
        <f aca="false">IF(E73="","",IFERROR(INDEX(ICMS_TH,MATCH(E73,ICMS_CODES,0)),"⚠ รหัสไม่มีใน ICMS"))</f>
        <v>ระบบและอุปกรณ์</v>
      </c>
      <c r="G73" s="161"/>
      <c r="H73" s="248"/>
      <c r="I73" s="234" t="str">
        <f aca="false">IF(H73="","",H73*ICMS_N_ST)</f>
        <v/>
      </c>
      <c r="J73" s="249" t="str">
        <f aca="false">IF(E73="",IF(LEFT(G73,5)="นอกขอ","นอกขอบเขต","⚠ ยังไม่จัดกลุ่ม"),IF(COUNTIF(ICMS_GROUPS,E73)=0,"⚠ รหัสผิด","✓"))</f>
        <v>✓</v>
      </c>
      <c r="K73" s="250" t="s">
        <v>784</v>
      </c>
    </row>
    <row r="74" customFormat="false" ht="15" hidden="false" customHeight="false" outlineLevel="0" collapsed="false">
      <c r="A74" s="232" t="s">
        <v>347</v>
      </c>
      <c r="B74" s="232" t="s">
        <v>1980</v>
      </c>
      <c r="C74" s="232" t="n">
        <v>3</v>
      </c>
      <c r="D74" s="240" t="n">
        <v>4</v>
      </c>
      <c r="E74" s="247" t="s">
        <v>1491</v>
      </c>
      <c r="F74" s="232" t="str">
        <f aca="false">IF(E74="","",IFERROR(INDEX(ICMS_TH,MATCH(E74,ICMS_CODES,0)),"⚠ รหัสไม่มีใน ICMS"))</f>
        <v>ระบบและอุปกรณ์</v>
      </c>
      <c r="G74" s="161"/>
      <c r="H74" s="248"/>
      <c r="I74" s="234" t="str">
        <f aca="false">IF(H74="","",H74*ICMS_N_ST)</f>
        <v/>
      </c>
      <c r="J74" s="249" t="str">
        <f aca="false">IF(E74="",IF(LEFT(G74,5)="นอกขอ","นอกขอบเขต","⚠ ยังไม่จัดกลุ่ม"),IF(COUNTIF(ICMS_GROUPS,E74)=0,"⚠ รหัสผิด","✓"))</f>
        <v>✓</v>
      </c>
      <c r="K74" s="250" t="s">
        <v>784</v>
      </c>
    </row>
    <row r="75" customFormat="false" ht="15" hidden="false" customHeight="false" outlineLevel="0" collapsed="false">
      <c r="A75" s="232" t="s">
        <v>350</v>
      </c>
      <c r="B75" s="232" t="s">
        <v>1981</v>
      </c>
      <c r="C75" s="232" t="n">
        <v>3</v>
      </c>
      <c r="D75" s="240" t="n">
        <v>1</v>
      </c>
      <c r="E75" s="247" t="s">
        <v>1491</v>
      </c>
      <c r="F75" s="232" t="str">
        <f aca="false">IF(E75="","",IFERROR(INDEX(ICMS_TH,MATCH(E75,ICMS_CODES,0)),"⚠ รหัสไม่มีใน ICMS"))</f>
        <v>ระบบและอุปกรณ์</v>
      </c>
      <c r="G75" s="161"/>
      <c r="H75" s="248"/>
      <c r="I75" s="234" t="str">
        <f aca="false">IF(H75="","",H75*ICMS_N_ST)</f>
        <v/>
      </c>
      <c r="J75" s="249" t="str">
        <f aca="false">IF(E75="",IF(LEFT(G75,5)="นอกขอ","นอกขอบเขต","⚠ ยังไม่จัดกลุ่ม"),IF(COUNTIF(ICMS_GROUPS,E75)=0,"⚠ รหัสผิด","✓"))</f>
        <v>✓</v>
      </c>
      <c r="K75" s="250" t="s">
        <v>784</v>
      </c>
    </row>
    <row r="76" customFormat="false" ht="15" hidden="false" customHeight="false" outlineLevel="0" collapsed="false">
      <c r="A76" s="232" t="s">
        <v>353</v>
      </c>
      <c r="B76" s="232" t="s">
        <v>1982</v>
      </c>
      <c r="C76" s="232" t="n">
        <v>3</v>
      </c>
      <c r="D76" s="240" t="n">
        <v>1</v>
      </c>
      <c r="E76" s="247" t="s">
        <v>1863</v>
      </c>
      <c r="F76" s="232" t="str">
        <f aca="false">IF(E76="","",IFERROR(INDEX(ICMS_TH,MATCH(E76,ICMS_CODES,0)),"⚠ รหัสไม่มีใน ICMS"))</f>
        <v>ค่าดำเนินการหน้างานของผู้รับเหมา</v>
      </c>
      <c r="G76" s="161"/>
      <c r="H76" s="248"/>
      <c r="I76" s="234" t="str">
        <f aca="false">IF(H76="","",H76*ICMS_N_ST)</f>
        <v/>
      </c>
      <c r="J76" s="249" t="str">
        <f aca="false">IF(E76="",IF(LEFT(G76,5)="นอกขอ","นอกขอบเขต","⚠ ยังไม่จัดกลุ่ม"),IF(COUNTIF(ICMS_GROUPS,E76)=0,"⚠ รหัสผิด","✓"))</f>
        <v>✓</v>
      </c>
      <c r="K76" s="250" t="s">
        <v>784</v>
      </c>
    </row>
    <row r="77" customFormat="false" ht="15" hidden="false" customHeight="false" outlineLevel="0" collapsed="false">
      <c r="A77" s="231" t="s">
        <v>1063</v>
      </c>
      <c r="B77" s="233" t="s">
        <v>1983</v>
      </c>
      <c r="C77" s="231" t="n">
        <v>2</v>
      </c>
      <c r="D77" s="238" t="n">
        <v>2.5</v>
      </c>
      <c r="E77" s="241"/>
      <c r="F77" s="242" t="str">
        <f aca="false">IF(E77="","",IFERROR(INDEX(ICMS_TH,MATCH(E77,ICMS_CODES,0)),"⚠ รหัสไม่มีใน ICMS"))</f>
        <v/>
      </c>
      <c r="G77" s="243" t="s">
        <v>1898</v>
      </c>
      <c r="H77" s="244"/>
      <c r="I77" s="244" t="str">
        <f aca="false">IF(H77="","",H77*ICMS_N_ST)</f>
        <v/>
      </c>
      <c r="J77" s="241"/>
      <c r="K77" s="245" t="s">
        <v>784</v>
      </c>
    </row>
    <row r="78" customFormat="false" ht="15" hidden="false" customHeight="false" outlineLevel="0" collapsed="false">
      <c r="A78" s="232" t="s">
        <v>356</v>
      </c>
      <c r="B78" s="246" t="s">
        <v>1984</v>
      </c>
      <c r="C78" s="232" t="n">
        <v>3</v>
      </c>
      <c r="D78" s="240" t="n">
        <v>1.5</v>
      </c>
      <c r="E78" s="247" t="s">
        <v>1491</v>
      </c>
      <c r="F78" s="232" t="str">
        <f aca="false">IF(E78="","",IFERROR(INDEX(ICMS_TH,MATCH(E78,ICMS_CODES,0)),"⚠ รหัสไม่มีใน ICMS"))</f>
        <v>ระบบและอุปกรณ์</v>
      </c>
      <c r="G78" s="161"/>
      <c r="H78" s="248"/>
      <c r="I78" s="234" t="str">
        <f aca="false">IF(H78="","",H78*ICMS_N_ST)</f>
        <v/>
      </c>
      <c r="J78" s="249" t="str">
        <f aca="false">IF(E78="",IF(LEFT(G78,5)="นอกขอ","นอกขอบเขต","⚠ ยังไม่จัดกลุ่ม"),IF(COUNTIF(ICMS_GROUPS,E78)=0,"⚠ รหัสผิด","✓"))</f>
        <v>✓</v>
      </c>
      <c r="K78" s="250" t="s">
        <v>784</v>
      </c>
    </row>
    <row r="79" customFormat="false" ht="15" hidden="false" customHeight="false" outlineLevel="0" collapsed="false">
      <c r="A79" s="232" t="s">
        <v>359</v>
      </c>
      <c r="B79" s="246" t="s">
        <v>1985</v>
      </c>
      <c r="C79" s="232" t="n">
        <v>3</v>
      </c>
      <c r="D79" s="240" t="n">
        <v>1</v>
      </c>
      <c r="E79" s="247" t="s">
        <v>1491</v>
      </c>
      <c r="F79" s="232" t="str">
        <f aca="false">IF(E79="","",IFERROR(INDEX(ICMS_TH,MATCH(E79,ICMS_CODES,0)),"⚠ รหัสไม่มีใน ICMS"))</f>
        <v>ระบบและอุปกรณ์</v>
      </c>
      <c r="G79" s="161"/>
      <c r="H79" s="248"/>
      <c r="I79" s="234" t="str">
        <f aca="false">IF(H79="","",H79*ICMS_N_ST)</f>
        <v/>
      </c>
      <c r="J79" s="249" t="str">
        <f aca="false">IF(E79="",IF(LEFT(G79,5)="นอกขอ","นอกขอบเขต","⚠ ยังไม่จัดกลุ่ม"),IF(COUNTIF(ICMS_GROUPS,E79)=0,"⚠ รหัสผิด","✓"))</f>
        <v>✓</v>
      </c>
      <c r="K79" s="250" t="s">
        <v>784</v>
      </c>
    </row>
    <row r="80" customFormat="false" ht="15" hidden="false" customHeight="false" outlineLevel="0" collapsed="false">
      <c r="A80" s="231" t="s">
        <v>1079</v>
      </c>
      <c r="B80" s="233" t="s">
        <v>1986</v>
      </c>
      <c r="C80" s="231" t="n">
        <v>2</v>
      </c>
      <c r="D80" s="238" t="n">
        <v>15</v>
      </c>
      <c r="E80" s="241"/>
      <c r="F80" s="242" t="str">
        <f aca="false">IF(E80="","",IFERROR(INDEX(ICMS_TH,MATCH(E80,ICMS_CODES,0)),"⚠ รหัสไม่มีใน ICMS"))</f>
        <v/>
      </c>
      <c r="G80" s="243" t="s">
        <v>1898</v>
      </c>
      <c r="H80" s="244"/>
      <c r="I80" s="244" t="str">
        <f aca="false">IF(H80="","",H80*ICMS_N_ST)</f>
        <v/>
      </c>
      <c r="J80" s="241"/>
      <c r="K80" s="245" t="s">
        <v>784</v>
      </c>
    </row>
    <row r="81" customFormat="false" ht="23.85" hidden="false" customHeight="false" outlineLevel="0" collapsed="false">
      <c r="A81" s="232" t="s">
        <v>362</v>
      </c>
      <c r="B81" s="232" t="s">
        <v>1987</v>
      </c>
      <c r="C81" s="232" t="n">
        <v>3</v>
      </c>
      <c r="D81" s="240" t="n">
        <v>5</v>
      </c>
      <c r="E81" s="247" t="s">
        <v>1850</v>
      </c>
      <c r="F81" s="232" t="str">
        <f aca="false">IF(E81="","",IFERROR(INDEX(ICMS_TH,MATCH(E81,ICMS_CODES,0)),"⚠ รหัสไม่มีใน ICMS"))</f>
        <v>โครงสร้าง</v>
      </c>
      <c r="G81" s="161" t="s">
        <v>1988</v>
      </c>
      <c r="H81" s="248"/>
      <c r="I81" s="234" t="str">
        <f aca="false">IF(H81="","",H81*ICMS_N_ST)</f>
        <v/>
      </c>
      <c r="J81" s="249" t="str">
        <f aca="false">IF(E81="",IF(LEFT(G81,5)="นอกขอ","นอกขอบเขต","⚠ ยังไม่จัดกลุ่ม"),IF(COUNTIF(ICMS_GROUPS,E81)=0,"⚠ รหัสผิด","✓"))</f>
        <v>✓</v>
      </c>
      <c r="K81" s="250" t="s">
        <v>784</v>
      </c>
    </row>
    <row r="82" customFormat="false" ht="15" hidden="false" customHeight="false" outlineLevel="0" collapsed="false">
      <c r="A82" s="232" t="s">
        <v>366</v>
      </c>
      <c r="B82" s="232" t="s">
        <v>1989</v>
      </c>
      <c r="C82" s="232" t="n">
        <v>3</v>
      </c>
      <c r="D82" s="240" t="n">
        <v>6.5</v>
      </c>
      <c r="E82" s="247" t="s">
        <v>1491</v>
      </c>
      <c r="F82" s="232" t="str">
        <f aca="false">IF(E82="","",IFERROR(INDEX(ICMS_TH,MATCH(E82,ICMS_CODES,0)),"⚠ รหัสไม่มีใน ICMS"))</f>
        <v>ระบบและอุปกรณ์</v>
      </c>
      <c r="G82" s="161"/>
      <c r="H82" s="248"/>
      <c r="I82" s="234" t="str">
        <f aca="false">IF(H82="","",H82*ICMS_N_ST)</f>
        <v/>
      </c>
      <c r="J82" s="249" t="str">
        <f aca="false">IF(E82="",IF(LEFT(G82,5)="นอกขอ","นอกขอบเขต","⚠ ยังไม่จัดกลุ่ม"),IF(COUNTIF(ICMS_GROUPS,E82)=0,"⚠ รหัสผิด","✓"))</f>
        <v>✓</v>
      </c>
      <c r="K82" s="250" t="s">
        <v>784</v>
      </c>
    </row>
    <row r="83" customFormat="false" ht="15" hidden="false" customHeight="false" outlineLevel="0" collapsed="false">
      <c r="A83" s="232" t="s">
        <v>370</v>
      </c>
      <c r="B83" s="246" t="s">
        <v>1990</v>
      </c>
      <c r="C83" s="232" t="n">
        <v>3</v>
      </c>
      <c r="D83" s="240" t="n">
        <v>2.5</v>
      </c>
      <c r="E83" s="247" t="s">
        <v>1491</v>
      </c>
      <c r="F83" s="232" t="str">
        <f aca="false">IF(E83="","",IFERROR(INDEX(ICMS_TH,MATCH(E83,ICMS_CODES,0)),"⚠ รหัสไม่มีใน ICMS"))</f>
        <v>ระบบและอุปกรณ์</v>
      </c>
      <c r="G83" s="161"/>
      <c r="H83" s="248"/>
      <c r="I83" s="234" t="str">
        <f aca="false">IF(H83="","",H83*ICMS_N_ST)</f>
        <v/>
      </c>
      <c r="J83" s="249" t="str">
        <f aca="false">IF(E83="",IF(LEFT(G83,5)="นอกขอ","นอกขอบเขต","⚠ ยังไม่จัดกลุ่ม"),IF(COUNTIF(ICMS_GROUPS,E83)=0,"⚠ รหัสผิด","✓"))</f>
        <v>✓</v>
      </c>
      <c r="K83" s="250" t="s">
        <v>784</v>
      </c>
    </row>
    <row r="84" customFormat="false" ht="15" hidden="false" customHeight="false" outlineLevel="0" collapsed="false">
      <c r="A84" s="232" t="s">
        <v>373</v>
      </c>
      <c r="B84" s="232" t="s">
        <v>1991</v>
      </c>
      <c r="C84" s="232" t="n">
        <v>3</v>
      </c>
      <c r="D84" s="240" t="n">
        <v>1</v>
      </c>
      <c r="E84" s="247" t="s">
        <v>1863</v>
      </c>
      <c r="F84" s="232" t="str">
        <f aca="false">IF(E84="","",IFERROR(INDEX(ICMS_TH,MATCH(E84,ICMS_CODES,0)),"⚠ รหัสไม่มีใน ICMS"))</f>
        <v>ค่าดำเนินการหน้างานของผู้รับเหมา</v>
      </c>
      <c r="G84" s="161"/>
      <c r="H84" s="248"/>
      <c r="I84" s="234" t="str">
        <f aca="false">IF(H84="","",H84*ICMS_N_ST)</f>
        <v/>
      </c>
      <c r="J84" s="249" t="str">
        <f aca="false">IF(E84="",IF(LEFT(G84,5)="นอกขอ","นอกขอบเขต","⚠ ยังไม่จัดกลุ่ม"),IF(COUNTIF(ICMS_GROUPS,E84)=0,"⚠ รหัสผิด","✓"))</f>
        <v>✓</v>
      </c>
      <c r="K84" s="250" t="s">
        <v>784</v>
      </c>
    </row>
    <row r="85" customFormat="false" ht="15" hidden="false" customHeight="false" outlineLevel="0" collapsed="false">
      <c r="A85" s="231" t="s">
        <v>1113</v>
      </c>
      <c r="B85" s="233" t="s">
        <v>1992</v>
      </c>
      <c r="C85" s="231" t="n">
        <v>2</v>
      </c>
      <c r="D85" s="238" t="n">
        <v>10</v>
      </c>
      <c r="E85" s="241"/>
      <c r="F85" s="242" t="str">
        <f aca="false">IF(E85="","",IFERROR(INDEX(ICMS_TH,MATCH(E85,ICMS_CODES,0)),"⚠ รหัสไม่มีใน ICMS"))</f>
        <v/>
      </c>
      <c r="G85" s="243" t="s">
        <v>1898</v>
      </c>
      <c r="H85" s="244"/>
      <c r="I85" s="244" t="str">
        <f aca="false">IF(H85="","",H85*ICMS_N_ST)</f>
        <v/>
      </c>
      <c r="J85" s="241"/>
      <c r="K85" s="245" t="s">
        <v>784</v>
      </c>
    </row>
    <row r="86" customFormat="false" ht="15" hidden="false" customHeight="false" outlineLevel="0" collapsed="false">
      <c r="A86" s="232" t="s">
        <v>376</v>
      </c>
      <c r="B86" s="246" t="s">
        <v>1993</v>
      </c>
      <c r="C86" s="232" t="n">
        <v>3</v>
      </c>
      <c r="D86" s="240" t="n">
        <v>4</v>
      </c>
      <c r="E86" s="247" t="s">
        <v>1491</v>
      </c>
      <c r="F86" s="232" t="str">
        <f aca="false">IF(E86="","",IFERROR(INDEX(ICMS_TH,MATCH(E86,ICMS_CODES,0)),"⚠ รหัสไม่มีใน ICMS"))</f>
        <v>ระบบและอุปกรณ์</v>
      </c>
      <c r="G86" s="161" t="s">
        <v>1994</v>
      </c>
      <c r="H86" s="248"/>
      <c r="I86" s="234" t="str">
        <f aca="false">IF(H86="","",H86*ICMS_N_ST)</f>
        <v/>
      </c>
      <c r="J86" s="249" t="str">
        <f aca="false">IF(E86="",IF(LEFT(G86,5)="นอกขอ","นอกขอบเขต","⚠ ยังไม่จัดกลุ่ม"),IF(COUNTIF(ICMS_GROUPS,E86)=0,"⚠ รหัสผิด","✓"))</f>
        <v>✓</v>
      </c>
      <c r="K86" s="250" t="s">
        <v>784</v>
      </c>
    </row>
    <row r="87" customFormat="false" ht="15" hidden="false" customHeight="false" outlineLevel="0" collapsed="false">
      <c r="A87" s="232" t="s">
        <v>379</v>
      </c>
      <c r="B87" s="232" t="s">
        <v>1995</v>
      </c>
      <c r="C87" s="232" t="n">
        <v>3</v>
      </c>
      <c r="D87" s="240" t="n">
        <v>1.5</v>
      </c>
      <c r="E87" s="247" t="s">
        <v>1491</v>
      </c>
      <c r="F87" s="232" t="str">
        <f aca="false">IF(E87="","",IFERROR(INDEX(ICMS_TH,MATCH(E87,ICMS_CODES,0)),"⚠ รหัสไม่มีใน ICMS"))</f>
        <v>ระบบและอุปกรณ์</v>
      </c>
      <c r="G87" s="161"/>
      <c r="H87" s="248"/>
      <c r="I87" s="234" t="str">
        <f aca="false">IF(H87="","",H87*ICMS_N_ST)</f>
        <v/>
      </c>
      <c r="J87" s="249" t="str">
        <f aca="false">IF(E87="",IF(LEFT(G87,5)="นอกขอ","นอกขอบเขต","⚠ ยังไม่จัดกลุ่ม"),IF(COUNTIF(ICMS_GROUPS,E87)=0,"⚠ รหัสผิด","✓"))</f>
        <v>✓</v>
      </c>
      <c r="K87" s="250" t="s">
        <v>784</v>
      </c>
    </row>
    <row r="88" customFormat="false" ht="15" hidden="false" customHeight="false" outlineLevel="0" collapsed="false">
      <c r="A88" s="232" t="s">
        <v>382</v>
      </c>
      <c r="B88" s="246" t="s">
        <v>1996</v>
      </c>
      <c r="C88" s="232" t="n">
        <v>3</v>
      </c>
      <c r="D88" s="240" t="n">
        <v>3</v>
      </c>
      <c r="E88" s="247" t="s">
        <v>1491</v>
      </c>
      <c r="F88" s="232" t="str">
        <f aca="false">IF(E88="","",IFERROR(INDEX(ICMS_TH,MATCH(E88,ICMS_CODES,0)),"⚠ รหัสไม่มีใน ICMS"))</f>
        <v>ระบบและอุปกรณ์</v>
      </c>
      <c r="G88" s="161"/>
      <c r="H88" s="248"/>
      <c r="I88" s="234" t="str">
        <f aca="false">IF(H88="","",H88*ICMS_N_ST)</f>
        <v/>
      </c>
      <c r="J88" s="249" t="str">
        <f aca="false">IF(E88="",IF(LEFT(G88,5)="นอกขอ","นอกขอบเขต","⚠ ยังไม่จัดกลุ่ม"),IF(COUNTIF(ICMS_GROUPS,E88)=0,"⚠ รหัสผิด","✓"))</f>
        <v>✓</v>
      </c>
      <c r="K88" s="250" t="s">
        <v>784</v>
      </c>
    </row>
    <row r="89" customFormat="false" ht="15" hidden="false" customHeight="false" outlineLevel="0" collapsed="false">
      <c r="A89" s="232" t="s">
        <v>385</v>
      </c>
      <c r="B89" s="246" t="s">
        <v>1997</v>
      </c>
      <c r="C89" s="232" t="n">
        <v>3</v>
      </c>
      <c r="D89" s="240" t="n">
        <v>1</v>
      </c>
      <c r="E89" s="247" t="s">
        <v>1491</v>
      </c>
      <c r="F89" s="232" t="str">
        <f aca="false">IF(E89="","",IFERROR(INDEX(ICMS_TH,MATCH(E89,ICMS_CODES,0)),"⚠ รหัสไม่มีใน ICMS"))</f>
        <v>ระบบและอุปกรณ์</v>
      </c>
      <c r="G89" s="161"/>
      <c r="H89" s="248"/>
      <c r="I89" s="234" t="str">
        <f aca="false">IF(H89="","",H89*ICMS_N_ST)</f>
        <v/>
      </c>
      <c r="J89" s="249" t="str">
        <f aca="false">IF(E89="",IF(LEFT(G89,5)="นอกขอ","นอกขอบเขต","⚠ ยังไม่จัดกลุ่ม"),IF(COUNTIF(ICMS_GROUPS,E89)=0,"⚠ รหัสผิด","✓"))</f>
        <v>✓</v>
      </c>
      <c r="K89" s="250" t="s">
        <v>784</v>
      </c>
    </row>
    <row r="90" customFormat="false" ht="15" hidden="false" customHeight="false" outlineLevel="0" collapsed="false">
      <c r="A90" s="232" t="s">
        <v>388</v>
      </c>
      <c r="B90" s="232" t="s">
        <v>1998</v>
      </c>
      <c r="C90" s="232" t="n">
        <v>3</v>
      </c>
      <c r="D90" s="240" t="n">
        <v>0.5</v>
      </c>
      <c r="E90" s="247" t="s">
        <v>1863</v>
      </c>
      <c r="F90" s="232" t="str">
        <f aca="false">IF(E90="","",IFERROR(INDEX(ICMS_TH,MATCH(E90,ICMS_CODES,0)),"⚠ รหัสไม่มีใน ICMS"))</f>
        <v>ค่าดำเนินการหน้างานของผู้รับเหมา</v>
      </c>
      <c r="G90" s="161"/>
      <c r="H90" s="248"/>
      <c r="I90" s="234" t="str">
        <f aca="false">IF(H90="","",H90*ICMS_N_ST)</f>
        <v/>
      </c>
      <c r="J90" s="249" t="str">
        <f aca="false">IF(E90="",IF(LEFT(G90,5)="นอกขอ","นอกขอบเขต","⚠ ยังไม่จัดกลุ่ม"),IF(COUNTIF(ICMS_GROUPS,E90)=0,"⚠ รหัสผิด","✓"))</f>
        <v>✓</v>
      </c>
      <c r="K90" s="250" t="s">
        <v>784</v>
      </c>
    </row>
    <row r="91" customFormat="false" ht="15" hidden="false" customHeight="false" outlineLevel="0" collapsed="false">
      <c r="A91" s="231" t="s">
        <v>1147</v>
      </c>
      <c r="B91" s="233" t="s">
        <v>1999</v>
      </c>
      <c r="C91" s="231" t="n">
        <v>2</v>
      </c>
      <c r="D91" s="238" t="n">
        <v>5</v>
      </c>
      <c r="E91" s="241"/>
      <c r="F91" s="242" t="str">
        <f aca="false">IF(E91="","",IFERROR(INDEX(ICMS_TH,MATCH(E91,ICMS_CODES,0)),"⚠ รหัสไม่มีใน ICMS"))</f>
        <v/>
      </c>
      <c r="G91" s="243" t="s">
        <v>1898</v>
      </c>
      <c r="H91" s="244"/>
      <c r="I91" s="244" t="str">
        <f aca="false">IF(H91="","",H91*ICMS_N_ST)</f>
        <v/>
      </c>
      <c r="J91" s="241"/>
      <c r="K91" s="245" t="s">
        <v>784</v>
      </c>
    </row>
    <row r="92" customFormat="false" ht="15" hidden="false" customHeight="false" outlineLevel="0" collapsed="false">
      <c r="A92" s="232" t="s">
        <v>391</v>
      </c>
      <c r="B92" s="246" t="s">
        <v>2000</v>
      </c>
      <c r="C92" s="232" t="n">
        <v>3</v>
      </c>
      <c r="D92" s="240" t="n">
        <v>3</v>
      </c>
      <c r="E92" s="247" t="s">
        <v>1491</v>
      </c>
      <c r="F92" s="232" t="str">
        <f aca="false">IF(E92="","",IFERROR(INDEX(ICMS_TH,MATCH(E92,ICMS_CODES,0)),"⚠ รหัสไม่มีใน ICMS"))</f>
        <v>ระบบและอุปกรณ์</v>
      </c>
      <c r="G92" s="161"/>
      <c r="H92" s="248"/>
      <c r="I92" s="234" t="str">
        <f aca="false">IF(H92="","",H92*ICMS_N_ST)</f>
        <v/>
      </c>
      <c r="J92" s="249" t="str">
        <f aca="false">IF(E92="",IF(LEFT(G92,5)="นอกขอ","นอกขอบเขต","⚠ ยังไม่จัดกลุ่ม"),IF(COUNTIF(ICMS_GROUPS,E92)=0,"⚠ รหัสผิด","✓"))</f>
        <v>✓</v>
      </c>
      <c r="K92" s="250" t="s">
        <v>784</v>
      </c>
    </row>
    <row r="93" customFormat="false" ht="15" hidden="false" customHeight="false" outlineLevel="0" collapsed="false">
      <c r="A93" s="232" t="s">
        <v>394</v>
      </c>
      <c r="B93" s="246" t="s">
        <v>2001</v>
      </c>
      <c r="C93" s="232" t="n">
        <v>3</v>
      </c>
      <c r="D93" s="240" t="n">
        <v>1.5</v>
      </c>
      <c r="E93" s="247" t="s">
        <v>1491</v>
      </c>
      <c r="F93" s="232" t="str">
        <f aca="false">IF(E93="","",IFERROR(INDEX(ICMS_TH,MATCH(E93,ICMS_CODES,0)),"⚠ รหัสไม่มีใน ICMS"))</f>
        <v>ระบบและอุปกรณ์</v>
      </c>
      <c r="G93" s="161"/>
      <c r="H93" s="248"/>
      <c r="I93" s="234" t="str">
        <f aca="false">IF(H93="","",H93*ICMS_N_ST)</f>
        <v/>
      </c>
      <c r="J93" s="249" t="str">
        <f aca="false">IF(E93="",IF(LEFT(G93,5)="นอกขอ","นอกขอบเขต","⚠ ยังไม่จัดกลุ่ม"),IF(COUNTIF(ICMS_GROUPS,E93)=0,"⚠ รหัสผิด","✓"))</f>
        <v>✓</v>
      </c>
      <c r="K93" s="250" t="s">
        <v>784</v>
      </c>
    </row>
    <row r="94" customFormat="false" ht="15" hidden="false" customHeight="false" outlineLevel="0" collapsed="false">
      <c r="A94" s="232" t="s">
        <v>397</v>
      </c>
      <c r="B94" s="232" t="s">
        <v>2002</v>
      </c>
      <c r="C94" s="232" t="n">
        <v>3</v>
      </c>
      <c r="D94" s="240" t="n">
        <v>0.5</v>
      </c>
      <c r="E94" s="247" t="s">
        <v>1863</v>
      </c>
      <c r="F94" s="232" t="str">
        <f aca="false">IF(E94="","",IFERROR(INDEX(ICMS_TH,MATCH(E94,ICMS_CODES,0)),"⚠ รหัสไม่มีใน ICMS"))</f>
        <v>ค่าดำเนินการหน้างานของผู้รับเหมา</v>
      </c>
      <c r="G94" s="161"/>
      <c r="H94" s="248"/>
      <c r="I94" s="234" t="str">
        <f aca="false">IF(H94="","",H94*ICMS_N_ST)</f>
        <v/>
      </c>
      <c r="J94" s="249" t="str">
        <f aca="false">IF(E94="",IF(LEFT(G94,5)="นอกขอ","นอกขอบเขต","⚠ ยังไม่จัดกลุ่ม"),IF(COUNTIF(ICMS_GROUPS,E94)=0,"⚠ รหัสผิด","✓"))</f>
        <v>✓</v>
      </c>
      <c r="K94" s="250" t="s">
        <v>784</v>
      </c>
    </row>
    <row r="95" customFormat="false" ht="15" hidden="false" customHeight="false" outlineLevel="0" collapsed="false">
      <c r="A95" s="231" t="s">
        <v>1168</v>
      </c>
      <c r="B95" s="233" t="s">
        <v>2003</v>
      </c>
      <c r="C95" s="231" t="n">
        <v>2</v>
      </c>
      <c r="D95" s="238" t="n">
        <v>5</v>
      </c>
      <c r="E95" s="241"/>
      <c r="F95" s="242" t="str">
        <f aca="false">IF(E95="","",IFERROR(INDEX(ICMS_TH,MATCH(E95,ICMS_CODES,0)),"⚠ รหัสไม่มีใน ICMS"))</f>
        <v/>
      </c>
      <c r="G95" s="243" t="s">
        <v>1898</v>
      </c>
      <c r="H95" s="244"/>
      <c r="I95" s="244" t="str">
        <f aca="false">IF(H95="","",H95*ICMS_N_ST)</f>
        <v/>
      </c>
      <c r="J95" s="241"/>
      <c r="K95" s="245" t="s">
        <v>784</v>
      </c>
    </row>
    <row r="96" customFormat="false" ht="15" hidden="false" customHeight="false" outlineLevel="0" collapsed="false">
      <c r="A96" s="232" t="s">
        <v>2004</v>
      </c>
      <c r="B96" s="246" t="s">
        <v>2005</v>
      </c>
      <c r="C96" s="232" t="n">
        <v>3</v>
      </c>
      <c r="D96" s="240" t="n">
        <v>0</v>
      </c>
      <c r="E96" s="247" t="s">
        <v>1037</v>
      </c>
      <c r="F96" s="232" t="str">
        <f aca="false">IF(E96="","",IFERROR(INDEX(ICMS_TH,MATCH(E96,ICMS_CODES,0)),"⚠ รหัสไม่มีใน ICMS"))</f>
        <v>งานและสาธารณูปโภคนอกพื้นที่</v>
      </c>
      <c r="G96" s="161"/>
      <c r="H96" s="248"/>
      <c r="I96" s="234" t="str">
        <f aca="false">IF(H96="","",H96*ICMS_N_ST)</f>
        <v/>
      </c>
      <c r="J96" s="249" t="str">
        <f aca="false">IF(E96="",IF(LEFT(G96,5)="นอกขอ","นอกขอบเขต","⚠ ยังไม่จัดกลุ่ม"),IF(COUNTIF(ICMS_GROUPS,E96)=0,"⚠ รหัสผิด","✓"))</f>
        <v>✓</v>
      </c>
      <c r="K96" s="250" t="s">
        <v>1146</v>
      </c>
    </row>
    <row r="97" customFormat="false" ht="15" hidden="false" customHeight="false" outlineLevel="0" collapsed="false">
      <c r="A97" s="232" t="s">
        <v>400</v>
      </c>
      <c r="B97" s="246" t="s">
        <v>2006</v>
      </c>
      <c r="C97" s="232" t="n">
        <v>3</v>
      </c>
      <c r="D97" s="240" t="n">
        <v>2</v>
      </c>
      <c r="E97" s="247" t="s">
        <v>1037</v>
      </c>
      <c r="F97" s="232" t="str">
        <f aca="false">IF(E97="","",IFERROR(INDEX(ICMS_TH,MATCH(E97,ICMS_CODES,0)),"⚠ รหัสไม่มีใน ICMS"))</f>
        <v>งานและสาธารณูปโภคนอกพื้นที่</v>
      </c>
      <c r="G97" s="161" t="s">
        <v>2007</v>
      </c>
      <c r="H97" s="248"/>
      <c r="I97" s="234" t="str">
        <f aca="false">IF(H97="","",H97*ICMS_N_ST)</f>
        <v/>
      </c>
      <c r="J97" s="249" t="str">
        <f aca="false">IF(E97="",IF(LEFT(G97,5)="นอกขอ","นอกขอบเขต","⚠ ยังไม่จัดกลุ่ม"),IF(COUNTIF(ICMS_GROUPS,E97)=0,"⚠ รหัสผิด","✓"))</f>
        <v>✓</v>
      </c>
      <c r="K97" s="250" t="s">
        <v>1146</v>
      </c>
    </row>
    <row r="98" customFormat="false" ht="15" hidden="false" customHeight="false" outlineLevel="0" collapsed="false">
      <c r="A98" s="232" t="s">
        <v>467</v>
      </c>
      <c r="B98" s="232" t="s">
        <v>2008</v>
      </c>
      <c r="C98" s="232" t="n">
        <v>3</v>
      </c>
      <c r="D98" s="240" t="n">
        <v>2</v>
      </c>
      <c r="E98" s="247" t="s">
        <v>1491</v>
      </c>
      <c r="F98" s="232" t="str">
        <f aca="false">IF(E98="","",IFERROR(INDEX(ICMS_TH,MATCH(E98,ICMS_CODES,0)),"⚠ รหัสไม่มีใน ICMS"))</f>
        <v>ระบบและอุปกรณ์</v>
      </c>
      <c r="G98" s="161"/>
      <c r="H98" s="248"/>
      <c r="I98" s="234" t="str">
        <f aca="false">IF(H98="","",H98*ICMS_N_ST)</f>
        <v/>
      </c>
      <c r="J98" s="249" t="str">
        <f aca="false">IF(E98="",IF(LEFT(G98,5)="นอกขอ","นอกขอบเขต","⚠ ยังไม่จัดกลุ่ม"),IF(COUNTIF(ICMS_GROUPS,E98)=0,"⚠ รหัสผิด","✓"))</f>
        <v>✓</v>
      </c>
      <c r="K98" s="250" t="s">
        <v>1185</v>
      </c>
    </row>
    <row r="99" customFormat="false" ht="15" hidden="false" customHeight="false" outlineLevel="0" collapsed="false">
      <c r="A99" s="232" t="s">
        <v>403</v>
      </c>
      <c r="B99" s="246" t="s">
        <v>2009</v>
      </c>
      <c r="C99" s="232" t="n">
        <v>3</v>
      </c>
      <c r="D99" s="240" t="n">
        <v>1.25</v>
      </c>
      <c r="E99" s="247" t="s">
        <v>1491</v>
      </c>
      <c r="F99" s="232" t="str">
        <f aca="false">IF(E99="","",IFERROR(INDEX(ICMS_TH,MATCH(E99,ICMS_CODES,0)),"⚠ รหัสไม่มีใน ICMS"))</f>
        <v>ระบบและอุปกรณ์</v>
      </c>
      <c r="G99" s="161"/>
      <c r="H99" s="248"/>
      <c r="I99" s="234" t="str">
        <f aca="false">IF(H99="","",H99*ICMS_N_ST)</f>
        <v/>
      </c>
      <c r="J99" s="249" t="str">
        <f aca="false">IF(E99="",IF(LEFT(G99,5)="นอกขอ","นอกขอบเขต","⚠ ยังไม่จัดกลุ่ม"),IF(COUNTIF(ICMS_GROUPS,E99)=0,"⚠ รหัสผิด","✓"))</f>
        <v>✓</v>
      </c>
      <c r="K99" s="250" t="s">
        <v>784</v>
      </c>
    </row>
    <row r="100" customFormat="false" ht="15" hidden="false" customHeight="false" outlineLevel="0" collapsed="false">
      <c r="A100" s="232" t="s">
        <v>406</v>
      </c>
      <c r="B100" s="246" t="s">
        <v>2010</v>
      </c>
      <c r="C100" s="232" t="n">
        <v>3</v>
      </c>
      <c r="D100" s="240" t="n">
        <v>1.25</v>
      </c>
      <c r="E100" s="247" t="s">
        <v>1491</v>
      </c>
      <c r="F100" s="232" t="str">
        <f aca="false">IF(E100="","",IFERROR(INDEX(ICMS_TH,MATCH(E100,ICMS_CODES,0)),"⚠ รหัสไม่มีใน ICMS"))</f>
        <v>ระบบและอุปกรณ์</v>
      </c>
      <c r="G100" s="161"/>
      <c r="H100" s="248"/>
      <c r="I100" s="234" t="str">
        <f aca="false">IF(H100="","",H100*ICMS_N_ST)</f>
        <v/>
      </c>
      <c r="J100" s="249" t="str">
        <f aca="false">IF(E100="",IF(LEFT(G100,5)="นอกขอ","นอกขอบเขต","⚠ ยังไม่จัดกลุ่ม"),IF(COUNTIF(ICMS_GROUPS,E100)=0,"⚠ รหัสผิด","✓"))</f>
        <v>✓</v>
      </c>
      <c r="K100" s="250" t="s">
        <v>784</v>
      </c>
    </row>
    <row r="101" customFormat="false" ht="15" hidden="false" customHeight="false" outlineLevel="0" collapsed="false">
      <c r="A101" s="232" t="s">
        <v>409</v>
      </c>
      <c r="B101" s="232" t="s">
        <v>2011</v>
      </c>
      <c r="C101" s="232" t="n">
        <v>3</v>
      </c>
      <c r="D101" s="240" t="n">
        <v>0.5</v>
      </c>
      <c r="E101" s="247" t="s">
        <v>1863</v>
      </c>
      <c r="F101" s="232" t="str">
        <f aca="false">IF(E101="","",IFERROR(INDEX(ICMS_TH,MATCH(E101,ICMS_CODES,0)),"⚠ รหัสไม่มีใน ICMS"))</f>
        <v>ค่าดำเนินการหน้างานของผู้รับเหมา</v>
      </c>
      <c r="G101" s="161"/>
      <c r="H101" s="248"/>
      <c r="I101" s="234" t="str">
        <f aca="false">IF(H101="","",H101*ICMS_N_ST)</f>
        <v/>
      </c>
      <c r="J101" s="249" t="str">
        <f aca="false">IF(E101="",IF(LEFT(G101,5)="นอกขอ","นอกขอบเขต","⚠ ยังไม่จัดกลุ่ม"),IF(COUNTIF(ICMS_GROUPS,E101)=0,"⚠ รหัสผิด","✓"))</f>
        <v>✓</v>
      </c>
      <c r="K101" s="250" t="s">
        <v>784</v>
      </c>
    </row>
    <row r="102" customFormat="false" ht="15" hidden="false" customHeight="false" outlineLevel="0" collapsed="false">
      <c r="A102" s="231" t="s">
        <v>1192</v>
      </c>
      <c r="B102" s="233" t="s">
        <v>2012</v>
      </c>
      <c r="C102" s="231" t="n">
        <v>2</v>
      </c>
      <c r="D102" s="238" t="n">
        <v>2.5</v>
      </c>
      <c r="E102" s="241"/>
      <c r="F102" s="242" t="str">
        <f aca="false">IF(E102="","",IFERROR(INDEX(ICMS_TH,MATCH(E102,ICMS_CODES,0)),"⚠ รหัสไม่มีใน ICMS"))</f>
        <v/>
      </c>
      <c r="G102" s="243" t="s">
        <v>1898</v>
      </c>
      <c r="H102" s="244"/>
      <c r="I102" s="244" t="str">
        <f aca="false">IF(H102="","",H102*ICMS_N_ST)</f>
        <v/>
      </c>
      <c r="J102" s="241"/>
      <c r="K102" s="245" t="s">
        <v>784</v>
      </c>
    </row>
    <row r="103" customFormat="false" ht="15" hidden="false" customHeight="false" outlineLevel="0" collapsed="false">
      <c r="A103" s="232" t="s">
        <v>412</v>
      </c>
      <c r="B103" s="232" t="s">
        <v>2013</v>
      </c>
      <c r="C103" s="232" t="n">
        <v>3</v>
      </c>
      <c r="D103" s="240" t="n">
        <v>1</v>
      </c>
      <c r="E103" s="247" t="s">
        <v>1491</v>
      </c>
      <c r="F103" s="232" t="str">
        <f aca="false">IF(E103="","",IFERROR(INDEX(ICMS_TH,MATCH(E103,ICMS_CODES,0)),"⚠ รหัสไม่มีใน ICMS"))</f>
        <v>ระบบและอุปกรณ์</v>
      </c>
      <c r="G103" s="161"/>
      <c r="H103" s="248"/>
      <c r="I103" s="234" t="str">
        <f aca="false">IF(H103="","",H103*ICMS_N_ST)</f>
        <v/>
      </c>
      <c r="J103" s="249" t="str">
        <f aca="false">IF(E103="",IF(LEFT(G103,5)="นอกขอ","นอกขอบเขต","⚠ ยังไม่จัดกลุ่ม"),IF(COUNTIF(ICMS_GROUPS,E103)=0,"⚠ รหัสผิด","✓"))</f>
        <v>✓</v>
      </c>
      <c r="K103" s="250" t="s">
        <v>784</v>
      </c>
    </row>
    <row r="104" customFormat="false" ht="15" hidden="false" customHeight="false" outlineLevel="0" collapsed="false">
      <c r="A104" s="232" t="s">
        <v>415</v>
      </c>
      <c r="B104" s="246" t="s">
        <v>2014</v>
      </c>
      <c r="C104" s="232" t="n">
        <v>3</v>
      </c>
      <c r="D104" s="240" t="n">
        <v>1</v>
      </c>
      <c r="E104" s="247" t="s">
        <v>1491</v>
      </c>
      <c r="F104" s="232" t="str">
        <f aca="false">IF(E104="","",IFERROR(INDEX(ICMS_TH,MATCH(E104,ICMS_CODES,0)),"⚠ รหัสไม่มีใน ICMS"))</f>
        <v>ระบบและอุปกรณ์</v>
      </c>
      <c r="G104" s="161"/>
      <c r="H104" s="248"/>
      <c r="I104" s="234" t="str">
        <f aca="false">IF(H104="","",H104*ICMS_N_ST)</f>
        <v/>
      </c>
      <c r="J104" s="249" t="str">
        <f aca="false">IF(E104="",IF(LEFT(G104,5)="นอกขอ","นอกขอบเขต","⚠ ยังไม่จัดกลุ่ม"),IF(COUNTIF(ICMS_GROUPS,E104)=0,"⚠ รหัสผิด","✓"))</f>
        <v>✓</v>
      </c>
      <c r="K104" s="250" t="s">
        <v>784</v>
      </c>
    </row>
    <row r="105" customFormat="false" ht="15" hidden="false" customHeight="false" outlineLevel="0" collapsed="false">
      <c r="A105" s="232" t="s">
        <v>418</v>
      </c>
      <c r="B105" s="232" t="s">
        <v>2015</v>
      </c>
      <c r="C105" s="232" t="n">
        <v>3</v>
      </c>
      <c r="D105" s="240" t="n">
        <v>0.5</v>
      </c>
      <c r="E105" s="247" t="s">
        <v>1491</v>
      </c>
      <c r="F105" s="232" t="str">
        <f aca="false">IF(E105="","",IFERROR(INDEX(ICMS_TH,MATCH(E105,ICMS_CODES,0)),"⚠ รหัสไม่มีใน ICMS"))</f>
        <v>ระบบและอุปกรณ์</v>
      </c>
      <c r="G105" s="161"/>
      <c r="H105" s="248"/>
      <c r="I105" s="234" t="str">
        <f aca="false">IF(H105="","",H105*ICMS_N_ST)</f>
        <v/>
      </c>
      <c r="J105" s="249" t="str">
        <f aca="false">IF(E105="",IF(LEFT(G105,5)="นอกขอ","นอกขอบเขต","⚠ ยังไม่จัดกลุ่ม"),IF(COUNTIF(ICMS_GROUPS,E105)=0,"⚠ รหัสผิด","✓"))</f>
        <v>✓</v>
      </c>
      <c r="K105" s="250" t="s">
        <v>784</v>
      </c>
    </row>
    <row r="106" customFormat="false" ht="15" hidden="false" customHeight="false" outlineLevel="0" collapsed="false">
      <c r="A106" s="231" t="s">
        <v>1487</v>
      </c>
      <c r="B106" s="233" t="s">
        <v>2016</v>
      </c>
      <c r="C106" s="231" t="n">
        <v>2</v>
      </c>
      <c r="D106" s="238" t="n">
        <v>0</v>
      </c>
      <c r="E106" s="241"/>
      <c r="F106" s="242" t="str">
        <f aca="false">IF(E106="","",IFERROR(INDEX(ICMS_TH,MATCH(E106,ICMS_CODES,0)),"⚠ รหัสไม่มีใน ICMS"))</f>
        <v/>
      </c>
      <c r="G106" s="243" t="s">
        <v>1898</v>
      </c>
      <c r="H106" s="244"/>
      <c r="I106" s="244" t="str">
        <f aca="false">IF(H106="","",H106*ICMS_N_ST)</f>
        <v/>
      </c>
      <c r="J106" s="241"/>
      <c r="K106" s="245" t="s">
        <v>784</v>
      </c>
    </row>
    <row r="107" customFormat="false" ht="15" hidden="false" customHeight="false" outlineLevel="0" collapsed="false">
      <c r="A107" s="232" t="s">
        <v>421</v>
      </c>
      <c r="B107" s="246" t="s">
        <v>2017</v>
      </c>
      <c r="C107" s="232" t="n">
        <v>3</v>
      </c>
      <c r="D107" s="240" t="n">
        <v>0</v>
      </c>
      <c r="E107" s="247" t="s">
        <v>1491</v>
      </c>
      <c r="F107" s="232" t="str">
        <f aca="false">IF(E107="","",IFERROR(INDEX(ICMS_TH,MATCH(E107,ICMS_CODES,0)),"⚠ รหัสไม่มีใน ICMS"))</f>
        <v>ระบบและอุปกรณ์</v>
      </c>
      <c r="G107" s="161"/>
      <c r="H107" s="248"/>
      <c r="I107" s="234" t="str">
        <f aca="false">IF(H107="","",H107*ICMS_N_ST)</f>
        <v/>
      </c>
      <c r="J107" s="249" t="str">
        <f aca="false">IF(E107="",IF(LEFT(G107,5)="นอกขอ","นอกขอบเขต","⚠ ยังไม่จัดกลุ่ม"),IF(COUNTIF(ICMS_GROUPS,E107)=0,"⚠ รหัสผิด","✓"))</f>
        <v>✓</v>
      </c>
      <c r="K107" s="250" t="s">
        <v>784</v>
      </c>
    </row>
    <row r="108" customFormat="false" ht="15" hidden="false" customHeight="false" outlineLevel="0" collapsed="false">
      <c r="A108" s="232" t="s">
        <v>424</v>
      </c>
      <c r="B108" s="246" t="s">
        <v>2018</v>
      </c>
      <c r="C108" s="232" t="n">
        <v>3</v>
      </c>
      <c r="D108" s="240" t="n">
        <v>0</v>
      </c>
      <c r="E108" s="247" t="s">
        <v>1491</v>
      </c>
      <c r="F108" s="232" t="str">
        <f aca="false">IF(E108="","",IFERROR(INDEX(ICMS_TH,MATCH(E108,ICMS_CODES,0)),"⚠ รหัสไม่มีใน ICMS"))</f>
        <v>ระบบและอุปกรณ์</v>
      </c>
      <c r="G108" s="161"/>
      <c r="H108" s="248"/>
      <c r="I108" s="234" t="str">
        <f aca="false">IF(H108="","",H108*ICMS_N_ST)</f>
        <v/>
      </c>
      <c r="J108" s="249" t="str">
        <f aca="false">IF(E108="",IF(LEFT(G108,5)="นอกขอ","นอกขอบเขต","⚠ ยังไม่จัดกลุ่ม"),IF(COUNTIF(ICMS_GROUPS,E108)=0,"⚠ รหัสผิด","✓"))</f>
        <v>✓</v>
      </c>
      <c r="K108" s="250" t="s">
        <v>784</v>
      </c>
    </row>
    <row r="109" customFormat="false" ht="15" hidden="false" customHeight="false" outlineLevel="0" collapsed="false">
      <c r="A109" s="231" t="s">
        <v>1205</v>
      </c>
      <c r="B109" s="233" t="s">
        <v>2019</v>
      </c>
      <c r="C109" s="231" t="n">
        <v>2</v>
      </c>
      <c r="D109" s="238" t="n">
        <v>2.5</v>
      </c>
      <c r="E109" s="241"/>
      <c r="F109" s="242" t="str">
        <f aca="false">IF(E109="","",IFERROR(INDEX(ICMS_TH,MATCH(E109,ICMS_CODES,0)),"⚠ รหัสไม่มีใน ICMS"))</f>
        <v/>
      </c>
      <c r="G109" s="243" t="s">
        <v>1898</v>
      </c>
      <c r="H109" s="244"/>
      <c r="I109" s="244" t="str">
        <f aca="false">IF(H109="","",H109*ICMS_N_ST)</f>
        <v/>
      </c>
      <c r="J109" s="241"/>
      <c r="K109" s="245" t="s">
        <v>784</v>
      </c>
    </row>
    <row r="110" customFormat="false" ht="15" hidden="false" customHeight="false" outlineLevel="0" collapsed="false">
      <c r="A110" s="232" t="s">
        <v>427</v>
      </c>
      <c r="B110" s="232" t="s">
        <v>2020</v>
      </c>
      <c r="C110" s="232" t="n">
        <v>3</v>
      </c>
      <c r="D110" s="240" t="n">
        <v>0.25</v>
      </c>
      <c r="E110" s="247" t="s">
        <v>1491</v>
      </c>
      <c r="F110" s="232" t="str">
        <f aca="false">IF(E110="","",IFERROR(INDEX(ICMS_TH,MATCH(E110,ICMS_CODES,0)),"⚠ รหัสไม่มีใน ICMS"))</f>
        <v>ระบบและอุปกรณ์</v>
      </c>
      <c r="G110" s="161" t="s">
        <v>2021</v>
      </c>
      <c r="H110" s="248"/>
      <c r="I110" s="234" t="str">
        <f aca="false">IF(H110="","",H110*ICMS_N_ST)</f>
        <v/>
      </c>
      <c r="J110" s="249" t="str">
        <f aca="false">IF(E110="",IF(LEFT(G110,5)="นอกขอ","นอกขอบเขต","⚠ ยังไม่จัดกลุ่ม"),IF(COUNTIF(ICMS_GROUPS,E110)=0,"⚠ รหัสผิด","✓"))</f>
        <v>✓</v>
      </c>
      <c r="K110" s="250" t="s">
        <v>784</v>
      </c>
    </row>
    <row r="111" customFormat="false" ht="15" hidden="false" customHeight="false" outlineLevel="0" collapsed="false">
      <c r="A111" s="232" t="s">
        <v>430</v>
      </c>
      <c r="B111" s="246" t="s">
        <v>2022</v>
      </c>
      <c r="C111" s="232" t="n">
        <v>3</v>
      </c>
      <c r="D111" s="240" t="n">
        <v>0.75</v>
      </c>
      <c r="E111" s="247" t="s">
        <v>1491</v>
      </c>
      <c r="F111" s="232" t="str">
        <f aca="false">IF(E111="","",IFERROR(INDEX(ICMS_TH,MATCH(E111,ICMS_CODES,0)),"⚠ รหัสไม่มีใน ICMS"))</f>
        <v>ระบบและอุปกรณ์</v>
      </c>
      <c r="G111" s="161" t="s">
        <v>2021</v>
      </c>
      <c r="H111" s="248"/>
      <c r="I111" s="234" t="str">
        <f aca="false">IF(H111="","",H111*ICMS_N_ST)</f>
        <v/>
      </c>
      <c r="J111" s="249" t="str">
        <f aca="false">IF(E111="",IF(LEFT(G111,5)="นอกขอ","นอกขอบเขต","⚠ ยังไม่จัดกลุ่ม"),IF(COUNTIF(ICMS_GROUPS,E111)=0,"⚠ รหัสผิด","✓"))</f>
        <v>✓</v>
      </c>
      <c r="K111" s="250" t="s">
        <v>784</v>
      </c>
    </row>
    <row r="112" customFormat="false" ht="15" hidden="false" customHeight="false" outlineLevel="0" collapsed="false">
      <c r="A112" s="232" t="s">
        <v>433</v>
      </c>
      <c r="B112" s="246" t="s">
        <v>2023</v>
      </c>
      <c r="C112" s="232" t="n">
        <v>3</v>
      </c>
      <c r="D112" s="240" t="n">
        <v>0.25</v>
      </c>
      <c r="E112" s="247" t="s">
        <v>1491</v>
      </c>
      <c r="F112" s="232" t="str">
        <f aca="false">IF(E112="","",IFERROR(INDEX(ICMS_TH,MATCH(E112,ICMS_CODES,0)),"⚠ รหัสไม่มีใน ICMS"))</f>
        <v>ระบบและอุปกรณ์</v>
      </c>
      <c r="G112" s="161" t="s">
        <v>2021</v>
      </c>
      <c r="H112" s="248"/>
      <c r="I112" s="234" t="str">
        <f aca="false">IF(H112="","",H112*ICMS_N_ST)</f>
        <v/>
      </c>
      <c r="J112" s="249" t="str">
        <f aca="false">IF(E112="",IF(LEFT(G112,5)="นอกขอ","นอกขอบเขต","⚠ ยังไม่จัดกลุ่ม"),IF(COUNTIF(ICMS_GROUPS,E112)=0,"⚠ รหัสผิด","✓"))</f>
        <v>✓</v>
      </c>
      <c r="K112" s="250" t="s">
        <v>784</v>
      </c>
    </row>
    <row r="113" customFormat="false" ht="15" hidden="false" customHeight="false" outlineLevel="0" collapsed="false">
      <c r="A113" s="232" t="s">
        <v>436</v>
      </c>
      <c r="B113" s="246" t="s">
        <v>2024</v>
      </c>
      <c r="C113" s="232" t="n">
        <v>3</v>
      </c>
      <c r="D113" s="240" t="n">
        <v>0.25</v>
      </c>
      <c r="E113" s="247" t="s">
        <v>1491</v>
      </c>
      <c r="F113" s="232" t="str">
        <f aca="false">IF(E113="","",IFERROR(INDEX(ICMS_TH,MATCH(E113,ICMS_CODES,0)),"⚠ รหัสไม่มีใน ICMS"))</f>
        <v>ระบบและอุปกรณ์</v>
      </c>
      <c r="G113" s="161" t="s">
        <v>2021</v>
      </c>
      <c r="H113" s="248"/>
      <c r="I113" s="234" t="str">
        <f aca="false">IF(H113="","",H113*ICMS_N_ST)</f>
        <v/>
      </c>
      <c r="J113" s="249" t="str">
        <f aca="false">IF(E113="",IF(LEFT(G113,5)="นอกขอ","นอกขอบเขต","⚠ ยังไม่จัดกลุ่ม"),IF(COUNTIF(ICMS_GROUPS,E113)=0,"⚠ รหัสผิด","✓"))</f>
        <v>✓</v>
      </c>
      <c r="K113" s="250" t="s">
        <v>784</v>
      </c>
    </row>
    <row r="114" customFormat="false" ht="15" hidden="false" customHeight="false" outlineLevel="0" collapsed="false">
      <c r="A114" s="232" t="s">
        <v>439</v>
      </c>
      <c r="B114" s="246" t="s">
        <v>2025</v>
      </c>
      <c r="C114" s="232" t="n">
        <v>3</v>
      </c>
      <c r="D114" s="240" t="n">
        <v>0.5</v>
      </c>
      <c r="E114" s="247" t="s">
        <v>1491</v>
      </c>
      <c r="F114" s="232" t="str">
        <f aca="false">IF(E114="","",IFERROR(INDEX(ICMS_TH,MATCH(E114,ICMS_CODES,0)),"⚠ รหัสไม่มีใน ICMS"))</f>
        <v>ระบบและอุปกรณ์</v>
      </c>
      <c r="G114" s="161" t="s">
        <v>2021</v>
      </c>
      <c r="H114" s="248"/>
      <c r="I114" s="234" t="str">
        <f aca="false">IF(H114="","",H114*ICMS_N_ST)</f>
        <v/>
      </c>
      <c r="J114" s="249" t="str">
        <f aca="false">IF(E114="",IF(LEFT(G114,5)="นอกขอ","นอกขอบเขต","⚠ ยังไม่จัดกลุ่ม"),IF(COUNTIF(ICMS_GROUPS,E114)=0,"⚠ รหัสผิด","✓"))</f>
        <v>✓</v>
      </c>
      <c r="K114" s="250" t="s">
        <v>784</v>
      </c>
    </row>
    <row r="115" customFormat="false" ht="15" hidden="false" customHeight="false" outlineLevel="0" collapsed="false">
      <c r="A115" s="232" t="s">
        <v>442</v>
      </c>
      <c r="B115" s="246" t="s">
        <v>2026</v>
      </c>
      <c r="C115" s="232" t="n">
        <v>3</v>
      </c>
      <c r="D115" s="240" t="n">
        <v>0.5</v>
      </c>
      <c r="E115" s="247" t="s">
        <v>1491</v>
      </c>
      <c r="F115" s="232" t="str">
        <f aca="false">IF(E115="","",IFERROR(INDEX(ICMS_TH,MATCH(E115,ICMS_CODES,0)),"⚠ รหัสไม่มีใน ICMS"))</f>
        <v>ระบบและอุปกรณ์</v>
      </c>
      <c r="G115" s="161" t="s">
        <v>2021</v>
      </c>
      <c r="H115" s="248"/>
      <c r="I115" s="234" t="str">
        <f aca="false">IF(H115="","",H115*ICMS_N_ST)</f>
        <v/>
      </c>
      <c r="J115" s="249" t="str">
        <f aca="false">IF(E115="",IF(LEFT(G115,5)="นอกขอ","นอกขอบเขต","⚠ ยังไม่จัดกลุ่ม"),IF(COUNTIF(ICMS_GROUPS,E115)=0,"⚠ รหัสผิด","✓"))</f>
        <v>✓</v>
      </c>
      <c r="K115" s="250" t="s">
        <v>784</v>
      </c>
    </row>
    <row r="116" customFormat="false" ht="15" hidden="false" customHeight="false" outlineLevel="0" collapsed="false">
      <c r="A116" s="232" t="s">
        <v>1493</v>
      </c>
      <c r="B116" s="246" t="s">
        <v>2027</v>
      </c>
      <c r="C116" s="232" t="n">
        <v>3</v>
      </c>
      <c r="D116" s="240" t="n">
        <v>0</v>
      </c>
      <c r="E116" s="247" t="s">
        <v>987</v>
      </c>
      <c r="F116" s="232" t="str">
        <f aca="false">IF(E116="","",IFERROR(INDEX(ICMS_TH,MATCH(E116,ICMS_CODES,0)),"⚠ รหัสไม่มีใน ICMS"))</f>
        <v>ที่ปรึกษาและควบคุมงาน</v>
      </c>
      <c r="G116" s="161" t="s">
        <v>2028</v>
      </c>
      <c r="H116" s="248"/>
      <c r="I116" s="234" t="str">
        <f aca="false">IF(H116="","",H116*ICMS_N_ST)</f>
        <v/>
      </c>
      <c r="J116" s="249" t="str">
        <f aca="false">IF(E116="",IF(LEFT(G116,5)="นอกขอ","นอกขอบเขต","⚠ ยังไม่จัดกลุ่ม"),IF(COUNTIF(ICMS_GROUPS,E116)=0,"⚠ รหัสผิด","✓"))</f>
        <v>✓</v>
      </c>
      <c r="K116" s="250" t="s">
        <v>784</v>
      </c>
    </row>
    <row r="117" customFormat="false" ht="15" hidden="false" customHeight="false" outlineLevel="0" collapsed="false">
      <c r="A117" s="232" t="s">
        <v>1800</v>
      </c>
      <c r="B117" s="246" t="s">
        <v>2029</v>
      </c>
      <c r="C117" s="232" t="n">
        <v>3</v>
      </c>
      <c r="D117" s="240" t="n">
        <v>0</v>
      </c>
      <c r="E117" s="247" t="s">
        <v>1863</v>
      </c>
      <c r="F117" s="232" t="str">
        <f aca="false">IF(E117="","",IFERROR(INDEX(ICMS_TH,MATCH(E117,ICMS_CODES,0)),"⚠ รหัสไม่มีใน ICMS"))</f>
        <v>ค่าดำเนินการหน้างานของผู้รับเหมา</v>
      </c>
      <c r="G117" s="161"/>
      <c r="H117" s="248"/>
      <c r="I117" s="234" t="str">
        <f aca="false">IF(H117="","",H117*ICMS_N_ST)</f>
        <v/>
      </c>
      <c r="J117" s="249" t="str">
        <f aca="false">IF(E117="",IF(LEFT(G117,5)="นอกขอ","นอกขอบเขต","⚠ ยังไม่จัดกลุ่ม"),IF(COUNTIF(ICMS_GROUPS,E117)=0,"⚠ รหัสผิด","✓"))</f>
        <v>✓</v>
      </c>
      <c r="K117" s="250" t="s">
        <v>784</v>
      </c>
    </row>
    <row r="118" customFormat="false" ht="15" hidden="false" customHeight="false" outlineLevel="0" collapsed="false">
      <c r="A118" s="231" t="s">
        <v>2030</v>
      </c>
      <c r="B118" s="233" t="s">
        <v>2031</v>
      </c>
      <c r="C118" s="231" t="n">
        <v>2</v>
      </c>
      <c r="D118" s="238" t="n">
        <v>2.5</v>
      </c>
      <c r="E118" s="241"/>
      <c r="F118" s="242" t="str">
        <f aca="false">IF(E118="","",IFERROR(INDEX(ICMS_TH,MATCH(E118,ICMS_CODES,0)),"⚠ รหัสไม่มีใน ICMS"))</f>
        <v/>
      </c>
      <c r="G118" s="243" t="s">
        <v>1898</v>
      </c>
      <c r="H118" s="244"/>
      <c r="I118" s="244" t="str">
        <f aca="false">IF(H118="","",H118*ICMS_N_ST)</f>
        <v/>
      </c>
      <c r="J118" s="241"/>
      <c r="K118" s="245" t="s">
        <v>784</v>
      </c>
    </row>
    <row r="119" customFormat="false" ht="15" hidden="false" customHeight="false" outlineLevel="0" collapsed="false">
      <c r="A119" s="232" t="s">
        <v>445</v>
      </c>
      <c r="B119" s="246" t="s">
        <v>2032</v>
      </c>
      <c r="C119" s="232" t="n">
        <v>3</v>
      </c>
      <c r="D119" s="240" t="n">
        <v>0.75</v>
      </c>
      <c r="E119" s="247" t="s">
        <v>1863</v>
      </c>
      <c r="F119" s="232" t="str">
        <f aca="false">IF(E119="","",IFERROR(INDEX(ICMS_TH,MATCH(E119,ICMS_CODES,0)),"⚠ รหัสไม่มีใน ICMS"))</f>
        <v>ค่าดำเนินการหน้างานของผู้รับเหมา</v>
      </c>
      <c r="G119" s="161"/>
      <c r="H119" s="248"/>
      <c r="I119" s="234" t="str">
        <f aca="false">IF(H119="","",H119*ICMS_N_ST)</f>
        <v/>
      </c>
      <c r="J119" s="249" t="str">
        <f aca="false">IF(E119="",IF(LEFT(G119,5)="นอกขอ","นอกขอบเขต","⚠ ยังไม่จัดกลุ่ม"),IF(COUNTIF(ICMS_GROUPS,E119)=0,"⚠ รหัสผิด","✓"))</f>
        <v>✓</v>
      </c>
      <c r="K119" s="250" t="s">
        <v>784</v>
      </c>
    </row>
    <row r="120" customFormat="false" ht="15" hidden="false" customHeight="false" outlineLevel="0" collapsed="false">
      <c r="A120" s="232" t="s">
        <v>448</v>
      </c>
      <c r="B120" s="246" t="s">
        <v>2033</v>
      </c>
      <c r="C120" s="232" t="n">
        <v>3</v>
      </c>
      <c r="D120" s="240" t="n">
        <v>1</v>
      </c>
      <c r="E120" s="247" t="s">
        <v>1863</v>
      </c>
      <c r="F120" s="232" t="str">
        <f aca="false">IF(E120="","",IFERROR(INDEX(ICMS_TH,MATCH(E120,ICMS_CODES,0)),"⚠ รหัสไม่มีใน ICMS"))</f>
        <v>ค่าดำเนินการหน้างานของผู้รับเหมา</v>
      </c>
      <c r="G120" s="161"/>
      <c r="H120" s="248"/>
      <c r="I120" s="234" t="str">
        <f aca="false">IF(H120="","",H120*ICMS_N_ST)</f>
        <v/>
      </c>
      <c r="J120" s="249" t="str">
        <f aca="false">IF(E120="",IF(LEFT(G120,5)="นอกขอ","นอกขอบเขต","⚠ ยังไม่จัดกลุ่ม"),IF(COUNTIF(ICMS_GROUPS,E120)=0,"⚠ รหัสผิด","✓"))</f>
        <v>✓</v>
      </c>
      <c r="K120" s="250" t="s">
        <v>784</v>
      </c>
    </row>
    <row r="121" customFormat="false" ht="15" hidden="false" customHeight="false" outlineLevel="0" collapsed="false">
      <c r="A121" s="232" t="s">
        <v>451</v>
      </c>
      <c r="B121" s="232" t="s">
        <v>2034</v>
      </c>
      <c r="C121" s="232" t="n">
        <v>3</v>
      </c>
      <c r="D121" s="240" t="n">
        <v>0.75</v>
      </c>
      <c r="E121" s="247" t="s">
        <v>1079</v>
      </c>
      <c r="F121" s="232" t="str">
        <f aca="false">IF(E121="","",IFERROR(INDEX(ICMS_TH,MATCH(E121,ICMS_CODES,0)),"⚠ รหัสไม่มีใน ICMS"))</f>
        <v>ค่าบริหาร การเงิน กฎหมาย</v>
      </c>
      <c r="G121" s="161"/>
      <c r="H121" s="248"/>
      <c r="I121" s="234" t="str">
        <f aca="false">IF(H121="","",H121*ICMS_N_ST)</f>
        <v/>
      </c>
      <c r="J121" s="249" t="str">
        <f aca="false">IF(E121="",IF(LEFT(G121,5)="นอกขอ","นอกขอบเขต","⚠ ยังไม่จัดกลุ่ม"),IF(COUNTIF(ICMS_GROUPS,E121)=0,"⚠ รหัสผิด","✓"))</f>
        <v>✓</v>
      </c>
      <c r="K121" s="250" t="s">
        <v>784</v>
      </c>
    </row>
    <row r="122" customFormat="false" ht="15" hidden="false" customHeight="false" outlineLevel="0" collapsed="false">
      <c r="A122" s="232" t="s">
        <v>1496</v>
      </c>
      <c r="B122" s="246" t="s">
        <v>2035</v>
      </c>
      <c r="C122" s="232" t="n">
        <v>3</v>
      </c>
      <c r="D122" s="240" t="n">
        <v>0</v>
      </c>
      <c r="E122" s="247" t="s">
        <v>1079</v>
      </c>
      <c r="F122" s="232" t="str">
        <f aca="false">IF(E122="","",IFERROR(INDEX(ICMS_TH,MATCH(E122,ICMS_CODES,0)),"⚠ รหัสไม่มีใน ICMS"))</f>
        <v>ค่าบริหาร การเงิน กฎหมาย</v>
      </c>
      <c r="G122" s="161"/>
      <c r="H122" s="248"/>
      <c r="I122" s="234" t="str">
        <f aca="false">IF(H122="","",H122*ICMS_N_ST)</f>
        <v/>
      </c>
      <c r="J122" s="249" t="str">
        <f aca="false">IF(E122="",IF(LEFT(G122,5)="นอกขอ","นอกขอบเขต","⚠ ยังไม่จัดกลุ่ม"),IF(COUNTIF(ICMS_GROUPS,E122)=0,"⚠ รหัสผิด","✓"))</f>
        <v>✓</v>
      </c>
      <c r="K122" s="250" t="s">
        <v>784</v>
      </c>
    </row>
    <row r="123" customFormat="false" ht="15" hidden="false" customHeight="false" outlineLevel="0" collapsed="false">
      <c r="A123" s="232" t="s">
        <v>2036</v>
      </c>
      <c r="B123" s="232" t="s">
        <v>2037</v>
      </c>
      <c r="C123" s="232" t="n">
        <v>3</v>
      </c>
      <c r="D123" s="240" t="n">
        <v>0</v>
      </c>
      <c r="E123" s="247" t="s">
        <v>1079</v>
      </c>
      <c r="F123" s="232" t="str">
        <f aca="false">IF(E123="","",IFERROR(INDEX(ICMS_TH,MATCH(E123,ICMS_CODES,0)),"⚠ รหัสไม่มีใน ICMS"))</f>
        <v>ค่าบริหาร การเงิน กฎหมาย</v>
      </c>
      <c r="G123" s="161"/>
      <c r="H123" s="248"/>
      <c r="I123" s="234" t="str">
        <f aca="false">IF(H123="","",H123*ICMS_N_ST)</f>
        <v/>
      </c>
      <c r="J123" s="249" t="str">
        <f aca="false">IF(E123="",IF(LEFT(G123,5)="นอกขอ","นอกขอบเขต","⚠ ยังไม่จัดกลุ่ม"),IF(COUNTIF(ICMS_GROUPS,E123)=0,"⚠ รหัสผิด","✓"))</f>
        <v>✓</v>
      </c>
      <c r="K123" s="250" t="s">
        <v>784</v>
      </c>
    </row>
    <row r="124" customFormat="false" ht="15" hidden="false" customHeight="false" outlineLevel="0" collapsed="false">
      <c r="A124" s="232" t="s">
        <v>2038</v>
      </c>
      <c r="B124" s="232" t="s">
        <v>2039</v>
      </c>
      <c r="C124" s="232" t="n">
        <v>3</v>
      </c>
      <c r="D124" s="240" t="n">
        <v>0</v>
      </c>
      <c r="E124" s="247" t="s">
        <v>1079</v>
      </c>
      <c r="F124" s="232" t="str">
        <f aca="false">IF(E124="","",IFERROR(INDEX(ICMS_TH,MATCH(E124,ICMS_CODES,0)),"⚠ รหัสไม่มีใน ICMS"))</f>
        <v>ค่าบริหาร การเงิน กฎหมาย</v>
      </c>
      <c r="G124" s="161"/>
      <c r="H124" s="248"/>
      <c r="I124" s="234" t="str">
        <f aca="false">IF(H124="","",H124*ICMS_N_ST)</f>
        <v/>
      </c>
      <c r="J124" s="249" t="str">
        <f aca="false">IF(E124="",IF(LEFT(G124,5)="นอกขอ","นอกขอบเขต","⚠ ยังไม่จัดกลุ่ม"),IF(COUNTIF(ICMS_GROUPS,E124)=0,"⚠ รหัสผิด","✓"))</f>
        <v>✓</v>
      </c>
      <c r="K124" s="250" t="s">
        <v>784</v>
      </c>
    </row>
    <row r="125" customFormat="false" ht="15" hidden="false" customHeight="false" outlineLevel="0" collapsed="false">
      <c r="A125" s="232" t="s">
        <v>2040</v>
      </c>
      <c r="B125" s="246" t="s">
        <v>2041</v>
      </c>
      <c r="C125" s="232" t="n">
        <v>3</v>
      </c>
      <c r="D125" s="240" t="n">
        <v>0</v>
      </c>
      <c r="E125" s="247" t="s">
        <v>1079</v>
      </c>
      <c r="F125" s="232" t="str">
        <f aca="false">IF(E125="","",IFERROR(INDEX(ICMS_TH,MATCH(E125,ICMS_CODES,0)),"⚠ รหัสไม่มีใน ICMS"))</f>
        <v>ค่าบริหาร การเงิน กฎหมาย</v>
      </c>
      <c r="G125" s="161"/>
      <c r="H125" s="248"/>
      <c r="I125" s="234" t="str">
        <f aca="false">IF(H125="","",H125*ICMS_N_ST)</f>
        <v/>
      </c>
      <c r="J125" s="249" t="str">
        <f aca="false">IF(E125="",IF(LEFT(G125,5)="นอกขอ","นอกขอบเขต","⚠ ยังไม่จัดกลุ่ม"),IF(COUNTIF(ICMS_GROUPS,E125)=0,"⚠ รหัสผิด","✓"))</f>
        <v>✓</v>
      </c>
      <c r="K125" s="250" t="s">
        <v>784</v>
      </c>
    </row>
    <row r="126" customFormat="false" ht="15" hidden="false" customHeight="false" outlineLevel="0" collapsed="false">
      <c r="A126" s="231" t="s">
        <v>2042</v>
      </c>
      <c r="B126" s="231" t="s">
        <v>2043</v>
      </c>
      <c r="C126" s="231" t="n">
        <v>2</v>
      </c>
      <c r="D126" s="238" t="n">
        <v>0</v>
      </c>
      <c r="E126" s="247"/>
      <c r="F126" s="242" t="str">
        <f aca="false">IF(E126="","",IFERROR(INDEX(ICMS_TH,MATCH(E126,ICMS_CODES,0)),"⚠ รหัสไม่มีใน ICMS"))</f>
        <v/>
      </c>
      <c r="G126" s="243" t="s">
        <v>2044</v>
      </c>
      <c r="H126" s="248"/>
      <c r="I126" s="244" t="str">
        <f aca="false">IF(H126="","",H126*ICMS_N_ST)</f>
        <v/>
      </c>
      <c r="J126" s="241" t="str">
        <f aca="false">IF(E126="",IF(LEFT(G126,5)="นอกขอ","นอกขอบเขต","⚠ ยังไม่จัดกลุ่ม"),IF(COUNTIF(ICMS_GROUPS,E126)=0,"⚠ รหัสผิด","✓"))</f>
        <v>นอกขอบเขต</v>
      </c>
      <c r="K126" s="245" t="s">
        <v>784</v>
      </c>
    </row>
    <row r="127" customFormat="false" ht="15" hidden="false" customHeight="false" outlineLevel="0" collapsed="false">
      <c r="A127" s="231" t="s">
        <v>2045</v>
      </c>
      <c r="B127" s="231" t="s">
        <v>2046</v>
      </c>
      <c r="C127" s="231" t="n">
        <v>2</v>
      </c>
      <c r="D127" s="238" t="n">
        <v>0</v>
      </c>
      <c r="E127" s="247" t="s">
        <v>1079</v>
      </c>
      <c r="F127" s="242" t="str">
        <f aca="false">IF(E127="","",IFERROR(INDEX(ICMS_TH,MATCH(E127,ICMS_CODES,0)),"⚠ รหัสไม่มีใน ICMS"))</f>
        <v>ค่าบริหาร การเงิน กฎหมาย</v>
      </c>
      <c r="G127" s="243"/>
      <c r="H127" s="248"/>
      <c r="I127" s="244" t="str">
        <f aca="false">IF(H127="","",H127*ICMS_N_ST)</f>
        <v/>
      </c>
      <c r="J127" s="241" t="str">
        <f aca="false">IF(E127="",IF(LEFT(G127,5)="นอกขอ","นอกขอบเขต","⚠ ยังไม่จัดกลุ่ม"),IF(COUNTIF(ICMS_GROUPS,E127)=0,"⚠ รหัสผิด","✓"))</f>
        <v>✓</v>
      </c>
      <c r="K127" s="245" t="s">
        <v>784</v>
      </c>
    </row>
    <row r="128" customFormat="false" ht="15" hidden="false" customHeight="false" outlineLevel="0" collapsed="false">
      <c r="A128" s="231" t="s">
        <v>2047</v>
      </c>
      <c r="B128" s="231" t="s">
        <v>2048</v>
      </c>
      <c r="C128" s="231" t="n">
        <v>2</v>
      </c>
      <c r="D128" s="238" t="n">
        <v>0</v>
      </c>
      <c r="E128" s="247" t="s">
        <v>1079</v>
      </c>
      <c r="F128" s="242" t="str">
        <f aca="false">IF(E128="","",IFERROR(INDEX(ICMS_TH,MATCH(E128,ICMS_CODES,0)),"⚠ รหัสไม่มีใน ICMS"))</f>
        <v>ค่าบริหาร การเงิน กฎหมาย</v>
      </c>
      <c r="G128" s="243"/>
      <c r="H128" s="248"/>
      <c r="I128" s="244" t="str">
        <f aca="false">IF(H128="","",H128*ICMS_N_ST)</f>
        <v/>
      </c>
      <c r="J128" s="241" t="str">
        <f aca="false">IF(E128="",IF(LEFT(G128,5)="นอกขอ","นอกขอบเขต","⚠ ยังไม่จัดกลุ่ม"),IF(COUNTIF(ICMS_GROUPS,E128)=0,"⚠ รหัสผิด","✓"))</f>
        <v>✓</v>
      </c>
      <c r="K128" s="245" t="s">
        <v>784</v>
      </c>
    </row>
  </sheetData>
  <autoFilter ref="A4:K128"/>
  <conditionalFormatting sqref="J5:J128">
    <cfRule type="expression" priority="2" aboveAverage="0" equalAverage="0" bottom="0" percent="0" rank="0" text="" dxfId="5">
      <formula>LEFT(J5,1)="⚠"</formula>
    </cfRule>
  </conditionalFormatting>
  <dataValidations count="1">
    <dataValidation allowBlank="true" errorStyle="stop" operator="between" showDropDown="false" showErrorMessage="false" showInputMessage="false" sqref="E6:E11 E13:E20 E22:E24 E26:E28 E30:E33 E35:E37 E39:E41 E43:E46 E48:E49 E51:E56 E58:E64 E66:E70 E72:E76 E78:E79 E81:E84 E86:E90 E92:E94 E96:E101 E103:E105 E107:E108 E110:E117 E119:E128" type="list">
      <formula1>ICMS_GROUPS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2" min="21" style="0" width="11"/>
  </cols>
  <sheetData>
    <row r="1" customFormat="false" ht="18.65" hidden="false" customHeight="false" outlineLevel="0" collapsed="false">
      <c r="A1" s="62" t="s">
        <v>2049</v>
      </c>
    </row>
    <row r="2" customFormat="false" ht="15" hidden="false" customHeight="false" outlineLevel="0" collapsed="false">
      <c r="A2" s="251" t="s">
        <v>2050</v>
      </c>
    </row>
    <row r="4" customFormat="false" ht="30" hidden="false" customHeight="true" outlineLevel="0" collapsed="false">
      <c r="A4" s="29" t="s">
        <v>2051</v>
      </c>
      <c r="B4" s="28" t="s">
        <v>35</v>
      </c>
      <c r="C4" s="28" t="s">
        <v>2052</v>
      </c>
      <c r="D4" s="29" t="s">
        <v>2053</v>
      </c>
      <c r="E4" s="29" t="s">
        <v>2054</v>
      </c>
      <c r="F4" s="28" t="s">
        <v>2055</v>
      </c>
      <c r="G4" s="28" t="s">
        <v>823</v>
      </c>
      <c r="H4" s="29" t="s">
        <v>2056</v>
      </c>
      <c r="I4" s="28" t="s">
        <v>2057</v>
      </c>
      <c r="J4" s="28" t="s">
        <v>2058</v>
      </c>
      <c r="K4" s="28" t="s">
        <v>2059</v>
      </c>
      <c r="L4" s="28" t="s">
        <v>2060</v>
      </c>
      <c r="M4" s="28" t="s">
        <v>2061</v>
      </c>
      <c r="N4" s="28" t="s">
        <v>2062</v>
      </c>
      <c r="O4" s="28" t="s">
        <v>2063</v>
      </c>
      <c r="P4" s="28" t="s">
        <v>2064</v>
      </c>
      <c r="Q4" s="28" t="s">
        <v>2065</v>
      </c>
      <c r="R4" s="28" t="s">
        <v>1827</v>
      </c>
      <c r="S4" s="28" t="s">
        <v>1829</v>
      </c>
      <c r="T4" s="28" t="s">
        <v>2066</v>
      </c>
      <c r="U4" s="28" t="s">
        <v>1834</v>
      </c>
      <c r="V4" s="28" t="s">
        <v>1835</v>
      </c>
    </row>
    <row r="5" customFormat="false" ht="15" hidden="false" customHeight="false" outlineLevel="0" collapsed="false">
      <c r="A5" s="232" t="s">
        <v>42</v>
      </c>
      <c r="B5" s="246" t="s">
        <v>2067</v>
      </c>
      <c r="C5" s="246" t="s">
        <v>2068</v>
      </c>
      <c r="D5" s="232" t="s">
        <v>2069</v>
      </c>
      <c r="E5" s="232" t="s">
        <v>2070</v>
      </c>
      <c r="F5" s="246" t="s">
        <v>2071</v>
      </c>
      <c r="G5" s="232" t="s">
        <v>2072</v>
      </c>
      <c r="H5" s="252" t="n">
        <v>125</v>
      </c>
      <c r="I5" s="232" t="s">
        <v>725</v>
      </c>
      <c r="J5" s="240" t="n">
        <v>150.48</v>
      </c>
      <c r="K5" s="252" t="n">
        <v>264</v>
      </c>
      <c r="L5" s="234" t="n">
        <f aca="false">K5*2.5833</f>
        <v>681.9912</v>
      </c>
      <c r="M5" s="246" t="s">
        <v>2073</v>
      </c>
      <c r="N5" s="253" t="n">
        <v>25</v>
      </c>
      <c r="O5" s="253"/>
      <c r="P5" s="254"/>
      <c r="Q5" s="254"/>
      <c r="R5" s="232" t="s">
        <v>1828</v>
      </c>
      <c r="S5" s="235"/>
      <c r="T5" s="234" t="str">
        <f aca="false">ICMS_N_BUDGET_ST</f>
        <v/>
      </c>
      <c r="U5" s="234" t="str">
        <f aca="false">IF(OR(T5="",J5=0),"",T5/J5)</f>
        <v/>
      </c>
      <c r="V5" s="234" t="str">
        <f aca="false">IF(OR(T5="",L5=0),"",T5/L5)</f>
        <v/>
      </c>
    </row>
    <row r="6" customFormat="false" ht="15" hidden="false" customHeight="false" outlineLevel="0" collapsed="false">
      <c r="A6" s="232" t="s">
        <v>46</v>
      </c>
      <c r="B6" s="246" t="s">
        <v>2074</v>
      </c>
      <c r="C6" s="246" t="s">
        <v>2068</v>
      </c>
      <c r="D6" s="232" t="s">
        <v>2069</v>
      </c>
      <c r="E6" s="232" t="s">
        <v>2070</v>
      </c>
      <c r="F6" s="246" t="s">
        <v>2075</v>
      </c>
      <c r="G6" s="232" t="s">
        <v>2072</v>
      </c>
      <c r="H6" s="252" t="n">
        <v>250</v>
      </c>
      <c r="I6" s="232" t="s">
        <v>2076</v>
      </c>
      <c r="J6" s="240" t="n">
        <v>280.44</v>
      </c>
      <c r="K6" s="252" t="n">
        <v>492</v>
      </c>
      <c r="L6" s="234" t="n">
        <f aca="false">K6*2.5833</f>
        <v>1270.9836</v>
      </c>
      <c r="M6" s="246" t="s">
        <v>2073</v>
      </c>
      <c r="N6" s="253" t="n">
        <v>25</v>
      </c>
      <c r="O6" s="253"/>
      <c r="P6" s="254"/>
      <c r="Q6" s="254"/>
      <c r="R6" s="232" t="s">
        <v>1828</v>
      </c>
      <c r="S6" s="235"/>
      <c r="T6" s="234" t="str">
        <f aca="false">ICMS_N_BUDGET_ST</f>
        <v/>
      </c>
      <c r="U6" s="234" t="str">
        <f aca="false">IF(OR(T6="",J6=0),"",T6/J6)</f>
        <v/>
      </c>
      <c r="V6" s="234" t="str">
        <f aca="false">IF(OR(T6="",L6=0),"",T6/L6)</f>
        <v/>
      </c>
    </row>
    <row r="7" customFormat="false" ht="15" hidden="false" customHeight="false" outlineLevel="0" collapsed="false">
      <c r="A7" s="232" t="s">
        <v>50</v>
      </c>
      <c r="B7" s="246" t="s">
        <v>2077</v>
      </c>
      <c r="C7" s="246" t="s">
        <v>2068</v>
      </c>
      <c r="D7" s="232" t="s">
        <v>2069</v>
      </c>
      <c r="E7" s="232" t="s">
        <v>2070</v>
      </c>
      <c r="F7" s="246" t="s">
        <v>2071</v>
      </c>
      <c r="G7" s="232" t="s">
        <v>2078</v>
      </c>
      <c r="H7" s="252" t="n">
        <v>125</v>
      </c>
      <c r="I7" s="232" t="s">
        <v>725</v>
      </c>
      <c r="J7" s="240" t="n">
        <v>150.48</v>
      </c>
      <c r="K7" s="252" t="n">
        <v>264</v>
      </c>
      <c r="L7" s="234" t="n">
        <f aca="false">K7*2.5833</f>
        <v>681.9912</v>
      </c>
      <c r="M7" s="246" t="s">
        <v>2073</v>
      </c>
      <c r="N7" s="253" t="n">
        <v>25</v>
      </c>
      <c r="O7" s="253"/>
      <c r="P7" s="254"/>
      <c r="Q7" s="254"/>
      <c r="R7" s="232" t="s">
        <v>1828</v>
      </c>
      <c r="S7" s="235"/>
      <c r="T7" s="234" t="str">
        <f aca="false">ICMS_N_BUDGET_ST</f>
        <v/>
      </c>
      <c r="U7" s="234" t="str">
        <f aca="false">IF(OR(T7="",J7=0),"",T7/J7)</f>
        <v/>
      </c>
      <c r="V7" s="234" t="str">
        <f aca="false">IF(OR(T7="",L7=0),"",T7/L7)</f>
        <v/>
      </c>
    </row>
    <row r="8" customFormat="false" ht="15" hidden="false" customHeight="false" outlineLevel="0" collapsed="false">
      <c r="A8" s="232" t="s">
        <v>54</v>
      </c>
      <c r="B8" s="246" t="s">
        <v>2079</v>
      </c>
      <c r="C8" s="246" t="s">
        <v>2068</v>
      </c>
      <c r="D8" s="232" t="s">
        <v>2069</v>
      </c>
      <c r="E8" s="232" t="s">
        <v>2070</v>
      </c>
      <c r="F8" s="246" t="s">
        <v>2075</v>
      </c>
      <c r="G8" s="232" t="s">
        <v>2078</v>
      </c>
      <c r="H8" s="252" t="n">
        <v>250</v>
      </c>
      <c r="I8" s="232" t="s">
        <v>2076</v>
      </c>
      <c r="J8" s="240" t="n">
        <v>280.44</v>
      </c>
      <c r="K8" s="252" t="n">
        <v>492</v>
      </c>
      <c r="L8" s="234" t="n">
        <f aca="false">K8*2.5833</f>
        <v>1270.9836</v>
      </c>
      <c r="M8" s="246" t="s">
        <v>2073</v>
      </c>
      <c r="N8" s="253" t="n">
        <v>25</v>
      </c>
      <c r="O8" s="253"/>
      <c r="P8" s="254"/>
      <c r="Q8" s="254"/>
      <c r="R8" s="232" t="s">
        <v>1828</v>
      </c>
      <c r="S8" s="235"/>
      <c r="T8" s="234" t="str">
        <f aca="false">ICMS_N_BUDGET_ST</f>
        <v/>
      </c>
      <c r="U8" s="234" t="str">
        <f aca="false">IF(OR(T8="",J8=0),"",T8/J8)</f>
        <v/>
      </c>
      <c r="V8" s="234" t="str">
        <f aca="false">IF(OR(T8="",L8=0),"",T8/L8)</f>
        <v/>
      </c>
    </row>
    <row r="9" customFormat="false" ht="15" hidden="false" customHeight="false" outlineLevel="0" collapsed="false">
      <c r="A9" s="232" t="s">
        <v>58</v>
      </c>
      <c r="B9" s="246" t="s">
        <v>2080</v>
      </c>
      <c r="C9" s="246" t="s">
        <v>2068</v>
      </c>
      <c r="D9" s="232" t="s">
        <v>2069</v>
      </c>
      <c r="E9" s="232" t="s">
        <v>2070</v>
      </c>
      <c r="F9" s="246" t="s">
        <v>2081</v>
      </c>
      <c r="G9" s="232" t="s">
        <v>2072</v>
      </c>
      <c r="H9" s="252" t="n">
        <v>125</v>
      </c>
      <c r="I9" s="232" t="s">
        <v>725</v>
      </c>
      <c r="J9" s="240" t="n">
        <v>150.48</v>
      </c>
      <c r="K9" s="252" t="n">
        <v>264</v>
      </c>
      <c r="L9" s="234" t="n">
        <f aca="false">K9*2.5833</f>
        <v>681.9912</v>
      </c>
      <c r="M9" s="246" t="s">
        <v>2073</v>
      </c>
      <c r="N9" s="253" t="n">
        <v>25</v>
      </c>
      <c r="O9" s="253"/>
      <c r="P9" s="254"/>
      <c r="Q9" s="254"/>
      <c r="R9" s="232" t="s">
        <v>1828</v>
      </c>
      <c r="S9" s="235"/>
      <c r="T9" s="234" t="str">
        <f aca="false">ICMS_N_BUDGET_ST</f>
        <v/>
      </c>
      <c r="U9" s="234" t="str">
        <f aca="false">IF(OR(T9="",J9=0),"",T9/J9)</f>
        <v/>
      </c>
      <c r="V9" s="234" t="str">
        <f aca="false">IF(OR(T9="",L9=0),"",T9/L9)</f>
        <v/>
      </c>
    </row>
    <row r="10" customFormat="false" ht="15" hidden="false" customHeight="false" outlineLevel="0" collapsed="false">
      <c r="A10" s="232" t="s">
        <v>62</v>
      </c>
      <c r="B10" s="246" t="s">
        <v>2082</v>
      </c>
      <c r="C10" s="246" t="s">
        <v>2068</v>
      </c>
      <c r="D10" s="232" t="s">
        <v>2069</v>
      </c>
      <c r="E10" s="232" t="s">
        <v>2070</v>
      </c>
      <c r="F10" s="246" t="s">
        <v>2083</v>
      </c>
      <c r="G10" s="232" t="s">
        <v>2072</v>
      </c>
      <c r="H10" s="252" t="n">
        <v>250</v>
      </c>
      <c r="I10" s="232" t="s">
        <v>2076</v>
      </c>
      <c r="J10" s="240" t="n">
        <v>280.44</v>
      </c>
      <c r="K10" s="252" t="n">
        <v>492</v>
      </c>
      <c r="L10" s="234" t="n">
        <f aca="false">K10*2.5833</f>
        <v>1270.9836</v>
      </c>
      <c r="M10" s="246" t="s">
        <v>2073</v>
      </c>
      <c r="N10" s="253" t="n">
        <v>25</v>
      </c>
      <c r="O10" s="253"/>
      <c r="P10" s="254"/>
      <c r="Q10" s="254"/>
      <c r="R10" s="232" t="s">
        <v>1828</v>
      </c>
      <c r="S10" s="235"/>
      <c r="T10" s="234" t="str">
        <f aca="false">ICMS_N_BUDGET_ST</f>
        <v/>
      </c>
      <c r="U10" s="234" t="str">
        <f aca="false">IF(OR(T10="",J10=0),"",T10/J10)</f>
        <v/>
      </c>
      <c r="V10" s="234" t="str">
        <f aca="false">IF(OR(T10="",L10=0),"",T10/L10)</f>
        <v/>
      </c>
    </row>
    <row r="11" customFormat="false" ht="15" hidden="false" customHeight="false" outlineLevel="0" collapsed="false">
      <c r="A11" s="232" t="s">
        <v>66</v>
      </c>
      <c r="B11" s="246" t="s">
        <v>2084</v>
      </c>
      <c r="C11" s="246" t="s">
        <v>2068</v>
      </c>
      <c r="D11" s="232" t="s">
        <v>2069</v>
      </c>
      <c r="E11" s="232" t="s">
        <v>2070</v>
      </c>
      <c r="F11" s="246" t="s">
        <v>2081</v>
      </c>
      <c r="G11" s="232" t="s">
        <v>2078</v>
      </c>
      <c r="H11" s="252" t="n">
        <v>125</v>
      </c>
      <c r="I11" s="232" t="s">
        <v>725</v>
      </c>
      <c r="J11" s="240" t="n">
        <v>150.48</v>
      </c>
      <c r="K11" s="252" t="n">
        <v>264</v>
      </c>
      <c r="L11" s="234" t="n">
        <f aca="false">K11*2.5833</f>
        <v>681.9912</v>
      </c>
      <c r="M11" s="246" t="s">
        <v>2073</v>
      </c>
      <c r="N11" s="253" t="n">
        <v>25</v>
      </c>
      <c r="O11" s="253"/>
      <c r="P11" s="254"/>
      <c r="Q11" s="254"/>
      <c r="R11" s="232" t="s">
        <v>1828</v>
      </c>
      <c r="S11" s="235"/>
      <c r="T11" s="234" t="str">
        <f aca="false">ICMS_N_BUDGET_ST</f>
        <v/>
      </c>
      <c r="U11" s="234" t="str">
        <f aca="false">IF(OR(T11="",J11=0),"",T11/J11)</f>
        <v/>
      </c>
      <c r="V11" s="234" t="str">
        <f aca="false">IF(OR(T11="",L11=0),"",T11/L11)</f>
        <v/>
      </c>
    </row>
    <row r="12" customFormat="false" ht="15" hidden="false" customHeight="false" outlineLevel="0" collapsed="false">
      <c r="A12" s="232" t="s">
        <v>70</v>
      </c>
      <c r="B12" s="246" t="s">
        <v>2085</v>
      </c>
      <c r="C12" s="246" t="s">
        <v>2068</v>
      </c>
      <c r="D12" s="232" t="s">
        <v>2069</v>
      </c>
      <c r="E12" s="232" t="s">
        <v>2070</v>
      </c>
      <c r="F12" s="246" t="s">
        <v>2083</v>
      </c>
      <c r="G12" s="232" t="s">
        <v>2078</v>
      </c>
      <c r="H12" s="252" t="n">
        <v>250</v>
      </c>
      <c r="I12" s="232" t="s">
        <v>2076</v>
      </c>
      <c r="J12" s="240" t="n">
        <v>280.44</v>
      </c>
      <c r="K12" s="252" t="n">
        <v>492</v>
      </c>
      <c r="L12" s="234" t="n">
        <f aca="false">K12*2.5833</f>
        <v>1270.9836</v>
      </c>
      <c r="M12" s="246" t="s">
        <v>2073</v>
      </c>
      <c r="N12" s="253" t="n">
        <v>25</v>
      </c>
      <c r="O12" s="253"/>
      <c r="P12" s="254"/>
      <c r="Q12" s="254"/>
      <c r="R12" s="232" t="s">
        <v>1828</v>
      </c>
      <c r="S12" s="235"/>
      <c r="T12" s="234" t="str">
        <f aca="false">ICMS_N_BUDGET_ST</f>
        <v/>
      </c>
      <c r="U12" s="234" t="str">
        <f aca="false">IF(OR(T12="",J12=0),"",T12/J12)</f>
        <v/>
      </c>
      <c r="V12" s="234" t="str">
        <f aca="false">IF(OR(T12="",L12=0),"",T12/L12)</f>
        <v/>
      </c>
    </row>
    <row r="13" customFormat="false" ht="15" hidden="false" customHeight="false" outlineLevel="0" collapsed="false">
      <c r="A13" s="232" t="s">
        <v>74</v>
      </c>
      <c r="B13" s="246" t="s">
        <v>2086</v>
      </c>
      <c r="C13" s="246" t="s">
        <v>2068</v>
      </c>
      <c r="D13" s="232" t="s">
        <v>2069</v>
      </c>
      <c r="E13" s="232" t="s">
        <v>2070</v>
      </c>
      <c r="F13" s="246" t="s">
        <v>2087</v>
      </c>
      <c r="G13" s="232" t="s">
        <v>2072</v>
      </c>
      <c r="H13" s="252" t="n">
        <v>125</v>
      </c>
      <c r="I13" s="232" t="s">
        <v>725</v>
      </c>
      <c r="J13" s="240" t="n">
        <v>150.48</v>
      </c>
      <c r="K13" s="252" t="n">
        <v>264</v>
      </c>
      <c r="L13" s="234" t="n">
        <f aca="false">K13*2.5833</f>
        <v>681.9912</v>
      </c>
      <c r="M13" s="246" t="s">
        <v>2073</v>
      </c>
      <c r="N13" s="253" t="n">
        <v>25</v>
      </c>
      <c r="O13" s="253"/>
      <c r="P13" s="254"/>
      <c r="Q13" s="254"/>
      <c r="R13" s="232" t="s">
        <v>1828</v>
      </c>
      <c r="S13" s="235"/>
      <c r="T13" s="234" t="str">
        <f aca="false">ICMS_N_BUDGET_ST</f>
        <v/>
      </c>
      <c r="U13" s="234" t="str">
        <f aca="false">IF(OR(T13="",J13=0),"",T13/J13)</f>
        <v/>
      </c>
      <c r="V13" s="234" t="str">
        <f aca="false">IF(OR(T13="",L13=0),"",T13/L13)</f>
        <v/>
      </c>
    </row>
    <row r="14" customFormat="false" ht="15" hidden="false" customHeight="false" outlineLevel="0" collapsed="false">
      <c r="A14" s="232" t="s">
        <v>78</v>
      </c>
      <c r="B14" s="246" t="s">
        <v>2088</v>
      </c>
      <c r="C14" s="246" t="s">
        <v>2068</v>
      </c>
      <c r="D14" s="232" t="s">
        <v>2069</v>
      </c>
      <c r="E14" s="232" t="s">
        <v>2070</v>
      </c>
      <c r="F14" s="246" t="s">
        <v>2089</v>
      </c>
      <c r="G14" s="232" t="s">
        <v>2072</v>
      </c>
      <c r="H14" s="252" t="n">
        <v>250</v>
      </c>
      <c r="I14" s="232" t="s">
        <v>2076</v>
      </c>
      <c r="J14" s="240" t="n">
        <v>280.44</v>
      </c>
      <c r="K14" s="252" t="n">
        <v>492</v>
      </c>
      <c r="L14" s="234" t="n">
        <f aca="false">K14*2.5833</f>
        <v>1270.9836</v>
      </c>
      <c r="M14" s="246" t="s">
        <v>2073</v>
      </c>
      <c r="N14" s="253" t="n">
        <v>25</v>
      </c>
      <c r="O14" s="253"/>
      <c r="P14" s="254"/>
      <c r="Q14" s="254"/>
      <c r="R14" s="232" t="s">
        <v>1828</v>
      </c>
      <c r="S14" s="235"/>
      <c r="T14" s="234" t="str">
        <f aca="false">ICMS_N_BUDGET_ST</f>
        <v/>
      </c>
      <c r="U14" s="234" t="str">
        <f aca="false">IF(OR(T14="",J14=0),"",T14/J14)</f>
        <v/>
      </c>
      <c r="V14" s="234" t="str">
        <f aca="false">IF(OR(T14="",L14=0),"",T14/L14)</f>
        <v/>
      </c>
    </row>
    <row r="15" customFormat="false" ht="15" hidden="false" customHeight="false" outlineLevel="0" collapsed="false">
      <c r="A15" s="232" t="s">
        <v>82</v>
      </c>
      <c r="B15" s="246" t="s">
        <v>2090</v>
      </c>
      <c r="C15" s="246" t="s">
        <v>2068</v>
      </c>
      <c r="D15" s="232" t="s">
        <v>2069</v>
      </c>
      <c r="E15" s="232" t="s">
        <v>2070</v>
      </c>
      <c r="F15" s="246" t="s">
        <v>2087</v>
      </c>
      <c r="G15" s="232" t="s">
        <v>2078</v>
      </c>
      <c r="H15" s="252" t="n">
        <v>125</v>
      </c>
      <c r="I15" s="232" t="s">
        <v>725</v>
      </c>
      <c r="J15" s="240" t="n">
        <v>150.48</v>
      </c>
      <c r="K15" s="252" t="n">
        <v>264</v>
      </c>
      <c r="L15" s="234" t="n">
        <f aca="false">K15*2.5833</f>
        <v>681.9912</v>
      </c>
      <c r="M15" s="246" t="s">
        <v>2073</v>
      </c>
      <c r="N15" s="253" t="n">
        <v>25</v>
      </c>
      <c r="O15" s="253"/>
      <c r="P15" s="254"/>
      <c r="Q15" s="254"/>
      <c r="R15" s="232" t="s">
        <v>1828</v>
      </c>
      <c r="S15" s="235"/>
      <c r="T15" s="234" t="str">
        <f aca="false">ICMS_N_BUDGET_ST</f>
        <v/>
      </c>
      <c r="U15" s="234" t="str">
        <f aca="false">IF(OR(T15="",J15=0),"",T15/J15)</f>
        <v/>
      </c>
      <c r="V15" s="234" t="str">
        <f aca="false">IF(OR(T15="",L15=0),"",T15/L15)</f>
        <v/>
      </c>
    </row>
    <row r="16" customFormat="false" ht="15" hidden="false" customHeight="false" outlineLevel="0" collapsed="false">
      <c r="A16" s="232" t="s">
        <v>86</v>
      </c>
      <c r="B16" s="246" t="s">
        <v>2091</v>
      </c>
      <c r="C16" s="246" t="s">
        <v>2068</v>
      </c>
      <c r="D16" s="232" t="s">
        <v>2069</v>
      </c>
      <c r="E16" s="232" t="s">
        <v>2070</v>
      </c>
      <c r="F16" s="246" t="s">
        <v>2089</v>
      </c>
      <c r="G16" s="232" t="s">
        <v>2078</v>
      </c>
      <c r="H16" s="252" t="n">
        <v>250</v>
      </c>
      <c r="I16" s="232" t="s">
        <v>2076</v>
      </c>
      <c r="J16" s="240" t="n">
        <v>280.44</v>
      </c>
      <c r="K16" s="252" t="n">
        <v>492</v>
      </c>
      <c r="L16" s="234" t="n">
        <f aca="false">K16*2.5833</f>
        <v>1270.9836</v>
      </c>
      <c r="M16" s="246" t="s">
        <v>2073</v>
      </c>
      <c r="N16" s="253" t="n">
        <v>25</v>
      </c>
      <c r="O16" s="253"/>
      <c r="P16" s="254"/>
      <c r="Q16" s="254"/>
      <c r="R16" s="232" t="s">
        <v>1828</v>
      </c>
      <c r="S16" s="235"/>
      <c r="T16" s="234" t="str">
        <f aca="false">ICMS_N_BUDGET_ST</f>
        <v/>
      </c>
      <c r="U16" s="234" t="str">
        <f aca="false">IF(OR(T16="",J16=0),"",T16/J16)</f>
        <v/>
      </c>
      <c r="V16" s="234" t="str">
        <f aca="false">IF(OR(T16="",L16=0),"",T16/L16)</f>
        <v/>
      </c>
    </row>
    <row r="17" customFormat="false" ht="15" hidden="false" customHeight="false" outlineLevel="0" collapsed="false">
      <c r="A17" s="232" t="s">
        <v>90</v>
      </c>
      <c r="B17" s="246" t="s">
        <v>2092</v>
      </c>
      <c r="C17" s="246" t="s">
        <v>2068</v>
      </c>
      <c r="D17" s="232" t="s">
        <v>2069</v>
      </c>
      <c r="E17" s="232" t="s">
        <v>2070</v>
      </c>
      <c r="F17" s="246" t="s">
        <v>2093</v>
      </c>
      <c r="G17" s="232" t="s">
        <v>2072</v>
      </c>
      <c r="H17" s="252" t="n">
        <v>125</v>
      </c>
      <c r="I17" s="232" t="s">
        <v>725</v>
      </c>
      <c r="J17" s="240" t="n">
        <v>150.48</v>
      </c>
      <c r="K17" s="252" t="n">
        <v>264</v>
      </c>
      <c r="L17" s="234" t="n">
        <f aca="false">K17*2.5833</f>
        <v>681.9912</v>
      </c>
      <c r="M17" s="246" t="s">
        <v>2073</v>
      </c>
      <c r="N17" s="253" t="n">
        <v>25</v>
      </c>
      <c r="O17" s="253"/>
      <c r="P17" s="254"/>
      <c r="Q17" s="254"/>
      <c r="R17" s="232" t="s">
        <v>1828</v>
      </c>
      <c r="S17" s="235"/>
      <c r="T17" s="234" t="str">
        <f aca="false">ICMS_N_BUDGET_ST</f>
        <v/>
      </c>
      <c r="U17" s="234" t="str">
        <f aca="false">IF(OR(T17="",J17=0),"",T17/J17)</f>
        <v/>
      </c>
      <c r="V17" s="234" t="str">
        <f aca="false">IF(OR(T17="",L17=0),"",T17/L17)</f>
        <v/>
      </c>
    </row>
    <row r="18" customFormat="false" ht="15" hidden="false" customHeight="false" outlineLevel="0" collapsed="false">
      <c r="A18" s="232" t="s">
        <v>94</v>
      </c>
      <c r="B18" s="246" t="s">
        <v>2094</v>
      </c>
      <c r="C18" s="246" t="s">
        <v>2068</v>
      </c>
      <c r="D18" s="232" t="s">
        <v>2069</v>
      </c>
      <c r="E18" s="232" t="s">
        <v>2070</v>
      </c>
      <c r="F18" s="246" t="s">
        <v>2095</v>
      </c>
      <c r="G18" s="232" t="s">
        <v>2072</v>
      </c>
      <c r="H18" s="252" t="n">
        <v>250</v>
      </c>
      <c r="I18" s="232" t="s">
        <v>2076</v>
      </c>
      <c r="J18" s="240" t="n">
        <v>280.44</v>
      </c>
      <c r="K18" s="252" t="n">
        <v>492</v>
      </c>
      <c r="L18" s="234" t="n">
        <f aca="false">K18*2.5833</f>
        <v>1270.9836</v>
      </c>
      <c r="M18" s="246" t="s">
        <v>2073</v>
      </c>
      <c r="N18" s="253" t="n">
        <v>25</v>
      </c>
      <c r="O18" s="253"/>
      <c r="P18" s="254"/>
      <c r="Q18" s="254"/>
      <c r="R18" s="232" t="s">
        <v>1828</v>
      </c>
      <c r="S18" s="235"/>
      <c r="T18" s="234" t="str">
        <f aca="false">ICMS_N_BUDGET_ST</f>
        <v/>
      </c>
      <c r="U18" s="234" t="str">
        <f aca="false">IF(OR(T18="",J18=0),"",T18/J18)</f>
        <v/>
      </c>
      <c r="V18" s="234" t="str">
        <f aca="false">IF(OR(T18="",L18=0),"",T18/L18)</f>
        <v/>
      </c>
    </row>
    <row r="19" customFormat="false" ht="15" hidden="false" customHeight="false" outlineLevel="0" collapsed="false">
      <c r="A19" s="232" t="s">
        <v>98</v>
      </c>
      <c r="B19" s="246" t="s">
        <v>2096</v>
      </c>
      <c r="C19" s="246" t="s">
        <v>2068</v>
      </c>
      <c r="D19" s="232" t="s">
        <v>2069</v>
      </c>
      <c r="E19" s="232" t="s">
        <v>2070</v>
      </c>
      <c r="F19" s="246" t="s">
        <v>2093</v>
      </c>
      <c r="G19" s="232" t="s">
        <v>2078</v>
      </c>
      <c r="H19" s="252" t="n">
        <v>125</v>
      </c>
      <c r="I19" s="232" t="s">
        <v>725</v>
      </c>
      <c r="J19" s="240" t="n">
        <v>150.48</v>
      </c>
      <c r="K19" s="252" t="n">
        <v>264</v>
      </c>
      <c r="L19" s="234" t="n">
        <f aca="false">K19*2.5833</f>
        <v>681.9912</v>
      </c>
      <c r="M19" s="246" t="s">
        <v>2073</v>
      </c>
      <c r="N19" s="253" t="n">
        <v>25</v>
      </c>
      <c r="O19" s="253"/>
      <c r="P19" s="254"/>
      <c r="Q19" s="254"/>
      <c r="R19" s="232" t="s">
        <v>1828</v>
      </c>
      <c r="S19" s="235"/>
      <c r="T19" s="234" t="str">
        <f aca="false">ICMS_N_BUDGET_ST</f>
        <v/>
      </c>
      <c r="U19" s="234" t="str">
        <f aca="false">IF(OR(T19="",J19=0),"",T19/J19)</f>
        <v/>
      </c>
      <c r="V19" s="234" t="str">
        <f aca="false">IF(OR(T19="",L19=0),"",T19/L19)</f>
        <v/>
      </c>
    </row>
    <row r="20" customFormat="false" ht="15" hidden="false" customHeight="false" outlineLevel="0" collapsed="false">
      <c r="A20" s="232" t="s">
        <v>102</v>
      </c>
      <c r="B20" s="246" t="s">
        <v>2097</v>
      </c>
      <c r="C20" s="246" t="s">
        <v>2068</v>
      </c>
      <c r="D20" s="232" t="s">
        <v>2069</v>
      </c>
      <c r="E20" s="232" t="s">
        <v>2070</v>
      </c>
      <c r="F20" s="246" t="s">
        <v>2095</v>
      </c>
      <c r="G20" s="232" t="s">
        <v>2078</v>
      </c>
      <c r="H20" s="252" t="n">
        <v>250</v>
      </c>
      <c r="I20" s="232" t="s">
        <v>2076</v>
      </c>
      <c r="J20" s="240" t="n">
        <v>280.44</v>
      </c>
      <c r="K20" s="252" t="n">
        <v>492</v>
      </c>
      <c r="L20" s="234" t="n">
        <f aca="false">K20*2.5833</f>
        <v>1270.9836</v>
      </c>
      <c r="M20" s="246" t="s">
        <v>2073</v>
      </c>
      <c r="N20" s="253" t="n">
        <v>25</v>
      </c>
      <c r="O20" s="253"/>
      <c r="P20" s="254"/>
      <c r="Q20" s="254"/>
      <c r="R20" s="232" t="s">
        <v>1828</v>
      </c>
      <c r="S20" s="235"/>
      <c r="T20" s="234" t="str">
        <f aca="false">ICMS_N_BUDGET_ST</f>
        <v/>
      </c>
      <c r="U20" s="234" t="str">
        <f aca="false">IF(OR(T20="",J20=0),"",T20/J20)</f>
        <v/>
      </c>
      <c r="V20" s="234" t="str">
        <f aca="false">IF(OR(T20="",L20=0),"",T20/L20)</f>
        <v/>
      </c>
    </row>
    <row r="21" customFormat="false" ht="15" hidden="false" customHeight="false" outlineLevel="0" collapsed="false">
      <c r="A21" s="232" t="s">
        <v>106</v>
      </c>
      <c r="B21" s="246" t="s">
        <v>2098</v>
      </c>
      <c r="C21" s="246" t="s">
        <v>2068</v>
      </c>
      <c r="D21" s="232" t="s">
        <v>2069</v>
      </c>
      <c r="E21" s="232" t="s">
        <v>2070</v>
      </c>
      <c r="F21" s="232" t="s">
        <v>2099</v>
      </c>
      <c r="G21" s="232" t="s">
        <v>2072</v>
      </c>
      <c r="H21" s="252" t="n">
        <v>125</v>
      </c>
      <c r="I21" s="232" t="s">
        <v>725</v>
      </c>
      <c r="J21" s="240" t="n">
        <v>150.48</v>
      </c>
      <c r="K21" s="252" t="n">
        <v>264</v>
      </c>
      <c r="L21" s="234" t="n">
        <f aca="false">K21*2.5833</f>
        <v>681.9912</v>
      </c>
      <c r="M21" s="246" t="s">
        <v>2073</v>
      </c>
      <c r="N21" s="253" t="n">
        <v>25</v>
      </c>
      <c r="O21" s="253"/>
      <c r="P21" s="254"/>
      <c r="Q21" s="254"/>
      <c r="R21" s="232" t="s">
        <v>1828</v>
      </c>
      <c r="S21" s="235"/>
      <c r="T21" s="234" t="str">
        <f aca="false">ICMS_N_BUDGET_ST</f>
        <v/>
      </c>
      <c r="U21" s="234" t="str">
        <f aca="false">IF(OR(T21="",J21=0),"",T21/J21)</f>
        <v/>
      </c>
      <c r="V21" s="234" t="str">
        <f aca="false">IF(OR(T21="",L21=0),"",T21/L21)</f>
        <v/>
      </c>
    </row>
    <row r="22" customFormat="false" ht="15" hidden="false" customHeight="false" outlineLevel="0" collapsed="false">
      <c r="A22" s="232" t="s">
        <v>110</v>
      </c>
      <c r="B22" s="246" t="s">
        <v>2100</v>
      </c>
      <c r="C22" s="246" t="s">
        <v>2068</v>
      </c>
      <c r="D22" s="232" t="s">
        <v>2069</v>
      </c>
      <c r="E22" s="232" t="s">
        <v>2070</v>
      </c>
      <c r="F22" s="232" t="s">
        <v>2101</v>
      </c>
      <c r="G22" s="232" t="s">
        <v>2072</v>
      </c>
      <c r="H22" s="252" t="n">
        <v>250</v>
      </c>
      <c r="I22" s="232" t="s">
        <v>2076</v>
      </c>
      <c r="J22" s="240" t="n">
        <v>280.44</v>
      </c>
      <c r="K22" s="252" t="n">
        <v>492</v>
      </c>
      <c r="L22" s="234" t="n">
        <f aca="false">K22*2.5833</f>
        <v>1270.9836</v>
      </c>
      <c r="M22" s="246" t="s">
        <v>2073</v>
      </c>
      <c r="N22" s="253" t="n">
        <v>25</v>
      </c>
      <c r="O22" s="253"/>
      <c r="P22" s="254"/>
      <c r="Q22" s="254"/>
      <c r="R22" s="232" t="s">
        <v>1828</v>
      </c>
      <c r="S22" s="235"/>
      <c r="T22" s="234" t="str">
        <f aca="false">ICMS_N_BUDGET_ST</f>
        <v/>
      </c>
      <c r="U22" s="234" t="str">
        <f aca="false">IF(OR(T22="",J22=0),"",T22/J22)</f>
        <v/>
      </c>
      <c r="V22" s="234" t="str">
        <f aca="false">IF(OR(T22="",L22=0),"",T22/L22)</f>
        <v/>
      </c>
    </row>
    <row r="23" customFormat="false" ht="15" hidden="false" customHeight="false" outlineLevel="0" collapsed="false">
      <c r="A23" s="232" t="s">
        <v>114</v>
      </c>
      <c r="B23" s="246" t="s">
        <v>2102</v>
      </c>
      <c r="C23" s="246" t="s">
        <v>2068</v>
      </c>
      <c r="D23" s="232" t="s">
        <v>2069</v>
      </c>
      <c r="E23" s="232" t="s">
        <v>2070</v>
      </c>
      <c r="F23" s="232" t="s">
        <v>2099</v>
      </c>
      <c r="G23" s="232" t="s">
        <v>2078</v>
      </c>
      <c r="H23" s="252" t="n">
        <v>125</v>
      </c>
      <c r="I23" s="232" t="s">
        <v>725</v>
      </c>
      <c r="J23" s="240" t="n">
        <v>150.48</v>
      </c>
      <c r="K23" s="252" t="n">
        <v>264</v>
      </c>
      <c r="L23" s="234" t="n">
        <f aca="false">K23*2.5833</f>
        <v>681.9912</v>
      </c>
      <c r="M23" s="246" t="s">
        <v>2073</v>
      </c>
      <c r="N23" s="253" t="n">
        <v>25</v>
      </c>
      <c r="O23" s="253"/>
      <c r="P23" s="254"/>
      <c r="Q23" s="254"/>
      <c r="R23" s="232" t="s">
        <v>1828</v>
      </c>
      <c r="S23" s="235"/>
      <c r="T23" s="234" t="str">
        <f aca="false">ICMS_N_BUDGET_ST</f>
        <v/>
      </c>
      <c r="U23" s="234" t="str">
        <f aca="false">IF(OR(T23="",J23=0),"",T23/J23)</f>
        <v/>
      </c>
      <c r="V23" s="234" t="str">
        <f aca="false">IF(OR(T23="",L23=0),"",T23/L23)</f>
        <v/>
      </c>
    </row>
    <row r="24" customFormat="false" ht="15" hidden="false" customHeight="false" outlineLevel="0" collapsed="false">
      <c r="A24" s="232" t="s">
        <v>118</v>
      </c>
      <c r="B24" s="246" t="s">
        <v>2103</v>
      </c>
      <c r="C24" s="246" t="s">
        <v>2068</v>
      </c>
      <c r="D24" s="232" t="s">
        <v>2069</v>
      </c>
      <c r="E24" s="232" t="s">
        <v>2070</v>
      </c>
      <c r="F24" s="232" t="s">
        <v>2101</v>
      </c>
      <c r="G24" s="232" t="s">
        <v>2078</v>
      </c>
      <c r="H24" s="252" t="n">
        <v>250</v>
      </c>
      <c r="I24" s="232" t="s">
        <v>2076</v>
      </c>
      <c r="J24" s="240" t="n">
        <v>280.44</v>
      </c>
      <c r="K24" s="252" t="n">
        <v>492</v>
      </c>
      <c r="L24" s="234" t="n">
        <f aca="false">K24*2.5833</f>
        <v>1270.9836</v>
      </c>
      <c r="M24" s="246" t="s">
        <v>2073</v>
      </c>
      <c r="N24" s="253" t="n">
        <v>25</v>
      </c>
      <c r="O24" s="253"/>
      <c r="P24" s="254"/>
      <c r="Q24" s="254"/>
      <c r="R24" s="232" t="s">
        <v>1828</v>
      </c>
      <c r="S24" s="235"/>
      <c r="T24" s="234" t="str">
        <f aca="false">ICMS_N_BUDGET_ST</f>
        <v/>
      </c>
      <c r="U24" s="234" t="str">
        <f aca="false">IF(OR(T24="",J24=0),"",T24/J24)</f>
        <v/>
      </c>
      <c r="V24" s="234" t="str">
        <f aca="false">IF(OR(T24="",L24=0),"",T24/L24)</f>
        <v/>
      </c>
    </row>
    <row r="26" customFormat="false" ht="15" hidden="false" customHeight="false" outlineLevel="0" collapsed="false">
      <c r="A26" s="72" t="s">
        <v>2104</v>
      </c>
    </row>
  </sheetData>
  <autoFilter ref="A4:V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60"/>
  </cols>
  <sheetData>
    <row r="1" customFormat="false" ht="18.65" hidden="false" customHeight="false" outlineLevel="0" collapsed="false">
      <c r="A1" s="62" t="s">
        <v>2105</v>
      </c>
    </row>
    <row r="2" customFormat="false" ht="15" hidden="false" customHeight="false" outlineLevel="0" collapsed="false">
      <c r="A2" s="230" t="s">
        <v>2106</v>
      </c>
    </row>
    <row r="4" customFormat="false" ht="30" hidden="false" customHeight="true" outlineLevel="0" collapsed="false">
      <c r="A4" s="28" t="s">
        <v>34</v>
      </c>
      <c r="B4" s="29" t="s">
        <v>1830</v>
      </c>
      <c r="C4" s="28" t="s">
        <v>1831</v>
      </c>
      <c r="D4" s="28" t="s">
        <v>2107</v>
      </c>
      <c r="E4" s="28" t="s">
        <v>2108</v>
      </c>
    </row>
    <row r="5" customFormat="false" ht="15" hidden="false" customHeight="false" outlineLevel="0" collapsed="false">
      <c r="A5" s="153" t="s">
        <v>1838</v>
      </c>
      <c r="B5" s="153" t="s">
        <v>1839</v>
      </c>
      <c r="C5" s="154" t="s">
        <v>1840</v>
      </c>
      <c r="D5" s="153"/>
      <c r="E5" s="153"/>
    </row>
    <row r="6" customFormat="false" ht="15" hidden="false" customHeight="false" outlineLevel="0" collapsed="false">
      <c r="A6" s="153" t="s">
        <v>1841</v>
      </c>
      <c r="B6" s="153" t="s">
        <v>1842</v>
      </c>
      <c r="C6" s="154" t="s">
        <v>1843</v>
      </c>
      <c r="D6" s="153"/>
      <c r="E6" s="153"/>
    </row>
    <row r="7" customFormat="false" ht="15" hidden="false" customHeight="false" outlineLevel="0" collapsed="false">
      <c r="A7" s="158" t="s">
        <v>1844</v>
      </c>
      <c r="B7" s="158" t="s">
        <v>1845</v>
      </c>
      <c r="C7" s="159" t="s">
        <v>1846</v>
      </c>
      <c r="D7" s="159" t="s">
        <v>2109</v>
      </c>
      <c r="E7" s="159" t="s">
        <v>2110</v>
      </c>
    </row>
    <row r="8" customFormat="false" ht="15" hidden="false" customHeight="false" outlineLevel="0" collapsed="false">
      <c r="A8" s="158" t="s">
        <v>1847</v>
      </c>
      <c r="B8" s="158" t="s">
        <v>1848</v>
      </c>
      <c r="C8" s="159" t="s">
        <v>1849</v>
      </c>
      <c r="D8" s="159" t="s">
        <v>2111</v>
      </c>
      <c r="E8" s="159" t="s">
        <v>2112</v>
      </c>
    </row>
    <row r="9" customFormat="false" ht="15" hidden="false" customHeight="false" outlineLevel="0" collapsed="false">
      <c r="A9" s="158" t="s">
        <v>1850</v>
      </c>
      <c r="B9" s="158" t="s">
        <v>1851</v>
      </c>
      <c r="C9" s="159" t="s">
        <v>825</v>
      </c>
      <c r="D9" s="159" t="s">
        <v>2113</v>
      </c>
      <c r="E9" s="159" t="s">
        <v>2114</v>
      </c>
    </row>
    <row r="10" customFormat="false" ht="15" hidden="false" customHeight="false" outlineLevel="0" collapsed="false">
      <c r="A10" s="158" t="s">
        <v>1852</v>
      </c>
      <c r="B10" s="158" t="s">
        <v>1853</v>
      </c>
      <c r="C10" s="159" t="s">
        <v>1854</v>
      </c>
      <c r="D10" s="159" t="s">
        <v>2115</v>
      </c>
      <c r="E10" s="158" t="s">
        <v>2116</v>
      </c>
    </row>
    <row r="11" customFormat="false" ht="15" hidden="false" customHeight="false" outlineLevel="0" collapsed="false">
      <c r="A11" s="158" t="s">
        <v>1491</v>
      </c>
      <c r="B11" s="158" t="s">
        <v>1855</v>
      </c>
      <c r="C11" s="159" t="s">
        <v>1856</v>
      </c>
      <c r="D11" s="159" t="s">
        <v>2117</v>
      </c>
      <c r="E11" s="159" t="s">
        <v>2118</v>
      </c>
    </row>
    <row r="12" customFormat="false" ht="15" hidden="false" customHeight="false" outlineLevel="0" collapsed="false">
      <c r="A12" s="158" t="s">
        <v>1857</v>
      </c>
      <c r="B12" s="158" t="s">
        <v>1858</v>
      </c>
      <c r="C12" s="159" t="s">
        <v>1859</v>
      </c>
      <c r="D12" s="159" t="s">
        <v>2119</v>
      </c>
      <c r="E12" s="159" t="s">
        <v>2120</v>
      </c>
    </row>
    <row r="13" customFormat="false" ht="15" hidden="false" customHeight="false" outlineLevel="0" collapsed="false">
      <c r="A13" s="158" t="s">
        <v>1860</v>
      </c>
      <c r="B13" s="158" t="s">
        <v>1861</v>
      </c>
      <c r="C13" s="159" t="s">
        <v>1862</v>
      </c>
      <c r="D13" s="159" t="s">
        <v>2121</v>
      </c>
      <c r="E13" s="159" t="s">
        <v>2122</v>
      </c>
    </row>
    <row r="14" customFormat="false" ht="15" hidden="false" customHeight="false" outlineLevel="0" collapsed="false">
      <c r="A14" s="158" t="s">
        <v>1863</v>
      </c>
      <c r="B14" s="158" t="s">
        <v>1864</v>
      </c>
      <c r="C14" s="159" t="s">
        <v>1865</v>
      </c>
      <c r="D14" s="159" t="s">
        <v>2123</v>
      </c>
      <c r="E14" s="159" t="s">
        <v>2124</v>
      </c>
    </row>
    <row r="15" customFormat="false" ht="15" hidden="false" customHeight="false" outlineLevel="0" collapsed="false">
      <c r="A15" s="158" t="s">
        <v>1866</v>
      </c>
      <c r="B15" s="158" t="s">
        <v>1867</v>
      </c>
      <c r="C15" s="159" t="s">
        <v>1868</v>
      </c>
      <c r="D15" s="159" t="s">
        <v>2125</v>
      </c>
      <c r="E15" s="159" t="s">
        <v>2126</v>
      </c>
    </row>
    <row r="16" customFormat="false" ht="15" hidden="false" customHeight="false" outlineLevel="0" collapsed="false">
      <c r="A16" s="158" t="s">
        <v>1869</v>
      </c>
      <c r="B16" s="158" t="s">
        <v>1870</v>
      </c>
      <c r="C16" s="159" t="s">
        <v>1871</v>
      </c>
      <c r="D16" s="158"/>
      <c r="E16" s="158" t="s">
        <v>2127</v>
      </c>
    </row>
    <row r="17" customFormat="false" ht="15" hidden="false" customHeight="false" outlineLevel="0" collapsed="false">
      <c r="A17" s="153" t="s">
        <v>1872</v>
      </c>
      <c r="B17" s="153" t="s">
        <v>1873</v>
      </c>
      <c r="C17" s="154" t="s">
        <v>1874</v>
      </c>
      <c r="D17" s="153"/>
      <c r="E17" s="153"/>
    </row>
    <row r="18" customFormat="false" ht="15" hidden="false" customHeight="false" outlineLevel="0" collapsed="false">
      <c r="A18" s="158" t="s">
        <v>872</v>
      </c>
      <c r="B18" s="158" t="s">
        <v>1875</v>
      </c>
      <c r="C18" s="159" t="s">
        <v>1876</v>
      </c>
      <c r="D18" s="158"/>
      <c r="E18" s="159" t="s">
        <v>2128</v>
      </c>
    </row>
    <row r="19" customFormat="false" ht="15" hidden="false" customHeight="false" outlineLevel="0" collapsed="false">
      <c r="A19" s="158" t="s">
        <v>987</v>
      </c>
      <c r="B19" s="158" t="s">
        <v>1877</v>
      </c>
      <c r="C19" s="159" t="s">
        <v>1878</v>
      </c>
      <c r="D19" s="159" t="s">
        <v>2129</v>
      </c>
      <c r="E19" s="159" t="s">
        <v>2130</v>
      </c>
    </row>
    <row r="20" customFormat="false" ht="15" hidden="false" customHeight="false" outlineLevel="0" collapsed="false">
      <c r="A20" s="158" t="s">
        <v>1037</v>
      </c>
      <c r="B20" s="158" t="s">
        <v>1879</v>
      </c>
      <c r="C20" s="159" t="s">
        <v>1880</v>
      </c>
      <c r="D20" s="159" t="s">
        <v>2131</v>
      </c>
      <c r="E20" s="159" t="s">
        <v>2132</v>
      </c>
    </row>
    <row r="21" customFormat="false" ht="15" hidden="false" customHeight="false" outlineLevel="0" collapsed="false">
      <c r="A21" s="158" t="s">
        <v>1063</v>
      </c>
      <c r="B21" s="158" t="s">
        <v>1881</v>
      </c>
      <c r="C21" s="159" t="s">
        <v>1882</v>
      </c>
      <c r="D21" s="158"/>
      <c r="E21" s="159" t="s">
        <v>2133</v>
      </c>
    </row>
    <row r="22" customFormat="false" ht="15" hidden="false" customHeight="false" outlineLevel="0" collapsed="false">
      <c r="A22" s="158" t="s">
        <v>1079</v>
      </c>
      <c r="B22" s="158" t="s">
        <v>1883</v>
      </c>
      <c r="C22" s="159" t="s">
        <v>1884</v>
      </c>
      <c r="D22" s="159" t="s">
        <v>2134</v>
      </c>
      <c r="E22" s="159" t="s">
        <v>2135</v>
      </c>
    </row>
    <row r="23" customFormat="false" ht="15" hidden="false" customHeight="false" outlineLevel="0" collapsed="false">
      <c r="A23" s="158" t="s">
        <v>1113</v>
      </c>
      <c r="B23" s="158" t="s">
        <v>1867</v>
      </c>
      <c r="C23" s="159" t="s">
        <v>1885</v>
      </c>
      <c r="D23" s="158"/>
      <c r="E23" s="1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8.65" hidden="false" customHeight="false" outlineLevel="0" collapsed="false">
      <c r="A1" s="37" t="s">
        <v>2136</v>
      </c>
    </row>
    <row r="2" customFormat="false" ht="15" hidden="false" customHeight="false" outlineLevel="0" collapsed="false">
      <c r="A2" s="230" t="s">
        <v>2137</v>
      </c>
    </row>
    <row r="4" customFormat="false" ht="42" hidden="false" customHeight="true" outlineLevel="0" collapsed="false">
      <c r="A4" s="233" t="s">
        <v>2138</v>
      </c>
      <c r="B4" s="158" t="s">
        <v>2139</v>
      </c>
    </row>
    <row r="5" customFormat="false" ht="42" hidden="false" customHeight="true" outlineLevel="0" collapsed="false">
      <c r="A5" s="233" t="s">
        <v>2140</v>
      </c>
      <c r="B5" s="159" t="s">
        <v>2141</v>
      </c>
    </row>
    <row r="6" customFormat="false" ht="42" hidden="false" customHeight="true" outlineLevel="0" collapsed="false">
      <c r="A6" s="231" t="s">
        <v>2142</v>
      </c>
      <c r="B6" s="159" t="s">
        <v>2143</v>
      </c>
    </row>
    <row r="7" customFormat="false" ht="42" hidden="false" customHeight="true" outlineLevel="0" collapsed="false">
      <c r="A7" s="233" t="s">
        <v>2144</v>
      </c>
      <c r="B7" s="159" t="s">
        <v>2145</v>
      </c>
    </row>
    <row r="8" customFormat="false" ht="42" hidden="false" customHeight="true" outlineLevel="0" collapsed="false">
      <c r="A8" s="233" t="s">
        <v>2146</v>
      </c>
      <c r="B8" s="159" t="s">
        <v>2147</v>
      </c>
    </row>
    <row r="9" customFormat="false" ht="42" hidden="false" customHeight="true" outlineLevel="0" collapsed="false">
      <c r="A9" s="233" t="s">
        <v>2148</v>
      </c>
      <c r="B9" s="158" t="s">
        <v>2149</v>
      </c>
    </row>
    <row r="10" customFormat="false" ht="42" hidden="false" customHeight="true" outlineLevel="0" collapsed="false">
      <c r="A10" s="233" t="s">
        <v>2150</v>
      </c>
      <c r="B10" s="159" t="s">
        <v>2151</v>
      </c>
    </row>
    <row r="11" customFormat="false" ht="42" hidden="false" customHeight="true" outlineLevel="0" collapsed="false">
      <c r="A11" s="233" t="s">
        <v>2152</v>
      </c>
      <c r="B11" s="159" t="s">
        <v>2153</v>
      </c>
    </row>
    <row r="12" customFormat="false" ht="42" hidden="false" customHeight="true" outlineLevel="0" collapsed="false">
      <c r="A12" s="233" t="s">
        <v>2154</v>
      </c>
      <c r="B12" s="159" t="s">
        <v>2155</v>
      </c>
    </row>
    <row r="13" customFormat="false" ht="42" hidden="false" customHeight="true" outlineLevel="0" collapsed="false">
      <c r="A13" s="233" t="s">
        <v>2156</v>
      </c>
      <c r="B13" s="158" t="s">
        <v>2157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5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6" min="16" style="0" width="14"/>
    <col collapsed="false" customWidth="true" hidden="false" outlineLevel="0" max="19" min="17" style="0" width="7"/>
  </cols>
  <sheetData>
    <row r="1" customFormat="false" ht="18.65" hidden="false" customHeight="false" outlineLevel="0" collapsed="false">
      <c r="A1" s="37" t="s">
        <v>2158</v>
      </c>
    </row>
    <row r="2" customFormat="false" ht="15" hidden="false" customHeight="false" outlineLevel="0" collapsed="false">
      <c r="A2" s="38" t="s">
        <v>2159</v>
      </c>
    </row>
    <row r="3" customFormat="false" ht="27.75" hidden="false" customHeight="true" outlineLevel="0" collapsed="false">
      <c r="A3" s="3" t="s">
        <v>2160</v>
      </c>
      <c r="B3" s="3"/>
      <c r="C3" s="3" t="s">
        <v>2161</v>
      </c>
      <c r="D3" s="3"/>
      <c r="E3" s="3" t="s">
        <v>2162</v>
      </c>
      <c r="F3" s="3"/>
      <c r="G3" s="3" t="s">
        <v>2163</v>
      </c>
      <c r="H3" s="3"/>
      <c r="I3" s="3" t="s">
        <v>2164</v>
      </c>
      <c r="J3" s="3"/>
    </row>
    <row r="4" customFormat="false" ht="24" hidden="false" customHeight="true" outlineLevel="0" collapsed="false">
      <c r="A4" s="181" t="n">
        <f aca="false">COUNTIF($B$7:$B$206,"&gt;0")</f>
        <v>5</v>
      </c>
      <c r="B4" s="181"/>
      <c r="C4" s="182" t="n">
        <f aca="false">COUNTIF($L$7:$L$206,"ใช้แล้ว")</f>
        <v>2</v>
      </c>
      <c r="D4" s="182"/>
      <c r="E4" s="71" t="n">
        <f aca="false">COUNTIF($L$7:$L$206,"เสนอ")+COUNTIF($L$7:$L$206,"กำลังทำ")</f>
        <v>3</v>
      </c>
      <c r="F4" s="71"/>
      <c r="G4" s="70" t="n">
        <f aca="false">COUNTIFS($B$7:$B$206,"&lt;"&amp;(ASOF-14),$L$7:$L$206,"เสนอ")+COUNTIFS($B$7:$B$206,"&lt;"&amp;(ASOF-14),$L$7:$L$206,"กำลังทำ")</f>
        <v>1</v>
      </c>
      <c r="H4" s="70"/>
      <c r="I4" s="181" t="n">
        <f aca="false">COUNTIF($B$7:$B$206,"&gt;"&amp;(ASOF-28))</f>
        <v>4</v>
      </c>
      <c r="J4" s="181"/>
    </row>
    <row r="5" customFormat="false" ht="15" hidden="false" customHeight="false" outlineLevel="0" collapsed="false">
      <c r="P5" s="39" t="s">
        <v>2165</v>
      </c>
    </row>
    <row r="6" customFormat="false" ht="31.5" hidden="false" customHeight="true" outlineLevel="0" collapsed="false">
      <c r="A6" s="28" t="s">
        <v>1714</v>
      </c>
      <c r="B6" s="28" t="s">
        <v>572</v>
      </c>
      <c r="C6" s="28" t="s">
        <v>2166</v>
      </c>
      <c r="D6" s="28" t="s">
        <v>36</v>
      </c>
      <c r="E6" s="29" t="s">
        <v>197</v>
      </c>
      <c r="F6" s="28" t="s">
        <v>871</v>
      </c>
      <c r="G6" s="28" t="s">
        <v>2167</v>
      </c>
      <c r="H6" s="28" t="s">
        <v>1729</v>
      </c>
      <c r="I6" s="28" t="s">
        <v>2168</v>
      </c>
      <c r="J6" s="28" t="s">
        <v>869</v>
      </c>
      <c r="K6" s="28" t="s">
        <v>520</v>
      </c>
      <c r="L6" s="28" t="s">
        <v>574</v>
      </c>
      <c r="M6" s="28" t="s">
        <v>2169</v>
      </c>
      <c r="N6" s="28" t="s">
        <v>2170</v>
      </c>
      <c r="P6" s="28" t="s">
        <v>871</v>
      </c>
      <c r="Q6" s="28" t="s">
        <v>2171</v>
      </c>
      <c r="R6" s="28" t="s">
        <v>2172</v>
      </c>
      <c r="S6" s="28" t="s">
        <v>1779</v>
      </c>
    </row>
    <row r="7" customFormat="false" ht="48" hidden="false" customHeight="true" outlineLevel="0" collapsed="false">
      <c r="A7" s="131" t="str">
        <f aca="false">IF(B7="","","LL-"&amp;TEXT(ROW()-6,"000"))</f>
        <v>LL-001</v>
      </c>
      <c r="B7" s="207" t="n">
        <v>46289</v>
      </c>
      <c r="C7" s="114" t="s">
        <v>1605</v>
      </c>
      <c r="D7" s="204" t="str">
        <f aca="false">IF(LEFT(C7,4)="ผรม.",TRIM(MID(C7,5,5)),IFERROR(INDEX('Master Plan'!$L$8:$L$27,MATCH(C7,'Master Plan'!$A$8:$A$27,0)),""))</f>
        <v/>
      </c>
      <c r="E7" s="60" t="s">
        <v>1489</v>
      </c>
      <c r="F7" s="114" t="s">
        <v>1613</v>
      </c>
      <c r="G7" s="60" t="s">
        <v>2173</v>
      </c>
      <c r="H7" s="114" t="s">
        <v>2174</v>
      </c>
      <c r="I7" s="114" t="s">
        <v>2175</v>
      </c>
      <c r="J7" s="114" t="s">
        <v>2176</v>
      </c>
      <c r="K7" s="60" t="s">
        <v>131</v>
      </c>
      <c r="L7" s="114" t="s">
        <v>2177</v>
      </c>
      <c r="M7" s="60" t="s">
        <v>1611</v>
      </c>
      <c r="N7" s="60"/>
      <c r="P7" s="220" t="s">
        <v>2178</v>
      </c>
      <c r="Q7" s="217" t="n">
        <f aca="false">COUNTIF($F$7:$F$206,P7)</f>
        <v>0</v>
      </c>
      <c r="R7" s="217" t="n">
        <f aca="false">COUNTIFS($F$7:$F$206,P7,$L$7:$L$206,"ใช้แล้ว")</f>
        <v>0</v>
      </c>
      <c r="S7" s="217" t="n">
        <f aca="false">COUNTIFS($F$7:$F$206,P7,$L$7:$L$206,"เสนอ")+COUNTIFS($F$7:$F$206,P7,$L$7:$L$206,"กำลังทำ")</f>
        <v>0</v>
      </c>
    </row>
    <row r="8" customFormat="false" ht="48" hidden="false" customHeight="true" outlineLevel="0" collapsed="false">
      <c r="A8" s="131" t="str">
        <f aca="false">IF(B8="","","LL-"&amp;TEXT(ROW()-6,"000"))</f>
        <v>LL-002</v>
      </c>
      <c r="B8" s="207" t="n">
        <v>46314</v>
      </c>
      <c r="C8" s="60" t="s">
        <v>2179</v>
      </c>
      <c r="D8" s="204" t="str">
        <f aca="false">IF(LEFT(C8,4)="ผรม.",TRIM(MID(C8,5,5)),IFERROR(INDEX('Master Plan'!$L$8:$L$27,MATCH(C8,'Master Plan'!$A$8:$A$27,0)),""))</f>
        <v/>
      </c>
      <c r="E8" s="60" t="s">
        <v>1489</v>
      </c>
      <c r="F8" s="114" t="s">
        <v>1613</v>
      </c>
      <c r="G8" s="114" t="s">
        <v>2180</v>
      </c>
      <c r="H8" s="114" t="s">
        <v>2181</v>
      </c>
      <c r="I8" s="114" t="s">
        <v>2182</v>
      </c>
      <c r="J8" s="114" t="s">
        <v>784</v>
      </c>
      <c r="K8" s="60" t="s">
        <v>2183</v>
      </c>
      <c r="L8" s="114" t="s">
        <v>2177</v>
      </c>
      <c r="M8" s="60" t="s">
        <v>1611</v>
      </c>
      <c r="N8" s="60"/>
      <c r="P8" s="220" t="s">
        <v>1613</v>
      </c>
      <c r="Q8" s="217" t="n">
        <f aca="false">COUNTIF($F$7:$F$206,P8)</f>
        <v>2</v>
      </c>
      <c r="R8" s="217" t="n">
        <f aca="false">COUNTIFS($F$7:$F$206,P8,$L$7:$L$206,"ใช้แล้ว")</f>
        <v>0</v>
      </c>
      <c r="S8" s="217" t="n">
        <f aca="false">COUNTIFS($F$7:$F$206,P8,$L$7:$L$206,"เสนอ")+COUNTIFS($F$7:$F$206,P8,$L$7:$L$206,"กำลังทำ")</f>
        <v>2</v>
      </c>
    </row>
    <row r="9" customFormat="false" ht="48" hidden="false" customHeight="true" outlineLevel="0" collapsed="false">
      <c r="A9" s="131" t="str">
        <f aca="false">IF(B9="","","LL-"&amp;TEXT(ROW()-6,"000"))</f>
        <v>LL-003</v>
      </c>
      <c r="B9" s="207" t="n">
        <v>46314</v>
      </c>
      <c r="C9" s="60" t="s">
        <v>2184</v>
      </c>
      <c r="D9" s="204" t="str">
        <f aca="false">IF(LEFT(C9,4)="ผรม.",TRIM(MID(C9,5,5)),IFERROR(INDEX('Master Plan'!$L$8:$L$27,MATCH(C9,'Master Plan'!$A$8:$A$27,0)),""))</f>
        <v/>
      </c>
      <c r="E9" s="60" t="s">
        <v>1205</v>
      </c>
      <c r="F9" s="114" t="s">
        <v>2185</v>
      </c>
      <c r="G9" s="114" t="s">
        <v>2186</v>
      </c>
      <c r="H9" s="114" t="s">
        <v>2187</v>
      </c>
      <c r="I9" s="114" t="s">
        <v>2188</v>
      </c>
      <c r="J9" s="114" t="s">
        <v>2189</v>
      </c>
      <c r="K9" s="114" t="s">
        <v>15</v>
      </c>
      <c r="L9" s="114" t="s">
        <v>2190</v>
      </c>
      <c r="M9" s="60" t="s">
        <v>1650</v>
      </c>
      <c r="N9" s="60"/>
      <c r="P9" s="220" t="s">
        <v>2191</v>
      </c>
      <c r="Q9" s="217" t="n">
        <f aca="false">COUNTIF($F$7:$F$206,P9)</f>
        <v>1</v>
      </c>
      <c r="R9" s="217" t="n">
        <f aca="false">COUNTIFS($F$7:$F$206,P9,$L$7:$L$206,"ใช้แล้ว")</f>
        <v>0</v>
      </c>
      <c r="S9" s="217" t="n">
        <f aca="false">COUNTIFS($F$7:$F$206,P9,$L$7:$L$206,"เสนอ")+COUNTIFS($F$7:$F$206,P9,$L$7:$L$206,"กำลังทำ")</f>
        <v>1</v>
      </c>
    </row>
    <row r="10" customFormat="false" ht="48" hidden="false" customHeight="true" outlineLevel="0" collapsed="false">
      <c r="A10" s="131" t="str">
        <f aca="false">IF(B10="","","LL-"&amp;TEXT(ROW()-6,"000"))</f>
        <v>LL-004</v>
      </c>
      <c r="B10" s="207" t="n">
        <v>46314</v>
      </c>
      <c r="C10" s="60" t="s">
        <v>2192</v>
      </c>
      <c r="D10" s="204" t="str">
        <f aca="false">IF(LEFT(C10,4)="ผรม.",TRIM(MID(C10,5,5)),IFERROR(INDEX('Master Plan'!$L$8:$L$27,MATCH(C10,'Master Plan'!$A$8:$A$27,0)),""))</f>
        <v/>
      </c>
      <c r="E10" s="60" t="s">
        <v>1660</v>
      </c>
      <c r="F10" s="114" t="s">
        <v>2193</v>
      </c>
      <c r="G10" s="114" t="s">
        <v>2194</v>
      </c>
      <c r="H10" s="114" t="s">
        <v>2195</v>
      </c>
      <c r="I10" s="114" t="s">
        <v>2196</v>
      </c>
      <c r="J10" s="114" t="s">
        <v>784</v>
      </c>
      <c r="K10" s="60" t="s">
        <v>131</v>
      </c>
      <c r="L10" s="114" t="s">
        <v>2172</v>
      </c>
      <c r="M10" s="60" t="s">
        <v>1657</v>
      </c>
      <c r="N10" s="114" t="s">
        <v>2197</v>
      </c>
      <c r="P10" s="220" t="s">
        <v>2193</v>
      </c>
      <c r="Q10" s="217" t="n">
        <f aca="false">COUNTIF($F$7:$F$206,P10)</f>
        <v>2</v>
      </c>
      <c r="R10" s="217" t="n">
        <f aca="false">COUNTIFS($F$7:$F$206,P10,$L$7:$L$206,"ใช้แล้ว")</f>
        <v>2</v>
      </c>
      <c r="S10" s="217" t="n">
        <f aca="false">COUNTIFS($F$7:$F$206,P10,$L$7:$L$206,"เสนอ")+COUNTIFS($F$7:$F$206,P10,$L$7:$L$206,"กำลังทำ")</f>
        <v>0</v>
      </c>
    </row>
    <row r="11" customFormat="false" ht="48" hidden="false" customHeight="true" outlineLevel="0" collapsed="false">
      <c r="A11" s="131" t="str">
        <f aca="false">IF(B11="","","LL-"&amp;TEXT(ROW()-6,"000"))</f>
        <v>LL-005</v>
      </c>
      <c r="B11" s="207" t="n">
        <v>46314</v>
      </c>
      <c r="C11" s="60" t="s">
        <v>2198</v>
      </c>
      <c r="D11" s="204" t="str">
        <f aca="false">IF(LEFT(C11,4)="ผรม.",TRIM(MID(C11,5,5)),IFERROR(INDEX('Master Plan'!$L$8:$L$27,MATCH(C11,'Master Plan'!$A$8:$A$27,0)),""))</f>
        <v/>
      </c>
      <c r="E11" s="60" t="s">
        <v>1654</v>
      </c>
      <c r="F11" s="114" t="s">
        <v>2193</v>
      </c>
      <c r="G11" s="60" t="s">
        <v>2199</v>
      </c>
      <c r="H11" s="114" t="s">
        <v>2200</v>
      </c>
      <c r="I11" s="60" t="s">
        <v>2201</v>
      </c>
      <c r="J11" s="114" t="s">
        <v>784</v>
      </c>
      <c r="K11" s="60" t="s">
        <v>131</v>
      </c>
      <c r="L11" s="114" t="s">
        <v>2172</v>
      </c>
      <c r="M11" s="60" t="s">
        <v>1657</v>
      </c>
      <c r="N11" s="114" t="s">
        <v>2202</v>
      </c>
      <c r="P11" s="220" t="s">
        <v>2203</v>
      </c>
      <c r="Q11" s="217" t="n">
        <f aca="false">COUNTIF($F$7:$F$206,P11)</f>
        <v>0</v>
      </c>
      <c r="R11" s="217" t="n">
        <f aca="false">COUNTIFS($F$7:$F$206,P11,$L$7:$L$206,"ใช้แล้ว")</f>
        <v>0</v>
      </c>
      <c r="S11" s="217" t="n">
        <f aca="false">COUNTIFS($F$7:$F$206,P11,$L$7:$L$206,"เสนอ")+COUNTIFS($F$7:$F$206,P11,$L$7:$L$206,"กำลังทำ")</f>
        <v>0</v>
      </c>
    </row>
    <row r="12" customFormat="false" ht="15" hidden="false" customHeight="false" outlineLevel="0" collapsed="false">
      <c r="A12" s="131" t="str">
        <f aca="false">IF(B12="","","LL-"&amp;TEXT(ROW()-6,"000"))</f>
        <v/>
      </c>
      <c r="B12" s="207"/>
      <c r="C12" s="60"/>
      <c r="D12" s="204" t="str">
        <f aca="false">IF(LEFT(C12,4)="ผรม.",TRIM(MID(C12,5,5)),IFERROR(INDEX('Master Plan'!$L$8:$L$27,MATCH(C12,'Master Plan'!$A$8:$A$27,0)),""))</f>
        <v/>
      </c>
      <c r="E12" s="60"/>
      <c r="F12" s="114"/>
      <c r="G12" s="60"/>
      <c r="H12" s="60"/>
      <c r="I12" s="60"/>
      <c r="J12" s="60"/>
      <c r="K12" s="60"/>
      <c r="L12" s="114"/>
      <c r="M12" s="60"/>
      <c r="N12" s="60"/>
      <c r="P12" s="220" t="s">
        <v>2204</v>
      </c>
      <c r="Q12" s="217" t="n">
        <f aca="false">COUNTIF($F$7:$F$206,P12)</f>
        <v>0</v>
      </c>
      <c r="R12" s="217" t="n">
        <f aca="false">COUNTIFS($F$7:$F$206,P12,$L$7:$L$206,"ใช้แล้ว")</f>
        <v>0</v>
      </c>
      <c r="S12" s="217" t="n">
        <f aca="false">COUNTIFS($F$7:$F$206,P12,$L$7:$L$206,"เสนอ")+COUNTIFS($F$7:$F$206,P12,$L$7:$L$206,"กำลังทำ")</f>
        <v>0</v>
      </c>
    </row>
    <row r="13" customFormat="false" ht="15" hidden="false" customHeight="false" outlineLevel="0" collapsed="false">
      <c r="A13" s="131" t="str">
        <f aca="false">IF(B13="","","LL-"&amp;TEXT(ROW()-6,"000"))</f>
        <v/>
      </c>
      <c r="B13" s="207"/>
      <c r="C13" s="60"/>
      <c r="D13" s="204" t="str">
        <f aca="false">IF(LEFT(C13,4)="ผรม.",TRIM(MID(C13,5,5)),IFERROR(INDEX('Master Plan'!$L$8:$L$27,MATCH(C13,'Master Plan'!$A$8:$A$27,0)),""))</f>
        <v/>
      </c>
      <c r="E13" s="60"/>
      <c r="F13" s="114"/>
      <c r="G13" s="60"/>
      <c r="H13" s="60"/>
      <c r="I13" s="60"/>
      <c r="J13" s="60"/>
      <c r="K13" s="60"/>
      <c r="L13" s="114"/>
      <c r="M13" s="60"/>
      <c r="N13" s="60"/>
      <c r="P13" s="220" t="s">
        <v>2205</v>
      </c>
      <c r="Q13" s="217" t="n">
        <f aca="false">COUNTIF($F$7:$F$206,P13)</f>
        <v>0</v>
      </c>
      <c r="R13" s="217" t="n">
        <f aca="false">COUNTIFS($F$7:$F$206,P13,$L$7:$L$206,"ใช้แล้ว")</f>
        <v>0</v>
      </c>
      <c r="S13" s="217" t="n">
        <f aca="false">COUNTIFS($F$7:$F$206,P13,$L$7:$L$206,"เสนอ")+COUNTIFS($F$7:$F$206,P13,$L$7:$L$206,"กำลังทำ")</f>
        <v>0</v>
      </c>
    </row>
    <row r="14" customFormat="false" ht="15" hidden="false" customHeight="false" outlineLevel="0" collapsed="false">
      <c r="A14" s="131" t="str">
        <f aca="false">IF(B14="","","LL-"&amp;TEXT(ROW()-6,"000"))</f>
        <v/>
      </c>
      <c r="B14" s="207"/>
      <c r="C14" s="60"/>
      <c r="D14" s="204" t="str">
        <f aca="false">IF(LEFT(C14,4)="ผรม.",TRIM(MID(C14,5,5)),IFERROR(INDEX('Master Plan'!$L$8:$L$27,MATCH(C14,'Master Plan'!$A$8:$A$27,0)),""))</f>
        <v/>
      </c>
      <c r="E14" s="60"/>
      <c r="F14" s="114"/>
      <c r="G14" s="60"/>
      <c r="H14" s="60"/>
      <c r="I14" s="60"/>
      <c r="J14" s="60"/>
      <c r="K14" s="60"/>
      <c r="L14" s="114"/>
      <c r="M14" s="60"/>
      <c r="N14" s="60"/>
      <c r="P14" s="220" t="s">
        <v>2206</v>
      </c>
      <c r="Q14" s="217" t="n">
        <f aca="false">COUNTIF($F$7:$F$206,P14)</f>
        <v>0</v>
      </c>
      <c r="R14" s="217" t="n">
        <f aca="false">COUNTIFS($F$7:$F$206,P14,$L$7:$L$206,"ใช้แล้ว")</f>
        <v>0</v>
      </c>
      <c r="S14" s="217" t="n">
        <f aca="false">COUNTIFS($F$7:$F$206,P14,$L$7:$L$206,"เสนอ")+COUNTIFS($F$7:$F$206,P14,$L$7:$L$206,"กำลังทำ")</f>
        <v>0</v>
      </c>
    </row>
    <row r="15" customFormat="false" ht="15" hidden="false" customHeight="false" outlineLevel="0" collapsed="false">
      <c r="A15" s="131" t="str">
        <f aca="false">IF(B15="","","LL-"&amp;TEXT(ROW()-6,"000"))</f>
        <v/>
      </c>
      <c r="B15" s="207"/>
      <c r="C15" s="60"/>
      <c r="D15" s="204" t="str">
        <f aca="false">IF(LEFT(C15,4)="ผรม.",TRIM(MID(C15,5,5)),IFERROR(INDEX('Master Plan'!$L$8:$L$27,MATCH(C15,'Master Plan'!$A$8:$A$27,0)),""))</f>
        <v/>
      </c>
      <c r="E15" s="60"/>
      <c r="F15" s="114"/>
      <c r="G15" s="60"/>
      <c r="H15" s="60"/>
      <c r="I15" s="60"/>
      <c r="J15" s="60"/>
      <c r="K15" s="60"/>
      <c r="L15" s="114"/>
      <c r="M15" s="60"/>
      <c r="N15" s="60"/>
      <c r="P15" s="220" t="s">
        <v>1740</v>
      </c>
      <c r="Q15" s="217" t="n">
        <f aca="false">COUNTIF($F$7:$F$206,P15)</f>
        <v>0</v>
      </c>
      <c r="R15" s="217" t="n">
        <f aca="false">COUNTIFS($F$7:$F$206,P15,$L$7:$L$206,"ใช้แล้ว")</f>
        <v>0</v>
      </c>
      <c r="S15" s="217" t="n">
        <f aca="false">COUNTIFS($F$7:$F$206,P15,$L$7:$L$206,"เสนอ")+COUNTIFS($F$7:$F$206,P15,$L$7:$L$206,"กำลังทำ")</f>
        <v>0</v>
      </c>
    </row>
    <row r="16" customFormat="false" ht="15" hidden="false" customHeight="false" outlineLevel="0" collapsed="false">
      <c r="A16" s="131" t="str">
        <f aca="false">IF(B16="","","LL-"&amp;TEXT(ROW()-6,"000"))</f>
        <v/>
      </c>
      <c r="B16" s="207"/>
      <c r="C16" s="60"/>
      <c r="D16" s="204" t="str">
        <f aca="false">IF(LEFT(C16,4)="ผรม.",TRIM(MID(C16,5,5)),IFERROR(INDEX('Master Plan'!$L$8:$L$27,MATCH(C16,'Master Plan'!$A$8:$A$27,0)),""))</f>
        <v/>
      </c>
      <c r="E16" s="60"/>
      <c r="F16" s="114"/>
      <c r="G16" s="60"/>
      <c r="H16" s="60"/>
      <c r="I16" s="60"/>
      <c r="J16" s="60"/>
      <c r="K16" s="60"/>
      <c r="L16" s="114"/>
      <c r="M16" s="60"/>
      <c r="N16" s="60"/>
    </row>
    <row r="17" customFormat="false" ht="15" hidden="false" customHeight="false" outlineLevel="0" collapsed="false">
      <c r="A17" s="131" t="str">
        <f aca="false">IF(B17="","","LL-"&amp;TEXT(ROW()-6,"000"))</f>
        <v/>
      </c>
      <c r="B17" s="207"/>
      <c r="C17" s="60"/>
      <c r="D17" s="204" t="str">
        <f aca="false">IF(LEFT(C17,4)="ผรม.",TRIM(MID(C17,5,5)),IFERROR(INDEX('Master Plan'!$L$8:$L$27,MATCH(C17,'Master Plan'!$A$8:$A$27,0)),""))</f>
        <v/>
      </c>
      <c r="E17" s="60"/>
      <c r="F17" s="114"/>
      <c r="G17" s="60"/>
      <c r="H17" s="60"/>
      <c r="I17" s="60"/>
      <c r="J17" s="60"/>
      <c r="K17" s="60"/>
      <c r="L17" s="114"/>
      <c r="M17" s="60"/>
      <c r="N17" s="60"/>
    </row>
    <row r="18" customFormat="false" ht="15" hidden="false" customHeight="false" outlineLevel="0" collapsed="false">
      <c r="A18" s="131" t="str">
        <f aca="false">IF(B18="","","LL-"&amp;TEXT(ROW()-6,"000"))</f>
        <v/>
      </c>
      <c r="B18" s="207"/>
      <c r="C18" s="60"/>
      <c r="D18" s="204" t="str">
        <f aca="false">IF(LEFT(C18,4)="ผรม.",TRIM(MID(C18,5,5)),IFERROR(INDEX('Master Plan'!$L$8:$L$27,MATCH(C18,'Master Plan'!$A$8:$A$27,0)),""))</f>
        <v/>
      </c>
      <c r="E18" s="60"/>
      <c r="F18" s="114"/>
      <c r="G18" s="60"/>
      <c r="H18" s="60"/>
      <c r="I18" s="60"/>
      <c r="J18" s="60"/>
      <c r="K18" s="60"/>
      <c r="L18" s="114"/>
      <c r="M18" s="60"/>
      <c r="N18" s="60"/>
    </row>
    <row r="19" customFormat="false" ht="15" hidden="false" customHeight="false" outlineLevel="0" collapsed="false">
      <c r="A19" s="131" t="str">
        <f aca="false">IF(B19="","","LL-"&amp;TEXT(ROW()-6,"000"))</f>
        <v/>
      </c>
      <c r="B19" s="207"/>
      <c r="C19" s="60"/>
      <c r="D19" s="204" t="str">
        <f aca="false">IF(LEFT(C19,4)="ผรม.",TRIM(MID(C19,5,5)),IFERROR(INDEX('Master Plan'!$L$8:$L$27,MATCH(C19,'Master Plan'!$A$8:$A$27,0)),""))</f>
        <v/>
      </c>
      <c r="E19" s="60"/>
      <c r="F19" s="114"/>
      <c r="G19" s="60"/>
      <c r="H19" s="60"/>
      <c r="I19" s="60"/>
      <c r="J19" s="60"/>
      <c r="K19" s="60"/>
      <c r="L19" s="114"/>
      <c r="M19" s="60"/>
      <c r="N19" s="60"/>
    </row>
    <row r="20" customFormat="false" ht="15" hidden="false" customHeight="false" outlineLevel="0" collapsed="false">
      <c r="A20" s="131" t="str">
        <f aca="false">IF(B20="","","LL-"&amp;TEXT(ROW()-6,"000"))</f>
        <v/>
      </c>
      <c r="B20" s="207"/>
      <c r="C20" s="60"/>
      <c r="D20" s="204" t="str">
        <f aca="false">IF(LEFT(C20,4)="ผรม.",TRIM(MID(C20,5,5)),IFERROR(INDEX('Master Plan'!$L$8:$L$27,MATCH(C20,'Master Plan'!$A$8:$A$27,0)),""))</f>
        <v/>
      </c>
      <c r="E20" s="60"/>
      <c r="F20" s="114"/>
      <c r="G20" s="60"/>
      <c r="H20" s="60"/>
      <c r="I20" s="60"/>
      <c r="J20" s="60"/>
      <c r="K20" s="60"/>
      <c r="L20" s="114"/>
      <c r="M20" s="60"/>
      <c r="N20" s="60"/>
    </row>
    <row r="21" customFormat="false" ht="15" hidden="false" customHeight="false" outlineLevel="0" collapsed="false">
      <c r="A21" s="131" t="str">
        <f aca="false">IF(B21="","","LL-"&amp;TEXT(ROW()-6,"000"))</f>
        <v/>
      </c>
      <c r="B21" s="207"/>
      <c r="C21" s="60"/>
      <c r="D21" s="204" t="str">
        <f aca="false">IF(LEFT(C21,4)="ผรม.",TRIM(MID(C21,5,5)),IFERROR(INDEX('Master Plan'!$L$8:$L$27,MATCH(C21,'Master Plan'!$A$8:$A$27,0)),""))</f>
        <v/>
      </c>
      <c r="E21" s="60"/>
      <c r="F21" s="114"/>
      <c r="G21" s="60"/>
      <c r="H21" s="60"/>
      <c r="I21" s="60"/>
      <c r="J21" s="60"/>
      <c r="K21" s="60"/>
      <c r="L21" s="114"/>
      <c r="M21" s="60"/>
      <c r="N21" s="60"/>
    </row>
    <row r="22" customFormat="false" ht="15" hidden="false" customHeight="false" outlineLevel="0" collapsed="false">
      <c r="A22" s="131" t="str">
        <f aca="false">IF(B22="","","LL-"&amp;TEXT(ROW()-6,"000"))</f>
        <v/>
      </c>
      <c r="B22" s="207"/>
      <c r="C22" s="60"/>
      <c r="D22" s="204" t="str">
        <f aca="false">IF(LEFT(C22,4)="ผรม.",TRIM(MID(C22,5,5)),IFERROR(INDEX('Master Plan'!$L$8:$L$27,MATCH(C22,'Master Plan'!$A$8:$A$27,0)),""))</f>
        <v/>
      </c>
      <c r="E22" s="60"/>
      <c r="F22" s="114"/>
      <c r="G22" s="60"/>
      <c r="H22" s="60"/>
      <c r="I22" s="60"/>
      <c r="J22" s="60"/>
      <c r="K22" s="60"/>
      <c r="L22" s="114"/>
      <c r="M22" s="60"/>
      <c r="N22" s="60"/>
    </row>
    <row r="23" customFormat="false" ht="15" hidden="false" customHeight="false" outlineLevel="0" collapsed="false">
      <c r="A23" s="131" t="str">
        <f aca="false">IF(B23="","","LL-"&amp;TEXT(ROW()-6,"000"))</f>
        <v/>
      </c>
      <c r="B23" s="207"/>
      <c r="C23" s="60"/>
      <c r="D23" s="204" t="str">
        <f aca="false">IF(LEFT(C23,4)="ผรม.",TRIM(MID(C23,5,5)),IFERROR(INDEX('Master Plan'!$L$8:$L$27,MATCH(C23,'Master Plan'!$A$8:$A$27,0)),""))</f>
        <v/>
      </c>
      <c r="E23" s="60"/>
      <c r="F23" s="114"/>
      <c r="G23" s="60"/>
      <c r="H23" s="60"/>
      <c r="I23" s="60"/>
      <c r="J23" s="60"/>
      <c r="K23" s="60"/>
      <c r="L23" s="114"/>
      <c r="M23" s="60"/>
      <c r="N23" s="60"/>
    </row>
    <row r="24" customFormat="false" ht="15" hidden="false" customHeight="false" outlineLevel="0" collapsed="false">
      <c r="A24" s="131" t="str">
        <f aca="false">IF(B24="","","LL-"&amp;TEXT(ROW()-6,"000"))</f>
        <v/>
      </c>
      <c r="B24" s="207"/>
      <c r="C24" s="60"/>
      <c r="D24" s="204" t="str">
        <f aca="false">IF(LEFT(C24,4)="ผรม.",TRIM(MID(C24,5,5)),IFERROR(INDEX('Master Plan'!$L$8:$L$27,MATCH(C24,'Master Plan'!$A$8:$A$27,0)),""))</f>
        <v/>
      </c>
      <c r="E24" s="60"/>
      <c r="F24" s="114"/>
      <c r="G24" s="60"/>
      <c r="H24" s="60"/>
      <c r="I24" s="60"/>
      <c r="J24" s="60"/>
      <c r="K24" s="60"/>
      <c r="L24" s="114"/>
      <c r="M24" s="60"/>
      <c r="N24" s="60"/>
    </row>
    <row r="25" customFormat="false" ht="15" hidden="false" customHeight="false" outlineLevel="0" collapsed="false">
      <c r="A25" s="131" t="str">
        <f aca="false">IF(B25="","","LL-"&amp;TEXT(ROW()-6,"000"))</f>
        <v/>
      </c>
      <c r="B25" s="207"/>
      <c r="C25" s="60"/>
      <c r="D25" s="204" t="str">
        <f aca="false">IF(LEFT(C25,4)="ผรม.",TRIM(MID(C25,5,5)),IFERROR(INDEX('Master Plan'!$L$8:$L$27,MATCH(C25,'Master Plan'!$A$8:$A$27,0)),""))</f>
        <v/>
      </c>
      <c r="E25" s="60"/>
      <c r="F25" s="114"/>
      <c r="G25" s="60"/>
      <c r="H25" s="60"/>
      <c r="I25" s="60"/>
      <c r="J25" s="60"/>
      <c r="K25" s="60"/>
      <c r="L25" s="114"/>
      <c r="M25" s="60"/>
      <c r="N25" s="60"/>
    </row>
    <row r="26" customFormat="false" ht="15" hidden="false" customHeight="false" outlineLevel="0" collapsed="false">
      <c r="A26" s="131" t="str">
        <f aca="false">IF(B26="","","LL-"&amp;TEXT(ROW()-6,"000"))</f>
        <v/>
      </c>
      <c r="B26" s="207"/>
      <c r="C26" s="60"/>
      <c r="D26" s="204" t="str">
        <f aca="false">IF(LEFT(C26,4)="ผรม.",TRIM(MID(C26,5,5)),IFERROR(INDEX('Master Plan'!$L$8:$L$27,MATCH(C26,'Master Plan'!$A$8:$A$27,0)),""))</f>
        <v/>
      </c>
      <c r="E26" s="60"/>
      <c r="F26" s="114"/>
      <c r="G26" s="60"/>
      <c r="H26" s="60"/>
      <c r="I26" s="60"/>
      <c r="J26" s="60"/>
      <c r="K26" s="60"/>
      <c r="L26" s="114"/>
      <c r="M26" s="60"/>
      <c r="N26" s="60"/>
    </row>
    <row r="27" customFormat="false" ht="15" hidden="false" customHeight="false" outlineLevel="0" collapsed="false">
      <c r="A27" s="131" t="str">
        <f aca="false">IF(B27="","","LL-"&amp;TEXT(ROW()-6,"000"))</f>
        <v/>
      </c>
      <c r="B27" s="207"/>
      <c r="C27" s="60"/>
      <c r="D27" s="204" t="str">
        <f aca="false">IF(LEFT(C27,4)="ผรม.",TRIM(MID(C27,5,5)),IFERROR(INDEX('Master Plan'!$L$8:$L$27,MATCH(C27,'Master Plan'!$A$8:$A$27,0)),""))</f>
        <v/>
      </c>
      <c r="E27" s="60"/>
      <c r="F27" s="114"/>
      <c r="G27" s="60"/>
      <c r="H27" s="60"/>
      <c r="I27" s="60"/>
      <c r="J27" s="60"/>
      <c r="K27" s="60"/>
      <c r="L27" s="114"/>
      <c r="M27" s="60"/>
      <c r="N27" s="60"/>
    </row>
    <row r="28" customFormat="false" ht="15" hidden="false" customHeight="false" outlineLevel="0" collapsed="false">
      <c r="A28" s="131" t="str">
        <f aca="false">IF(B28="","","LL-"&amp;TEXT(ROW()-6,"000"))</f>
        <v/>
      </c>
      <c r="B28" s="207"/>
      <c r="C28" s="60"/>
      <c r="D28" s="204" t="str">
        <f aca="false">IF(LEFT(C28,4)="ผรม.",TRIM(MID(C28,5,5)),IFERROR(INDEX('Master Plan'!$L$8:$L$27,MATCH(C28,'Master Plan'!$A$8:$A$27,0)),""))</f>
        <v/>
      </c>
      <c r="E28" s="60"/>
      <c r="F28" s="114"/>
      <c r="G28" s="60"/>
      <c r="H28" s="60"/>
      <c r="I28" s="60"/>
      <c r="J28" s="60"/>
      <c r="K28" s="60"/>
      <c r="L28" s="114"/>
      <c r="M28" s="60"/>
      <c r="N28" s="60"/>
    </row>
    <row r="29" customFormat="false" ht="15" hidden="false" customHeight="false" outlineLevel="0" collapsed="false">
      <c r="A29" s="131" t="str">
        <f aca="false">IF(B29="","","LL-"&amp;TEXT(ROW()-6,"000"))</f>
        <v/>
      </c>
      <c r="B29" s="207"/>
      <c r="C29" s="60"/>
      <c r="D29" s="204" t="str">
        <f aca="false">IF(LEFT(C29,4)="ผรม.",TRIM(MID(C29,5,5)),IFERROR(INDEX('Master Plan'!$L$8:$L$27,MATCH(C29,'Master Plan'!$A$8:$A$27,0)),""))</f>
        <v/>
      </c>
      <c r="E29" s="60"/>
      <c r="F29" s="114"/>
      <c r="G29" s="60"/>
      <c r="H29" s="60"/>
      <c r="I29" s="60"/>
      <c r="J29" s="60"/>
      <c r="K29" s="60"/>
      <c r="L29" s="114"/>
      <c r="M29" s="60"/>
      <c r="N29" s="60"/>
    </row>
    <row r="30" customFormat="false" ht="15" hidden="false" customHeight="false" outlineLevel="0" collapsed="false">
      <c r="A30" s="131" t="str">
        <f aca="false">IF(B30="","","LL-"&amp;TEXT(ROW()-6,"000"))</f>
        <v/>
      </c>
      <c r="B30" s="207"/>
      <c r="C30" s="60"/>
      <c r="D30" s="204" t="str">
        <f aca="false">IF(LEFT(C30,4)="ผรม.",TRIM(MID(C30,5,5)),IFERROR(INDEX('Master Plan'!$L$8:$L$27,MATCH(C30,'Master Plan'!$A$8:$A$27,0)),""))</f>
        <v/>
      </c>
      <c r="E30" s="60"/>
      <c r="F30" s="114"/>
      <c r="G30" s="60"/>
      <c r="H30" s="60"/>
      <c r="I30" s="60"/>
      <c r="J30" s="60"/>
      <c r="K30" s="60"/>
      <c r="L30" s="114"/>
      <c r="M30" s="60"/>
      <c r="N30" s="60"/>
    </row>
    <row r="31" customFormat="false" ht="15" hidden="false" customHeight="false" outlineLevel="0" collapsed="false">
      <c r="A31" s="131" t="str">
        <f aca="false">IF(B31="","","LL-"&amp;TEXT(ROW()-6,"000"))</f>
        <v/>
      </c>
      <c r="B31" s="207"/>
      <c r="C31" s="60"/>
      <c r="D31" s="204" t="str">
        <f aca="false">IF(LEFT(C31,4)="ผรม.",TRIM(MID(C31,5,5)),IFERROR(INDEX('Master Plan'!$L$8:$L$27,MATCH(C31,'Master Plan'!$A$8:$A$27,0)),""))</f>
        <v/>
      </c>
      <c r="E31" s="60"/>
      <c r="F31" s="114"/>
      <c r="G31" s="60"/>
      <c r="H31" s="60"/>
      <c r="I31" s="60"/>
      <c r="J31" s="60"/>
      <c r="K31" s="60"/>
      <c r="L31" s="114"/>
      <c r="M31" s="60"/>
      <c r="N31" s="60"/>
    </row>
    <row r="32" customFormat="false" ht="15" hidden="false" customHeight="false" outlineLevel="0" collapsed="false">
      <c r="A32" s="131" t="str">
        <f aca="false">IF(B32="","","LL-"&amp;TEXT(ROW()-6,"000"))</f>
        <v/>
      </c>
      <c r="B32" s="207"/>
      <c r="C32" s="60"/>
      <c r="D32" s="204" t="str">
        <f aca="false">IF(LEFT(C32,4)="ผรม.",TRIM(MID(C32,5,5)),IFERROR(INDEX('Master Plan'!$L$8:$L$27,MATCH(C32,'Master Plan'!$A$8:$A$27,0)),""))</f>
        <v/>
      </c>
      <c r="E32" s="60"/>
      <c r="F32" s="114"/>
      <c r="G32" s="60"/>
      <c r="H32" s="60"/>
      <c r="I32" s="60"/>
      <c r="J32" s="60"/>
      <c r="K32" s="60"/>
      <c r="L32" s="114"/>
      <c r="M32" s="60"/>
      <c r="N32" s="60"/>
    </row>
    <row r="33" customFormat="false" ht="15" hidden="false" customHeight="false" outlineLevel="0" collapsed="false">
      <c r="A33" s="131" t="str">
        <f aca="false">IF(B33="","","LL-"&amp;TEXT(ROW()-6,"000"))</f>
        <v/>
      </c>
      <c r="B33" s="207"/>
      <c r="C33" s="60"/>
      <c r="D33" s="204" t="str">
        <f aca="false">IF(LEFT(C33,4)="ผรม.",TRIM(MID(C33,5,5)),IFERROR(INDEX('Master Plan'!$L$8:$L$27,MATCH(C33,'Master Plan'!$A$8:$A$27,0)),""))</f>
        <v/>
      </c>
      <c r="E33" s="60"/>
      <c r="F33" s="114"/>
      <c r="G33" s="60"/>
      <c r="H33" s="60"/>
      <c r="I33" s="60"/>
      <c r="J33" s="60"/>
      <c r="K33" s="60"/>
      <c r="L33" s="114"/>
      <c r="M33" s="60"/>
      <c r="N33" s="60"/>
    </row>
    <row r="34" customFormat="false" ht="15" hidden="false" customHeight="false" outlineLevel="0" collapsed="false">
      <c r="A34" s="131" t="str">
        <f aca="false">IF(B34="","","LL-"&amp;TEXT(ROW()-6,"000"))</f>
        <v/>
      </c>
      <c r="B34" s="207"/>
      <c r="C34" s="60"/>
      <c r="D34" s="204" t="str">
        <f aca="false">IF(LEFT(C34,4)="ผรม.",TRIM(MID(C34,5,5)),IFERROR(INDEX('Master Plan'!$L$8:$L$27,MATCH(C34,'Master Plan'!$A$8:$A$27,0)),""))</f>
        <v/>
      </c>
      <c r="E34" s="60"/>
      <c r="F34" s="114"/>
      <c r="G34" s="60"/>
      <c r="H34" s="60"/>
      <c r="I34" s="60"/>
      <c r="J34" s="60"/>
      <c r="K34" s="60"/>
      <c r="L34" s="114"/>
      <c r="M34" s="60"/>
      <c r="N34" s="60"/>
    </row>
    <row r="35" customFormat="false" ht="15" hidden="false" customHeight="false" outlineLevel="0" collapsed="false">
      <c r="A35" s="131" t="str">
        <f aca="false">IF(B35="","","LL-"&amp;TEXT(ROW()-6,"000"))</f>
        <v/>
      </c>
      <c r="B35" s="207"/>
      <c r="C35" s="60"/>
      <c r="D35" s="204" t="str">
        <f aca="false">IF(LEFT(C35,4)="ผรม.",TRIM(MID(C35,5,5)),IFERROR(INDEX('Master Plan'!$L$8:$L$27,MATCH(C35,'Master Plan'!$A$8:$A$27,0)),""))</f>
        <v/>
      </c>
      <c r="E35" s="60"/>
      <c r="F35" s="114"/>
      <c r="G35" s="60"/>
      <c r="H35" s="60"/>
      <c r="I35" s="60"/>
      <c r="J35" s="60"/>
      <c r="K35" s="60"/>
      <c r="L35" s="114"/>
      <c r="M35" s="60"/>
      <c r="N35" s="60"/>
    </row>
    <row r="36" customFormat="false" ht="15" hidden="false" customHeight="false" outlineLevel="0" collapsed="false">
      <c r="A36" s="131" t="str">
        <f aca="false">IF(B36="","","LL-"&amp;TEXT(ROW()-6,"000"))</f>
        <v/>
      </c>
      <c r="B36" s="207"/>
      <c r="C36" s="60"/>
      <c r="D36" s="204" t="str">
        <f aca="false">IF(LEFT(C36,4)="ผรม.",TRIM(MID(C36,5,5)),IFERROR(INDEX('Master Plan'!$L$8:$L$27,MATCH(C36,'Master Plan'!$A$8:$A$27,0)),""))</f>
        <v/>
      </c>
      <c r="E36" s="60"/>
      <c r="F36" s="114"/>
      <c r="G36" s="60"/>
      <c r="H36" s="60"/>
      <c r="I36" s="60"/>
      <c r="J36" s="60"/>
      <c r="K36" s="60"/>
      <c r="L36" s="114"/>
      <c r="M36" s="60"/>
      <c r="N36" s="60"/>
    </row>
    <row r="37" customFormat="false" ht="15" hidden="false" customHeight="false" outlineLevel="0" collapsed="false">
      <c r="A37" s="131" t="str">
        <f aca="false">IF(B37="","","LL-"&amp;TEXT(ROW()-6,"000"))</f>
        <v/>
      </c>
      <c r="B37" s="207"/>
      <c r="C37" s="60"/>
      <c r="D37" s="204" t="str">
        <f aca="false">IF(LEFT(C37,4)="ผรม.",TRIM(MID(C37,5,5)),IFERROR(INDEX('Master Plan'!$L$8:$L$27,MATCH(C37,'Master Plan'!$A$8:$A$27,0)),""))</f>
        <v/>
      </c>
      <c r="E37" s="60"/>
      <c r="F37" s="114"/>
      <c r="G37" s="60"/>
      <c r="H37" s="60"/>
      <c r="I37" s="60"/>
      <c r="J37" s="60"/>
      <c r="K37" s="60"/>
      <c r="L37" s="114"/>
      <c r="M37" s="60"/>
      <c r="N37" s="60"/>
    </row>
    <row r="38" customFormat="false" ht="15" hidden="false" customHeight="false" outlineLevel="0" collapsed="false">
      <c r="A38" s="131" t="str">
        <f aca="false">IF(B38="","","LL-"&amp;TEXT(ROW()-6,"000"))</f>
        <v/>
      </c>
      <c r="B38" s="207"/>
      <c r="C38" s="60"/>
      <c r="D38" s="204" t="str">
        <f aca="false">IF(LEFT(C38,4)="ผรม.",TRIM(MID(C38,5,5)),IFERROR(INDEX('Master Plan'!$L$8:$L$27,MATCH(C38,'Master Plan'!$A$8:$A$27,0)),""))</f>
        <v/>
      </c>
      <c r="E38" s="60"/>
      <c r="F38" s="114"/>
      <c r="G38" s="60"/>
      <c r="H38" s="60"/>
      <c r="I38" s="60"/>
      <c r="J38" s="60"/>
      <c r="K38" s="60"/>
      <c r="L38" s="114"/>
      <c r="M38" s="60"/>
      <c r="N38" s="60"/>
    </row>
    <row r="39" customFormat="false" ht="15" hidden="false" customHeight="false" outlineLevel="0" collapsed="false">
      <c r="A39" s="131" t="str">
        <f aca="false">IF(B39="","","LL-"&amp;TEXT(ROW()-6,"000"))</f>
        <v/>
      </c>
      <c r="B39" s="207"/>
      <c r="C39" s="60"/>
      <c r="D39" s="204" t="str">
        <f aca="false">IF(LEFT(C39,4)="ผรม.",TRIM(MID(C39,5,5)),IFERROR(INDEX('Master Plan'!$L$8:$L$27,MATCH(C39,'Master Plan'!$A$8:$A$27,0)),""))</f>
        <v/>
      </c>
      <c r="E39" s="60"/>
      <c r="F39" s="114"/>
      <c r="G39" s="60"/>
      <c r="H39" s="60"/>
      <c r="I39" s="60"/>
      <c r="J39" s="60"/>
      <c r="K39" s="60"/>
      <c r="L39" s="114"/>
      <c r="M39" s="60"/>
      <c r="N39" s="60"/>
    </row>
    <row r="40" customFormat="false" ht="15" hidden="false" customHeight="false" outlineLevel="0" collapsed="false">
      <c r="A40" s="131" t="str">
        <f aca="false">IF(B40="","","LL-"&amp;TEXT(ROW()-6,"000"))</f>
        <v/>
      </c>
      <c r="B40" s="207"/>
      <c r="C40" s="60"/>
      <c r="D40" s="204" t="str">
        <f aca="false">IF(LEFT(C40,4)="ผรม.",TRIM(MID(C40,5,5)),IFERROR(INDEX('Master Plan'!$L$8:$L$27,MATCH(C40,'Master Plan'!$A$8:$A$27,0)),""))</f>
        <v/>
      </c>
      <c r="E40" s="60"/>
      <c r="F40" s="114"/>
      <c r="G40" s="60"/>
      <c r="H40" s="60"/>
      <c r="I40" s="60"/>
      <c r="J40" s="60"/>
      <c r="K40" s="60"/>
      <c r="L40" s="114"/>
      <c r="M40" s="60"/>
      <c r="N40" s="60"/>
    </row>
    <row r="41" customFormat="false" ht="15" hidden="false" customHeight="false" outlineLevel="0" collapsed="false">
      <c r="A41" s="131" t="str">
        <f aca="false">IF(B41="","","LL-"&amp;TEXT(ROW()-6,"000"))</f>
        <v/>
      </c>
      <c r="B41" s="207"/>
      <c r="C41" s="60"/>
      <c r="D41" s="204" t="str">
        <f aca="false">IF(LEFT(C41,4)="ผรม.",TRIM(MID(C41,5,5)),IFERROR(INDEX('Master Plan'!$L$8:$L$27,MATCH(C41,'Master Plan'!$A$8:$A$27,0)),""))</f>
        <v/>
      </c>
      <c r="E41" s="60"/>
      <c r="F41" s="114"/>
      <c r="G41" s="60"/>
      <c r="H41" s="60"/>
      <c r="I41" s="60"/>
      <c r="J41" s="60"/>
      <c r="K41" s="60"/>
      <c r="L41" s="114"/>
      <c r="M41" s="60"/>
      <c r="N41" s="60"/>
    </row>
    <row r="42" customFormat="false" ht="15" hidden="false" customHeight="false" outlineLevel="0" collapsed="false">
      <c r="A42" s="131" t="str">
        <f aca="false">IF(B42="","","LL-"&amp;TEXT(ROW()-6,"000"))</f>
        <v/>
      </c>
      <c r="B42" s="207"/>
      <c r="C42" s="60"/>
      <c r="D42" s="204" t="str">
        <f aca="false">IF(LEFT(C42,4)="ผรม.",TRIM(MID(C42,5,5)),IFERROR(INDEX('Master Plan'!$L$8:$L$27,MATCH(C42,'Master Plan'!$A$8:$A$27,0)),""))</f>
        <v/>
      </c>
      <c r="E42" s="60"/>
      <c r="F42" s="114"/>
      <c r="G42" s="60"/>
      <c r="H42" s="60"/>
      <c r="I42" s="60"/>
      <c r="J42" s="60"/>
      <c r="K42" s="60"/>
      <c r="L42" s="114"/>
      <c r="M42" s="60"/>
      <c r="N42" s="60"/>
    </row>
    <row r="43" customFormat="false" ht="15" hidden="false" customHeight="false" outlineLevel="0" collapsed="false">
      <c r="A43" s="131" t="str">
        <f aca="false">IF(B43="","","LL-"&amp;TEXT(ROW()-6,"000"))</f>
        <v/>
      </c>
      <c r="B43" s="207"/>
      <c r="C43" s="60"/>
      <c r="D43" s="204" t="str">
        <f aca="false">IF(LEFT(C43,4)="ผรม.",TRIM(MID(C43,5,5)),IFERROR(INDEX('Master Plan'!$L$8:$L$27,MATCH(C43,'Master Plan'!$A$8:$A$27,0)),""))</f>
        <v/>
      </c>
      <c r="E43" s="60"/>
      <c r="F43" s="114"/>
      <c r="G43" s="60"/>
      <c r="H43" s="60"/>
      <c r="I43" s="60"/>
      <c r="J43" s="60"/>
      <c r="K43" s="60"/>
      <c r="L43" s="114"/>
      <c r="M43" s="60"/>
      <c r="N43" s="60"/>
    </row>
    <row r="44" customFormat="false" ht="15" hidden="false" customHeight="false" outlineLevel="0" collapsed="false">
      <c r="A44" s="131" t="str">
        <f aca="false">IF(B44="","","LL-"&amp;TEXT(ROW()-6,"000"))</f>
        <v/>
      </c>
      <c r="B44" s="207"/>
      <c r="C44" s="60"/>
      <c r="D44" s="204" t="str">
        <f aca="false">IF(LEFT(C44,4)="ผรม.",TRIM(MID(C44,5,5)),IFERROR(INDEX('Master Plan'!$L$8:$L$27,MATCH(C44,'Master Plan'!$A$8:$A$27,0)),""))</f>
        <v/>
      </c>
      <c r="E44" s="60"/>
      <c r="F44" s="114"/>
      <c r="G44" s="60"/>
      <c r="H44" s="60"/>
      <c r="I44" s="60"/>
      <c r="J44" s="60"/>
      <c r="K44" s="60"/>
      <c r="L44" s="114"/>
      <c r="M44" s="60"/>
      <c r="N44" s="60"/>
    </row>
    <row r="45" customFormat="false" ht="15" hidden="false" customHeight="false" outlineLevel="0" collapsed="false">
      <c r="A45" s="131" t="str">
        <f aca="false">IF(B45="","","LL-"&amp;TEXT(ROW()-6,"000"))</f>
        <v/>
      </c>
      <c r="B45" s="207"/>
      <c r="C45" s="60"/>
      <c r="D45" s="204" t="str">
        <f aca="false">IF(LEFT(C45,4)="ผรม.",TRIM(MID(C45,5,5)),IFERROR(INDEX('Master Plan'!$L$8:$L$27,MATCH(C45,'Master Plan'!$A$8:$A$27,0)),""))</f>
        <v/>
      </c>
      <c r="E45" s="60"/>
      <c r="F45" s="114"/>
      <c r="G45" s="60"/>
      <c r="H45" s="60"/>
      <c r="I45" s="60"/>
      <c r="J45" s="60"/>
      <c r="K45" s="60"/>
      <c r="L45" s="114"/>
      <c r="M45" s="60"/>
      <c r="N45" s="60"/>
    </row>
    <row r="46" customFormat="false" ht="15" hidden="false" customHeight="false" outlineLevel="0" collapsed="false">
      <c r="A46" s="131" t="str">
        <f aca="false">IF(B46="","","LL-"&amp;TEXT(ROW()-6,"000"))</f>
        <v/>
      </c>
      <c r="B46" s="207"/>
      <c r="C46" s="60"/>
      <c r="D46" s="204" t="str">
        <f aca="false">IF(LEFT(C46,4)="ผรม.",TRIM(MID(C46,5,5)),IFERROR(INDEX('Master Plan'!$L$8:$L$27,MATCH(C46,'Master Plan'!$A$8:$A$27,0)),""))</f>
        <v/>
      </c>
      <c r="E46" s="60"/>
      <c r="F46" s="114"/>
      <c r="G46" s="60"/>
      <c r="H46" s="60"/>
      <c r="I46" s="60"/>
      <c r="J46" s="60"/>
      <c r="K46" s="60"/>
      <c r="L46" s="114"/>
      <c r="M46" s="60"/>
      <c r="N46" s="60"/>
    </row>
    <row r="47" customFormat="false" ht="15" hidden="false" customHeight="false" outlineLevel="0" collapsed="false">
      <c r="A47" s="131" t="str">
        <f aca="false">IF(B47="","","LL-"&amp;TEXT(ROW()-6,"000"))</f>
        <v/>
      </c>
      <c r="B47" s="207"/>
      <c r="C47" s="60"/>
      <c r="D47" s="204" t="str">
        <f aca="false">IF(LEFT(C47,4)="ผรม.",TRIM(MID(C47,5,5)),IFERROR(INDEX('Master Plan'!$L$8:$L$27,MATCH(C47,'Master Plan'!$A$8:$A$27,0)),""))</f>
        <v/>
      </c>
      <c r="E47" s="60"/>
      <c r="F47" s="114"/>
      <c r="G47" s="60"/>
      <c r="H47" s="60"/>
      <c r="I47" s="60"/>
      <c r="J47" s="60"/>
      <c r="K47" s="60"/>
      <c r="L47" s="114"/>
      <c r="M47" s="60"/>
      <c r="N47" s="60"/>
    </row>
    <row r="48" customFormat="false" ht="15" hidden="false" customHeight="false" outlineLevel="0" collapsed="false">
      <c r="A48" s="131" t="str">
        <f aca="false">IF(B48="","","LL-"&amp;TEXT(ROW()-6,"000"))</f>
        <v/>
      </c>
      <c r="B48" s="207"/>
      <c r="C48" s="60"/>
      <c r="D48" s="204" t="str">
        <f aca="false">IF(LEFT(C48,4)="ผรม.",TRIM(MID(C48,5,5)),IFERROR(INDEX('Master Plan'!$L$8:$L$27,MATCH(C48,'Master Plan'!$A$8:$A$27,0)),""))</f>
        <v/>
      </c>
      <c r="E48" s="60"/>
      <c r="F48" s="114"/>
      <c r="G48" s="60"/>
      <c r="H48" s="60"/>
      <c r="I48" s="60"/>
      <c r="J48" s="60"/>
      <c r="K48" s="60"/>
      <c r="L48" s="114"/>
      <c r="M48" s="60"/>
      <c r="N48" s="60"/>
    </row>
    <row r="49" customFormat="false" ht="15" hidden="false" customHeight="false" outlineLevel="0" collapsed="false">
      <c r="A49" s="131" t="str">
        <f aca="false">IF(B49="","","LL-"&amp;TEXT(ROW()-6,"000"))</f>
        <v/>
      </c>
      <c r="B49" s="207"/>
      <c r="C49" s="60"/>
      <c r="D49" s="204" t="str">
        <f aca="false">IF(LEFT(C49,4)="ผรม.",TRIM(MID(C49,5,5)),IFERROR(INDEX('Master Plan'!$L$8:$L$27,MATCH(C49,'Master Plan'!$A$8:$A$27,0)),""))</f>
        <v/>
      </c>
      <c r="E49" s="60"/>
      <c r="F49" s="114"/>
      <c r="G49" s="60"/>
      <c r="H49" s="60"/>
      <c r="I49" s="60"/>
      <c r="J49" s="60"/>
      <c r="K49" s="60"/>
      <c r="L49" s="114"/>
      <c r="M49" s="60"/>
      <c r="N49" s="60"/>
    </row>
    <row r="50" customFormat="false" ht="15" hidden="false" customHeight="false" outlineLevel="0" collapsed="false">
      <c r="A50" s="131" t="str">
        <f aca="false">IF(B50="","","LL-"&amp;TEXT(ROW()-6,"000"))</f>
        <v/>
      </c>
      <c r="B50" s="207"/>
      <c r="C50" s="60"/>
      <c r="D50" s="204" t="str">
        <f aca="false">IF(LEFT(C50,4)="ผรม.",TRIM(MID(C50,5,5)),IFERROR(INDEX('Master Plan'!$L$8:$L$27,MATCH(C50,'Master Plan'!$A$8:$A$27,0)),""))</f>
        <v/>
      </c>
      <c r="E50" s="60"/>
      <c r="F50" s="114"/>
      <c r="G50" s="60"/>
      <c r="H50" s="60"/>
      <c r="I50" s="60"/>
      <c r="J50" s="60"/>
      <c r="K50" s="60"/>
      <c r="L50" s="114"/>
      <c r="M50" s="60"/>
      <c r="N50" s="60"/>
    </row>
    <row r="51" customFormat="false" ht="15" hidden="false" customHeight="false" outlineLevel="0" collapsed="false">
      <c r="A51" s="131" t="str">
        <f aca="false">IF(B51="","","LL-"&amp;TEXT(ROW()-6,"000"))</f>
        <v/>
      </c>
      <c r="B51" s="207"/>
      <c r="C51" s="60"/>
      <c r="D51" s="204" t="str">
        <f aca="false">IF(LEFT(C51,4)="ผรม.",TRIM(MID(C51,5,5)),IFERROR(INDEX('Master Plan'!$L$8:$L$27,MATCH(C51,'Master Plan'!$A$8:$A$27,0)),""))</f>
        <v/>
      </c>
      <c r="E51" s="60"/>
      <c r="F51" s="114"/>
      <c r="G51" s="60"/>
      <c r="H51" s="60"/>
      <c r="I51" s="60"/>
      <c r="J51" s="60"/>
      <c r="K51" s="60"/>
      <c r="L51" s="114"/>
      <c r="M51" s="60"/>
      <c r="N51" s="60"/>
    </row>
    <row r="52" customFormat="false" ht="15" hidden="false" customHeight="false" outlineLevel="0" collapsed="false">
      <c r="A52" s="131" t="str">
        <f aca="false">IF(B52="","","LL-"&amp;TEXT(ROW()-6,"000"))</f>
        <v/>
      </c>
      <c r="B52" s="207"/>
      <c r="C52" s="60"/>
      <c r="D52" s="204" t="str">
        <f aca="false">IF(LEFT(C52,4)="ผรม.",TRIM(MID(C52,5,5)),IFERROR(INDEX('Master Plan'!$L$8:$L$27,MATCH(C52,'Master Plan'!$A$8:$A$27,0)),""))</f>
        <v/>
      </c>
      <c r="E52" s="60"/>
      <c r="F52" s="114"/>
      <c r="G52" s="60"/>
      <c r="H52" s="60"/>
      <c r="I52" s="60"/>
      <c r="J52" s="60"/>
      <c r="K52" s="60"/>
      <c r="L52" s="114"/>
      <c r="M52" s="60"/>
      <c r="N52" s="60"/>
    </row>
    <row r="53" customFormat="false" ht="15" hidden="false" customHeight="false" outlineLevel="0" collapsed="false">
      <c r="A53" s="131" t="str">
        <f aca="false">IF(B53="","","LL-"&amp;TEXT(ROW()-6,"000"))</f>
        <v/>
      </c>
      <c r="B53" s="207"/>
      <c r="C53" s="60"/>
      <c r="D53" s="204" t="str">
        <f aca="false">IF(LEFT(C53,4)="ผรม.",TRIM(MID(C53,5,5)),IFERROR(INDEX('Master Plan'!$L$8:$L$27,MATCH(C53,'Master Plan'!$A$8:$A$27,0)),""))</f>
        <v/>
      </c>
      <c r="E53" s="60"/>
      <c r="F53" s="114"/>
      <c r="G53" s="60"/>
      <c r="H53" s="60"/>
      <c r="I53" s="60"/>
      <c r="J53" s="60"/>
      <c r="K53" s="60"/>
      <c r="L53" s="114"/>
      <c r="M53" s="60"/>
      <c r="N53" s="60"/>
    </row>
    <row r="54" customFormat="false" ht="15" hidden="false" customHeight="false" outlineLevel="0" collapsed="false">
      <c r="A54" s="131" t="str">
        <f aca="false">IF(B54="","","LL-"&amp;TEXT(ROW()-6,"000"))</f>
        <v/>
      </c>
      <c r="B54" s="207"/>
      <c r="C54" s="60"/>
      <c r="D54" s="204" t="str">
        <f aca="false">IF(LEFT(C54,4)="ผรม.",TRIM(MID(C54,5,5)),IFERROR(INDEX('Master Plan'!$L$8:$L$27,MATCH(C54,'Master Plan'!$A$8:$A$27,0)),""))</f>
        <v/>
      </c>
      <c r="E54" s="60"/>
      <c r="F54" s="114"/>
      <c r="G54" s="60"/>
      <c r="H54" s="60"/>
      <c r="I54" s="60"/>
      <c r="J54" s="60"/>
      <c r="K54" s="60"/>
      <c r="L54" s="114"/>
      <c r="M54" s="60"/>
      <c r="N54" s="60"/>
    </row>
    <row r="55" customFormat="false" ht="15" hidden="false" customHeight="false" outlineLevel="0" collapsed="false">
      <c r="A55" s="131" t="str">
        <f aca="false">IF(B55="","","LL-"&amp;TEXT(ROW()-6,"000"))</f>
        <v/>
      </c>
      <c r="B55" s="207"/>
      <c r="C55" s="60"/>
      <c r="D55" s="204" t="str">
        <f aca="false">IF(LEFT(C55,4)="ผรม.",TRIM(MID(C55,5,5)),IFERROR(INDEX('Master Plan'!$L$8:$L$27,MATCH(C55,'Master Plan'!$A$8:$A$27,0)),""))</f>
        <v/>
      </c>
      <c r="E55" s="60"/>
      <c r="F55" s="114"/>
      <c r="G55" s="60"/>
      <c r="H55" s="60"/>
      <c r="I55" s="60"/>
      <c r="J55" s="60"/>
      <c r="K55" s="60"/>
      <c r="L55" s="114"/>
      <c r="M55" s="60"/>
      <c r="N55" s="60"/>
    </row>
    <row r="56" customFormat="false" ht="15" hidden="false" customHeight="false" outlineLevel="0" collapsed="false">
      <c r="A56" s="131" t="str">
        <f aca="false">IF(B56="","","LL-"&amp;TEXT(ROW()-6,"000"))</f>
        <v/>
      </c>
      <c r="B56" s="207"/>
      <c r="C56" s="60"/>
      <c r="D56" s="204" t="str">
        <f aca="false">IF(LEFT(C56,4)="ผรม.",TRIM(MID(C56,5,5)),IFERROR(INDEX('Master Plan'!$L$8:$L$27,MATCH(C56,'Master Plan'!$A$8:$A$27,0)),""))</f>
        <v/>
      </c>
      <c r="E56" s="60"/>
      <c r="F56" s="114"/>
      <c r="G56" s="60"/>
      <c r="H56" s="60"/>
      <c r="I56" s="60"/>
      <c r="J56" s="60"/>
      <c r="K56" s="60"/>
      <c r="L56" s="114"/>
      <c r="M56" s="60"/>
      <c r="N56" s="60"/>
    </row>
    <row r="57" customFormat="false" ht="15" hidden="false" customHeight="false" outlineLevel="0" collapsed="false">
      <c r="A57" s="131" t="str">
        <f aca="false">IF(B57="","","LL-"&amp;TEXT(ROW()-6,"000"))</f>
        <v/>
      </c>
      <c r="B57" s="207"/>
      <c r="C57" s="60"/>
      <c r="D57" s="204" t="str">
        <f aca="false">IF(LEFT(C57,4)="ผรม.",TRIM(MID(C57,5,5)),IFERROR(INDEX('Master Plan'!$L$8:$L$27,MATCH(C57,'Master Plan'!$A$8:$A$27,0)),""))</f>
        <v/>
      </c>
      <c r="E57" s="60"/>
      <c r="F57" s="114"/>
      <c r="G57" s="60"/>
      <c r="H57" s="60"/>
      <c r="I57" s="60"/>
      <c r="J57" s="60"/>
      <c r="K57" s="60"/>
      <c r="L57" s="114"/>
      <c r="M57" s="60"/>
      <c r="N57" s="60"/>
    </row>
    <row r="58" customFormat="false" ht="15" hidden="false" customHeight="false" outlineLevel="0" collapsed="false">
      <c r="A58" s="131" t="str">
        <f aca="false">IF(B58="","","LL-"&amp;TEXT(ROW()-6,"000"))</f>
        <v/>
      </c>
      <c r="B58" s="207"/>
      <c r="C58" s="60"/>
      <c r="D58" s="204" t="str">
        <f aca="false">IF(LEFT(C58,4)="ผรม.",TRIM(MID(C58,5,5)),IFERROR(INDEX('Master Plan'!$L$8:$L$27,MATCH(C58,'Master Plan'!$A$8:$A$27,0)),""))</f>
        <v/>
      </c>
      <c r="E58" s="60"/>
      <c r="F58" s="114"/>
      <c r="G58" s="60"/>
      <c r="H58" s="60"/>
      <c r="I58" s="60"/>
      <c r="J58" s="60"/>
      <c r="K58" s="60"/>
      <c r="L58" s="114"/>
      <c r="M58" s="60"/>
      <c r="N58" s="60"/>
    </row>
    <row r="59" customFormat="false" ht="15" hidden="false" customHeight="false" outlineLevel="0" collapsed="false">
      <c r="A59" s="131" t="str">
        <f aca="false">IF(B59="","","LL-"&amp;TEXT(ROW()-6,"000"))</f>
        <v/>
      </c>
      <c r="B59" s="207"/>
      <c r="C59" s="60"/>
      <c r="D59" s="204" t="str">
        <f aca="false">IF(LEFT(C59,4)="ผรม.",TRIM(MID(C59,5,5)),IFERROR(INDEX('Master Plan'!$L$8:$L$27,MATCH(C59,'Master Plan'!$A$8:$A$27,0)),""))</f>
        <v/>
      </c>
      <c r="E59" s="60"/>
      <c r="F59" s="114"/>
      <c r="G59" s="60"/>
      <c r="H59" s="60"/>
      <c r="I59" s="60"/>
      <c r="J59" s="60"/>
      <c r="K59" s="60"/>
      <c r="L59" s="114"/>
      <c r="M59" s="60"/>
      <c r="N59" s="60"/>
    </row>
    <row r="60" customFormat="false" ht="15" hidden="false" customHeight="false" outlineLevel="0" collapsed="false">
      <c r="A60" s="131" t="str">
        <f aca="false">IF(B60="","","LL-"&amp;TEXT(ROW()-6,"000"))</f>
        <v/>
      </c>
      <c r="B60" s="207"/>
      <c r="C60" s="60"/>
      <c r="D60" s="204" t="str">
        <f aca="false">IF(LEFT(C60,4)="ผรม.",TRIM(MID(C60,5,5)),IFERROR(INDEX('Master Plan'!$L$8:$L$27,MATCH(C60,'Master Plan'!$A$8:$A$27,0)),""))</f>
        <v/>
      </c>
      <c r="E60" s="60"/>
      <c r="F60" s="114"/>
      <c r="G60" s="60"/>
      <c r="H60" s="60"/>
      <c r="I60" s="60"/>
      <c r="J60" s="60"/>
      <c r="K60" s="60"/>
      <c r="L60" s="114"/>
      <c r="M60" s="60"/>
      <c r="N60" s="60"/>
    </row>
    <row r="61" customFormat="false" ht="15" hidden="false" customHeight="false" outlineLevel="0" collapsed="false">
      <c r="A61" s="131" t="str">
        <f aca="false">IF(B61="","","LL-"&amp;TEXT(ROW()-6,"000"))</f>
        <v/>
      </c>
      <c r="B61" s="207"/>
      <c r="C61" s="60"/>
      <c r="D61" s="204" t="str">
        <f aca="false">IF(LEFT(C61,4)="ผรม.",TRIM(MID(C61,5,5)),IFERROR(INDEX('Master Plan'!$L$8:$L$27,MATCH(C61,'Master Plan'!$A$8:$A$27,0)),""))</f>
        <v/>
      </c>
      <c r="E61" s="60"/>
      <c r="F61" s="114"/>
      <c r="G61" s="60"/>
      <c r="H61" s="60"/>
      <c r="I61" s="60"/>
      <c r="J61" s="60"/>
      <c r="K61" s="60"/>
      <c r="L61" s="114"/>
      <c r="M61" s="60"/>
      <c r="N61" s="60"/>
    </row>
    <row r="62" customFormat="false" ht="15" hidden="false" customHeight="false" outlineLevel="0" collapsed="false">
      <c r="A62" s="131" t="str">
        <f aca="false">IF(B62="","","LL-"&amp;TEXT(ROW()-6,"000"))</f>
        <v/>
      </c>
      <c r="B62" s="207"/>
      <c r="C62" s="60"/>
      <c r="D62" s="204" t="str">
        <f aca="false">IF(LEFT(C62,4)="ผรม.",TRIM(MID(C62,5,5)),IFERROR(INDEX('Master Plan'!$L$8:$L$27,MATCH(C62,'Master Plan'!$A$8:$A$27,0)),""))</f>
        <v/>
      </c>
      <c r="E62" s="60"/>
      <c r="F62" s="114"/>
      <c r="G62" s="60"/>
      <c r="H62" s="60"/>
      <c r="I62" s="60"/>
      <c r="J62" s="60"/>
      <c r="K62" s="60"/>
      <c r="L62" s="114"/>
      <c r="M62" s="60"/>
      <c r="N62" s="60"/>
    </row>
    <row r="63" customFormat="false" ht="15" hidden="false" customHeight="false" outlineLevel="0" collapsed="false">
      <c r="A63" s="131" t="str">
        <f aca="false">IF(B63="","","LL-"&amp;TEXT(ROW()-6,"000"))</f>
        <v/>
      </c>
      <c r="B63" s="207"/>
      <c r="C63" s="60"/>
      <c r="D63" s="204" t="str">
        <f aca="false">IF(LEFT(C63,4)="ผรม.",TRIM(MID(C63,5,5)),IFERROR(INDEX('Master Plan'!$L$8:$L$27,MATCH(C63,'Master Plan'!$A$8:$A$27,0)),""))</f>
        <v/>
      </c>
      <c r="E63" s="60"/>
      <c r="F63" s="114"/>
      <c r="G63" s="60"/>
      <c r="H63" s="60"/>
      <c r="I63" s="60"/>
      <c r="J63" s="60"/>
      <c r="K63" s="60"/>
      <c r="L63" s="114"/>
      <c r="M63" s="60"/>
      <c r="N63" s="60"/>
    </row>
    <row r="64" customFormat="false" ht="15" hidden="false" customHeight="false" outlineLevel="0" collapsed="false">
      <c r="A64" s="131" t="str">
        <f aca="false">IF(B64="","","LL-"&amp;TEXT(ROW()-6,"000"))</f>
        <v/>
      </c>
      <c r="B64" s="207"/>
      <c r="C64" s="60"/>
      <c r="D64" s="204" t="str">
        <f aca="false">IF(LEFT(C64,4)="ผรม.",TRIM(MID(C64,5,5)),IFERROR(INDEX('Master Plan'!$L$8:$L$27,MATCH(C64,'Master Plan'!$A$8:$A$27,0)),""))</f>
        <v/>
      </c>
      <c r="E64" s="60"/>
      <c r="F64" s="114"/>
      <c r="G64" s="60"/>
      <c r="H64" s="60"/>
      <c r="I64" s="60"/>
      <c r="J64" s="60"/>
      <c r="K64" s="60"/>
      <c r="L64" s="114"/>
      <c r="M64" s="60"/>
      <c r="N64" s="60"/>
    </row>
    <row r="65" customFormat="false" ht="15" hidden="false" customHeight="false" outlineLevel="0" collapsed="false">
      <c r="A65" s="131" t="str">
        <f aca="false">IF(B65="","","LL-"&amp;TEXT(ROW()-6,"000"))</f>
        <v/>
      </c>
      <c r="B65" s="207"/>
      <c r="C65" s="60"/>
      <c r="D65" s="204" t="str">
        <f aca="false">IF(LEFT(C65,4)="ผรม.",TRIM(MID(C65,5,5)),IFERROR(INDEX('Master Plan'!$L$8:$L$27,MATCH(C65,'Master Plan'!$A$8:$A$27,0)),""))</f>
        <v/>
      </c>
      <c r="E65" s="60"/>
      <c r="F65" s="114"/>
      <c r="G65" s="60"/>
      <c r="H65" s="60"/>
      <c r="I65" s="60"/>
      <c r="J65" s="60"/>
      <c r="K65" s="60"/>
      <c r="L65" s="114"/>
      <c r="M65" s="60"/>
      <c r="N65" s="60"/>
    </row>
    <row r="66" customFormat="false" ht="15" hidden="false" customHeight="false" outlineLevel="0" collapsed="false">
      <c r="A66" s="131" t="str">
        <f aca="false">IF(B66="","","LL-"&amp;TEXT(ROW()-6,"000"))</f>
        <v/>
      </c>
      <c r="B66" s="207"/>
      <c r="C66" s="60"/>
      <c r="D66" s="204" t="str">
        <f aca="false">IF(LEFT(C66,4)="ผรม.",TRIM(MID(C66,5,5)),IFERROR(INDEX('Master Plan'!$L$8:$L$27,MATCH(C66,'Master Plan'!$A$8:$A$27,0)),""))</f>
        <v/>
      </c>
      <c r="E66" s="60"/>
      <c r="F66" s="114"/>
      <c r="G66" s="60"/>
      <c r="H66" s="60"/>
      <c r="I66" s="60"/>
      <c r="J66" s="60"/>
      <c r="K66" s="60"/>
      <c r="L66" s="114"/>
      <c r="M66" s="60"/>
      <c r="N66" s="60"/>
    </row>
    <row r="67" customFormat="false" ht="15" hidden="false" customHeight="false" outlineLevel="0" collapsed="false">
      <c r="A67" s="131" t="str">
        <f aca="false">IF(B67="","","LL-"&amp;TEXT(ROW()-6,"000"))</f>
        <v/>
      </c>
      <c r="B67" s="207"/>
      <c r="C67" s="60"/>
      <c r="D67" s="204" t="str">
        <f aca="false">IF(LEFT(C67,4)="ผรม.",TRIM(MID(C67,5,5)),IFERROR(INDEX('Master Plan'!$L$8:$L$27,MATCH(C67,'Master Plan'!$A$8:$A$27,0)),""))</f>
        <v/>
      </c>
      <c r="E67" s="60"/>
      <c r="F67" s="114"/>
      <c r="G67" s="60"/>
      <c r="H67" s="60"/>
      <c r="I67" s="60"/>
      <c r="J67" s="60"/>
      <c r="K67" s="60"/>
      <c r="L67" s="114"/>
      <c r="M67" s="60"/>
      <c r="N67" s="60"/>
    </row>
    <row r="68" customFormat="false" ht="15" hidden="false" customHeight="false" outlineLevel="0" collapsed="false">
      <c r="A68" s="131" t="str">
        <f aca="false">IF(B68="","","LL-"&amp;TEXT(ROW()-6,"000"))</f>
        <v/>
      </c>
      <c r="B68" s="207"/>
      <c r="C68" s="60"/>
      <c r="D68" s="204" t="str">
        <f aca="false">IF(LEFT(C68,4)="ผรม.",TRIM(MID(C68,5,5)),IFERROR(INDEX('Master Plan'!$L$8:$L$27,MATCH(C68,'Master Plan'!$A$8:$A$27,0)),""))</f>
        <v/>
      </c>
      <c r="E68" s="60"/>
      <c r="F68" s="114"/>
      <c r="G68" s="60"/>
      <c r="H68" s="60"/>
      <c r="I68" s="60"/>
      <c r="J68" s="60"/>
      <c r="K68" s="60"/>
      <c r="L68" s="114"/>
      <c r="M68" s="60"/>
      <c r="N68" s="60"/>
    </row>
    <row r="69" customFormat="false" ht="15" hidden="false" customHeight="false" outlineLevel="0" collapsed="false">
      <c r="A69" s="131" t="str">
        <f aca="false">IF(B69="","","LL-"&amp;TEXT(ROW()-6,"000"))</f>
        <v/>
      </c>
      <c r="B69" s="207"/>
      <c r="C69" s="60"/>
      <c r="D69" s="204" t="str">
        <f aca="false">IF(LEFT(C69,4)="ผรม.",TRIM(MID(C69,5,5)),IFERROR(INDEX('Master Plan'!$L$8:$L$27,MATCH(C69,'Master Plan'!$A$8:$A$27,0)),""))</f>
        <v/>
      </c>
      <c r="E69" s="60"/>
      <c r="F69" s="114"/>
      <c r="G69" s="60"/>
      <c r="H69" s="60"/>
      <c r="I69" s="60"/>
      <c r="J69" s="60"/>
      <c r="K69" s="60"/>
      <c r="L69" s="114"/>
      <c r="M69" s="60"/>
      <c r="N69" s="60"/>
    </row>
    <row r="70" customFormat="false" ht="15" hidden="false" customHeight="false" outlineLevel="0" collapsed="false">
      <c r="A70" s="131" t="str">
        <f aca="false">IF(B70="","","LL-"&amp;TEXT(ROW()-6,"000"))</f>
        <v/>
      </c>
      <c r="B70" s="207"/>
      <c r="C70" s="60"/>
      <c r="D70" s="204" t="str">
        <f aca="false">IF(LEFT(C70,4)="ผรม.",TRIM(MID(C70,5,5)),IFERROR(INDEX('Master Plan'!$L$8:$L$27,MATCH(C70,'Master Plan'!$A$8:$A$27,0)),""))</f>
        <v/>
      </c>
      <c r="E70" s="60"/>
      <c r="F70" s="114"/>
      <c r="G70" s="60"/>
      <c r="H70" s="60"/>
      <c r="I70" s="60"/>
      <c r="J70" s="60"/>
      <c r="K70" s="60"/>
      <c r="L70" s="114"/>
      <c r="M70" s="60"/>
      <c r="N70" s="60"/>
    </row>
    <row r="71" customFormat="false" ht="15" hidden="false" customHeight="false" outlineLevel="0" collapsed="false">
      <c r="A71" s="131" t="str">
        <f aca="false">IF(B71="","","LL-"&amp;TEXT(ROW()-6,"000"))</f>
        <v/>
      </c>
      <c r="B71" s="207"/>
      <c r="C71" s="60"/>
      <c r="D71" s="204" t="str">
        <f aca="false">IF(LEFT(C71,4)="ผรม.",TRIM(MID(C71,5,5)),IFERROR(INDEX('Master Plan'!$L$8:$L$27,MATCH(C71,'Master Plan'!$A$8:$A$27,0)),""))</f>
        <v/>
      </c>
      <c r="E71" s="60"/>
      <c r="F71" s="114"/>
      <c r="G71" s="60"/>
      <c r="H71" s="60"/>
      <c r="I71" s="60"/>
      <c r="J71" s="60"/>
      <c r="K71" s="60"/>
      <c r="L71" s="114"/>
      <c r="M71" s="60"/>
      <c r="N71" s="60"/>
    </row>
    <row r="72" customFormat="false" ht="15" hidden="false" customHeight="false" outlineLevel="0" collapsed="false">
      <c r="A72" s="131" t="str">
        <f aca="false">IF(B72="","","LL-"&amp;TEXT(ROW()-6,"000"))</f>
        <v/>
      </c>
      <c r="B72" s="207"/>
      <c r="C72" s="60"/>
      <c r="D72" s="204" t="str">
        <f aca="false">IF(LEFT(C72,4)="ผรม.",TRIM(MID(C72,5,5)),IFERROR(INDEX('Master Plan'!$L$8:$L$27,MATCH(C72,'Master Plan'!$A$8:$A$27,0)),""))</f>
        <v/>
      </c>
      <c r="E72" s="60"/>
      <c r="F72" s="114"/>
      <c r="G72" s="60"/>
      <c r="H72" s="60"/>
      <c r="I72" s="60"/>
      <c r="J72" s="60"/>
      <c r="K72" s="60"/>
      <c r="L72" s="114"/>
      <c r="M72" s="60"/>
      <c r="N72" s="60"/>
    </row>
    <row r="73" customFormat="false" ht="15" hidden="false" customHeight="false" outlineLevel="0" collapsed="false">
      <c r="A73" s="131" t="str">
        <f aca="false">IF(B73="","","LL-"&amp;TEXT(ROW()-6,"000"))</f>
        <v/>
      </c>
      <c r="B73" s="207"/>
      <c r="C73" s="60"/>
      <c r="D73" s="204" t="str">
        <f aca="false">IF(LEFT(C73,4)="ผรม.",TRIM(MID(C73,5,5)),IFERROR(INDEX('Master Plan'!$L$8:$L$27,MATCH(C73,'Master Plan'!$A$8:$A$27,0)),""))</f>
        <v/>
      </c>
      <c r="E73" s="60"/>
      <c r="F73" s="114"/>
      <c r="G73" s="60"/>
      <c r="H73" s="60"/>
      <c r="I73" s="60"/>
      <c r="J73" s="60"/>
      <c r="K73" s="60"/>
      <c r="L73" s="114"/>
      <c r="M73" s="60"/>
      <c r="N73" s="60"/>
    </row>
    <row r="74" customFormat="false" ht="15" hidden="false" customHeight="false" outlineLevel="0" collapsed="false">
      <c r="A74" s="131" t="str">
        <f aca="false">IF(B74="","","LL-"&amp;TEXT(ROW()-6,"000"))</f>
        <v/>
      </c>
      <c r="B74" s="207"/>
      <c r="C74" s="60"/>
      <c r="D74" s="204" t="str">
        <f aca="false">IF(LEFT(C74,4)="ผรม.",TRIM(MID(C74,5,5)),IFERROR(INDEX('Master Plan'!$L$8:$L$27,MATCH(C74,'Master Plan'!$A$8:$A$27,0)),""))</f>
        <v/>
      </c>
      <c r="E74" s="60"/>
      <c r="F74" s="114"/>
      <c r="G74" s="60"/>
      <c r="H74" s="60"/>
      <c r="I74" s="60"/>
      <c r="J74" s="60"/>
      <c r="K74" s="60"/>
      <c r="L74" s="114"/>
      <c r="M74" s="60"/>
      <c r="N74" s="60"/>
    </row>
    <row r="75" customFormat="false" ht="15" hidden="false" customHeight="false" outlineLevel="0" collapsed="false">
      <c r="A75" s="131" t="str">
        <f aca="false">IF(B75="","","LL-"&amp;TEXT(ROW()-6,"000"))</f>
        <v/>
      </c>
      <c r="B75" s="207"/>
      <c r="C75" s="60"/>
      <c r="D75" s="204" t="str">
        <f aca="false">IF(LEFT(C75,4)="ผรม.",TRIM(MID(C75,5,5)),IFERROR(INDEX('Master Plan'!$L$8:$L$27,MATCH(C75,'Master Plan'!$A$8:$A$27,0)),""))</f>
        <v/>
      </c>
      <c r="E75" s="60"/>
      <c r="F75" s="114"/>
      <c r="G75" s="60"/>
      <c r="H75" s="60"/>
      <c r="I75" s="60"/>
      <c r="J75" s="60"/>
      <c r="K75" s="60"/>
      <c r="L75" s="114"/>
      <c r="M75" s="60"/>
      <c r="N75" s="60"/>
    </row>
    <row r="76" customFormat="false" ht="15" hidden="false" customHeight="false" outlineLevel="0" collapsed="false">
      <c r="A76" s="131" t="str">
        <f aca="false">IF(B76="","","LL-"&amp;TEXT(ROW()-6,"000"))</f>
        <v/>
      </c>
      <c r="B76" s="207"/>
      <c r="C76" s="60"/>
      <c r="D76" s="204" t="str">
        <f aca="false">IF(LEFT(C76,4)="ผรม.",TRIM(MID(C76,5,5)),IFERROR(INDEX('Master Plan'!$L$8:$L$27,MATCH(C76,'Master Plan'!$A$8:$A$27,0)),""))</f>
        <v/>
      </c>
      <c r="E76" s="60"/>
      <c r="F76" s="114"/>
      <c r="G76" s="60"/>
      <c r="H76" s="60"/>
      <c r="I76" s="60"/>
      <c r="J76" s="60"/>
      <c r="K76" s="60"/>
      <c r="L76" s="114"/>
      <c r="M76" s="60"/>
      <c r="N76" s="60"/>
    </row>
    <row r="77" customFormat="false" ht="15" hidden="false" customHeight="false" outlineLevel="0" collapsed="false">
      <c r="A77" s="131" t="str">
        <f aca="false">IF(B77="","","LL-"&amp;TEXT(ROW()-6,"000"))</f>
        <v/>
      </c>
      <c r="B77" s="207"/>
      <c r="C77" s="60"/>
      <c r="D77" s="204" t="str">
        <f aca="false">IF(LEFT(C77,4)="ผรม.",TRIM(MID(C77,5,5)),IFERROR(INDEX('Master Plan'!$L$8:$L$27,MATCH(C77,'Master Plan'!$A$8:$A$27,0)),""))</f>
        <v/>
      </c>
      <c r="E77" s="60"/>
      <c r="F77" s="114"/>
      <c r="G77" s="60"/>
      <c r="H77" s="60"/>
      <c r="I77" s="60"/>
      <c r="J77" s="60"/>
      <c r="K77" s="60"/>
      <c r="L77" s="114"/>
      <c r="M77" s="60"/>
      <c r="N77" s="60"/>
    </row>
    <row r="78" customFormat="false" ht="15" hidden="false" customHeight="false" outlineLevel="0" collapsed="false">
      <c r="A78" s="131" t="str">
        <f aca="false">IF(B78="","","LL-"&amp;TEXT(ROW()-6,"000"))</f>
        <v/>
      </c>
      <c r="B78" s="207"/>
      <c r="C78" s="60"/>
      <c r="D78" s="204" t="str">
        <f aca="false">IF(LEFT(C78,4)="ผรม.",TRIM(MID(C78,5,5)),IFERROR(INDEX('Master Plan'!$L$8:$L$27,MATCH(C78,'Master Plan'!$A$8:$A$27,0)),""))</f>
        <v/>
      </c>
      <c r="E78" s="60"/>
      <c r="F78" s="114"/>
      <c r="G78" s="60"/>
      <c r="H78" s="60"/>
      <c r="I78" s="60"/>
      <c r="J78" s="60"/>
      <c r="K78" s="60"/>
      <c r="L78" s="114"/>
      <c r="M78" s="60"/>
      <c r="N78" s="60"/>
    </row>
    <row r="79" customFormat="false" ht="15" hidden="false" customHeight="false" outlineLevel="0" collapsed="false">
      <c r="A79" s="131" t="str">
        <f aca="false">IF(B79="","","LL-"&amp;TEXT(ROW()-6,"000"))</f>
        <v/>
      </c>
      <c r="B79" s="207"/>
      <c r="C79" s="60"/>
      <c r="D79" s="204" t="str">
        <f aca="false">IF(LEFT(C79,4)="ผรม.",TRIM(MID(C79,5,5)),IFERROR(INDEX('Master Plan'!$L$8:$L$27,MATCH(C79,'Master Plan'!$A$8:$A$27,0)),""))</f>
        <v/>
      </c>
      <c r="E79" s="60"/>
      <c r="F79" s="114"/>
      <c r="G79" s="60"/>
      <c r="H79" s="60"/>
      <c r="I79" s="60"/>
      <c r="J79" s="60"/>
      <c r="K79" s="60"/>
      <c r="L79" s="114"/>
      <c r="M79" s="60"/>
      <c r="N79" s="60"/>
    </row>
    <row r="80" customFormat="false" ht="15" hidden="false" customHeight="false" outlineLevel="0" collapsed="false">
      <c r="A80" s="131" t="str">
        <f aca="false">IF(B80="","","LL-"&amp;TEXT(ROW()-6,"000"))</f>
        <v/>
      </c>
      <c r="B80" s="207"/>
      <c r="C80" s="60"/>
      <c r="D80" s="204" t="str">
        <f aca="false">IF(LEFT(C80,4)="ผรม.",TRIM(MID(C80,5,5)),IFERROR(INDEX('Master Plan'!$L$8:$L$27,MATCH(C80,'Master Plan'!$A$8:$A$27,0)),""))</f>
        <v/>
      </c>
      <c r="E80" s="60"/>
      <c r="F80" s="114"/>
      <c r="G80" s="60"/>
      <c r="H80" s="60"/>
      <c r="I80" s="60"/>
      <c r="J80" s="60"/>
      <c r="K80" s="60"/>
      <c r="L80" s="114"/>
      <c r="M80" s="60"/>
      <c r="N80" s="60"/>
    </row>
    <row r="81" customFormat="false" ht="15" hidden="false" customHeight="false" outlineLevel="0" collapsed="false">
      <c r="A81" s="131" t="str">
        <f aca="false">IF(B81="","","LL-"&amp;TEXT(ROW()-6,"000"))</f>
        <v/>
      </c>
      <c r="B81" s="207"/>
      <c r="C81" s="60"/>
      <c r="D81" s="204" t="str">
        <f aca="false">IF(LEFT(C81,4)="ผรม.",TRIM(MID(C81,5,5)),IFERROR(INDEX('Master Plan'!$L$8:$L$27,MATCH(C81,'Master Plan'!$A$8:$A$27,0)),""))</f>
        <v/>
      </c>
      <c r="E81" s="60"/>
      <c r="F81" s="114"/>
      <c r="G81" s="60"/>
      <c r="H81" s="60"/>
      <c r="I81" s="60"/>
      <c r="J81" s="60"/>
      <c r="K81" s="60"/>
      <c r="L81" s="114"/>
      <c r="M81" s="60"/>
      <c r="N81" s="60"/>
    </row>
    <row r="82" customFormat="false" ht="15" hidden="false" customHeight="false" outlineLevel="0" collapsed="false">
      <c r="A82" s="131" t="str">
        <f aca="false">IF(B82="","","LL-"&amp;TEXT(ROW()-6,"000"))</f>
        <v/>
      </c>
      <c r="B82" s="207"/>
      <c r="C82" s="60"/>
      <c r="D82" s="204" t="str">
        <f aca="false">IF(LEFT(C82,4)="ผรม.",TRIM(MID(C82,5,5)),IFERROR(INDEX('Master Plan'!$L$8:$L$27,MATCH(C82,'Master Plan'!$A$8:$A$27,0)),""))</f>
        <v/>
      </c>
      <c r="E82" s="60"/>
      <c r="F82" s="114"/>
      <c r="G82" s="60"/>
      <c r="H82" s="60"/>
      <c r="I82" s="60"/>
      <c r="J82" s="60"/>
      <c r="K82" s="60"/>
      <c r="L82" s="114"/>
      <c r="M82" s="60"/>
      <c r="N82" s="60"/>
    </row>
    <row r="83" customFormat="false" ht="15" hidden="false" customHeight="false" outlineLevel="0" collapsed="false">
      <c r="A83" s="131" t="str">
        <f aca="false">IF(B83="","","LL-"&amp;TEXT(ROW()-6,"000"))</f>
        <v/>
      </c>
      <c r="B83" s="207"/>
      <c r="C83" s="60"/>
      <c r="D83" s="204" t="str">
        <f aca="false">IF(LEFT(C83,4)="ผรม.",TRIM(MID(C83,5,5)),IFERROR(INDEX('Master Plan'!$L$8:$L$27,MATCH(C83,'Master Plan'!$A$8:$A$27,0)),""))</f>
        <v/>
      </c>
      <c r="E83" s="60"/>
      <c r="F83" s="114"/>
      <c r="G83" s="60"/>
      <c r="H83" s="60"/>
      <c r="I83" s="60"/>
      <c r="J83" s="60"/>
      <c r="K83" s="60"/>
      <c r="L83" s="114"/>
      <c r="M83" s="60"/>
      <c r="N83" s="60"/>
    </row>
    <row r="84" customFormat="false" ht="15" hidden="false" customHeight="false" outlineLevel="0" collapsed="false">
      <c r="A84" s="131" t="str">
        <f aca="false">IF(B84="","","LL-"&amp;TEXT(ROW()-6,"000"))</f>
        <v/>
      </c>
      <c r="B84" s="207"/>
      <c r="C84" s="60"/>
      <c r="D84" s="204" t="str">
        <f aca="false">IF(LEFT(C84,4)="ผรม.",TRIM(MID(C84,5,5)),IFERROR(INDEX('Master Plan'!$L$8:$L$27,MATCH(C84,'Master Plan'!$A$8:$A$27,0)),""))</f>
        <v/>
      </c>
      <c r="E84" s="60"/>
      <c r="F84" s="114"/>
      <c r="G84" s="60"/>
      <c r="H84" s="60"/>
      <c r="I84" s="60"/>
      <c r="J84" s="60"/>
      <c r="K84" s="60"/>
      <c r="L84" s="114"/>
      <c r="M84" s="60"/>
      <c r="N84" s="60"/>
    </row>
    <row r="85" customFormat="false" ht="15" hidden="false" customHeight="false" outlineLevel="0" collapsed="false">
      <c r="A85" s="131" t="str">
        <f aca="false">IF(B85="","","LL-"&amp;TEXT(ROW()-6,"000"))</f>
        <v/>
      </c>
      <c r="B85" s="207"/>
      <c r="C85" s="60"/>
      <c r="D85" s="204" t="str">
        <f aca="false">IF(LEFT(C85,4)="ผรม.",TRIM(MID(C85,5,5)),IFERROR(INDEX('Master Plan'!$L$8:$L$27,MATCH(C85,'Master Plan'!$A$8:$A$27,0)),""))</f>
        <v/>
      </c>
      <c r="E85" s="60"/>
      <c r="F85" s="114"/>
      <c r="G85" s="60"/>
      <c r="H85" s="60"/>
      <c r="I85" s="60"/>
      <c r="J85" s="60"/>
      <c r="K85" s="60"/>
      <c r="L85" s="114"/>
      <c r="M85" s="60"/>
      <c r="N85" s="60"/>
    </row>
    <row r="86" customFormat="false" ht="15" hidden="false" customHeight="false" outlineLevel="0" collapsed="false">
      <c r="A86" s="131" t="str">
        <f aca="false">IF(B86="","","LL-"&amp;TEXT(ROW()-6,"000"))</f>
        <v/>
      </c>
      <c r="B86" s="207"/>
      <c r="C86" s="60"/>
      <c r="D86" s="204" t="str">
        <f aca="false">IF(LEFT(C86,4)="ผรม.",TRIM(MID(C86,5,5)),IFERROR(INDEX('Master Plan'!$L$8:$L$27,MATCH(C86,'Master Plan'!$A$8:$A$27,0)),""))</f>
        <v/>
      </c>
      <c r="E86" s="60"/>
      <c r="F86" s="114"/>
      <c r="G86" s="60"/>
      <c r="H86" s="60"/>
      <c r="I86" s="60"/>
      <c r="J86" s="60"/>
      <c r="K86" s="60"/>
      <c r="L86" s="114"/>
      <c r="M86" s="60"/>
      <c r="N86" s="60"/>
    </row>
    <row r="87" customFormat="false" ht="15" hidden="false" customHeight="false" outlineLevel="0" collapsed="false">
      <c r="A87" s="131" t="str">
        <f aca="false">IF(B87="","","LL-"&amp;TEXT(ROW()-6,"000"))</f>
        <v/>
      </c>
      <c r="B87" s="207"/>
      <c r="C87" s="60"/>
      <c r="D87" s="204" t="str">
        <f aca="false">IF(LEFT(C87,4)="ผรม.",TRIM(MID(C87,5,5)),IFERROR(INDEX('Master Plan'!$L$8:$L$27,MATCH(C87,'Master Plan'!$A$8:$A$27,0)),""))</f>
        <v/>
      </c>
      <c r="E87" s="60"/>
      <c r="F87" s="114"/>
      <c r="G87" s="60"/>
      <c r="H87" s="60"/>
      <c r="I87" s="60"/>
      <c r="J87" s="60"/>
      <c r="K87" s="60"/>
      <c r="L87" s="114"/>
      <c r="M87" s="60"/>
      <c r="N87" s="60"/>
    </row>
    <row r="88" customFormat="false" ht="15" hidden="false" customHeight="false" outlineLevel="0" collapsed="false">
      <c r="A88" s="131" t="str">
        <f aca="false">IF(B88="","","LL-"&amp;TEXT(ROW()-6,"000"))</f>
        <v/>
      </c>
      <c r="B88" s="207"/>
      <c r="C88" s="60"/>
      <c r="D88" s="204" t="str">
        <f aca="false">IF(LEFT(C88,4)="ผรม.",TRIM(MID(C88,5,5)),IFERROR(INDEX('Master Plan'!$L$8:$L$27,MATCH(C88,'Master Plan'!$A$8:$A$27,0)),""))</f>
        <v/>
      </c>
      <c r="E88" s="60"/>
      <c r="F88" s="114"/>
      <c r="G88" s="60"/>
      <c r="H88" s="60"/>
      <c r="I88" s="60"/>
      <c r="J88" s="60"/>
      <c r="K88" s="60"/>
      <c r="L88" s="114"/>
      <c r="M88" s="60"/>
      <c r="N88" s="60"/>
    </row>
    <row r="89" customFormat="false" ht="15" hidden="false" customHeight="false" outlineLevel="0" collapsed="false">
      <c r="A89" s="131" t="str">
        <f aca="false">IF(B89="","","LL-"&amp;TEXT(ROW()-6,"000"))</f>
        <v/>
      </c>
      <c r="B89" s="207"/>
      <c r="C89" s="60"/>
      <c r="D89" s="204" t="str">
        <f aca="false">IF(LEFT(C89,4)="ผรม.",TRIM(MID(C89,5,5)),IFERROR(INDEX('Master Plan'!$L$8:$L$27,MATCH(C89,'Master Plan'!$A$8:$A$27,0)),""))</f>
        <v/>
      </c>
      <c r="E89" s="60"/>
      <c r="F89" s="114"/>
      <c r="G89" s="60"/>
      <c r="H89" s="60"/>
      <c r="I89" s="60"/>
      <c r="J89" s="60"/>
      <c r="K89" s="60"/>
      <c r="L89" s="114"/>
      <c r="M89" s="60"/>
      <c r="N89" s="60"/>
    </row>
    <row r="90" customFormat="false" ht="15" hidden="false" customHeight="false" outlineLevel="0" collapsed="false">
      <c r="A90" s="131" t="str">
        <f aca="false">IF(B90="","","LL-"&amp;TEXT(ROW()-6,"000"))</f>
        <v/>
      </c>
      <c r="B90" s="207"/>
      <c r="C90" s="60"/>
      <c r="D90" s="204" t="str">
        <f aca="false">IF(LEFT(C90,4)="ผรม.",TRIM(MID(C90,5,5)),IFERROR(INDEX('Master Plan'!$L$8:$L$27,MATCH(C90,'Master Plan'!$A$8:$A$27,0)),""))</f>
        <v/>
      </c>
      <c r="E90" s="60"/>
      <c r="F90" s="114"/>
      <c r="G90" s="60"/>
      <c r="H90" s="60"/>
      <c r="I90" s="60"/>
      <c r="J90" s="60"/>
      <c r="K90" s="60"/>
      <c r="L90" s="114"/>
      <c r="M90" s="60"/>
      <c r="N90" s="60"/>
    </row>
    <row r="91" customFormat="false" ht="15" hidden="false" customHeight="false" outlineLevel="0" collapsed="false">
      <c r="A91" s="131" t="str">
        <f aca="false">IF(B91="","","LL-"&amp;TEXT(ROW()-6,"000"))</f>
        <v/>
      </c>
      <c r="B91" s="207"/>
      <c r="C91" s="60"/>
      <c r="D91" s="204" t="str">
        <f aca="false">IF(LEFT(C91,4)="ผรม.",TRIM(MID(C91,5,5)),IFERROR(INDEX('Master Plan'!$L$8:$L$27,MATCH(C91,'Master Plan'!$A$8:$A$27,0)),""))</f>
        <v/>
      </c>
      <c r="E91" s="60"/>
      <c r="F91" s="114"/>
      <c r="G91" s="60"/>
      <c r="H91" s="60"/>
      <c r="I91" s="60"/>
      <c r="J91" s="60"/>
      <c r="K91" s="60"/>
      <c r="L91" s="114"/>
      <c r="M91" s="60"/>
      <c r="N91" s="60"/>
    </row>
    <row r="92" customFormat="false" ht="15" hidden="false" customHeight="false" outlineLevel="0" collapsed="false">
      <c r="A92" s="131" t="str">
        <f aca="false">IF(B92="","","LL-"&amp;TEXT(ROW()-6,"000"))</f>
        <v/>
      </c>
      <c r="B92" s="207"/>
      <c r="C92" s="60"/>
      <c r="D92" s="204" t="str">
        <f aca="false">IF(LEFT(C92,4)="ผรม.",TRIM(MID(C92,5,5)),IFERROR(INDEX('Master Plan'!$L$8:$L$27,MATCH(C92,'Master Plan'!$A$8:$A$27,0)),""))</f>
        <v/>
      </c>
      <c r="E92" s="60"/>
      <c r="F92" s="114"/>
      <c r="G92" s="60"/>
      <c r="H92" s="60"/>
      <c r="I92" s="60"/>
      <c r="J92" s="60"/>
      <c r="K92" s="60"/>
      <c r="L92" s="114"/>
      <c r="M92" s="60"/>
      <c r="N92" s="60"/>
    </row>
    <row r="93" customFormat="false" ht="15" hidden="false" customHeight="false" outlineLevel="0" collapsed="false">
      <c r="A93" s="131" t="str">
        <f aca="false">IF(B93="","","LL-"&amp;TEXT(ROW()-6,"000"))</f>
        <v/>
      </c>
      <c r="B93" s="207"/>
      <c r="C93" s="60"/>
      <c r="D93" s="204" t="str">
        <f aca="false">IF(LEFT(C93,4)="ผรม.",TRIM(MID(C93,5,5)),IFERROR(INDEX('Master Plan'!$L$8:$L$27,MATCH(C93,'Master Plan'!$A$8:$A$27,0)),""))</f>
        <v/>
      </c>
      <c r="E93" s="60"/>
      <c r="F93" s="114"/>
      <c r="G93" s="60"/>
      <c r="H93" s="60"/>
      <c r="I93" s="60"/>
      <c r="J93" s="60"/>
      <c r="K93" s="60"/>
      <c r="L93" s="114"/>
      <c r="M93" s="60"/>
      <c r="N93" s="60"/>
    </row>
    <row r="94" customFormat="false" ht="15" hidden="false" customHeight="false" outlineLevel="0" collapsed="false">
      <c r="A94" s="131" t="str">
        <f aca="false">IF(B94="","","LL-"&amp;TEXT(ROW()-6,"000"))</f>
        <v/>
      </c>
      <c r="B94" s="207"/>
      <c r="C94" s="60"/>
      <c r="D94" s="204" t="str">
        <f aca="false">IF(LEFT(C94,4)="ผรม.",TRIM(MID(C94,5,5)),IFERROR(INDEX('Master Plan'!$L$8:$L$27,MATCH(C94,'Master Plan'!$A$8:$A$27,0)),""))</f>
        <v/>
      </c>
      <c r="E94" s="60"/>
      <c r="F94" s="114"/>
      <c r="G94" s="60"/>
      <c r="H94" s="60"/>
      <c r="I94" s="60"/>
      <c r="J94" s="60"/>
      <c r="K94" s="60"/>
      <c r="L94" s="114"/>
      <c r="M94" s="60"/>
      <c r="N94" s="60"/>
    </row>
    <row r="95" customFormat="false" ht="15" hidden="false" customHeight="false" outlineLevel="0" collapsed="false">
      <c r="A95" s="131" t="str">
        <f aca="false">IF(B95="","","LL-"&amp;TEXT(ROW()-6,"000"))</f>
        <v/>
      </c>
      <c r="B95" s="207"/>
      <c r="C95" s="60"/>
      <c r="D95" s="204" t="str">
        <f aca="false">IF(LEFT(C95,4)="ผรม.",TRIM(MID(C95,5,5)),IFERROR(INDEX('Master Plan'!$L$8:$L$27,MATCH(C95,'Master Plan'!$A$8:$A$27,0)),""))</f>
        <v/>
      </c>
      <c r="E95" s="60"/>
      <c r="F95" s="114"/>
      <c r="G95" s="60"/>
      <c r="H95" s="60"/>
      <c r="I95" s="60"/>
      <c r="J95" s="60"/>
      <c r="K95" s="60"/>
      <c r="L95" s="114"/>
      <c r="M95" s="60"/>
      <c r="N95" s="60"/>
    </row>
    <row r="96" customFormat="false" ht="15" hidden="false" customHeight="false" outlineLevel="0" collapsed="false">
      <c r="A96" s="131" t="str">
        <f aca="false">IF(B96="","","LL-"&amp;TEXT(ROW()-6,"000"))</f>
        <v/>
      </c>
      <c r="B96" s="207"/>
      <c r="C96" s="60"/>
      <c r="D96" s="204" t="str">
        <f aca="false">IF(LEFT(C96,4)="ผรม.",TRIM(MID(C96,5,5)),IFERROR(INDEX('Master Plan'!$L$8:$L$27,MATCH(C96,'Master Plan'!$A$8:$A$27,0)),""))</f>
        <v/>
      </c>
      <c r="E96" s="60"/>
      <c r="F96" s="114"/>
      <c r="G96" s="60"/>
      <c r="H96" s="60"/>
      <c r="I96" s="60"/>
      <c r="J96" s="60"/>
      <c r="K96" s="60"/>
      <c r="L96" s="114"/>
      <c r="M96" s="60"/>
      <c r="N96" s="60"/>
    </row>
    <row r="97" customFormat="false" ht="15" hidden="false" customHeight="false" outlineLevel="0" collapsed="false">
      <c r="A97" s="131" t="str">
        <f aca="false">IF(B97="","","LL-"&amp;TEXT(ROW()-6,"000"))</f>
        <v/>
      </c>
      <c r="B97" s="207"/>
      <c r="C97" s="60"/>
      <c r="D97" s="204" t="str">
        <f aca="false">IF(LEFT(C97,4)="ผรม.",TRIM(MID(C97,5,5)),IFERROR(INDEX('Master Plan'!$L$8:$L$27,MATCH(C97,'Master Plan'!$A$8:$A$27,0)),""))</f>
        <v/>
      </c>
      <c r="E97" s="60"/>
      <c r="F97" s="114"/>
      <c r="G97" s="60"/>
      <c r="H97" s="60"/>
      <c r="I97" s="60"/>
      <c r="J97" s="60"/>
      <c r="K97" s="60"/>
      <c r="L97" s="114"/>
      <c r="M97" s="60"/>
      <c r="N97" s="60"/>
    </row>
    <row r="98" customFormat="false" ht="15" hidden="false" customHeight="false" outlineLevel="0" collapsed="false">
      <c r="A98" s="131" t="str">
        <f aca="false">IF(B98="","","LL-"&amp;TEXT(ROW()-6,"000"))</f>
        <v/>
      </c>
      <c r="B98" s="207"/>
      <c r="C98" s="60"/>
      <c r="D98" s="204" t="str">
        <f aca="false">IF(LEFT(C98,4)="ผรม.",TRIM(MID(C98,5,5)),IFERROR(INDEX('Master Plan'!$L$8:$L$27,MATCH(C98,'Master Plan'!$A$8:$A$27,0)),""))</f>
        <v/>
      </c>
      <c r="E98" s="60"/>
      <c r="F98" s="114"/>
      <c r="G98" s="60"/>
      <c r="H98" s="60"/>
      <c r="I98" s="60"/>
      <c r="J98" s="60"/>
      <c r="K98" s="60"/>
      <c r="L98" s="114"/>
      <c r="M98" s="60"/>
      <c r="N98" s="60"/>
    </row>
    <row r="99" customFormat="false" ht="15" hidden="false" customHeight="false" outlineLevel="0" collapsed="false">
      <c r="A99" s="131" t="str">
        <f aca="false">IF(B99="","","LL-"&amp;TEXT(ROW()-6,"000"))</f>
        <v/>
      </c>
      <c r="B99" s="207"/>
      <c r="C99" s="60"/>
      <c r="D99" s="204" t="str">
        <f aca="false">IF(LEFT(C99,4)="ผรม.",TRIM(MID(C99,5,5)),IFERROR(INDEX('Master Plan'!$L$8:$L$27,MATCH(C99,'Master Plan'!$A$8:$A$27,0)),""))</f>
        <v/>
      </c>
      <c r="E99" s="60"/>
      <c r="F99" s="114"/>
      <c r="G99" s="60"/>
      <c r="H99" s="60"/>
      <c r="I99" s="60"/>
      <c r="J99" s="60"/>
      <c r="K99" s="60"/>
      <c r="L99" s="114"/>
      <c r="M99" s="60"/>
      <c r="N99" s="60"/>
    </row>
    <row r="100" customFormat="false" ht="15" hidden="false" customHeight="false" outlineLevel="0" collapsed="false">
      <c r="A100" s="131" t="str">
        <f aca="false">IF(B100="","","LL-"&amp;TEXT(ROW()-6,"000"))</f>
        <v/>
      </c>
      <c r="B100" s="207"/>
      <c r="C100" s="60"/>
      <c r="D100" s="204" t="str">
        <f aca="false">IF(LEFT(C100,4)="ผรม.",TRIM(MID(C100,5,5)),IFERROR(INDEX('Master Plan'!$L$8:$L$27,MATCH(C100,'Master Plan'!$A$8:$A$27,0)),""))</f>
        <v/>
      </c>
      <c r="E100" s="60"/>
      <c r="F100" s="114"/>
      <c r="G100" s="60"/>
      <c r="H100" s="60"/>
      <c r="I100" s="60"/>
      <c r="J100" s="60"/>
      <c r="K100" s="60"/>
      <c r="L100" s="114"/>
      <c r="M100" s="60"/>
      <c r="N100" s="60"/>
    </row>
    <row r="101" customFormat="false" ht="15" hidden="false" customHeight="false" outlineLevel="0" collapsed="false">
      <c r="A101" s="131" t="str">
        <f aca="false">IF(B101="","","LL-"&amp;TEXT(ROW()-6,"000"))</f>
        <v/>
      </c>
      <c r="B101" s="207"/>
      <c r="C101" s="60"/>
      <c r="D101" s="204" t="str">
        <f aca="false">IF(LEFT(C101,4)="ผรม.",TRIM(MID(C101,5,5)),IFERROR(INDEX('Master Plan'!$L$8:$L$27,MATCH(C101,'Master Plan'!$A$8:$A$27,0)),""))</f>
        <v/>
      </c>
      <c r="E101" s="60"/>
      <c r="F101" s="114"/>
      <c r="G101" s="60"/>
      <c r="H101" s="60"/>
      <c r="I101" s="60"/>
      <c r="J101" s="60"/>
      <c r="K101" s="60"/>
      <c r="L101" s="114"/>
      <c r="M101" s="60"/>
      <c r="N101" s="60"/>
    </row>
    <row r="102" customFormat="false" ht="15" hidden="false" customHeight="false" outlineLevel="0" collapsed="false">
      <c r="A102" s="131" t="str">
        <f aca="false">IF(B102="","","LL-"&amp;TEXT(ROW()-6,"000"))</f>
        <v/>
      </c>
      <c r="B102" s="207"/>
      <c r="C102" s="60"/>
      <c r="D102" s="204" t="str">
        <f aca="false">IF(LEFT(C102,4)="ผรม.",TRIM(MID(C102,5,5)),IFERROR(INDEX('Master Plan'!$L$8:$L$27,MATCH(C102,'Master Plan'!$A$8:$A$27,0)),""))</f>
        <v/>
      </c>
      <c r="E102" s="60"/>
      <c r="F102" s="114"/>
      <c r="G102" s="60"/>
      <c r="H102" s="60"/>
      <c r="I102" s="60"/>
      <c r="J102" s="60"/>
      <c r="K102" s="60"/>
      <c r="L102" s="114"/>
      <c r="M102" s="60"/>
      <c r="N102" s="60"/>
    </row>
    <row r="103" customFormat="false" ht="15" hidden="false" customHeight="false" outlineLevel="0" collapsed="false">
      <c r="A103" s="131" t="str">
        <f aca="false">IF(B103="","","LL-"&amp;TEXT(ROW()-6,"000"))</f>
        <v/>
      </c>
      <c r="B103" s="207"/>
      <c r="C103" s="60"/>
      <c r="D103" s="204" t="str">
        <f aca="false">IF(LEFT(C103,4)="ผรม.",TRIM(MID(C103,5,5)),IFERROR(INDEX('Master Plan'!$L$8:$L$27,MATCH(C103,'Master Plan'!$A$8:$A$27,0)),""))</f>
        <v/>
      </c>
      <c r="E103" s="60"/>
      <c r="F103" s="114"/>
      <c r="G103" s="60"/>
      <c r="H103" s="60"/>
      <c r="I103" s="60"/>
      <c r="J103" s="60"/>
      <c r="K103" s="60"/>
      <c r="L103" s="114"/>
      <c r="M103" s="60"/>
      <c r="N103" s="60"/>
    </row>
    <row r="104" customFormat="false" ht="15" hidden="false" customHeight="false" outlineLevel="0" collapsed="false">
      <c r="A104" s="131" t="str">
        <f aca="false">IF(B104="","","LL-"&amp;TEXT(ROW()-6,"000"))</f>
        <v/>
      </c>
      <c r="B104" s="207"/>
      <c r="C104" s="60"/>
      <c r="D104" s="204" t="str">
        <f aca="false">IF(LEFT(C104,4)="ผรม.",TRIM(MID(C104,5,5)),IFERROR(INDEX('Master Plan'!$L$8:$L$27,MATCH(C104,'Master Plan'!$A$8:$A$27,0)),""))</f>
        <v/>
      </c>
      <c r="E104" s="60"/>
      <c r="F104" s="114"/>
      <c r="G104" s="60"/>
      <c r="H104" s="60"/>
      <c r="I104" s="60"/>
      <c r="J104" s="60"/>
      <c r="K104" s="60"/>
      <c r="L104" s="114"/>
      <c r="M104" s="60"/>
      <c r="N104" s="60"/>
    </row>
    <row r="105" customFormat="false" ht="15" hidden="false" customHeight="false" outlineLevel="0" collapsed="false">
      <c r="A105" s="131" t="str">
        <f aca="false">IF(B105="","","LL-"&amp;TEXT(ROW()-6,"000"))</f>
        <v/>
      </c>
      <c r="B105" s="207"/>
      <c r="C105" s="60"/>
      <c r="D105" s="204" t="str">
        <f aca="false">IF(LEFT(C105,4)="ผรม.",TRIM(MID(C105,5,5)),IFERROR(INDEX('Master Plan'!$L$8:$L$27,MATCH(C105,'Master Plan'!$A$8:$A$27,0)),""))</f>
        <v/>
      </c>
      <c r="E105" s="60"/>
      <c r="F105" s="114"/>
      <c r="G105" s="60"/>
      <c r="H105" s="60"/>
      <c r="I105" s="60"/>
      <c r="J105" s="60"/>
      <c r="K105" s="60"/>
      <c r="L105" s="114"/>
      <c r="M105" s="60"/>
      <c r="N105" s="60"/>
    </row>
    <row r="106" customFormat="false" ht="15" hidden="false" customHeight="false" outlineLevel="0" collapsed="false">
      <c r="A106" s="131" t="str">
        <f aca="false">IF(B106="","","LL-"&amp;TEXT(ROW()-6,"000"))</f>
        <v/>
      </c>
      <c r="B106" s="207"/>
      <c r="C106" s="60"/>
      <c r="D106" s="204" t="str">
        <f aca="false">IF(LEFT(C106,4)="ผรม.",TRIM(MID(C106,5,5)),IFERROR(INDEX('Master Plan'!$L$8:$L$27,MATCH(C106,'Master Plan'!$A$8:$A$27,0)),""))</f>
        <v/>
      </c>
      <c r="E106" s="60"/>
      <c r="F106" s="114"/>
      <c r="G106" s="60"/>
      <c r="H106" s="60"/>
      <c r="I106" s="60"/>
      <c r="J106" s="60"/>
      <c r="K106" s="60"/>
      <c r="L106" s="114"/>
      <c r="M106" s="60"/>
      <c r="N106" s="60"/>
    </row>
    <row r="107" customFormat="false" ht="15" hidden="false" customHeight="false" outlineLevel="0" collapsed="false">
      <c r="A107" s="131" t="str">
        <f aca="false">IF(B107="","","LL-"&amp;TEXT(ROW()-6,"000"))</f>
        <v/>
      </c>
      <c r="B107" s="207"/>
      <c r="C107" s="60"/>
      <c r="D107" s="204" t="str">
        <f aca="false">IF(LEFT(C107,4)="ผรม.",TRIM(MID(C107,5,5)),IFERROR(INDEX('Master Plan'!$L$8:$L$27,MATCH(C107,'Master Plan'!$A$8:$A$27,0)),""))</f>
        <v/>
      </c>
      <c r="E107" s="60"/>
      <c r="F107" s="114"/>
      <c r="G107" s="60"/>
      <c r="H107" s="60"/>
      <c r="I107" s="60"/>
      <c r="J107" s="60"/>
      <c r="K107" s="60"/>
      <c r="L107" s="114"/>
      <c r="M107" s="60"/>
      <c r="N107" s="60"/>
    </row>
    <row r="108" customFormat="false" ht="15" hidden="false" customHeight="false" outlineLevel="0" collapsed="false">
      <c r="A108" s="131" t="str">
        <f aca="false">IF(B108="","","LL-"&amp;TEXT(ROW()-6,"000"))</f>
        <v/>
      </c>
      <c r="B108" s="207"/>
      <c r="C108" s="60"/>
      <c r="D108" s="204" t="str">
        <f aca="false">IF(LEFT(C108,4)="ผรม.",TRIM(MID(C108,5,5)),IFERROR(INDEX('Master Plan'!$L$8:$L$27,MATCH(C108,'Master Plan'!$A$8:$A$27,0)),""))</f>
        <v/>
      </c>
      <c r="E108" s="60"/>
      <c r="F108" s="114"/>
      <c r="G108" s="60"/>
      <c r="H108" s="60"/>
      <c r="I108" s="60"/>
      <c r="J108" s="60"/>
      <c r="K108" s="60"/>
      <c r="L108" s="114"/>
      <c r="M108" s="60"/>
      <c r="N108" s="60"/>
    </row>
    <row r="109" customFormat="false" ht="15" hidden="false" customHeight="false" outlineLevel="0" collapsed="false">
      <c r="A109" s="131" t="str">
        <f aca="false">IF(B109="","","LL-"&amp;TEXT(ROW()-6,"000"))</f>
        <v/>
      </c>
      <c r="B109" s="207"/>
      <c r="C109" s="60"/>
      <c r="D109" s="204" t="str">
        <f aca="false">IF(LEFT(C109,4)="ผรม.",TRIM(MID(C109,5,5)),IFERROR(INDEX('Master Plan'!$L$8:$L$27,MATCH(C109,'Master Plan'!$A$8:$A$27,0)),""))</f>
        <v/>
      </c>
      <c r="E109" s="60"/>
      <c r="F109" s="114"/>
      <c r="G109" s="60"/>
      <c r="H109" s="60"/>
      <c r="I109" s="60"/>
      <c r="J109" s="60"/>
      <c r="K109" s="60"/>
      <c r="L109" s="114"/>
      <c r="M109" s="60"/>
      <c r="N109" s="60"/>
    </row>
    <row r="110" customFormat="false" ht="15" hidden="false" customHeight="false" outlineLevel="0" collapsed="false">
      <c r="A110" s="131" t="str">
        <f aca="false">IF(B110="","","LL-"&amp;TEXT(ROW()-6,"000"))</f>
        <v/>
      </c>
      <c r="B110" s="207"/>
      <c r="C110" s="60"/>
      <c r="D110" s="204" t="str">
        <f aca="false">IF(LEFT(C110,4)="ผรม.",TRIM(MID(C110,5,5)),IFERROR(INDEX('Master Plan'!$L$8:$L$27,MATCH(C110,'Master Plan'!$A$8:$A$27,0)),""))</f>
        <v/>
      </c>
      <c r="E110" s="60"/>
      <c r="F110" s="114"/>
      <c r="G110" s="60"/>
      <c r="H110" s="60"/>
      <c r="I110" s="60"/>
      <c r="J110" s="60"/>
      <c r="K110" s="60"/>
      <c r="L110" s="114"/>
      <c r="M110" s="60"/>
      <c r="N110" s="60"/>
    </row>
    <row r="111" customFormat="false" ht="15" hidden="false" customHeight="false" outlineLevel="0" collapsed="false">
      <c r="A111" s="131" t="str">
        <f aca="false">IF(B111="","","LL-"&amp;TEXT(ROW()-6,"000"))</f>
        <v/>
      </c>
      <c r="B111" s="207"/>
      <c r="C111" s="60"/>
      <c r="D111" s="204" t="str">
        <f aca="false">IF(LEFT(C111,4)="ผรม.",TRIM(MID(C111,5,5)),IFERROR(INDEX('Master Plan'!$L$8:$L$27,MATCH(C111,'Master Plan'!$A$8:$A$27,0)),""))</f>
        <v/>
      </c>
      <c r="E111" s="60"/>
      <c r="F111" s="114"/>
      <c r="G111" s="60"/>
      <c r="H111" s="60"/>
      <c r="I111" s="60"/>
      <c r="J111" s="60"/>
      <c r="K111" s="60"/>
      <c r="L111" s="114"/>
      <c r="M111" s="60"/>
      <c r="N111" s="60"/>
    </row>
    <row r="112" customFormat="false" ht="15" hidden="false" customHeight="false" outlineLevel="0" collapsed="false">
      <c r="A112" s="131" t="str">
        <f aca="false">IF(B112="","","LL-"&amp;TEXT(ROW()-6,"000"))</f>
        <v/>
      </c>
      <c r="B112" s="207"/>
      <c r="C112" s="60"/>
      <c r="D112" s="204" t="str">
        <f aca="false">IF(LEFT(C112,4)="ผรม.",TRIM(MID(C112,5,5)),IFERROR(INDEX('Master Plan'!$L$8:$L$27,MATCH(C112,'Master Plan'!$A$8:$A$27,0)),""))</f>
        <v/>
      </c>
      <c r="E112" s="60"/>
      <c r="F112" s="114"/>
      <c r="G112" s="60"/>
      <c r="H112" s="60"/>
      <c r="I112" s="60"/>
      <c r="J112" s="60"/>
      <c r="K112" s="60"/>
      <c r="L112" s="114"/>
      <c r="M112" s="60"/>
      <c r="N112" s="60"/>
    </row>
    <row r="113" customFormat="false" ht="15" hidden="false" customHeight="false" outlineLevel="0" collapsed="false">
      <c r="A113" s="131" t="str">
        <f aca="false">IF(B113="","","LL-"&amp;TEXT(ROW()-6,"000"))</f>
        <v/>
      </c>
      <c r="B113" s="207"/>
      <c r="C113" s="60"/>
      <c r="D113" s="204" t="str">
        <f aca="false">IF(LEFT(C113,4)="ผรม.",TRIM(MID(C113,5,5)),IFERROR(INDEX('Master Plan'!$L$8:$L$27,MATCH(C113,'Master Plan'!$A$8:$A$27,0)),""))</f>
        <v/>
      </c>
      <c r="E113" s="60"/>
      <c r="F113" s="114"/>
      <c r="G113" s="60"/>
      <c r="H113" s="60"/>
      <c r="I113" s="60"/>
      <c r="J113" s="60"/>
      <c r="K113" s="60"/>
      <c r="L113" s="114"/>
      <c r="M113" s="60"/>
      <c r="N113" s="60"/>
    </row>
    <row r="114" customFormat="false" ht="15" hidden="false" customHeight="false" outlineLevel="0" collapsed="false">
      <c r="A114" s="131" t="str">
        <f aca="false">IF(B114="","","LL-"&amp;TEXT(ROW()-6,"000"))</f>
        <v/>
      </c>
      <c r="B114" s="207"/>
      <c r="C114" s="60"/>
      <c r="D114" s="204" t="str">
        <f aca="false">IF(LEFT(C114,4)="ผรม.",TRIM(MID(C114,5,5)),IFERROR(INDEX('Master Plan'!$L$8:$L$27,MATCH(C114,'Master Plan'!$A$8:$A$27,0)),""))</f>
        <v/>
      </c>
      <c r="E114" s="60"/>
      <c r="F114" s="114"/>
      <c r="G114" s="60"/>
      <c r="H114" s="60"/>
      <c r="I114" s="60"/>
      <c r="J114" s="60"/>
      <c r="K114" s="60"/>
      <c r="L114" s="114"/>
      <c r="M114" s="60"/>
      <c r="N114" s="60"/>
    </row>
    <row r="115" customFormat="false" ht="15" hidden="false" customHeight="false" outlineLevel="0" collapsed="false">
      <c r="A115" s="131" t="str">
        <f aca="false">IF(B115="","","LL-"&amp;TEXT(ROW()-6,"000"))</f>
        <v/>
      </c>
      <c r="B115" s="207"/>
      <c r="C115" s="60"/>
      <c r="D115" s="204" t="str">
        <f aca="false">IF(LEFT(C115,4)="ผรม.",TRIM(MID(C115,5,5)),IFERROR(INDEX('Master Plan'!$L$8:$L$27,MATCH(C115,'Master Plan'!$A$8:$A$27,0)),""))</f>
        <v/>
      </c>
      <c r="E115" s="60"/>
      <c r="F115" s="114"/>
      <c r="G115" s="60"/>
      <c r="H115" s="60"/>
      <c r="I115" s="60"/>
      <c r="J115" s="60"/>
      <c r="K115" s="60"/>
      <c r="L115" s="114"/>
      <c r="M115" s="60"/>
      <c r="N115" s="60"/>
    </row>
    <row r="116" customFormat="false" ht="15" hidden="false" customHeight="false" outlineLevel="0" collapsed="false">
      <c r="A116" s="131" t="str">
        <f aca="false">IF(B116="","","LL-"&amp;TEXT(ROW()-6,"000"))</f>
        <v/>
      </c>
      <c r="B116" s="207"/>
      <c r="C116" s="60"/>
      <c r="D116" s="204" t="str">
        <f aca="false">IF(LEFT(C116,4)="ผรม.",TRIM(MID(C116,5,5)),IFERROR(INDEX('Master Plan'!$L$8:$L$27,MATCH(C116,'Master Plan'!$A$8:$A$27,0)),""))</f>
        <v/>
      </c>
      <c r="E116" s="60"/>
      <c r="F116" s="114"/>
      <c r="G116" s="60"/>
      <c r="H116" s="60"/>
      <c r="I116" s="60"/>
      <c r="J116" s="60"/>
      <c r="K116" s="60"/>
      <c r="L116" s="114"/>
      <c r="M116" s="60"/>
      <c r="N116" s="60"/>
    </row>
    <row r="117" customFormat="false" ht="15" hidden="false" customHeight="false" outlineLevel="0" collapsed="false">
      <c r="A117" s="131" t="str">
        <f aca="false">IF(B117="","","LL-"&amp;TEXT(ROW()-6,"000"))</f>
        <v/>
      </c>
      <c r="B117" s="207"/>
      <c r="C117" s="60"/>
      <c r="D117" s="204" t="str">
        <f aca="false">IF(LEFT(C117,4)="ผรม.",TRIM(MID(C117,5,5)),IFERROR(INDEX('Master Plan'!$L$8:$L$27,MATCH(C117,'Master Plan'!$A$8:$A$27,0)),""))</f>
        <v/>
      </c>
      <c r="E117" s="60"/>
      <c r="F117" s="114"/>
      <c r="G117" s="60"/>
      <c r="H117" s="60"/>
      <c r="I117" s="60"/>
      <c r="J117" s="60"/>
      <c r="K117" s="60"/>
      <c r="L117" s="114"/>
      <c r="M117" s="60"/>
      <c r="N117" s="60"/>
    </row>
    <row r="118" customFormat="false" ht="15" hidden="false" customHeight="false" outlineLevel="0" collapsed="false">
      <c r="A118" s="131" t="str">
        <f aca="false">IF(B118="","","LL-"&amp;TEXT(ROW()-6,"000"))</f>
        <v/>
      </c>
      <c r="B118" s="207"/>
      <c r="C118" s="60"/>
      <c r="D118" s="204" t="str">
        <f aca="false">IF(LEFT(C118,4)="ผรม.",TRIM(MID(C118,5,5)),IFERROR(INDEX('Master Plan'!$L$8:$L$27,MATCH(C118,'Master Plan'!$A$8:$A$27,0)),""))</f>
        <v/>
      </c>
      <c r="E118" s="60"/>
      <c r="F118" s="114"/>
      <c r="G118" s="60"/>
      <c r="H118" s="60"/>
      <c r="I118" s="60"/>
      <c r="J118" s="60"/>
      <c r="K118" s="60"/>
      <c r="L118" s="114"/>
      <c r="M118" s="60"/>
      <c r="N118" s="60"/>
    </row>
    <row r="119" customFormat="false" ht="15" hidden="false" customHeight="false" outlineLevel="0" collapsed="false">
      <c r="A119" s="131" t="str">
        <f aca="false">IF(B119="","","LL-"&amp;TEXT(ROW()-6,"000"))</f>
        <v/>
      </c>
      <c r="B119" s="207"/>
      <c r="C119" s="60"/>
      <c r="D119" s="204" t="str">
        <f aca="false">IF(LEFT(C119,4)="ผรม.",TRIM(MID(C119,5,5)),IFERROR(INDEX('Master Plan'!$L$8:$L$27,MATCH(C119,'Master Plan'!$A$8:$A$27,0)),""))</f>
        <v/>
      </c>
      <c r="E119" s="60"/>
      <c r="F119" s="114"/>
      <c r="G119" s="60"/>
      <c r="H119" s="60"/>
      <c r="I119" s="60"/>
      <c r="J119" s="60"/>
      <c r="K119" s="60"/>
      <c r="L119" s="114"/>
      <c r="M119" s="60"/>
      <c r="N119" s="60"/>
    </row>
    <row r="120" customFormat="false" ht="15" hidden="false" customHeight="false" outlineLevel="0" collapsed="false">
      <c r="A120" s="131" t="str">
        <f aca="false">IF(B120="","","LL-"&amp;TEXT(ROW()-6,"000"))</f>
        <v/>
      </c>
      <c r="B120" s="207"/>
      <c r="C120" s="60"/>
      <c r="D120" s="204" t="str">
        <f aca="false">IF(LEFT(C120,4)="ผรม.",TRIM(MID(C120,5,5)),IFERROR(INDEX('Master Plan'!$L$8:$L$27,MATCH(C120,'Master Plan'!$A$8:$A$27,0)),""))</f>
        <v/>
      </c>
      <c r="E120" s="60"/>
      <c r="F120" s="114"/>
      <c r="G120" s="60"/>
      <c r="H120" s="60"/>
      <c r="I120" s="60"/>
      <c r="J120" s="60"/>
      <c r="K120" s="60"/>
      <c r="L120" s="114"/>
      <c r="M120" s="60"/>
      <c r="N120" s="60"/>
    </row>
    <row r="121" customFormat="false" ht="15" hidden="false" customHeight="false" outlineLevel="0" collapsed="false">
      <c r="A121" s="131" t="str">
        <f aca="false">IF(B121="","","LL-"&amp;TEXT(ROW()-6,"000"))</f>
        <v/>
      </c>
      <c r="B121" s="207"/>
      <c r="C121" s="60"/>
      <c r="D121" s="204" t="str">
        <f aca="false">IF(LEFT(C121,4)="ผรม.",TRIM(MID(C121,5,5)),IFERROR(INDEX('Master Plan'!$L$8:$L$27,MATCH(C121,'Master Plan'!$A$8:$A$27,0)),""))</f>
        <v/>
      </c>
      <c r="E121" s="60"/>
      <c r="F121" s="114"/>
      <c r="G121" s="60"/>
      <c r="H121" s="60"/>
      <c r="I121" s="60"/>
      <c r="J121" s="60"/>
      <c r="K121" s="60"/>
      <c r="L121" s="114"/>
      <c r="M121" s="60"/>
      <c r="N121" s="60"/>
    </row>
    <row r="122" customFormat="false" ht="15" hidden="false" customHeight="false" outlineLevel="0" collapsed="false">
      <c r="A122" s="131" t="str">
        <f aca="false">IF(B122="","","LL-"&amp;TEXT(ROW()-6,"000"))</f>
        <v/>
      </c>
      <c r="B122" s="207"/>
      <c r="C122" s="60"/>
      <c r="D122" s="204" t="str">
        <f aca="false">IF(LEFT(C122,4)="ผรม.",TRIM(MID(C122,5,5)),IFERROR(INDEX('Master Plan'!$L$8:$L$27,MATCH(C122,'Master Plan'!$A$8:$A$27,0)),""))</f>
        <v/>
      </c>
      <c r="E122" s="60"/>
      <c r="F122" s="114"/>
      <c r="G122" s="60"/>
      <c r="H122" s="60"/>
      <c r="I122" s="60"/>
      <c r="J122" s="60"/>
      <c r="K122" s="60"/>
      <c r="L122" s="114"/>
      <c r="M122" s="60"/>
      <c r="N122" s="60"/>
    </row>
    <row r="123" customFormat="false" ht="15" hidden="false" customHeight="false" outlineLevel="0" collapsed="false">
      <c r="A123" s="131" t="str">
        <f aca="false">IF(B123="","","LL-"&amp;TEXT(ROW()-6,"000"))</f>
        <v/>
      </c>
      <c r="B123" s="207"/>
      <c r="C123" s="60"/>
      <c r="D123" s="204" t="str">
        <f aca="false">IF(LEFT(C123,4)="ผรม.",TRIM(MID(C123,5,5)),IFERROR(INDEX('Master Plan'!$L$8:$L$27,MATCH(C123,'Master Plan'!$A$8:$A$27,0)),""))</f>
        <v/>
      </c>
      <c r="E123" s="60"/>
      <c r="F123" s="114"/>
      <c r="G123" s="60"/>
      <c r="H123" s="60"/>
      <c r="I123" s="60"/>
      <c r="J123" s="60"/>
      <c r="K123" s="60"/>
      <c r="L123" s="114"/>
      <c r="M123" s="60"/>
      <c r="N123" s="60"/>
    </row>
    <row r="124" customFormat="false" ht="15" hidden="false" customHeight="false" outlineLevel="0" collapsed="false">
      <c r="A124" s="131" t="str">
        <f aca="false">IF(B124="","","LL-"&amp;TEXT(ROW()-6,"000"))</f>
        <v/>
      </c>
      <c r="B124" s="207"/>
      <c r="C124" s="60"/>
      <c r="D124" s="204" t="str">
        <f aca="false">IF(LEFT(C124,4)="ผรม.",TRIM(MID(C124,5,5)),IFERROR(INDEX('Master Plan'!$L$8:$L$27,MATCH(C124,'Master Plan'!$A$8:$A$27,0)),""))</f>
        <v/>
      </c>
      <c r="E124" s="60"/>
      <c r="F124" s="114"/>
      <c r="G124" s="60"/>
      <c r="H124" s="60"/>
      <c r="I124" s="60"/>
      <c r="J124" s="60"/>
      <c r="K124" s="60"/>
      <c r="L124" s="114"/>
      <c r="M124" s="60"/>
      <c r="N124" s="60"/>
    </row>
    <row r="125" customFormat="false" ht="15" hidden="false" customHeight="false" outlineLevel="0" collapsed="false">
      <c r="A125" s="131" t="str">
        <f aca="false">IF(B125="","","LL-"&amp;TEXT(ROW()-6,"000"))</f>
        <v/>
      </c>
      <c r="B125" s="207"/>
      <c r="C125" s="60"/>
      <c r="D125" s="204" t="str">
        <f aca="false">IF(LEFT(C125,4)="ผรม.",TRIM(MID(C125,5,5)),IFERROR(INDEX('Master Plan'!$L$8:$L$27,MATCH(C125,'Master Plan'!$A$8:$A$27,0)),""))</f>
        <v/>
      </c>
      <c r="E125" s="60"/>
      <c r="F125" s="114"/>
      <c r="G125" s="60"/>
      <c r="H125" s="60"/>
      <c r="I125" s="60"/>
      <c r="J125" s="60"/>
      <c r="K125" s="60"/>
      <c r="L125" s="114"/>
      <c r="M125" s="60"/>
      <c r="N125" s="60"/>
    </row>
    <row r="126" customFormat="false" ht="15" hidden="false" customHeight="false" outlineLevel="0" collapsed="false">
      <c r="A126" s="131" t="str">
        <f aca="false">IF(B126="","","LL-"&amp;TEXT(ROW()-6,"000"))</f>
        <v/>
      </c>
      <c r="B126" s="207"/>
      <c r="C126" s="60"/>
      <c r="D126" s="204" t="str">
        <f aca="false">IF(LEFT(C126,4)="ผรม.",TRIM(MID(C126,5,5)),IFERROR(INDEX('Master Plan'!$L$8:$L$27,MATCH(C126,'Master Plan'!$A$8:$A$27,0)),""))</f>
        <v/>
      </c>
      <c r="E126" s="60"/>
      <c r="F126" s="114"/>
      <c r="G126" s="60"/>
      <c r="H126" s="60"/>
      <c r="I126" s="60"/>
      <c r="J126" s="60"/>
      <c r="K126" s="60"/>
      <c r="L126" s="114"/>
      <c r="M126" s="60"/>
      <c r="N126" s="60"/>
    </row>
    <row r="127" customFormat="false" ht="15" hidden="false" customHeight="false" outlineLevel="0" collapsed="false">
      <c r="A127" s="131" t="str">
        <f aca="false">IF(B127="","","LL-"&amp;TEXT(ROW()-6,"000"))</f>
        <v/>
      </c>
      <c r="B127" s="207"/>
      <c r="C127" s="60"/>
      <c r="D127" s="204" t="str">
        <f aca="false">IF(LEFT(C127,4)="ผรม.",TRIM(MID(C127,5,5)),IFERROR(INDEX('Master Plan'!$L$8:$L$27,MATCH(C127,'Master Plan'!$A$8:$A$27,0)),""))</f>
        <v/>
      </c>
      <c r="E127" s="60"/>
      <c r="F127" s="114"/>
      <c r="G127" s="60"/>
      <c r="H127" s="60"/>
      <c r="I127" s="60"/>
      <c r="J127" s="60"/>
      <c r="K127" s="60"/>
      <c r="L127" s="114"/>
      <c r="M127" s="60"/>
      <c r="N127" s="60"/>
    </row>
    <row r="128" customFormat="false" ht="15" hidden="false" customHeight="false" outlineLevel="0" collapsed="false">
      <c r="A128" s="131" t="str">
        <f aca="false">IF(B128="","","LL-"&amp;TEXT(ROW()-6,"000"))</f>
        <v/>
      </c>
      <c r="B128" s="207"/>
      <c r="C128" s="60"/>
      <c r="D128" s="204" t="str">
        <f aca="false">IF(LEFT(C128,4)="ผรม.",TRIM(MID(C128,5,5)),IFERROR(INDEX('Master Plan'!$L$8:$L$27,MATCH(C128,'Master Plan'!$A$8:$A$27,0)),""))</f>
        <v/>
      </c>
      <c r="E128" s="60"/>
      <c r="F128" s="114"/>
      <c r="G128" s="60"/>
      <c r="H128" s="60"/>
      <c r="I128" s="60"/>
      <c r="J128" s="60"/>
      <c r="K128" s="60"/>
      <c r="L128" s="114"/>
      <c r="M128" s="60"/>
      <c r="N128" s="60"/>
    </row>
    <row r="129" customFormat="false" ht="15" hidden="false" customHeight="false" outlineLevel="0" collapsed="false">
      <c r="A129" s="131" t="str">
        <f aca="false">IF(B129="","","LL-"&amp;TEXT(ROW()-6,"000"))</f>
        <v/>
      </c>
      <c r="B129" s="207"/>
      <c r="C129" s="60"/>
      <c r="D129" s="204" t="str">
        <f aca="false">IF(LEFT(C129,4)="ผรม.",TRIM(MID(C129,5,5)),IFERROR(INDEX('Master Plan'!$L$8:$L$27,MATCH(C129,'Master Plan'!$A$8:$A$27,0)),""))</f>
        <v/>
      </c>
      <c r="E129" s="60"/>
      <c r="F129" s="114"/>
      <c r="G129" s="60"/>
      <c r="H129" s="60"/>
      <c r="I129" s="60"/>
      <c r="J129" s="60"/>
      <c r="K129" s="60"/>
      <c r="L129" s="114"/>
      <c r="M129" s="60"/>
      <c r="N129" s="60"/>
    </row>
    <row r="130" customFormat="false" ht="15" hidden="false" customHeight="false" outlineLevel="0" collapsed="false">
      <c r="A130" s="131" t="str">
        <f aca="false">IF(B130="","","LL-"&amp;TEXT(ROW()-6,"000"))</f>
        <v/>
      </c>
      <c r="B130" s="207"/>
      <c r="C130" s="60"/>
      <c r="D130" s="204" t="str">
        <f aca="false">IF(LEFT(C130,4)="ผรม.",TRIM(MID(C130,5,5)),IFERROR(INDEX('Master Plan'!$L$8:$L$27,MATCH(C130,'Master Plan'!$A$8:$A$27,0)),""))</f>
        <v/>
      </c>
      <c r="E130" s="60"/>
      <c r="F130" s="114"/>
      <c r="G130" s="60"/>
      <c r="H130" s="60"/>
      <c r="I130" s="60"/>
      <c r="J130" s="60"/>
      <c r="K130" s="60"/>
      <c r="L130" s="114"/>
      <c r="M130" s="60"/>
      <c r="N130" s="60"/>
    </row>
    <row r="131" customFormat="false" ht="15" hidden="false" customHeight="false" outlineLevel="0" collapsed="false">
      <c r="A131" s="131" t="str">
        <f aca="false">IF(B131="","","LL-"&amp;TEXT(ROW()-6,"000"))</f>
        <v/>
      </c>
      <c r="B131" s="207"/>
      <c r="C131" s="60"/>
      <c r="D131" s="204" t="str">
        <f aca="false">IF(LEFT(C131,4)="ผรม.",TRIM(MID(C131,5,5)),IFERROR(INDEX('Master Plan'!$L$8:$L$27,MATCH(C131,'Master Plan'!$A$8:$A$27,0)),""))</f>
        <v/>
      </c>
      <c r="E131" s="60"/>
      <c r="F131" s="114"/>
      <c r="G131" s="60"/>
      <c r="H131" s="60"/>
      <c r="I131" s="60"/>
      <c r="J131" s="60"/>
      <c r="K131" s="60"/>
      <c r="L131" s="114"/>
      <c r="M131" s="60"/>
      <c r="N131" s="60"/>
    </row>
    <row r="132" customFormat="false" ht="15" hidden="false" customHeight="false" outlineLevel="0" collapsed="false">
      <c r="A132" s="131" t="str">
        <f aca="false">IF(B132="","","LL-"&amp;TEXT(ROW()-6,"000"))</f>
        <v/>
      </c>
      <c r="B132" s="207"/>
      <c r="C132" s="60"/>
      <c r="D132" s="204" t="str">
        <f aca="false">IF(LEFT(C132,4)="ผรม.",TRIM(MID(C132,5,5)),IFERROR(INDEX('Master Plan'!$L$8:$L$27,MATCH(C132,'Master Plan'!$A$8:$A$27,0)),""))</f>
        <v/>
      </c>
      <c r="E132" s="60"/>
      <c r="F132" s="114"/>
      <c r="G132" s="60"/>
      <c r="H132" s="60"/>
      <c r="I132" s="60"/>
      <c r="J132" s="60"/>
      <c r="K132" s="60"/>
      <c r="L132" s="114"/>
      <c r="M132" s="60"/>
      <c r="N132" s="60"/>
    </row>
    <row r="133" customFormat="false" ht="15" hidden="false" customHeight="false" outlineLevel="0" collapsed="false">
      <c r="A133" s="131" t="str">
        <f aca="false">IF(B133="","","LL-"&amp;TEXT(ROW()-6,"000"))</f>
        <v/>
      </c>
      <c r="B133" s="207"/>
      <c r="C133" s="60"/>
      <c r="D133" s="204" t="str">
        <f aca="false">IF(LEFT(C133,4)="ผรม.",TRIM(MID(C133,5,5)),IFERROR(INDEX('Master Plan'!$L$8:$L$27,MATCH(C133,'Master Plan'!$A$8:$A$27,0)),""))</f>
        <v/>
      </c>
      <c r="E133" s="60"/>
      <c r="F133" s="114"/>
      <c r="G133" s="60"/>
      <c r="H133" s="60"/>
      <c r="I133" s="60"/>
      <c r="J133" s="60"/>
      <c r="K133" s="60"/>
      <c r="L133" s="114"/>
      <c r="M133" s="60"/>
      <c r="N133" s="60"/>
    </row>
    <row r="134" customFormat="false" ht="15" hidden="false" customHeight="false" outlineLevel="0" collapsed="false">
      <c r="A134" s="131" t="str">
        <f aca="false">IF(B134="","","LL-"&amp;TEXT(ROW()-6,"000"))</f>
        <v/>
      </c>
      <c r="B134" s="207"/>
      <c r="C134" s="60"/>
      <c r="D134" s="204" t="str">
        <f aca="false">IF(LEFT(C134,4)="ผรม.",TRIM(MID(C134,5,5)),IFERROR(INDEX('Master Plan'!$L$8:$L$27,MATCH(C134,'Master Plan'!$A$8:$A$27,0)),""))</f>
        <v/>
      </c>
      <c r="E134" s="60"/>
      <c r="F134" s="114"/>
      <c r="G134" s="60"/>
      <c r="H134" s="60"/>
      <c r="I134" s="60"/>
      <c r="J134" s="60"/>
      <c r="K134" s="60"/>
      <c r="L134" s="114"/>
      <c r="M134" s="60"/>
      <c r="N134" s="60"/>
    </row>
    <row r="135" customFormat="false" ht="15" hidden="false" customHeight="false" outlineLevel="0" collapsed="false">
      <c r="A135" s="131" t="str">
        <f aca="false">IF(B135="","","LL-"&amp;TEXT(ROW()-6,"000"))</f>
        <v/>
      </c>
      <c r="B135" s="207"/>
      <c r="C135" s="60"/>
      <c r="D135" s="204" t="str">
        <f aca="false">IF(LEFT(C135,4)="ผรม.",TRIM(MID(C135,5,5)),IFERROR(INDEX('Master Plan'!$L$8:$L$27,MATCH(C135,'Master Plan'!$A$8:$A$27,0)),""))</f>
        <v/>
      </c>
      <c r="E135" s="60"/>
      <c r="F135" s="114"/>
      <c r="G135" s="60"/>
      <c r="H135" s="60"/>
      <c r="I135" s="60"/>
      <c r="J135" s="60"/>
      <c r="K135" s="60"/>
      <c r="L135" s="114"/>
      <c r="M135" s="60"/>
      <c r="N135" s="60"/>
    </row>
    <row r="136" customFormat="false" ht="15" hidden="false" customHeight="false" outlineLevel="0" collapsed="false">
      <c r="A136" s="131" t="str">
        <f aca="false">IF(B136="","","LL-"&amp;TEXT(ROW()-6,"000"))</f>
        <v/>
      </c>
      <c r="B136" s="207"/>
      <c r="C136" s="60"/>
      <c r="D136" s="204" t="str">
        <f aca="false">IF(LEFT(C136,4)="ผรม.",TRIM(MID(C136,5,5)),IFERROR(INDEX('Master Plan'!$L$8:$L$27,MATCH(C136,'Master Plan'!$A$8:$A$27,0)),""))</f>
        <v/>
      </c>
      <c r="E136" s="60"/>
      <c r="F136" s="114"/>
      <c r="G136" s="60"/>
      <c r="H136" s="60"/>
      <c r="I136" s="60"/>
      <c r="J136" s="60"/>
      <c r="K136" s="60"/>
      <c r="L136" s="114"/>
      <c r="M136" s="60"/>
      <c r="N136" s="60"/>
    </row>
    <row r="137" customFormat="false" ht="15" hidden="false" customHeight="false" outlineLevel="0" collapsed="false">
      <c r="A137" s="131" t="str">
        <f aca="false">IF(B137="","","LL-"&amp;TEXT(ROW()-6,"000"))</f>
        <v/>
      </c>
      <c r="B137" s="207"/>
      <c r="C137" s="60"/>
      <c r="D137" s="204" t="str">
        <f aca="false">IF(LEFT(C137,4)="ผรม.",TRIM(MID(C137,5,5)),IFERROR(INDEX('Master Plan'!$L$8:$L$27,MATCH(C137,'Master Plan'!$A$8:$A$27,0)),""))</f>
        <v/>
      </c>
      <c r="E137" s="60"/>
      <c r="F137" s="114"/>
      <c r="G137" s="60"/>
      <c r="H137" s="60"/>
      <c r="I137" s="60"/>
      <c r="J137" s="60"/>
      <c r="K137" s="60"/>
      <c r="L137" s="114"/>
      <c r="M137" s="60"/>
      <c r="N137" s="60"/>
    </row>
    <row r="138" customFormat="false" ht="15" hidden="false" customHeight="false" outlineLevel="0" collapsed="false">
      <c r="A138" s="131" t="str">
        <f aca="false">IF(B138="","","LL-"&amp;TEXT(ROW()-6,"000"))</f>
        <v/>
      </c>
      <c r="B138" s="207"/>
      <c r="C138" s="60"/>
      <c r="D138" s="204" t="str">
        <f aca="false">IF(LEFT(C138,4)="ผรม.",TRIM(MID(C138,5,5)),IFERROR(INDEX('Master Plan'!$L$8:$L$27,MATCH(C138,'Master Plan'!$A$8:$A$27,0)),""))</f>
        <v/>
      </c>
      <c r="E138" s="60"/>
      <c r="F138" s="114"/>
      <c r="G138" s="60"/>
      <c r="H138" s="60"/>
      <c r="I138" s="60"/>
      <c r="J138" s="60"/>
      <c r="K138" s="60"/>
      <c r="L138" s="114"/>
      <c r="M138" s="60"/>
      <c r="N138" s="60"/>
    </row>
    <row r="139" customFormat="false" ht="15" hidden="false" customHeight="false" outlineLevel="0" collapsed="false">
      <c r="A139" s="131" t="str">
        <f aca="false">IF(B139="","","LL-"&amp;TEXT(ROW()-6,"000"))</f>
        <v/>
      </c>
      <c r="B139" s="207"/>
      <c r="C139" s="60"/>
      <c r="D139" s="204" t="str">
        <f aca="false">IF(LEFT(C139,4)="ผรม.",TRIM(MID(C139,5,5)),IFERROR(INDEX('Master Plan'!$L$8:$L$27,MATCH(C139,'Master Plan'!$A$8:$A$27,0)),""))</f>
        <v/>
      </c>
      <c r="E139" s="60"/>
      <c r="F139" s="114"/>
      <c r="G139" s="60"/>
      <c r="H139" s="60"/>
      <c r="I139" s="60"/>
      <c r="J139" s="60"/>
      <c r="K139" s="60"/>
      <c r="L139" s="114"/>
      <c r="M139" s="60"/>
      <c r="N139" s="60"/>
    </row>
    <row r="140" customFormat="false" ht="15" hidden="false" customHeight="false" outlineLevel="0" collapsed="false">
      <c r="A140" s="131" t="str">
        <f aca="false">IF(B140="","","LL-"&amp;TEXT(ROW()-6,"000"))</f>
        <v/>
      </c>
      <c r="B140" s="207"/>
      <c r="C140" s="60"/>
      <c r="D140" s="204" t="str">
        <f aca="false">IF(LEFT(C140,4)="ผรม.",TRIM(MID(C140,5,5)),IFERROR(INDEX('Master Plan'!$L$8:$L$27,MATCH(C140,'Master Plan'!$A$8:$A$27,0)),""))</f>
        <v/>
      </c>
      <c r="E140" s="60"/>
      <c r="F140" s="114"/>
      <c r="G140" s="60"/>
      <c r="H140" s="60"/>
      <c r="I140" s="60"/>
      <c r="J140" s="60"/>
      <c r="K140" s="60"/>
      <c r="L140" s="114"/>
      <c r="M140" s="60"/>
      <c r="N140" s="60"/>
    </row>
    <row r="141" customFormat="false" ht="15" hidden="false" customHeight="false" outlineLevel="0" collapsed="false">
      <c r="A141" s="131" t="str">
        <f aca="false">IF(B141="","","LL-"&amp;TEXT(ROW()-6,"000"))</f>
        <v/>
      </c>
      <c r="B141" s="207"/>
      <c r="C141" s="60"/>
      <c r="D141" s="204" t="str">
        <f aca="false">IF(LEFT(C141,4)="ผรม.",TRIM(MID(C141,5,5)),IFERROR(INDEX('Master Plan'!$L$8:$L$27,MATCH(C141,'Master Plan'!$A$8:$A$27,0)),""))</f>
        <v/>
      </c>
      <c r="E141" s="60"/>
      <c r="F141" s="114"/>
      <c r="G141" s="60"/>
      <c r="H141" s="60"/>
      <c r="I141" s="60"/>
      <c r="J141" s="60"/>
      <c r="K141" s="60"/>
      <c r="L141" s="114"/>
      <c r="M141" s="60"/>
      <c r="N141" s="60"/>
    </row>
    <row r="142" customFormat="false" ht="15" hidden="false" customHeight="false" outlineLevel="0" collapsed="false">
      <c r="A142" s="131" t="str">
        <f aca="false">IF(B142="","","LL-"&amp;TEXT(ROW()-6,"000"))</f>
        <v/>
      </c>
      <c r="B142" s="207"/>
      <c r="C142" s="60"/>
      <c r="D142" s="204" t="str">
        <f aca="false">IF(LEFT(C142,4)="ผรม.",TRIM(MID(C142,5,5)),IFERROR(INDEX('Master Plan'!$L$8:$L$27,MATCH(C142,'Master Plan'!$A$8:$A$27,0)),""))</f>
        <v/>
      </c>
      <c r="E142" s="60"/>
      <c r="F142" s="114"/>
      <c r="G142" s="60"/>
      <c r="H142" s="60"/>
      <c r="I142" s="60"/>
      <c r="J142" s="60"/>
      <c r="K142" s="60"/>
      <c r="L142" s="114"/>
      <c r="M142" s="60"/>
      <c r="N142" s="60"/>
    </row>
    <row r="143" customFormat="false" ht="15" hidden="false" customHeight="false" outlineLevel="0" collapsed="false">
      <c r="A143" s="131" t="str">
        <f aca="false">IF(B143="","","LL-"&amp;TEXT(ROW()-6,"000"))</f>
        <v/>
      </c>
      <c r="B143" s="207"/>
      <c r="C143" s="60"/>
      <c r="D143" s="204" t="str">
        <f aca="false">IF(LEFT(C143,4)="ผรม.",TRIM(MID(C143,5,5)),IFERROR(INDEX('Master Plan'!$L$8:$L$27,MATCH(C143,'Master Plan'!$A$8:$A$27,0)),""))</f>
        <v/>
      </c>
      <c r="E143" s="60"/>
      <c r="F143" s="114"/>
      <c r="G143" s="60"/>
      <c r="H143" s="60"/>
      <c r="I143" s="60"/>
      <c r="J143" s="60"/>
      <c r="K143" s="60"/>
      <c r="L143" s="114"/>
      <c r="M143" s="60"/>
      <c r="N143" s="60"/>
    </row>
    <row r="144" customFormat="false" ht="15" hidden="false" customHeight="false" outlineLevel="0" collapsed="false">
      <c r="A144" s="131" t="str">
        <f aca="false">IF(B144="","","LL-"&amp;TEXT(ROW()-6,"000"))</f>
        <v/>
      </c>
      <c r="B144" s="207"/>
      <c r="C144" s="60"/>
      <c r="D144" s="204" t="str">
        <f aca="false">IF(LEFT(C144,4)="ผรม.",TRIM(MID(C144,5,5)),IFERROR(INDEX('Master Plan'!$L$8:$L$27,MATCH(C144,'Master Plan'!$A$8:$A$27,0)),""))</f>
        <v/>
      </c>
      <c r="E144" s="60"/>
      <c r="F144" s="114"/>
      <c r="G144" s="60"/>
      <c r="H144" s="60"/>
      <c r="I144" s="60"/>
      <c r="J144" s="60"/>
      <c r="K144" s="60"/>
      <c r="L144" s="114"/>
      <c r="M144" s="60"/>
      <c r="N144" s="60"/>
    </row>
    <row r="145" customFormat="false" ht="15" hidden="false" customHeight="false" outlineLevel="0" collapsed="false">
      <c r="A145" s="131" t="str">
        <f aca="false">IF(B145="","","LL-"&amp;TEXT(ROW()-6,"000"))</f>
        <v/>
      </c>
      <c r="B145" s="207"/>
      <c r="C145" s="60"/>
      <c r="D145" s="204" t="str">
        <f aca="false">IF(LEFT(C145,4)="ผรม.",TRIM(MID(C145,5,5)),IFERROR(INDEX('Master Plan'!$L$8:$L$27,MATCH(C145,'Master Plan'!$A$8:$A$27,0)),""))</f>
        <v/>
      </c>
      <c r="E145" s="60"/>
      <c r="F145" s="114"/>
      <c r="G145" s="60"/>
      <c r="H145" s="60"/>
      <c r="I145" s="60"/>
      <c r="J145" s="60"/>
      <c r="K145" s="60"/>
      <c r="L145" s="114"/>
      <c r="M145" s="60"/>
      <c r="N145" s="60"/>
    </row>
    <row r="146" customFormat="false" ht="15" hidden="false" customHeight="false" outlineLevel="0" collapsed="false">
      <c r="A146" s="131" t="str">
        <f aca="false">IF(B146="","","LL-"&amp;TEXT(ROW()-6,"000"))</f>
        <v/>
      </c>
      <c r="B146" s="207"/>
      <c r="C146" s="60"/>
      <c r="D146" s="204" t="str">
        <f aca="false">IF(LEFT(C146,4)="ผรม.",TRIM(MID(C146,5,5)),IFERROR(INDEX('Master Plan'!$L$8:$L$27,MATCH(C146,'Master Plan'!$A$8:$A$27,0)),""))</f>
        <v/>
      </c>
      <c r="E146" s="60"/>
      <c r="F146" s="114"/>
      <c r="G146" s="60"/>
      <c r="H146" s="60"/>
      <c r="I146" s="60"/>
      <c r="J146" s="60"/>
      <c r="K146" s="60"/>
      <c r="L146" s="114"/>
      <c r="M146" s="60"/>
      <c r="N146" s="60"/>
    </row>
    <row r="147" customFormat="false" ht="15" hidden="false" customHeight="false" outlineLevel="0" collapsed="false">
      <c r="A147" s="131" t="str">
        <f aca="false">IF(B147="","","LL-"&amp;TEXT(ROW()-6,"000"))</f>
        <v/>
      </c>
      <c r="B147" s="207"/>
      <c r="C147" s="60"/>
      <c r="D147" s="204" t="str">
        <f aca="false">IF(LEFT(C147,4)="ผรม.",TRIM(MID(C147,5,5)),IFERROR(INDEX('Master Plan'!$L$8:$L$27,MATCH(C147,'Master Plan'!$A$8:$A$27,0)),""))</f>
        <v/>
      </c>
      <c r="E147" s="60"/>
      <c r="F147" s="114"/>
      <c r="G147" s="60"/>
      <c r="H147" s="60"/>
      <c r="I147" s="60"/>
      <c r="J147" s="60"/>
      <c r="K147" s="60"/>
      <c r="L147" s="114"/>
      <c r="M147" s="60"/>
      <c r="N147" s="60"/>
    </row>
    <row r="148" customFormat="false" ht="15" hidden="false" customHeight="false" outlineLevel="0" collapsed="false">
      <c r="A148" s="131" t="str">
        <f aca="false">IF(B148="","","LL-"&amp;TEXT(ROW()-6,"000"))</f>
        <v/>
      </c>
      <c r="B148" s="207"/>
      <c r="C148" s="60"/>
      <c r="D148" s="204" t="str">
        <f aca="false">IF(LEFT(C148,4)="ผรม.",TRIM(MID(C148,5,5)),IFERROR(INDEX('Master Plan'!$L$8:$L$27,MATCH(C148,'Master Plan'!$A$8:$A$27,0)),""))</f>
        <v/>
      </c>
      <c r="E148" s="60"/>
      <c r="F148" s="114"/>
      <c r="G148" s="60"/>
      <c r="H148" s="60"/>
      <c r="I148" s="60"/>
      <c r="J148" s="60"/>
      <c r="K148" s="60"/>
      <c r="L148" s="114"/>
      <c r="M148" s="60"/>
      <c r="N148" s="60"/>
    </row>
    <row r="149" customFormat="false" ht="15" hidden="false" customHeight="false" outlineLevel="0" collapsed="false">
      <c r="A149" s="131" t="str">
        <f aca="false">IF(B149="","","LL-"&amp;TEXT(ROW()-6,"000"))</f>
        <v/>
      </c>
      <c r="B149" s="207"/>
      <c r="C149" s="60"/>
      <c r="D149" s="204" t="str">
        <f aca="false">IF(LEFT(C149,4)="ผรม.",TRIM(MID(C149,5,5)),IFERROR(INDEX('Master Plan'!$L$8:$L$27,MATCH(C149,'Master Plan'!$A$8:$A$27,0)),""))</f>
        <v/>
      </c>
      <c r="E149" s="60"/>
      <c r="F149" s="114"/>
      <c r="G149" s="60"/>
      <c r="H149" s="60"/>
      <c r="I149" s="60"/>
      <c r="J149" s="60"/>
      <c r="K149" s="60"/>
      <c r="L149" s="114"/>
      <c r="M149" s="60"/>
      <c r="N149" s="60"/>
    </row>
    <row r="150" customFormat="false" ht="15" hidden="false" customHeight="false" outlineLevel="0" collapsed="false">
      <c r="A150" s="131" t="str">
        <f aca="false">IF(B150="","","LL-"&amp;TEXT(ROW()-6,"000"))</f>
        <v/>
      </c>
      <c r="B150" s="207"/>
      <c r="C150" s="60"/>
      <c r="D150" s="204" t="str">
        <f aca="false">IF(LEFT(C150,4)="ผรม.",TRIM(MID(C150,5,5)),IFERROR(INDEX('Master Plan'!$L$8:$L$27,MATCH(C150,'Master Plan'!$A$8:$A$27,0)),""))</f>
        <v/>
      </c>
      <c r="E150" s="60"/>
      <c r="F150" s="114"/>
      <c r="G150" s="60"/>
      <c r="H150" s="60"/>
      <c r="I150" s="60"/>
      <c r="J150" s="60"/>
      <c r="K150" s="60"/>
      <c r="L150" s="114"/>
      <c r="M150" s="60"/>
      <c r="N150" s="60"/>
    </row>
    <row r="151" customFormat="false" ht="15" hidden="false" customHeight="false" outlineLevel="0" collapsed="false">
      <c r="A151" s="131" t="str">
        <f aca="false">IF(B151="","","LL-"&amp;TEXT(ROW()-6,"000"))</f>
        <v/>
      </c>
      <c r="B151" s="207"/>
      <c r="C151" s="60"/>
      <c r="D151" s="204" t="str">
        <f aca="false">IF(LEFT(C151,4)="ผรม.",TRIM(MID(C151,5,5)),IFERROR(INDEX('Master Plan'!$L$8:$L$27,MATCH(C151,'Master Plan'!$A$8:$A$27,0)),""))</f>
        <v/>
      </c>
      <c r="E151" s="60"/>
      <c r="F151" s="114"/>
      <c r="G151" s="60"/>
      <c r="H151" s="60"/>
      <c r="I151" s="60"/>
      <c r="J151" s="60"/>
      <c r="K151" s="60"/>
      <c r="L151" s="114"/>
      <c r="M151" s="60"/>
      <c r="N151" s="60"/>
    </row>
    <row r="152" customFormat="false" ht="15" hidden="false" customHeight="false" outlineLevel="0" collapsed="false">
      <c r="A152" s="131" t="str">
        <f aca="false">IF(B152="","","LL-"&amp;TEXT(ROW()-6,"000"))</f>
        <v/>
      </c>
      <c r="B152" s="207"/>
      <c r="C152" s="60"/>
      <c r="D152" s="204" t="str">
        <f aca="false">IF(LEFT(C152,4)="ผรม.",TRIM(MID(C152,5,5)),IFERROR(INDEX('Master Plan'!$L$8:$L$27,MATCH(C152,'Master Plan'!$A$8:$A$27,0)),""))</f>
        <v/>
      </c>
      <c r="E152" s="60"/>
      <c r="F152" s="114"/>
      <c r="G152" s="60"/>
      <c r="H152" s="60"/>
      <c r="I152" s="60"/>
      <c r="J152" s="60"/>
      <c r="K152" s="60"/>
      <c r="L152" s="114"/>
      <c r="M152" s="60"/>
      <c r="N152" s="60"/>
    </row>
    <row r="153" customFormat="false" ht="15" hidden="false" customHeight="false" outlineLevel="0" collapsed="false">
      <c r="A153" s="131" t="str">
        <f aca="false">IF(B153="","","LL-"&amp;TEXT(ROW()-6,"000"))</f>
        <v/>
      </c>
      <c r="B153" s="207"/>
      <c r="C153" s="60"/>
      <c r="D153" s="204" t="str">
        <f aca="false">IF(LEFT(C153,4)="ผรม.",TRIM(MID(C153,5,5)),IFERROR(INDEX('Master Plan'!$L$8:$L$27,MATCH(C153,'Master Plan'!$A$8:$A$27,0)),""))</f>
        <v/>
      </c>
      <c r="E153" s="60"/>
      <c r="F153" s="114"/>
      <c r="G153" s="60"/>
      <c r="H153" s="60"/>
      <c r="I153" s="60"/>
      <c r="J153" s="60"/>
      <c r="K153" s="60"/>
      <c r="L153" s="114"/>
      <c r="M153" s="60"/>
      <c r="N153" s="60"/>
    </row>
    <row r="154" customFormat="false" ht="15" hidden="false" customHeight="false" outlineLevel="0" collapsed="false">
      <c r="A154" s="131" t="str">
        <f aca="false">IF(B154="","","LL-"&amp;TEXT(ROW()-6,"000"))</f>
        <v/>
      </c>
      <c r="B154" s="207"/>
      <c r="C154" s="60"/>
      <c r="D154" s="204" t="str">
        <f aca="false">IF(LEFT(C154,4)="ผรม.",TRIM(MID(C154,5,5)),IFERROR(INDEX('Master Plan'!$L$8:$L$27,MATCH(C154,'Master Plan'!$A$8:$A$27,0)),""))</f>
        <v/>
      </c>
      <c r="E154" s="60"/>
      <c r="F154" s="114"/>
      <c r="G154" s="60"/>
      <c r="H154" s="60"/>
      <c r="I154" s="60"/>
      <c r="J154" s="60"/>
      <c r="K154" s="60"/>
      <c r="L154" s="114"/>
      <c r="M154" s="60"/>
      <c r="N154" s="60"/>
    </row>
    <row r="155" customFormat="false" ht="15" hidden="false" customHeight="false" outlineLevel="0" collapsed="false">
      <c r="A155" s="131" t="str">
        <f aca="false">IF(B155="","","LL-"&amp;TEXT(ROW()-6,"000"))</f>
        <v/>
      </c>
      <c r="B155" s="207"/>
      <c r="C155" s="60"/>
      <c r="D155" s="204" t="str">
        <f aca="false">IF(LEFT(C155,4)="ผรม.",TRIM(MID(C155,5,5)),IFERROR(INDEX('Master Plan'!$L$8:$L$27,MATCH(C155,'Master Plan'!$A$8:$A$27,0)),""))</f>
        <v/>
      </c>
      <c r="E155" s="60"/>
      <c r="F155" s="114"/>
      <c r="G155" s="60"/>
      <c r="H155" s="60"/>
      <c r="I155" s="60"/>
      <c r="J155" s="60"/>
      <c r="K155" s="60"/>
      <c r="L155" s="114"/>
      <c r="M155" s="60"/>
      <c r="N155" s="60"/>
    </row>
    <row r="156" customFormat="false" ht="15" hidden="false" customHeight="false" outlineLevel="0" collapsed="false">
      <c r="A156" s="131" t="str">
        <f aca="false">IF(B156="","","LL-"&amp;TEXT(ROW()-6,"000"))</f>
        <v/>
      </c>
      <c r="B156" s="207"/>
      <c r="C156" s="60"/>
      <c r="D156" s="204" t="str">
        <f aca="false">IF(LEFT(C156,4)="ผรม.",TRIM(MID(C156,5,5)),IFERROR(INDEX('Master Plan'!$L$8:$L$27,MATCH(C156,'Master Plan'!$A$8:$A$27,0)),""))</f>
        <v/>
      </c>
      <c r="E156" s="60"/>
      <c r="F156" s="114"/>
      <c r="G156" s="60"/>
      <c r="H156" s="60"/>
      <c r="I156" s="60"/>
      <c r="J156" s="60"/>
      <c r="K156" s="60"/>
      <c r="L156" s="114"/>
      <c r="M156" s="60"/>
      <c r="N156" s="60"/>
    </row>
    <row r="157" customFormat="false" ht="15" hidden="false" customHeight="false" outlineLevel="0" collapsed="false">
      <c r="A157" s="131" t="str">
        <f aca="false">IF(B157="","","LL-"&amp;TEXT(ROW()-6,"000"))</f>
        <v/>
      </c>
      <c r="B157" s="207"/>
      <c r="C157" s="60"/>
      <c r="D157" s="204" t="str">
        <f aca="false">IF(LEFT(C157,4)="ผรม.",TRIM(MID(C157,5,5)),IFERROR(INDEX('Master Plan'!$L$8:$L$27,MATCH(C157,'Master Plan'!$A$8:$A$27,0)),""))</f>
        <v/>
      </c>
      <c r="E157" s="60"/>
      <c r="F157" s="114"/>
      <c r="G157" s="60"/>
      <c r="H157" s="60"/>
      <c r="I157" s="60"/>
      <c r="J157" s="60"/>
      <c r="K157" s="60"/>
      <c r="L157" s="114"/>
      <c r="M157" s="60"/>
      <c r="N157" s="60"/>
    </row>
    <row r="158" customFormat="false" ht="15" hidden="false" customHeight="false" outlineLevel="0" collapsed="false">
      <c r="A158" s="131" t="str">
        <f aca="false">IF(B158="","","LL-"&amp;TEXT(ROW()-6,"000"))</f>
        <v/>
      </c>
      <c r="B158" s="207"/>
      <c r="C158" s="60"/>
      <c r="D158" s="204" t="str">
        <f aca="false">IF(LEFT(C158,4)="ผรม.",TRIM(MID(C158,5,5)),IFERROR(INDEX('Master Plan'!$L$8:$L$27,MATCH(C158,'Master Plan'!$A$8:$A$27,0)),""))</f>
        <v/>
      </c>
      <c r="E158" s="60"/>
      <c r="F158" s="114"/>
      <c r="G158" s="60"/>
      <c r="H158" s="60"/>
      <c r="I158" s="60"/>
      <c r="J158" s="60"/>
      <c r="K158" s="60"/>
      <c r="L158" s="114"/>
      <c r="M158" s="60"/>
      <c r="N158" s="60"/>
    </row>
    <row r="159" customFormat="false" ht="15" hidden="false" customHeight="false" outlineLevel="0" collapsed="false">
      <c r="A159" s="131" t="str">
        <f aca="false">IF(B159="","","LL-"&amp;TEXT(ROW()-6,"000"))</f>
        <v/>
      </c>
      <c r="B159" s="207"/>
      <c r="C159" s="60"/>
      <c r="D159" s="204" t="str">
        <f aca="false">IF(LEFT(C159,4)="ผรม.",TRIM(MID(C159,5,5)),IFERROR(INDEX('Master Plan'!$L$8:$L$27,MATCH(C159,'Master Plan'!$A$8:$A$27,0)),""))</f>
        <v/>
      </c>
      <c r="E159" s="60"/>
      <c r="F159" s="114"/>
      <c r="G159" s="60"/>
      <c r="H159" s="60"/>
      <c r="I159" s="60"/>
      <c r="J159" s="60"/>
      <c r="K159" s="60"/>
      <c r="L159" s="114"/>
      <c r="M159" s="60"/>
      <c r="N159" s="60"/>
    </row>
    <row r="160" customFormat="false" ht="15" hidden="false" customHeight="false" outlineLevel="0" collapsed="false">
      <c r="A160" s="131" t="str">
        <f aca="false">IF(B160="","","LL-"&amp;TEXT(ROW()-6,"000"))</f>
        <v/>
      </c>
      <c r="B160" s="207"/>
      <c r="C160" s="60"/>
      <c r="D160" s="204" t="str">
        <f aca="false">IF(LEFT(C160,4)="ผรม.",TRIM(MID(C160,5,5)),IFERROR(INDEX('Master Plan'!$L$8:$L$27,MATCH(C160,'Master Plan'!$A$8:$A$27,0)),""))</f>
        <v/>
      </c>
      <c r="E160" s="60"/>
      <c r="F160" s="114"/>
      <c r="G160" s="60"/>
      <c r="H160" s="60"/>
      <c r="I160" s="60"/>
      <c r="J160" s="60"/>
      <c r="K160" s="60"/>
      <c r="L160" s="114"/>
      <c r="M160" s="60"/>
      <c r="N160" s="60"/>
    </row>
    <row r="161" customFormat="false" ht="15" hidden="false" customHeight="false" outlineLevel="0" collapsed="false">
      <c r="A161" s="131" t="str">
        <f aca="false">IF(B161="","","LL-"&amp;TEXT(ROW()-6,"000"))</f>
        <v/>
      </c>
      <c r="B161" s="207"/>
      <c r="C161" s="60"/>
      <c r="D161" s="204" t="str">
        <f aca="false">IF(LEFT(C161,4)="ผรม.",TRIM(MID(C161,5,5)),IFERROR(INDEX('Master Plan'!$L$8:$L$27,MATCH(C161,'Master Plan'!$A$8:$A$27,0)),""))</f>
        <v/>
      </c>
      <c r="E161" s="60"/>
      <c r="F161" s="114"/>
      <c r="G161" s="60"/>
      <c r="H161" s="60"/>
      <c r="I161" s="60"/>
      <c r="J161" s="60"/>
      <c r="K161" s="60"/>
      <c r="L161" s="114"/>
      <c r="M161" s="60"/>
      <c r="N161" s="60"/>
    </row>
    <row r="162" customFormat="false" ht="15" hidden="false" customHeight="false" outlineLevel="0" collapsed="false">
      <c r="A162" s="131" t="str">
        <f aca="false">IF(B162="","","LL-"&amp;TEXT(ROW()-6,"000"))</f>
        <v/>
      </c>
      <c r="B162" s="207"/>
      <c r="C162" s="60"/>
      <c r="D162" s="204" t="str">
        <f aca="false">IF(LEFT(C162,4)="ผรม.",TRIM(MID(C162,5,5)),IFERROR(INDEX('Master Plan'!$L$8:$L$27,MATCH(C162,'Master Plan'!$A$8:$A$27,0)),""))</f>
        <v/>
      </c>
      <c r="E162" s="60"/>
      <c r="F162" s="114"/>
      <c r="G162" s="60"/>
      <c r="H162" s="60"/>
      <c r="I162" s="60"/>
      <c r="J162" s="60"/>
      <c r="K162" s="60"/>
      <c r="L162" s="114"/>
      <c r="M162" s="60"/>
      <c r="N162" s="60"/>
    </row>
    <row r="163" customFormat="false" ht="15" hidden="false" customHeight="false" outlineLevel="0" collapsed="false">
      <c r="A163" s="131" t="str">
        <f aca="false">IF(B163="","","LL-"&amp;TEXT(ROW()-6,"000"))</f>
        <v/>
      </c>
      <c r="B163" s="207"/>
      <c r="C163" s="60"/>
      <c r="D163" s="204" t="str">
        <f aca="false">IF(LEFT(C163,4)="ผรม.",TRIM(MID(C163,5,5)),IFERROR(INDEX('Master Plan'!$L$8:$L$27,MATCH(C163,'Master Plan'!$A$8:$A$27,0)),""))</f>
        <v/>
      </c>
      <c r="E163" s="60"/>
      <c r="F163" s="114"/>
      <c r="G163" s="60"/>
      <c r="H163" s="60"/>
      <c r="I163" s="60"/>
      <c r="J163" s="60"/>
      <c r="K163" s="60"/>
      <c r="L163" s="114"/>
      <c r="M163" s="60"/>
      <c r="N163" s="60"/>
    </row>
    <row r="164" customFormat="false" ht="15" hidden="false" customHeight="false" outlineLevel="0" collapsed="false">
      <c r="A164" s="131" t="str">
        <f aca="false">IF(B164="","","LL-"&amp;TEXT(ROW()-6,"000"))</f>
        <v/>
      </c>
      <c r="B164" s="207"/>
      <c r="C164" s="60"/>
      <c r="D164" s="204" t="str">
        <f aca="false">IF(LEFT(C164,4)="ผรม.",TRIM(MID(C164,5,5)),IFERROR(INDEX('Master Plan'!$L$8:$L$27,MATCH(C164,'Master Plan'!$A$8:$A$27,0)),""))</f>
        <v/>
      </c>
      <c r="E164" s="60"/>
      <c r="F164" s="114"/>
      <c r="G164" s="60"/>
      <c r="H164" s="60"/>
      <c r="I164" s="60"/>
      <c r="J164" s="60"/>
      <c r="K164" s="60"/>
      <c r="L164" s="114"/>
      <c r="M164" s="60"/>
      <c r="N164" s="60"/>
    </row>
    <row r="165" customFormat="false" ht="15" hidden="false" customHeight="false" outlineLevel="0" collapsed="false">
      <c r="A165" s="131" t="str">
        <f aca="false">IF(B165="","","LL-"&amp;TEXT(ROW()-6,"000"))</f>
        <v/>
      </c>
      <c r="B165" s="207"/>
      <c r="C165" s="60"/>
      <c r="D165" s="204" t="str">
        <f aca="false">IF(LEFT(C165,4)="ผรม.",TRIM(MID(C165,5,5)),IFERROR(INDEX('Master Plan'!$L$8:$L$27,MATCH(C165,'Master Plan'!$A$8:$A$27,0)),""))</f>
        <v/>
      </c>
      <c r="E165" s="60"/>
      <c r="F165" s="114"/>
      <c r="G165" s="60"/>
      <c r="H165" s="60"/>
      <c r="I165" s="60"/>
      <c r="J165" s="60"/>
      <c r="K165" s="60"/>
      <c r="L165" s="114"/>
      <c r="M165" s="60"/>
      <c r="N165" s="60"/>
    </row>
    <row r="166" customFormat="false" ht="15" hidden="false" customHeight="false" outlineLevel="0" collapsed="false">
      <c r="A166" s="131" t="str">
        <f aca="false">IF(B166="","","LL-"&amp;TEXT(ROW()-6,"000"))</f>
        <v/>
      </c>
      <c r="B166" s="207"/>
      <c r="C166" s="60"/>
      <c r="D166" s="204" t="str">
        <f aca="false">IF(LEFT(C166,4)="ผรม.",TRIM(MID(C166,5,5)),IFERROR(INDEX('Master Plan'!$L$8:$L$27,MATCH(C166,'Master Plan'!$A$8:$A$27,0)),""))</f>
        <v/>
      </c>
      <c r="E166" s="60"/>
      <c r="F166" s="114"/>
      <c r="G166" s="60"/>
      <c r="H166" s="60"/>
      <c r="I166" s="60"/>
      <c r="J166" s="60"/>
      <c r="K166" s="60"/>
      <c r="L166" s="114"/>
      <c r="M166" s="60"/>
      <c r="N166" s="60"/>
    </row>
    <row r="167" customFormat="false" ht="15" hidden="false" customHeight="false" outlineLevel="0" collapsed="false">
      <c r="A167" s="131" t="str">
        <f aca="false">IF(B167="","","LL-"&amp;TEXT(ROW()-6,"000"))</f>
        <v/>
      </c>
      <c r="B167" s="207"/>
      <c r="C167" s="60"/>
      <c r="D167" s="204" t="str">
        <f aca="false">IF(LEFT(C167,4)="ผรม.",TRIM(MID(C167,5,5)),IFERROR(INDEX('Master Plan'!$L$8:$L$27,MATCH(C167,'Master Plan'!$A$8:$A$27,0)),""))</f>
        <v/>
      </c>
      <c r="E167" s="60"/>
      <c r="F167" s="114"/>
      <c r="G167" s="60"/>
      <c r="H167" s="60"/>
      <c r="I167" s="60"/>
      <c r="J167" s="60"/>
      <c r="K167" s="60"/>
      <c r="L167" s="114"/>
      <c r="M167" s="60"/>
      <c r="N167" s="60"/>
    </row>
    <row r="168" customFormat="false" ht="15" hidden="false" customHeight="false" outlineLevel="0" collapsed="false">
      <c r="A168" s="131" t="str">
        <f aca="false">IF(B168="","","LL-"&amp;TEXT(ROW()-6,"000"))</f>
        <v/>
      </c>
      <c r="B168" s="207"/>
      <c r="C168" s="60"/>
      <c r="D168" s="204" t="str">
        <f aca="false">IF(LEFT(C168,4)="ผรม.",TRIM(MID(C168,5,5)),IFERROR(INDEX('Master Plan'!$L$8:$L$27,MATCH(C168,'Master Plan'!$A$8:$A$27,0)),""))</f>
        <v/>
      </c>
      <c r="E168" s="60"/>
      <c r="F168" s="114"/>
      <c r="G168" s="60"/>
      <c r="H168" s="60"/>
      <c r="I168" s="60"/>
      <c r="J168" s="60"/>
      <c r="K168" s="60"/>
      <c r="L168" s="114"/>
      <c r="M168" s="60"/>
      <c r="N168" s="60"/>
    </row>
    <row r="169" customFormat="false" ht="15" hidden="false" customHeight="false" outlineLevel="0" collapsed="false">
      <c r="A169" s="131" t="str">
        <f aca="false">IF(B169="","","LL-"&amp;TEXT(ROW()-6,"000"))</f>
        <v/>
      </c>
      <c r="B169" s="207"/>
      <c r="C169" s="60"/>
      <c r="D169" s="204" t="str">
        <f aca="false">IF(LEFT(C169,4)="ผรม.",TRIM(MID(C169,5,5)),IFERROR(INDEX('Master Plan'!$L$8:$L$27,MATCH(C169,'Master Plan'!$A$8:$A$27,0)),""))</f>
        <v/>
      </c>
      <c r="E169" s="60"/>
      <c r="F169" s="114"/>
      <c r="G169" s="60"/>
      <c r="H169" s="60"/>
      <c r="I169" s="60"/>
      <c r="J169" s="60"/>
      <c r="K169" s="60"/>
      <c r="L169" s="114"/>
      <c r="M169" s="60"/>
      <c r="N169" s="60"/>
    </row>
    <row r="170" customFormat="false" ht="15" hidden="false" customHeight="false" outlineLevel="0" collapsed="false">
      <c r="A170" s="131" t="str">
        <f aca="false">IF(B170="","","LL-"&amp;TEXT(ROW()-6,"000"))</f>
        <v/>
      </c>
      <c r="B170" s="207"/>
      <c r="C170" s="60"/>
      <c r="D170" s="204" t="str">
        <f aca="false">IF(LEFT(C170,4)="ผรม.",TRIM(MID(C170,5,5)),IFERROR(INDEX('Master Plan'!$L$8:$L$27,MATCH(C170,'Master Plan'!$A$8:$A$27,0)),""))</f>
        <v/>
      </c>
      <c r="E170" s="60"/>
      <c r="F170" s="114"/>
      <c r="G170" s="60"/>
      <c r="H170" s="60"/>
      <c r="I170" s="60"/>
      <c r="J170" s="60"/>
      <c r="K170" s="60"/>
      <c r="L170" s="114"/>
      <c r="M170" s="60"/>
      <c r="N170" s="60"/>
    </row>
    <row r="171" customFormat="false" ht="15" hidden="false" customHeight="false" outlineLevel="0" collapsed="false">
      <c r="A171" s="131" t="str">
        <f aca="false">IF(B171="","","LL-"&amp;TEXT(ROW()-6,"000"))</f>
        <v/>
      </c>
      <c r="B171" s="207"/>
      <c r="C171" s="60"/>
      <c r="D171" s="204" t="str">
        <f aca="false">IF(LEFT(C171,4)="ผรม.",TRIM(MID(C171,5,5)),IFERROR(INDEX('Master Plan'!$L$8:$L$27,MATCH(C171,'Master Plan'!$A$8:$A$27,0)),""))</f>
        <v/>
      </c>
      <c r="E171" s="60"/>
      <c r="F171" s="114"/>
      <c r="G171" s="60"/>
      <c r="H171" s="60"/>
      <c r="I171" s="60"/>
      <c r="J171" s="60"/>
      <c r="K171" s="60"/>
      <c r="L171" s="114"/>
      <c r="M171" s="60"/>
      <c r="N171" s="60"/>
    </row>
    <row r="172" customFormat="false" ht="15" hidden="false" customHeight="false" outlineLevel="0" collapsed="false">
      <c r="A172" s="131" t="str">
        <f aca="false">IF(B172="","","LL-"&amp;TEXT(ROW()-6,"000"))</f>
        <v/>
      </c>
      <c r="B172" s="207"/>
      <c r="C172" s="60"/>
      <c r="D172" s="204" t="str">
        <f aca="false">IF(LEFT(C172,4)="ผรม.",TRIM(MID(C172,5,5)),IFERROR(INDEX('Master Plan'!$L$8:$L$27,MATCH(C172,'Master Plan'!$A$8:$A$27,0)),""))</f>
        <v/>
      </c>
      <c r="E172" s="60"/>
      <c r="F172" s="114"/>
      <c r="G172" s="60"/>
      <c r="H172" s="60"/>
      <c r="I172" s="60"/>
      <c r="J172" s="60"/>
      <c r="K172" s="60"/>
      <c r="L172" s="114"/>
      <c r="M172" s="60"/>
      <c r="N172" s="60"/>
    </row>
    <row r="173" customFormat="false" ht="15" hidden="false" customHeight="false" outlineLevel="0" collapsed="false">
      <c r="A173" s="131" t="str">
        <f aca="false">IF(B173="","","LL-"&amp;TEXT(ROW()-6,"000"))</f>
        <v/>
      </c>
      <c r="B173" s="207"/>
      <c r="C173" s="60"/>
      <c r="D173" s="204" t="str">
        <f aca="false">IF(LEFT(C173,4)="ผรม.",TRIM(MID(C173,5,5)),IFERROR(INDEX('Master Plan'!$L$8:$L$27,MATCH(C173,'Master Plan'!$A$8:$A$27,0)),""))</f>
        <v/>
      </c>
      <c r="E173" s="60"/>
      <c r="F173" s="114"/>
      <c r="G173" s="60"/>
      <c r="H173" s="60"/>
      <c r="I173" s="60"/>
      <c r="J173" s="60"/>
      <c r="K173" s="60"/>
      <c r="L173" s="114"/>
      <c r="M173" s="60"/>
      <c r="N173" s="60"/>
    </row>
    <row r="174" customFormat="false" ht="15" hidden="false" customHeight="false" outlineLevel="0" collapsed="false">
      <c r="A174" s="131" t="str">
        <f aca="false">IF(B174="","","LL-"&amp;TEXT(ROW()-6,"000"))</f>
        <v/>
      </c>
      <c r="B174" s="207"/>
      <c r="C174" s="60"/>
      <c r="D174" s="204" t="str">
        <f aca="false">IF(LEFT(C174,4)="ผรม.",TRIM(MID(C174,5,5)),IFERROR(INDEX('Master Plan'!$L$8:$L$27,MATCH(C174,'Master Plan'!$A$8:$A$27,0)),""))</f>
        <v/>
      </c>
      <c r="E174" s="60"/>
      <c r="F174" s="114"/>
      <c r="G174" s="60"/>
      <c r="H174" s="60"/>
      <c r="I174" s="60"/>
      <c r="J174" s="60"/>
      <c r="K174" s="60"/>
      <c r="L174" s="114"/>
      <c r="M174" s="60"/>
      <c r="N174" s="60"/>
    </row>
    <row r="175" customFormat="false" ht="15" hidden="false" customHeight="false" outlineLevel="0" collapsed="false">
      <c r="A175" s="131" t="str">
        <f aca="false">IF(B175="","","LL-"&amp;TEXT(ROW()-6,"000"))</f>
        <v/>
      </c>
      <c r="B175" s="207"/>
      <c r="C175" s="60"/>
      <c r="D175" s="204" t="str">
        <f aca="false">IF(LEFT(C175,4)="ผรม.",TRIM(MID(C175,5,5)),IFERROR(INDEX('Master Plan'!$L$8:$L$27,MATCH(C175,'Master Plan'!$A$8:$A$27,0)),""))</f>
        <v/>
      </c>
      <c r="E175" s="60"/>
      <c r="F175" s="114"/>
      <c r="G175" s="60"/>
      <c r="H175" s="60"/>
      <c r="I175" s="60"/>
      <c r="J175" s="60"/>
      <c r="K175" s="60"/>
      <c r="L175" s="114"/>
      <c r="M175" s="60"/>
      <c r="N175" s="60"/>
    </row>
    <row r="176" customFormat="false" ht="15" hidden="false" customHeight="false" outlineLevel="0" collapsed="false">
      <c r="A176" s="131" t="str">
        <f aca="false">IF(B176="","","LL-"&amp;TEXT(ROW()-6,"000"))</f>
        <v/>
      </c>
      <c r="B176" s="207"/>
      <c r="C176" s="60"/>
      <c r="D176" s="204" t="str">
        <f aca="false">IF(LEFT(C176,4)="ผรม.",TRIM(MID(C176,5,5)),IFERROR(INDEX('Master Plan'!$L$8:$L$27,MATCH(C176,'Master Plan'!$A$8:$A$27,0)),""))</f>
        <v/>
      </c>
      <c r="E176" s="60"/>
      <c r="F176" s="114"/>
      <c r="G176" s="60"/>
      <c r="H176" s="60"/>
      <c r="I176" s="60"/>
      <c r="J176" s="60"/>
      <c r="K176" s="60"/>
      <c r="L176" s="114"/>
      <c r="M176" s="60"/>
      <c r="N176" s="60"/>
    </row>
    <row r="177" customFormat="false" ht="15" hidden="false" customHeight="false" outlineLevel="0" collapsed="false">
      <c r="A177" s="131" t="str">
        <f aca="false">IF(B177="","","LL-"&amp;TEXT(ROW()-6,"000"))</f>
        <v/>
      </c>
      <c r="B177" s="207"/>
      <c r="C177" s="60"/>
      <c r="D177" s="204" t="str">
        <f aca="false">IF(LEFT(C177,4)="ผรม.",TRIM(MID(C177,5,5)),IFERROR(INDEX('Master Plan'!$L$8:$L$27,MATCH(C177,'Master Plan'!$A$8:$A$27,0)),""))</f>
        <v/>
      </c>
      <c r="E177" s="60"/>
      <c r="F177" s="114"/>
      <c r="G177" s="60"/>
      <c r="H177" s="60"/>
      <c r="I177" s="60"/>
      <c r="J177" s="60"/>
      <c r="K177" s="60"/>
      <c r="L177" s="114"/>
      <c r="M177" s="60"/>
      <c r="N177" s="60"/>
    </row>
    <row r="178" customFormat="false" ht="15" hidden="false" customHeight="false" outlineLevel="0" collapsed="false">
      <c r="A178" s="131" t="str">
        <f aca="false">IF(B178="","","LL-"&amp;TEXT(ROW()-6,"000"))</f>
        <v/>
      </c>
      <c r="B178" s="207"/>
      <c r="C178" s="60"/>
      <c r="D178" s="204" t="str">
        <f aca="false">IF(LEFT(C178,4)="ผรม.",TRIM(MID(C178,5,5)),IFERROR(INDEX('Master Plan'!$L$8:$L$27,MATCH(C178,'Master Plan'!$A$8:$A$27,0)),""))</f>
        <v/>
      </c>
      <c r="E178" s="60"/>
      <c r="F178" s="114"/>
      <c r="G178" s="60"/>
      <c r="H178" s="60"/>
      <c r="I178" s="60"/>
      <c r="J178" s="60"/>
      <c r="K178" s="60"/>
      <c r="L178" s="114"/>
      <c r="M178" s="60"/>
      <c r="N178" s="60"/>
    </row>
    <row r="179" customFormat="false" ht="15" hidden="false" customHeight="false" outlineLevel="0" collapsed="false">
      <c r="A179" s="131" t="str">
        <f aca="false">IF(B179="","","LL-"&amp;TEXT(ROW()-6,"000"))</f>
        <v/>
      </c>
      <c r="B179" s="207"/>
      <c r="C179" s="60"/>
      <c r="D179" s="204" t="str">
        <f aca="false">IF(LEFT(C179,4)="ผรม.",TRIM(MID(C179,5,5)),IFERROR(INDEX('Master Plan'!$L$8:$L$27,MATCH(C179,'Master Plan'!$A$8:$A$27,0)),""))</f>
        <v/>
      </c>
      <c r="E179" s="60"/>
      <c r="F179" s="114"/>
      <c r="G179" s="60"/>
      <c r="H179" s="60"/>
      <c r="I179" s="60"/>
      <c r="J179" s="60"/>
      <c r="K179" s="60"/>
      <c r="L179" s="114"/>
      <c r="M179" s="60"/>
      <c r="N179" s="60"/>
    </row>
    <row r="180" customFormat="false" ht="15" hidden="false" customHeight="false" outlineLevel="0" collapsed="false">
      <c r="A180" s="131" t="str">
        <f aca="false">IF(B180="","","LL-"&amp;TEXT(ROW()-6,"000"))</f>
        <v/>
      </c>
      <c r="B180" s="207"/>
      <c r="C180" s="60"/>
      <c r="D180" s="204" t="str">
        <f aca="false">IF(LEFT(C180,4)="ผรม.",TRIM(MID(C180,5,5)),IFERROR(INDEX('Master Plan'!$L$8:$L$27,MATCH(C180,'Master Plan'!$A$8:$A$27,0)),""))</f>
        <v/>
      </c>
      <c r="E180" s="60"/>
      <c r="F180" s="114"/>
      <c r="G180" s="60"/>
      <c r="H180" s="60"/>
      <c r="I180" s="60"/>
      <c r="J180" s="60"/>
      <c r="K180" s="60"/>
      <c r="L180" s="114"/>
      <c r="M180" s="60"/>
      <c r="N180" s="60"/>
    </row>
    <row r="181" customFormat="false" ht="15" hidden="false" customHeight="false" outlineLevel="0" collapsed="false">
      <c r="A181" s="131" t="str">
        <f aca="false">IF(B181="","","LL-"&amp;TEXT(ROW()-6,"000"))</f>
        <v/>
      </c>
      <c r="B181" s="207"/>
      <c r="C181" s="60"/>
      <c r="D181" s="204" t="str">
        <f aca="false">IF(LEFT(C181,4)="ผรม.",TRIM(MID(C181,5,5)),IFERROR(INDEX('Master Plan'!$L$8:$L$27,MATCH(C181,'Master Plan'!$A$8:$A$27,0)),""))</f>
        <v/>
      </c>
      <c r="E181" s="60"/>
      <c r="F181" s="114"/>
      <c r="G181" s="60"/>
      <c r="H181" s="60"/>
      <c r="I181" s="60"/>
      <c r="J181" s="60"/>
      <c r="K181" s="60"/>
      <c r="L181" s="114"/>
      <c r="M181" s="60"/>
      <c r="N181" s="60"/>
    </row>
    <row r="182" customFormat="false" ht="15" hidden="false" customHeight="false" outlineLevel="0" collapsed="false">
      <c r="A182" s="131" t="str">
        <f aca="false">IF(B182="","","LL-"&amp;TEXT(ROW()-6,"000"))</f>
        <v/>
      </c>
      <c r="B182" s="207"/>
      <c r="C182" s="60"/>
      <c r="D182" s="204" t="str">
        <f aca="false">IF(LEFT(C182,4)="ผรม.",TRIM(MID(C182,5,5)),IFERROR(INDEX('Master Plan'!$L$8:$L$27,MATCH(C182,'Master Plan'!$A$8:$A$27,0)),""))</f>
        <v/>
      </c>
      <c r="E182" s="60"/>
      <c r="F182" s="114"/>
      <c r="G182" s="60"/>
      <c r="H182" s="60"/>
      <c r="I182" s="60"/>
      <c r="J182" s="60"/>
      <c r="K182" s="60"/>
      <c r="L182" s="114"/>
      <c r="M182" s="60"/>
      <c r="N182" s="60"/>
    </row>
    <row r="183" customFormat="false" ht="15" hidden="false" customHeight="false" outlineLevel="0" collapsed="false">
      <c r="A183" s="131" t="str">
        <f aca="false">IF(B183="","","LL-"&amp;TEXT(ROW()-6,"000"))</f>
        <v/>
      </c>
      <c r="B183" s="207"/>
      <c r="C183" s="60"/>
      <c r="D183" s="204" t="str">
        <f aca="false">IF(LEFT(C183,4)="ผรม.",TRIM(MID(C183,5,5)),IFERROR(INDEX('Master Plan'!$L$8:$L$27,MATCH(C183,'Master Plan'!$A$8:$A$27,0)),""))</f>
        <v/>
      </c>
      <c r="E183" s="60"/>
      <c r="F183" s="114"/>
      <c r="G183" s="60"/>
      <c r="H183" s="60"/>
      <c r="I183" s="60"/>
      <c r="J183" s="60"/>
      <c r="K183" s="60"/>
      <c r="L183" s="114"/>
      <c r="M183" s="60"/>
      <c r="N183" s="60"/>
    </row>
    <row r="184" customFormat="false" ht="15" hidden="false" customHeight="false" outlineLevel="0" collapsed="false">
      <c r="A184" s="131" t="str">
        <f aca="false">IF(B184="","","LL-"&amp;TEXT(ROW()-6,"000"))</f>
        <v/>
      </c>
      <c r="B184" s="207"/>
      <c r="C184" s="60"/>
      <c r="D184" s="204" t="str">
        <f aca="false">IF(LEFT(C184,4)="ผรม.",TRIM(MID(C184,5,5)),IFERROR(INDEX('Master Plan'!$L$8:$L$27,MATCH(C184,'Master Plan'!$A$8:$A$27,0)),""))</f>
        <v/>
      </c>
      <c r="E184" s="60"/>
      <c r="F184" s="114"/>
      <c r="G184" s="60"/>
      <c r="H184" s="60"/>
      <c r="I184" s="60"/>
      <c r="J184" s="60"/>
      <c r="K184" s="60"/>
      <c r="L184" s="114"/>
      <c r="M184" s="60"/>
      <c r="N184" s="60"/>
    </row>
    <row r="185" customFormat="false" ht="15" hidden="false" customHeight="false" outlineLevel="0" collapsed="false">
      <c r="A185" s="131" t="str">
        <f aca="false">IF(B185="","","LL-"&amp;TEXT(ROW()-6,"000"))</f>
        <v/>
      </c>
      <c r="B185" s="207"/>
      <c r="C185" s="60"/>
      <c r="D185" s="204" t="str">
        <f aca="false">IF(LEFT(C185,4)="ผรม.",TRIM(MID(C185,5,5)),IFERROR(INDEX('Master Plan'!$L$8:$L$27,MATCH(C185,'Master Plan'!$A$8:$A$27,0)),""))</f>
        <v/>
      </c>
      <c r="E185" s="60"/>
      <c r="F185" s="114"/>
      <c r="G185" s="60"/>
      <c r="H185" s="60"/>
      <c r="I185" s="60"/>
      <c r="J185" s="60"/>
      <c r="K185" s="60"/>
      <c r="L185" s="114"/>
      <c r="M185" s="60"/>
      <c r="N185" s="60"/>
    </row>
    <row r="186" customFormat="false" ht="15" hidden="false" customHeight="false" outlineLevel="0" collapsed="false">
      <c r="A186" s="131" t="str">
        <f aca="false">IF(B186="","","LL-"&amp;TEXT(ROW()-6,"000"))</f>
        <v/>
      </c>
      <c r="B186" s="207"/>
      <c r="C186" s="60"/>
      <c r="D186" s="204" t="str">
        <f aca="false">IF(LEFT(C186,4)="ผรม.",TRIM(MID(C186,5,5)),IFERROR(INDEX('Master Plan'!$L$8:$L$27,MATCH(C186,'Master Plan'!$A$8:$A$27,0)),""))</f>
        <v/>
      </c>
      <c r="E186" s="60"/>
      <c r="F186" s="114"/>
      <c r="G186" s="60"/>
      <c r="H186" s="60"/>
      <c r="I186" s="60"/>
      <c r="J186" s="60"/>
      <c r="K186" s="60"/>
      <c r="L186" s="114"/>
      <c r="M186" s="60"/>
      <c r="N186" s="60"/>
    </row>
    <row r="187" customFormat="false" ht="15" hidden="false" customHeight="false" outlineLevel="0" collapsed="false">
      <c r="A187" s="131" t="str">
        <f aca="false">IF(B187="","","LL-"&amp;TEXT(ROW()-6,"000"))</f>
        <v/>
      </c>
      <c r="B187" s="207"/>
      <c r="C187" s="60"/>
      <c r="D187" s="204" t="str">
        <f aca="false">IF(LEFT(C187,4)="ผรม.",TRIM(MID(C187,5,5)),IFERROR(INDEX('Master Plan'!$L$8:$L$27,MATCH(C187,'Master Plan'!$A$8:$A$27,0)),""))</f>
        <v/>
      </c>
      <c r="E187" s="60"/>
      <c r="F187" s="114"/>
      <c r="G187" s="60"/>
      <c r="H187" s="60"/>
      <c r="I187" s="60"/>
      <c r="J187" s="60"/>
      <c r="K187" s="60"/>
      <c r="L187" s="114"/>
      <c r="M187" s="60"/>
      <c r="N187" s="60"/>
    </row>
    <row r="188" customFormat="false" ht="15" hidden="false" customHeight="false" outlineLevel="0" collapsed="false">
      <c r="A188" s="131" t="str">
        <f aca="false">IF(B188="","","LL-"&amp;TEXT(ROW()-6,"000"))</f>
        <v/>
      </c>
      <c r="B188" s="207"/>
      <c r="C188" s="60"/>
      <c r="D188" s="204" t="str">
        <f aca="false">IF(LEFT(C188,4)="ผรม.",TRIM(MID(C188,5,5)),IFERROR(INDEX('Master Plan'!$L$8:$L$27,MATCH(C188,'Master Plan'!$A$8:$A$27,0)),""))</f>
        <v/>
      </c>
      <c r="E188" s="60"/>
      <c r="F188" s="114"/>
      <c r="G188" s="60"/>
      <c r="H188" s="60"/>
      <c r="I188" s="60"/>
      <c r="J188" s="60"/>
      <c r="K188" s="60"/>
      <c r="L188" s="114"/>
      <c r="M188" s="60"/>
      <c r="N188" s="60"/>
    </row>
    <row r="189" customFormat="false" ht="15" hidden="false" customHeight="false" outlineLevel="0" collapsed="false">
      <c r="A189" s="131" t="str">
        <f aca="false">IF(B189="","","LL-"&amp;TEXT(ROW()-6,"000"))</f>
        <v/>
      </c>
      <c r="B189" s="207"/>
      <c r="C189" s="60"/>
      <c r="D189" s="204" t="str">
        <f aca="false">IF(LEFT(C189,4)="ผรม.",TRIM(MID(C189,5,5)),IFERROR(INDEX('Master Plan'!$L$8:$L$27,MATCH(C189,'Master Plan'!$A$8:$A$27,0)),""))</f>
        <v/>
      </c>
      <c r="E189" s="60"/>
      <c r="F189" s="114"/>
      <c r="G189" s="60"/>
      <c r="H189" s="60"/>
      <c r="I189" s="60"/>
      <c r="J189" s="60"/>
      <c r="K189" s="60"/>
      <c r="L189" s="114"/>
      <c r="M189" s="60"/>
      <c r="N189" s="60"/>
    </row>
    <row r="190" customFormat="false" ht="15" hidden="false" customHeight="false" outlineLevel="0" collapsed="false">
      <c r="A190" s="131" t="str">
        <f aca="false">IF(B190="","","LL-"&amp;TEXT(ROW()-6,"000"))</f>
        <v/>
      </c>
      <c r="B190" s="207"/>
      <c r="C190" s="60"/>
      <c r="D190" s="204" t="str">
        <f aca="false">IF(LEFT(C190,4)="ผรม.",TRIM(MID(C190,5,5)),IFERROR(INDEX('Master Plan'!$L$8:$L$27,MATCH(C190,'Master Plan'!$A$8:$A$27,0)),""))</f>
        <v/>
      </c>
      <c r="E190" s="60"/>
      <c r="F190" s="114"/>
      <c r="G190" s="60"/>
      <c r="H190" s="60"/>
      <c r="I190" s="60"/>
      <c r="J190" s="60"/>
      <c r="K190" s="60"/>
      <c r="L190" s="114"/>
      <c r="M190" s="60"/>
      <c r="N190" s="60"/>
    </row>
    <row r="191" customFormat="false" ht="15" hidden="false" customHeight="false" outlineLevel="0" collapsed="false">
      <c r="A191" s="131" t="str">
        <f aca="false">IF(B191="","","LL-"&amp;TEXT(ROW()-6,"000"))</f>
        <v/>
      </c>
      <c r="B191" s="207"/>
      <c r="C191" s="60"/>
      <c r="D191" s="204" t="str">
        <f aca="false">IF(LEFT(C191,4)="ผรม.",TRIM(MID(C191,5,5)),IFERROR(INDEX('Master Plan'!$L$8:$L$27,MATCH(C191,'Master Plan'!$A$8:$A$27,0)),""))</f>
        <v/>
      </c>
      <c r="E191" s="60"/>
      <c r="F191" s="114"/>
      <c r="G191" s="60"/>
      <c r="H191" s="60"/>
      <c r="I191" s="60"/>
      <c r="J191" s="60"/>
      <c r="K191" s="60"/>
      <c r="L191" s="114"/>
      <c r="M191" s="60"/>
      <c r="N191" s="60"/>
    </row>
    <row r="192" customFormat="false" ht="15" hidden="false" customHeight="false" outlineLevel="0" collapsed="false">
      <c r="A192" s="131" t="str">
        <f aca="false">IF(B192="","","LL-"&amp;TEXT(ROW()-6,"000"))</f>
        <v/>
      </c>
      <c r="B192" s="207"/>
      <c r="C192" s="60"/>
      <c r="D192" s="204" t="str">
        <f aca="false">IF(LEFT(C192,4)="ผรม.",TRIM(MID(C192,5,5)),IFERROR(INDEX('Master Plan'!$L$8:$L$27,MATCH(C192,'Master Plan'!$A$8:$A$27,0)),""))</f>
        <v/>
      </c>
      <c r="E192" s="60"/>
      <c r="F192" s="114"/>
      <c r="G192" s="60"/>
      <c r="H192" s="60"/>
      <c r="I192" s="60"/>
      <c r="J192" s="60"/>
      <c r="K192" s="60"/>
      <c r="L192" s="114"/>
      <c r="M192" s="60"/>
      <c r="N192" s="60"/>
    </row>
    <row r="193" customFormat="false" ht="15" hidden="false" customHeight="false" outlineLevel="0" collapsed="false">
      <c r="A193" s="131" t="str">
        <f aca="false">IF(B193="","","LL-"&amp;TEXT(ROW()-6,"000"))</f>
        <v/>
      </c>
      <c r="B193" s="207"/>
      <c r="C193" s="60"/>
      <c r="D193" s="204" t="str">
        <f aca="false">IF(LEFT(C193,4)="ผรม.",TRIM(MID(C193,5,5)),IFERROR(INDEX('Master Plan'!$L$8:$L$27,MATCH(C193,'Master Plan'!$A$8:$A$27,0)),""))</f>
        <v/>
      </c>
      <c r="E193" s="60"/>
      <c r="F193" s="114"/>
      <c r="G193" s="60"/>
      <c r="H193" s="60"/>
      <c r="I193" s="60"/>
      <c r="J193" s="60"/>
      <c r="K193" s="60"/>
      <c r="L193" s="114"/>
      <c r="M193" s="60"/>
      <c r="N193" s="60"/>
    </row>
    <row r="194" customFormat="false" ht="15" hidden="false" customHeight="false" outlineLevel="0" collapsed="false">
      <c r="A194" s="131" t="str">
        <f aca="false">IF(B194="","","LL-"&amp;TEXT(ROW()-6,"000"))</f>
        <v/>
      </c>
      <c r="B194" s="207"/>
      <c r="C194" s="60"/>
      <c r="D194" s="204" t="str">
        <f aca="false">IF(LEFT(C194,4)="ผรม.",TRIM(MID(C194,5,5)),IFERROR(INDEX('Master Plan'!$L$8:$L$27,MATCH(C194,'Master Plan'!$A$8:$A$27,0)),""))</f>
        <v/>
      </c>
      <c r="E194" s="60"/>
      <c r="F194" s="114"/>
      <c r="G194" s="60"/>
      <c r="H194" s="60"/>
      <c r="I194" s="60"/>
      <c r="J194" s="60"/>
      <c r="K194" s="60"/>
      <c r="L194" s="114"/>
      <c r="M194" s="60"/>
      <c r="N194" s="60"/>
    </row>
    <row r="195" customFormat="false" ht="15" hidden="false" customHeight="false" outlineLevel="0" collapsed="false">
      <c r="A195" s="131" t="str">
        <f aca="false">IF(B195="","","LL-"&amp;TEXT(ROW()-6,"000"))</f>
        <v/>
      </c>
      <c r="B195" s="207"/>
      <c r="C195" s="60"/>
      <c r="D195" s="204" t="str">
        <f aca="false">IF(LEFT(C195,4)="ผรม.",TRIM(MID(C195,5,5)),IFERROR(INDEX('Master Plan'!$L$8:$L$27,MATCH(C195,'Master Plan'!$A$8:$A$27,0)),""))</f>
        <v/>
      </c>
      <c r="E195" s="60"/>
      <c r="F195" s="114"/>
      <c r="G195" s="60"/>
      <c r="H195" s="60"/>
      <c r="I195" s="60"/>
      <c r="J195" s="60"/>
      <c r="K195" s="60"/>
      <c r="L195" s="114"/>
      <c r="M195" s="60"/>
      <c r="N195" s="60"/>
    </row>
    <row r="196" customFormat="false" ht="15" hidden="false" customHeight="false" outlineLevel="0" collapsed="false">
      <c r="A196" s="131" t="str">
        <f aca="false">IF(B196="","","LL-"&amp;TEXT(ROW()-6,"000"))</f>
        <v/>
      </c>
      <c r="B196" s="207"/>
      <c r="C196" s="60"/>
      <c r="D196" s="204" t="str">
        <f aca="false">IF(LEFT(C196,4)="ผรม.",TRIM(MID(C196,5,5)),IFERROR(INDEX('Master Plan'!$L$8:$L$27,MATCH(C196,'Master Plan'!$A$8:$A$27,0)),""))</f>
        <v/>
      </c>
      <c r="E196" s="60"/>
      <c r="F196" s="114"/>
      <c r="G196" s="60"/>
      <c r="H196" s="60"/>
      <c r="I196" s="60"/>
      <c r="J196" s="60"/>
      <c r="K196" s="60"/>
      <c r="L196" s="114"/>
      <c r="M196" s="60"/>
      <c r="N196" s="60"/>
    </row>
    <row r="197" customFormat="false" ht="15" hidden="false" customHeight="false" outlineLevel="0" collapsed="false">
      <c r="A197" s="131" t="str">
        <f aca="false">IF(B197="","","LL-"&amp;TEXT(ROW()-6,"000"))</f>
        <v/>
      </c>
      <c r="B197" s="207"/>
      <c r="C197" s="60"/>
      <c r="D197" s="204" t="str">
        <f aca="false">IF(LEFT(C197,4)="ผรม.",TRIM(MID(C197,5,5)),IFERROR(INDEX('Master Plan'!$L$8:$L$27,MATCH(C197,'Master Plan'!$A$8:$A$27,0)),""))</f>
        <v/>
      </c>
      <c r="E197" s="60"/>
      <c r="F197" s="114"/>
      <c r="G197" s="60"/>
      <c r="H197" s="60"/>
      <c r="I197" s="60"/>
      <c r="J197" s="60"/>
      <c r="K197" s="60"/>
      <c r="L197" s="114"/>
      <c r="M197" s="60"/>
      <c r="N197" s="60"/>
    </row>
    <row r="198" customFormat="false" ht="15" hidden="false" customHeight="false" outlineLevel="0" collapsed="false">
      <c r="A198" s="131" t="str">
        <f aca="false">IF(B198="","","LL-"&amp;TEXT(ROW()-6,"000"))</f>
        <v/>
      </c>
      <c r="B198" s="207"/>
      <c r="C198" s="60"/>
      <c r="D198" s="204" t="str">
        <f aca="false">IF(LEFT(C198,4)="ผรม.",TRIM(MID(C198,5,5)),IFERROR(INDEX('Master Plan'!$L$8:$L$27,MATCH(C198,'Master Plan'!$A$8:$A$27,0)),""))</f>
        <v/>
      </c>
      <c r="E198" s="60"/>
      <c r="F198" s="114"/>
      <c r="G198" s="60"/>
      <c r="H198" s="60"/>
      <c r="I198" s="60"/>
      <c r="J198" s="60"/>
      <c r="K198" s="60"/>
      <c r="L198" s="114"/>
      <c r="M198" s="60"/>
      <c r="N198" s="60"/>
    </row>
    <row r="199" customFormat="false" ht="15" hidden="false" customHeight="false" outlineLevel="0" collapsed="false">
      <c r="A199" s="131" t="str">
        <f aca="false">IF(B199="","","LL-"&amp;TEXT(ROW()-6,"000"))</f>
        <v/>
      </c>
      <c r="B199" s="207"/>
      <c r="C199" s="60"/>
      <c r="D199" s="204" t="str">
        <f aca="false">IF(LEFT(C199,4)="ผรม.",TRIM(MID(C199,5,5)),IFERROR(INDEX('Master Plan'!$L$8:$L$27,MATCH(C199,'Master Plan'!$A$8:$A$27,0)),""))</f>
        <v/>
      </c>
      <c r="E199" s="60"/>
      <c r="F199" s="114"/>
      <c r="G199" s="60"/>
      <c r="H199" s="60"/>
      <c r="I199" s="60"/>
      <c r="J199" s="60"/>
      <c r="K199" s="60"/>
      <c r="L199" s="114"/>
      <c r="M199" s="60"/>
      <c r="N199" s="60"/>
    </row>
    <row r="200" customFormat="false" ht="15" hidden="false" customHeight="false" outlineLevel="0" collapsed="false">
      <c r="A200" s="131" t="str">
        <f aca="false">IF(B200="","","LL-"&amp;TEXT(ROW()-6,"000"))</f>
        <v/>
      </c>
      <c r="B200" s="207"/>
      <c r="C200" s="60"/>
      <c r="D200" s="204" t="str">
        <f aca="false">IF(LEFT(C200,4)="ผรม.",TRIM(MID(C200,5,5)),IFERROR(INDEX('Master Plan'!$L$8:$L$27,MATCH(C200,'Master Plan'!$A$8:$A$27,0)),""))</f>
        <v/>
      </c>
      <c r="E200" s="60"/>
      <c r="F200" s="114"/>
      <c r="G200" s="60"/>
      <c r="H200" s="60"/>
      <c r="I200" s="60"/>
      <c r="J200" s="60"/>
      <c r="K200" s="60"/>
      <c r="L200" s="114"/>
      <c r="M200" s="60"/>
      <c r="N200" s="60"/>
    </row>
    <row r="201" customFormat="false" ht="15" hidden="false" customHeight="false" outlineLevel="0" collapsed="false">
      <c r="A201" s="131" t="str">
        <f aca="false">IF(B201="","","LL-"&amp;TEXT(ROW()-6,"000"))</f>
        <v/>
      </c>
      <c r="B201" s="207"/>
      <c r="C201" s="60"/>
      <c r="D201" s="204" t="str">
        <f aca="false">IF(LEFT(C201,4)="ผรม.",TRIM(MID(C201,5,5)),IFERROR(INDEX('Master Plan'!$L$8:$L$27,MATCH(C201,'Master Plan'!$A$8:$A$27,0)),""))</f>
        <v/>
      </c>
      <c r="E201" s="60"/>
      <c r="F201" s="114"/>
      <c r="G201" s="60"/>
      <c r="H201" s="60"/>
      <c r="I201" s="60"/>
      <c r="J201" s="60"/>
      <c r="K201" s="60"/>
      <c r="L201" s="114"/>
      <c r="M201" s="60"/>
      <c r="N201" s="60"/>
    </row>
    <row r="202" customFormat="false" ht="15" hidden="false" customHeight="false" outlineLevel="0" collapsed="false">
      <c r="A202" s="131" t="str">
        <f aca="false">IF(B202="","","LL-"&amp;TEXT(ROW()-6,"000"))</f>
        <v/>
      </c>
      <c r="B202" s="207"/>
      <c r="C202" s="60"/>
      <c r="D202" s="204" t="str">
        <f aca="false">IF(LEFT(C202,4)="ผรม.",TRIM(MID(C202,5,5)),IFERROR(INDEX('Master Plan'!$L$8:$L$27,MATCH(C202,'Master Plan'!$A$8:$A$27,0)),""))</f>
        <v/>
      </c>
      <c r="E202" s="60"/>
      <c r="F202" s="114"/>
      <c r="G202" s="60"/>
      <c r="H202" s="60"/>
      <c r="I202" s="60"/>
      <c r="J202" s="60"/>
      <c r="K202" s="60"/>
      <c r="L202" s="114"/>
      <c r="M202" s="60"/>
      <c r="N202" s="60"/>
    </row>
    <row r="203" customFormat="false" ht="15" hidden="false" customHeight="false" outlineLevel="0" collapsed="false">
      <c r="A203" s="131" t="str">
        <f aca="false">IF(B203="","","LL-"&amp;TEXT(ROW()-6,"000"))</f>
        <v/>
      </c>
      <c r="B203" s="207"/>
      <c r="C203" s="60"/>
      <c r="D203" s="204" t="str">
        <f aca="false">IF(LEFT(C203,4)="ผรม.",TRIM(MID(C203,5,5)),IFERROR(INDEX('Master Plan'!$L$8:$L$27,MATCH(C203,'Master Plan'!$A$8:$A$27,0)),""))</f>
        <v/>
      </c>
      <c r="E203" s="60"/>
      <c r="F203" s="114"/>
      <c r="G203" s="60"/>
      <c r="H203" s="60"/>
      <c r="I203" s="60"/>
      <c r="J203" s="60"/>
      <c r="K203" s="60"/>
      <c r="L203" s="114"/>
      <c r="M203" s="60"/>
      <c r="N203" s="60"/>
    </row>
    <row r="204" customFormat="false" ht="15" hidden="false" customHeight="false" outlineLevel="0" collapsed="false">
      <c r="A204" s="131" t="str">
        <f aca="false">IF(B204="","","LL-"&amp;TEXT(ROW()-6,"000"))</f>
        <v/>
      </c>
      <c r="B204" s="207"/>
      <c r="C204" s="60"/>
      <c r="D204" s="204" t="str">
        <f aca="false">IF(LEFT(C204,4)="ผรม.",TRIM(MID(C204,5,5)),IFERROR(INDEX('Master Plan'!$L$8:$L$27,MATCH(C204,'Master Plan'!$A$8:$A$27,0)),""))</f>
        <v/>
      </c>
      <c r="E204" s="60"/>
      <c r="F204" s="114"/>
      <c r="G204" s="60"/>
      <c r="H204" s="60"/>
      <c r="I204" s="60"/>
      <c r="J204" s="60"/>
      <c r="K204" s="60"/>
      <c r="L204" s="114"/>
      <c r="M204" s="60"/>
      <c r="N204" s="60"/>
    </row>
    <row r="205" customFormat="false" ht="15" hidden="false" customHeight="false" outlineLevel="0" collapsed="false">
      <c r="A205" s="131" t="str">
        <f aca="false">IF(B205="","","LL-"&amp;TEXT(ROW()-6,"000"))</f>
        <v/>
      </c>
      <c r="B205" s="207"/>
      <c r="C205" s="60"/>
      <c r="D205" s="204" t="str">
        <f aca="false">IF(LEFT(C205,4)="ผรม.",TRIM(MID(C205,5,5)),IFERROR(INDEX('Master Plan'!$L$8:$L$27,MATCH(C205,'Master Plan'!$A$8:$A$27,0)),""))</f>
        <v/>
      </c>
      <c r="E205" s="60"/>
      <c r="F205" s="114"/>
      <c r="G205" s="60"/>
      <c r="H205" s="60"/>
      <c r="I205" s="60"/>
      <c r="J205" s="60"/>
      <c r="K205" s="60"/>
      <c r="L205" s="114"/>
      <c r="M205" s="60"/>
      <c r="N205" s="60"/>
    </row>
    <row r="206" customFormat="false" ht="15" hidden="false" customHeight="false" outlineLevel="0" collapsed="false">
      <c r="A206" s="131" t="str">
        <f aca="false">IF(B206="","","LL-"&amp;TEXT(ROW()-6,"000"))</f>
        <v/>
      </c>
      <c r="B206" s="207"/>
      <c r="C206" s="60"/>
      <c r="D206" s="204" t="str">
        <f aca="false">IF(LEFT(C206,4)="ผรม.",TRIM(MID(C206,5,5)),IFERROR(INDEX('Master Plan'!$L$8:$L$27,MATCH(C206,'Master Plan'!$A$8:$A$27,0)),""))</f>
        <v/>
      </c>
      <c r="E206" s="60"/>
      <c r="F206" s="114"/>
      <c r="G206" s="60"/>
      <c r="H206" s="60"/>
      <c r="I206" s="60"/>
      <c r="J206" s="60"/>
      <c r="K206" s="60"/>
      <c r="L206" s="114"/>
      <c r="M206" s="60"/>
      <c r="N206" s="60"/>
    </row>
  </sheetData>
  <sheetProtection sheet="true" formatColumns="false" formatRows="false" sort="false" autoFilter="false"/>
  <autoFilter ref="A6:N206"/>
  <mergeCells count="10"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conditionalFormatting sqref="L7:L206">
    <cfRule type="expression" priority="2" aboveAverage="0" equalAverage="0" bottom="0" percent="0" rank="0" text="" dxfId="16">
      <formula>L7="ใช้แล้ว"</formula>
    </cfRule>
  </conditionalFormatting>
  <conditionalFormatting sqref="A7:N206">
    <cfRule type="expression" priority="3" aboveAverage="0" equalAverage="0" bottom="0" percent="0" rank="0" text="" dxfId="54">
      <formula>AND(ISNUMBER($B7),ASOF-$B7&gt;14,OR($L7="เสนอ",$L7="กำลังทำ"))</formula>
    </cfRule>
  </conditionalFormatting>
  <dataValidations count="3">
    <dataValidation allowBlank="true" error="เลือกจากรายการ (พิมพ์ค่าอื่นได้)" errorStyle="warning" operator="between" showDropDown="false" showErrorMessage="true" showInputMessage="false" sqref="F7:F206" type="list">
      <formula1>"กระบวนการ,เอกสาร,แผน/นัดหมาย,ข้อมูล,ความปลอดภัย,เทคนิค,สื่อสาร,จัดซื้อ/สัญญา,อื่น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L7:L206" type="list">
      <formula1>"เสนอ,กำลังทำ,ใช้แล้ว,ไม่ใช้"</formula1>
      <formula2>0</formula2>
    </dataValidation>
    <dataValidation allowBlank="true" error="ใส่วันที่ (2568–2571)" errorStyle="stop" operator="between" showDropDown="false" showErrorMessage="true" showInputMessage="false" sqref="B7:B2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23" min="4" style="0" width="8.5"/>
  </cols>
  <sheetData>
    <row r="1" customFormat="false" ht="18.65" hidden="false" customHeight="false" outlineLevel="0" collapsed="false">
      <c r="A1" s="37" t="s">
        <v>2207</v>
      </c>
    </row>
    <row r="2" customFormat="false" ht="15" hidden="false" customHeight="false" outlineLevel="0" collapsed="false">
      <c r="A2" s="38" t="s">
        <v>2208</v>
      </c>
    </row>
    <row r="4" customFormat="false" ht="31.5" hidden="false" customHeight="true" outlineLevel="0" collapsed="false">
      <c r="A4" s="28" t="s">
        <v>22</v>
      </c>
      <c r="B4" s="28" t="s">
        <v>35</v>
      </c>
      <c r="C4" s="29" t="s">
        <v>2209</v>
      </c>
      <c r="D4" s="28" t="s">
        <v>4</v>
      </c>
      <c r="E4" s="28" t="s">
        <v>2210</v>
      </c>
      <c r="F4" s="29" t="s">
        <v>2211</v>
      </c>
      <c r="G4" s="28" t="s">
        <v>514</v>
      </c>
      <c r="H4" s="29" t="s">
        <v>2212</v>
      </c>
      <c r="I4" s="28" t="s">
        <v>2213</v>
      </c>
      <c r="J4" s="29" t="s">
        <v>2214</v>
      </c>
      <c r="K4" s="28" t="s">
        <v>2215</v>
      </c>
      <c r="L4" s="29" t="s">
        <v>2216</v>
      </c>
    </row>
    <row r="5" customFormat="false" ht="15" hidden="false" customHeight="false" outlineLevel="0" collapsed="false">
      <c r="A5" s="255" t="s">
        <v>1744</v>
      </c>
      <c r="B5" s="256" t="n">
        <f aca="false">COUNTIF('Master Plan'!$L$8:$L$27,A5)</f>
        <v>0</v>
      </c>
      <c r="C5" s="257" t="n">
        <f aca="false">SUMIF('Master Plan'!$L$8:$L$27,A5,'Master Plan'!$F$8:$F$27)/1000</f>
        <v>0</v>
      </c>
      <c r="D5" s="256" t="n">
        <f aca="false">COUNTIFS('Master Plan'!$L$8:$L$27,$A5,'Master Plan'!$N$8:$N$27,"&lt;="&amp;ASOF,'Master Plan'!$N$8:$N$27,"&lt;&gt;")</f>
        <v>0</v>
      </c>
      <c r="E5" s="256" t="n">
        <f aca="false">COUNTIFS('Master Plan'!$L$8:$L$27,$A5,'Master Plan'!$O$8:$O$27,"&lt;="&amp;ASOF,'Master Plan'!$O$8:$O$27,"&lt;&gt;")</f>
        <v>0</v>
      </c>
      <c r="F5" s="256" t="n">
        <f aca="false">COUNTIFS('Master Plan'!$L$8:$L$27,$A5,'Master Plan'!$P$8:$P$27,"&lt;="&amp;ASOF,'Master Plan'!$P$8:$P$27,"&lt;&gt;")</f>
        <v>0</v>
      </c>
      <c r="G5" s="256" t="n">
        <f aca="false">COUNTIFS('Master Plan'!$L$8:$L$27,$A5,'Master Plan'!$Q$8:$Q$27,"&lt;="&amp;ASOF,'Master Plan'!$Q$8:$Q$27,"&lt;&gt;")</f>
        <v>0</v>
      </c>
      <c r="H5" s="256" t="n">
        <f aca="false">COUNTIFS('Master Plan'!$L$8:$L$27,$A5,'Master Plan'!$X$8:$X$27,"&lt;="&amp;ASOF,'Master Plan'!$X$8:$X$27,"&lt;&gt;")</f>
        <v>0</v>
      </c>
      <c r="I5" s="258" t="n">
        <f aca="false">_xlfn.MAXIFS('Master Plan'!$Y$8:$Y$27,'Master Plan'!$L$8:$L$27,A5)</f>
        <v>0</v>
      </c>
      <c r="J5" s="258" t="n">
        <f aca="false">_xlfn.MAXIFS('Master Plan'!$AA$8:$AA$27,'Master Plan'!$L$8:$L$27,A5)</f>
        <v>0</v>
      </c>
      <c r="K5" s="258" t="n">
        <f aca="false">_xlfn.MAXIFS('Master Plan'!$AB$8:$AB$27,'Master Plan'!$L$8:$L$27,A5)</f>
        <v>0</v>
      </c>
      <c r="L5" s="258" t="n">
        <f aca="false">_xlfn.MAXIFS('Master Plan'!$AH$8:$AH$27,'Master Plan'!$L$8:$L$27,A5)</f>
        <v>0</v>
      </c>
    </row>
    <row r="6" customFormat="false" ht="15" hidden="false" customHeight="false" outlineLevel="0" collapsed="false">
      <c r="A6" s="255" t="s">
        <v>1745</v>
      </c>
      <c r="B6" s="256" t="n">
        <f aca="false">COUNTIF('Master Plan'!$L$8:$L$27,A6)</f>
        <v>0</v>
      </c>
      <c r="C6" s="257" t="n">
        <f aca="false">SUMIF('Master Plan'!$L$8:$L$27,A6,'Master Plan'!$F$8:$F$27)/1000</f>
        <v>0</v>
      </c>
      <c r="D6" s="256" t="n">
        <f aca="false">COUNTIFS('Master Plan'!$L$8:$L$27,$A6,'Master Plan'!$N$8:$N$27,"&lt;="&amp;ASOF,'Master Plan'!$N$8:$N$27,"&lt;&gt;")</f>
        <v>0</v>
      </c>
      <c r="E6" s="256" t="n">
        <f aca="false">COUNTIFS('Master Plan'!$L$8:$L$27,$A6,'Master Plan'!$O$8:$O$27,"&lt;="&amp;ASOF,'Master Plan'!$O$8:$O$27,"&lt;&gt;")</f>
        <v>0</v>
      </c>
      <c r="F6" s="256" t="n">
        <f aca="false">COUNTIFS('Master Plan'!$L$8:$L$27,$A6,'Master Plan'!$P$8:$P$27,"&lt;="&amp;ASOF,'Master Plan'!$P$8:$P$27,"&lt;&gt;")</f>
        <v>0</v>
      </c>
      <c r="G6" s="256" t="n">
        <f aca="false">COUNTIFS('Master Plan'!$L$8:$L$27,$A6,'Master Plan'!$Q$8:$Q$27,"&lt;="&amp;ASOF,'Master Plan'!$Q$8:$Q$27,"&lt;&gt;")</f>
        <v>0</v>
      </c>
      <c r="H6" s="256" t="n">
        <f aca="false">COUNTIFS('Master Plan'!$L$8:$L$27,$A6,'Master Plan'!$X$8:$X$27,"&lt;="&amp;ASOF,'Master Plan'!$X$8:$X$27,"&lt;&gt;")</f>
        <v>0</v>
      </c>
      <c r="I6" s="258" t="n">
        <f aca="false">_xlfn.MAXIFS('Master Plan'!$Y$8:$Y$27,'Master Plan'!$L$8:$L$27,A6)</f>
        <v>0</v>
      </c>
      <c r="J6" s="258" t="n">
        <f aca="false">_xlfn.MAXIFS('Master Plan'!$AA$8:$AA$27,'Master Plan'!$L$8:$L$27,A6)</f>
        <v>0</v>
      </c>
      <c r="K6" s="258" t="n">
        <f aca="false">_xlfn.MAXIFS('Master Plan'!$AB$8:$AB$27,'Master Plan'!$L$8:$L$27,A6)</f>
        <v>0</v>
      </c>
      <c r="L6" s="258" t="n">
        <f aca="false">_xlfn.MAXIFS('Master Plan'!$AH$8:$AH$27,'Master Plan'!$L$8:$L$27,A6)</f>
        <v>0</v>
      </c>
    </row>
    <row r="7" customFormat="false" ht="15" hidden="false" customHeight="false" outlineLevel="0" collapsed="false">
      <c r="A7" s="255" t="s">
        <v>1746</v>
      </c>
      <c r="B7" s="256" t="n">
        <f aca="false">COUNTIF('Master Plan'!$L$8:$L$27,A7)</f>
        <v>0</v>
      </c>
      <c r="C7" s="257" t="n">
        <f aca="false">SUMIF('Master Plan'!$L$8:$L$27,A7,'Master Plan'!$F$8:$F$27)/1000</f>
        <v>0</v>
      </c>
      <c r="D7" s="256" t="n">
        <f aca="false">COUNTIFS('Master Plan'!$L$8:$L$27,$A7,'Master Plan'!$N$8:$N$27,"&lt;="&amp;ASOF,'Master Plan'!$N$8:$N$27,"&lt;&gt;")</f>
        <v>0</v>
      </c>
      <c r="E7" s="256" t="n">
        <f aca="false">COUNTIFS('Master Plan'!$L$8:$L$27,$A7,'Master Plan'!$O$8:$O$27,"&lt;="&amp;ASOF,'Master Plan'!$O$8:$O$27,"&lt;&gt;")</f>
        <v>0</v>
      </c>
      <c r="F7" s="256" t="n">
        <f aca="false">COUNTIFS('Master Plan'!$L$8:$L$27,$A7,'Master Plan'!$P$8:$P$27,"&lt;="&amp;ASOF,'Master Plan'!$P$8:$P$27,"&lt;&gt;")</f>
        <v>0</v>
      </c>
      <c r="G7" s="256" t="n">
        <f aca="false">COUNTIFS('Master Plan'!$L$8:$L$27,$A7,'Master Plan'!$Q$8:$Q$27,"&lt;="&amp;ASOF,'Master Plan'!$Q$8:$Q$27,"&lt;&gt;")</f>
        <v>0</v>
      </c>
      <c r="H7" s="256" t="n">
        <f aca="false">COUNTIFS('Master Plan'!$L$8:$L$27,$A7,'Master Plan'!$X$8:$X$27,"&lt;="&amp;ASOF,'Master Plan'!$X$8:$X$27,"&lt;&gt;")</f>
        <v>0</v>
      </c>
      <c r="I7" s="258" t="n">
        <f aca="false">_xlfn.MAXIFS('Master Plan'!$Y$8:$Y$27,'Master Plan'!$L$8:$L$27,A7)</f>
        <v>0</v>
      </c>
      <c r="J7" s="258" t="n">
        <f aca="false">_xlfn.MAXIFS('Master Plan'!$AA$8:$AA$27,'Master Plan'!$L$8:$L$27,A7)</f>
        <v>0</v>
      </c>
      <c r="K7" s="258" t="n">
        <f aca="false">_xlfn.MAXIFS('Master Plan'!$AB$8:$AB$27,'Master Plan'!$L$8:$L$27,A7)</f>
        <v>0</v>
      </c>
      <c r="L7" s="258" t="n">
        <f aca="false">_xlfn.MAXIFS('Master Plan'!$AH$8:$AH$27,'Master Plan'!$L$8:$L$27,A7)</f>
        <v>0</v>
      </c>
    </row>
    <row r="9" customFormat="false" ht="30" hidden="false" customHeight="true" outlineLevel="0" collapsed="false">
      <c r="A9" s="28" t="s">
        <v>2217</v>
      </c>
      <c r="B9" s="28" t="s">
        <v>573</v>
      </c>
      <c r="C9" s="28" t="s">
        <v>2218</v>
      </c>
      <c r="D9" s="259" t="n">
        <f aca="false">ASOF-WEEKDAY(ASOF,3)</f>
        <v>46328</v>
      </c>
      <c r="E9" s="259" t="n">
        <f aca="false">D9+7</f>
        <v>46335</v>
      </c>
      <c r="F9" s="259" t="n">
        <f aca="false">E9+7</f>
        <v>46342</v>
      </c>
      <c r="G9" s="259" t="n">
        <f aca="false">F9+7</f>
        <v>46349</v>
      </c>
      <c r="H9" s="259" t="n">
        <f aca="false">G9+7</f>
        <v>46356</v>
      </c>
      <c r="I9" s="259" t="n">
        <f aca="false">H9+7</f>
        <v>46363</v>
      </c>
      <c r="J9" s="259" t="n">
        <f aca="false">I9+7</f>
        <v>46370</v>
      </c>
      <c r="K9" s="259" t="n">
        <f aca="false">J9+7</f>
        <v>46377</v>
      </c>
      <c r="L9" s="259" t="n">
        <f aca="false">K9+7</f>
        <v>46384</v>
      </c>
      <c r="M9" s="259" t="n">
        <f aca="false">L9+7</f>
        <v>46391</v>
      </c>
      <c r="N9" s="259" t="n">
        <f aca="false">M9+7</f>
        <v>46398</v>
      </c>
      <c r="O9" s="259" t="n">
        <f aca="false">N9+7</f>
        <v>46405</v>
      </c>
      <c r="P9" s="259" t="n">
        <f aca="false">O9+7</f>
        <v>46412</v>
      </c>
      <c r="Q9" s="259" t="n">
        <f aca="false">P9+7</f>
        <v>46419</v>
      </c>
      <c r="R9" s="259" t="n">
        <f aca="false">Q9+7</f>
        <v>46426</v>
      </c>
      <c r="S9" s="259" t="n">
        <f aca="false">R9+7</f>
        <v>46433</v>
      </c>
      <c r="T9" s="259" t="n">
        <f aca="false">S9+7</f>
        <v>46440</v>
      </c>
      <c r="U9" s="259" t="n">
        <f aca="false">T9+7</f>
        <v>46447</v>
      </c>
      <c r="V9" s="259" t="n">
        <f aca="false">U9+7</f>
        <v>46454</v>
      </c>
      <c r="W9" s="259" t="n">
        <f aca="false">V9+7</f>
        <v>46461</v>
      </c>
    </row>
    <row r="10" customFormat="false" ht="13.4" hidden="false" customHeight="false" outlineLevel="0" collapsed="false">
      <c r="A10" s="260" t="s">
        <v>2219</v>
      </c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</row>
    <row r="11" customFormat="false" ht="15" hidden="false" customHeight="false" outlineLevel="0" collapsed="false">
      <c r="A11" s="261" t="s">
        <v>1744</v>
      </c>
      <c r="B11" s="31" t="s">
        <v>2220</v>
      </c>
      <c r="C11" s="262" t="str">
        <f aca="false">TEXT(สมมติฐาน!$R$5*สมมติฐาน!$S$5,"0")&amp;" เฉลี่ย"</f>
        <v>450 เฉลี่ย</v>
      </c>
      <c r="D11" s="263" t="n">
        <f aca="false">SUMIFS('Master Plan'!$F$8:$F$27,'Master Plan'!$L$8:$L$27,$A11,'Master Plan'!$Y$8:$Y$27,"&gt;="&amp;D$9,'Master Plan'!$Y$8:$Y$27,"&lt;"&amp;D$9+7)</f>
        <v>0</v>
      </c>
      <c r="E11" s="263" t="n">
        <f aca="false">SUMIFS('Master Plan'!$F$8:$F$27,'Master Plan'!$L$8:$L$27,$A11,'Master Plan'!$Y$8:$Y$27,"&gt;="&amp;E$9,'Master Plan'!$Y$8:$Y$27,"&lt;"&amp;E$9+7)</f>
        <v>0</v>
      </c>
      <c r="F11" s="263" t="n">
        <f aca="false">SUMIFS('Master Plan'!$F$8:$F$27,'Master Plan'!$L$8:$L$27,$A11,'Master Plan'!$Y$8:$Y$27,"&gt;="&amp;F$9,'Master Plan'!$Y$8:$Y$27,"&lt;"&amp;F$9+7)</f>
        <v>0</v>
      </c>
      <c r="G11" s="263" t="n">
        <f aca="false">SUMIFS('Master Plan'!$F$8:$F$27,'Master Plan'!$L$8:$L$27,$A11,'Master Plan'!$Y$8:$Y$27,"&gt;="&amp;G$9,'Master Plan'!$Y$8:$Y$27,"&lt;"&amp;G$9+7)</f>
        <v>0</v>
      </c>
      <c r="H11" s="263" t="n">
        <f aca="false">SUMIFS('Master Plan'!$F$8:$F$27,'Master Plan'!$L$8:$L$27,$A11,'Master Plan'!$Y$8:$Y$27,"&gt;="&amp;H$9,'Master Plan'!$Y$8:$Y$27,"&lt;"&amp;H$9+7)</f>
        <v>0</v>
      </c>
      <c r="I11" s="263" t="n">
        <f aca="false">SUMIFS('Master Plan'!$F$8:$F$27,'Master Plan'!$L$8:$L$27,$A11,'Master Plan'!$Y$8:$Y$27,"&gt;="&amp;I$9,'Master Plan'!$Y$8:$Y$27,"&lt;"&amp;I$9+7)</f>
        <v>0</v>
      </c>
      <c r="J11" s="263" t="n">
        <f aca="false">SUMIFS('Master Plan'!$F$8:$F$27,'Master Plan'!$L$8:$L$27,$A11,'Master Plan'!$Y$8:$Y$27,"&gt;="&amp;J$9,'Master Plan'!$Y$8:$Y$27,"&lt;"&amp;J$9+7)</f>
        <v>0</v>
      </c>
      <c r="K11" s="263" t="n">
        <f aca="false">SUMIFS('Master Plan'!$F$8:$F$27,'Master Plan'!$L$8:$L$27,$A11,'Master Plan'!$Y$8:$Y$27,"&gt;="&amp;K$9,'Master Plan'!$Y$8:$Y$27,"&lt;"&amp;K$9+7)</f>
        <v>0</v>
      </c>
      <c r="L11" s="263" t="n">
        <f aca="false">SUMIFS('Master Plan'!$F$8:$F$27,'Master Plan'!$L$8:$L$27,$A11,'Master Plan'!$Y$8:$Y$27,"&gt;="&amp;L$9,'Master Plan'!$Y$8:$Y$27,"&lt;"&amp;L$9+7)</f>
        <v>0</v>
      </c>
      <c r="M11" s="263" t="n">
        <f aca="false">SUMIFS('Master Plan'!$F$8:$F$27,'Master Plan'!$L$8:$L$27,$A11,'Master Plan'!$Y$8:$Y$27,"&gt;="&amp;M$9,'Master Plan'!$Y$8:$Y$27,"&lt;"&amp;M$9+7)</f>
        <v>0</v>
      </c>
      <c r="N11" s="263" t="n">
        <f aca="false">SUMIFS('Master Plan'!$F$8:$F$27,'Master Plan'!$L$8:$L$27,$A11,'Master Plan'!$Y$8:$Y$27,"&gt;="&amp;N$9,'Master Plan'!$Y$8:$Y$27,"&lt;"&amp;N$9+7)</f>
        <v>0</v>
      </c>
      <c r="O11" s="263" t="n">
        <f aca="false">SUMIFS('Master Plan'!$F$8:$F$27,'Master Plan'!$L$8:$L$27,$A11,'Master Plan'!$Y$8:$Y$27,"&gt;="&amp;O$9,'Master Plan'!$Y$8:$Y$27,"&lt;"&amp;O$9+7)</f>
        <v>0</v>
      </c>
      <c r="P11" s="263" t="n">
        <f aca="false">SUMIFS('Master Plan'!$F$8:$F$27,'Master Plan'!$L$8:$L$27,$A11,'Master Plan'!$Y$8:$Y$27,"&gt;="&amp;P$9,'Master Plan'!$Y$8:$Y$27,"&lt;"&amp;P$9+7)</f>
        <v>0</v>
      </c>
      <c r="Q11" s="263" t="n">
        <f aca="false">SUMIFS('Master Plan'!$F$8:$F$27,'Master Plan'!$L$8:$L$27,$A11,'Master Plan'!$Y$8:$Y$27,"&gt;="&amp;Q$9,'Master Plan'!$Y$8:$Y$27,"&lt;"&amp;Q$9+7)</f>
        <v>0</v>
      </c>
      <c r="R11" s="263" t="n">
        <f aca="false">SUMIFS('Master Plan'!$F$8:$F$27,'Master Plan'!$L$8:$L$27,$A11,'Master Plan'!$Y$8:$Y$27,"&gt;="&amp;R$9,'Master Plan'!$Y$8:$Y$27,"&lt;"&amp;R$9+7)</f>
        <v>0</v>
      </c>
      <c r="S11" s="263" t="n">
        <f aca="false">SUMIFS('Master Plan'!$F$8:$F$27,'Master Plan'!$L$8:$L$27,$A11,'Master Plan'!$Y$8:$Y$27,"&gt;="&amp;S$9,'Master Plan'!$Y$8:$Y$27,"&lt;"&amp;S$9+7)</f>
        <v>0</v>
      </c>
      <c r="T11" s="263" t="n">
        <f aca="false">SUMIFS('Master Plan'!$F$8:$F$27,'Master Plan'!$L$8:$L$27,$A11,'Master Plan'!$Y$8:$Y$27,"&gt;="&amp;T$9,'Master Plan'!$Y$8:$Y$27,"&lt;"&amp;T$9+7)</f>
        <v>0</v>
      </c>
      <c r="U11" s="263" t="n">
        <f aca="false">SUMIFS('Master Plan'!$F$8:$F$27,'Master Plan'!$L$8:$L$27,$A11,'Master Plan'!$Y$8:$Y$27,"&gt;="&amp;U$9,'Master Plan'!$Y$8:$Y$27,"&lt;"&amp;U$9+7)</f>
        <v>0</v>
      </c>
      <c r="V11" s="263" t="n">
        <f aca="false">SUMIFS('Master Plan'!$F$8:$F$27,'Master Plan'!$L$8:$L$27,$A11,'Master Plan'!$Y$8:$Y$27,"&gt;="&amp;V$9,'Master Plan'!$Y$8:$Y$27,"&lt;"&amp;V$9+7)</f>
        <v>0</v>
      </c>
      <c r="W11" s="263" t="n">
        <f aca="false">SUMIFS('Master Plan'!$F$8:$F$27,'Master Plan'!$L$8:$L$27,$A11,'Master Plan'!$Y$8:$Y$27,"&gt;="&amp;W$9,'Master Plan'!$Y$8:$Y$27,"&lt;"&amp;W$9+7)</f>
        <v>0</v>
      </c>
    </row>
    <row r="12" customFormat="false" ht="15" hidden="false" customHeight="false" outlineLevel="0" collapsed="false">
      <c r="A12" s="261" t="s">
        <v>1744</v>
      </c>
      <c r="B12" s="31" t="s">
        <v>2221</v>
      </c>
      <c r="C12" s="262" t="n">
        <f aca="false">สมมติฐาน!$T$5*สมมติฐาน!$U$5</f>
        <v>8</v>
      </c>
      <c r="D12" s="263" t="n">
        <f aca="false">COUNTIFS('Master Plan'!$L$8:$L$27,$A12,'Master Plan'!$AA$8:$AA$27,"&gt;="&amp;D$9,'Master Plan'!$AA$8:$AA$27,"&lt;"&amp;D$9+7)</f>
        <v>0</v>
      </c>
      <c r="E12" s="263" t="n">
        <f aca="false">COUNTIFS('Master Plan'!$L$8:$L$27,$A12,'Master Plan'!$AA$8:$AA$27,"&gt;="&amp;E$9,'Master Plan'!$AA$8:$AA$27,"&lt;"&amp;E$9+7)</f>
        <v>0</v>
      </c>
      <c r="F12" s="263" t="n">
        <f aca="false">COUNTIFS('Master Plan'!$L$8:$L$27,$A12,'Master Plan'!$AA$8:$AA$27,"&gt;="&amp;F$9,'Master Plan'!$AA$8:$AA$27,"&lt;"&amp;F$9+7)</f>
        <v>0</v>
      </c>
      <c r="G12" s="263" t="n">
        <f aca="false">COUNTIFS('Master Plan'!$L$8:$L$27,$A12,'Master Plan'!$AA$8:$AA$27,"&gt;="&amp;G$9,'Master Plan'!$AA$8:$AA$27,"&lt;"&amp;G$9+7)</f>
        <v>0</v>
      </c>
      <c r="H12" s="263" t="n">
        <f aca="false">COUNTIFS('Master Plan'!$L$8:$L$27,$A12,'Master Plan'!$AA$8:$AA$27,"&gt;="&amp;H$9,'Master Plan'!$AA$8:$AA$27,"&lt;"&amp;H$9+7)</f>
        <v>0</v>
      </c>
      <c r="I12" s="263" t="n">
        <f aca="false">COUNTIFS('Master Plan'!$L$8:$L$27,$A12,'Master Plan'!$AA$8:$AA$27,"&gt;="&amp;I$9,'Master Plan'!$AA$8:$AA$27,"&lt;"&amp;I$9+7)</f>
        <v>0</v>
      </c>
      <c r="J12" s="263" t="n">
        <f aca="false">COUNTIFS('Master Plan'!$L$8:$L$27,$A12,'Master Plan'!$AA$8:$AA$27,"&gt;="&amp;J$9,'Master Plan'!$AA$8:$AA$27,"&lt;"&amp;J$9+7)</f>
        <v>0</v>
      </c>
      <c r="K12" s="263" t="n">
        <f aca="false">COUNTIFS('Master Plan'!$L$8:$L$27,$A12,'Master Plan'!$AA$8:$AA$27,"&gt;="&amp;K$9,'Master Plan'!$AA$8:$AA$27,"&lt;"&amp;K$9+7)</f>
        <v>0</v>
      </c>
      <c r="L12" s="263" t="n">
        <f aca="false">COUNTIFS('Master Plan'!$L$8:$L$27,$A12,'Master Plan'!$AA$8:$AA$27,"&gt;="&amp;L$9,'Master Plan'!$AA$8:$AA$27,"&lt;"&amp;L$9+7)</f>
        <v>0</v>
      </c>
      <c r="M12" s="263" t="n">
        <f aca="false">COUNTIFS('Master Plan'!$L$8:$L$27,$A12,'Master Plan'!$AA$8:$AA$27,"&gt;="&amp;M$9,'Master Plan'!$AA$8:$AA$27,"&lt;"&amp;M$9+7)</f>
        <v>0</v>
      </c>
      <c r="N12" s="263" t="n">
        <f aca="false">COUNTIFS('Master Plan'!$L$8:$L$27,$A12,'Master Plan'!$AA$8:$AA$27,"&gt;="&amp;N$9,'Master Plan'!$AA$8:$AA$27,"&lt;"&amp;N$9+7)</f>
        <v>0</v>
      </c>
      <c r="O12" s="263" t="n">
        <f aca="false">COUNTIFS('Master Plan'!$L$8:$L$27,$A12,'Master Plan'!$AA$8:$AA$27,"&gt;="&amp;O$9,'Master Plan'!$AA$8:$AA$27,"&lt;"&amp;O$9+7)</f>
        <v>0</v>
      </c>
      <c r="P12" s="263" t="n">
        <f aca="false">COUNTIFS('Master Plan'!$L$8:$L$27,$A12,'Master Plan'!$AA$8:$AA$27,"&gt;="&amp;P$9,'Master Plan'!$AA$8:$AA$27,"&lt;"&amp;P$9+7)</f>
        <v>0</v>
      </c>
      <c r="Q12" s="263" t="n">
        <f aca="false">COUNTIFS('Master Plan'!$L$8:$L$27,$A12,'Master Plan'!$AA$8:$AA$27,"&gt;="&amp;Q$9,'Master Plan'!$AA$8:$AA$27,"&lt;"&amp;Q$9+7)</f>
        <v>0</v>
      </c>
      <c r="R12" s="263" t="n">
        <f aca="false">COUNTIFS('Master Plan'!$L$8:$L$27,$A12,'Master Plan'!$AA$8:$AA$27,"&gt;="&amp;R$9,'Master Plan'!$AA$8:$AA$27,"&lt;"&amp;R$9+7)</f>
        <v>0</v>
      </c>
      <c r="S12" s="263" t="n">
        <f aca="false">COUNTIFS('Master Plan'!$L$8:$L$27,$A12,'Master Plan'!$AA$8:$AA$27,"&gt;="&amp;S$9,'Master Plan'!$AA$8:$AA$27,"&lt;"&amp;S$9+7)</f>
        <v>0</v>
      </c>
      <c r="T12" s="263" t="n">
        <f aca="false">COUNTIFS('Master Plan'!$L$8:$L$27,$A12,'Master Plan'!$AA$8:$AA$27,"&gt;="&amp;T$9,'Master Plan'!$AA$8:$AA$27,"&lt;"&amp;T$9+7)</f>
        <v>0</v>
      </c>
      <c r="U12" s="263" t="n">
        <f aca="false">COUNTIFS('Master Plan'!$L$8:$L$27,$A12,'Master Plan'!$AA$8:$AA$27,"&gt;="&amp;U$9,'Master Plan'!$AA$8:$AA$27,"&lt;"&amp;U$9+7)</f>
        <v>0</v>
      </c>
      <c r="V12" s="263" t="n">
        <f aca="false">COUNTIFS('Master Plan'!$L$8:$L$27,$A12,'Master Plan'!$AA$8:$AA$27,"&gt;="&amp;V$9,'Master Plan'!$AA$8:$AA$27,"&lt;"&amp;V$9+7)</f>
        <v>0</v>
      </c>
      <c r="W12" s="263" t="n">
        <f aca="false">COUNTIFS('Master Plan'!$L$8:$L$27,$A12,'Master Plan'!$AA$8:$AA$27,"&gt;="&amp;W$9,'Master Plan'!$AA$8:$AA$27,"&lt;"&amp;W$9+7)</f>
        <v>0</v>
      </c>
    </row>
    <row r="13" customFormat="false" ht="15" hidden="false" customHeight="false" outlineLevel="0" collapsed="false">
      <c r="A13" s="261" t="s">
        <v>1744</v>
      </c>
      <c r="B13" s="31" t="s">
        <v>2222</v>
      </c>
      <c r="C13" s="262"/>
      <c r="D13" s="263" t="n">
        <f aca="false">COUNTIFS('Master Plan'!$L$8:$L$27,$A13,'Master Plan'!$AB$8:$AB$27,"&gt;="&amp;D$9,'Master Plan'!$AB$8:$AB$27,"&lt;"&amp;D$9+7)</f>
        <v>0</v>
      </c>
      <c r="E13" s="263" t="n">
        <f aca="false">COUNTIFS('Master Plan'!$L$8:$L$27,$A13,'Master Plan'!$AB$8:$AB$27,"&gt;="&amp;E$9,'Master Plan'!$AB$8:$AB$27,"&lt;"&amp;E$9+7)</f>
        <v>0</v>
      </c>
      <c r="F13" s="263" t="n">
        <f aca="false">COUNTIFS('Master Plan'!$L$8:$L$27,$A13,'Master Plan'!$AB$8:$AB$27,"&gt;="&amp;F$9,'Master Plan'!$AB$8:$AB$27,"&lt;"&amp;F$9+7)</f>
        <v>0</v>
      </c>
      <c r="G13" s="263" t="n">
        <f aca="false">COUNTIFS('Master Plan'!$L$8:$L$27,$A13,'Master Plan'!$AB$8:$AB$27,"&gt;="&amp;G$9,'Master Plan'!$AB$8:$AB$27,"&lt;"&amp;G$9+7)</f>
        <v>0</v>
      </c>
      <c r="H13" s="263" t="n">
        <f aca="false">COUNTIFS('Master Plan'!$L$8:$L$27,$A13,'Master Plan'!$AB$8:$AB$27,"&gt;="&amp;H$9,'Master Plan'!$AB$8:$AB$27,"&lt;"&amp;H$9+7)</f>
        <v>0</v>
      </c>
      <c r="I13" s="263" t="n">
        <f aca="false">COUNTIFS('Master Plan'!$L$8:$L$27,$A13,'Master Plan'!$AB$8:$AB$27,"&gt;="&amp;I$9,'Master Plan'!$AB$8:$AB$27,"&lt;"&amp;I$9+7)</f>
        <v>0</v>
      </c>
      <c r="J13" s="263" t="n">
        <f aca="false">COUNTIFS('Master Plan'!$L$8:$L$27,$A13,'Master Plan'!$AB$8:$AB$27,"&gt;="&amp;J$9,'Master Plan'!$AB$8:$AB$27,"&lt;"&amp;J$9+7)</f>
        <v>0</v>
      </c>
      <c r="K13" s="263" t="n">
        <f aca="false">COUNTIFS('Master Plan'!$L$8:$L$27,$A13,'Master Plan'!$AB$8:$AB$27,"&gt;="&amp;K$9,'Master Plan'!$AB$8:$AB$27,"&lt;"&amp;K$9+7)</f>
        <v>0</v>
      </c>
      <c r="L13" s="263" t="n">
        <f aca="false">COUNTIFS('Master Plan'!$L$8:$L$27,$A13,'Master Plan'!$AB$8:$AB$27,"&gt;="&amp;L$9,'Master Plan'!$AB$8:$AB$27,"&lt;"&amp;L$9+7)</f>
        <v>0</v>
      </c>
      <c r="M13" s="263" t="n">
        <f aca="false">COUNTIFS('Master Plan'!$L$8:$L$27,$A13,'Master Plan'!$AB$8:$AB$27,"&gt;="&amp;M$9,'Master Plan'!$AB$8:$AB$27,"&lt;"&amp;M$9+7)</f>
        <v>0</v>
      </c>
      <c r="N13" s="263" t="n">
        <f aca="false">COUNTIFS('Master Plan'!$L$8:$L$27,$A13,'Master Plan'!$AB$8:$AB$27,"&gt;="&amp;N$9,'Master Plan'!$AB$8:$AB$27,"&lt;"&amp;N$9+7)</f>
        <v>0</v>
      </c>
      <c r="O13" s="263" t="n">
        <f aca="false">COUNTIFS('Master Plan'!$L$8:$L$27,$A13,'Master Plan'!$AB$8:$AB$27,"&gt;="&amp;O$9,'Master Plan'!$AB$8:$AB$27,"&lt;"&amp;O$9+7)</f>
        <v>0</v>
      </c>
      <c r="P13" s="263" t="n">
        <f aca="false">COUNTIFS('Master Plan'!$L$8:$L$27,$A13,'Master Plan'!$AB$8:$AB$27,"&gt;="&amp;P$9,'Master Plan'!$AB$8:$AB$27,"&lt;"&amp;P$9+7)</f>
        <v>0</v>
      </c>
      <c r="Q13" s="263" t="n">
        <f aca="false">COUNTIFS('Master Plan'!$L$8:$L$27,$A13,'Master Plan'!$AB$8:$AB$27,"&gt;="&amp;Q$9,'Master Plan'!$AB$8:$AB$27,"&lt;"&amp;Q$9+7)</f>
        <v>0</v>
      </c>
      <c r="R13" s="263" t="n">
        <f aca="false">COUNTIFS('Master Plan'!$L$8:$L$27,$A13,'Master Plan'!$AB$8:$AB$27,"&gt;="&amp;R$9,'Master Plan'!$AB$8:$AB$27,"&lt;"&amp;R$9+7)</f>
        <v>0</v>
      </c>
      <c r="S13" s="263" t="n">
        <f aca="false">COUNTIFS('Master Plan'!$L$8:$L$27,$A13,'Master Plan'!$AB$8:$AB$27,"&gt;="&amp;S$9,'Master Plan'!$AB$8:$AB$27,"&lt;"&amp;S$9+7)</f>
        <v>0</v>
      </c>
      <c r="T13" s="263" t="n">
        <f aca="false">COUNTIFS('Master Plan'!$L$8:$L$27,$A13,'Master Plan'!$AB$8:$AB$27,"&gt;="&amp;T$9,'Master Plan'!$AB$8:$AB$27,"&lt;"&amp;T$9+7)</f>
        <v>0</v>
      </c>
      <c r="U13" s="263" t="n">
        <f aca="false">COUNTIFS('Master Plan'!$L$8:$L$27,$A13,'Master Plan'!$AB$8:$AB$27,"&gt;="&amp;U$9,'Master Plan'!$AB$8:$AB$27,"&lt;"&amp;U$9+7)</f>
        <v>0</v>
      </c>
      <c r="V13" s="263" t="n">
        <f aca="false">COUNTIFS('Master Plan'!$L$8:$L$27,$A13,'Master Plan'!$AB$8:$AB$27,"&gt;="&amp;V$9,'Master Plan'!$AB$8:$AB$27,"&lt;"&amp;V$9+7)</f>
        <v>0</v>
      </c>
      <c r="W13" s="263" t="n">
        <f aca="false">COUNTIFS('Master Plan'!$L$8:$L$27,$A13,'Master Plan'!$AB$8:$AB$27,"&gt;="&amp;W$9,'Master Plan'!$AB$8:$AB$27,"&lt;"&amp;W$9+7)</f>
        <v>0</v>
      </c>
    </row>
    <row r="14" customFormat="false" ht="15" hidden="false" customHeight="false" outlineLevel="0" collapsed="false">
      <c r="A14" s="261" t="s">
        <v>1745</v>
      </c>
      <c r="B14" s="31" t="s">
        <v>2220</v>
      </c>
      <c r="C14" s="262" t="str">
        <f aca="false">TEXT(สมมติฐาน!$R$6*สมมติฐาน!$S$6,"0")&amp;" เฉลี่ย"</f>
        <v>300 เฉลี่ย</v>
      </c>
      <c r="D14" s="263" t="n">
        <f aca="false">SUMIFS('Master Plan'!$F$8:$F$27,'Master Plan'!$L$8:$L$27,$A14,'Master Plan'!$Y$8:$Y$27,"&gt;="&amp;D$9,'Master Plan'!$Y$8:$Y$27,"&lt;"&amp;D$9+7)</f>
        <v>0</v>
      </c>
      <c r="E14" s="263" t="n">
        <f aca="false">SUMIFS('Master Plan'!$F$8:$F$27,'Master Plan'!$L$8:$L$27,$A14,'Master Plan'!$Y$8:$Y$27,"&gt;="&amp;E$9,'Master Plan'!$Y$8:$Y$27,"&lt;"&amp;E$9+7)</f>
        <v>0</v>
      </c>
      <c r="F14" s="263" t="n">
        <f aca="false">SUMIFS('Master Plan'!$F$8:$F$27,'Master Plan'!$L$8:$L$27,$A14,'Master Plan'!$Y$8:$Y$27,"&gt;="&amp;F$9,'Master Plan'!$Y$8:$Y$27,"&lt;"&amp;F$9+7)</f>
        <v>0</v>
      </c>
      <c r="G14" s="263" t="n">
        <f aca="false">SUMIFS('Master Plan'!$F$8:$F$27,'Master Plan'!$L$8:$L$27,$A14,'Master Plan'!$Y$8:$Y$27,"&gt;="&amp;G$9,'Master Plan'!$Y$8:$Y$27,"&lt;"&amp;G$9+7)</f>
        <v>0</v>
      </c>
      <c r="H14" s="263" t="n">
        <f aca="false">SUMIFS('Master Plan'!$F$8:$F$27,'Master Plan'!$L$8:$L$27,$A14,'Master Plan'!$Y$8:$Y$27,"&gt;="&amp;H$9,'Master Plan'!$Y$8:$Y$27,"&lt;"&amp;H$9+7)</f>
        <v>0</v>
      </c>
      <c r="I14" s="263" t="n">
        <f aca="false">SUMIFS('Master Plan'!$F$8:$F$27,'Master Plan'!$L$8:$L$27,$A14,'Master Plan'!$Y$8:$Y$27,"&gt;="&amp;I$9,'Master Plan'!$Y$8:$Y$27,"&lt;"&amp;I$9+7)</f>
        <v>0</v>
      </c>
      <c r="J14" s="263" t="n">
        <f aca="false">SUMIFS('Master Plan'!$F$8:$F$27,'Master Plan'!$L$8:$L$27,$A14,'Master Plan'!$Y$8:$Y$27,"&gt;="&amp;J$9,'Master Plan'!$Y$8:$Y$27,"&lt;"&amp;J$9+7)</f>
        <v>0</v>
      </c>
      <c r="K14" s="263" t="n">
        <f aca="false">SUMIFS('Master Plan'!$F$8:$F$27,'Master Plan'!$L$8:$L$27,$A14,'Master Plan'!$Y$8:$Y$27,"&gt;="&amp;K$9,'Master Plan'!$Y$8:$Y$27,"&lt;"&amp;K$9+7)</f>
        <v>0</v>
      </c>
      <c r="L14" s="263" t="n">
        <f aca="false">SUMIFS('Master Plan'!$F$8:$F$27,'Master Plan'!$L$8:$L$27,$A14,'Master Plan'!$Y$8:$Y$27,"&gt;="&amp;L$9,'Master Plan'!$Y$8:$Y$27,"&lt;"&amp;L$9+7)</f>
        <v>0</v>
      </c>
      <c r="M14" s="263" t="n">
        <f aca="false">SUMIFS('Master Plan'!$F$8:$F$27,'Master Plan'!$L$8:$L$27,$A14,'Master Plan'!$Y$8:$Y$27,"&gt;="&amp;M$9,'Master Plan'!$Y$8:$Y$27,"&lt;"&amp;M$9+7)</f>
        <v>0</v>
      </c>
      <c r="N14" s="263" t="n">
        <f aca="false">SUMIFS('Master Plan'!$F$8:$F$27,'Master Plan'!$L$8:$L$27,$A14,'Master Plan'!$Y$8:$Y$27,"&gt;="&amp;N$9,'Master Plan'!$Y$8:$Y$27,"&lt;"&amp;N$9+7)</f>
        <v>0</v>
      </c>
      <c r="O14" s="263" t="n">
        <f aca="false">SUMIFS('Master Plan'!$F$8:$F$27,'Master Plan'!$L$8:$L$27,$A14,'Master Plan'!$Y$8:$Y$27,"&gt;="&amp;O$9,'Master Plan'!$Y$8:$Y$27,"&lt;"&amp;O$9+7)</f>
        <v>0</v>
      </c>
      <c r="P14" s="263" t="n">
        <f aca="false">SUMIFS('Master Plan'!$F$8:$F$27,'Master Plan'!$L$8:$L$27,$A14,'Master Plan'!$Y$8:$Y$27,"&gt;="&amp;P$9,'Master Plan'!$Y$8:$Y$27,"&lt;"&amp;P$9+7)</f>
        <v>0</v>
      </c>
      <c r="Q14" s="263" t="n">
        <f aca="false">SUMIFS('Master Plan'!$F$8:$F$27,'Master Plan'!$L$8:$L$27,$A14,'Master Plan'!$Y$8:$Y$27,"&gt;="&amp;Q$9,'Master Plan'!$Y$8:$Y$27,"&lt;"&amp;Q$9+7)</f>
        <v>0</v>
      </c>
      <c r="R14" s="263" t="n">
        <f aca="false">SUMIFS('Master Plan'!$F$8:$F$27,'Master Plan'!$L$8:$L$27,$A14,'Master Plan'!$Y$8:$Y$27,"&gt;="&amp;R$9,'Master Plan'!$Y$8:$Y$27,"&lt;"&amp;R$9+7)</f>
        <v>0</v>
      </c>
      <c r="S14" s="263" t="n">
        <f aca="false">SUMIFS('Master Plan'!$F$8:$F$27,'Master Plan'!$L$8:$L$27,$A14,'Master Plan'!$Y$8:$Y$27,"&gt;="&amp;S$9,'Master Plan'!$Y$8:$Y$27,"&lt;"&amp;S$9+7)</f>
        <v>0</v>
      </c>
      <c r="T14" s="263" t="n">
        <f aca="false">SUMIFS('Master Plan'!$F$8:$F$27,'Master Plan'!$L$8:$L$27,$A14,'Master Plan'!$Y$8:$Y$27,"&gt;="&amp;T$9,'Master Plan'!$Y$8:$Y$27,"&lt;"&amp;T$9+7)</f>
        <v>0</v>
      </c>
      <c r="U14" s="263" t="n">
        <f aca="false">SUMIFS('Master Plan'!$F$8:$F$27,'Master Plan'!$L$8:$L$27,$A14,'Master Plan'!$Y$8:$Y$27,"&gt;="&amp;U$9,'Master Plan'!$Y$8:$Y$27,"&lt;"&amp;U$9+7)</f>
        <v>0</v>
      </c>
      <c r="V14" s="263" t="n">
        <f aca="false">SUMIFS('Master Plan'!$F$8:$F$27,'Master Plan'!$L$8:$L$27,$A14,'Master Plan'!$Y$8:$Y$27,"&gt;="&amp;V$9,'Master Plan'!$Y$8:$Y$27,"&lt;"&amp;V$9+7)</f>
        <v>0</v>
      </c>
      <c r="W14" s="263" t="n">
        <f aca="false">SUMIFS('Master Plan'!$F$8:$F$27,'Master Plan'!$L$8:$L$27,$A14,'Master Plan'!$Y$8:$Y$27,"&gt;="&amp;W$9,'Master Plan'!$Y$8:$Y$27,"&lt;"&amp;W$9+7)</f>
        <v>0</v>
      </c>
    </row>
    <row r="15" customFormat="false" ht="15" hidden="false" customHeight="false" outlineLevel="0" collapsed="false">
      <c r="A15" s="261" t="s">
        <v>1745</v>
      </c>
      <c r="B15" s="31" t="s">
        <v>2221</v>
      </c>
      <c r="C15" s="262" t="n">
        <f aca="false">สมมติฐาน!$T$6*สมมติฐาน!$U$6</f>
        <v>8</v>
      </c>
      <c r="D15" s="263" t="n">
        <f aca="false">COUNTIFS('Master Plan'!$L$8:$L$27,$A15,'Master Plan'!$AA$8:$AA$27,"&gt;="&amp;D$9,'Master Plan'!$AA$8:$AA$27,"&lt;"&amp;D$9+7)</f>
        <v>0</v>
      </c>
      <c r="E15" s="263" t="n">
        <f aca="false">COUNTIFS('Master Plan'!$L$8:$L$27,$A15,'Master Plan'!$AA$8:$AA$27,"&gt;="&amp;E$9,'Master Plan'!$AA$8:$AA$27,"&lt;"&amp;E$9+7)</f>
        <v>0</v>
      </c>
      <c r="F15" s="263" t="n">
        <f aca="false">COUNTIFS('Master Plan'!$L$8:$L$27,$A15,'Master Plan'!$AA$8:$AA$27,"&gt;="&amp;F$9,'Master Plan'!$AA$8:$AA$27,"&lt;"&amp;F$9+7)</f>
        <v>0</v>
      </c>
      <c r="G15" s="263" t="n">
        <f aca="false">COUNTIFS('Master Plan'!$L$8:$L$27,$A15,'Master Plan'!$AA$8:$AA$27,"&gt;="&amp;G$9,'Master Plan'!$AA$8:$AA$27,"&lt;"&amp;G$9+7)</f>
        <v>0</v>
      </c>
      <c r="H15" s="263" t="n">
        <f aca="false">COUNTIFS('Master Plan'!$L$8:$L$27,$A15,'Master Plan'!$AA$8:$AA$27,"&gt;="&amp;H$9,'Master Plan'!$AA$8:$AA$27,"&lt;"&amp;H$9+7)</f>
        <v>0</v>
      </c>
      <c r="I15" s="263" t="n">
        <f aca="false">COUNTIFS('Master Plan'!$L$8:$L$27,$A15,'Master Plan'!$AA$8:$AA$27,"&gt;="&amp;I$9,'Master Plan'!$AA$8:$AA$27,"&lt;"&amp;I$9+7)</f>
        <v>0</v>
      </c>
      <c r="J15" s="263" t="n">
        <f aca="false">COUNTIFS('Master Plan'!$L$8:$L$27,$A15,'Master Plan'!$AA$8:$AA$27,"&gt;="&amp;J$9,'Master Plan'!$AA$8:$AA$27,"&lt;"&amp;J$9+7)</f>
        <v>0</v>
      </c>
      <c r="K15" s="263" t="n">
        <f aca="false">COUNTIFS('Master Plan'!$L$8:$L$27,$A15,'Master Plan'!$AA$8:$AA$27,"&gt;="&amp;K$9,'Master Plan'!$AA$8:$AA$27,"&lt;"&amp;K$9+7)</f>
        <v>0</v>
      </c>
      <c r="L15" s="263" t="n">
        <f aca="false">COUNTIFS('Master Plan'!$L$8:$L$27,$A15,'Master Plan'!$AA$8:$AA$27,"&gt;="&amp;L$9,'Master Plan'!$AA$8:$AA$27,"&lt;"&amp;L$9+7)</f>
        <v>0</v>
      </c>
      <c r="M15" s="263" t="n">
        <f aca="false">COUNTIFS('Master Plan'!$L$8:$L$27,$A15,'Master Plan'!$AA$8:$AA$27,"&gt;="&amp;M$9,'Master Plan'!$AA$8:$AA$27,"&lt;"&amp;M$9+7)</f>
        <v>0</v>
      </c>
      <c r="N15" s="263" t="n">
        <f aca="false">COUNTIFS('Master Plan'!$L$8:$L$27,$A15,'Master Plan'!$AA$8:$AA$27,"&gt;="&amp;N$9,'Master Plan'!$AA$8:$AA$27,"&lt;"&amp;N$9+7)</f>
        <v>0</v>
      </c>
      <c r="O15" s="263" t="n">
        <f aca="false">COUNTIFS('Master Plan'!$L$8:$L$27,$A15,'Master Plan'!$AA$8:$AA$27,"&gt;="&amp;O$9,'Master Plan'!$AA$8:$AA$27,"&lt;"&amp;O$9+7)</f>
        <v>0</v>
      </c>
      <c r="P15" s="263" t="n">
        <f aca="false">COUNTIFS('Master Plan'!$L$8:$L$27,$A15,'Master Plan'!$AA$8:$AA$27,"&gt;="&amp;P$9,'Master Plan'!$AA$8:$AA$27,"&lt;"&amp;P$9+7)</f>
        <v>0</v>
      </c>
      <c r="Q15" s="263" t="n">
        <f aca="false">COUNTIFS('Master Plan'!$L$8:$L$27,$A15,'Master Plan'!$AA$8:$AA$27,"&gt;="&amp;Q$9,'Master Plan'!$AA$8:$AA$27,"&lt;"&amp;Q$9+7)</f>
        <v>0</v>
      </c>
      <c r="R15" s="263" t="n">
        <f aca="false">COUNTIFS('Master Plan'!$L$8:$L$27,$A15,'Master Plan'!$AA$8:$AA$27,"&gt;="&amp;R$9,'Master Plan'!$AA$8:$AA$27,"&lt;"&amp;R$9+7)</f>
        <v>0</v>
      </c>
      <c r="S15" s="263" t="n">
        <f aca="false">COUNTIFS('Master Plan'!$L$8:$L$27,$A15,'Master Plan'!$AA$8:$AA$27,"&gt;="&amp;S$9,'Master Plan'!$AA$8:$AA$27,"&lt;"&amp;S$9+7)</f>
        <v>0</v>
      </c>
      <c r="T15" s="263" t="n">
        <f aca="false">COUNTIFS('Master Plan'!$L$8:$L$27,$A15,'Master Plan'!$AA$8:$AA$27,"&gt;="&amp;T$9,'Master Plan'!$AA$8:$AA$27,"&lt;"&amp;T$9+7)</f>
        <v>0</v>
      </c>
      <c r="U15" s="263" t="n">
        <f aca="false">COUNTIFS('Master Plan'!$L$8:$L$27,$A15,'Master Plan'!$AA$8:$AA$27,"&gt;="&amp;U$9,'Master Plan'!$AA$8:$AA$27,"&lt;"&amp;U$9+7)</f>
        <v>0</v>
      </c>
      <c r="V15" s="263" t="n">
        <f aca="false">COUNTIFS('Master Plan'!$L$8:$L$27,$A15,'Master Plan'!$AA$8:$AA$27,"&gt;="&amp;V$9,'Master Plan'!$AA$8:$AA$27,"&lt;"&amp;V$9+7)</f>
        <v>0</v>
      </c>
      <c r="W15" s="263" t="n">
        <f aca="false">COUNTIFS('Master Plan'!$L$8:$L$27,$A15,'Master Plan'!$AA$8:$AA$27,"&gt;="&amp;W$9,'Master Plan'!$AA$8:$AA$27,"&lt;"&amp;W$9+7)</f>
        <v>0</v>
      </c>
    </row>
    <row r="16" customFormat="false" ht="15" hidden="false" customHeight="false" outlineLevel="0" collapsed="false">
      <c r="A16" s="261" t="s">
        <v>1745</v>
      </c>
      <c r="B16" s="31" t="s">
        <v>2222</v>
      </c>
      <c r="C16" s="262"/>
      <c r="D16" s="263" t="n">
        <f aca="false">COUNTIFS('Master Plan'!$L$8:$L$27,$A16,'Master Plan'!$AB$8:$AB$27,"&gt;="&amp;D$9,'Master Plan'!$AB$8:$AB$27,"&lt;"&amp;D$9+7)</f>
        <v>0</v>
      </c>
      <c r="E16" s="263" t="n">
        <f aca="false">COUNTIFS('Master Plan'!$L$8:$L$27,$A16,'Master Plan'!$AB$8:$AB$27,"&gt;="&amp;E$9,'Master Plan'!$AB$8:$AB$27,"&lt;"&amp;E$9+7)</f>
        <v>0</v>
      </c>
      <c r="F16" s="263" t="n">
        <f aca="false">COUNTIFS('Master Plan'!$L$8:$L$27,$A16,'Master Plan'!$AB$8:$AB$27,"&gt;="&amp;F$9,'Master Plan'!$AB$8:$AB$27,"&lt;"&amp;F$9+7)</f>
        <v>0</v>
      </c>
      <c r="G16" s="263" t="n">
        <f aca="false">COUNTIFS('Master Plan'!$L$8:$L$27,$A16,'Master Plan'!$AB$8:$AB$27,"&gt;="&amp;G$9,'Master Plan'!$AB$8:$AB$27,"&lt;"&amp;G$9+7)</f>
        <v>0</v>
      </c>
      <c r="H16" s="263" t="n">
        <f aca="false">COUNTIFS('Master Plan'!$L$8:$L$27,$A16,'Master Plan'!$AB$8:$AB$27,"&gt;="&amp;H$9,'Master Plan'!$AB$8:$AB$27,"&lt;"&amp;H$9+7)</f>
        <v>0</v>
      </c>
      <c r="I16" s="263" t="n">
        <f aca="false">COUNTIFS('Master Plan'!$L$8:$L$27,$A16,'Master Plan'!$AB$8:$AB$27,"&gt;="&amp;I$9,'Master Plan'!$AB$8:$AB$27,"&lt;"&amp;I$9+7)</f>
        <v>0</v>
      </c>
      <c r="J16" s="263" t="n">
        <f aca="false">COUNTIFS('Master Plan'!$L$8:$L$27,$A16,'Master Plan'!$AB$8:$AB$27,"&gt;="&amp;J$9,'Master Plan'!$AB$8:$AB$27,"&lt;"&amp;J$9+7)</f>
        <v>0</v>
      </c>
      <c r="K16" s="263" t="n">
        <f aca="false">COUNTIFS('Master Plan'!$L$8:$L$27,$A16,'Master Plan'!$AB$8:$AB$27,"&gt;="&amp;K$9,'Master Plan'!$AB$8:$AB$27,"&lt;"&amp;K$9+7)</f>
        <v>0</v>
      </c>
      <c r="L16" s="263" t="n">
        <f aca="false">COUNTIFS('Master Plan'!$L$8:$L$27,$A16,'Master Plan'!$AB$8:$AB$27,"&gt;="&amp;L$9,'Master Plan'!$AB$8:$AB$27,"&lt;"&amp;L$9+7)</f>
        <v>0</v>
      </c>
      <c r="M16" s="263" t="n">
        <f aca="false">COUNTIFS('Master Plan'!$L$8:$L$27,$A16,'Master Plan'!$AB$8:$AB$27,"&gt;="&amp;M$9,'Master Plan'!$AB$8:$AB$27,"&lt;"&amp;M$9+7)</f>
        <v>0</v>
      </c>
      <c r="N16" s="263" t="n">
        <f aca="false">COUNTIFS('Master Plan'!$L$8:$L$27,$A16,'Master Plan'!$AB$8:$AB$27,"&gt;="&amp;N$9,'Master Plan'!$AB$8:$AB$27,"&lt;"&amp;N$9+7)</f>
        <v>0</v>
      </c>
      <c r="O16" s="263" t="n">
        <f aca="false">COUNTIFS('Master Plan'!$L$8:$L$27,$A16,'Master Plan'!$AB$8:$AB$27,"&gt;="&amp;O$9,'Master Plan'!$AB$8:$AB$27,"&lt;"&amp;O$9+7)</f>
        <v>0</v>
      </c>
      <c r="P16" s="263" t="n">
        <f aca="false">COUNTIFS('Master Plan'!$L$8:$L$27,$A16,'Master Plan'!$AB$8:$AB$27,"&gt;="&amp;P$9,'Master Plan'!$AB$8:$AB$27,"&lt;"&amp;P$9+7)</f>
        <v>0</v>
      </c>
      <c r="Q16" s="263" t="n">
        <f aca="false">COUNTIFS('Master Plan'!$L$8:$L$27,$A16,'Master Plan'!$AB$8:$AB$27,"&gt;="&amp;Q$9,'Master Plan'!$AB$8:$AB$27,"&lt;"&amp;Q$9+7)</f>
        <v>0</v>
      </c>
      <c r="R16" s="263" t="n">
        <f aca="false">COUNTIFS('Master Plan'!$L$8:$L$27,$A16,'Master Plan'!$AB$8:$AB$27,"&gt;="&amp;R$9,'Master Plan'!$AB$8:$AB$27,"&lt;"&amp;R$9+7)</f>
        <v>0</v>
      </c>
      <c r="S16" s="263" t="n">
        <f aca="false">COUNTIFS('Master Plan'!$L$8:$L$27,$A16,'Master Plan'!$AB$8:$AB$27,"&gt;="&amp;S$9,'Master Plan'!$AB$8:$AB$27,"&lt;"&amp;S$9+7)</f>
        <v>0</v>
      </c>
      <c r="T16" s="263" t="n">
        <f aca="false">COUNTIFS('Master Plan'!$L$8:$L$27,$A16,'Master Plan'!$AB$8:$AB$27,"&gt;="&amp;T$9,'Master Plan'!$AB$8:$AB$27,"&lt;"&amp;T$9+7)</f>
        <v>0</v>
      </c>
      <c r="U16" s="263" t="n">
        <f aca="false">COUNTIFS('Master Plan'!$L$8:$L$27,$A16,'Master Plan'!$AB$8:$AB$27,"&gt;="&amp;U$9,'Master Plan'!$AB$8:$AB$27,"&lt;"&amp;U$9+7)</f>
        <v>0</v>
      </c>
      <c r="V16" s="263" t="n">
        <f aca="false">COUNTIFS('Master Plan'!$L$8:$L$27,$A16,'Master Plan'!$AB$8:$AB$27,"&gt;="&amp;V$9,'Master Plan'!$AB$8:$AB$27,"&lt;"&amp;V$9+7)</f>
        <v>0</v>
      </c>
      <c r="W16" s="263" t="n">
        <f aca="false">COUNTIFS('Master Plan'!$L$8:$L$27,$A16,'Master Plan'!$AB$8:$AB$27,"&gt;="&amp;W$9,'Master Plan'!$AB$8:$AB$27,"&lt;"&amp;W$9+7)</f>
        <v>0</v>
      </c>
    </row>
    <row r="17" customFormat="false" ht="15" hidden="false" customHeight="false" outlineLevel="0" collapsed="false">
      <c r="A17" s="261" t="s">
        <v>1746</v>
      </c>
      <c r="B17" s="31" t="s">
        <v>2220</v>
      </c>
      <c r="C17" s="262" t="str">
        <f aca="false">TEXT(สมมติฐาน!$R$7*สมมติฐาน!$S$7,"0")&amp;" เฉลี่ย"</f>
        <v>150 เฉลี่ย</v>
      </c>
      <c r="D17" s="263" t="n">
        <f aca="false">SUMIFS('Master Plan'!$F$8:$F$27,'Master Plan'!$L$8:$L$27,$A17,'Master Plan'!$Y$8:$Y$27,"&gt;="&amp;D$9,'Master Plan'!$Y$8:$Y$27,"&lt;"&amp;D$9+7)</f>
        <v>0</v>
      </c>
      <c r="E17" s="263" t="n">
        <f aca="false">SUMIFS('Master Plan'!$F$8:$F$27,'Master Plan'!$L$8:$L$27,$A17,'Master Plan'!$Y$8:$Y$27,"&gt;="&amp;E$9,'Master Plan'!$Y$8:$Y$27,"&lt;"&amp;E$9+7)</f>
        <v>0</v>
      </c>
      <c r="F17" s="263" t="n">
        <f aca="false">SUMIFS('Master Plan'!$F$8:$F$27,'Master Plan'!$L$8:$L$27,$A17,'Master Plan'!$Y$8:$Y$27,"&gt;="&amp;F$9,'Master Plan'!$Y$8:$Y$27,"&lt;"&amp;F$9+7)</f>
        <v>0</v>
      </c>
      <c r="G17" s="263" t="n">
        <f aca="false">SUMIFS('Master Plan'!$F$8:$F$27,'Master Plan'!$L$8:$L$27,$A17,'Master Plan'!$Y$8:$Y$27,"&gt;="&amp;G$9,'Master Plan'!$Y$8:$Y$27,"&lt;"&amp;G$9+7)</f>
        <v>0</v>
      </c>
      <c r="H17" s="263" t="n">
        <f aca="false">SUMIFS('Master Plan'!$F$8:$F$27,'Master Plan'!$L$8:$L$27,$A17,'Master Plan'!$Y$8:$Y$27,"&gt;="&amp;H$9,'Master Plan'!$Y$8:$Y$27,"&lt;"&amp;H$9+7)</f>
        <v>0</v>
      </c>
      <c r="I17" s="263" t="n">
        <f aca="false">SUMIFS('Master Plan'!$F$8:$F$27,'Master Plan'!$L$8:$L$27,$A17,'Master Plan'!$Y$8:$Y$27,"&gt;="&amp;I$9,'Master Plan'!$Y$8:$Y$27,"&lt;"&amp;I$9+7)</f>
        <v>0</v>
      </c>
      <c r="J17" s="263" t="n">
        <f aca="false">SUMIFS('Master Plan'!$F$8:$F$27,'Master Plan'!$L$8:$L$27,$A17,'Master Plan'!$Y$8:$Y$27,"&gt;="&amp;J$9,'Master Plan'!$Y$8:$Y$27,"&lt;"&amp;J$9+7)</f>
        <v>0</v>
      </c>
      <c r="K17" s="263" t="n">
        <f aca="false">SUMIFS('Master Plan'!$F$8:$F$27,'Master Plan'!$L$8:$L$27,$A17,'Master Plan'!$Y$8:$Y$27,"&gt;="&amp;K$9,'Master Plan'!$Y$8:$Y$27,"&lt;"&amp;K$9+7)</f>
        <v>0</v>
      </c>
      <c r="L17" s="263" t="n">
        <f aca="false">SUMIFS('Master Plan'!$F$8:$F$27,'Master Plan'!$L$8:$L$27,$A17,'Master Plan'!$Y$8:$Y$27,"&gt;="&amp;L$9,'Master Plan'!$Y$8:$Y$27,"&lt;"&amp;L$9+7)</f>
        <v>0</v>
      </c>
      <c r="M17" s="263" t="n">
        <f aca="false">SUMIFS('Master Plan'!$F$8:$F$27,'Master Plan'!$L$8:$L$27,$A17,'Master Plan'!$Y$8:$Y$27,"&gt;="&amp;M$9,'Master Plan'!$Y$8:$Y$27,"&lt;"&amp;M$9+7)</f>
        <v>0</v>
      </c>
      <c r="N17" s="263" t="n">
        <f aca="false">SUMIFS('Master Plan'!$F$8:$F$27,'Master Plan'!$L$8:$L$27,$A17,'Master Plan'!$Y$8:$Y$27,"&gt;="&amp;N$9,'Master Plan'!$Y$8:$Y$27,"&lt;"&amp;N$9+7)</f>
        <v>0</v>
      </c>
      <c r="O17" s="263" t="n">
        <f aca="false">SUMIFS('Master Plan'!$F$8:$F$27,'Master Plan'!$L$8:$L$27,$A17,'Master Plan'!$Y$8:$Y$27,"&gt;="&amp;O$9,'Master Plan'!$Y$8:$Y$27,"&lt;"&amp;O$9+7)</f>
        <v>0</v>
      </c>
      <c r="P17" s="263" t="n">
        <f aca="false">SUMIFS('Master Plan'!$F$8:$F$27,'Master Plan'!$L$8:$L$27,$A17,'Master Plan'!$Y$8:$Y$27,"&gt;="&amp;P$9,'Master Plan'!$Y$8:$Y$27,"&lt;"&amp;P$9+7)</f>
        <v>0</v>
      </c>
      <c r="Q17" s="263" t="n">
        <f aca="false">SUMIFS('Master Plan'!$F$8:$F$27,'Master Plan'!$L$8:$L$27,$A17,'Master Plan'!$Y$8:$Y$27,"&gt;="&amp;Q$9,'Master Plan'!$Y$8:$Y$27,"&lt;"&amp;Q$9+7)</f>
        <v>0</v>
      </c>
      <c r="R17" s="263" t="n">
        <f aca="false">SUMIFS('Master Plan'!$F$8:$F$27,'Master Plan'!$L$8:$L$27,$A17,'Master Plan'!$Y$8:$Y$27,"&gt;="&amp;R$9,'Master Plan'!$Y$8:$Y$27,"&lt;"&amp;R$9+7)</f>
        <v>0</v>
      </c>
      <c r="S17" s="263" t="n">
        <f aca="false">SUMIFS('Master Plan'!$F$8:$F$27,'Master Plan'!$L$8:$L$27,$A17,'Master Plan'!$Y$8:$Y$27,"&gt;="&amp;S$9,'Master Plan'!$Y$8:$Y$27,"&lt;"&amp;S$9+7)</f>
        <v>0</v>
      </c>
      <c r="T17" s="263" t="n">
        <f aca="false">SUMIFS('Master Plan'!$F$8:$F$27,'Master Plan'!$L$8:$L$27,$A17,'Master Plan'!$Y$8:$Y$27,"&gt;="&amp;T$9,'Master Plan'!$Y$8:$Y$27,"&lt;"&amp;T$9+7)</f>
        <v>0</v>
      </c>
      <c r="U17" s="263" t="n">
        <f aca="false">SUMIFS('Master Plan'!$F$8:$F$27,'Master Plan'!$L$8:$L$27,$A17,'Master Plan'!$Y$8:$Y$27,"&gt;="&amp;U$9,'Master Plan'!$Y$8:$Y$27,"&lt;"&amp;U$9+7)</f>
        <v>0</v>
      </c>
      <c r="V17" s="263" t="n">
        <f aca="false">SUMIFS('Master Plan'!$F$8:$F$27,'Master Plan'!$L$8:$L$27,$A17,'Master Plan'!$Y$8:$Y$27,"&gt;="&amp;V$9,'Master Plan'!$Y$8:$Y$27,"&lt;"&amp;V$9+7)</f>
        <v>0</v>
      </c>
      <c r="W17" s="263" t="n">
        <f aca="false">SUMIFS('Master Plan'!$F$8:$F$27,'Master Plan'!$L$8:$L$27,$A17,'Master Plan'!$Y$8:$Y$27,"&gt;="&amp;W$9,'Master Plan'!$Y$8:$Y$27,"&lt;"&amp;W$9+7)</f>
        <v>0</v>
      </c>
    </row>
    <row r="18" customFormat="false" ht="15" hidden="false" customHeight="false" outlineLevel="0" collapsed="false">
      <c r="A18" s="261" t="s">
        <v>1746</v>
      </c>
      <c r="B18" s="31" t="s">
        <v>2221</v>
      </c>
      <c r="C18" s="262" t="n">
        <f aca="false">สมมติฐาน!$T$7*สมมติฐาน!$U$7</f>
        <v>4</v>
      </c>
      <c r="D18" s="263" t="n">
        <f aca="false">COUNTIFS('Master Plan'!$L$8:$L$27,$A18,'Master Plan'!$AA$8:$AA$27,"&gt;="&amp;D$9,'Master Plan'!$AA$8:$AA$27,"&lt;"&amp;D$9+7)</f>
        <v>0</v>
      </c>
      <c r="E18" s="263" t="n">
        <f aca="false">COUNTIFS('Master Plan'!$L$8:$L$27,$A18,'Master Plan'!$AA$8:$AA$27,"&gt;="&amp;E$9,'Master Plan'!$AA$8:$AA$27,"&lt;"&amp;E$9+7)</f>
        <v>0</v>
      </c>
      <c r="F18" s="263" t="n">
        <f aca="false">COUNTIFS('Master Plan'!$L$8:$L$27,$A18,'Master Plan'!$AA$8:$AA$27,"&gt;="&amp;F$9,'Master Plan'!$AA$8:$AA$27,"&lt;"&amp;F$9+7)</f>
        <v>0</v>
      </c>
      <c r="G18" s="263" t="n">
        <f aca="false">COUNTIFS('Master Plan'!$L$8:$L$27,$A18,'Master Plan'!$AA$8:$AA$27,"&gt;="&amp;G$9,'Master Plan'!$AA$8:$AA$27,"&lt;"&amp;G$9+7)</f>
        <v>0</v>
      </c>
      <c r="H18" s="263" t="n">
        <f aca="false">COUNTIFS('Master Plan'!$L$8:$L$27,$A18,'Master Plan'!$AA$8:$AA$27,"&gt;="&amp;H$9,'Master Plan'!$AA$8:$AA$27,"&lt;"&amp;H$9+7)</f>
        <v>0</v>
      </c>
      <c r="I18" s="263" t="n">
        <f aca="false">COUNTIFS('Master Plan'!$L$8:$L$27,$A18,'Master Plan'!$AA$8:$AA$27,"&gt;="&amp;I$9,'Master Plan'!$AA$8:$AA$27,"&lt;"&amp;I$9+7)</f>
        <v>0</v>
      </c>
      <c r="J18" s="263" t="n">
        <f aca="false">COUNTIFS('Master Plan'!$L$8:$L$27,$A18,'Master Plan'!$AA$8:$AA$27,"&gt;="&amp;J$9,'Master Plan'!$AA$8:$AA$27,"&lt;"&amp;J$9+7)</f>
        <v>0</v>
      </c>
      <c r="K18" s="263" t="n">
        <f aca="false">COUNTIFS('Master Plan'!$L$8:$L$27,$A18,'Master Plan'!$AA$8:$AA$27,"&gt;="&amp;K$9,'Master Plan'!$AA$8:$AA$27,"&lt;"&amp;K$9+7)</f>
        <v>0</v>
      </c>
      <c r="L18" s="263" t="n">
        <f aca="false">COUNTIFS('Master Plan'!$L$8:$L$27,$A18,'Master Plan'!$AA$8:$AA$27,"&gt;="&amp;L$9,'Master Plan'!$AA$8:$AA$27,"&lt;"&amp;L$9+7)</f>
        <v>0</v>
      </c>
      <c r="M18" s="263" t="n">
        <f aca="false">COUNTIFS('Master Plan'!$L$8:$L$27,$A18,'Master Plan'!$AA$8:$AA$27,"&gt;="&amp;M$9,'Master Plan'!$AA$8:$AA$27,"&lt;"&amp;M$9+7)</f>
        <v>0</v>
      </c>
      <c r="N18" s="263" t="n">
        <f aca="false">COUNTIFS('Master Plan'!$L$8:$L$27,$A18,'Master Plan'!$AA$8:$AA$27,"&gt;="&amp;N$9,'Master Plan'!$AA$8:$AA$27,"&lt;"&amp;N$9+7)</f>
        <v>0</v>
      </c>
      <c r="O18" s="263" t="n">
        <f aca="false">COUNTIFS('Master Plan'!$L$8:$L$27,$A18,'Master Plan'!$AA$8:$AA$27,"&gt;="&amp;O$9,'Master Plan'!$AA$8:$AA$27,"&lt;"&amp;O$9+7)</f>
        <v>0</v>
      </c>
      <c r="P18" s="263" t="n">
        <f aca="false">COUNTIFS('Master Plan'!$L$8:$L$27,$A18,'Master Plan'!$AA$8:$AA$27,"&gt;="&amp;P$9,'Master Plan'!$AA$8:$AA$27,"&lt;"&amp;P$9+7)</f>
        <v>0</v>
      </c>
      <c r="Q18" s="263" t="n">
        <f aca="false">COUNTIFS('Master Plan'!$L$8:$L$27,$A18,'Master Plan'!$AA$8:$AA$27,"&gt;="&amp;Q$9,'Master Plan'!$AA$8:$AA$27,"&lt;"&amp;Q$9+7)</f>
        <v>0</v>
      </c>
      <c r="R18" s="263" t="n">
        <f aca="false">COUNTIFS('Master Plan'!$L$8:$L$27,$A18,'Master Plan'!$AA$8:$AA$27,"&gt;="&amp;R$9,'Master Plan'!$AA$8:$AA$27,"&lt;"&amp;R$9+7)</f>
        <v>0</v>
      </c>
      <c r="S18" s="263" t="n">
        <f aca="false">COUNTIFS('Master Plan'!$L$8:$L$27,$A18,'Master Plan'!$AA$8:$AA$27,"&gt;="&amp;S$9,'Master Plan'!$AA$8:$AA$27,"&lt;"&amp;S$9+7)</f>
        <v>0</v>
      </c>
      <c r="T18" s="263" t="n">
        <f aca="false">COUNTIFS('Master Plan'!$L$8:$L$27,$A18,'Master Plan'!$AA$8:$AA$27,"&gt;="&amp;T$9,'Master Plan'!$AA$8:$AA$27,"&lt;"&amp;T$9+7)</f>
        <v>0</v>
      </c>
      <c r="U18" s="263" t="n">
        <f aca="false">COUNTIFS('Master Plan'!$L$8:$L$27,$A18,'Master Plan'!$AA$8:$AA$27,"&gt;="&amp;U$9,'Master Plan'!$AA$8:$AA$27,"&lt;"&amp;U$9+7)</f>
        <v>0</v>
      </c>
      <c r="V18" s="263" t="n">
        <f aca="false">COUNTIFS('Master Plan'!$L$8:$L$27,$A18,'Master Plan'!$AA$8:$AA$27,"&gt;="&amp;V$9,'Master Plan'!$AA$8:$AA$27,"&lt;"&amp;V$9+7)</f>
        <v>0</v>
      </c>
      <c r="W18" s="263" t="n">
        <f aca="false">COUNTIFS('Master Plan'!$L$8:$L$27,$A18,'Master Plan'!$AA$8:$AA$27,"&gt;="&amp;W$9,'Master Plan'!$AA$8:$AA$27,"&lt;"&amp;W$9+7)</f>
        <v>0</v>
      </c>
    </row>
    <row r="19" customFormat="false" ht="15" hidden="false" customHeight="false" outlineLevel="0" collapsed="false">
      <c r="A19" s="261" t="s">
        <v>1746</v>
      </c>
      <c r="B19" s="31" t="s">
        <v>2222</v>
      </c>
      <c r="C19" s="262"/>
      <c r="D19" s="263" t="n">
        <f aca="false">COUNTIFS('Master Plan'!$L$8:$L$27,$A19,'Master Plan'!$AB$8:$AB$27,"&gt;="&amp;D$9,'Master Plan'!$AB$8:$AB$27,"&lt;"&amp;D$9+7)</f>
        <v>0</v>
      </c>
      <c r="E19" s="263" t="n">
        <f aca="false">COUNTIFS('Master Plan'!$L$8:$L$27,$A19,'Master Plan'!$AB$8:$AB$27,"&gt;="&amp;E$9,'Master Plan'!$AB$8:$AB$27,"&lt;"&amp;E$9+7)</f>
        <v>0</v>
      </c>
      <c r="F19" s="263" t="n">
        <f aca="false">COUNTIFS('Master Plan'!$L$8:$L$27,$A19,'Master Plan'!$AB$8:$AB$27,"&gt;="&amp;F$9,'Master Plan'!$AB$8:$AB$27,"&lt;"&amp;F$9+7)</f>
        <v>0</v>
      </c>
      <c r="G19" s="263" t="n">
        <f aca="false">COUNTIFS('Master Plan'!$L$8:$L$27,$A19,'Master Plan'!$AB$8:$AB$27,"&gt;="&amp;G$9,'Master Plan'!$AB$8:$AB$27,"&lt;"&amp;G$9+7)</f>
        <v>0</v>
      </c>
      <c r="H19" s="263" t="n">
        <f aca="false">COUNTIFS('Master Plan'!$L$8:$L$27,$A19,'Master Plan'!$AB$8:$AB$27,"&gt;="&amp;H$9,'Master Plan'!$AB$8:$AB$27,"&lt;"&amp;H$9+7)</f>
        <v>0</v>
      </c>
      <c r="I19" s="263" t="n">
        <f aca="false">COUNTIFS('Master Plan'!$L$8:$L$27,$A19,'Master Plan'!$AB$8:$AB$27,"&gt;="&amp;I$9,'Master Plan'!$AB$8:$AB$27,"&lt;"&amp;I$9+7)</f>
        <v>0</v>
      </c>
      <c r="J19" s="263" t="n">
        <f aca="false">COUNTIFS('Master Plan'!$L$8:$L$27,$A19,'Master Plan'!$AB$8:$AB$27,"&gt;="&amp;J$9,'Master Plan'!$AB$8:$AB$27,"&lt;"&amp;J$9+7)</f>
        <v>0</v>
      </c>
      <c r="K19" s="263" t="n">
        <f aca="false">COUNTIFS('Master Plan'!$L$8:$L$27,$A19,'Master Plan'!$AB$8:$AB$27,"&gt;="&amp;K$9,'Master Plan'!$AB$8:$AB$27,"&lt;"&amp;K$9+7)</f>
        <v>0</v>
      </c>
      <c r="L19" s="263" t="n">
        <f aca="false">COUNTIFS('Master Plan'!$L$8:$L$27,$A19,'Master Plan'!$AB$8:$AB$27,"&gt;="&amp;L$9,'Master Plan'!$AB$8:$AB$27,"&lt;"&amp;L$9+7)</f>
        <v>0</v>
      </c>
      <c r="M19" s="263" t="n">
        <f aca="false">COUNTIFS('Master Plan'!$L$8:$L$27,$A19,'Master Plan'!$AB$8:$AB$27,"&gt;="&amp;M$9,'Master Plan'!$AB$8:$AB$27,"&lt;"&amp;M$9+7)</f>
        <v>0</v>
      </c>
      <c r="N19" s="263" t="n">
        <f aca="false">COUNTIFS('Master Plan'!$L$8:$L$27,$A19,'Master Plan'!$AB$8:$AB$27,"&gt;="&amp;N$9,'Master Plan'!$AB$8:$AB$27,"&lt;"&amp;N$9+7)</f>
        <v>0</v>
      </c>
      <c r="O19" s="263" t="n">
        <f aca="false">COUNTIFS('Master Plan'!$L$8:$L$27,$A19,'Master Plan'!$AB$8:$AB$27,"&gt;="&amp;O$9,'Master Plan'!$AB$8:$AB$27,"&lt;"&amp;O$9+7)</f>
        <v>0</v>
      </c>
      <c r="P19" s="263" t="n">
        <f aca="false">COUNTIFS('Master Plan'!$L$8:$L$27,$A19,'Master Plan'!$AB$8:$AB$27,"&gt;="&amp;P$9,'Master Plan'!$AB$8:$AB$27,"&lt;"&amp;P$9+7)</f>
        <v>0</v>
      </c>
      <c r="Q19" s="263" t="n">
        <f aca="false">COUNTIFS('Master Plan'!$L$8:$L$27,$A19,'Master Plan'!$AB$8:$AB$27,"&gt;="&amp;Q$9,'Master Plan'!$AB$8:$AB$27,"&lt;"&amp;Q$9+7)</f>
        <v>0</v>
      </c>
      <c r="R19" s="263" t="n">
        <f aca="false">COUNTIFS('Master Plan'!$L$8:$L$27,$A19,'Master Plan'!$AB$8:$AB$27,"&gt;="&amp;R$9,'Master Plan'!$AB$8:$AB$27,"&lt;"&amp;R$9+7)</f>
        <v>0</v>
      </c>
      <c r="S19" s="263" t="n">
        <f aca="false">COUNTIFS('Master Plan'!$L$8:$L$27,$A19,'Master Plan'!$AB$8:$AB$27,"&gt;="&amp;S$9,'Master Plan'!$AB$8:$AB$27,"&lt;"&amp;S$9+7)</f>
        <v>0</v>
      </c>
      <c r="T19" s="263" t="n">
        <f aca="false">COUNTIFS('Master Plan'!$L$8:$L$27,$A19,'Master Plan'!$AB$8:$AB$27,"&gt;="&amp;T$9,'Master Plan'!$AB$8:$AB$27,"&lt;"&amp;T$9+7)</f>
        <v>0</v>
      </c>
      <c r="U19" s="263" t="n">
        <f aca="false">COUNTIFS('Master Plan'!$L$8:$L$27,$A19,'Master Plan'!$AB$8:$AB$27,"&gt;="&amp;U$9,'Master Plan'!$AB$8:$AB$27,"&lt;"&amp;U$9+7)</f>
        <v>0</v>
      </c>
      <c r="V19" s="263" t="n">
        <f aca="false">COUNTIFS('Master Plan'!$L$8:$L$27,$A19,'Master Plan'!$AB$8:$AB$27,"&gt;="&amp;V$9,'Master Plan'!$AB$8:$AB$27,"&lt;"&amp;V$9+7)</f>
        <v>0</v>
      </c>
      <c r="W19" s="263" t="n">
        <f aca="false">COUNTIFS('Master Plan'!$L$8:$L$27,$A19,'Master Plan'!$AB$8:$AB$27,"&gt;="&amp;W$9,'Master Plan'!$AB$8:$AB$27,"&lt;"&amp;W$9+7)</f>
        <v>0</v>
      </c>
    </row>
    <row r="20" customFormat="false" ht="13.4" hidden="false" customHeight="false" outlineLevel="0" collapsed="false">
      <c r="A20" s="260" t="s">
        <v>2223</v>
      </c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</row>
    <row r="21" customFormat="false" ht="15" hidden="false" customHeight="false" outlineLevel="0" collapsed="false">
      <c r="A21" s="264" t="s">
        <v>2224</v>
      </c>
      <c r="B21" s="31" t="s">
        <v>2225</v>
      </c>
      <c r="C21" s="262" t="n">
        <f aca="false">สมมติฐาน!$R$11</f>
        <v>3</v>
      </c>
      <c r="D21" s="263" t="n">
        <f aca="false">COUNTIFS('Master Plan'!$J$8:$J$27,$A21,'Master Plan'!$Z$8:$Z$27,"&gt;="&amp;D$9,'Master Plan'!$Z$8:$Z$27,"&lt;"&amp;D$9+7)</f>
        <v>0</v>
      </c>
      <c r="E21" s="263" t="n">
        <f aca="false">COUNTIFS('Master Plan'!$J$8:$J$27,$A21,'Master Plan'!$Z$8:$Z$27,"&gt;="&amp;E$9,'Master Plan'!$Z$8:$Z$27,"&lt;"&amp;E$9+7)</f>
        <v>0</v>
      </c>
      <c r="F21" s="263" t="n">
        <f aca="false">COUNTIFS('Master Plan'!$J$8:$J$27,$A21,'Master Plan'!$Z$8:$Z$27,"&gt;="&amp;F$9,'Master Plan'!$Z$8:$Z$27,"&lt;"&amp;F$9+7)</f>
        <v>0</v>
      </c>
      <c r="G21" s="263" t="n">
        <f aca="false">COUNTIFS('Master Plan'!$J$8:$J$27,$A21,'Master Plan'!$Z$8:$Z$27,"&gt;="&amp;G$9,'Master Plan'!$Z$8:$Z$27,"&lt;"&amp;G$9+7)</f>
        <v>0</v>
      </c>
      <c r="H21" s="263" t="n">
        <f aca="false">COUNTIFS('Master Plan'!$J$8:$J$27,$A21,'Master Plan'!$Z$8:$Z$27,"&gt;="&amp;H$9,'Master Plan'!$Z$8:$Z$27,"&lt;"&amp;H$9+7)</f>
        <v>1</v>
      </c>
      <c r="I21" s="263" t="n">
        <f aca="false">COUNTIFS('Master Plan'!$J$8:$J$27,$A21,'Master Plan'!$Z$8:$Z$27,"&gt;="&amp;I$9,'Master Plan'!$Z$8:$Z$27,"&lt;"&amp;I$9+7)</f>
        <v>0</v>
      </c>
      <c r="J21" s="263" t="n">
        <f aca="false">COUNTIFS('Master Plan'!$J$8:$J$27,$A21,'Master Plan'!$Z$8:$Z$27,"&gt;="&amp;J$9,'Master Plan'!$Z$8:$Z$27,"&lt;"&amp;J$9+7)</f>
        <v>0</v>
      </c>
      <c r="K21" s="263" t="n">
        <f aca="false">COUNTIFS('Master Plan'!$J$8:$J$27,$A21,'Master Plan'!$Z$8:$Z$27,"&gt;="&amp;K$9,'Master Plan'!$Z$8:$Z$27,"&lt;"&amp;K$9+7)</f>
        <v>0</v>
      </c>
      <c r="L21" s="263" t="n">
        <f aca="false">COUNTIFS('Master Plan'!$J$8:$J$27,$A21,'Master Plan'!$Z$8:$Z$27,"&gt;="&amp;L$9,'Master Plan'!$Z$8:$Z$27,"&lt;"&amp;L$9+7)</f>
        <v>0</v>
      </c>
      <c r="M21" s="263" t="n">
        <f aca="false">COUNTIFS('Master Plan'!$J$8:$J$27,$A21,'Master Plan'!$Z$8:$Z$27,"&gt;="&amp;M$9,'Master Plan'!$Z$8:$Z$27,"&lt;"&amp;M$9+7)</f>
        <v>0</v>
      </c>
      <c r="N21" s="263" t="n">
        <f aca="false">COUNTIFS('Master Plan'!$J$8:$J$27,$A21,'Master Plan'!$Z$8:$Z$27,"&gt;="&amp;N$9,'Master Plan'!$Z$8:$Z$27,"&lt;"&amp;N$9+7)</f>
        <v>0</v>
      </c>
      <c r="O21" s="263" t="n">
        <f aca="false">COUNTIFS('Master Plan'!$J$8:$J$27,$A21,'Master Plan'!$Z$8:$Z$27,"&gt;="&amp;O$9,'Master Plan'!$Z$8:$Z$27,"&lt;"&amp;O$9+7)</f>
        <v>0</v>
      </c>
      <c r="P21" s="263" t="n">
        <f aca="false">COUNTIFS('Master Plan'!$J$8:$J$27,$A21,'Master Plan'!$Z$8:$Z$27,"&gt;="&amp;P$9,'Master Plan'!$Z$8:$Z$27,"&lt;"&amp;P$9+7)</f>
        <v>0</v>
      </c>
      <c r="Q21" s="263" t="n">
        <f aca="false">COUNTIFS('Master Plan'!$J$8:$J$27,$A21,'Master Plan'!$Z$8:$Z$27,"&gt;="&amp;Q$9,'Master Plan'!$Z$8:$Z$27,"&lt;"&amp;Q$9+7)</f>
        <v>0</v>
      </c>
      <c r="R21" s="263" t="n">
        <f aca="false">COUNTIFS('Master Plan'!$J$8:$J$27,$A21,'Master Plan'!$Z$8:$Z$27,"&gt;="&amp;R$9,'Master Plan'!$Z$8:$Z$27,"&lt;"&amp;R$9+7)</f>
        <v>0</v>
      </c>
      <c r="S21" s="263" t="n">
        <f aca="false">COUNTIFS('Master Plan'!$J$8:$J$27,$A21,'Master Plan'!$Z$8:$Z$27,"&gt;="&amp;S$9,'Master Plan'!$Z$8:$Z$27,"&lt;"&amp;S$9+7)</f>
        <v>0</v>
      </c>
      <c r="T21" s="263" t="n">
        <f aca="false">COUNTIFS('Master Plan'!$J$8:$J$27,$A21,'Master Plan'!$Z$8:$Z$27,"&gt;="&amp;T$9,'Master Plan'!$Z$8:$Z$27,"&lt;"&amp;T$9+7)</f>
        <v>0</v>
      </c>
      <c r="U21" s="263" t="n">
        <f aca="false">COUNTIFS('Master Plan'!$J$8:$J$27,$A21,'Master Plan'!$Z$8:$Z$27,"&gt;="&amp;U$9,'Master Plan'!$Z$8:$Z$27,"&lt;"&amp;U$9+7)</f>
        <v>0</v>
      </c>
      <c r="V21" s="263" t="n">
        <f aca="false">COUNTIFS('Master Plan'!$J$8:$J$27,$A21,'Master Plan'!$Z$8:$Z$27,"&gt;="&amp;V$9,'Master Plan'!$Z$8:$Z$27,"&lt;"&amp;V$9+7)</f>
        <v>0</v>
      </c>
      <c r="W21" s="263" t="n">
        <f aca="false">COUNTIFS('Master Plan'!$J$8:$J$27,$A21,'Master Plan'!$Z$8:$Z$27,"&gt;="&amp;W$9,'Master Plan'!$Z$8:$Z$27,"&lt;"&amp;W$9+7)</f>
        <v>0</v>
      </c>
    </row>
    <row r="22" customFormat="false" ht="15" hidden="false" customHeight="false" outlineLevel="0" collapsed="false">
      <c r="A22" s="264" t="s">
        <v>2224</v>
      </c>
      <c r="B22" s="36" t="s">
        <v>2226</v>
      </c>
      <c r="C22" s="262"/>
      <c r="D22" s="263" t="n">
        <f aca="false">COUNTIFS('Master Plan'!$J$8:$J$27,$A22,'Master Plan'!$AH$8:$AH$27,"&gt;="&amp;D$9,'Master Plan'!$AH$8:$AH$27,"&lt;"&amp;D$9+7)</f>
        <v>0</v>
      </c>
      <c r="E22" s="263" t="n">
        <f aca="false">COUNTIFS('Master Plan'!$J$8:$J$27,$A22,'Master Plan'!$AH$8:$AH$27,"&gt;="&amp;E$9,'Master Plan'!$AH$8:$AH$27,"&lt;"&amp;E$9+7)</f>
        <v>0</v>
      </c>
      <c r="F22" s="263" t="n">
        <f aca="false">COUNTIFS('Master Plan'!$J$8:$J$27,$A22,'Master Plan'!$AH$8:$AH$27,"&gt;="&amp;F$9,'Master Plan'!$AH$8:$AH$27,"&lt;"&amp;F$9+7)</f>
        <v>0</v>
      </c>
      <c r="G22" s="263" t="n">
        <f aca="false">COUNTIFS('Master Plan'!$J$8:$J$27,$A22,'Master Plan'!$AH$8:$AH$27,"&gt;="&amp;G$9,'Master Plan'!$AH$8:$AH$27,"&lt;"&amp;G$9+7)</f>
        <v>0</v>
      </c>
      <c r="H22" s="263" t="n">
        <f aca="false">COUNTIFS('Master Plan'!$J$8:$J$27,$A22,'Master Plan'!$AH$8:$AH$27,"&gt;="&amp;H$9,'Master Plan'!$AH$8:$AH$27,"&lt;"&amp;H$9+7)</f>
        <v>0</v>
      </c>
      <c r="I22" s="263" t="n">
        <f aca="false">COUNTIFS('Master Plan'!$J$8:$J$27,$A22,'Master Plan'!$AH$8:$AH$27,"&gt;="&amp;I$9,'Master Plan'!$AH$8:$AH$27,"&lt;"&amp;I$9+7)</f>
        <v>0</v>
      </c>
      <c r="J22" s="263" t="n">
        <f aca="false">COUNTIFS('Master Plan'!$J$8:$J$27,$A22,'Master Plan'!$AH$8:$AH$27,"&gt;="&amp;J$9,'Master Plan'!$AH$8:$AH$27,"&lt;"&amp;J$9+7)</f>
        <v>0</v>
      </c>
      <c r="K22" s="263" t="n">
        <f aca="false">COUNTIFS('Master Plan'!$J$8:$J$27,$A22,'Master Plan'!$AH$8:$AH$27,"&gt;="&amp;K$9,'Master Plan'!$AH$8:$AH$27,"&lt;"&amp;K$9+7)</f>
        <v>0</v>
      </c>
      <c r="L22" s="263" t="n">
        <f aca="false">COUNTIFS('Master Plan'!$J$8:$J$27,$A22,'Master Plan'!$AH$8:$AH$27,"&gt;="&amp;L$9,'Master Plan'!$AH$8:$AH$27,"&lt;"&amp;L$9+7)</f>
        <v>0</v>
      </c>
      <c r="M22" s="263" t="n">
        <f aca="false">COUNTIFS('Master Plan'!$J$8:$J$27,$A22,'Master Plan'!$AH$8:$AH$27,"&gt;="&amp;M$9,'Master Plan'!$AH$8:$AH$27,"&lt;"&amp;M$9+7)</f>
        <v>0</v>
      </c>
      <c r="N22" s="263" t="n">
        <f aca="false">COUNTIFS('Master Plan'!$J$8:$J$27,$A22,'Master Plan'!$AH$8:$AH$27,"&gt;="&amp;N$9,'Master Plan'!$AH$8:$AH$27,"&lt;"&amp;N$9+7)</f>
        <v>0</v>
      </c>
      <c r="O22" s="263" t="n">
        <f aca="false">COUNTIFS('Master Plan'!$J$8:$J$27,$A22,'Master Plan'!$AH$8:$AH$27,"&gt;="&amp;O$9,'Master Plan'!$AH$8:$AH$27,"&lt;"&amp;O$9+7)</f>
        <v>0</v>
      </c>
      <c r="P22" s="263" t="n">
        <f aca="false">COUNTIFS('Master Plan'!$J$8:$J$27,$A22,'Master Plan'!$AH$8:$AH$27,"&gt;="&amp;P$9,'Master Plan'!$AH$8:$AH$27,"&lt;"&amp;P$9+7)</f>
        <v>0</v>
      </c>
      <c r="Q22" s="263" t="n">
        <f aca="false">COUNTIFS('Master Plan'!$J$8:$J$27,$A22,'Master Plan'!$AH$8:$AH$27,"&gt;="&amp;Q$9,'Master Plan'!$AH$8:$AH$27,"&lt;"&amp;Q$9+7)</f>
        <v>0</v>
      </c>
      <c r="R22" s="263" t="n">
        <f aca="false">COUNTIFS('Master Plan'!$J$8:$J$27,$A22,'Master Plan'!$AH$8:$AH$27,"&gt;="&amp;R$9,'Master Plan'!$AH$8:$AH$27,"&lt;"&amp;R$9+7)</f>
        <v>0</v>
      </c>
      <c r="S22" s="263" t="n">
        <f aca="false">COUNTIFS('Master Plan'!$J$8:$J$27,$A22,'Master Plan'!$AH$8:$AH$27,"&gt;="&amp;S$9,'Master Plan'!$AH$8:$AH$27,"&lt;"&amp;S$9+7)</f>
        <v>1</v>
      </c>
      <c r="T22" s="263" t="n">
        <f aca="false">COUNTIFS('Master Plan'!$J$8:$J$27,$A22,'Master Plan'!$AH$8:$AH$27,"&gt;="&amp;T$9,'Master Plan'!$AH$8:$AH$27,"&lt;"&amp;T$9+7)</f>
        <v>0</v>
      </c>
      <c r="U22" s="263" t="n">
        <f aca="false">COUNTIFS('Master Plan'!$J$8:$J$27,$A22,'Master Plan'!$AH$8:$AH$27,"&gt;="&amp;U$9,'Master Plan'!$AH$8:$AH$27,"&lt;"&amp;U$9+7)</f>
        <v>0</v>
      </c>
      <c r="V22" s="263" t="n">
        <f aca="false">COUNTIFS('Master Plan'!$J$8:$J$27,$A22,'Master Plan'!$AH$8:$AH$27,"&gt;="&amp;V$9,'Master Plan'!$AH$8:$AH$27,"&lt;"&amp;V$9+7)</f>
        <v>0</v>
      </c>
      <c r="W22" s="263" t="n">
        <f aca="false">COUNTIFS('Master Plan'!$J$8:$J$27,$A22,'Master Plan'!$AH$8:$AH$27,"&gt;="&amp;W$9,'Master Plan'!$AH$8:$AH$27,"&lt;"&amp;W$9+7)</f>
        <v>0</v>
      </c>
    </row>
    <row r="23" customFormat="false" ht="15" hidden="false" customHeight="false" outlineLevel="0" collapsed="false">
      <c r="A23" s="264" t="s">
        <v>2227</v>
      </c>
      <c r="B23" s="31" t="s">
        <v>2225</v>
      </c>
      <c r="C23" s="262" t="n">
        <f aca="false">สมมติฐาน!$R$12</f>
        <v>3</v>
      </c>
      <c r="D23" s="263" t="n">
        <f aca="false">COUNTIFS('Master Plan'!$J$8:$J$27,$A23,'Master Plan'!$Z$8:$Z$27,"&gt;="&amp;D$9,'Master Plan'!$Z$8:$Z$27,"&lt;"&amp;D$9+7)</f>
        <v>0</v>
      </c>
      <c r="E23" s="263" t="n">
        <f aca="false">COUNTIFS('Master Plan'!$J$8:$J$27,$A23,'Master Plan'!$Z$8:$Z$27,"&gt;="&amp;E$9,'Master Plan'!$Z$8:$Z$27,"&lt;"&amp;E$9+7)</f>
        <v>0</v>
      </c>
      <c r="F23" s="263" t="n">
        <f aca="false">COUNTIFS('Master Plan'!$J$8:$J$27,$A23,'Master Plan'!$Z$8:$Z$27,"&gt;="&amp;F$9,'Master Plan'!$Z$8:$Z$27,"&lt;"&amp;F$9+7)</f>
        <v>0</v>
      </c>
      <c r="G23" s="263" t="n">
        <f aca="false">COUNTIFS('Master Plan'!$J$8:$J$27,$A23,'Master Plan'!$Z$8:$Z$27,"&gt;="&amp;G$9,'Master Plan'!$Z$8:$Z$27,"&lt;"&amp;G$9+7)</f>
        <v>0</v>
      </c>
      <c r="H23" s="263" t="n">
        <f aca="false">COUNTIFS('Master Plan'!$J$8:$J$27,$A23,'Master Plan'!$Z$8:$Z$27,"&gt;="&amp;H$9,'Master Plan'!$Z$8:$Z$27,"&lt;"&amp;H$9+7)</f>
        <v>1</v>
      </c>
      <c r="I23" s="263" t="n">
        <f aca="false">COUNTIFS('Master Plan'!$J$8:$J$27,$A23,'Master Plan'!$Z$8:$Z$27,"&gt;="&amp;I$9,'Master Plan'!$Z$8:$Z$27,"&lt;"&amp;I$9+7)</f>
        <v>0</v>
      </c>
      <c r="J23" s="263" t="n">
        <f aca="false">COUNTIFS('Master Plan'!$J$8:$J$27,$A23,'Master Plan'!$Z$8:$Z$27,"&gt;="&amp;J$9,'Master Plan'!$Z$8:$Z$27,"&lt;"&amp;J$9+7)</f>
        <v>0</v>
      </c>
      <c r="K23" s="263" t="n">
        <f aca="false">COUNTIFS('Master Plan'!$J$8:$J$27,$A23,'Master Plan'!$Z$8:$Z$27,"&gt;="&amp;K$9,'Master Plan'!$Z$8:$Z$27,"&lt;"&amp;K$9+7)</f>
        <v>0</v>
      </c>
      <c r="L23" s="263" t="n">
        <f aca="false">COUNTIFS('Master Plan'!$J$8:$J$27,$A23,'Master Plan'!$Z$8:$Z$27,"&gt;="&amp;L$9,'Master Plan'!$Z$8:$Z$27,"&lt;"&amp;L$9+7)</f>
        <v>0</v>
      </c>
      <c r="M23" s="263" t="n">
        <f aca="false">COUNTIFS('Master Plan'!$J$8:$J$27,$A23,'Master Plan'!$Z$8:$Z$27,"&gt;="&amp;M$9,'Master Plan'!$Z$8:$Z$27,"&lt;"&amp;M$9+7)</f>
        <v>0</v>
      </c>
      <c r="N23" s="263" t="n">
        <f aca="false">COUNTIFS('Master Plan'!$J$8:$J$27,$A23,'Master Plan'!$Z$8:$Z$27,"&gt;="&amp;N$9,'Master Plan'!$Z$8:$Z$27,"&lt;"&amp;N$9+7)</f>
        <v>0</v>
      </c>
      <c r="O23" s="263" t="n">
        <f aca="false">COUNTIFS('Master Plan'!$J$8:$J$27,$A23,'Master Plan'!$Z$8:$Z$27,"&gt;="&amp;O$9,'Master Plan'!$Z$8:$Z$27,"&lt;"&amp;O$9+7)</f>
        <v>0</v>
      </c>
      <c r="P23" s="263" t="n">
        <f aca="false">COUNTIFS('Master Plan'!$J$8:$J$27,$A23,'Master Plan'!$Z$8:$Z$27,"&gt;="&amp;P$9,'Master Plan'!$Z$8:$Z$27,"&lt;"&amp;P$9+7)</f>
        <v>0</v>
      </c>
      <c r="Q23" s="263" t="n">
        <f aca="false">COUNTIFS('Master Plan'!$J$8:$J$27,$A23,'Master Plan'!$Z$8:$Z$27,"&gt;="&amp;Q$9,'Master Plan'!$Z$8:$Z$27,"&lt;"&amp;Q$9+7)</f>
        <v>0</v>
      </c>
      <c r="R23" s="263" t="n">
        <f aca="false">COUNTIFS('Master Plan'!$J$8:$J$27,$A23,'Master Plan'!$Z$8:$Z$27,"&gt;="&amp;R$9,'Master Plan'!$Z$8:$Z$27,"&lt;"&amp;R$9+7)</f>
        <v>0</v>
      </c>
      <c r="S23" s="263" t="n">
        <f aca="false">COUNTIFS('Master Plan'!$J$8:$J$27,$A23,'Master Plan'!$Z$8:$Z$27,"&gt;="&amp;S$9,'Master Plan'!$Z$8:$Z$27,"&lt;"&amp;S$9+7)</f>
        <v>0</v>
      </c>
      <c r="T23" s="263" t="n">
        <f aca="false">COUNTIFS('Master Plan'!$J$8:$J$27,$A23,'Master Plan'!$Z$8:$Z$27,"&gt;="&amp;T$9,'Master Plan'!$Z$8:$Z$27,"&lt;"&amp;T$9+7)</f>
        <v>0</v>
      </c>
      <c r="U23" s="263" t="n">
        <f aca="false">COUNTIFS('Master Plan'!$J$8:$J$27,$A23,'Master Plan'!$Z$8:$Z$27,"&gt;="&amp;U$9,'Master Plan'!$Z$8:$Z$27,"&lt;"&amp;U$9+7)</f>
        <v>0</v>
      </c>
      <c r="V23" s="263" t="n">
        <f aca="false">COUNTIFS('Master Plan'!$J$8:$J$27,$A23,'Master Plan'!$Z$8:$Z$27,"&gt;="&amp;V$9,'Master Plan'!$Z$8:$Z$27,"&lt;"&amp;V$9+7)</f>
        <v>0</v>
      </c>
      <c r="W23" s="263" t="n">
        <f aca="false">COUNTIFS('Master Plan'!$J$8:$J$27,$A23,'Master Plan'!$Z$8:$Z$27,"&gt;="&amp;W$9,'Master Plan'!$Z$8:$Z$27,"&lt;"&amp;W$9+7)</f>
        <v>0</v>
      </c>
    </row>
    <row r="24" customFormat="false" ht="15" hidden="false" customHeight="false" outlineLevel="0" collapsed="false">
      <c r="A24" s="264" t="s">
        <v>2227</v>
      </c>
      <c r="B24" s="36" t="s">
        <v>2226</v>
      </c>
      <c r="C24" s="262"/>
      <c r="D24" s="263" t="n">
        <f aca="false">COUNTIFS('Master Plan'!$J$8:$J$27,$A24,'Master Plan'!$AH$8:$AH$27,"&gt;="&amp;D$9,'Master Plan'!$AH$8:$AH$27,"&lt;"&amp;D$9+7)</f>
        <v>0</v>
      </c>
      <c r="E24" s="263" t="n">
        <f aca="false">COUNTIFS('Master Plan'!$J$8:$J$27,$A24,'Master Plan'!$AH$8:$AH$27,"&gt;="&amp;E$9,'Master Plan'!$AH$8:$AH$27,"&lt;"&amp;E$9+7)</f>
        <v>0</v>
      </c>
      <c r="F24" s="263" t="n">
        <f aca="false">COUNTIFS('Master Plan'!$J$8:$J$27,$A24,'Master Plan'!$AH$8:$AH$27,"&gt;="&amp;F$9,'Master Plan'!$AH$8:$AH$27,"&lt;"&amp;F$9+7)</f>
        <v>0</v>
      </c>
      <c r="G24" s="263" t="n">
        <f aca="false">COUNTIFS('Master Plan'!$J$8:$J$27,$A24,'Master Plan'!$AH$8:$AH$27,"&gt;="&amp;G$9,'Master Plan'!$AH$8:$AH$27,"&lt;"&amp;G$9+7)</f>
        <v>0</v>
      </c>
      <c r="H24" s="263" t="n">
        <f aca="false">COUNTIFS('Master Plan'!$J$8:$J$27,$A24,'Master Plan'!$AH$8:$AH$27,"&gt;="&amp;H$9,'Master Plan'!$AH$8:$AH$27,"&lt;"&amp;H$9+7)</f>
        <v>0</v>
      </c>
      <c r="I24" s="263" t="n">
        <f aca="false">COUNTIFS('Master Plan'!$J$8:$J$27,$A24,'Master Plan'!$AH$8:$AH$27,"&gt;="&amp;I$9,'Master Plan'!$AH$8:$AH$27,"&lt;"&amp;I$9+7)</f>
        <v>0</v>
      </c>
      <c r="J24" s="263" t="n">
        <f aca="false">COUNTIFS('Master Plan'!$J$8:$J$27,$A24,'Master Plan'!$AH$8:$AH$27,"&gt;="&amp;J$9,'Master Plan'!$AH$8:$AH$27,"&lt;"&amp;J$9+7)</f>
        <v>0</v>
      </c>
      <c r="K24" s="263" t="n">
        <f aca="false">COUNTIFS('Master Plan'!$J$8:$J$27,$A24,'Master Plan'!$AH$8:$AH$27,"&gt;="&amp;K$9,'Master Plan'!$AH$8:$AH$27,"&lt;"&amp;K$9+7)</f>
        <v>0</v>
      </c>
      <c r="L24" s="263" t="n">
        <f aca="false">COUNTIFS('Master Plan'!$J$8:$J$27,$A24,'Master Plan'!$AH$8:$AH$27,"&gt;="&amp;L$9,'Master Plan'!$AH$8:$AH$27,"&lt;"&amp;L$9+7)</f>
        <v>0</v>
      </c>
      <c r="M24" s="263" t="n">
        <f aca="false">COUNTIFS('Master Plan'!$J$8:$J$27,$A24,'Master Plan'!$AH$8:$AH$27,"&gt;="&amp;M$9,'Master Plan'!$AH$8:$AH$27,"&lt;"&amp;M$9+7)</f>
        <v>0</v>
      </c>
      <c r="N24" s="263" t="n">
        <f aca="false">COUNTIFS('Master Plan'!$J$8:$J$27,$A24,'Master Plan'!$AH$8:$AH$27,"&gt;="&amp;N$9,'Master Plan'!$AH$8:$AH$27,"&lt;"&amp;N$9+7)</f>
        <v>0</v>
      </c>
      <c r="O24" s="263" t="n">
        <f aca="false">COUNTIFS('Master Plan'!$J$8:$J$27,$A24,'Master Plan'!$AH$8:$AH$27,"&gt;="&amp;O$9,'Master Plan'!$AH$8:$AH$27,"&lt;"&amp;O$9+7)</f>
        <v>0</v>
      </c>
      <c r="P24" s="263" t="n">
        <f aca="false">COUNTIFS('Master Plan'!$J$8:$J$27,$A24,'Master Plan'!$AH$8:$AH$27,"&gt;="&amp;P$9,'Master Plan'!$AH$8:$AH$27,"&lt;"&amp;P$9+7)</f>
        <v>0</v>
      </c>
      <c r="Q24" s="263" t="n">
        <f aca="false">COUNTIFS('Master Plan'!$J$8:$J$27,$A24,'Master Plan'!$AH$8:$AH$27,"&gt;="&amp;Q$9,'Master Plan'!$AH$8:$AH$27,"&lt;"&amp;Q$9+7)</f>
        <v>0</v>
      </c>
      <c r="R24" s="263" t="n">
        <f aca="false">COUNTIFS('Master Plan'!$J$8:$J$27,$A24,'Master Plan'!$AH$8:$AH$27,"&gt;="&amp;R$9,'Master Plan'!$AH$8:$AH$27,"&lt;"&amp;R$9+7)</f>
        <v>0</v>
      </c>
      <c r="S24" s="263" t="n">
        <f aca="false">COUNTIFS('Master Plan'!$J$8:$J$27,$A24,'Master Plan'!$AH$8:$AH$27,"&gt;="&amp;S$9,'Master Plan'!$AH$8:$AH$27,"&lt;"&amp;S$9+7)</f>
        <v>1</v>
      </c>
      <c r="T24" s="263" t="n">
        <f aca="false">COUNTIFS('Master Plan'!$J$8:$J$27,$A24,'Master Plan'!$AH$8:$AH$27,"&gt;="&amp;T$9,'Master Plan'!$AH$8:$AH$27,"&lt;"&amp;T$9+7)</f>
        <v>0</v>
      </c>
      <c r="U24" s="263" t="n">
        <f aca="false">COUNTIFS('Master Plan'!$J$8:$J$27,$A24,'Master Plan'!$AH$8:$AH$27,"&gt;="&amp;U$9,'Master Plan'!$AH$8:$AH$27,"&lt;"&amp;U$9+7)</f>
        <v>0</v>
      </c>
      <c r="V24" s="263" t="n">
        <f aca="false">COUNTIFS('Master Plan'!$J$8:$J$27,$A24,'Master Plan'!$AH$8:$AH$27,"&gt;="&amp;V$9,'Master Plan'!$AH$8:$AH$27,"&lt;"&amp;V$9+7)</f>
        <v>0</v>
      </c>
      <c r="W24" s="263" t="n">
        <f aca="false">COUNTIFS('Master Plan'!$J$8:$J$27,$A24,'Master Plan'!$AH$8:$AH$27,"&gt;="&amp;W$9,'Master Plan'!$AH$8:$AH$27,"&lt;"&amp;W$9+7)</f>
        <v>0</v>
      </c>
    </row>
    <row r="25" customFormat="false" ht="15" hidden="false" customHeight="false" outlineLevel="0" collapsed="false">
      <c r="A25" s="264" t="s">
        <v>2228</v>
      </c>
      <c r="B25" s="31" t="s">
        <v>2225</v>
      </c>
      <c r="C25" s="262" t="n">
        <f aca="false">สมมติฐาน!$R$13</f>
        <v>3</v>
      </c>
      <c r="D25" s="263" t="n">
        <f aca="false">COUNTIFS('Master Plan'!$J$8:$J$27,$A25,'Master Plan'!$Z$8:$Z$27,"&gt;="&amp;D$9,'Master Plan'!$Z$8:$Z$27,"&lt;"&amp;D$9+7)</f>
        <v>0</v>
      </c>
      <c r="E25" s="263" t="n">
        <f aca="false">COUNTIFS('Master Plan'!$J$8:$J$27,$A25,'Master Plan'!$Z$8:$Z$27,"&gt;="&amp;E$9,'Master Plan'!$Z$8:$Z$27,"&lt;"&amp;E$9+7)</f>
        <v>0</v>
      </c>
      <c r="F25" s="263" t="n">
        <f aca="false">COUNTIFS('Master Plan'!$J$8:$J$27,$A25,'Master Plan'!$Z$8:$Z$27,"&gt;="&amp;F$9,'Master Plan'!$Z$8:$Z$27,"&lt;"&amp;F$9+7)</f>
        <v>0</v>
      </c>
      <c r="G25" s="263" t="n">
        <f aca="false">COUNTIFS('Master Plan'!$J$8:$J$27,$A25,'Master Plan'!$Z$8:$Z$27,"&gt;="&amp;G$9,'Master Plan'!$Z$8:$Z$27,"&lt;"&amp;G$9+7)</f>
        <v>0</v>
      </c>
      <c r="H25" s="263" t="n">
        <f aca="false">COUNTIFS('Master Plan'!$J$8:$J$27,$A25,'Master Plan'!$Z$8:$Z$27,"&gt;="&amp;H$9,'Master Plan'!$Z$8:$Z$27,"&lt;"&amp;H$9+7)</f>
        <v>1</v>
      </c>
      <c r="I25" s="263" t="n">
        <f aca="false">COUNTIFS('Master Plan'!$J$8:$J$27,$A25,'Master Plan'!$Z$8:$Z$27,"&gt;="&amp;I$9,'Master Plan'!$Z$8:$Z$27,"&lt;"&amp;I$9+7)</f>
        <v>0</v>
      </c>
      <c r="J25" s="263" t="n">
        <f aca="false">COUNTIFS('Master Plan'!$J$8:$J$27,$A25,'Master Plan'!$Z$8:$Z$27,"&gt;="&amp;J$9,'Master Plan'!$Z$8:$Z$27,"&lt;"&amp;J$9+7)</f>
        <v>0</v>
      </c>
      <c r="K25" s="263" t="n">
        <f aca="false">COUNTIFS('Master Plan'!$J$8:$J$27,$A25,'Master Plan'!$Z$8:$Z$27,"&gt;="&amp;K$9,'Master Plan'!$Z$8:$Z$27,"&lt;"&amp;K$9+7)</f>
        <v>0</v>
      </c>
      <c r="L25" s="263" t="n">
        <f aca="false">COUNTIFS('Master Plan'!$J$8:$J$27,$A25,'Master Plan'!$Z$8:$Z$27,"&gt;="&amp;L$9,'Master Plan'!$Z$8:$Z$27,"&lt;"&amp;L$9+7)</f>
        <v>0</v>
      </c>
      <c r="M25" s="263" t="n">
        <f aca="false">COUNTIFS('Master Plan'!$J$8:$J$27,$A25,'Master Plan'!$Z$8:$Z$27,"&gt;="&amp;M$9,'Master Plan'!$Z$8:$Z$27,"&lt;"&amp;M$9+7)</f>
        <v>0</v>
      </c>
      <c r="N25" s="263" t="n">
        <f aca="false">COUNTIFS('Master Plan'!$J$8:$J$27,$A25,'Master Plan'!$Z$8:$Z$27,"&gt;="&amp;N$9,'Master Plan'!$Z$8:$Z$27,"&lt;"&amp;N$9+7)</f>
        <v>0</v>
      </c>
      <c r="O25" s="263" t="n">
        <f aca="false">COUNTIFS('Master Plan'!$J$8:$J$27,$A25,'Master Plan'!$Z$8:$Z$27,"&gt;="&amp;O$9,'Master Plan'!$Z$8:$Z$27,"&lt;"&amp;O$9+7)</f>
        <v>0</v>
      </c>
      <c r="P25" s="263" t="n">
        <f aca="false">COUNTIFS('Master Plan'!$J$8:$J$27,$A25,'Master Plan'!$Z$8:$Z$27,"&gt;="&amp;P$9,'Master Plan'!$Z$8:$Z$27,"&lt;"&amp;P$9+7)</f>
        <v>0</v>
      </c>
      <c r="Q25" s="263" t="n">
        <f aca="false">COUNTIFS('Master Plan'!$J$8:$J$27,$A25,'Master Plan'!$Z$8:$Z$27,"&gt;="&amp;Q$9,'Master Plan'!$Z$8:$Z$27,"&lt;"&amp;Q$9+7)</f>
        <v>0</v>
      </c>
      <c r="R25" s="263" t="n">
        <f aca="false">COUNTIFS('Master Plan'!$J$8:$J$27,$A25,'Master Plan'!$Z$8:$Z$27,"&gt;="&amp;R$9,'Master Plan'!$Z$8:$Z$27,"&lt;"&amp;R$9+7)</f>
        <v>0</v>
      </c>
      <c r="S25" s="263" t="n">
        <f aca="false">COUNTIFS('Master Plan'!$J$8:$J$27,$A25,'Master Plan'!$Z$8:$Z$27,"&gt;="&amp;S$9,'Master Plan'!$Z$8:$Z$27,"&lt;"&amp;S$9+7)</f>
        <v>0</v>
      </c>
      <c r="T25" s="263" t="n">
        <f aca="false">COUNTIFS('Master Plan'!$J$8:$J$27,$A25,'Master Plan'!$Z$8:$Z$27,"&gt;="&amp;T$9,'Master Plan'!$Z$8:$Z$27,"&lt;"&amp;T$9+7)</f>
        <v>0</v>
      </c>
      <c r="U25" s="263" t="n">
        <f aca="false">COUNTIFS('Master Plan'!$J$8:$J$27,$A25,'Master Plan'!$Z$8:$Z$27,"&gt;="&amp;U$9,'Master Plan'!$Z$8:$Z$27,"&lt;"&amp;U$9+7)</f>
        <v>0</v>
      </c>
      <c r="V25" s="263" t="n">
        <f aca="false">COUNTIFS('Master Plan'!$J$8:$J$27,$A25,'Master Plan'!$Z$8:$Z$27,"&gt;="&amp;V$9,'Master Plan'!$Z$8:$Z$27,"&lt;"&amp;V$9+7)</f>
        <v>0</v>
      </c>
      <c r="W25" s="263" t="n">
        <f aca="false">COUNTIFS('Master Plan'!$J$8:$J$27,$A25,'Master Plan'!$Z$8:$Z$27,"&gt;="&amp;W$9,'Master Plan'!$Z$8:$Z$27,"&lt;"&amp;W$9+7)</f>
        <v>0</v>
      </c>
    </row>
    <row r="26" customFormat="false" ht="15" hidden="false" customHeight="false" outlineLevel="0" collapsed="false">
      <c r="A26" s="264" t="s">
        <v>2228</v>
      </c>
      <c r="B26" s="36" t="s">
        <v>2226</v>
      </c>
      <c r="C26" s="262"/>
      <c r="D26" s="263" t="n">
        <f aca="false">COUNTIFS('Master Plan'!$J$8:$J$27,$A26,'Master Plan'!$AH$8:$AH$27,"&gt;="&amp;D$9,'Master Plan'!$AH$8:$AH$27,"&lt;"&amp;D$9+7)</f>
        <v>0</v>
      </c>
      <c r="E26" s="263" t="n">
        <f aca="false">COUNTIFS('Master Plan'!$J$8:$J$27,$A26,'Master Plan'!$AH$8:$AH$27,"&gt;="&amp;E$9,'Master Plan'!$AH$8:$AH$27,"&lt;"&amp;E$9+7)</f>
        <v>0</v>
      </c>
      <c r="F26" s="263" t="n">
        <f aca="false">COUNTIFS('Master Plan'!$J$8:$J$27,$A26,'Master Plan'!$AH$8:$AH$27,"&gt;="&amp;F$9,'Master Plan'!$AH$8:$AH$27,"&lt;"&amp;F$9+7)</f>
        <v>0</v>
      </c>
      <c r="G26" s="263" t="n">
        <f aca="false">COUNTIFS('Master Plan'!$J$8:$J$27,$A26,'Master Plan'!$AH$8:$AH$27,"&gt;="&amp;G$9,'Master Plan'!$AH$8:$AH$27,"&lt;"&amp;G$9+7)</f>
        <v>0</v>
      </c>
      <c r="H26" s="263" t="n">
        <f aca="false">COUNTIFS('Master Plan'!$J$8:$J$27,$A26,'Master Plan'!$AH$8:$AH$27,"&gt;="&amp;H$9,'Master Plan'!$AH$8:$AH$27,"&lt;"&amp;H$9+7)</f>
        <v>0</v>
      </c>
      <c r="I26" s="263" t="n">
        <f aca="false">COUNTIFS('Master Plan'!$J$8:$J$27,$A26,'Master Plan'!$AH$8:$AH$27,"&gt;="&amp;I$9,'Master Plan'!$AH$8:$AH$27,"&lt;"&amp;I$9+7)</f>
        <v>0</v>
      </c>
      <c r="J26" s="263" t="n">
        <f aca="false">COUNTIFS('Master Plan'!$J$8:$J$27,$A26,'Master Plan'!$AH$8:$AH$27,"&gt;="&amp;J$9,'Master Plan'!$AH$8:$AH$27,"&lt;"&amp;J$9+7)</f>
        <v>0</v>
      </c>
      <c r="K26" s="263" t="n">
        <f aca="false">COUNTIFS('Master Plan'!$J$8:$J$27,$A26,'Master Plan'!$AH$8:$AH$27,"&gt;="&amp;K$9,'Master Plan'!$AH$8:$AH$27,"&lt;"&amp;K$9+7)</f>
        <v>0</v>
      </c>
      <c r="L26" s="263" t="n">
        <f aca="false">COUNTIFS('Master Plan'!$J$8:$J$27,$A26,'Master Plan'!$AH$8:$AH$27,"&gt;="&amp;L$9,'Master Plan'!$AH$8:$AH$27,"&lt;"&amp;L$9+7)</f>
        <v>0</v>
      </c>
      <c r="M26" s="263" t="n">
        <f aca="false">COUNTIFS('Master Plan'!$J$8:$J$27,$A26,'Master Plan'!$AH$8:$AH$27,"&gt;="&amp;M$9,'Master Plan'!$AH$8:$AH$27,"&lt;"&amp;M$9+7)</f>
        <v>0</v>
      </c>
      <c r="N26" s="263" t="n">
        <f aca="false">COUNTIFS('Master Plan'!$J$8:$J$27,$A26,'Master Plan'!$AH$8:$AH$27,"&gt;="&amp;N$9,'Master Plan'!$AH$8:$AH$27,"&lt;"&amp;N$9+7)</f>
        <v>0</v>
      </c>
      <c r="O26" s="263" t="n">
        <f aca="false">COUNTIFS('Master Plan'!$J$8:$J$27,$A26,'Master Plan'!$AH$8:$AH$27,"&gt;="&amp;O$9,'Master Plan'!$AH$8:$AH$27,"&lt;"&amp;O$9+7)</f>
        <v>0</v>
      </c>
      <c r="P26" s="263" t="n">
        <f aca="false">COUNTIFS('Master Plan'!$J$8:$J$27,$A26,'Master Plan'!$AH$8:$AH$27,"&gt;="&amp;P$9,'Master Plan'!$AH$8:$AH$27,"&lt;"&amp;P$9+7)</f>
        <v>0</v>
      </c>
      <c r="Q26" s="263" t="n">
        <f aca="false">COUNTIFS('Master Plan'!$J$8:$J$27,$A26,'Master Plan'!$AH$8:$AH$27,"&gt;="&amp;Q$9,'Master Plan'!$AH$8:$AH$27,"&lt;"&amp;Q$9+7)</f>
        <v>0</v>
      </c>
      <c r="R26" s="263" t="n">
        <f aca="false">COUNTIFS('Master Plan'!$J$8:$J$27,$A26,'Master Plan'!$AH$8:$AH$27,"&gt;="&amp;R$9,'Master Plan'!$AH$8:$AH$27,"&lt;"&amp;R$9+7)</f>
        <v>0</v>
      </c>
      <c r="S26" s="263" t="n">
        <f aca="false">COUNTIFS('Master Plan'!$J$8:$J$27,$A26,'Master Plan'!$AH$8:$AH$27,"&gt;="&amp;S$9,'Master Plan'!$AH$8:$AH$27,"&lt;"&amp;S$9+7)</f>
        <v>1</v>
      </c>
      <c r="T26" s="263" t="n">
        <f aca="false">COUNTIFS('Master Plan'!$J$8:$J$27,$A26,'Master Plan'!$AH$8:$AH$27,"&gt;="&amp;T$9,'Master Plan'!$AH$8:$AH$27,"&lt;"&amp;T$9+7)</f>
        <v>0</v>
      </c>
      <c r="U26" s="263" t="n">
        <f aca="false">COUNTIFS('Master Plan'!$J$8:$J$27,$A26,'Master Plan'!$AH$8:$AH$27,"&gt;="&amp;U$9,'Master Plan'!$AH$8:$AH$27,"&lt;"&amp;U$9+7)</f>
        <v>0</v>
      </c>
      <c r="V26" s="263" t="n">
        <f aca="false">COUNTIFS('Master Plan'!$J$8:$J$27,$A26,'Master Plan'!$AH$8:$AH$27,"&gt;="&amp;V$9,'Master Plan'!$AH$8:$AH$27,"&lt;"&amp;V$9+7)</f>
        <v>0</v>
      </c>
      <c r="W26" s="263" t="n">
        <f aca="false">COUNTIFS('Master Plan'!$J$8:$J$27,$A26,'Master Plan'!$AH$8:$AH$27,"&gt;="&amp;W$9,'Master Plan'!$AH$8:$AH$27,"&lt;"&amp;W$9+7)</f>
        <v>0</v>
      </c>
    </row>
    <row r="27" customFormat="false" ht="15" hidden="false" customHeight="false" outlineLevel="0" collapsed="false">
      <c r="A27" s="264" t="s">
        <v>2229</v>
      </c>
      <c r="B27" s="31" t="s">
        <v>2225</v>
      </c>
      <c r="C27" s="262" t="n">
        <f aca="false">สมมติฐาน!$R$14</f>
        <v>3</v>
      </c>
      <c r="D27" s="263" t="n">
        <f aca="false">COUNTIFS('Master Plan'!$J$8:$J$27,$A27,'Master Plan'!$Z$8:$Z$27,"&gt;="&amp;D$9,'Master Plan'!$Z$8:$Z$27,"&lt;"&amp;D$9+7)</f>
        <v>0</v>
      </c>
      <c r="E27" s="263" t="n">
        <f aca="false">COUNTIFS('Master Plan'!$J$8:$J$27,$A27,'Master Plan'!$Z$8:$Z$27,"&gt;="&amp;E$9,'Master Plan'!$Z$8:$Z$27,"&lt;"&amp;E$9+7)</f>
        <v>0</v>
      </c>
      <c r="F27" s="263" t="n">
        <f aca="false">COUNTIFS('Master Plan'!$J$8:$J$27,$A27,'Master Plan'!$Z$8:$Z$27,"&gt;="&amp;F$9,'Master Plan'!$Z$8:$Z$27,"&lt;"&amp;F$9+7)</f>
        <v>0</v>
      </c>
      <c r="G27" s="263" t="n">
        <f aca="false">COUNTIFS('Master Plan'!$J$8:$J$27,$A27,'Master Plan'!$Z$8:$Z$27,"&gt;="&amp;G$9,'Master Plan'!$Z$8:$Z$27,"&lt;"&amp;G$9+7)</f>
        <v>0</v>
      </c>
      <c r="H27" s="263" t="n">
        <f aca="false">COUNTIFS('Master Plan'!$J$8:$J$27,$A27,'Master Plan'!$Z$8:$Z$27,"&gt;="&amp;H$9,'Master Plan'!$Z$8:$Z$27,"&lt;"&amp;H$9+7)</f>
        <v>1</v>
      </c>
      <c r="I27" s="263" t="n">
        <f aca="false">COUNTIFS('Master Plan'!$J$8:$J$27,$A27,'Master Plan'!$Z$8:$Z$27,"&gt;="&amp;I$9,'Master Plan'!$Z$8:$Z$27,"&lt;"&amp;I$9+7)</f>
        <v>0</v>
      </c>
      <c r="J27" s="263" t="n">
        <f aca="false">COUNTIFS('Master Plan'!$J$8:$J$27,$A27,'Master Plan'!$Z$8:$Z$27,"&gt;="&amp;J$9,'Master Plan'!$Z$8:$Z$27,"&lt;"&amp;J$9+7)</f>
        <v>0</v>
      </c>
      <c r="K27" s="263" t="n">
        <f aca="false">COUNTIFS('Master Plan'!$J$8:$J$27,$A27,'Master Plan'!$Z$8:$Z$27,"&gt;="&amp;K$9,'Master Plan'!$Z$8:$Z$27,"&lt;"&amp;K$9+7)</f>
        <v>0</v>
      </c>
      <c r="L27" s="263" t="n">
        <f aca="false">COUNTIFS('Master Plan'!$J$8:$J$27,$A27,'Master Plan'!$Z$8:$Z$27,"&gt;="&amp;L$9,'Master Plan'!$Z$8:$Z$27,"&lt;"&amp;L$9+7)</f>
        <v>0</v>
      </c>
      <c r="M27" s="263" t="n">
        <f aca="false">COUNTIFS('Master Plan'!$J$8:$J$27,$A27,'Master Plan'!$Z$8:$Z$27,"&gt;="&amp;M$9,'Master Plan'!$Z$8:$Z$27,"&lt;"&amp;M$9+7)</f>
        <v>0</v>
      </c>
      <c r="N27" s="263" t="n">
        <f aca="false">COUNTIFS('Master Plan'!$J$8:$J$27,$A27,'Master Plan'!$Z$8:$Z$27,"&gt;="&amp;N$9,'Master Plan'!$Z$8:$Z$27,"&lt;"&amp;N$9+7)</f>
        <v>0</v>
      </c>
      <c r="O27" s="263" t="n">
        <f aca="false">COUNTIFS('Master Plan'!$J$8:$J$27,$A27,'Master Plan'!$Z$8:$Z$27,"&gt;="&amp;O$9,'Master Plan'!$Z$8:$Z$27,"&lt;"&amp;O$9+7)</f>
        <v>0</v>
      </c>
      <c r="P27" s="263" t="n">
        <f aca="false">COUNTIFS('Master Plan'!$J$8:$J$27,$A27,'Master Plan'!$Z$8:$Z$27,"&gt;="&amp;P$9,'Master Plan'!$Z$8:$Z$27,"&lt;"&amp;P$9+7)</f>
        <v>0</v>
      </c>
      <c r="Q27" s="263" t="n">
        <f aca="false">COUNTIFS('Master Plan'!$J$8:$J$27,$A27,'Master Plan'!$Z$8:$Z$27,"&gt;="&amp;Q$9,'Master Plan'!$Z$8:$Z$27,"&lt;"&amp;Q$9+7)</f>
        <v>0</v>
      </c>
      <c r="R27" s="263" t="n">
        <f aca="false">COUNTIFS('Master Plan'!$J$8:$J$27,$A27,'Master Plan'!$Z$8:$Z$27,"&gt;="&amp;R$9,'Master Plan'!$Z$8:$Z$27,"&lt;"&amp;R$9+7)</f>
        <v>0</v>
      </c>
      <c r="S27" s="263" t="n">
        <f aca="false">COUNTIFS('Master Plan'!$J$8:$J$27,$A27,'Master Plan'!$Z$8:$Z$27,"&gt;="&amp;S$9,'Master Plan'!$Z$8:$Z$27,"&lt;"&amp;S$9+7)</f>
        <v>0</v>
      </c>
      <c r="T27" s="263" t="n">
        <f aca="false">COUNTIFS('Master Plan'!$J$8:$J$27,$A27,'Master Plan'!$Z$8:$Z$27,"&gt;="&amp;T$9,'Master Plan'!$Z$8:$Z$27,"&lt;"&amp;T$9+7)</f>
        <v>0</v>
      </c>
      <c r="U27" s="263" t="n">
        <f aca="false">COUNTIFS('Master Plan'!$J$8:$J$27,$A27,'Master Plan'!$Z$8:$Z$27,"&gt;="&amp;U$9,'Master Plan'!$Z$8:$Z$27,"&lt;"&amp;U$9+7)</f>
        <v>0</v>
      </c>
      <c r="V27" s="263" t="n">
        <f aca="false">COUNTIFS('Master Plan'!$J$8:$J$27,$A27,'Master Plan'!$Z$8:$Z$27,"&gt;="&amp;V$9,'Master Plan'!$Z$8:$Z$27,"&lt;"&amp;V$9+7)</f>
        <v>0</v>
      </c>
      <c r="W27" s="263" t="n">
        <f aca="false">COUNTIFS('Master Plan'!$J$8:$J$27,$A27,'Master Plan'!$Z$8:$Z$27,"&gt;="&amp;W$9,'Master Plan'!$Z$8:$Z$27,"&lt;"&amp;W$9+7)</f>
        <v>0</v>
      </c>
    </row>
    <row r="28" customFormat="false" ht="15" hidden="false" customHeight="false" outlineLevel="0" collapsed="false">
      <c r="A28" s="264" t="s">
        <v>2229</v>
      </c>
      <c r="B28" s="36" t="s">
        <v>2226</v>
      </c>
      <c r="C28" s="262"/>
      <c r="D28" s="263" t="n">
        <f aca="false">COUNTIFS('Master Plan'!$J$8:$J$27,$A28,'Master Plan'!$AH$8:$AH$27,"&gt;="&amp;D$9,'Master Plan'!$AH$8:$AH$27,"&lt;"&amp;D$9+7)</f>
        <v>0</v>
      </c>
      <c r="E28" s="263" t="n">
        <f aca="false">COUNTIFS('Master Plan'!$J$8:$J$27,$A28,'Master Plan'!$AH$8:$AH$27,"&gt;="&amp;E$9,'Master Plan'!$AH$8:$AH$27,"&lt;"&amp;E$9+7)</f>
        <v>0</v>
      </c>
      <c r="F28" s="263" t="n">
        <f aca="false">COUNTIFS('Master Plan'!$J$8:$J$27,$A28,'Master Plan'!$AH$8:$AH$27,"&gt;="&amp;F$9,'Master Plan'!$AH$8:$AH$27,"&lt;"&amp;F$9+7)</f>
        <v>0</v>
      </c>
      <c r="G28" s="263" t="n">
        <f aca="false">COUNTIFS('Master Plan'!$J$8:$J$27,$A28,'Master Plan'!$AH$8:$AH$27,"&gt;="&amp;G$9,'Master Plan'!$AH$8:$AH$27,"&lt;"&amp;G$9+7)</f>
        <v>0</v>
      </c>
      <c r="H28" s="263" t="n">
        <f aca="false">COUNTIFS('Master Plan'!$J$8:$J$27,$A28,'Master Plan'!$AH$8:$AH$27,"&gt;="&amp;H$9,'Master Plan'!$AH$8:$AH$27,"&lt;"&amp;H$9+7)</f>
        <v>0</v>
      </c>
      <c r="I28" s="263" t="n">
        <f aca="false">COUNTIFS('Master Plan'!$J$8:$J$27,$A28,'Master Plan'!$AH$8:$AH$27,"&gt;="&amp;I$9,'Master Plan'!$AH$8:$AH$27,"&lt;"&amp;I$9+7)</f>
        <v>0</v>
      </c>
      <c r="J28" s="263" t="n">
        <f aca="false">COUNTIFS('Master Plan'!$J$8:$J$27,$A28,'Master Plan'!$AH$8:$AH$27,"&gt;="&amp;J$9,'Master Plan'!$AH$8:$AH$27,"&lt;"&amp;J$9+7)</f>
        <v>0</v>
      </c>
      <c r="K28" s="263" t="n">
        <f aca="false">COUNTIFS('Master Plan'!$J$8:$J$27,$A28,'Master Plan'!$AH$8:$AH$27,"&gt;="&amp;K$9,'Master Plan'!$AH$8:$AH$27,"&lt;"&amp;K$9+7)</f>
        <v>0</v>
      </c>
      <c r="L28" s="263" t="n">
        <f aca="false">COUNTIFS('Master Plan'!$J$8:$J$27,$A28,'Master Plan'!$AH$8:$AH$27,"&gt;="&amp;L$9,'Master Plan'!$AH$8:$AH$27,"&lt;"&amp;L$9+7)</f>
        <v>0</v>
      </c>
      <c r="M28" s="263" t="n">
        <f aca="false">COUNTIFS('Master Plan'!$J$8:$J$27,$A28,'Master Plan'!$AH$8:$AH$27,"&gt;="&amp;M$9,'Master Plan'!$AH$8:$AH$27,"&lt;"&amp;M$9+7)</f>
        <v>0</v>
      </c>
      <c r="N28" s="263" t="n">
        <f aca="false">COUNTIFS('Master Plan'!$J$8:$J$27,$A28,'Master Plan'!$AH$8:$AH$27,"&gt;="&amp;N$9,'Master Plan'!$AH$8:$AH$27,"&lt;"&amp;N$9+7)</f>
        <v>0</v>
      </c>
      <c r="O28" s="263" t="n">
        <f aca="false">COUNTIFS('Master Plan'!$J$8:$J$27,$A28,'Master Plan'!$AH$8:$AH$27,"&gt;="&amp;O$9,'Master Plan'!$AH$8:$AH$27,"&lt;"&amp;O$9+7)</f>
        <v>0</v>
      </c>
      <c r="P28" s="263" t="n">
        <f aca="false">COUNTIFS('Master Plan'!$J$8:$J$27,$A28,'Master Plan'!$AH$8:$AH$27,"&gt;="&amp;P$9,'Master Plan'!$AH$8:$AH$27,"&lt;"&amp;P$9+7)</f>
        <v>0</v>
      </c>
      <c r="Q28" s="263" t="n">
        <f aca="false">COUNTIFS('Master Plan'!$J$8:$J$27,$A28,'Master Plan'!$AH$8:$AH$27,"&gt;="&amp;Q$9,'Master Plan'!$AH$8:$AH$27,"&lt;"&amp;Q$9+7)</f>
        <v>0</v>
      </c>
      <c r="R28" s="263" t="n">
        <f aca="false">COUNTIFS('Master Plan'!$J$8:$J$27,$A28,'Master Plan'!$AH$8:$AH$27,"&gt;="&amp;R$9,'Master Plan'!$AH$8:$AH$27,"&lt;"&amp;R$9+7)</f>
        <v>0</v>
      </c>
      <c r="S28" s="263" t="n">
        <f aca="false">COUNTIFS('Master Plan'!$J$8:$J$27,$A28,'Master Plan'!$AH$8:$AH$27,"&gt;="&amp;S$9,'Master Plan'!$AH$8:$AH$27,"&lt;"&amp;S$9+7)</f>
        <v>1</v>
      </c>
      <c r="T28" s="263" t="n">
        <f aca="false">COUNTIFS('Master Plan'!$J$8:$J$27,$A28,'Master Plan'!$AH$8:$AH$27,"&gt;="&amp;T$9,'Master Plan'!$AH$8:$AH$27,"&lt;"&amp;T$9+7)</f>
        <v>0</v>
      </c>
      <c r="U28" s="263" t="n">
        <f aca="false">COUNTIFS('Master Plan'!$J$8:$J$27,$A28,'Master Plan'!$AH$8:$AH$27,"&gt;="&amp;U$9,'Master Plan'!$AH$8:$AH$27,"&lt;"&amp;U$9+7)</f>
        <v>0</v>
      </c>
      <c r="V28" s="263" t="n">
        <f aca="false">COUNTIFS('Master Plan'!$J$8:$J$27,$A28,'Master Plan'!$AH$8:$AH$27,"&gt;="&amp;V$9,'Master Plan'!$AH$8:$AH$27,"&lt;"&amp;V$9+7)</f>
        <v>0</v>
      </c>
      <c r="W28" s="263" t="n">
        <f aca="false">COUNTIFS('Master Plan'!$J$8:$J$27,$A28,'Master Plan'!$AH$8:$AH$27,"&gt;="&amp;W$9,'Master Plan'!$AH$8:$AH$27,"&lt;"&amp;W$9+7)</f>
        <v>0</v>
      </c>
    </row>
    <row r="29" customFormat="false" ht="15" hidden="false" customHeight="false" outlineLevel="0" collapsed="false">
      <c r="A29" s="264" t="s">
        <v>2230</v>
      </c>
      <c r="B29" s="31" t="s">
        <v>2225</v>
      </c>
      <c r="C29" s="262" t="n">
        <f aca="false">สมมติฐาน!$R$15</f>
        <v>3</v>
      </c>
      <c r="D29" s="263" t="n">
        <f aca="false">COUNTIFS('Master Plan'!$J$8:$J$27,$A29,'Master Plan'!$Z$8:$Z$27,"&gt;="&amp;D$9,'Master Plan'!$Z$8:$Z$27,"&lt;"&amp;D$9+7)</f>
        <v>0</v>
      </c>
      <c r="E29" s="263" t="n">
        <f aca="false">COUNTIFS('Master Plan'!$J$8:$J$27,$A29,'Master Plan'!$Z$8:$Z$27,"&gt;="&amp;E$9,'Master Plan'!$Z$8:$Z$27,"&lt;"&amp;E$9+7)</f>
        <v>0</v>
      </c>
      <c r="F29" s="263" t="n">
        <f aca="false">COUNTIFS('Master Plan'!$J$8:$J$27,$A29,'Master Plan'!$Z$8:$Z$27,"&gt;="&amp;F$9,'Master Plan'!$Z$8:$Z$27,"&lt;"&amp;F$9+7)</f>
        <v>0</v>
      </c>
      <c r="G29" s="263" t="n">
        <f aca="false">COUNTIFS('Master Plan'!$J$8:$J$27,$A29,'Master Plan'!$Z$8:$Z$27,"&gt;="&amp;G$9,'Master Plan'!$Z$8:$Z$27,"&lt;"&amp;G$9+7)</f>
        <v>0</v>
      </c>
      <c r="H29" s="263" t="n">
        <f aca="false">COUNTIFS('Master Plan'!$J$8:$J$27,$A29,'Master Plan'!$Z$8:$Z$27,"&gt;="&amp;H$9,'Master Plan'!$Z$8:$Z$27,"&lt;"&amp;H$9+7)</f>
        <v>1</v>
      </c>
      <c r="I29" s="263" t="n">
        <f aca="false">COUNTIFS('Master Plan'!$J$8:$J$27,$A29,'Master Plan'!$Z$8:$Z$27,"&gt;="&amp;I$9,'Master Plan'!$Z$8:$Z$27,"&lt;"&amp;I$9+7)</f>
        <v>0</v>
      </c>
      <c r="J29" s="263" t="n">
        <f aca="false">COUNTIFS('Master Plan'!$J$8:$J$27,$A29,'Master Plan'!$Z$8:$Z$27,"&gt;="&amp;J$9,'Master Plan'!$Z$8:$Z$27,"&lt;"&amp;J$9+7)</f>
        <v>0</v>
      </c>
      <c r="K29" s="263" t="n">
        <f aca="false">COUNTIFS('Master Plan'!$J$8:$J$27,$A29,'Master Plan'!$Z$8:$Z$27,"&gt;="&amp;K$9,'Master Plan'!$Z$8:$Z$27,"&lt;"&amp;K$9+7)</f>
        <v>0</v>
      </c>
      <c r="L29" s="263" t="n">
        <f aca="false">COUNTIFS('Master Plan'!$J$8:$J$27,$A29,'Master Plan'!$Z$8:$Z$27,"&gt;="&amp;L$9,'Master Plan'!$Z$8:$Z$27,"&lt;"&amp;L$9+7)</f>
        <v>0</v>
      </c>
      <c r="M29" s="263" t="n">
        <f aca="false">COUNTIFS('Master Plan'!$J$8:$J$27,$A29,'Master Plan'!$Z$8:$Z$27,"&gt;="&amp;M$9,'Master Plan'!$Z$8:$Z$27,"&lt;"&amp;M$9+7)</f>
        <v>0</v>
      </c>
      <c r="N29" s="263" t="n">
        <f aca="false">COUNTIFS('Master Plan'!$J$8:$J$27,$A29,'Master Plan'!$Z$8:$Z$27,"&gt;="&amp;N$9,'Master Plan'!$Z$8:$Z$27,"&lt;"&amp;N$9+7)</f>
        <v>0</v>
      </c>
      <c r="O29" s="263" t="n">
        <f aca="false">COUNTIFS('Master Plan'!$J$8:$J$27,$A29,'Master Plan'!$Z$8:$Z$27,"&gt;="&amp;O$9,'Master Plan'!$Z$8:$Z$27,"&lt;"&amp;O$9+7)</f>
        <v>0</v>
      </c>
      <c r="P29" s="263" t="n">
        <f aca="false">COUNTIFS('Master Plan'!$J$8:$J$27,$A29,'Master Plan'!$Z$8:$Z$27,"&gt;="&amp;P$9,'Master Plan'!$Z$8:$Z$27,"&lt;"&amp;P$9+7)</f>
        <v>0</v>
      </c>
      <c r="Q29" s="263" t="n">
        <f aca="false">COUNTIFS('Master Plan'!$J$8:$J$27,$A29,'Master Plan'!$Z$8:$Z$27,"&gt;="&amp;Q$9,'Master Plan'!$Z$8:$Z$27,"&lt;"&amp;Q$9+7)</f>
        <v>0</v>
      </c>
      <c r="R29" s="263" t="n">
        <f aca="false">COUNTIFS('Master Plan'!$J$8:$J$27,$A29,'Master Plan'!$Z$8:$Z$27,"&gt;="&amp;R$9,'Master Plan'!$Z$8:$Z$27,"&lt;"&amp;R$9+7)</f>
        <v>0</v>
      </c>
      <c r="S29" s="263" t="n">
        <f aca="false">COUNTIFS('Master Plan'!$J$8:$J$27,$A29,'Master Plan'!$Z$8:$Z$27,"&gt;="&amp;S$9,'Master Plan'!$Z$8:$Z$27,"&lt;"&amp;S$9+7)</f>
        <v>0</v>
      </c>
      <c r="T29" s="263" t="n">
        <f aca="false">COUNTIFS('Master Plan'!$J$8:$J$27,$A29,'Master Plan'!$Z$8:$Z$27,"&gt;="&amp;T$9,'Master Plan'!$Z$8:$Z$27,"&lt;"&amp;T$9+7)</f>
        <v>0</v>
      </c>
      <c r="U29" s="263" t="n">
        <f aca="false">COUNTIFS('Master Plan'!$J$8:$J$27,$A29,'Master Plan'!$Z$8:$Z$27,"&gt;="&amp;U$9,'Master Plan'!$Z$8:$Z$27,"&lt;"&amp;U$9+7)</f>
        <v>0</v>
      </c>
      <c r="V29" s="263" t="n">
        <f aca="false">COUNTIFS('Master Plan'!$J$8:$J$27,$A29,'Master Plan'!$Z$8:$Z$27,"&gt;="&amp;V$9,'Master Plan'!$Z$8:$Z$27,"&lt;"&amp;V$9+7)</f>
        <v>0</v>
      </c>
      <c r="W29" s="263" t="n">
        <f aca="false">COUNTIFS('Master Plan'!$J$8:$J$27,$A29,'Master Plan'!$Z$8:$Z$27,"&gt;="&amp;W$9,'Master Plan'!$Z$8:$Z$27,"&lt;"&amp;W$9+7)</f>
        <v>0</v>
      </c>
    </row>
    <row r="30" customFormat="false" ht="15" hidden="false" customHeight="false" outlineLevel="0" collapsed="false">
      <c r="A30" s="264" t="s">
        <v>2230</v>
      </c>
      <c r="B30" s="36" t="s">
        <v>2226</v>
      </c>
      <c r="C30" s="262"/>
      <c r="D30" s="263" t="n">
        <f aca="false">COUNTIFS('Master Plan'!$J$8:$J$27,$A30,'Master Plan'!$AH$8:$AH$27,"&gt;="&amp;D$9,'Master Plan'!$AH$8:$AH$27,"&lt;"&amp;D$9+7)</f>
        <v>0</v>
      </c>
      <c r="E30" s="263" t="n">
        <f aca="false">COUNTIFS('Master Plan'!$J$8:$J$27,$A30,'Master Plan'!$AH$8:$AH$27,"&gt;="&amp;E$9,'Master Plan'!$AH$8:$AH$27,"&lt;"&amp;E$9+7)</f>
        <v>0</v>
      </c>
      <c r="F30" s="263" t="n">
        <f aca="false">COUNTIFS('Master Plan'!$J$8:$J$27,$A30,'Master Plan'!$AH$8:$AH$27,"&gt;="&amp;F$9,'Master Plan'!$AH$8:$AH$27,"&lt;"&amp;F$9+7)</f>
        <v>0</v>
      </c>
      <c r="G30" s="263" t="n">
        <f aca="false">COUNTIFS('Master Plan'!$J$8:$J$27,$A30,'Master Plan'!$AH$8:$AH$27,"&gt;="&amp;G$9,'Master Plan'!$AH$8:$AH$27,"&lt;"&amp;G$9+7)</f>
        <v>0</v>
      </c>
      <c r="H30" s="263" t="n">
        <f aca="false">COUNTIFS('Master Plan'!$J$8:$J$27,$A30,'Master Plan'!$AH$8:$AH$27,"&gt;="&amp;H$9,'Master Plan'!$AH$8:$AH$27,"&lt;"&amp;H$9+7)</f>
        <v>0</v>
      </c>
      <c r="I30" s="263" t="n">
        <f aca="false">COUNTIFS('Master Plan'!$J$8:$J$27,$A30,'Master Plan'!$AH$8:$AH$27,"&gt;="&amp;I$9,'Master Plan'!$AH$8:$AH$27,"&lt;"&amp;I$9+7)</f>
        <v>0</v>
      </c>
      <c r="J30" s="263" t="n">
        <f aca="false">COUNTIFS('Master Plan'!$J$8:$J$27,$A30,'Master Plan'!$AH$8:$AH$27,"&gt;="&amp;J$9,'Master Plan'!$AH$8:$AH$27,"&lt;"&amp;J$9+7)</f>
        <v>0</v>
      </c>
      <c r="K30" s="263" t="n">
        <f aca="false">COUNTIFS('Master Plan'!$J$8:$J$27,$A30,'Master Plan'!$AH$8:$AH$27,"&gt;="&amp;K$9,'Master Plan'!$AH$8:$AH$27,"&lt;"&amp;K$9+7)</f>
        <v>0</v>
      </c>
      <c r="L30" s="263" t="n">
        <f aca="false">COUNTIFS('Master Plan'!$J$8:$J$27,$A30,'Master Plan'!$AH$8:$AH$27,"&gt;="&amp;L$9,'Master Plan'!$AH$8:$AH$27,"&lt;"&amp;L$9+7)</f>
        <v>0</v>
      </c>
      <c r="M30" s="263" t="n">
        <f aca="false">COUNTIFS('Master Plan'!$J$8:$J$27,$A30,'Master Plan'!$AH$8:$AH$27,"&gt;="&amp;M$9,'Master Plan'!$AH$8:$AH$27,"&lt;"&amp;M$9+7)</f>
        <v>0</v>
      </c>
      <c r="N30" s="263" t="n">
        <f aca="false">COUNTIFS('Master Plan'!$J$8:$J$27,$A30,'Master Plan'!$AH$8:$AH$27,"&gt;="&amp;N$9,'Master Plan'!$AH$8:$AH$27,"&lt;"&amp;N$9+7)</f>
        <v>0</v>
      </c>
      <c r="O30" s="263" t="n">
        <f aca="false">COUNTIFS('Master Plan'!$J$8:$J$27,$A30,'Master Plan'!$AH$8:$AH$27,"&gt;="&amp;O$9,'Master Plan'!$AH$8:$AH$27,"&lt;"&amp;O$9+7)</f>
        <v>0</v>
      </c>
      <c r="P30" s="263" t="n">
        <f aca="false">COUNTIFS('Master Plan'!$J$8:$J$27,$A30,'Master Plan'!$AH$8:$AH$27,"&gt;="&amp;P$9,'Master Plan'!$AH$8:$AH$27,"&lt;"&amp;P$9+7)</f>
        <v>0</v>
      </c>
      <c r="Q30" s="263" t="n">
        <f aca="false">COUNTIFS('Master Plan'!$J$8:$J$27,$A30,'Master Plan'!$AH$8:$AH$27,"&gt;="&amp;Q$9,'Master Plan'!$AH$8:$AH$27,"&lt;"&amp;Q$9+7)</f>
        <v>0</v>
      </c>
      <c r="R30" s="263" t="n">
        <f aca="false">COUNTIFS('Master Plan'!$J$8:$J$27,$A30,'Master Plan'!$AH$8:$AH$27,"&gt;="&amp;R$9,'Master Plan'!$AH$8:$AH$27,"&lt;"&amp;R$9+7)</f>
        <v>0</v>
      </c>
      <c r="S30" s="263" t="n">
        <f aca="false">COUNTIFS('Master Plan'!$J$8:$J$27,$A30,'Master Plan'!$AH$8:$AH$27,"&gt;="&amp;S$9,'Master Plan'!$AH$8:$AH$27,"&lt;"&amp;S$9+7)</f>
        <v>1</v>
      </c>
      <c r="T30" s="263" t="n">
        <f aca="false">COUNTIFS('Master Plan'!$J$8:$J$27,$A30,'Master Plan'!$AH$8:$AH$27,"&gt;="&amp;T$9,'Master Plan'!$AH$8:$AH$27,"&lt;"&amp;T$9+7)</f>
        <v>0</v>
      </c>
      <c r="U30" s="263" t="n">
        <f aca="false">COUNTIFS('Master Plan'!$J$8:$J$27,$A30,'Master Plan'!$AH$8:$AH$27,"&gt;="&amp;U$9,'Master Plan'!$AH$8:$AH$27,"&lt;"&amp;U$9+7)</f>
        <v>0</v>
      </c>
      <c r="V30" s="263" t="n">
        <f aca="false">COUNTIFS('Master Plan'!$J$8:$J$27,$A30,'Master Plan'!$AH$8:$AH$27,"&gt;="&amp;V$9,'Master Plan'!$AH$8:$AH$27,"&lt;"&amp;V$9+7)</f>
        <v>0</v>
      </c>
      <c r="W30" s="263" t="n">
        <f aca="false">COUNTIFS('Master Plan'!$J$8:$J$27,$A30,'Master Plan'!$AH$8:$AH$27,"&gt;="&amp;W$9,'Master Plan'!$AH$8:$AH$27,"&lt;"&amp;W$9+7)</f>
        <v>0</v>
      </c>
    </row>
    <row r="31" customFormat="false" ht="15" hidden="false" customHeight="false" outlineLevel="0" collapsed="false">
      <c r="A31" s="264" t="s">
        <v>2231</v>
      </c>
      <c r="B31" s="31" t="s">
        <v>2225</v>
      </c>
      <c r="C31" s="262" t="n">
        <f aca="false">สมมติฐาน!$R$16</f>
        <v>3</v>
      </c>
      <c r="D31" s="263" t="n">
        <f aca="false">COUNTIFS('Master Plan'!$J$8:$J$27,$A31,'Master Plan'!$Z$8:$Z$27,"&gt;="&amp;D$9,'Master Plan'!$Z$8:$Z$27,"&lt;"&amp;D$9+7)</f>
        <v>0</v>
      </c>
      <c r="E31" s="263" t="n">
        <f aca="false">COUNTIFS('Master Plan'!$J$8:$J$27,$A31,'Master Plan'!$Z$8:$Z$27,"&gt;="&amp;E$9,'Master Plan'!$Z$8:$Z$27,"&lt;"&amp;E$9+7)</f>
        <v>0</v>
      </c>
      <c r="F31" s="263" t="n">
        <f aca="false">COUNTIFS('Master Plan'!$J$8:$J$27,$A31,'Master Plan'!$Z$8:$Z$27,"&gt;="&amp;F$9,'Master Plan'!$Z$8:$Z$27,"&lt;"&amp;F$9+7)</f>
        <v>0</v>
      </c>
      <c r="G31" s="263" t="n">
        <f aca="false">COUNTIFS('Master Plan'!$J$8:$J$27,$A31,'Master Plan'!$Z$8:$Z$27,"&gt;="&amp;G$9,'Master Plan'!$Z$8:$Z$27,"&lt;"&amp;G$9+7)</f>
        <v>0</v>
      </c>
      <c r="H31" s="263" t="n">
        <f aca="false">COUNTIFS('Master Plan'!$J$8:$J$27,$A31,'Master Plan'!$Z$8:$Z$27,"&gt;="&amp;H$9,'Master Plan'!$Z$8:$Z$27,"&lt;"&amp;H$9+7)</f>
        <v>1</v>
      </c>
      <c r="I31" s="263" t="n">
        <f aca="false">COUNTIFS('Master Plan'!$J$8:$J$27,$A31,'Master Plan'!$Z$8:$Z$27,"&gt;="&amp;I$9,'Master Plan'!$Z$8:$Z$27,"&lt;"&amp;I$9+7)</f>
        <v>0</v>
      </c>
      <c r="J31" s="263" t="n">
        <f aca="false">COUNTIFS('Master Plan'!$J$8:$J$27,$A31,'Master Plan'!$Z$8:$Z$27,"&gt;="&amp;J$9,'Master Plan'!$Z$8:$Z$27,"&lt;"&amp;J$9+7)</f>
        <v>0</v>
      </c>
      <c r="K31" s="263" t="n">
        <f aca="false">COUNTIFS('Master Plan'!$J$8:$J$27,$A31,'Master Plan'!$Z$8:$Z$27,"&gt;="&amp;K$9,'Master Plan'!$Z$8:$Z$27,"&lt;"&amp;K$9+7)</f>
        <v>0</v>
      </c>
      <c r="L31" s="263" t="n">
        <f aca="false">COUNTIFS('Master Plan'!$J$8:$J$27,$A31,'Master Plan'!$Z$8:$Z$27,"&gt;="&amp;L$9,'Master Plan'!$Z$8:$Z$27,"&lt;"&amp;L$9+7)</f>
        <v>0</v>
      </c>
      <c r="M31" s="263" t="n">
        <f aca="false">COUNTIFS('Master Plan'!$J$8:$J$27,$A31,'Master Plan'!$Z$8:$Z$27,"&gt;="&amp;M$9,'Master Plan'!$Z$8:$Z$27,"&lt;"&amp;M$9+7)</f>
        <v>0</v>
      </c>
      <c r="N31" s="263" t="n">
        <f aca="false">COUNTIFS('Master Plan'!$J$8:$J$27,$A31,'Master Plan'!$Z$8:$Z$27,"&gt;="&amp;N$9,'Master Plan'!$Z$8:$Z$27,"&lt;"&amp;N$9+7)</f>
        <v>0</v>
      </c>
      <c r="O31" s="263" t="n">
        <f aca="false">COUNTIFS('Master Plan'!$J$8:$J$27,$A31,'Master Plan'!$Z$8:$Z$27,"&gt;="&amp;O$9,'Master Plan'!$Z$8:$Z$27,"&lt;"&amp;O$9+7)</f>
        <v>0</v>
      </c>
      <c r="P31" s="263" t="n">
        <f aca="false">COUNTIFS('Master Plan'!$J$8:$J$27,$A31,'Master Plan'!$Z$8:$Z$27,"&gt;="&amp;P$9,'Master Plan'!$Z$8:$Z$27,"&lt;"&amp;P$9+7)</f>
        <v>0</v>
      </c>
      <c r="Q31" s="263" t="n">
        <f aca="false">COUNTIFS('Master Plan'!$J$8:$J$27,$A31,'Master Plan'!$Z$8:$Z$27,"&gt;="&amp;Q$9,'Master Plan'!$Z$8:$Z$27,"&lt;"&amp;Q$9+7)</f>
        <v>0</v>
      </c>
      <c r="R31" s="263" t="n">
        <f aca="false">COUNTIFS('Master Plan'!$J$8:$J$27,$A31,'Master Plan'!$Z$8:$Z$27,"&gt;="&amp;R$9,'Master Plan'!$Z$8:$Z$27,"&lt;"&amp;R$9+7)</f>
        <v>0</v>
      </c>
      <c r="S31" s="263" t="n">
        <f aca="false">COUNTIFS('Master Plan'!$J$8:$J$27,$A31,'Master Plan'!$Z$8:$Z$27,"&gt;="&amp;S$9,'Master Plan'!$Z$8:$Z$27,"&lt;"&amp;S$9+7)</f>
        <v>0</v>
      </c>
      <c r="T31" s="263" t="n">
        <f aca="false">COUNTIFS('Master Plan'!$J$8:$J$27,$A31,'Master Plan'!$Z$8:$Z$27,"&gt;="&amp;T$9,'Master Plan'!$Z$8:$Z$27,"&lt;"&amp;T$9+7)</f>
        <v>0</v>
      </c>
      <c r="U31" s="263" t="n">
        <f aca="false">COUNTIFS('Master Plan'!$J$8:$J$27,$A31,'Master Plan'!$Z$8:$Z$27,"&gt;="&amp;U$9,'Master Plan'!$Z$8:$Z$27,"&lt;"&amp;U$9+7)</f>
        <v>0</v>
      </c>
      <c r="V31" s="263" t="n">
        <f aca="false">COUNTIFS('Master Plan'!$J$8:$J$27,$A31,'Master Plan'!$Z$8:$Z$27,"&gt;="&amp;V$9,'Master Plan'!$Z$8:$Z$27,"&lt;"&amp;V$9+7)</f>
        <v>0</v>
      </c>
      <c r="W31" s="263" t="n">
        <f aca="false">COUNTIFS('Master Plan'!$J$8:$J$27,$A31,'Master Plan'!$Z$8:$Z$27,"&gt;="&amp;W$9,'Master Plan'!$Z$8:$Z$27,"&lt;"&amp;W$9+7)</f>
        <v>0</v>
      </c>
    </row>
    <row r="32" customFormat="false" ht="15" hidden="false" customHeight="false" outlineLevel="0" collapsed="false">
      <c r="A32" s="264" t="s">
        <v>2231</v>
      </c>
      <c r="B32" s="36" t="s">
        <v>2226</v>
      </c>
      <c r="C32" s="262"/>
      <c r="D32" s="263" t="n">
        <f aca="false">COUNTIFS('Master Plan'!$J$8:$J$27,$A32,'Master Plan'!$AH$8:$AH$27,"&gt;="&amp;D$9,'Master Plan'!$AH$8:$AH$27,"&lt;"&amp;D$9+7)</f>
        <v>0</v>
      </c>
      <c r="E32" s="263" t="n">
        <f aca="false">COUNTIFS('Master Plan'!$J$8:$J$27,$A32,'Master Plan'!$AH$8:$AH$27,"&gt;="&amp;E$9,'Master Plan'!$AH$8:$AH$27,"&lt;"&amp;E$9+7)</f>
        <v>0</v>
      </c>
      <c r="F32" s="263" t="n">
        <f aca="false">COUNTIFS('Master Plan'!$J$8:$J$27,$A32,'Master Plan'!$AH$8:$AH$27,"&gt;="&amp;F$9,'Master Plan'!$AH$8:$AH$27,"&lt;"&amp;F$9+7)</f>
        <v>0</v>
      </c>
      <c r="G32" s="263" t="n">
        <f aca="false">COUNTIFS('Master Plan'!$J$8:$J$27,$A32,'Master Plan'!$AH$8:$AH$27,"&gt;="&amp;G$9,'Master Plan'!$AH$8:$AH$27,"&lt;"&amp;G$9+7)</f>
        <v>0</v>
      </c>
      <c r="H32" s="263" t="n">
        <f aca="false">COUNTIFS('Master Plan'!$J$8:$J$27,$A32,'Master Plan'!$AH$8:$AH$27,"&gt;="&amp;H$9,'Master Plan'!$AH$8:$AH$27,"&lt;"&amp;H$9+7)</f>
        <v>0</v>
      </c>
      <c r="I32" s="263" t="n">
        <f aca="false">COUNTIFS('Master Plan'!$J$8:$J$27,$A32,'Master Plan'!$AH$8:$AH$27,"&gt;="&amp;I$9,'Master Plan'!$AH$8:$AH$27,"&lt;"&amp;I$9+7)</f>
        <v>0</v>
      </c>
      <c r="J32" s="263" t="n">
        <f aca="false">COUNTIFS('Master Plan'!$J$8:$J$27,$A32,'Master Plan'!$AH$8:$AH$27,"&gt;="&amp;J$9,'Master Plan'!$AH$8:$AH$27,"&lt;"&amp;J$9+7)</f>
        <v>0</v>
      </c>
      <c r="K32" s="263" t="n">
        <f aca="false">COUNTIFS('Master Plan'!$J$8:$J$27,$A32,'Master Plan'!$AH$8:$AH$27,"&gt;="&amp;K$9,'Master Plan'!$AH$8:$AH$27,"&lt;"&amp;K$9+7)</f>
        <v>0</v>
      </c>
      <c r="L32" s="263" t="n">
        <f aca="false">COUNTIFS('Master Plan'!$J$8:$J$27,$A32,'Master Plan'!$AH$8:$AH$27,"&gt;="&amp;L$9,'Master Plan'!$AH$8:$AH$27,"&lt;"&amp;L$9+7)</f>
        <v>0</v>
      </c>
      <c r="M32" s="263" t="n">
        <f aca="false">COUNTIFS('Master Plan'!$J$8:$J$27,$A32,'Master Plan'!$AH$8:$AH$27,"&gt;="&amp;M$9,'Master Plan'!$AH$8:$AH$27,"&lt;"&amp;M$9+7)</f>
        <v>0</v>
      </c>
      <c r="N32" s="263" t="n">
        <f aca="false">COUNTIFS('Master Plan'!$J$8:$J$27,$A32,'Master Plan'!$AH$8:$AH$27,"&gt;="&amp;N$9,'Master Plan'!$AH$8:$AH$27,"&lt;"&amp;N$9+7)</f>
        <v>0</v>
      </c>
      <c r="O32" s="263" t="n">
        <f aca="false">COUNTIFS('Master Plan'!$J$8:$J$27,$A32,'Master Plan'!$AH$8:$AH$27,"&gt;="&amp;O$9,'Master Plan'!$AH$8:$AH$27,"&lt;"&amp;O$9+7)</f>
        <v>0</v>
      </c>
      <c r="P32" s="263" t="n">
        <f aca="false">COUNTIFS('Master Plan'!$J$8:$J$27,$A32,'Master Plan'!$AH$8:$AH$27,"&gt;="&amp;P$9,'Master Plan'!$AH$8:$AH$27,"&lt;"&amp;P$9+7)</f>
        <v>0</v>
      </c>
      <c r="Q32" s="263" t="n">
        <f aca="false">COUNTIFS('Master Plan'!$J$8:$J$27,$A32,'Master Plan'!$AH$8:$AH$27,"&gt;="&amp;Q$9,'Master Plan'!$AH$8:$AH$27,"&lt;"&amp;Q$9+7)</f>
        <v>0</v>
      </c>
      <c r="R32" s="263" t="n">
        <f aca="false">COUNTIFS('Master Plan'!$J$8:$J$27,$A32,'Master Plan'!$AH$8:$AH$27,"&gt;="&amp;R$9,'Master Plan'!$AH$8:$AH$27,"&lt;"&amp;R$9+7)</f>
        <v>0</v>
      </c>
      <c r="S32" s="263" t="n">
        <f aca="false">COUNTIFS('Master Plan'!$J$8:$J$27,$A32,'Master Plan'!$AH$8:$AH$27,"&gt;="&amp;S$9,'Master Plan'!$AH$8:$AH$27,"&lt;"&amp;S$9+7)</f>
        <v>1</v>
      </c>
      <c r="T32" s="263" t="n">
        <f aca="false">COUNTIFS('Master Plan'!$J$8:$J$27,$A32,'Master Plan'!$AH$8:$AH$27,"&gt;="&amp;T$9,'Master Plan'!$AH$8:$AH$27,"&lt;"&amp;T$9+7)</f>
        <v>0</v>
      </c>
      <c r="U32" s="263" t="n">
        <f aca="false">COUNTIFS('Master Plan'!$J$8:$J$27,$A32,'Master Plan'!$AH$8:$AH$27,"&gt;="&amp;U$9,'Master Plan'!$AH$8:$AH$27,"&lt;"&amp;U$9+7)</f>
        <v>0</v>
      </c>
      <c r="V32" s="263" t="n">
        <f aca="false">COUNTIFS('Master Plan'!$J$8:$J$27,$A32,'Master Plan'!$AH$8:$AH$27,"&gt;="&amp;V$9,'Master Plan'!$AH$8:$AH$27,"&lt;"&amp;V$9+7)</f>
        <v>0</v>
      </c>
      <c r="W32" s="263" t="n">
        <f aca="false">COUNTIFS('Master Plan'!$J$8:$J$27,$A32,'Master Plan'!$AH$8:$AH$27,"&gt;="&amp;W$9,'Master Plan'!$AH$8:$AH$27,"&lt;"&amp;W$9+7)</f>
        <v>0</v>
      </c>
    </row>
    <row r="33" customFormat="false" ht="15" hidden="false" customHeight="false" outlineLevel="0" collapsed="false">
      <c r="A33" s="264" t="s">
        <v>2232</v>
      </c>
      <c r="B33" s="31" t="s">
        <v>2225</v>
      </c>
      <c r="C33" s="262" t="n">
        <f aca="false">สมมติฐาน!$R$17</f>
        <v>3</v>
      </c>
      <c r="D33" s="263" t="n">
        <f aca="false">COUNTIFS('Master Plan'!$J$8:$J$27,$A33,'Master Plan'!$Z$8:$Z$27,"&gt;="&amp;D$9,'Master Plan'!$Z$8:$Z$27,"&lt;"&amp;D$9+7)</f>
        <v>0</v>
      </c>
      <c r="E33" s="263" t="n">
        <f aca="false">COUNTIFS('Master Plan'!$J$8:$J$27,$A33,'Master Plan'!$Z$8:$Z$27,"&gt;="&amp;E$9,'Master Plan'!$Z$8:$Z$27,"&lt;"&amp;E$9+7)</f>
        <v>0</v>
      </c>
      <c r="F33" s="263" t="n">
        <f aca="false">COUNTIFS('Master Plan'!$J$8:$J$27,$A33,'Master Plan'!$Z$8:$Z$27,"&gt;="&amp;F$9,'Master Plan'!$Z$8:$Z$27,"&lt;"&amp;F$9+7)</f>
        <v>0</v>
      </c>
      <c r="G33" s="263" t="n">
        <f aca="false">COUNTIFS('Master Plan'!$J$8:$J$27,$A33,'Master Plan'!$Z$8:$Z$27,"&gt;="&amp;G$9,'Master Plan'!$Z$8:$Z$27,"&lt;"&amp;G$9+7)</f>
        <v>0</v>
      </c>
      <c r="H33" s="263" t="n">
        <f aca="false">COUNTIFS('Master Plan'!$J$8:$J$27,$A33,'Master Plan'!$Z$8:$Z$27,"&gt;="&amp;H$9,'Master Plan'!$Z$8:$Z$27,"&lt;"&amp;H$9+7)</f>
        <v>1</v>
      </c>
      <c r="I33" s="263" t="n">
        <f aca="false">COUNTIFS('Master Plan'!$J$8:$J$27,$A33,'Master Plan'!$Z$8:$Z$27,"&gt;="&amp;I$9,'Master Plan'!$Z$8:$Z$27,"&lt;"&amp;I$9+7)</f>
        <v>0</v>
      </c>
      <c r="J33" s="263" t="n">
        <f aca="false">COUNTIFS('Master Plan'!$J$8:$J$27,$A33,'Master Plan'!$Z$8:$Z$27,"&gt;="&amp;J$9,'Master Plan'!$Z$8:$Z$27,"&lt;"&amp;J$9+7)</f>
        <v>0</v>
      </c>
      <c r="K33" s="263" t="n">
        <f aca="false">COUNTIFS('Master Plan'!$J$8:$J$27,$A33,'Master Plan'!$Z$8:$Z$27,"&gt;="&amp;K$9,'Master Plan'!$Z$8:$Z$27,"&lt;"&amp;K$9+7)</f>
        <v>0</v>
      </c>
      <c r="L33" s="263" t="n">
        <f aca="false">COUNTIFS('Master Plan'!$J$8:$J$27,$A33,'Master Plan'!$Z$8:$Z$27,"&gt;="&amp;L$9,'Master Plan'!$Z$8:$Z$27,"&lt;"&amp;L$9+7)</f>
        <v>0</v>
      </c>
      <c r="M33" s="263" t="n">
        <f aca="false">COUNTIFS('Master Plan'!$J$8:$J$27,$A33,'Master Plan'!$Z$8:$Z$27,"&gt;="&amp;M$9,'Master Plan'!$Z$8:$Z$27,"&lt;"&amp;M$9+7)</f>
        <v>0</v>
      </c>
      <c r="N33" s="263" t="n">
        <f aca="false">COUNTIFS('Master Plan'!$J$8:$J$27,$A33,'Master Plan'!$Z$8:$Z$27,"&gt;="&amp;N$9,'Master Plan'!$Z$8:$Z$27,"&lt;"&amp;N$9+7)</f>
        <v>0</v>
      </c>
      <c r="O33" s="263" t="n">
        <f aca="false">COUNTIFS('Master Plan'!$J$8:$J$27,$A33,'Master Plan'!$Z$8:$Z$27,"&gt;="&amp;O$9,'Master Plan'!$Z$8:$Z$27,"&lt;"&amp;O$9+7)</f>
        <v>0</v>
      </c>
      <c r="P33" s="263" t="n">
        <f aca="false">COUNTIFS('Master Plan'!$J$8:$J$27,$A33,'Master Plan'!$Z$8:$Z$27,"&gt;="&amp;P$9,'Master Plan'!$Z$8:$Z$27,"&lt;"&amp;P$9+7)</f>
        <v>0</v>
      </c>
      <c r="Q33" s="263" t="n">
        <f aca="false">COUNTIFS('Master Plan'!$J$8:$J$27,$A33,'Master Plan'!$Z$8:$Z$27,"&gt;="&amp;Q$9,'Master Plan'!$Z$8:$Z$27,"&lt;"&amp;Q$9+7)</f>
        <v>0</v>
      </c>
      <c r="R33" s="263" t="n">
        <f aca="false">COUNTIFS('Master Plan'!$J$8:$J$27,$A33,'Master Plan'!$Z$8:$Z$27,"&gt;="&amp;R$9,'Master Plan'!$Z$8:$Z$27,"&lt;"&amp;R$9+7)</f>
        <v>0</v>
      </c>
      <c r="S33" s="263" t="n">
        <f aca="false">COUNTIFS('Master Plan'!$J$8:$J$27,$A33,'Master Plan'!$Z$8:$Z$27,"&gt;="&amp;S$9,'Master Plan'!$Z$8:$Z$27,"&lt;"&amp;S$9+7)</f>
        <v>0</v>
      </c>
      <c r="T33" s="263" t="n">
        <f aca="false">COUNTIFS('Master Plan'!$J$8:$J$27,$A33,'Master Plan'!$Z$8:$Z$27,"&gt;="&amp;T$9,'Master Plan'!$Z$8:$Z$27,"&lt;"&amp;T$9+7)</f>
        <v>0</v>
      </c>
      <c r="U33" s="263" t="n">
        <f aca="false">COUNTIFS('Master Plan'!$J$8:$J$27,$A33,'Master Plan'!$Z$8:$Z$27,"&gt;="&amp;U$9,'Master Plan'!$Z$8:$Z$27,"&lt;"&amp;U$9+7)</f>
        <v>0</v>
      </c>
      <c r="V33" s="263" t="n">
        <f aca="false">COUNTIFS('Master Plan'!$J$8:$J$27,$A33,'Master Plan'!$Z$8:$Z$27,"&gt;="&amp;V$9,'Master Plan'!$Z$8:$Z$27,"&lt;"&amp;V$9+7)</f>
        <v>0</v>
      </c>
      <c r="W33" s="263" t="n">
        <f aca="false">COUNTIFS('Master Plan'!$J$8:$J$27,$A33,'Master Plan'!$Z$8:$Z$27,"&gt;="&amp;W$9,'Master Plan'!$Z$8:$Z$27,"&lt;"&amp;W$9+7)</f>
        <v>0</v>
      </c>
    </row>
    <row r="34" customFormat="false" ht="15" hidden="false" customHeight="false" outlineLevel="0" collapsed="false">
      <c r="A34" s="264" t="s">
        <v>2232</v>
      </c>
      <c r="B34" s="36" t="s">
        <v>2226</v>
      </c>
      <c r="C34" s="262"/>
      <c r="D34" s="263" t="n">
        <f aca="false">COUNTIFS('Master Plan'!$J$8:$J$27,$A34,'Master Plan'!$AH$8:$AH$27,"&gt;="&amp;D$9,'Master Plan'!$AH$8:$AH$27,"&lt;"&amp;D$9+7)</f>
        <v>0</v>
      </c>
      <c r="E34" s="263" t="n">
        <f aca="false">COUNTIFS('Master Plan'!$J$8:$J$27,$A34,'Master Plan'!$AH$8:$AH$27,"&gt;="&amp;E$9,'Master Plan'!$AH$8:$AH$27,"&lt;"&amp;E$9+7)</f>
        <v>0</v>
      </c>
      <c r="F34" s="263" t="n">
        <f aca="false">COUNTIFS('Master Plan'!$J$8:$J$27,$A34,'Master Plan'!$AH$8:$AH$27,"&gt;="&amp;F$9,'Master Plan'!$AH$8:$AH$27,"&lt;"&amp;F$9+7)</f>
        <v>0</v>
      </c>
      <c r="G34" s="263" t="n">
        <f aca="false">COUNTIFS('Master Plan'!$J$8:$J$27,$A34,'Master Plan'!$AH$8:$AH$27,"&gt;="&amp;G$9,'Master Plan'!$AH$8:$AH$27,"&lt;"&amp;G$9+7)</f>
        <v>0</v>
      </c>
      <c r="H34" s="263" t="n">
        <f aca="false">COUNTIFS('Master Plan'!$J$8:$J$27,$A34,'Master Plan'!$AH$8:$AH$27,"&gt;="&amp;H$9,'Master Plan'!$AH$8:$AH$27,"&lt;"&amp;H$9+7)</f>
        <v>0</v>
      </c>
      <c r="I34" s="263" t="n">
        <f aca="false">COUNTIFS('Master Plan'!$J$8:$J$27,$A34,'Master Plan'!$AH$8:$AH$27,"&gt;="&amp;I$9,'Master Plan'!$AH$8:$AH$27,"&lt;"&amp;I$9+7)</f>
        <v>0</v>
      </c>
      <c r="J34" s="263" t="n">
        <f aca="false">COUNTIFS('Master Plan'!$J$8:$J$27,$A34,'Master Plan'!$AH$8:$AH$27,"&gt;="&amp;J$9,'Master Plan'!$AH$8:$AH$27,"&lt;"&amp;J$9+7)</f>
        <v>0</v>
      </c>
      <c r="K34" s="263" t="n">
        <f aca="false">COUNTIFS('Master Plan'!$J$8:$J$27,$A34,'Master Plan'!$AH$8:$AH$27,"&gt;="&amp;K$9,'Master Plan'!$AH$8:$AH$27,"&lt;"&amp;K$9+7)</f>
        <v>0</v>
      </c>
      <c r="L34" s="263" t="n">
        <f aca="false">COUNTIFS('Master Plan'!$J$8:$J$27,$A34,'Master Plan'!$AH$8:$AH$27,"&gt;="&amp;L$9,'Master Plan'!$AH$8:$AH$27,"&lt;"&amp;L$9+7)</f>
        <v>0</v>
      </c>
      <c r="M34" s="263" t="n">
        <f aca="false">COUNTIFS('Master Plan'!$J$8:$J$27,$A34,'Master Plan'!$AH$8:$AH$27,"&gt;="&amp;M$9,'Master Plan'!$AH$8:$AH$27,"&lt;"&amp;M$9+7)</f>
        <v>0</v>
      </c>
      <c r="N34" s="263" t="n">
        <f aca="false">COUNTIFS('Master Plan'!$J$8:$J$27,$A34,'Master Plan'!$AH$8:$AH$27,"&gt;="&amp;N$9,'Master Plan'!$AH$8:$AH$27,"&lt;"&amp;N$9+7)</f>
        <v>0</v>
      </c>
      <c r="O34" s="263" t="n">
        <f aca="false">COUNTIFS('Master Plan'!$J$8:$J$27,$A34,'Master Plan'!$AH$8:$AH$27,"&gt;="&amp;O$9,'Master Plan'!$AH$8:$AH$27,"&lt;"&amp;O$9+7)</f>
        <v>0</v>
      </c>
      <c r="P34" s="263" t="n">
        <f aca="false">COUNTIFS('Master Plan'!$J$8:$J$27,$A34,'Master Plan'!$AH$8:$AH$27,"&gt;="&amp;P$9,'Master Plan'!$AH$8:$AH$27,"&lt;"&amp;P$9+7)</f>
        <v>0</v>
      </c>
      <c r="Q34" s="263" t="n">
        <f aca="false">COUNTIFS('Master Plan'!$J$8:$J$27,$A34,'Master Plan'!$AH$8:$AH$27,"&gt;="&amp;Q$9,'Master Plan'!$AH$8:$AH$27,"&lt;"&amp;Q$9+7)</f>
        <v>0</v>
      </c>
      <c r="R34" s="263" t="n">
        <f aca="false">COUNTIFS('Master Plan'!$J$8:$J$27,$A34,'Master Plan'!$AH$8:$AH$27,"&gt;="&amp;R$9,'Master Plan'!$AH$8:$AH$27,"&lt;"&amp;R$9+7)</f>
        <v>0</v>
      </c>
      <c r="S34" s="263" t="n">
        <f aca="false">COUNTIFS('Master Plan'!$J$8:$J$27,$A34,'Master Plan'!$AH$8:$AH$27,"&gt;="&amp;S$9,'Master Plan'!$AH$8:$AH$27,"&lt;"&amp;S$9+7)</f>
        <v>1</v>
      </c>
      <c r="T34" s="263" t="n">
        <f aca="false">COUNTIFS('Master Plan'!$J$8:$J$27,$A34,'Master Plan'!$AH$8:$AH$27,"&gt;="&amp;T$9,'Master Plan'!$AH$8:$AH$27,"&lt;"&amp;T$9+7)</f>
        <v>0</v>
      </c>
      <c r="U34" s="263" t="n">
        <f aca="false">COUNTIFS('Master Plan'!$J$8:$J$27,$A34,'Master Plan'!$AH$8:$AH$27,"&gt;="&amp;U$9,'Master Plan'!$AH$8:$AH$27,"&lt;"&amp;U$9+7)</f>
        <v>0</v>
      </c>
      <c r="V34" s="263" t="n">
        <f aca="false">COUNTIFS('Master Plan'!$J$8:$J$27,$A34,'Master Plan'!$AH$8:$AH$27,"&gt;="&amp;V$9,'Master Plan'!$AH$8:$AH$27,"&lt;"&amp;V$9+7)</f>
        <v>0</v>
      </c>
      <c r="W34" s="263" t="n">
        <f aca="false">COUNTIFS('Master Plan'!$J$8:$J$27,$A34,'Master Plan'!$AH$8:$AH$27,"&gt;="&amp;W$9,'Master Plan'!$AH$8:$AH$27,"&lt;"&amp;W$9+7)</f>
        <v>0</v>
      </c>
    </row>
    <row r="35" customFormat="false" ht="15" hidden="false" customHeight="false" outlineLevel="0" collapsed="false">
      <c r="A35" s="264" t="s">
        <v>2233</v>
      </c>
      <c r="B35" s="31" t="s">
        <v>2225</v>
      </c>
      <c r="C35" s="262" t="n">
        <f aca="false">สมมติฐาน!$R$18</f>
        <v>3</v>
      </c>
      <c r="D35" s="263" t="n">
        <f aca="false">COUNTIFS('Master Plan'!$J$8:$J$27,$A35,'Master Plan'!$Z$8:$Z$27,"&gt;="&amp;D$9,'Master Plan'!$Z$8:$Z$27,"&lt;"&amp;D$9+7)</f>
        <v>0</v>
      </c>
      <c r="E35" s="263" t="n">
        <f aca="false">COUNTIFS('Master Plan'!$J$8:$J$27,$A35,'Master Plan'!$Z$8:$Z$27,"&gt;="&amp;E$9,'Master Plan'!$Z$8:$Z$27,"&lt;"&amp;E$9+7)</f>
        <v>0</v>
      </c>
      <c r="F35" s="263" t="n">
        <f aca="false">COUNTIFS('Master Plan'!$J$8:$J$27,$A35,'Master Plan'!$Z$8:$Z$27,"&gt;="&amp;F$9,'Master Plan'!$Z$8:$Z$27,"&lt;"&amp;F$9+7)</f>
        <v>0</v>
      </c>
      <c r="G35" s="263" t="n">
        <f aca="false">COUNTIFS('Master Plan'!$J$8:$J$27,$A35,'Master Plan'!$Z$8:$Z$27,"&gt;="&amp;G$9,'Master Plan'!$Z$8:$Z$27,"&lt;"&amp;G$9+7)</f>
        <v>0</v>
      </c>
      <c r="H35" s="263" t="n">
        <f aca="false">COUNTIFS('Master Plan'!$J$8:$J$27,$A35,'Master Plan'!$Z$8:$Z$27,"&gt;="&amp;H$9,'Master Plan'!$Z$8:$Z$27,"&lt;"&amp;H$9+7)</f>
        <v>1</v>
      </c>
      <c r="I35" s="263" t="n">
        <f aca="false">COUNTIFS('Master Plan'!$J$8:$J$27,$A35,'Master Plan'!$Z$8:$Z$27,"&gt;="&amp;I$9,'Master Plan'!$Z$8:$Z$27,"&lt;"&amp;I$9+7)</f>
        <v>0</v>
      </c>
      <c r="J35" s="263" t="n">
        <f aca="false">COUNTIFS('Master Plan'!$J$8:$J$27,$A35,'Master Plan'!$Z$8:$Z$27,"&gt;="&amp;J$9,'Master Plan'!$Z$8:$Z$27,"&lt;"&amp;J$9+7)</f>
        <v>0</v>
      </c>
      <c r="K35" s="263" t="n">
        <f aca="false">COUNTIFS('Master Plan'!$J$8:$J$27,$A35,'Master Plan'!$Z$8:$Z$27,"&gt;="&amp;K$9,'Master Plan'!$Z$8:$Z$27,"&lt;"&amp;K$9+7)</f>
        <v>0</v>
      </c>
      <c r="L35" s="263" t="n">
        <f aca="false">COUNTIFS('Master Plan'!$J$8:$J$27,$A35,'Master Plan'!$Z$8:$Z$27,"&gt;="&amp;L$9,'Master Plan'!$Z$8:$Z$27,"&lt;"&amp;L$9+7)</f>
        <v>0</v>
      </c>
      <c r="M35" s="263" t="n">
        <f aca="false">COUNTIFS('Master Plan'!$J$8:$J$27,$A35,'Master Plan'!$Z$8:$Z$27,"&gt;="&amp;M$9,'Master Plan'!$Z$8:$Z$27,"&lt;"&amp;M$9+7)</f>
        <v>0</v>
      </c>
      <c r="N35" s="263" t="n">
        <f aca="false">COUNTIFS('Master Plan'!$J$8:$J$27,$A35,'Master Plan'!$Z$8:$Z$27,"&gt;="&amp;N$9,'Master Plan'!$Z$8:$Z$27,"&lt;"&amp;N$9+7)</f>
        <v>0</v>
      </c>
      <c r="O35" s="263" t="n">
        <f aca="false">COUNTIFS('Master Plan'!$J$8:$J$27,$A35,'Master Plan'!$Z$8:$Z$27,"&gt;="&amp;O$9,'Master Plan'!$Z$8:$Z$27,"&lt;"&amp;O$9+7)</f>
        <v>0</v>
      </c>
      <c r="P35" s="263" t="n">
        <f aca="false">COUNTIFS('Master Plan'!$J$8:$J$27,$A35,'Master Plan'!$Z$8:$Z$27,"&gt;="&amp;P$9,'Master Plan'!$Z$8:$Z$27,"&lt;"&amp;P$9+7)</f>
        <v>0</v>
      </c>
      <c r="Q35" s="263" t="n">
        <f aca="false">COUNTIFS('Master Plan'!$J$8:$J$27,$A35,'Master Plan'!$Z$8:$Z$27,"&gt;="&amp;Q$9,'Master Plan'!$Z$8:$Z$27,"&lt;"&amp;Q$9+7)</f>
        <v>0</v>
      </c>
      <c r="R35" s="263" t="n">
        <f aca="false">COUNTIFS('Master Plan'!$J$8:$J$27,$A35,'Master Plan'!$Z$8:$Z$27,"&gt;="&amp;R$9,'Master Plan'!$Z$8:$Z$27,"&lt;"&amp;R$9+7)</f>
        <v>0</v>
      </c>
      <c r="S35" s="263" t="n">
        <f aca="false">COUNTIFS('Master Plan'!$J$8:$J$27,$A35,'Master Plan'!$Z$8:$Z$27,"&gt;="&amp;S$9,'Master Plan'!$Z$8:$Z$27,"&lt;"&amp;S$9+7)</f>
        <v>0</v>
      </c>
      <c r="T35" s="263" t="n">
        <f aca="false">COUNTIFS('Master Plan'!$J$8:$J$27,$A35,'Master Plan'!$Z$8:$Z$27,"&gt;="&amp;T$9,'Master Plan'!$Z$8:$Z$27,"&lt;"&amp;T$9+7)</f>
        <v>0</v>
      </c>
      <c r="U35" s="263" t="n">
        <f aca="false">COUNTIFS('Master Plan'!$J$8:$J$27,$A35,'Master Plan'!$Z$8:$Z$27,"&gt;="&amp;U$9,'Master Plan'!$Z$8:$Z$27,"&lt;"&amp;U$9+7)</f>
        <v>0</v>
      </c>
      <c r="V35" s="263" t="n">
        <f aca="false">COUNTIFS('Master Plan'!$J$8:$J$27,$A35,'Master Plan'!$Z$8:$Z$27,"&gt;="&amp;V$9,'Master Plan'!$Z$8:$Z$27,"&lt;"&amp;V$9+7)</f>
        <v>0</v>
      </c>
      <c r="W35" s="263" t="n">
        <f aca="false">COUNTIFS('Master Plan'!$J$8:$J$27,$A35,'Master Plan'!$Z$8:$Z$27,"&gt;="&amp;W$9,'Master Plan'!$Z$8:$Z$27,"&lt;"&amp;W$9+7)</f>
        <v>0</v>
      </c>
    </row>
    <row r="36" customFormat="false" ht="15" hidden="false" customHeight="false" outlineLevel="0" collapsed="false">
      <c r="A36" s="264" t="s">
        <v>2233</v>
      </c>
      <c r="B36" s="36" t="s">
        <v>2226</v>
      </c>
      <c r="C36" s="262"/>
      <c r="D36" s="263" t="n">
        <f aca="false">COUNTIFS('Master Plan'!$J$8:$J$27,$A36,'Master Plan'!$AH$8:$AH$27,"&gt;="&amp;D$9,'Master Plan'!$AH$8:$AH$27,"&lt;"&amp;D$9+7)</f>
        <v>0</v>
      </c>
      <c r="E36" s="263" t="n">
        <f aca="false">COUNTIFS('Master Plan'!$J$8:$J$27,$A36,'Master Plan'!$AH$8:$AH$27,"&gt;="&amp;E$9,'Master Plan'!$AH$8:$AH$27,"&lt;"&amp;E$9+7)</f>
        <v>0</v>
      </c>
      <c r="F36" s="263" t="n">
        <f aca="false">COUNTIFS('Master Plan'!$J$8:$J$27,$A36,'Master Plan'!$AH$8:$AH$27,"&gt;="&amp;F$9,'Master Plan'!$AH$8:$AH$27,"&lt;"&amp;F$9+7)</f>
        <v>0</v>
      </c>
      <c r="G36" s="263" t="n">
        <f aca="false">COUNTIFS('Master Plan'!$J$8:$J$27,$A36,'Master Plan'!$AH$8:$AH$27,"&gt;="&amp;G$9,'Master Plan'!$AH$8:$AH$27,"&lt;"&amp;G$9+7)</f>
        <v>0</v>
      </c>
      <c r="H36" s="263" t="n">
        <f aca="false">COUNTIFS('Master Plan'!$J$8:$J$27,$A36,'Master Plan'!$AH$8:$AH$27,"&gt;="&amp;H$9,'Master Plan'!$AH$8:$AH$27,"&lt;"&amp;H$9+7)</f>
        <v>0</v>
      </c>
      <c r="I36" s="263" t="n">
        <f aca="false">COUNTIFS('Master Plan'!$J$8:$J$27,$A36,'Master Plan'!$AH$8:$AH$27,"&gt;="&amp;I$9,'Master Plan'!$AH$8:$AH$27,"&lt;"&amp;I$9+7)</f>
        <v>0</v>
      </c>
      <c r="J36" s="263" t="n">
        <f aca="false">COUNTIFS('Master Plan'!$J$8:$J$27,$A36,'Master Plan'!$AH$8:$AH$27,"&gt;="&amp;J$9,'Master Plan'!$AH$8:$AH$27,"&lt;"&amp;J$9+7)</f>
        <v>0</v>
      </c>
      <c r="K36" s="263" t="n">
        <f aca="false">COUNTIFS('Master Plan'!$J$8:$J$27,$A36,'Master Plan'!$AH$8:$AH$27,"&gt;="&amp;K$9,'Master Plan'!$AH$8:$AH$27,"&lt;"&amp;K$9+7)</f>
        <v>0</v>
      </c>
      <c r="L36" s="263" t="n">
        <f aca="false">COUNTIFS('Master Plan'!$J$8:$J$27,$A36,'Master Plan'!$AH$8:$AH$27,"&gt;="&amp;L$9,'Master Plan'!$AH$8:$AH$27,"&lt;"&amp;L$9+7)</f>
        <v>0</v>
      </c>
      <c r="M36" s="263" t="n">
        <f aca="false">COUNTIFS('Master Plan'!$J$8:$J$27,$A36,'Master Plan'!$AH$8:$AH$27,"&gt;="&amp;M$9,'Master Plan'!$AH$8:$AH$27,"&lt;"&amp;M$9+7)</f>
        <v>0</v>
      </c>
      <c r="N36" s="263" t="n">
        <f aca="false">COUNTIFS('Master Plan'!$J$8:$J$27,$A36,'Master Plan'!$AH$8:$AH$27,"&gt;="&amp;N$9,'Master Plan'!$AH$8:$AH$27,"&lt;"&amp;N$9+7)</f>
        <v>0</v>
      </c>
      <c r="O36" s="263" t="n">
        <f aca="false">COUNTIFS('Master Plan'!$J$8:$J$27,$A36,'Master Plan'!$AH$8:$AH$27,"&gt;="&amp;O$9,'Master Plan'!$AH$8:$AH$27,"&lt;"&amp;O$9+7)</f>
        <v>0</v>
      </c>
      <c r="P36" s="263" t="n">
        <f aca="false">COUNTIFS('Master Plan'!$J$8:$J$27,$A36,'Master Plan'!$AH$8:$AH$27,"&gt;="&amp;P$9,'Master Plan'!$AH$8:$AH$27,"&lt;"&amp;P$9+7)</f>
        <v>0</v>
      </c>
      <c r="Q36" s="263" t="n">
        <f aca="false">COUNTIFS('Master Plan'!$J$8:$J$27,$A36,'Master Plan'!$AH$8:$AH$27,"&gt;="&amp;Q$9,'Master Plan'!$AH$8:$AH$27,"&lt;"&amp;Q$9+7)</f>
        <v>0</v>
      </c>
      <c r="R36" s="263" t="n">
        <f aca="false">COUNTIFS('Master Plan'!$J$8:$J$27,$A36,'Master Plan'!$AH$8:$AH$27,"&gt;="&amp;R$9,'Master Plan'!$AH$8:$AH$27,"&lt;"&amp;R$9+7)</f>
        <v>0</v>
      </c>
      <c r="S36" s="263" t="n">
        <f aca="false">COUNTIFS('Master Plan'!$J$8:$J$27,$A36,'Master Plan'!$AH$8:$AH$27,"&gt;="&amp;S$9,'Master Plan'!$AH$8:$AH$27,"&lt;"&amp;S$9+7)</f>
        <v>1</v>
      </c>
      <c r="T36" s="263" t="n">
        <f aca="false">COUNTIFS('Master Plan'!$J$8:$J$27,$A36,'Master Plan'!$AH$8:$AH$27,"&gt;="&amp;T$9,'Master Plan'!$AH$8:$AH$27,"&lt;"&amp;T$9+7)</f>
        <v>0</v>
      </c>
      <c r="U36" s="263" t="n">
        <f aca="false">COUNTIFS('Master Plan'!$J$8:$J$27,$A36,'Master Plan'!$AH$8:$AH$27,"&gt;="&amp;U$9,'Master Plan'!$AH$8:$AH$27,"&lt;"&amp;U$9+7)</f>
        <v>0</v>
      </c>
      <c r="V36" s="263" t="n">
        <f aca="false">COUNTIFS('Master Plan'!$J$8:$J$27,$A36,'Master Plan'!$AH$8:$AH$27,"&gt;="&amp;V$9,'Master Plan'!$AH$8:$AH$27,"&lt;"&amp;V$9+7)</f>
        <v>0</v>
      </c>
      <c r="W36" s="263" t="n">
        <f aca="false">COUNTIFS('Master Plan'!$J$8:$J$27,$A36,'Master Plan'!$AH$8:$AH$27,"&gt;="&amp;W$9,'Master Plan'!$AH$8:$AH$27,"&lt;"&amp;W$9+7)</f>
        <v>0</v>
      </c>
    </row>
    <row r="37" customFormat="false" ht="15" hidden="false" customHeight="false" outlineLevel="0" collapsed="false">
      <c r="A37" s="264" t="s">
        <v>2234</v>
      </c>
      <c r="B37" s="31" t="s">
        <v>2225</v>
      </c>
      <c r="C37" s="262" t="n">
        <f aca="false">สมมติฐาน!$R$19</f>
        <v>3</v>
      </c>
      <c r="D37" s="263" t="n">
        <f aca="false">COUNTIFS('Master Plan'!$J$8:$J$27,$A37,'Master Plan'!$Z$8:$Z$27,"&gt;="&amp;D$9,'Master Plan'!$Z$8:$Z$27,"&lt;"&amp;D$9+7)</f>
        <v>0</v>
      </c>
      <c r="E37" s="263" t="n">
        <f aca="false">COUNTIFS('Master Plan'!$J$8:$J$27,$A37,'Master Plan'!$Z$8:$Z$27,"&gt;="&amp;E$9,'Master Plan'!$Z$8:$Z$27,"&lt;"&amp;E$9+7)</f>
        <v>0</v>
      </c>
      <c r="F37" s="263" t="n">
        <f aca="false">COUNTIFS('Master Plan'!$J$8:$J$27,$A37,'Master Plan'!$Z$8:$Z$27,"&gt;="&amp;F$9,'Master Plan'!$Z$8:$Z$27,"&lt;"&amp;F$9+7)</f>
        <v>0</v>
      </c>
      <c r="G37" s="263" t="n">
        <f aca="false">COUNTIFS('Master Plan'!$J$8:$J$27,$A37,'Master Plan'!$Z$8:$Z$27,"&gt;="&amp;G$9,'Master Plan'!$Z$8:$Z$27,"&lt;"&amp;G$9+7)</f>
        <v>0</v>
      </c>
      <c r="H37" s="263" t="n">
        <f aca="false">COUNTIFS('Master Plan'!$J$8:$J$27,$A37,'Master Plan'!$Z$8:$Z$27,"&gt;="&amp;H$9,'Master Plan'!$Z$8:$Z$27,"&lt;"&amp;H$9+7)</f>
        <v>1</v>
      </c>
      <c r="I37" s="263" t="n">
        <f aca="false">COUNTIFS('Master Plan'!$J$8:$J$27,$A37,'Master Plan'!$Z$8:$Z$27,"&gt;="&amp;I$9,'Master Plan'!$Z$8:$Z$27,"&lt;"&amp;I$9+7)</f>
        <v>0</v>
      </c>
      <c r="J37" s="263" t="n">
        <f aca="false">COUNTIFS('Master Plan'!$J$8:$J$27,$A37,'Master Plan'!$Z$8:$Z$27,"&gt;="&amp;J$9,'Master Plan'!$Z$8:$Z$27,"&lt;"&amp;J$9+7)</f>
        <v>0</v>
      </c>
      <c r="K37" s="263" t="n">
        <f aca="false">COUNTIFS('Master Plan'!$J$8:$J$27,$A37,'Master Plan'!$Z$8:$Z$27,"&gt;="&amp;K$9,'Master Plan'!$Z$8:$Z$27,"&lt;"&amp;K$9+7)</f>
        <v>0</v>
      </c>
      <c r="L37" s="263" t="n">
        <f aca="false">COUNTIFS('Master Plan'!$J$8:$J$27,$A37,'Master Plan'!$Z$8:$Z$27,"&gt;="&amp;L$9,'Master Plan'!$Z$8:$Z$27,"&lt;"&amp;L$9+7)</f>
        <v>0</v>
      </c>
      <c r="M37" s="263" t="n">
        <f aca="false">COUNTIFS('Master Plan'!$J$8:$J$27,$A37,'Master Plan'!$Z$8:$Z$27,"&gt;="&amp;M$9,'Master Plan'!$Z$8:$Z$27,"&lt;"&amp;M$9+7)</f>
        <v>0</v>
      </c>
      <c r="N37" s="263" t="n">
        <f aca="false">COUNTIFS('Master Plan'!$J$8:$J$27,$A37,'Master Plan'!$Z$8:$Z$27,"&gt;="&amp;N$9,'Master Plan'!$Z$8:$Z$27,"&lt;"&amp;N$9+7)</f>
        <v>0</v>
      </c>
      <c r="O37" s="263" t="n">
        <f aca="false">COUNTIFS('Master Plan'!$J$8:$J$27,$A37,'Master Plan'!$Z$8:$Z$27,"&gt;="&amp;O$9,'Master Plan'!$Z$8:$Z$27,"&lt;"&amp;O$9+7)</f>
        <v>0</v>
      </c>
      <c r="P37" s="263" t="n">
        <f aca="false">COUNTIFS('Master Plan'!$J$8:$J$27,$A37,'Master Plan'!$Z$8:$Z$27,"&gt;="&amp;P$9,'Master Plan'!$Z$8:$Z$27,"&lt;"&amp;P$9+7)</f>
        <v>0</v>
      </c>
      <c r="Q37" s="263" t="n">
        <f aca="false">COUNTIFS('Master Plan'!$J$8:$J$27,$A37,'Master Plan'!$Z$8:$Z$27,"&gt;="&amp;Q$9,'Master Plan'!$Z$8:$Z$27,"&lt;"&amp;Q$9+7)</f>
        <v>0</v>
      </c>
      <c r="R37" s="263" t="n">
        <f aca="false">COUNTIFS('Master Plan'!$J$8:$J$27,$A37,'Master Plan'!$Z$8:$Z$27,"&gt;="&amp;R$9,'Master Plan'!$Z$8:$Z$27,"&lt;"&amp;R$9+7)</f>
        <v>0</v>
      </c>
      <c r="S37" s="263" t="n">
        <f aca="false">COUNTIFS('Master Plan'!$J$8:$J$27,$A37,'Master Plan'!$Z$8:$Z$27,"&gt;="&amp;S$9,'Master Plan'!$Z$8:$Z$27,"&lt;"&amp;S$9+7)</f>
        <v>0</v>
      </c>
      <c r="T37" s="263" t="n">
        <f aca="false">COUNTIFS('Master Plan'!$J$8:$J$27,$A37,'Master Plan'!$Z$8:$Z$27,"&gt;="&amp;T$9,'Master Plan'!$Z$8:$Z$27,"&lt;"&amp;T$9+7)</f>
        <v>0</v>
      </c>
      <c r="U37" s="263" t="n">
        <f aca="false">COUNTIFS('Master Plan'!$J$8:$J$27,$A37,'Master Plan'!$Z$8:$Z$27,"&gt;="&amp;U$9,'Master Plan'!$Z$8:$Z$27,"&lt;"&amp;U$9+7)</f>
        <v>0</v>
      </c>
      <c r="V37" s="263" t="n">
        <f aca="false">COUNTIFS('Master Plan'!$J$8:$J$27,$A37,'Master Plan'!$Z$8:$Z$27,"&gt;="&amp;V$9,'Master Plan'!$Z$8:$Z$27,"&lt;"&amp;V$9+7)</f>
        <v>0</v>
      </c>
      <c r="W37" s="263" t="n">
        <f aca="false">COUNTIFS('Master Plan'!$J$8:$J$27,$A37,'Master Plan'!$Z$8:$Z$27,"&gt;="&amp;W$9,'Master Plan'!$Z$8:$Z$27,"&lt;"&amp;W$9+7)</f>
        <v>0</v>
      </c>
    </row>
    <row r="38" customFormat="false" ht="15" hidden="false" customHeight="false" outlineLevel="0" collapsed="false">
      <c r="A38" s="264" t="s">
        <v>2234</v>
      </c>
      <c r="B38" s="36" t="s">
        <v>2226</v>
      </c>
      <c r="C38" s="262"/>
      <c r="D38" s="263" t="n">
        <f aca="false">COUNTIFS('Master Plan'!$J$8:$J$27,$A38,'Master Plan'!$AH$8:$AH$27,"&gt;="&amp;D$9,'Master Plan'!$AH$8:$AH$27,"&lt;"&amp;D$9+7)</f>
        <v>0</v>
      </c>
      <c r="E38" s="263" t="n">
        <f aca="false">COUNTIFS('Master Plan'!$J$8:$J$27,$A38,'Master Plan'!$AH$8:$AH$27,"&gt;="&amp;E$9,'Master Plan'!$AH$8:$AH$27,"&lt;"&amp;E$9+7)</f>
        <v>0</v>
      </c>
      <c r="F38" s="263" t="n">
        <f aca="false">COUNTIFS('Master Plan'!$J$8:$J$27,$A38,'Master Plan'!$AH$8:$AH$27,"&gt;="&amp;F$9,'Master Plan'!$AH$8:$AH$27,"&lt;"&amp;F$9+7)</f>
        <v>0</v>
      </c>
      <c r="G38" s="263" t="n">
        <f aca="false">COUNTIFS('Master Plan'!$J$8:$J$27,$A38,'Master Plan'!$AH$8:$AH$27,"&gt;="&amp;G$9,'Master Plan'!$AH$8:$AH$27,"&lt;"&amp;G$9+7)</f>
        <v>0</v>
      </c>
      <c r="H38" s="263" t="n">
        <f aca="false">COUNTIFS('Master Plan'!$J$8:$J$27,$A38,'Master Plan'!$AH$8:$AH$27,"&gt;="&amp;H$9,'Master Plan'!$AH$8:$AH$27,"&lt;"&amp;H$9+7)</f>
        <v>0</v>
      </c>
      <c r="I38" s="263" t="n">
        <f aca="false">COUNTIFS('Master Plan'!$J$8:$J$27,$A38,'Master Plan'!$AH$8:$AH$27,"&gt;="&amp;I$9,'Master Plan'!$AH$8:$AH$27,"&lt;"&amp;I$9+7)</f>
        <v>0</v>
      </c>
      <c r="J38" s="263" t="n">
        <f aca="false">COUNTIFS('Master Plan'!$J$8:$J$27,$A38,'Master Plan'!$AH$8:$AH$27,"&gt;="&amp;J$9,'Master Plan'!$AH$8:$AH$27,"&lt;"&amp;J$9+7)</f>
        <v>0</v>
      </c>
      <c r="K38" s="263" t="n">
        <f aca="false">COUNTIFS('Master Plan'!$J$8:$J$27,$A38,'Master Plan'!$AH$8:$AH$27,"&gt;="&amp;K$9,'Master Plan'!$AH$8:$AH$27,"&lt;"&amp;K$9+7)</f>
        <v>0</v>
      </c>
      <c r="L38" s="263" t="n">
        <f aca="false">COUNTIFS('Master Plan'!$J$8:$J$27,$A38,'Master Plan'!$AH$8:$AH$27,"&gt;="&amp;L$9,'Master Plan'!$AH$8:$AH$27,"&lt;"&amp;L$9+7)</f>
        <v>0</v>
      </c>
      <c r="M38" s="263" t="n">
        <f aca="false">COUNTIFS('Master Plan'!$J$8:$J$27,$A38,'Master Plan'!$AH$8:$AH$27,"&gt;="&amp;M$9,'Master Plan'!$AH$8:$AH$27,"&lt;"&amp;M$9+7)</f>
        <v>0</v>
      </c>
      <c r="N38" s="263" t="n">
        <f aca="false">COUNTIFS('Master Plan'!$J$8:$J$27,$A38,'Master Plan'!$AH$8:$AH$27,"&gt;="&amp;N$9,'Master Plan'!$AH$8:$AH$27,"&lt;"&amp;N$9+7)</f>
        <v>0</v>
      </c>
      <c r="O38" s="263" t="n">
        <f aca="false">COUNTIFS('Master Plan'!$J$8:$J$27,$A38,'Master Plan'!$AH$8:$AH$27,"&gt;="&amp;O$9,'Master Plan'!$AH$8:$AH$27,"&lt;"&amp;O$9+7)</f>
        <v>0</v>
      </c>
      <c r="P38" s="263" t="n">
        <f aca="false">COUNTIFS('Master Plan'!$J$8:$J$27,$A38,'Master Plan'!$AH$8:$AH$27,"&gt;="&amp;P$9,'Master Plan'!$AH$8:$AH$27,"&lt;"&amp;P$9+7)</f>
        <v>0</v>
      </c>
      <c r="Q38" s="263" t="n">
        <f aca="false">COUNTIFS('Master Plan'!$J$8:$J$27,$A38,'Master Plan'!$AH$8:$AH$27,"&gt;="&amp;Q$9,'Master Plan'!$AH$8:$AH$27,"&lt;"&amp;Q$9+7)</f>
        <v>0</v>
      </c>
      <c r="R38" s="263" t="n">
        <f aca="false">COUNTIFS('Master Plan'!$J$8:$J$27,$A38,'Master Plan'!$AH$8:$AH$27,"&gt;="&amp;R$9,'Master Plan'!$AH$8:$AH$27,"&lt;"&amp;R$9+7)</f>
        <v>0</v>
      </c>
      <c r="S38" s="263" t="n">
        <f aca="false">COUNTIFS('Master Plan'!$J$8:$J$27,$A38,'Master Plan'!$AH$8:$AH$27,"&gt;="&amp;S$9,'Master Plan'!$AH$8:$AH$27,"&lt;"&amp;S$9+7)</f>
        <v>1</v>
      </c>
      <c r="T38" s="263" t="n">
        <f aca="false">COUNTIFS('Master Plan'!$J$8:$J$27,$A38,'Master Plan'!$AH$8:$AH$27,"&gt;="&amp;T$9,'Master Plan'!$AH$8:$AH$27,"&lt;"&amp;T$9+7)</f>
        <v>0</v>
      </c>
      <c r="U38" s="263" t="n">
        <f aca="false">COUNTIFS('Master Plan'!$J$8:$J$27,$A38,'Master Plan'!$AH$8:$AH$27,"&gt;="&amp;U$9,'Master Plan'!$AH$8:$AH$27,"&lt;"&amp;U$9+7)</f>
        <v>0</v>
      </c>
      <c r="V38" s="263" t="n">
        <f aca="false">COUNTIFS('Master Plan'!$J$8:$J$27,$A38,'Master Plan'!$AH$8:$AH$27,"&gt;="&amp;V$9,'Master Plan'!$AH$8:$AH$27,"&lt;"&amp;V$9+7)</f>
        <v>0</v>
      </c>
      <c r="W38" s="263" t="n">
        <f aca="false">COUNTIFS('Master Plan'!$J$8:$J$27,$A38,'Master Plan'!$AH$8:$AH$27,"&gt;="&amp;W$9,'Master Plan'!$AH$8:$AH$27,"&lt;"&amp;W$9+7)</f>
        <v>0</v>
      </c>
    </row>
    <row r="39" customFormat="false" ht="15" hidden="false" customHeight="false" outlineLevel="0" collapsed="false">
      <c r="A39" s="264" t="s">
        <v>2235</v>
      </c>
      <c r="B39" s="31" t="s">
        <v>2225</v>
      </c>
      <c r="C39" s="262" t="n">
        <f aca="false">สมมติฐาน!$R$20</f>
        <v>3</v>
      </c>
      <c r="D39" s="263" t="n">
        <f aca="false">COUNTIFS('Master Plan'!$J$8:$J$27,$A39,'Master Plan'!$Z$8:$Z$27,"&gt;="&amp;D$9,'Master Plan'!$Z$8:$Z$27,"&lt;"&amp;D$9+7)</f>
        <v>0</v>
      </c>
      <c r="E39" s="263" t="n">
        <f aca="false">COUNTIFS('Master Plan'!$J$8:$J$27,$A39,'Master Plan'!$Z$8:$Z$27,"&gt;="&amp;E$9,'Master Plan'!$Z$8:$Z$27,"&lt;"&amp;E$9+7)</f>
        <v>0</v>
      </c>
      <c r="F39" s="263" t="n">
        <f aca="false">COUNTIFS('Master Plan'!$J$8:$J$27,$A39,'Master Plan'!$Z$8:$Z$27,"&gt;="&amp;F$9,'Master Plan'!$Z$8:$Z$27,"&lt;"&amp;F$9+7)</f>
        <v>0</v>
      </c>
      <c r="G39" s="263" t="n">
        <f aca="false">COUNTIFS('Master Plan'!$J$8:$J$27,$A39,'Master Plan'!$Z$8:$Z$27,"&gt;="&amp;G$9,'Master Plan'!$Z$8:$Z$27,"&lt;"&amp;G$9+7)</f>
        <v>0</v>
      </c>
      <c r="H39" s="263" t="n">
        <f aca="false">COUNTIFS('Master Plan'!$J$8:$J$27,$A39,'Master Plan'!$Z$8:$Z$27,"&gt;="&amp;H$9,'Master Plan'!$Z$8:$Z$27,"&lt;"&amp;H$9+7)</f>
        <v>1</v>
      </c>
      <c r="I39" s="263" t="n">
        <f aca="false">COUNTIFS('Master Plan'!$J$8:$J$27,$A39,'Master Plan'!$Z$8:$Z$27,"&gt;="&amp;I$9,'Master Plan'!$Z$8:$Z$27,"&lt;"&amp;I$9+7)</f>
        <v>0</v>
      </c>
      <c r="J39" s="263" t="n">
        <f aca="false">COUNTIFS('Master Plan'!$J$8:$J$27,$A39,'Master Plan'!$Z$8:$Z$27,"&gt;="&amp;J$9,'Master Plan'!$Z$8:$Z$27,"&lt;"&amp;J$9+7)</f>
        <v>0</v>
      </c>
      <c r="K39" s="263" t="n">
        <f aca="false">COUNTIFS('Master Plan'!$J$8:$J$27,$A39,'Master Plan'!$Z$8:$Z$27,"&gt;="&amp;K$9,'Master Plan'!$Z$8:$Z$27,"&lt;"&amp;K$9+7)</f>
        <v>0</v>
      </c>
      <c r="L39" s="263" t="n">
        <f aca="false">COUNTIFS('Master Plan'!$J$8:$J$27,$A39,'Master Plan'!$Z$8:$Z$27,"&gt;="&amp;L$9,'Master Plan'!$Z$8:$Z$27,"&lt;"&amp;L$9+7)</f>
        <v>0</v>
      </c>
      <c r="M39" s="263" t="n">
        <f aca="false">COUNTIFS('Master Plan'!$J$8:$J$27,$A39,'Master Plan'!$Z$8:$Z$27,"&gt;="&amp;M$9,'Master Plan'!$Z$8:$Z$27,"&lt;"&amp;M$9+7)</f>
        <v>0</v>
      </c>
      <c r="N39" s="263" t="n">
        <f aca="false">COUNTIFS('Master Plan'!$J$8:$J$27,$A39,'Master Plan'!$Z$8:$Z$27,"&gt;="&amp;N$9,'Master Plan'!$Z$8:$Z$27,"&lt;"&amp;N$9+7)</f>
        <v>0</v>
      </c>
      <c r="O39" s="263" t="n">
        <f aca="false">COUNTIFS('Master Plan'!$J$8:$J$27,$A39,'Master Plan'!$Z$8:$Z$27,"&gt;="&amp;O$9,'Master Plan'!$Z$8:$Z$27,"&lt;"&amp;O$9+7)</f>
        <v>0</v>
      </c>
      <c r="P39" s="263" t="n">
        <f aca="false">COUNTIFS('Master Plan'!$J$8:$J$27,$A39,'Master Plan'!$Z$8:$Z$27,"&gt;="&amp;P$9,'Master Plan'!$Z$8:$Z$27,"&lt;"&amp;P$9+7)</f>
        <v>0</v>
      </c>
      <c r="Q39" s="263" t="n">
        <f aca="false">COUNTIFS('Master Plan'!$J$8:$J$27,$A39,'Master Plan'!$Z$8:$Z$27,"&gt;="&amp;Q$9,'Master Plan'!$Z$8:$Z$27,"&lt;"&amp;Q$9+7)</f>
        <v>0</v>
      </c>
      <c r="R39" s="263" t="n">
        <f aca="false">COUNTIFS('Master Plan'!$J$8:$J$27,$A39,'Master Plan'!$Z$8:$Z$27,"&gt;="&amp;R$9,'Master Plan'!$Z$8:$Z$27,"&lt;"&amp;R$9+7)</f>
        <v>0</v>
      </c>
      <c r="S39" s="263" t="n">
        <f aca="false">COUNTIFS('Master Plan'!$J$8:$J$27,$A39,'Master Plan'!$Z$8:$Z$27,"&gt;="&amp;S$9,'Master Plan'!$Z$8:$Z$27,"&lt;"&amp;S$9+7)</f>
        <v>0</v>
      </c>
      <c r="T39" s="263" t="n">
        <f aca="false">COUNTIFS('Master Plan'!$J$8:$J$27,$A39,'Master Plan'!$Z$8:$Z$27,"&gt;="&amp;T$9,'Master Plan'!$Z$8:$Z$27,"&lt;"&amp;T$9+7)</f>
        <v>0</v>
      </c>
      <c r="U39" s="263" t="n">
        <f aca="false">COUNTIFS('Master Plan'!$J$8:$J$27,$A39,'Master Plan'!$Z$8:$Z$27,"&gt;="&amp;U$9,'Master Plan'!$Z$8:$Z$27,"&lt;"&amp;U$9+7)</f>
        <v>0</v>
      </c>
      <c r="V39" s="263" t="n">
        <f aca="false">COUNTIFS('Master Plan'!$J$8:$J$27,$A39,'Master Plan'!$Z$8:$Z$27,"&gt;="&amp;V$9,'Master Plan'!$Z$8:$Z$27,"&lt;"&amp;V$9+7)</f>
        <v>0</v>
      </c>
      <c r="W39" s="263" t="n">
        <f aca="false">COUNTIFS('Master Plan'!$J$8:$J$27,$A39,'Master Plan'!$Z$8:$Z$27,"&gt;="&amp;W$9,'Master Plan'!$Z$8:$Z$27,"&lt;"&amp;W$9+7)</f>
        <v>0</v>
      </c>
    </row>
    <row r="40" customFormat="false" ht="15" hidden="false" customHeight="false" outlineLevel="0" collapsed="false">
      <c r="A40" s="264" t="s">
        <v>2235</v>
      </c>
      <c r="B40" s="36" t="s">
        <v>2226</v>
      </c>
      <c r="C40" s="262"/>
      <c r="D40" s="263" t="n">
        <f aca="false">COUNTIFS('Master Plan'!$J$8:$J$27,$A40,'Master Plan'!$AH$8:$AH$27,"&gt;="&amp;D$9,'Master Plan'!$AH$8:$AH$27,"&lt;"&amp;D$9+7)</f>
        <v>0</v>
      </c>
      <c r="E40" s="263" t="n">
        <f aca="false">COUNTIFS('Master Plan'!$J$8:$J$27,$A40,'Master Plan'!$AH$8:$AH$27,"&gt;="&amp;E$9,'Master Plan'!$AH$8:$AH$27,"&lt;"&amp;E$9+7)</f>
        <v>0</v>
      </c>
      <c r="F40" s="263" t="n">
        <f aca="false">COUNTIFS('Master Plan'!$J$8:$J$27,$A40,'Master Plan'!$AH$8:$AH$27,"&gt;="&amp;F$9,'Master Plan'!$AH$8:$AH$27,"&lt;"&amp;F$9+7)</f>
        <v>0</v>
      </c>
      <c r="G40" s="263" t="n">
        <f aca="false">COUNTIFS('Master Plan'!$J$8:$J$27,$A40,'Master Plan'!$AH$8:$AH$27,"&gt;="&amp;G$9,'Master Plan'!$AH$8:$AH$27,"&lt;"&amp;G$9+7)</f>
        <v>0</v>
      </c>
      <c r="H40" s="263" t="n">
        <f aca="false">COUNTIFS('Master Plan'!$J$8:$J$27,$A40,'Master Plan'!$AH$8:$AH$27,"&gt;="&amp;H$9,'Master Plan'!$AH$8:$AH$27,"&lt;"&amp;H$9+7)</f>
        <v>0</v>
      </c>
      <c r="I40" s="263" t="n">
        <f aca="false">COUNTIFS('Master Plan'!$J$8:$J$27,$A40,'Master Plan'!$AH$8:$AH$27,"&gt;="&amp;I$9,'Master Plan'!$AH$8:$AH$27,"&lt;"&amp;I$9+7)</f>
        <v>0</v>
      </c>
      <c r="J40" s="263" t="n">
        <f aca="false">COUNTIFS('Master Plan'!$J$8:$J$27,$A40,'Master Plan'!$AH$8:$AH$27,"&gt;="&amp;J$9,'Master Plan'!$AH$8:$AH$27,"&lt;"&amp;J$9+7)</f>
        <v>0</v>
      </c>
      <c r="K40" s="263" t="n">
        <f aca="false">COUNTIFS('Master Plan'!$J$8:$J$27,$A40,'Master Plan'!$AH$8:$AH$27,"&gt;="&amp;K$9,'Master Plan'!$AH$8:$AH$27,"&lt;"&amp;K$9+7)</f>
        <v>0</v>
      </c>
      <c r="L40" s="263" t="n">
        <f aca="false">COUNTIFS('Master Plan'!$J$8:$J$27,$A40,'Master Plan'!$AH$8:$AH$27,"&gt;="&amp;L$9,'Master Plan'!$AH$8:$AH$27,"&lt;"&amp;L$9+7)</f>
        <v>0</v>
      </c>
      <c r="M40" s="263" t="n">
        <f aca="false">COUNTIFS('Master Plan'!$J$8:$J$27,$A40,'Master Plan'!$AH$8:$AH$27,"&gt;="&amp;M$9,'Master Plan'!$AH$8:$AH$27,"&lt;"&amp;M$9+7)</f>
        <v>0</v>
      </c>
      <c r="N40" s="263" t="n">
        <f aca="false">COUNTIFS('Master Plan'!$J$8:$J$27,$A40,'Master Plan'!$AH$8:$AH$27,"&gt;="&amp;N$9,'Master Plan'!$AH$8:$AH$27,"&lt;"&amp;N$9+7)</f>
        <v>0</v>
      </c>
      <c r="O40" s="263" t="n">
        <f aca="false">COUNTIFS('Master Plan'!$J$8:$J$27,$A40,'Master Plan'!$AH$8:$AH$27,"&gt;="&amp;O$9,'Master Plan'!$AH$8:$AH$27,"&lt;"&amp;O$9+7)</f>
        <v>0</v>
      </c>
      <c r="P40" s="263" t="n">
        <f aca="false">COUNTIFS('Master Plan'!$J$8:$J$27,$A40,'Master Plan'!$AH$8:$AH$27,"&gt;="&amp;P$9,'Master Plan'!$AH$8:$AH$27,"&lt;"&amp;P$9+7)</f>
        <v>0</v>
      </c>
      <c r="Q40" s="263" t="n">
        <f aca="false">COUNTIFS('Master Plan'!$J$8:$J$27,$A40,'Master Plan'!$AH$8:$AH$27,"&gt;="&amp;Q$9,'Master Plan'!$AH$8:$AH$27,"&lt;"&amp;Q$9+7)</f>
        <v>0</v>
      </c>
      <c r="R40" s="263" t="n">
        <f aca="false">COUNTIFS('Master Plan'!$J$8:$J$27,$A40,'Master Plan'!$AH$8:$AH$27,"&gt;="&amp;R$9,'Master Plan'!$AH$8:$AH$27,"&lt;"&amp;R$9+7)</f>
        <v>0</v>
      </c>
      <c r="S40" s="263" t="n">
        <f aca="false">COUNTIFS('Master Plan'!$J$8:$J$27,$A40,'Master Plan'!$AH$8:$AH$27,"&gt;="&amp;S$9,'Master Plan'!$AH$8:$AH$27,"&lt;"&amp;S$9+7)</f>
        <v>1</v>
      </c>
      <c r="T40" s="263" t="n">
        <f aca="false">COUNTIFS('Master Plan'!$J$8:$J$27,$A40,'Master Plan'!$AH$8:$AH$27,"&gt;="&amp;T$9,'Master Plan'!$AH$8:$AH$27,"&lt;"&amp;T$9+7)</f>
        <v>0</v>
      </c>
      <c r="U40" s="263" t="n">
        <f aca="false">COUNTIFS('Master Plan'!$J$8:$J$27,$A40,'Master Plan'!$AH$8:$AH$27,"&gt;="&amp;U$9,'Master Plan'!$AH$8:$AH$27,"&lt;"&amp;U$9+7)</f>
        <v>0</v>
      </c>
      <c r="V40" s="263" t="n">
        <f aca="false">COUNTIFS('Master Plan'!$J$8:$J$27,$A40,'Master Plan'!$AH$8:$AH$27,"&gt;="&amp;V$9,'Master Plan'!$AH$8:$AH$27,"&lt;"&amp;V$9+7)</f>
        <v>0</v>
      </c>
      <c r="W40" s="263" t="n">
        <f aca="false">COUNTIFS('Master Plan'!$J$8:$J$27,$A40,'Master Plan'!$AH$8:$AH$27,"&gt;="&amp;W$9,'Master Plan'!$AH$8:$AH$27,"&lt;"&amp;W$9+7)</f>
        <v>0</v>
      </c>
    </row>
    <row r="41" customFormat="false" ht="15" hidden="false" customHeight="false" outlineLevel="0" collapsed="false">
      <c r="A41" s="264" t="s">
        <v>2236</v>
      </c>
      <c r="B41" s="31" t="s">
        <v>2225</v>
      </c>
      <c r="C41" s="262" t="n">
        <f aca="false">สมมติฐาน!$R$21</f>
        <v>3</v>
      </c>
      <c r="D41" s="263" t="n">
        <f aca="false">COUNTIFS('Master Plan'!$J$8:$J$27,$A41,'Master Plan'!$Z$8:$Z$27,"&gt;="&amp;D$9,'Master Plan'!$Z$8:$Z$27,"&lt;"&amp;D$9+7)</f>
        <v>0</v>
      </c>
      <c r="E41" s="263" t="n">
        <f aca="false">COUNTIFS('Master Plan'!$J$8:$J$27,$A41,'Master Plan'!$Z$8:$Z$27,"&gt;="&amp;E$9,'Master Plan'!$Z$8:$Z$27,"&lt;"&amp;E$9+7)</f>
        <v>0</v>
      </c>
      <c r="F41" s="263" t="n">
        <f aca="false">COUNTIFS('Master Plan'!$J$8:$J$27,$A41,'Master Plan'!$Z$8:$Z$27,"&gt;="&amp;F$9,'Master Plan'!$Z$8:$Z$27,"&lt;"&amp;F$9+7)</f>
        <v>0</v>
      </c>
      <c r="G41" s="263" t="n">
        <f aca="false">COUNTIFS('Master Plan'!$J$8:$J$27,$A41,'Master Plan'!$Z$8:$Z$27,"&gt;="&amp;G$9,'Master Plan'!$Z$8:$Z$27,"&lt;"&amp;G$9+7)</f>
        <v>0</v>
      </c>
      <c r="H41" s="263" t="n">
        <f aca="false">COUNTIFS('Master Plan'!$J$8:$J$27,$A41,'Master Plan'!$Z$8:$Z$27,"&gt;="&amp;H$9,'Master Plan'!$Z$8:$Z$27,"&lt;"&amp;H$9+7)</f>
        <v>1</v>
      </c>
      <c r="I41" s="263" t="n">
        <f aca="false">COUNTIFS('Master Plan'!$J$8:$J$27,$A41,'Master Plan'!$Z$8:$Z$27,"&gt;="&amp;I$9,'Master Plan'!$Z$8:$Z$27,"&lt;"&amp;I$9+7)</f>
        <v>0</v>
      </c>
      <c r="J41" s="263" t="n">
        <f aca="false">COUNTIFS('Master Plan'!$J$8:$J$27,$A41,'Master Plan'!$Z$8:$Z$27,"&gt;="&amp;J$9,'Master Plan'!$Z$8:$Z$27,"&lt;"&amp;J$9+7)</f>
        <v>0</v>
      </c>
      <c r="K41" s="263" t="n">
        <f aca="false">COUNTIFS('Master Plan'!$J$8:$J$27,$A41,'Master Plan'!$Z$8:$Z$27,"&gt;="&amp;K$9,'Master Plan'!$Z$8:$Z$27,"&lt;"&amp;K$9+7)</f>
        <v>0</v>
      </c>
      <c r="L41" s="263" t="n">
        <f aca="false">COUNTIFS('Master Plan'!$J$8:$J$27,$A41,'Master Plan'!$Z$8:$Z$27,"&gt;="&amp;L$9,'Master Plan'!$Z$8:$Z$27,"&lt;"&amp;L$9+7)</f>
        <v>0</v>
      </c>
      <c r="M41" s="263" t="n">
        <f aca="false">COUNTIFS('Master Plan'!$J$8:$J$27,$A41,'Master Plan'!$Z$8:$Z$27,"&gt;="&amp;M$9,'Master Plan'!$Z$8:$Z$27,"&lt;"&amp;M$9+7)</f>
        <v>0</v>
      </c>
      <c r="N41" s="263" t="n">
        <f aca="false">COUNTIFS('Master Plan'!$J$8:$J$27,$A41,'Master Plan'!$Z$8:$Z$27,"&gt;="&amp;N$9,'Master Plan'!$Z$8:$Z$27,"&lt;"&amp;N$9+7)</f>
        <v>0</v>
      </c>
      <c r="O41" s="263" t="n">
        <f aca="false">COUNTIFS('Master Plan'!$J$8:$J$27,$A41,'Master Plan'!$Z$8:$Z$27,"&gt;="&amp;O$9,'Master Plan'!$Z$8:$Z$27,"&lt;"&amp;O$9+7)</f>
        <v>0</v>
      </c>
      <c r="P41" s="263" t="n">
        <f aca="false">COUNTIFS('Master Plan'!$J$8:$J$27,$A41,'Master Plan'!$Z$8:$Z$27,"&gt;="&amp;P$9,'Master Plan'!$Z$8:$Z$27,"&lt;"&amp;P$9+7)</f>
        <v>0</v>
      </c>
      <c r="Q41" s="263" t="n">
        <f aca="false">COUNTIFS('Master Plan'!$J$8:$J$27,$A41,'Master Plan'!$Z$8:$Z$27,"&gt;="&amp;Q$9,'Master Plan'!$Z$8:$Z$27,"&lt;"&amp;Q$9+7)</f>
        <v>0</v>
      </c>
      <c r="R41" s="263" t="n">
        <f aca="false">COUNTIFS('Master Plan'!$J$8:$J$27,$A41,'Master Plan'!$Z$8:$Z$27,"&gt;="&amp;R$9,'Master Plan'!$Z$8:$Z$27,"&lt;"&amp;R$9+7)</f>
        <v>0</v>
      </c>
      <c r="S41" s="263" t="n">
        <f aca="false">COUNTIFS('Master Plan'!$J$8:$J$27,$A41,'Master Plan'!$Z$8:$Z$27,"&gt;="&amp;S$9,'Master Plan'!$Z$8:$Z$27,"&lt;"&amp;S$9+7)</f>
        <v>0</v>
      </c>
      <c r="T41" s="263" t="n">
        <f aca="false">COUNTIFS('Master Plan'!$J$8:$J$27,$A41,'Master Plan'!$Z$8:$Z$27,"&gt;="&amp;T$9,'Master Plan'!$Z$8:$Z$27,"&lt;"&amp;T$9+7)</f>
        <v>0</v>
      </c>
      <c r="U41" s="263" t="n">
        <f aca="false">COUNTIFS('Master Plan'!$J$8:$J$27,$A41,'Master Plan'!$Z$8:$Z$27,"&gt;="&amp;U$9,'Master Plan'!$Z$8:$Z$27,"&lt;"&amp;U$9+7)</f>
        <v>0</v>
      </c>
      <c r="V41" s="263" t="n">
        <f aca="false">COUNTIFS('Master Plan'!$J$8:$J$27,$A41,'Master Plan'!$Z$8:$Z$27,"&gt;="&amp;V$9,'Master Plan'!$Z$8:$Z$27,"&lt;"&amp;V$9+7)</f>
        <v>0</v>
      </c>
      <c r="W41" s="263" t="n">
        <f aca="false">COUNTIFS('Master Plan'!$J$8:$J$27,$A41,'Master Plan'!$Z$8:$Z$27,"&gt;="&amp;W$9,'Master Plan'!$Z$8:$Z$27,"&lt;"&amp;W$9+7)</f>
        <v>0</v>
      </c>
    </row>
    <row r="42" customFormat="false" ht="15" hidden="false" customHeight="false" outlineLevel="0" collapsed="false">
      <c r="A42" s="264" t="s">
        <v>2236</v>
      </c>
      <c r="B42" s="36" t="s">
        <v>2226</v>
      </c>
      <c r="C42" s="262"/>
      <c r="D42" s="263" t="n">
        <f aca="false">COUNTIFS('Master Plan'!$J$8:$J$27,$A42,'Master Plan'!$AH$8:$AH$27,"&gt;="&amp;D$9,'Master Plan'!$AH$8:$AH$27,"&lt;"&amp;D$9+7)</f>
        <v>0</v>
      </c>
      <c r="E42" s="263" t="n">
        <f aca="false">COUNTIFS('Master Plan'!$J$8:$J$27,$A42,'Master Plan'!$AH$8:$AH$27,"&gt;="&amp;E$9,'Master Plan'!$AH$8:$AH$27,"&lt;"&amp;E$9+7)</f>
        <v>0</v>
      </c>
      <c r="F42" s="263" t="n">
        <f aca="false">COUNTIFS('Master Plan'!$J$8:$J$27,$A42,'Master Plan'!$AH$8:$AH$27,"&gt;="&amp;F$9,'Master Plan'!$AH$8:$AH$27,"&lt;"&amp;F$9+7)</f>
        <v>0</v>
      </c>
      <c r="G42" s="263" t="n">
        <f aca="false">COUNTIFS('Master Plan'!$J$8:$J$27,$A42,'Master Plan'!$AH$8:$AH$27,"&gt;="&amp;G$9,'Master Plan'!$AH$8:$AH$27,"&lt;"&amp;G$9+7)</f>
        <v>0</v>
      </c>
      <c r="H42" s="263" t="n">
        <f aca="false">COUNTIFS('Master Plan'!$J$8:$J$27,$A42,'Master Plan'!$AH$8:$AH$27,"&gt;="&amp;H$9,'Master Plan'!$AH$8:$AH$27,"&lt;"&amp;H$9+7)</f>
        <v>0</v>
      </c>
      <c r="I42" s="263" t="n">
        <f aca="false">COUNTIFS('Master Plan'!$J$8:$J$27,$A42,'Master Plan'!$AH$8:$AH$27,"&gt;="&amp;I$9,'Master Plan'!$AH$8:$AH$27,"&lt;"&amp;I$9+7)</f>
        <v>0</v>
      </c>
      <c r="J42" s="263" t="n">
        <f aca="false">COUNTIFS('Master Plan'!$J$8:$J$27,$A42,'Master Plan'!$AH$8:$AH$27,"&gt;="&amp;J$9,'Master Plan'!$AH$8:$AH$27,"&lt;"&amp;J$9+7)</f>
        <v>0</v>
      </c>
      <c r="K42" s="263" t="n">
        <f aca="false">COUNTIFS('Master Plan'!$J$8:$J$27,$A42,'Master Plan'!$AH$8:$AH$27,"&gt;="&amp;K$9,'Master Plan'!$AH$8:$AH$27,"&lt;"&amp;K$9+7)</f>
        <v>0</v>
      </c>
      <c r="L42" s="263" t="n">
        <f aca="false">COUNTIFS('Master Plan'!$J$8:$J$27,$A42,'Master Plan'!$AH$8:$AH$27,"&gt;="&amp;L$9,'Master Plan'!$AH$8:$AH$27,"&lt;"&amp;L$9+7)</f>
        <v>0</v>
      </c>
      <c r="M42" s="263" t="n">
        <f aca="false">COUNTIFS('Master Plan'!$J$8:$J$27,$A42,'Master Plan'!$AH$8:$AH$27,"&gt;="&amp;M$9,'Master Plan'!$AH$8:$AH$27,"&lt;"&amp;M$9+7)</f>
        <v>0</v>
      </c>
      <c r="N42" s="263" t="n">
        <f aca="false">COUNTIFS('Master Plan'!$J$8:$J$27,$A42,'Master Plan'!$AH$8:$AH$27,"&gt;="&amp;N$9,'Master Plan'!$AH$8:$AH$27,"&lt;"&amp;N$9+7)</f>
        <v>0</v>
      </c>
      <c r="O42" s="263" t="n">
        <f aca="false">COUNTIFS('Master Plan'!$J$8:$J$27,$A42,'Master Plan'!$AH$8:$AH$27,"&gt;="&amp;O$9,'Master Plan'!$AH$8:$AH$27,"&lt;"&amp;O$9+7)</f>
        <v>0</v>
      </c>
      <c r="P42" s="263" t="n">
        <f aca="false">COUNTIFS('Master Plan'!$J$8:$J$27,$A42,'Master Plan'!$AH$8:$AH$27,"&gt;="&amp;P$9,'Master Plan'!$AH$8:$AH$27,"&lt;"&amp;P$9+7)</f>
        <v>0</v>
      </c>
      <c r="Q42" s="263" t="n">
        <f aca="false">COUNTIFS('Master Plan'!$J$8:$J$27,$A42,'Master Plan'!$AH$8:$AH$27,"&gt;="&amp;Q$9,'Master Plan'!$AH$8:$AH$27,"&lt;"&amp;Q$9+7)</f>
        <v>0</v>
      </c>
      <c r="R42" s="263" t="n">
        <f aca="false">COUNTIFS('Master Plan'!$J$8:$J$27,$A42,'Master Plan'!$AH$8:$AH$27,"&gt;="&amp;R$9,'Master Plan'!$AH$8:$AH$27,"&lt;"&amp;R$9+7)</f>
        <v>0</v>
      </c>
      <c r="S42" s="263" t="n">
        <f aca="false">COUNTIFS('Master Plan'!$J$8:$J$27,$A42,'Master Plan'!$AH$8:$AH$27,"&gt;="&amp;S$9,'Master Plan'!$AH$8:$AH$27,"&lt;"&amp;S$9+7)</f>
        <v>1</v>
      </c>
      <c r="T42" s="263" t="n">
        <f aca="false">COUNTIFS('Master Plan'!$J$8:$J$27,$A42,'Master Plan'!$AH$8:$AH$27,"&gt;="&amp;T$9,'Master Plan'!$AH$8:$AH$27,"&lt;"&amp;T$9+7)</f>
        <v>0</v>
      </c>
      <c r="U42" s="263" t="n">
        <f aca="false">COUNTIFS('Master Plan'!$J$8:$J$27,$A42,'Master Plan'!$AH$8:$AH$27,"&gt;="&amp;U$9,'Master Plan'!$AH$8:$AH$27,"&lt;"&amp;U$9+7)</f>
        <v>0</v>
      </c>
      <c r="V42" s="263" t="n">
        <f aca="false">COUNTIFS('Master Plan'!$J$8:$J$27,$A42,'Master Plan'!$AH$8:$AH$27,"&gt;="&amp;V$9,'Master Plan'!$AH$8:$AH$27,"&lt;"&amp;V$9+7)</f>
        <v>0</v>
      </c>
      <c r="W42" s="263" t="n">
        <f aca="false">COUNTIFS('Master Plan'!$J$8:$J$27,$A42,'Master Plan'!$AH$8:$AH$27,"&gt;="&amp;W$9,'Master Plan'!$AH$8:$AH$27,"&lt;"&amp;W$9+7)</f>
        <v>0</v>
      </c>
    </row>
    <row r="43" customFormat="false" ht="15" hidden="false" customHeight="false" outlineLevel="0" collapsed="false">
      <c r="A43" s="264" t="s">
        <v>2237</v>
      </c>
      <c r="B43" s="31" t="s">
        <v>2225</v>
      </c>
      <c r="C43" s="262" t="n">
        <f aca="false">สมมติฐาน!$R$22</f>
        <v>3</v>
      </c>
      <c r="D43" s="263" t="n">
        <f aca="false">COUNTIFS('Master Plan'!$J$8:$J$27,$A43,'Master Plan'!$Z$8:$Z$27,"&gt;="&amp;D$9,'Master Plan'!$Z$8:$Z$27,"&lt;"&amp;D$9+7)</f>
        <v>0</v>
      </c>
      <c r="E43" s="263" t="n">
        <f aca="false">COUNTIFS('Master Plan'!$J$8:$J$27,$A43,'Master Plan'!$Z$8:$Z$27,"&gt;="&amp;E$9,'Master Plan'!$Z$8:$Z$27,"&lt;"&amp;E$9+7)</f>
        <v>0</v>
      </c>
      <c r="F43" s="263" t="n">
        <f aca="false">COUNTIFS('Master Plan'!$J$8:$J$27,$A43,'Master Plan'!$Z$8:$Z$27,"&gt;="&amp;F$9,'Master Plan'!$Z$8:$Z$27,"&lt;"&amp;F$9+7)</f>
        <v>0</v>
      </c>
      <c r="G43" s="263" t="n">
        <f aca="false">COUNTIFS('Master Plan'!$J$8:$J$27,$A43,'Master Plan'!$Z$8:$Z$27,"&gt;="&amp;G$9,'Master Plan'!$Z$8:$Z$27,"&lt;"&amp;G$9+7)</f>
        <v>0</v>
      </c>
      <c r="H43" s="263" t="n">
        <f aca="false">COUNTIFS('Master Plan'!$J$8:$J$27,$A43,'Master Plan'!$Z$8:$Z$27,"&gt;="&amp;H$9,'Master Plan'!$Z$8:$Z$27,"&lt;"&amp;H$9+7)</f>
        <v>1</v>
      </c>
      <c r="I43" s="263" t="n">
        <f aca="false">COUNTIFS('Master Plan'!$J$8:$J$27,$A43,'Master Plan'!$Z$8:$Z$27,"&gt;="&amp;I$9,'Master Plan'!$Z$8:$Z$27,"&lt;"&amp;I$9+7)</f>
        <v>0</v>
      </c>
      <c r="J43" s="263" t="n">
        <f aca="false">COUNTIFS('Master Plan'!$J$8:$J$27,$A43,'Master Plan'!$Z$8:$Z$27,"&gt;="&amp;J$9,'Master Plan'!$Z$8:$Z$27,"&lt;"&amp;J$9+7)</f>
        <v>0</v>
      </c>
      <c r="K43" s="263" t="n">
        <f aca="false">COUNTIFS('Master Plan'!$J$8:$J$27,$A43,'Master Plan'!$Z$8:$Z$27,"&gt;="&amp;K$9,'Master Plan'!$Z$8:$Z$27,"&lt;"&amp;K$9+7)</f>
        <v>0</v>
      </c>
      <c r="L43" s="263" t="n">
        <f aca="false">COUNTIFS('Master Plan'!$J$8:$J$27,$A43,'Master Plan'!$Z$8:$Z$27,"&gt;="&amp;L$9,'Master Plan'!$Z$8:$Z$27,"&lt;"&amp;L$9+7)</f>
        <v>0</v>
      </c>
      <c r="M43" s="263" t="n">
        <f aca="false">COUNTIFS('Master Plan'!$J$8:$J$27,$A43,'Master Plan'!$Z$8:$Z$27,"&gt;="&amp;M$9,'Master Plan'!$Z$8:$Z$27,"&lt;"&amp;M$9+7)</f>
        <v>0</v>
      </c>
      <c r="N43" s="263" t="n">
        <f aca="false">COUNTIFS('Master Plan'!$J$8:$J$27,$A43,'Master Plan'!$Z$8:$Z$27,"&gt;="&amp;N$9,'Master Plan'!$Z$8:$Z$27,"&lt;"&amp;N$9+7)</f>
        <v>0</v>
      </c>
      <c r="O43" s="263" t="n">
        <f aca="false">COUNTIFS('Master Plan'!$J$8:$J$27,$A43,'Master Plan'!$Z$8:$Z$27,"&gt;="&amp;O$9,'Master Plan'!$Z$8:$Z$27,"&lt;"&amp;O$9+7)</f>
        <v>0</v>
      </c>
      <c r="P43" s="263" t="n">
        <f aca="false">COUNTIFS('Master Plan'!$J$8:$J$27,$A43,'Master Plan'!$Z$8:$Z$27,"&gt;="&amp;P$9,'Master Plan'!$Z$8:$Z$27,"&lt;"&amp;P$9+7)</f>
        <v>0</v>
      </c>
      <c r="Q43" s="263" t="n">
        <f aca="false">COUNTIFS('Master Plan'!$J$8:$J$27,$A43,'Master Plan'!$Z$8:$Z$27,"&gt;="&amp;Q$9,'Master Plan'!$Z$8:$Z$27,"&lt;"&amp;Q$9+7)</f>
        <v>0</v>
      </c>
      <c r="R43" s="263" t="n">
        <f aca="false">COUNTIFS('Master Plan'!$J$8:$J$27,$A43,'Master Plan'!$Z$8:$Z$27,"&gt;="&amp;R$9,'Master Plan'!$Z$8:$Z$27,"&lt;"&amp;R$9+7)</f>
        <v>0</v>
      </c>
      <c r="S43" s="263" t="n">
        <f aca="false">COUNTIFS('Master Plan'!$J$8:$J$27,$A43,'Master Plan'!$Z$8:$Z$27,"&gt;="&amp;S$9,'Master Plan'!$Z$8:$Z$27,"&lt;"&amp;S$9+7)</f>
        <v>0</v>
      </c>
      <c r="T43" s="263" t="n">
        <f aca="false">COUNTIFS('Master Plan'!$J$8:$J$27,$A43,'Master Plan'!$Z$8:$Z$27,"&gt;="&amp;T$9,'Master Plan'!$Z$8:$Z$27,"&lt;"&amp;T$9+7)</f>
        <v>0</v>
      </c>
      <c r="U43" s="263" t="n">
        <f aca="false">COUNTIFS('Master Plan'!$J$8:$J$27,$A43,'Master Plan'!$Z$8:$Z$27,"&gt;="&amp;U$9,'Master Plan'!$Z$8:$Z$27,"&lt;"&amp;U$9+7)</f>
        <v>0</v>
      </c>
      <c r="V43" s="263" t="n">
        <f aca="false">COUNTIFS('Master Plan'!$J$8:$J$27,$A43,'Master Plan'!$Z$8:$Z$27,"&gt;="&amp;V$9,'Master Plan'!$Z$8:$Z$27,"&lt;"&amp;V$9+7)</f>
        <v>0</v>
      </c>
      <c r="W43" s="263" t="n">
        <f aca="false">COUNTIFS('Master Plan'!$J$8:$J$27,$A43,'Master Plan'!$Z$8:$Z$27,"&gt;="&amp;W$9,'Master Plan'!$Z$8:$Z$27,"&lt;"&amp;W$9+7)</f>
        <v>0</v>
      </c>
    </row>
    <row r="44" customFormat="false" ht="15" hidden="false" customHeight="false" outlineLevel="0" collapsed="false">
      <c r="A44" s="264" t="s">
        <v>2237</v>
      </c>
      <c r="B44" s="36" t="s">
        <v>2226</v>
      </c>
      <c r="C44" s="262"/>
      <c r="D44" s="263" t="n">
        <f aca="false">COUNTIFS('Master Plan'!$J$8:$J$27,$A44,'Master Plan'!$AH$8:$AH$27,"&gt;="&amp;D$9,'Master Plan'!$AH$8:$AH$27,"&lt;"&amp;D$9+7)</f>
        <v>0</v>
      </c>
      <c r="E44" s="263" t="n">
        <f aca="false">COUNTIFS('Master Plan'!$J$8:$J$27,$A44,'Master Plan'!$AH$8:$AH$27,"&gt;="&amp;E$9,'Master Plan'!$AH$8:$AH$27,"&lt;"&amp;E$9+7)</f>
        <v>0</v>
      </c>
      <c r="F44" s="263" t="n">
        <f aca="false">COUNTIFS('Master Plan'!$J$8:$J$27,$A44,'Master Plan'!$AH$8:$AH$27,"&gt;="&amp;F$9,'Master Plan'!$AH$8:$AH$27,"&lt;"&amp;F$9+7)</f>
        <v>0</v>
      </c>
      <c r="G44" s="263" t="n">
        <f aca="false">COUNTIFS('Master Plan'!$J$8:$J$27,$A44,'Master Plan'!$AH$8:$AH$27,"&gt;="&amp;G$9,'Master Plan'!$AH$8:$AH$27,"&lt;"&amp;G$9+7)</f>
        <v>0</v>
      </c>
      <c r="H44" s="263" t="n">
        <f aca="false">COUNTIFS('Master Plan'!$J$8:$J$27,$A44,'Master Plan'!$AH$8:$AH$27,"&gt;="&amp;H$9,'Master Plan'!$AH$8:$AH$27,"&lt;"&amp;H$9+7)</f>
        <v>0</v>
      </c>
      <c r="I44" s="263" t="n">
        <f aca="false">COUNTIFS('Master Plan'!$J$8:$J$27,$A44,'Master Plan'!$AH$8:$AH$27,"&gt;="&amp;I$9,'Master Plan'!$AH$8:$AH$27,"&lt;"&amp;I$9+7)</f>
        <v>0</v>
      </c>
      <c r="J44" s="263" t="n">
        <f aca="false">COUNTIFS('Master Plan'!$J$8:$J$27,$A44,'Master Plan'!$AH$8:$AH$27,"&gt;="&amp;J$9,'Master Plan'!$AH$8:$AH$27,"&lt;"&amp;J$9+7)</f>
        <v>0</v>
      </c>
      <c r="K44" s="263" t="n">
        <f aca="false">COUNTIFS('Master Plan'!$J$8:$J$27,$A44,'Master Plan'!$AH$8:$AH$27,"&gt;="&amp;K$9,'Master Plan'!$AH$8:$AH$27,"&lt;"&amp;K$9+7)</f>
        <v>0</v>
      </c>
      <c r="L44" s="263" t="n">
        <f aca="false">COUNTIFS('Master Plan'!$J$8:$J$27,$A44,'Master Plan'!$AH$8:$AH$27,"&gt;="&amp;L$9,'Master Plan'!$AH$8:$AH$27,"&lt;"&amp;L$9+7)</f>
        <v>0</v>
      </c>
      <c r="M44" s="263" t="n">
        <f aca="false">COUNTIFS('Master Plan'!$J$8:$J$27,$A44,'Master Plan'!$AH$8:$AH$27,"&gt;="&amp;M$9,'Master Plan'!$AH$8:$AH$27,"&lt;"&amp;M$9+7)</f>
        <v>0</v>
      </c>
      <c r="N44" s="263" t="n">
        <f aca="false">COUNTIFS('Master Plan'!$J$8:$J$27,$A44,'Master Plan'!$AH$8:$AH$27,"&gt;="&amp;N$9,'Master Plan'!$AH$8:$AH$27,"&lt;"&amp;N$9+7)</f>
        <v>0</v>
      </c>
      <c r="O44" s="263" t="n">
        <f aca="false">COUNTIFS('Master Plan'!$J$8:$J$27,$A44,'Master Plan'!$AH$8:$AH$27,"&gt;="&amp;O$9,'Master Plan'!$AH$8:$AH$27,"&lt;"&amp;O$9+7)</f>
        <v>0</v>
      </c>
      <c r="P44" s="263" t="n">
        <f aca="false">COUNTIFS('Master Plan'!$J$8:$J$27,$A44,'Master Plan'!$AH$8:$AH$27,"&gt;="&amp;P$9,'Master Plan'!$AH$8:$AH$27,"&lt;"&amp;P$9+7)</f>
        <v>0</v>
      </c>
      <c r="Q44" s="263" t="n">
        <f aca="false">COUNTIFS('Master Plan'!$J$8:$J$27,$A44,'Master Plan'!$AH$8:$AH$27,"&gt;="&amp;Q$9,'Master Plan'!$AH$8:$AH$27,"&lt;"&amp;Q$9+7)</f>
        <v>0</v>
      </c>
      <c r="R44" s="263" t="n">
        <f aca="false">COUNTIFS('Master Plan'!$J$8:$J$27,$A44,'Master Plan'!$AH$8:$AH$27,"&gt;="&amp;R$9,'Master Plan'!$AH$8:$AH$27,"&lt;"&amp;R$9+7)</f>
        <v>0</v>
      </c>
      <c r="S44" s="263" t="n">
        <f aca="false">COUNTIFS('Master Plan'!$J$8:$J$27,$A44,'Master Plan'!$AH$8:$AH$27,"&gt;="&amp;S$9,'Master Plan'!$AH$8:$AH$27,"&lt;"&amp;S$9+7)</f>
        <v>1</v>
      </c>
      <c r="T44" s="263" t="n">
        <f aca="false">COUNTIFS('Master Plan'!$J$8:$J$27,$A44,'Master Plan'!$AH$8:$AH$27,"&gt;="&amp;T$9,'Master Plan'!$AH$8:$AH$27,"&lt;"&amp;T$9+7)</f>
        <v>0</v>
      </c>
      <c r="U44" s="263" t="n">
        <f aca="false">COUNTIFS('Master Plan'!$J$8:$J$27,$A44,'Master Plan'!$AH$8:$AH$27,"&gt;="&amp;U$9,'Master Plan'!$AH$8:$AH$27,"&lt;"&amp;U$9+7)</f>
        <v>0</v>
      </c>
      <c r="V44" s="263" t="n">
        <f aca="false">COUNTIFS('Master Plan'!$J$8:$J$27,$A44,'Master Plan'!$AH$8:$AH$27,"&gt;="&amp;V$9,'Master Plan'!$AH$8:$AH$27,"&lt;"&amp;V$9+7)</f>
        <v>0</v>
      </c>
      <c r="W44" s="263" t="n">
        <f aca="false">COUNTIFS('Master Plan'!$J$8:$J$27,$A44,'Master Plan'!$AH$8:$AH$27,"&gt;="&amp;W$9,'Master Plan'!$AH$8:$AH$27,"&lt;"&amp;W$9+7)</f>
        <v>0</v>
      </c>
    </row>
    <row r="45" customFormat="false" ht="15" hidden="false" customHeight="false" outlineLevel="0" collapsed="false">
      <c r="A45" s="264" t="s">
        <v>2238</v>
      </c>
      <c r="B45" s="31" t="s">
        <v>2225</v>
      </c>
      <c r="C45" s="262" t="n">
        <f aca="false">สมมติฐาน!$R$23</f>
        <v>3</v>
      </c>
      <c r="D45" s="263" t="n">
        <f aca="false">COUNTIFS('Master Plan'!$J$8:$J$27,$A45,'Master Plan'!$Z$8:$Z$27,"&gt;="&amp;D$9,'Master Plan'!$Z$8:$Z$27,"&lt;"&amp;D$9+7)</f>
        <v>0</v>
      </c>
      <c r="E45" s="263" t="n">
        <f aca="false">COUNTIFS('Master Plan'!$J$8:$J$27,$A45,'Master Plan'!$Z$8:$Z$27,"&gt;="&amp;E$9,'Master Plan'!$Z$8:$Z$27,"&lt;"&amp;E$9+7)</f>
        <v>0</v>
      </c>
      <c r="F45" s="263" t="n">
        <f aca="false">COUNTIFS('Master Plan'!$J$8:$J$27,$A45,'Master Plan'!$Z$8:$Z$27,"&gt;="&amp;F$9,'Master Plan'!$Z$8:$Z$27,"&lt;"&amp;F$9+7)</f>
        <v>0</v>
      </c>
      <c r="G45" s="263" t="n">
        <f aca="false">COUNTIFS('Master Plan'!$J$8:$J$27,$A45,'Master Plan'!$Z$8:$Z$27,"&gt;="&amp;G$9,'Master Plan'!$Z$8:$Z$27,"&lt;"&amp;G$9+7)</f>
        <v>0</v>
      </c>
      <c r="H45" s="263" t="n">
        <f aca="false">COUNTIFS('Master Plan'!$J$8:$J$27,$A45,'Master Plan'!$Z$8:$Z$27,"&gt;="&amp;H$9,'Master Plan'!$Z$8:$Z$27,"&lt;"&amp;H$9+7)</f>
        <v>1</v>
      </c>
      <c r="I45" s="263" t="n">
        <f aca="false">COUNTIFS('Master Plan'!$J$8:$J$27,$A45,'Master Plan'!$Z$8:$Z$27,"&gt;="&amp;I$9,'Master Plan'!$Z$8:$Z$27,"&lt;"&amp;I$9+7)</f>
        <v>0</v>
      </c>
      <c r="J45" s="263" t="n">
        <f aca="false">COUNTIFS('Master Plan'!$J$8:$J$27,$A45,'Master Plan'!$Z$8:$Z$27,"&gt;="&amp;J$9,'Master Plan'!$Z$8:$Z$27,"&lt;"&amp;J$9+7)</f>
        <v>0</v>
      </c>
      <c r="K45" s="263" t="n">
        <f aca="false">COUNTIFS('Master Plan'!$J$8:$J$27,$A45,'Master Plan'!$Z$8:$Z$27,"&gt;="&amp;K$9,'Master Plan'!$Z$8:$Z$27,"&lt;"&amp;K$9+7)</f>
        <v>0</v>
      </c>
      <c r="L45" s="263" t="n">
        <f aca="false">COUNTIFS('Master Plan'!$J$8:$J$27,$A45,'Master Plan'!$Z$8:$Z$27,"&gt;="&amp;L$9,'Master Plan'!$Z$8:$Z$27,"&lt;"&amp;L$9+7)</f>
        <v>0</v>
      </c>
      <c r="M45" s="263" t="n">
        <f aca="false">COUNTIFS('Master Plan'!$J$8:$J$27,$A45,'Master Plan'!$Z$8:$Z$27,"&gt;="&amp;M$9,'Master Plan'!$Z$8:$Z$27,"&lt;"&amp;M$9+7)</f>
        <v>0</v>
      </c>
      <c r="N45" s="263" t="n">
        <f aca="false">COUNTIFS('Master Plan'!$J$8:$J$27,$A45,'Master Plan'!$Z$8:$Z$27,"&gt;="&amp;N$9,'Master Plan'!$Z$8:$Z$27,"&lt;"&amp;N$9+7)</f>
        <v>0</v>
      </c>
      <c r="O45" s="263" t="n">
        <f aca="false">COUNTIFS('Master Plan'!$J$8:$J$27,$A45,'Master Plan'!$Z$8:$Z$27,"&gt;="&amp;O$9,'Master Plan'!$Z$8:$Z$27,"&lt;"&amp;O$9+7)</f>
        <v>0</v>
      </c>
      <c r="P45" s="263" t="n">
        <f aca="false">COUNTIFS('Master Plan'!$J$8:$J$27,$A45,'Master Plan'!$Z$8:$Z$27,"&gt;="&amp;P$9,'Master Plan'!$Z$8:$Z$27,"&lt;"&amp;P$9+7)</f>
        <v>0</v>
      </c>
      <c r="Q45" s="263" t="n">
        <f aca="false">COUNTIFS('Master Plan'!$J$8:$J$27,$A45,'Master Plan'!$Z$8:$Z$27,"&gt;="&amp;Q$9,'Master Plan'!$Z$8:$Z$27,"&lt;"&amp;Q$9+7)</f>
        <v>0</v>
      </c>
      <c r="R45" s="263" t="n">
        <f aca="false">COUNTIFS('Master Plan'!$J$8:$J$27,$A45,'Master Plan'!$Z$8:$Z$27,"&gt;="&amp;R$9,'Master Plan'!$Z$8:$Z$27,"&lt;"&amp;R$9+7)</f>
        <v>0</v>
      </c>
      <c r="S45" s="263" t="n">
        <f aca="false">COUNTIFS('Master Plan'!$J$8:$J$27,$A45,'Master Plan'!$Z$8:$Z$27,"&gt;="&amp;S$9,'Master Plan'!$Z$8:$Z$27,"&lt;"&amp;S$9+7)</f>
        <v>0</v>
      </c>
      <c r="T45" s="263" t="n">
        <f aca="false">COUNTIFS('Master Plan'!$J$8:$J$27,$A45,'Master Plan'!$Z$8:$Z$27,"&gt;="&amp;T$9,'Master Plan'!$Z$8:$Z$27,"&lt;"&amp;T$9+7)</f>
        <v>0</v>
      </c>
      <c r="U45" s="263" t="n">
        <f aca="false">COUNTIFS('Master Plan'!$J$8:$J$27,$A45,'Master Plan'!$Z$8:$Z$27,"&gt;="&amp;U$9,'Master Plan'!$Z$8:$Z$27,"&lt;"&amp;U$9+7)</f>
        <v>0</v>
      </c>
      <c r="V45" s="263" t="n">
        <f aca="false">COUNTIFS('Master Plan'!$J$8:$J$27,$A45,'Master Plan'!$Z$8:$Z$27,"&gt;="&amp;V$9,'Master Plan'!$Z$8:$Z$27,"&lt;"&amp;V$9+7)</f>
        <v>0</v>
      </c>
      <c r="W45" s="263" t="n">
        <f aca="false">COUNTIFS('Master Plan'!$J$8:$J$27,$A45,'Master Plan'!$Z$8:$Z$27,"&gt;="&amp;W$9,'Master Plan'!$Z$8:$Z$27,"&lt;"&amp;W$9+7)</f>
        <v>0</v>
      </c>
    </row>
    <row r="46" customFormat="false" ht="15" hidden="false" customHeight="false" outlineLevel="0" collapsed="false">
      <c r="A46" s="264" t="s">
        <v>2238</v>
      </c>
      <c r="B46" s="36" t="s">
        <v>2226</v>
      </c>
      <c r="C46" s="262"/>
      <c r="D46" s="263" t="n">
        <f aca="false">COUNTIFS('Master Plan'!$J$8:$J$27,$A46,'Master Plan'!$AH$8:$AH$27,"&gt;="&amp;D$9,'Master Plan'!$AH$8:$AH$27,"&lt;"&amp;D$9+7)</f>
        <v>0</v>
      </c>
      <c r="E46" s="263" t="n">
        <f aca="false">COUNTIFS('Master Plan'!$J$8:$J$27,$A46,'Master Plan'!$AH$8:$AH$27,"&gt;="&amp;E$9,'Master Plan'!$AH$8:$AH$27,"&lt;"&amp;E$9+7)</f>
        <v>0</v>
      </c>
      <c r="F46" s="263" t="n">
        <f aca="false">COUNTIFS('Master Plan'!$J$8:$J$27,$A46,'Master Plan'!$AH$8:$AH$27,"&gt;="&amp;F$9,'Master Plan'!$AH$8:$AH$27,"&lt;"&amp;F$9+7)</f>
        <v>0</v>
      </c>
      <c r="G46" s="263" t="n">
        <f aca="false">COUNTIFS('Master Plan'!$J$8:$J$27,$A46,'Master Plan'!$AH$8:$AH$27,"&gt;="&amp;G$9,'Master Plan'!$AH$8:$AH$27,"&lt;"&amp;G$9+7)</f>
        <v>0</v>
      </c>
      <c r="H46" s="263" t="n">
        <f aca="false">COUNTIFS('Master Plan'!$J$8:$J$27,$A46,'Master Plan'!$AH$8:$AH$27,"&gt;="&amp;H$9,'Master Plan'!$AH$8:$AH$27,"&lt;"&amp;H$9+7)</f>
        <v>0</v>
      </c>
      <c r="I46" s="263" t="n">
        <f aca="false">COUNTIFS('Master Plan'!$J$8:$J$27,$A46,'Master Plan'!$AH$8:$AH$27,"&gt;="&amp;I$9,'Master Plan'!$AH$8:$AH$27,"&lt;"&amp;I$9+7)</f>
        <v>0</v>
      </c>
      <c r="J46" s="263" t="n">
        <f aca="false">COUNTIFS('Master Plan'!$J$8:$J$27,$A46,'Master Plan'!$AH$8:$AH$27,"&gt;="&amp;J$9,'Master Plan'!$AH$8:$AH$27,"&lt;"&amp;J$9+7)</f>
        <v>0</v>
      </c>
      <c r="K46" s="263" t="n">
        <f aca="false">COUNTIFS('Master Plan'!$J$8:$J$27,$A46,'Master Plan'!$AH$8:$AH$27,"&gt;="&amp;K$9,'Master Plan'!$AH$8:$AH$27,"&lt;"&amp;K$9+7)</f>
        <v>0</v>
      </c>
      <c r="L46" s="263" t="n">
        <f aca="false">COUNTIFS('Master Plan'!$J$8:$J$27,$A46,'Master Plan'!$AH$8:$AH$27,"&gt;="&amp;L$9,'Master Plan'!$AH$8:$AH$27,"&lt;"&amp;L$9+7)</f>
        <v>0</v>
      </c>
      <c r="M46" s="263" t="n">
        <f aca="false">COUNTIFS('Master Plan'!$J$8:$J$27,$A46,'Master Plan'!$AH$8:$AH$27,"&gt;="&amp;M$9,'Master Plan'!$AH$8:$AH$27,"&lt;"&amp;M$9+7)</f>
        <v>0</v>
      </c>
      <c r="N46" s="263" t="n">
        <f aca="false">COUNTIFS('Master Plan'!$J$8:$J$27,$A46,'Master Plan'!$AH$8:$AH$27,"&gt;="&amp;N$9,'Master Plan'!$AH$8:$AH$27,"&lt;"&amp;N$9+7)</f>
        <v>0</v>
      </c>
      <c r="O46" s="263" t="n">
        <f aca="false">COUNTIFS('Master Plan'!$J$8:$J$27,$A46,'Master Plan'!$AH$8:$AH$27,"&gt;="&amp;O$9,'Master Plan'!$AH$8:$AH$27,"&lt;"&amp;O$9+7)</f>
        <v>0</v>
      </c>
      <c r="P46" s="263" t="n">
        <f aca="false">COUNTIFS('Master Plan'!$J$8:$J$27,$A46,'Master Plan'!$AH$8:$AH$27,"&gt;="&amp;P$9,'Master Plan'!$AH$8:$AH$27,"&lt;"&amp;P$9+7)</f>
        <v>0</v>
      </c>
      <c r="Q46" s="263" t="n">
        <f aca="false">COUNTIFS('Master Plan'!$J$8:$J$27,$A46,'Master Plan'!$AH$8:$AH$27,"&gt;="&amp;Q$9,'Master Plan'!$AH$8:$AH$27,"&lt;"&amp;Q$9+7)</f>
        <v>0</v>
      </c>
      <c r="R46" s="263" t="n">
        <f aca="false">COUNTIFS('Master Plan'!$J$8:$J$27,$A46,'Master Plan'!$AH$8:$AH$27,"&gt;="&amp;R$9,'Master Plan'!$AH$8:$AH$27,"&lt;"&amp;R$9+7)</f>
        <v>0</v>
      </c>
      <c r="S46" s="263" t="n">
        <f aca="false">COUNTIFS('Master Plan'!$J$8:$J$27,$A46,'Master Plan'!$AH$8:$AH$27,"&gt;="&amp;S$9,'Master Plan'!$AH$8:$AH$27,"&lt;"&amp;S$9+7)</f>
        <v>1</v>
      </c>
      <c r="T46" s="263" t="n">
        <f aca="false">COUNTIFS('Master Plan'!$J$8:$J$27,$A46,'Master Plan'!$AH$8:$AH$27,"&gt;="&amp;T$9,'Master Plan'!$AH$8:$AH$27,"&lt;"&amp;T$9+7)</f>
        <v>0</v>
      </c>
      <c r="U46" s="263" t="n">
        <f aca="false">COUNTIFS('Master Plan'!$J$8:$J$27,$A46,'Master Plan'!$AH$8:$AH$27,"&gt;="&amp;U$9,'Master Plan'!$AH$8:$AH$27,"&lt;"&amp;U$9+7)</f>
        <v>0</v>
      </c>
      <c r="V46" s="263" t="n">
        <f aca="false">COUNTIFS('Master Plan'!$J$8:$J$27,$A46,'Master Plan'!$AH$8:$AH$27,"&gt;="&amp;V$9,'Master Plan'!$AH$8:$AH$27,"&lt;"&amp;V$9+7)</f>
        <v>0</v>
      </c>
      <c r="W46" s="263" t="n">
        <f aca="false">COUNTIFS('Master Plan'!$J$8:$J$27,$A46,'Master Plan'!$AH$8:$AH$27,"&gt;="&amp;W$9,'Master Plan'!$AH$8:$AH$27,"&lt;"&amp;W$9+7)</f>
        <v>0</v>
      </c>
    </row>
    <row r="47" customFormat="false" ht="15" hidden="false" customHeight="false" outlineLevel="0" collapsed="false">
      <c r="A47" s="264" t="s">
        <v>2239</v>
      </c>
      <c r="B47" s="31" t="s">
        <v>2225</v>
      </c>
      <c r="C47" s="262" t="n">
        <f aca="false">สมมติฐาน!$R$24</f>
        <v>3</v>
      </c>
      <c r="D47" s="263" t="n">
        <f aca="false">COUNTIFS('Master Plan'!$J$8:$J$27,$A47,'Master Plan'!$Z$8:$Z$27,"&gt;="&amp;D$9,'Master Plan'!$Z$8:$Z$27,"&lt;"&amp;D$9+7)</f>
        <v>0</v>
      </c>
      <c r="E47" s="263" t="n">
        <f aca="false">COUNTIFS('Master Plan'!$J$8:$J$27,$A47,'Master Plan'!$Z$8:$Z$27,"&gt;="&amp;E$9,'Master Plan'!$Z$8:$Z$27,"&lt;"&amp;E$9+7)</f>
        <v>0</v>
      </c>
      <c r="F47" s="263" t="n">
        <f aca="false">COUNTIFS('Master Plan'!$J$8:$J$27,$A47,'Master Plan'!$Z$8:$Z$27,"&gt;="&amp;F$9,'Master Plan'!$Z$8:$Z$27,"&lt;"&amp;F$9+7)</f>
        <v>0</v>
      </c>
      <c r="G47" s="263" t="n">
        <f aca="false">COUNTIFS('Master Plan'!$J$8:$J$27,$A47,'Master Plan'!$Z$8:$Z$27,"&gt;="&amp;G$9,'Master Plan'!$Z$8:$Z$27,"&lt;"&amp;G$9+7)</f>
        <v>0</v>
      </c>
      <c r="H47" s="263" t="n">
        <f aca="false">COUNTIFS('Master Plan'!$J$8:$J$27,$A47,'Master Plan'!$Z$8:$Z$27,"&gt;="&amp;H$9,'Master Plan'!$Z$8:$Z$27,"&lt;"&amp;H$9+7)</f>
        <v>1</v>
      </c>
      <c r="I47" s="263" t="n">
        <f aca="false">COUNTIFS('Master Plan'!$J$8:$J$27,$A47,'Master Plan'!$Z$8:$Z$27,"&gt;="&amp;I$9,'Master Plan'!$Z$8:$Z$27,"&lt;"&amp;I$9+7)</f>
        <v>0</v>
      </c>
      <c r="J47" s="263" t="n">
        <f aca="false">COUNTIFS('Master Plan'!$J$8:$J$27,$A47,'Master Plan'!$Z$8:$Z$27,"&gt;="&amp;J$9,'Master Plan'!$Z$8:$Z$27,"&lt;"&amp;J$9+7)</f>
        <v>0</v>
      </c>
      <c r="K47" s="263" t="n">
        <f aca="false">COUNTIFS('Master Plan'!$J$8:$J$27,$A47,'Master Plan'!$Z$8:$Z$27,"&gt;="&amp;K$9,'Master Plan'!$Z$8:$Z$27,"&lt;"&amp;K$9+7)</f>
        <v>0</v>
      </c>
      <c r="L47" s="263" t="n">
        <f aca="false">COUNTIFS('Master Plan'!$J$8:$J$27,$A47,'Master Plan'!$Z$8:$Z$27,"&gt;="&amp;L$9,'Master Plan'!$Z$8:$Z$27,"&lt;"&amp;L$9+7)</f>
        <v>0</v>
      </c>
      <c r="M47" s="263" t="n">
        <f aca="false">COUNTIFS('Master Plan'!$J$8:$J$27,$A47,'Master Plan'!$Z$8:$Z$27,"&gt;="&amp;M$9,'Master Plan'!$Z$8:$Z$27,"&lt;"&amp;M$9+7)</f>
        <v>0</v>
      </c>
      <c r="N47" s="263" t="n">
        <f aca="false">COUNTIFS('Master Plan'!$J$8:$J$27,$A47,'Master Plan'!$Z$8:$Z$27,"&gt;="&amp;N$9,'Master Plan'!$Z$8:$Z$27,"&lt;"&amp;N$9+7)</f>
        <v>0</v>
      </c>
      <c r="O47" s="263" t="n">
        <f aca="false">COUNTIFS('Master Plan'!$J$8:$J$27,$A47,'Master Plan'!$Z$8:$Z$27,"&gt;="&amp;O$9,'Master Plan'!$Z$8:$Z$27,"&lt;"&amp;O$9+7)</f>
        <v>0</v>
      </c>
      <c r="P47" s="263" t="n">
        <f aca="false">COUNTIFS('Master Plan'!$J$8:$J$27,$A47,'Master Plan'!$Z$8:$Z$27,"&gt;="&amp;P$9,'Master Plan'!$Z$8:$Z$27,"&lt;"&amp;P$9+7)</f>
        <v>0</v>
      </c>
      <c r="Q47" s="263" t="n">
        <f aca="false">COUNTIFS('Master Plan'!$J$8:$J$27,$A47,'Master Plan'!$Z$8:$Z$27,"&gt;="&amp;Q$9,'Master Plan'!$Z$8:$Z$27,"&lt;"&amp;Q$9+7)</f>
        <v>0</v>
      </c>
      <c r="R47" s="263" t="n">
        <f aca="false">COUNTIFS('Master Plan'!$J$8:$J$27,$A47,'Master Plan'!$Z$8:$Z$27,"&gt;="&amp;R$9,'Master Plan'!$Z$8:$Z$27,"&lt;"&amp;R$9+7)</f>
        <v>0</v>
      </c>
      <c r="S47" s="263" t="n">
        <f aca="false">COUNTIFS('Master Plan'!$J$8:$J$27,$A47,'Master Plan'!$Z$8:$Z$27,"&gt;="&amp;S$9,'Master Plan'!$Z$8:$Z$27,"&lt;"&amp;S$9+7)</f>
        <v>0</v>
      </c>
      <c r="T47" s="263" t="n">
        <f aca="false">COUNTIFS('Master Plan'!$J$8:$J$27,$A47,'Master Plan'!$Z$8:$Z$27,"&gt;="&amp;T$9,'Master Plan'!$Z$8:$Z$27,"&lt;"&amp;T$9+7)</f>
        <v>0</v>
      </c>
      <c r="U47" s="263" t="n">
        <f aca="false">COUNTIFS('Master Plan'!$J$8:$J$27,$A47,'Master Plan'!$Z$8:$Z$27,"&gt;="&amp;U$9,'Master Plan'!$Z$8:$Z$27,"&lt;"&amp;U$9+7)</f>
        <v>0</v>
      </c>
      <c r="V47" s="263" t="n">
        <f aca="false">COUNTIFS('Master Plan'!$J$8:$J$27,$A47,'Master Plan'!$Z$8:$Z$27,"&gt;="&amp;V$9,'Master Plan'!$Z$8:$Z$27,"&lt;"&amp;V$9+7)</f>
        <v>0</v>
      </c>
      <c r="W47" s="263" t="n">
        <f aca="false">COUNTIFS('Master Plan'!$J$8:$J$27,$A47,'Master Plan'!$Z$8:$Z$27,"&gt;="&amp;W$9,'Master Plan'!$Z$8:$Z$27,"&lt;"&amp;W$9+7)</f>
        <v>0</v>
      </c>
    </row>
    <row r="48" customFormat="false" ht="15" hidden="false" customHeight="false" outlineLevel="0" collapsed="false">
      <c r="A48" s="264" t="s">
        <v>2239</v>
      </c>
      <c r="B48" s="36" t="s">
        <v>2226</v>
      </c>
      <c r="C48" s="262"/>
      <c r="D48" s="263" t="n">
        <f aca="false">COUNTIFS('Master Plan'!$J$8:$J$27,$A48,'Master Plan'!$AH$8:$AH$27,"&gt;="&amp;D$9,'Master Plan'!$AH$8:$AH$27,"&lt;"&amp;D$9+7)</f>
        <v>0</v>
      </c>
      <c r="E48" s="263" t="n">
        <f aca="false">COUNTIFS('Master Plan'!$J$8:$J$27,$A48,'Master Plan'!$AH$8:$AH$27,"&gt;="&amp;E$9,'Master Plan'!$AH$8:$AH$27,"&lt;"&amp;E$9+7)</f>
        <v>0</v>
      </c>
      <c r="F48" s="263" t="n">
        <f aca="false">COUNTIFS('Master Plan'!$J$8:$J$27,$A48,'Master Plan'!$AH$8:$AH$27,"&gt;="&amp;F$9,'Master Plan'!$AH$8:$AH$27,"&lt;"&amp;F$9+7)</f>
        <v>0</v>
      </c>
      <c r="G48" s="263" t="n">
        <f aca="false">COUNTIFS('Master Plan'!$J$8:$J$27,$A48,'Master Plan'!$AH$8:$AH$27,"&gt;="&amp;G$9,'Master Plan'!$AH$8:$AH$27,"&lt;"&amp;G$9+7)</f>
        <v>0</v>
      </c>
      <c r="H48" s="263" t="n">
        <f aca="false">COUNTIFS('Master Plan'!$J$8:$J$27,$A48,'Master Plan'!$AH$8:$AH$27,"&gt;="&amp;H$9,'Master Plan'!$AH$8:$AH$27,"&lt;"&amp;H$9+7)</f>
        <v>0</v>
      </c>
      <c r="I48" s="263" t="n">
        <f aca="false">COUNTIFS('Master Plan'!$J$8:$J$27,$A48,'Master Plan'!$AH$8:$AH$27,"&gt;="&amp;I$9,'Master Plan'!$AH$8:$AH$27,"&lt;"&amp;I$9+7)</f>
        <v>0</v>
      </c>
      <c r="J48" s="263" t="n">
        <f aca="false">COUNTIFS('Master Plan'!$J$8:$J$27,$A48,'Master Plan'!$AH$8:$AH$27,"&gt;="&amp;J$9,'Master Plan'!$AH$8:$AH$27,"&lt;"&amp;J$9+7)</f>
        <v>0</v>
      </c>
      <c r="K48" s="263" t="n">
        <f aca="false">COUNTIFS('Master Plan'!$J$8:$J$27,$A48,'Master Plan'!$AH$8:$AH$27,"&gt;="&amp;K$9,'Master Plan'!$AH$8:$AH$27,"&lt;"&amp;K$9+7)</f>
        <v>0</v>
      </c>
      <c r="L48" s="263" t="n">
        <f aca="false">COUNTIFS('Master Plan'!$J$8:$J$27,$A48,'Master Plan'!$AH$8:$AH$27,"&gt;="&amp;L$9,'Master Plan'!$AH$8:$AH$27,"&lt;"&amp;L$9+7)</f>
        <v>0</v>
      </c>
      <c r="M48" s="263" t="n">
        <f aca="false">COUNTIFS('Master Plan'!$J$8:$J$27,$A48,'Master Plan'!$AH$8:$AH$27,"&gt;="&amp;M$9,'Master Plan'!$AH$8:$AH$27,"&lt;"&amp;M$9+7)</f>
        <v>0</v>
      </c>
      <c r="N48" s="263" t="n">
        <f aca="false">COUNTIFS('Master Plan'!$J$8:$J$27,$A48,'Master Plan'!$AH$8:$AH$27,"&gt;="&amp;N$9,'Master Plan'!$AH$8:$AH$27,"&lt;"&amp;N$9+7)</f>
        <v>0</v>
      </c>
      <c r="O48" s="263" t="n">
        <f aca="false">COUNTIFS('Master Plan'!$J$8:$J$27,$A48,'Master Plan'!$AH$8:$AH$27,"&gt;="&amp;O$9,'Master Plan'!$AH$8:$AH$27,"&lt;"&amp;O$9+7)</f>
        <v>0</v>
      </c>
      <c r="P48" s="263" t="n">
        <f aca="false">COUNTIFS('Master Plan'!$J$8:$J$27,$A48,'Master Plan'!$AH$8:$AH$27,"&gt;="&amp;P$9,'Master Plan'!$AH$8:$AH$27,"&lt;"&amp;P$9+7)</f>
        <v>0</v>
      </c>
      <c r="Q48" s="263" t="n">
        <f aca="false">COUNTIFS('Master Plan'!$J$8:$J$27,$A48,'Master Plan'!$AH$8:$AH$27,"&gt;="&amp;Q$9,'Master Plan'!$AH$8:$AH$27,"&lt;"&amp;Q$9+7)</f>
        <v>0</v>
      </c>
      <c r="R48" s="263" t="n">
        <f aca="false">COUNTIFS('Master Plan'!$J$8:$J$27,$A48,'Master Plan'!$AH$8:$AH$27,"&gt;="&amp;R$9,'Master Plan'!$AH$8:$AH$27,"&lt;"&amp;R$9+7)</f>
        <v>0</v>
      </c>
      <c r="S48" s="263" t="n">
        <f aca="false">COUNTIFS('Master Plan'!$J$8:$J$27,$A48,'Master Plan'!$AH$8:$AH$27,"&gt;="&amp;S$9,'Master Plan'!$AH$8:$AH$27,"&lt;"&amp;S$9+7)</f>
        <v>1</v>
      </c>
      <c r="T48" s="263" t="n">
        <f aca="false">COUNTIFS('Master Plan'!$J$8:$J$27,$A48,'Master Plan'!$AH$8:$AH$27,"&gt;="&amp;T$9,'Master Plan'!$AH$8:$AH$27,"&lt;"&amp;T$9+7)</f>
        <v>0</v>
      </c>
      <c r="U48" s="263" t="n">
        <f aca="false">COUNTIFS('Master Plan'!$J$8:$J$27,$A48,'Master Plan'!$AH$8:$AH$27,"&gt;="&amp;U$9,'Master Plan'!$AH$8:$AH$27,"&lt;"&amp;U$9+7)</f>
        <v>0</v>
      </c>
      <c r="V48" s="263" t="n">
        <f aca="false">COUNTIFS('Master Plan'!$J$8:$J$27,$A48,'Master Plan'!$AH$8:$AH$27,"&gt;="&amp;V$9,'Master Plan'!$AH$8:$AH$27,"&lt;"&amp;V$9+7)</f>
        <v>0</v>
      </c>
      <c r="W48" s="263" t="n">
        <f aca="false">COUNTIFS('Master Plan'!$J$8:$J$27,$A48,'Master Plan'!$AH$8:$AH$27,"&gt;="&amp;W$9,'Master Plan'!$AH$8:$AH$27,"&lt;"&amp;W$9+7)</f>
        <v>0</v>
      </c>
    </row>
    <row r="49" customFormat="false" ht="15" hidden="false" customHeight="false" outlineLevel="0" collapsed="false">
      <c r="A49" s="264" t="s">
        <v>2240</v>
      </c>
      <c r="B49" s="31" t="s">
        <v>2225</v>
      </c>
      <c r="C49" s="262" t="n">
        <f aca="false">สมมติฐาน!$R$25</f>
        <v>3</v>
      </c>
      <c r="D49" s="263" t="n">
        <f aca="false">COUNTIFS('Master Plan'!$J$8:$J$27,$A49,'Master Plan'!$Z$8:$Z$27,"&gt;="&amp;D$9,'Master Plan'!$Z$8:$Z$27,"&lt;"&amp;D$9+7)</f>
        <v>0</v>
      </c>
      <c r="E49" s="263" t="n">
        <f aca="false">COUNTIFS('Master Plan'!$J$8:$J$27,$A49,'Master Plan'!$Z$8:$Z$27,"&gt;="&amp;E$9,'Master Plan'!$Z$8:$Z$27,"&lt;"&amp;E$9+7)</f>
        <v>0</v>
      </c>
      <c r="F49" s="263" t="n">
        <f aca="false">COUNTIFS('Master Plan'!$J$8:$J$27,$A49,'Master Plan'!$Z$8:$Z$27,"&gt;="&amp;F$9,'Master Plan'!$Z$8:$Z$27,"&lt;"&amp;F$9+7)</f>
        <v>0</v>
      </c>
      <c r="G49" s="263" t="n">
        <f aca="false">COUNTIFS('Master Plan'!$J$8:$J$27,$A49,'Master Plan'!$Z$8:$Z$27,"&gt;="&amp;G$9,'Master Plan'!$Z$8:$Z$27,"&lt;"&amp;G$9+7)</f>
        <v>0</v>
      </c>
      <c r="H49" s="263" t="n">
        <f aca="false">COUNTIFS('Master Plan'!$J$8:$J$27,$A49,'Master Plan'!$Z$8:$Z$27,"&gt;="&amp;H$9,'Master Plan'!$Z$8:$Z$27,"&lt;"&amp;H$9+7)</f>
        <v>1</v>
      </c>
      <c r="I49" s="263" t="n">
        <f aca="false">COUNTIFS('Master Plan'!$J$8:$J$27,$A49,'Master Plan'!$Z$8:$Z$27,"&gt;="&amp;I$9,'Master Plan'!$Z$8:$Z$27,"&lt;"&amp;I$9+7)</f>
        <v>0</v>
      </c>
      <c r="J49" s="263" t="n">
        <f aca="false">COUNTIFS('Master Plan'!$J$8:$J$27,$A49,'Master Plan'!$Z$8:$Z$27,"&gt;="&amp;J$9,'Master Plan'!$Z$8:$Z$27,"&lt;"&amp;J$9+7)</f>
        <v>0</v>
      </c>
      <c r="K49" s="263" t="n">
        <f aca="false">COUNTIFS('Master Plan'!$J$8:$J$27,$A49,'Master Plan'!$Z$8:$Z$27,"&gt;="&amp;K$9,'Master Plan'!$Z$8:$Z$27,"&lt;"&amp;K$9+7)</f>
        <v>0</v>
      </c>
      <c r="L49" s="263" t="n">
        <f aca="false">COUNTIFS('Master Plan'!$J$8:$J$27,$A49,'Master Plan'!$Z$8:$Z$27,"&gt;="&amp;L$9,'Master Plan'!$Z$8:$Z$27,"&lt;"&amp;L$9+7)</f>
        <v>0</v>
      </c>
      <c r="M49" s="263" t="n">
        <f aca="false">COUNTIFS('Master Plan'!$J$8:$J$27,$A49,'Master Plan'!$Z$8:$Z$27,"&gt;="&amp;M$9,'Master Plan'!$Z$8:$Z$27,"&lt;"&amp;M$9+7)</f>
        <v>0</v>
      </c>
      <c r="N49" s="263" t="n">
        <f aca="false">COUNTIFS('Master Plan'!$J$8:$J$27,$A49,'Master Plan'!$Z$8:$Z$27,"&gt;="&amp;N$9,'Master Plan'!$Z$8:$Z$27,"&lt;"&amp;N$9+7)</f>
        <v>0</v>
      </c>
      <c r="O49" s="263" t="n">
        <f aca="false">COUNTIFS('Master Plan'!$J$8:$J$27,$A49,'Master Plan'!$Z$8:$Z$27,"&gt;="&amp;O$9,'Master Plan'!$Z$8:$Z$27,"&lt;"&amp;O$9+7)</f>
        <v>0</v>
      </c>
      <c r="P49" s="263" t="n">
        <f aca="false">COUNTIFS('Master Plan'!$J$8:$J$27,$A49,'Master Plan'!$Z$8:$Z$27,"&gt;="&amp;P$9,'Master Plan'!$Z$8:$Z$27,"&lt;"&amp;P$9+7)</f>
        <v>0</v>
      </c>
      <c r="Q49" s="263" t="n">
        <f aca="false">COUNTIFS('Master Plan'!$J$8:$J$27,$A49,'Master Plan'!$Z$8:$Z$27,"&gt;="&amp;Q$9,'Master Plan'!$Z$8:$Z$27,"&lt;"&amp;Q$9+7)</f>
        <v>0</v>
      </c>
      <c r="R49" s="263" t="n">
        <f aca="false">COUNTIFS('Master Plan'!$J$8:$J$27,$A49,'Master Plan'!$Z$8:$Z$27,"&gt;="&amp;R$9,'Master Plan'!$Z$8:$Z$27,"&lt;"&amp;R$9+7)</f>
        <v>0</v>
      </c>
      <c r="S49" s="263" t="n">
        <f aca="false">COUNTIFS('Master Plan'!$J$8:$J$27,$A49,'Master Plan'!$Z$8:$Z$27,"&gt;="&amp;S$9,'Master Plan'!$Z$8:$Z$27,"&lt;"&amp;S$9+7)</f>
        <v>0</v>
      </c>
      <c r="T49" s="263" t="n">
        <f aca="false">COUNTIFS('Master Plan'!$J$8:$J$27,$A49,'Master Plan'!$Z$8:$Z$27,"&gt;="&amp;T$9,'Master Plan'!$Z$8:$Z$27,"&lt;"&amp;T$9+7)</f>
        <v>0</v>
      </c>
      <c r="U49" s="263" t="n">
        <f aca="false">COUNTIFS('Master Plan'!$J$8:$J$27,$A49,'Master Plan'!$Z$8:$Z$27,"&gt;="&amp;U$9,'Master Plan'!$Z$8:$Z$27,"&lt;"&amp;U$9+7)</f>
        <v>0</v>
      </c>
      <c r="V49" s="263" t="n">
        <f aca="false">COUNTIFS('Master Plan'!$J$8:$J$27,$A49,'Master Plan'!$Z$8:$Z$27,"&gt;="&amp;V$9,'Master Plan'!$Z$8:$Z$27,"&lt;"&amp;V$9+7)</f>
        <v>0</v>
      </c>
      <c r="W49" s="263" t="n">
        <f aca="false">COUNTIFS('Master Plan'!$J$8:$J$27,$A49,'Master Plan'!$Z$8:$Z$27,"&gt;="&amp;W$9,'Master Plan'!$Z$8:$Z$27,"&lt;"&amp;W$9+7)</f>
        <v>0</v>
      </c>
    </row>
    <row r="50" customFormat="false" ht="15" hidden="false" customHeight="false" outlineLevel="0" collapsed="false">
      <c r="A50" s="264" t="s">
        <v>2240</v>
      </c>
      <c r="B50" s="36" t="s">
        <v>2226</v>
      </c>
      <c r="C50" s="262"/>
      <c r="D50" s="263" t="n">
        <f aca="false">COUNTIFS('Master Plan'!$J$8:$J$27,$A50,'Master Plan'!$AH$8:$AH$27,"&gt;="&amp;D$9,'Master Plan'!$AH$8:$AH$27,"&lt;"&amp;D$9+7)</f>
        <v>0</v>
      </c>
      <c r="E50" s="263" t="n">
        <f aca="false">COUNTIFS('Master Plan'!$J$8:$J$27,$A50,'Master Plan'!$AH$8:$AH$27,"&gt;="&amp;E$9,'Master Plan'!$AH$8:$AH$27,"&lt;"&amp;E$9+7)</f>
        <v>0</v>
      </c>
      <c r="F50" s="263" t="n">
        <f aca="false">COUNTIFS('Master Plan'!$J$8:$J$27,$A50,'Master Plan'!$AH$8:$AH$27,"&gt;="&amp;F$9,'Master Plan'!$AH$8:$AH$27,"&lt;"&amp;F$9+7)</f>
        <v>0</v>
      </c>
      <c r="G50" s="263" t="n">
        <f aca="false">COUNTIFS('Master Plan'!$J$8:$J$27,$A50,'Master Plan'!$AH$8:$AH$27,"&gt;="&amp;G$9,'Master Plan'!$AH$8:$AH$27,"&lt;"&amp;G$9+7)</f>
        <v>0</v>
      </c>
      <c r="H50" s="263" t="n">
        <f aca="false">COUNTIFS('Master Plan'!$J$8:$J$27,$A50,'Master Plan'!$AH$8:$AH$27,"&gt;="&amp;H$9,'Master Plan'!$AH$8:$AH$27,"&lt;"&amp;H$9+7)</f>
        <v>0</v>
      </c>
      <c r="I50" s="263" t="n">
        <f aca="false">COUNTIFS('Master Plan'!$J$8:$J$27,$A50,'Master Plan'!$AH$8:$AH$27,"&gt;="&amp;I$9,'Master Plan'!$AH$8:$AH$27,"&lt;"&amp;I$9+7)</f>
        <v>0</v>
      </c>
      <c r="J50" s="263" t="n">
        <f aca="false">COUNTIFS('Master Plan'!$J$8:$J$27,$A50,'Master Plan'!$AH$8:$AH$27,"&gt;="&amp;J$9,'Master Plan'!$AH$8:$AH$27,"&lt;"&amp;J$9+7)</f>
        <v>0</v>
      </c>
      <c r="K50" s="263" t="n">
        <f aca="false">COUNTIFS('Master Plan'!$J$8:$J$27,$A50,'Master Plan'!$AH$8:$AH$27,"&gt;="&amp;K$9,'Master Plan'!$AH$8:$AH$27,"&lt;"&amp;K$9+7)</f>
        <v>0</v>
      </c>
      <c r="L50" s="263" t="n">
        <f aca="false">COUNTIFS('Master Plan'!$J$8:$J$27,$A50,'Master Plan'!$AH$8:$AH$27,"&gt;="&amp;L$9,'Master Plan'!$AH$8:$AH$27,"&lt;"&amp;L$9+7)</f>
        <v>0</v>
      </c>
      <c r="M50" s="263" t="n">
        <f aca="false">COUNTIFS('Master Plan'!$J$8:$J$27,$A50,'Master Plan'!$AH$8:$AH$27,"&gt;="&amp;M$9,'Master Plan'!$AH$8:$AH$27,"&lt;"&amp;M$9+7)</f>
        <v>0</v>
      </c>
      <c r="N50" s="263" t="n">
        <f aca="false">COUNTIFS('Master Plan'!$J$8:$J$27,$A50,'Master Plan'!$AH$8:$AH$27,"&gt;="&amp;N$9,'Master Plan'!$AH$8:$AH$27,"&lt;"&amp;N$9+7)</f>
        <v>0</v>
      </c>
      <c r="O50" s="263" t="n">
        <f aca="false">COUNTIFS('Master Plan'!$J$8:$J$27,$A50,'Master Plan'!$AH$8:$AH$27,"&gt;="&amp;O$9,'Master Plan'!$AH$8:$AH$27,"&lt;"&amp;O$9+7)</f>
        <v>0</v>
      </c>
      <c r="P50" s="263" t="n">
        <f aca="false">COUNTIFS('Master Plan'!$J$8:$J$27,$A50,'Master Plan'!$AH$8:$AH$27,"&gt;="&amp;P$9,'Master Plan'!$AH$8:$AH$27,"&lt;"&amp;P$9+7)</f>
        <v>0</v>
      </c>
      <c r="Q50" s="263" t="n">
        <f aca="false">COUNTIFS('Master Plan'!$J$8:$J$27,$A50,'Master Plan'!$AH$8:$AH$27,"&gt;="&amp;Q$9,'Master Plan'!$AH$8:$AH$27,"&lt;"&amp;Q$9+7)</f>
        <v>0</v>
      </c>
      <c r="R50" s="263" t="n">
        <f aca="false">COUNTIFS('Master Plan'!$J$8:$J$27,$A50,'Master Plan'!$AH$8:$AH$27,"&gt;="&amp;R$9,'Master Plan'!$AH$8:$AH$27,"&lt;"&amp;R$9+7)</f>
        <v>0</v>
      </c>
      <c r="S50" s="263" t="n">
        <f aca="false">COUNTIFS('Master Plan'!$J$8:$J$27,$A50,'Master Plan'!$AH$8:$AH$27,"&gt;="&amp;S$9,'Master Plan'!$AH$8:$AH$27,"&lt;"&amp;S$9+7)</f>
        <v>1</v>
      </c>
      <c r="T50" s="263" t="n">
        <f aca="false">COUNTIFS('Master Plan'!$J$8:$J$27,$A50,'Master Plan'!$AH$8:$AH$27,"&gt;="&amp;T$9,'Master Plan'!$AH$8:$AH$27,"&lt;"&amp;T$9+7)</f>
        <v>0</v>
      </c>
      <c r="U50" s="263" t="n">
        <f aca="false">COUNTIFS('Master Plan'!$J$8:$J$27,$A50,'Master Plan'!$AH$8:$AH$27,"&gt;="&amp;U$9,'Master Plan'!$AH$8:$AH$27,"&lt;"&amp;U$9+7)</f>
        <v>0</v>
      </c>
      <c r="V50" s="263" t="n">
        <f aca="false">COUNTIFS('Master Plan'!$J$8:$J$27,$A50,'Master Plan'!$AH$8:$AH$27,"&gt;="&amp;V$9,'Master Plan'!$AH$8:$AH$27,"&lt;"&amp;V$9+7)</f>
        <v>0</v>
      </c>
      <c r="W50" s="263" t="n">
        <f aca="false">COUNTIFS('Master Plan'!$J$8:$J$27,$A50,'Master Plan'!$AH$8:$AH$27,"&gt;="&amp;W$9,'Master Plan'!$AH$8:$AH$27,"&lt;"&amp;W$9+7)</f>
        <v>0</v>
      </c>
    </row>
    <row r="51" customFormat="false" ht="15" hidden="false" customHeight="false" outlineLevel="0" collapsed="false">
      <c r="A51" s="264" t="s">
        <v>2241</v>
      </c>
      <c r="B51" s="31" t="s">
        <v>2225</v>
      </c>
      <c r="C51" s="262" t="n">
        <f aca="false">สมมติฐาน!$R$26</f>
        <v>3</v>
      </c>
      <c r="D51" s="263" t="n">
        <f aca="false">COUNTIFS('Master Plan'!$J$8:$J$27,$A51,'Master Plan'!$Z$8:$Z$27,"&gt;="&amp;D$9,'Master Plan'!$Z$8:$Z$27,"&lt;"&amp;D$9+7)</f>
        <v>0</v>
      </c>
      <c r="E51" s="263" t="n">
        <f aca="false">COUNTIFS('Master Plan'!$J$8:$J$27,$A51,'Master Plan'!$Z$8:$Z$27,"&gt;="&amp;E$9,'Master Plan'!$Z$8:$Z$27,"&lt;"&amp;E$9+7)</f>
        <v>0</v>
      </c>
      <c r="F51" s="263" t="n">
        <f aca="false">COUNTIFS('Master Plan'!$J$8:$J$27,$A51,'Master Plan'!$Z$8:$Z$27,"&gt;="&amp;F$9,'Master Plan'!$Z$8:$Z$27,"&lt;"&amp;F$9+7)</f>
        <v>0</v>
      </c>
      <c r="G51" s="263" t="n">
        <f aca="false">COUNTIFS('Master Plan'!$J$8:$J$27,$A51,'Master Plan'!$Z$8:$Z$27,"&gt;="&amp;G$9,'Master Plan'!$Z$8:$Z$27,"&lt;"&amp;G$9+7)</f>
        <v>0</v>
      </c>
      <c r="H51" s="263" t="n">
        <f aca="false">COUNTIFS('Master Plan'!$J$8:$J$27,$A51,'Master Plan'!$Z$8:$Z$27,"&gt;="&amp;H$9,'Master Plan'!$Z$8:$Z$27,"&lt;"&amp;H$9+7)</f>
        <v>1</v>
      </c>
      <c r="I51" s="263" t="n">
        <f aca="false">COUNTIFS('Master Plan'!$J$8:$J$27,$A51,'Master Plan'!$Z$8:$Z$27,"&gt;="&amp;I$9,'Master Plan'!$Z$8:$Z$27,"&lt;"&amp;I$9+7)</f>
        <v>0</v>
      </c>
      <c r="J51" s="263" t="n">
        <f aca="false">COUNTIFS('Master Plan'!$J$8:$J$27,$A51,'Master Plan'!$Z$8:$Z$27,"&gt;="&amp;J$9,'Master Plan'!$Z$8:$Z$27,"&lt;"&amp;J$9+7)</f>
        <v>0</v>
      </c>
      <c r="K51" s="263" t="n">
        <f aca="false">COUNTIFS('Master Plan'!$J$8:$J$27,$A51,'Master Plan'!$Z$8:$Z$27,"&gt;="&amp;K$9,'Master Plan'!$Z$8:$Z$27,"&lt;"&amp;K$9+7)</f>
        <v>0</v>
      </c>
      <c r="L51" s="263" t="n">
        <f aca="false">COUNTIFS('Master Plan'!$J$8:$J$27,$A51,'Master Plan'!$Z$8:$Z$27,"&gt;="&amp;L$9,'Master Plan'!$Z$8:$Z$27,"&lt;"&amp;L$9+7)</f>
        <v>0</v>
      </c>
      <c r="M51" s="263" t="n">
        <f aca="false">COUNTIFS('Master Plan'!$J$8:$J$27,$A51,'Master Plan'!$Z$8:$Z$27,"&gt;="&amp;M$9,'Master Plan'!$Z$8:$Z$27,"&lt;"&amp;M$9+7)</f>
        <v>0</v>
      </c>
      <c r="N51" s="263" t="n">
        <f aca="false">COUNTIFS('Master Plan'!$J$8:$J$27,$A51,'Master Plan'!$Z$8:$Z$27,"&gt;="&amp;N$9,'Master Plan'!$Z$8:$Z$27,"&lt;"&amp;N$9+7)</f>
        <v>0</v>
      </c>
      <c r="O51" s="263" t="n">
        <f aca="false">COUNTIFS('Master Plan'!$J$8:$J$27,$A51,'Master Plan'!$Z$8:$Z$27,"&gt;="&amp;O$9,'Master Plan'!$Z$8:$Z$27,"&lt;"&amp;O$9+7)</f>
        <v>0</v>
      </c>
      <c r="P51" s="263" t="n">
        <f aca="false">COUNTIFS('Master Plan'!$J$8:$J$27,$A51,'Master Plan'!$Z$8:$Z$27,"&gt;="&amp;P$9,'Master Plan'!$Z$8:$Z$27,"&lt;"&amp;P$9+7)</f>
        <v>0</v>
      </c>
      <c r="Q51" s="263" t="n">
        <f aca="false">COUNTIFS('Master Plan'!$J$8:$J$27,$A51,'Master Plan'!$Z$8:$Z$27,"&gt;="&amp;Q$9,'Master Plan'!$Z$8:$Z$27,"&lt;"&amp;Q$9+7)</f>
        <v>0</v>
      </c>
      <c r="R51" s="263" t="n">
        <f aca="false">COUNTIFS('Master Plan'!$J$8:$J$27,$A51,'Master Plan'!$Z$8:$Z$27,"&gt;="&amp;R$9,'Master Plan'!$Z$8:$Z$27,"&lt;"&amp;R$9+7)</f>
        <v>0</v>
      </c>
      <c r="S51" s="263" t="n">
        <f aca="false">COUNTIFS('Master Plan'!$J$8:$J$27,$A51,'Master Plan'!$Z$8:$Z$27,"&gt;="&amp;S$9,'Master Plan'!$Z$8:$Z$27,"&lt;"&amp;S$9+7)</f>
        <v>0</v>
      </c>
      <c r="T51" s="263" t="n">
        <f aca="false">COUNTIFS('Master Plan'!$J$8:$J$27,$A51,'Master Plan'!$Z$8:$Z$27,"&gt;="&amp;T$9,'Master Plan'!$Z$8:$Z$27,"&lt;"&amp;T$9+7)</f>
        <v>0</v>
      </c>
      <c r="U51" s="263" t="n">
        <f aca="false">COUNTIFS('Master Plan'!$J$8:$J$27,$A51,'Master Plan'!$Z$8:$Z$27,"&gt;="&amp;U$9,'Master Plan'!$Z$8:$Z$27,"&lt;"&amp;U$9+7)</f>
        <v>0</v>
      </c>
      <c r="V51" s="263" t="n">
        <f aca="false">COUNTIFS('Master Plan'!$J$8:$J$27,$A51,'Master Plan'!$Z$8:$Z$27,"&gt;="&amp;V$9,'Master Plan'!$Z$8:$Z$27,"&lt;"&amp;V$9+7)</f>
        <v>0</v>
      </c>
      <c r="W51" s="263" t="n">
        <f aca="false">COUNTIFS('Master Plan'!$J$8:$J$27,$A51,'Master Plan'!$Z$8:$Z$27,"&gt;="&amp;W$9,'Master Plan'!$Z$8:$Z$27,"&lt;"&amp;W$9+7)</f>
        <v>0</v>
      </c>
    </row>
    <row r="52" customFormat="false" ht="15" hidden="false" customHeight="false" outlineLevel="0" collapsed="false">
      <c r="A52" s="264" t="s">
        <v>2241</v>
      </c>
      <c r="B52" s="36" t="s">
        <v>2226</v>
      </c>
      <c r="C52" s="262"/>
      <c r="D52" s="263" t="n">
        <f aca="false">COUNTIFS('Master Plan'!$J$8:$J$27,$A52,'Master Plan'!$AH$8:$AH$27,"&gt;="&amp;D$9,'Master Plan'!$AH$8:$AH$27,"&lt;"&amp;D$9+7)</f>
        <v>0</v>
      </c>
      <c r="E52" s="263" t="n">
        <f aca="false">COUNTIFS('Master Plan'!$J$8:$J$27,$A52,'Master Plan'!$AH$8:$AH$27,"&gt;="&amp;E$9,'Master Plan'!$AH$8:$AH$27,"&lt;"&amp;E$9+7)</f>
        <v>0</v>
      </c>
      <c r="F52" s="263" t="n">
        <f aca="false">COUNTIFS('Master Plan'!$J$8:$J$27,$A52,'Master Plan'!$AH$8:$AH$27,"&gt;="&amp;F$9,'Master Plan'!$AH$8:$AH$27,"&lt;"&amp;F$9+7)</f>
        <v>0</v>
      </c>
      <c r="G52" s="263" t="n">
        <f aca="false">COUNTIFS('Master Plan'!$J$8:$J$27,$A52,'Master Plan'!$AH$8:$AH$27,"&gt;="&amp;G$9,'Master Plan'!$AH$8:$AH$27,"&lt;"&amp;G$9+7)</f>
        <v>0</v>
      </c>
      <c r="H52" s="263" t="n">
        <f aca="false">COUNTIFS('Master Plan'!$J$8:$J$27,$A52,'Master Plan'!$AH$8:$AH$27,"&gt;="&amp;H$9,'Master Plan'!$AH$8:$AH$27,"&lt;"&amp;H$9+7)</f>
        <v>0</v>
      </c>
      <c r="I52" s="263" t="n">
        <f aca="false">COUNTIFS('Master Plan'!$J$8:$J$27,$A52,'Master Plan'!$AH$8:$AH$27,"&gt;="&amp;I$9,'Master Plan'!$AH$8:$AH$27,"&lt;"&amp;I$9+7)</f>
        <v>0</v>
      </c>
      <c r="J52" s="263" t="n">
        <f aca="false">COUNTIFS('Master Plan'!$J$8:$J$27,$A52,'Master Plan'!$AH$8:$AH$27,"&gt;="&amp;J$9,'Master Plan'!$AH$8:$AH$27,"&lt;"&amp;J$9+7)</f>
        <v>0</v>
      </c>
      <c r="K52" s="263" t="n">
        <f aca="false">COUNTIFS('Master Plan'!$J$8:$J$27,$A52,'Master Plan'!$AH$8:$AH$27,"&gt;="&amp;K$9,'Master Plan'!$AH$8:$AH$27,"&lt;"&amp;K$9+7)</f>
        <v>0</v>
      </c>
      <c r="L52" s="263" t="n">
        <f aca="false">COUNTIFS('Master Plan'!$J$8:$J$27,$A52,'Master Plan'!$AH$8:$AH$27,"&gt;="&amp;L$9,'Master Plan'!$AH$8:$AH$27,"&lt;"&amp;L$9+7)</f>
        <v>0</v>
      </c>
      <c r="M52" s="263" t="n">
        <f aca="false">COUNTIFS('Master Plan'!$J$8:$J$27,$A52,'Master Plan'!$AH$8:$AH$27,"&gt;="&amp;M$9,'Master Plan'!$AH$8:$AH$27,"&lt;"&amp;M$9+7)</f>
        <v>0</v>
      </c>
      <c r="N52" s="263" t="n">
        <f aca="false">COUNTIFS('Master Plan'!$J$8:$J$27,$A52,'Master Plan'!$AH$8:$AH$27,"&gt;="&amp;N$9,'Master Plan'!$AH$8:$AH$27,"&lt;"&amp;N$9+7)</f>
        <v>0</v>
      </c>
      <c r="O52" s="263" t="n">
        <f aca="false">COUNTIFS('Master Plan'!$J$8:$J$27,$A52,'Master Plan'!$AH$8:$AH$27,"&gt;="&amp;O$9,'Master Plan'!$AH$8:$AH$27,"&lt;"&amp;O$9+7)</f>
        <v>0</v>
      </c>
      <c r="P52" s="263" t="n">
        <f aca="false">COUNTIFS('Master Plan'!$J$8:$J$27,$A52,'Master Plan'!$AH$8:$AH$27,"&gt;="&amp;P$9,'Master Plan'!$AH$8:$AH$27,"&lt;"&amp;P$9+7)</f>
        <v>0</v>
      </c>
      <c r="Q52" s="263" t="n">
        <f aca="false">COUNTIFS('Master Plan'!$J$8:$J$27,$A52,'Master Plan'!$AH$8:$AH$27,"&gt;="&amp;Q$9,'Master Plan'!$AH$8:$AH$27,"&lt;"&amp;Q$9+7)</f>
        <v>0</v>
      </c>
      <c r="R52" s="263" t="n">
        <f aca="false">COUNTIFS('Master Plan'!$J$8:$J$27,$A52,'Master Plan'!$AH$8:$AH$27,"&gt;="&amp;R$9,'Master Plan'!$AH$8:$AH$27,"&lt;"&amp;R$9+7)</f>
        <v>0</v>
      </c>
      <c r="S52" s="263" t="n">
        <f aca="false">COUNTIFS('Master Plan'!$J$8:$J$27,$A52,'Master Plan'!$AH$8:$AH$27,"&gt;="&amp;S$9,'Master Plan'!$AH$8:$AH$27,"&lt;"&amp;S$9+7)</f>
        <v>1</v>
      </c>
      <c r="T52" s="263" t="n">
        <f aca="false">COUNTIFS('Master Plan'!$J$8:$J$27,$A52,'Master Plan'!$AH$8:$AH$27,"&gt;="&amp;T$9,'Master Plan'!$AH$8:$AH$27,"&lt;"&amp;T$9+7)</f>
        <v>0</v>
      </c>
      <c r="U52" s="263" t="n">
        <f aca="false">COUNTIFS('Master Plan'!$J$8:$J$27,$A52,'Master Plan'!$AH$8:$AH$27,"&gt;="&amp;U$9,'Master Plan'!$AH$8:$AH$27,"&lt;"&amp;U$9+7)</f>
        <v>0</v>
      </c>
      <c r="V52" s="263" t="n">
        <f aca="false">COUNTIFS('Master Plan'!$J$8:$J$27,$A52,'Master Plan'!$AH$8:$AH$27,"&gt;="&amp;V$9,'Master Plan'!$AH$8:$AH$27,"&lt;"&amp;V$9+7)</f>
        <v>0</v>
      </c>
      <c r="W52" s="263" t="n">
        <f aca="false">COUNTIFS('Master Plan'!$J$8:$J$27,$A52,'Master Plan'!$AH$8:$AH$27,"&gt;="&amp;W$9,'Master Plan'!$AH$8:$AH$27,"&lt;"&amp;W$9+7)</f>
        <v>0</v>
      </c>
    </row>
    <row r="53" customFormat="false" ht="15" hidden="false" customHeight="false" outlineLevel="0" collapsed="false">
      <c r="A53" s="264" t="s">
        <v>2242</v>
      </c>
      <c r="B53" s="31" t="s">
        <v>2225</v>
      </c>
      <c r="C53" s="262" t="n">
        <f aca="false">สมมติฐาน!$R$27</f>
        <v>3</v>
      </c>
      <c r="D53" s="263" t="n">
        <f aca="false">COUNTIFS('Master Plan'!$J$8:$J$27,$A53,'Master Plan'!$Z$8:$Z$27,"&gt;="&amp;D$9,'Master Plan'!$Z$8:$Z$27,"&lt;"&amp;D$9+7)</f>
        <v>0</v>
      </c>
      <c r="E53" s="263" t="n">
        <f aca="false">COUNTIFS('Master Plan'!$J$8:$J$27,$A53,'Master Plan'!$Z$8:$Z$27,"&gt;="&amp;E$9,'Master Plan'!$Z$8:$Z$27,"&lt;"&amp;E$9+7)</f>
        <v>0</v>
      </c>
      <c r="F53" s="263" t="n">
        <f aca="false">COUNTIFS('Master Plan'!$J$8:$J$27,$A53,'Master Plan'!$Z$8:$Z$27,"&gt;="&amp;F$9,'Master Plan'!$Z$8:$Z$27,"&lt;"&amp;F$9+7)</f>
        <v>0</v>
      </c>
      <c r="G53" s="263" t="n">
        <f aca="false">COUNTIFS('Master Plan'!$J$8:$J$27,$A53,'Master Plan'!$Z$8:$Z$27,"&gt;="&amp;G$9,'Master Plan'!$Z$8:$Z$27,"&lt;"&amp;G$9+7)</f>
        <v>0</v>
      </c>
      <c r="H53" s="263" t="n">
        <f aca="false">COUNTIFS('Master Plan'!$J$8:$J$27,$A53,'Master Plan'!$Z$8:$Z$27,"&gt;="&amp;H$9,'Master Plan'!$Z$8:$Z$27,"&lt;"&amp;H$9+7)</f>
        <v>1</v>
      </c>
      <c r="I53" s="263" t="n">
        <f aca="false">COUNTIFS('Master Plan'!$J$8:$J$27,$A53,'Master Plan'!$Z$8:$Z$27,"&gt;="&amp;I$9,'Master Plan'!$Z$8:$Z$27,"&lt;"&amp;I$9+7)</f>
        <v>0</v>
      </c>
      <c r="J53" s="263" t="n">
        <f aca="false">COUNTIFS('Master Plan'!$J$8:$J$27,$A53,'Master Plan'!$Z$8:$Z$27,"&gt;="&amp;J$9,'Master Plan'!$Z$8:$Z$27,"&lt;"&amp;J$9+7)</f>
        <v>0</v>
      </c>
      <c r="K53" s="263" t="n">
        <f aca="false">COUNTIFS('Master Plan'!$J$8:$J$27,$A53,'Master Plan'!$Z$8:$Z$27,"&gt;="&amp;K$9,'Master Plan'!$Z$8:$Z$27,"&lt;"&amp;K$9+7)</f>
        <v>0</v>
      </c>
      <c r="L53" s="263" t="n">
        <f aca="false">COUNTIFS('Master Plan'!$J$8:$J$27,$A53,'Master Plan'!$Z$8:$Z$27,"&gt;="&amp;L$9,'Master Plan'!$Z$8:$Z$27,"&lt;"&amp;L$9+7)</f>
        <v>0</v>
      </c>
      <c r="M53" s="263" t="n">
        <f aca="false">COUNTIFS('Master Plan'!$J$8:$J$27,$A53,'Master Plan'!$Z$8:$Z$27,"&gt;="&amp;M$9,'Master Plan'!$Z$8:$Z$27,"&lt;"&amp;M$9+7)</f>
        <v>0</v>
      </c>
      <c r="N53" s="263" t="n">
        <f aca="false">COUNTIFS('Master Plan'!$J$8:$J$27,$A53,'Master Plan'!$Z$8:$Z$27,"&gt;="&amp;N$9,'Master Plan'!$Z$8:$Z$27,"&lt;"&amp;N$9+7)</f>
        <v>0</v>
      </c>
      <c r="O53" s="263" t="n">
        <f aca="false">COUNTIFS('Master Plan'!$J$8:$J$27,$A53,'Master Plan'!$Z$8:$Z$27,"&gt;="&amp;O$9,'Master Plan'!$Z$8:$Z$27,"&lt;"&amp;O$9+7)</f>
        <v>0</v>
      </c>
      <c r="P53" s="263" t="n">
        <f aca="false">COUNTIFS('Master Plan'!$J$8:$J$27,$A53,'Master Plan'!$Z$8:$Z$27,"&gt;="&amp;P$9,'Master Plan'!$Z$8:$Z$27,"&lt;"&amp;P$9+7)</f>
        <v>0</v>
      </c>
      <c r="Q53" s="263" t="n">
        <f aca="false">COUNTIFS('Master Plan'!$J$8:$J$27,$A53,'Master Plan'!$Z$8:$Z$27,"&gt;="&amp;Q$9,'Master Plan'!$Z$8:$Z$27,"&lt;"&amp;Q$9+7)</f>
        <v>0</v>
      </c>
      <c r="R53" s="263" t="n">
        <f aca="false">COUNTIFS('Master Plan'!$J$8:$J$27,$A53,'Master Plan'!$Z$8:$Z$27,"&gt;="&amp;R$9,'Master Plan'!$Z$8:$Z$27,"&lt;"&amp;R$9+7)</f>
        <v>0</v>
      </c>
      <c r="S53" s="263" t="n">
        <f aca="false">COUNTIFS('Master Plan'!$J$8:$J$27,$A53,'Master Plan'!$Z$8:$Z$27,"&gt;="&amp;S$9,'Master Plan'!$Z$8:$Z$27,"&lt;"&amp;S$9+7)</f>
        <v>0</v>
      </c>
      <c r="T53" s="263" t="n">
        <f aca="false">COUNTIFS('Master Plan'!$J$8:$J$27,$A53,'Master Plan'!$Z$8:$Z$27,"&gt;="&amp;T$9,'Master Plan'!$Z$8:$Z$27,"&lt;"&amp;T$9+7)</f>
        <v>0</v>
      </c>
      <c r="U53" s="263" t="n">
        <f aca="false">COUNTIFS('Master Plan'!$J$8:$J$27,$A53,'Master Plan'!$Z$8:$Z$27,"&gt;="&amp;U$9,'Master Plan'!$Z$8:$Z$27,"&lt;"&amp;U$9+7)</f>
        <v>0</v>
      </c>
      <c r="V53" s="263" t="n">
        <f aca="false">COUNTIFS('Master Plan'!$J$8:$J$27,$A53,'Master Plan'!$Z$8:$Z$27,"&gt;="&amp;V$9,'Master Plan'!$Z$8:$Z$27,"&lt;"&amp;V$9+7)</f>
        <v>0</v>
      </c>
      <c r="W53" s="263" t="n">
        <f aca="false">COUNTIFS('Master Plan'!$J$8:$J$27,$A53,'Master Plan'!$Z$8:$Z$27,"&gt;="&amp;W$9,'Master Plan'!$Z$8:$Z$27,"&lt;"&amp;W$9+7)</f>
        <v>0</v>
      </c>
    </row>
    <row r="54" customFormat="false" ht="15" hidden="false" customHeight="false" outlineLevel="0" collapsed="false">
      <c r="A54" s="264" t="s">
        <v>2242</v>
      </c>
      <c r="B54" s="36" t="s">
        <v>2226</v>
      </c>
      <c r="C54" s="262"/>
      <c r="D54" s="263" t="n">
        <f aca="false">COUNTIFS('Master Plan'!$J$8:$J$27,$A54,'Master Plan'!$AH$8:$AH$27,"&gt;="&amp;D$9,'Master Plan'!$AH$8:$AH$27,"&lt;"&amp;D$9+7)</f>
        <v>0</v>
      </c>
      <c r="E54" s="263" t="n">
        <f aca="false">COUNTIFS('Master Plan'!$J$8:$J$27,$A54,'Master Plan'!$AH$8:$AH$27,"&gt;="&amp;E$9,'Master Plan'!$AH$8:$AH$27,"&lt;"&amp;E$9+7)</f>
        <v>0</v>
      </c>
      <c r="F54" s="263" t="n">
        <f aca="false">COUNTIFS('Master Plan'!$J$8:$J$27,$A54,'Master Plan'!$AH$8:$AH$27,"&gt;="&amp;F$9,'Master Plan'!$AH$8:$AH$27,"&lt;"&amp;F$9+7)</f>
        <v>0</v>
      </c>
      <c r="G54" s="263" t="n">
        <f aca="false">COUNTIFS('Master Plan'!$J$8:$J$27,$A54,'Master Plan'!$AH$8:$AH$27,"&gt;="&amp;G$9,'Master Plan'!$AH$8:$AH$27,"&lt;"&amp;G$9+7)</f>
        <v>0</v>
      </c>
      <c r="H54" s="263" t="n">
        <f aca="false">COUNTIFS('Master Plan'!$J$8:$J$27,$A54,'Master Plan'!$AH$8:$AH$27,"&gt;="&amp;H$9,'Master Plan'!$AH$8:$AH$27,"&lt;"&amp;H$9+7)</f>
        <v>0</v>
      </c>
      <c r="I54" s="263" t="n">
        <f aca="false">COUNTIFS('Master Plan'!$J$8:$J$27,$A54,'Master Plan'!$AH$8:$AH$27,"&gt;="&amp;I$9,'Master Plan'!$AH$8:$AH$27,"&lt;"&amp;I$9+7)</f>
        <v>0</v>
      </c>
      <c r="J54" s="263" t="n">
        <f aca="false">COUNTIFS('Master Plan'!$J$8:$J$27,$A54,'Master Plan'!$AH$8:$AH$27,"&gt;="&amp;J$9,'Master Plan'!$AH$8:$AH$27,"&lt;"&amp;J$9+7)</f>
        <v>0</v>
      </c>
      <c r="K54" s="263" t="n">
        <f aca="false">COUNTIFS('Master Plan'!$J$8:$J$27,$A54,'Master Plan'!$AH$8:$AH$27,"&gt;="&amp;K$9,'Master Plan'!$AH$8:$AH$27,"&lt;"&amp;K$9+7)</f>
        <v>0</v>
      </c>
      <c r="L54" s="263" t="n">
        <f aca="false">COUNTIFS('Master Plan'!$J$8:$J$27,$A54,'Master Plan'!$AH$8:$AH$27,"&gt;="&amp;L$9,'Master Plan'!$AH$8:$AH$27,"&lt;"&amp;L$9+7)</f>
        <v>0</v>
      </c>
      <c r="M54" s="263" t="n">
        <f aca="false">COUNTIFS('Master Plan'!$J$8:$J$27,$A54,'Master Plan'!$AH$8:$AH$27,"&gt;="&amp;M$9,'Master Plan'!$AH$8:$AH$27,"&lt;"&amp;M$9+7)</f>
        <v>0</v>
      </c>
      <c r="N54" s="263" t="n">
        <f aca="false">COUNTIFS('Master Plan'!$J$8:$J$27,$A54,'Master Plan'!$AH$8:$AH$27,"&gt;="&amp;N$9,'Master Plan'!$AH$8:$AH$27,"&lt;"&amp;N$9+7)</f>
        <v>0</v>
      </c>
      <c r="O54" s="263" t="n">
        <f aca="false">COUNTIFS('Master Plan'!$J$8:$J$27,$A54,'Master Plan'!$AH$8:$AH$27,"&gt;="&amp;O$9,'Master Plan'!$AH$8:$AH$27,"&lt;"&amp;O$9+7)</f>
        <v>0</v>
      </c>
      <c r="P54" s="263" t="n">
        <f aca="false">COUNTIFS('Master Plan'!$J$8:$J$27,$A54,'Master Plan'!$AH$8:$AH$27,"&gt;="&amp;P$9,'Master Plan'!$AH$8:$AH$27,"&lt;"&amp;P$9+7)</f>
        <v>0</v>
      </c>
      <c r="Q54" s="263" t="n">
        <f aca="false">COUNTIFS('Master Plan'!$J$8:$J$27,$A54,'Master Plan'!$AH$8:$AH$27,"&gt;="&amp;Q$9,'Master Plan'!$AH$8:$AH$27,"&lt;"&amp;Q$9+7)</f>
        <v>0</v>
      </c>
      <c r="R54" s="263" t="n">
        <f aca="false">COUNTIFS('Master Plan'!$J$8:$J$27,$A54,'Master Plan'!$AH$8:$AH$27,"&gt;="&amp;R$9,'Master Plan'!$AH$8:$AH$27,"&lt;"&amp;R$9+7)</f>
        <v>0</v>
      </c>
      <c r="S54" s="263" t="n">
        <f aca="false">COUNTIFS('Master Plan'!$J$8:$J$27,$A54,'Master Plan'!$AH$8:$AH$27,"&gt;="&amp;S$9,'Master Plan'!$AH$8:$AH$27,"&lt;"&amp;S$9+7)</f>
        <v>1</v>
      </c>
      <c r="T54" s="263" t="n">
        <f aca="false">COUNTIFS('Master Plan'!$J$8:$J$27,$A54,'Master Plan'!$AH$8:$AH$27,"&gt;="&amp;T$9,'Master Plan'!$AH$8:$AH$27,"&lt;"&amp;T$9+7)</f>
        <v>0</v>
      </c>
      <c r="U54" s="263" t="n">
        <f aca="false">COUNTIFS('Master Plan'!$J$8:$J$27,$A54,'Master Plan'!$AH$8:$AH$27,"&gt;="&amp;U$9,'Master Plan'!$AH$8:$AH$27,"&lt;"&amp;U$9+7)</f>
        <v>0</v>
      </c>
      <c r="V54" s="263" t="n">
        <f aca="false">COUNTIFS('Master Plan'!$J$8:$J$27,$A54,'Master Plan'!$AH$8:$AH$27,"&gt;="&amp;V$9,'Master Plan'!$AH$8:$AH$27,"&lt;"&amp;V$9+7)</f>
        <v>0</v>
      </c>
      <c r="W54" s="263" t="n">
        <f aca="false">COUNTIFS('Master Plan'!$J$8:$J$27,$A54,'Master Plan'!$AH$8:$AH$27,"&gt;="&amp;W$9,'Master Plan'!$AH$8:$AH$27,"&lt;"&amp;W$9+7)</f>
        <v>0</v>
      </c>
    </row>
    <row r="55" customFormat="false" ht="15" hidden="false" customHeight="false" outlineLevel="0" collapsed="false">
      <c r="A55" s="264" t="s">
        <v>2243</v>
      </c>
      <c r="B55" s="31" t="s">
        <v>2225</v>
      </c>
      <c r="C55" s="262" t="n">
        <f aca="false">สมมติฐาน!$R$28</f>
        <v>3</v>
      </c>
      <c r="D55" s="263" t="n">
        <f aca="false">COUNTIFS('Master Plan'!$J$8:$J$27,$A55,'Master Plan'!$Z$8:$Z$27,"&gt;="&amp;D$9,'Master Plan'!$Z$8:$Z$27,"&lt;"&amp;D$9+7)</f>
        <v>0</v>
      </c>
      <c r="E55" s="263" t="n">
        <f aca="false">COUNTIFS('Master Plan'!$J$8:$J$27,$A55,'Master Plan'!$Z$8:$Z$27,"&gt;="&amp;E$9,'Master Plan'!$Z$8:$Z$27,"&lt;"&amp;E$9+7)</f>
        <v>0</v>
      </c>
      <c r="F55" s="263" t="n">
        <f aca="false">COUNTIFS('Master Plan'!$J$8:$J$27,$A55,'Master Plan'!$Z$8:$Z$27,"&gt;="&amp;F$9,'Master Plan'!$Z$8:$Z$27,"&lt;"&amp;F$9+7)</f>
        <v>0</v>
      </c>
      <c r="G55" s="263" t="n">
        <f aca="false">COUNTIFS('Master Plan'!$J$8:$J$27,$A55,'Master Plan'!$Z$8:$Z$27,"&gt;="&amp;G$9,'Master Plan'!$Z$8:$Z$27,"&lt;"&amp;G$9+7)</f>
        <v>0</v>
      </c>
      <c r="H55" s="263" t="n">
        <f aca="false">COUNTIFS('Master Plan'!$J$8:$J$27,$A55,'Master Plan'!$Z$8:$Z$27,"&gt;="&amp;H$9,'Master Plan'!$Z$8:$Z$27,"&lt;"&amp;H$9+7)</f>
        <v>1</v>
      </c>
      <c r="I55" s="263" t="n">
        <f aca="false">COUNTIFS('Master Plan'!$J$8:$J$27,$A55,'Master Plan'!$Z$8:$Z$27,"&gt;="&amp;I$9,'Master Plan'!$Z$8:$Z$27,"&lt;"&amp;I$9+7)</f>
        <v>0</v>
      </c>
      <c r="J55" s="263" t="n">
        <f aca="false">COUNTIFS('Master Plan'!$J$8:$J$27,$A55,'Master Plan'!$Z$8:$Z$27,"&gt;="&amp;J$9,'Master Plan'!$Z$8:$Z$27,"&lt;"&amp;J$9+7)</f>
        <v>0</v>
      </c>
      <c r="K55" s="263" t="n">
        <f aca="false">COUNTIFS('Master Plan'!$J$8:$J$27,$A55,'Master Plan'!$Z$8:$Z$27,"&gt;="&amp;K$9,'Master Plan'!$Z$8:$Z$27,"&lt;"&amp;K$9+7)</f>
        <v>0</v>
      </c>
      <c r="L55" s="263" t="n">
        <f aca="false">COUNTIFS('Master Plan'!$J$8:$J$27,$A55,'Master Plan'!$Z$8:$Z$27,"&gt;="&amp;L$9,'Master Plan'!$Z$8:$Z$27,"&lt;"&amp;L$9+7)</f>
        <v>0</v>
      </c>
      <c r="M55" s="263" t="n">
        <f aca="false">COUNTIFS('Master Plan'!$J$8:$J$27,$A55,'Master Plan'!$Z$8:$Z$27,"&gt;="&amp;M$9,'Master Plan'!$Z$8:$Z$27,"&lt;"&amp;M$9+7)</f>
        <v>0</v>
      </c>
      <c r="N55" s="263" t="n">
        <f aca="false">COUNTIFS('Master Plan'!$J$8:$J$27,$A55,'Master Plan'!$Z$8:$Z$27,"&gt;="&amp;N$9,'Master Plan'!$Z$8:$Z$27,"&lt;"&amp;N$9+7)</f>
        <v>0</v>
      </c>
      <c r="O55" s="263" t="n">
        <f aca="false">COUNTIFS('Master Plan'!$J$8:$J$27,$A55,'Master Plan'!$Z$8:$Z$27,"&gt;="&amp;O$9,'Master Plan'!$Z$8:$Z$27,"&lt;"&amp;O$9+7)</f>
        <v>0</v>
      </c>
      <c r="P55" s="263" t="n">
        <f aca="false">COUNTIFS('Master Plan'!$J$8:$J$27,$A55,'Master Plan'!$Z$8:$Z$27,"&gt;="&amp;P$9,'Master Plan'!$Z$8:$Z$27,"&lt;"&amp;P$9+7)</f>
        <v>0</v>
      </c>
      <c r="Q55" s="263" t="n">
        <f aca="false">COUNTIFS('Master Plan'!$J$8:$J$27,$A55,'Master Plan'!$Z$8:$Z$27,"&gt;="&amp;Q$9,'Master Plan'!$Z$8:$Z$27,"&lt;"&amp;Q$9+7)</f>
        <v>0</v>
      </c>
      <c r="R55" s="263" t="n">
        <f aca="false">COUNTIFS('Master Plan'!$J$8:$J$27,$A55,'Master Plan'!$Z$8:$Z$27,"&gt;="&amp;R$9,'Master Plan'!$Z$8:$Z$27,"&lt;"&amp;R$9+7)</f>
        <v>0</v>
      </c>
      <c r="S55" s="263" t="n">
        <f aca="false">COUNTIFS('Master Plan'!$J$8:$J$27,$A55,'Master Plan'!$Z$8:$Z$27,"&gt;="&amp;S$9,'Master Plan'!$Z$8:$Z$27,"&lt;"&amp;S$9+7)</f>
        <v>0</v>
      </c>
      <c r="T55" s="263" t="n">
        <f aca="false">COUNTIFS('Master Plan'!$J$8:$J$27,$A55,'Master Plan'!$Z$8:$Z$27,"&gt;="&amp;T$9,'Master Plan'!$Z$8:$Z$27,"&lt;"&amp;T$9+7)</f>
        <v>0</v>
      </c>
      <c r="U55" s="263" t="n">
        <f aca="false">COUNTIFS('Master Plan'!$J$8:$J$27,$A55,'Master Plan'!$Z$8:$Z$27,"&gt;="&amp;U$9,'Master Plan'!$Z$8:$Z$27,"&lt;"&amp;U$9+7)</f>
        <v>0</v>
      </c>
      <c r="V55" s="263" t="n">
        <f aca="false">COUNTIFS('Master Plan'!$J$8:$J$27,$A55,'Master Plan'!$Z$8:$Z$27,"&gt;="&amp;V$9,'Master Plan'!$Z$8:$Z$27,"&lt;"&amp;V$9+7)</f>
        <v>0</v>
      </c>
      <c r="W55" s="263" t="n">
        <f aca="false">COUNTIFS('Master Plan'!$J$8:$J$27,$A55,'Master Plan'!$Z$8:$Z$27,"&gt;="&amp;W$9,'Master Plan'!$Z$8:$Z$27,"&lt;"&amp;W$9+7)</f>
        <v>0</v>
      </c>
    </row>
    <row r="56" customFormat="false" ht="15" hidden="false" customHeight="false" outlineLevel="0" collapsed="false">
      <c r="A56" s="264" t="s">
        <v>2243</v>
      </c>
      <c r="B56" s="36" t="s">
        <v>2226</v>
      </c>
      <c r="C56" s="262"/>
      <c r="D56" s="263" t="n">
        <f aca="false">COUNTIFS('Master Plan'!$J$8:$J$27,$A56,'Master Plan'!$AH$8:$AH$27,"&gt;="&amp;D$9,'Master Plan'!$AH$8:$AH$27,"&lt;"&amp;D$9+7)</f>
        <v>0</v>
      </c>
      <c r="E56" s="263" t="n">
        <f aca="false">COUNTIFS('Master Plan'!$J$8:$J$27,$A56,'Master Plan'!$AH$8:$AH$27,"&gt;="&amp;E$9,'Master Plan'!$AH$8:$AH$27,"&lt;"&amp;E$9+7)</f>
        <v>0</v>
      </c>
      <c r="F56" s="263" t="n">
        <f aca="false">COUNTIFS('Master Plan'!$J$8:$J$27,$A56,'Master Plan'!$AH$8:$AH$27,"&gt;="&amp;F$9,'Master Plan'!$AH$8:$AH$27,"&lt;"&amp;F$9+7)</f>
        <v>0</v>
      </c>
      <c r="G56" s="263" t="n">
        <f aca="false">COUNTIFS('Master Plan'!$J$8:$J$27,$A56,'Master Plan'!$AH$8:$AH$27,"&gt;="&amp;G$9,'Master Plan'!$AH$8:$AH$27,"&lt;"&amp;G$9+7)</f>
        <v>0</v>
      </c>
      <c r="H56" s="263" t="n">
        <f aca="false">COUNTIFS('Master Plan'!$J$8:$J$27,$A56,'Master Plan'!$AH$8:$AH$27,"&gt;="&amp;H$9,'Master Plan'!$AH$8:$AH$27,"&lt;"&amp;H$9+7)</f>
        <v>0</v>
      </c>
      <c r="I56" s="263" t="n">
        <f aca="false">COUNTIFS('Master Plan'!$J$8:$J$27,$A56,'Master Plan'!$AH$8:$AH$27,"&gt;="&amp;I$9,'Master Plan'!$AH$8:$AH$27,"&lt;"&amp;I$9+7)</f>
        <v>0</v>
      </c>
      <c r="J56" s="263" t="n">
        <f aca="false">COUNTIFS('Master Plan'!$J$8:$J$27,$A56,'Master Plan'!$AH$8:$AH$27,"&gt;="&amp;J$9,'Master Plan'!$AH$8:$AH$27,"&lt;"&amp;J$9+7)</f>
        <v>0</v>
      </c>
      <c r="K56" s="263" t="n">
        <f aca="false">COUNTIFS('Master Plan'!$J$8:$J$27,$A56,'Master Plan'!$AH$8:$AH$27,"&gt;="&amp;K$9,'Master Plan'!$AH$8:$AH$27,"&lt;"&amp;K$9+7)</f>
        <v>0</v>
      </c>
      <c r="L56" s="263" t="n">
        <f aca="false">COUNTIFS('Master Plan'!$J$8:$J$27,$A56,'Master Plan'!$AH$8:$AH$27,"&gt;="&amp;L$9,'Master Plan'!$AH$8:$AH$27,"&lt;"&amp;L$9+7)</f>
        <v>0</v>
      </c>
      <c r="M56" s="263" t="n">
        <f aca="false">COUNTIFS('Master Plan'!$J$8:$J$27,$A56,'Master Plan'!$AH$8:$AH$27,"&gt;="&amp;M$9,'Master Plan'!$AH$8:$AH$27,"&lt;"&amp;M$9+7)</f>
        <v>0</v>
      </c>
      <c r="N56" s="263" t="n">
        <f aca="false">COUNTIFS('Master Plan'!$J$8:$J$27,$A56,'Master Plan'!$AH$8:$AH$27,"&gt;="&amp;N$9,'Master Plan'!$AH$8:$AH$27,"&lt;"&amp;N$9+7)</f>
        <v>0</v>
      </c>
      <c r="O56" s="263" t="n">
        <f aca="false">COUNTIFS('Master Plan'!$J$8:$J$27,$A56,'Master Plan'!$AH$8:$AH$27,"&gt;="&amp;O$9,'Master Plan'!$AH$8:$AH$27,"&lt;"&amp;O$9+7)</f>
        <v>0</v>
      </c>
      <c r="P56" s="263" t="n">
        <f aca="false">COUNTIFS('Master Plan'!$J$8:$J$27,$A56,'Master Plan'!$AH$8:$AH$27,"&gt;="&amp;P$9,'Master Plan'!$AH$8:$AH$27,"&lt;"&amp;P$9+7)</f>
        <v>0</v>
      </c>
      <c r="Q56" s="263" t="n">
        <f aca="false">COUNTIFS('Master Plan'!$J$8:$J$27,$A56,'Master Plan'!$AH$8:$AH$27,"&gt;="&amp;Q$9,'Master Plan'!$AH$8:$AH$27,"&lt;"&amp;Q$9+7)</f>
        <v>0</v>
      </c>
      <c r="R56" s="263" t="n">
        <f aca="false">COUNTIFS('Master Plan'!$J$8:$J$27,$A56,'Master Plan'!$AH$8:$AH$27,"&gt;="&amp;R$9,'Master Plan'!$AH$8:$AH$27,"&lt;"&amp;R$9+7)</f>
        <v>0</v>
      </c>
      <c r="S56" s="263" t="n">
        <f aca="false">COUNTIFS('Master Plan'!$J$8:$J$27,$A56,'Master Plan'!$AH$8:$AH$27,"&gt;="&amp;S$9,'Master Plan'!$AH$8:$AH$27,"&lt;"&amp;S$9+7)</f>
        <v>1</v>
      </c>
      <c r="T56" s="263" t="n">
        <f aca="false">COUNTIFS('Master Plan'!$J$8:$J$27,$A56,'Master Plan'!$AH$8:$AH$27,"&gt;="&amp;T$9,'Master Plan'!$AH$8:$AH$27,"&lt;"&amp;T$9+7)</f>
        <v>0</v>
      </c>
      <c r="U56" s="263" t="n">
        <f aca="false">COUNTIFS('Master Plan'!$J$8:$J$27,$A56,'Master Plan'!$AH$8:$AH$27,"&gt;="&amp;U$9,'Master Plan'!$AH$8:$AH$27,"&lt;"&amp;U$9+7)</f>
        <v>0</v>
      </c>
      <c r="V56" s="263" t="n">
        <f aca="false">COUNTIFS('Master Plan'!$J$8:$J$27,$A56,'Master Plan'!$AH$8:$AH$27,"&gt;="&amp;V$9,'Master Plan'!$AH$8:$AH$27,"&lt;"&amp;V$9+7)</f>
        <v>0</v>
      </c>
      <c r="W56" s="263" t="n">
        <f aca="false">COUNTIFS('Master Plan'!$J$8:$J$27,$A56,'Master Plan'!$AH$8:$AH$27,"&gt;="&amp;W$9,'Master Plan'!$AH$8:$AH$27,"&lt;"&amp;W$9+7)</f>
        <v>0</v>
      </c>
    </row>
    <row r="57" customFormat="false" ht="15" hidden="false" customHeight="false" outlineLevel="0" collapsed="false">
      <c r="A57" s="264" t="s">
        <v>2244</v>
      </c>
      <c r="B57" s="31" t="s">
        <v>2225</v>
      </c>
      <c r="C57" s="262" t="n">
        <f aca="false">สมมติฐาน!$R$29</f>
        <v>3</v>
      </c>
      <c r="D57" s="263" t="n">
        <f aca="false">COUNTIFS('Master Plan'!$J$8:$J$27,$A57,'Master Plan'!$Z$8:$Z$27,"&gt;="&amp;D$9,'Master Plan'!$Z$8:$Z$27,"&lt;"&amp;D$9+7)</f>
        <v>0</v>
      </c>
      <c r="E57" s="263" t="n">
        <f aca="false">COUNTIFS('Master Plan'!$J$8:$J$27,$A57,'Master Plan'!$Z$8:$Z$27,"&gt;="&amp;E$9,'Master Plan'!$Z$8:$Z$27,"&lt;"&amp;E$9+7)</f>
        <v>0</v>
      </c>
      <c r="F57" s="263" t="n">
        <f aca="false">COUNTIFS('Master Plan'!$J$8:$J$27,$A57,'Master Plan'!$Z$8:$Z$27,"&gt;="&amp;F$9,'Master Plan'!$Z$8:$Z$27,"&lt;"&amp;F$9+7)</f>
        <v>0</v>
      </c>
      <c r="G57" s="263" t="n">
        <f aca="false">COUNTIFS('Master Plan'!$J$8:$J$27,$A57,'Master Plan'!$Z$8:$Z$27,"&gt;="&amp;G$9,'Master Plan'!$Z$8:$Z$27,"&lt;"&amp;G$9+7)</f>
        <v>0</v>
      </c>
      <c r="H57" s="263" t="n">
        <f aca="false">COUNTIFS('Master Plan'!$J$8:$J$27,$A57,'Master Plan'!$Z$8:$Z$27,"&gt;="&amp;H$9,'Master Plan'!$Z$8:$Z$27,"&lt;"&amp;H$9+7)</f>
        <v>1</v>
      </c>
      <c r="I57" s="263" t="n">
        <f aca="false">COUNTIFS('Master Plan'!$J$8:$J$27,$A57,'Master Plan'!$Z$8:$Z$27,"&gt;="&amp;I$9,'Master Plan'!$Z$8:$Z$27,"&lt;"&amp;I$9+7)</f>
        <v>0</v>
      </c>
      <c r="J57" s="263" t="n">
        <f aca="false">COUNTIFS('Master Plan'!$J$8:$J$27,$A57,'Master Plan'!$Z$8:$Z$27,"&gt;="&amp;J$9,'Master Plan'!$Z$8:$Z$27,"&lt;"&amp;J$9+7)</f>
        <v>0</v>
      </c>
      <c r="K57" s="263" t="n">
        <f aca="false">COUNTIFS('Master Plan'!$J$8:$J$27,$A57,'Master Plan'!$Z$8:$Z$27,"&gt;="&amp;K$9,'Master Plan'!$Z$8:$Z$27,"&lt;"&amp;K$9+7)</f>
        <v>0</v>
      </c>
      <c r="L57" s="263" t="n">
        <f aca="false">COUNTIFS('Master Plan'!$J$8:$J$27,$A57,'Master Plan'!$Z$8:$Z$27,"&gt;="&amp;L$9,'Master Plan'!$Z$8:$Z$27,"&lt;"&amp;L$9+7)</f>
        <v>0</v>
      </c>
      <c r="M57" s="263" t="n">
        <f aca="false">COUNTIFS('Master Plan'!$J$8:$J$27,$A57,'Master Plan'!$Z$8:$Z$27,"&gt;="&amp;M$9,'Master Plan'!$Z$8:$Z$27,"&lt;"&amp;M$9+7)</f>
        <v>0</v>
      </c>
      <c r="N57" s="263" t="n">
        <f aca="false">COUNTIFS('Master Plan'!$J$8:$J$27,$A57,'Master Plan'!$Z$8:$Z$27,"&gt;="&amp;N$9,'Master Plan'!$Z$8:$Z$27,"&lt;"&amp;N$9+7)</f>
        <v>0</v>
      </c>
      <c r="O57" s="263" t="n">
        <f aca="false">COUNTIFS('Master Plan'!$J$8:$J$27,$A57,'Master Plan'!$Z$8:$Z$27,"&gt;="&amp;O$9,'Master Plan'!$Z$8:$Z$27,"&lt;"&amp;O$9+7)</f>
        <v>0</v>
      </c>
      <c r="P57" s="263" t="n">
        <f aca="false">COUNTIFS('Master Plan'!$J$8:$J$27,$A57,'Master Plan'!$Z$8:$Z$27,"&gt;="&amp;P$9,'Master Plan'!$Z$8:$Z$27,"&lt;"&amp;P$9+7)</f>
        <v>0</v>
      </c>
      <c r="Q57" s="263" t="n">
        <f aca="false">COUNTIFS('Master Plan'!$J$8:$J$27,$A57,'Master Plan'!$Z$8:$Z$27,"&gt;="&amp;Q$9,'Master Plan'!$Z$8:$Z$27,"&lt;"&amp;Q$9+7)</f>
        <v>0</v>
      </c>
      <c r="R57" s="263" t="n">
        <f aca="false">COUNTIFS('Master Plan'!$J$8:$J$27,$A57,'Master Plan'!$Z$8:$Z$27,"&gt;="&amp;R$9,'Master Plan'!$Z$8:$Z$27,"&lt;"&amp;R$9+7)</f>
        <v>0</v>
      </c>
      <c r="S57" s="263" t="n">
        <f aca="false">COUNTIFS('Master Plan'!$J$8:$J$27,$A57,'Master Plan'!$Z$8:$Z$27,"&gt;="&amp;S$9,'Master Plan'!$Z$8:$Z$27,"&lt;"&amp;S$9+7)</f>
        <v>0</v>
      </c>
      <c r="T57" s="263" t="n">
        <f aca="false">COUNTIFS('Master Plan'!$J$8:$J$27,$A57,'Master Plan'!$Z$8:$Z$27,"&gt;="&amp;T$9,'Master Plan'!$Z$8:$Z$27,"&lt;"&amp;T$9+7)</f>
        <v>0</v>
      </c>
      <c r="U57" s="263" t="n">
        <f aca="false">COUNTIFS('Master Plan'!$J$8:$J$27,$A57,'Master Plan'!$Z$8:$Z$27,"&gt;="&amp;U$9,'Master Plan'!$Z$8:$Z$27,"&lt;"&amp;U$9+7)</f>
        <v>0</v>
      </c>
      <c r="V57" s="263" t="n">
        <f aca="false">COUNTIFS('Master Plan'!$J$8:$J$27,$A57,'Master Plan'!$Z$8:$Z$27,"&gt;="&amp;V$9,'Master Plan'!$Z$8:$Z$27,"&lt;"&amp;V$9+7)</f>
        <v>0</v>
      </c>
      <c r="W57" s="263" t="n">
        <f aca="false">COUNTIFS('Master Plan'!$J$8:$J$27,$A57,'Master Plan'!$Z$8:$Z$27,"&gt;="&amp;W$9,'Master Plan'!$Z$8:$Z$27,"&lt;"&amp;W$9+7)</f>
        <v>0</v>
      </c>
    </row>
    <row r="58" customFormat="false" ht="15" hidden="false" customHeight="false" outlineLevel="0" collapsed="false">
      <c r="A58" s="264" t="s">
        <v>2244</v>
      </c>
      <c r="B58" s="36" t="s">
        <v>2226</v>
      </c>
      <c r="C58" s="262"/>
      <c r="D58" s="263" t="n">
        <f aca="false">COUNTIFS('Master Plan'!$J$8:$J$27,$A58,'Master Plan'!$AH$8:$AH$27,"&gt;="&amp;D$9,'Master Plan'!$AH$8:$AH$27,"&lt;"&amp;D$9+7)</f>
        <v>0</v>
      </c>
      <c r="E58" s="263" t="n">
        <f aca="false">COUNTIFS('Master Plan'!$J$8:$J$27,$A58,'Master Plan'!$AH$8:$AH$27,"&gt;="&amp;E$9,'Master Plan'!$AH$8:$AH$27,"&lt;"&amp;E$9+7)</f>
        <v>0</v>
      </c>
      <c r="F58" s="263" t="n">
        <f aca="false">COUNTIFS('Master Plan'!$J$8:$J$27,$A58,'Master Plan'!$AH$8:$AH$27,"&gt;="&amp;F$9,'Master Plan'!$AH$8:$AH$27,"&lt;"&amp;F$9+7)</f>
        <v>0</v>
      </c>
      <c r="G58" s="263" t="n">
        <f aca="false">COUNTIFS('Master Plan'!$J$8:$J$27,$A58,'Master Plan'!$AH$8:$AH$27,"&gt;="&amp;G$9,'Master Plan'!$AH$8:$AH$27,"&lt;"&amp;G$9+7)</f>
        <v>0</v>
      </c>
      <c r="H58" s="263" t="n">
        <f aca="false">COUNTIFS('Master Plan'!$J$8:$J$27,$A58,'Master Plan'!$AH$8:$AH$27,"&gt;="&amp;H$9,'Master Plan'!$AH$8:$AH$27,"&lt;"&amp;H$9+7)</f>
        <v>0</v>
      </c>
      <c r="I58" s="263" t="n">
        <f aca="false">COUNTIFS('Master Plan'!$J$8:$J$27,$A58,'Master Plan'!$AH$8:$AH$27,"&gt;="&amp;I$9,'Master Plan'!$AH$8:$AH$27,"&lt;"&amp;I$9+7)</f>
        <v>0</v>
      </c>
      <c r="J58" s="263" t="n">
        <f aca="false">COUNTIFS('Master Plan'!$J$8:$J$27,$A58,'Master Plan'!$AH$8:$AH$27,"&gt;="&amp;J$9,'Master Plan'!$AH$8:$AH$27,"&lt;"&amp;J$9+7)</f>
        <v>0</v>
      </c>
      <c r="K58" s="263" t="n">
        <f aca="false">COUNTIFS('Master Plan'!$J$8:$J$27,$A58,'Master Plan'!$AH$8:$AH$27,"&gt;="&amp;K$9,'Master Plan'!$AH$8:$AH$27,"&lt;"&amp;K$9+7)</f>
        <v>0</v>
      </c>
      <c r="L58" s="263" t="n">
        <f aca="false">COUNTIFS('Master Plan'!$J$8:$J$27,$A58,'Master Plan'!$AH$8:$AH$27,"&gt;="&amp;L$9,'Master Plan'!$AH$8:$AH$27,"&lt;"&amp;L$9+7)</f>
        <v>0</v>
      </c>
      <c r="M58" s="263" t="n">
        <f aca="false">COUNTIFS('Master Plan'!$J$8:$J$27,$A58,'Master Plan'!$AH$8:$AH$27,"&gt;="&amp;M$9,'Master Plan'!$AH$8:$AH$27,"&lt;"&amp;M$9+7)</f>
        <v>0</v>
      </c>
      <c r="N58" s="263" t="n">
        <f aca="false">COUNTIFS('Master Plan'!$J$8:$J$27,$A58,'Master Plan'!$AH$8:$AH$27,"&gt;="&amp;N$9,'Master Plan'!$AH$8:$AH$27,"&lt;"&amp;N$9+7)</f>
        <v>0</v>
      </c>
      <c r="O58" s="263" t="n">
        <f aca="false">COUNTIFS('Master Plan'!$J$8:$J$27,$A58,'Master Plan'!$AH$8:$AH$27,"&gt;="&amp;O$9,'Master Plan'!$AH$8:$AH$27,"&lt;"&amp;O$9+7)</f>
        <v>0</v>
      </c>
      <c r="P58" s="263" t="n">
        <f aca="false">COUNTIFS('Master Plan'!$J$8:$J$27,$A58,'Master Plan'!$AH$8:$AH$27,"&gt;="&amp;P$9,'Master Plan'!$AH$8:$AH$27,"&lt;"&amp;P$9+7)</f>
        <v>0</v>
      </c>
      <c r="Q58" s="263" t="n">
        <f aca="false">COUNTIFS('Master Plan'!$J$8:$J$27,$A58,'Master Plan'!$AH$8:$AH$27,"&gt;="&amp;Q$9,'Master Plan'!$AH$8:$AH$27,"&lt;"&amp;Q$9+7)</f>
        <v>0</v>
      </c>
      <c r="R58" s="263" t="n">
        <f aca="false">COUNTIFS('Master Plan'!$J$8:$J$27,$A58,'Master Plan'!$AH$8:$AH$27,"&gt;="&amp;R$9,'Master Plan'!$AH$8:$AH$27,"&lt;"&amp;R$9+7)</f>
        <v>0</v>
      </c>
      <c r="S58" s="263" t="n">
        <f aca="false">COUNTIFS('Master Plan'!$J$8:$J$27,$A58,'Master Plan'!$AH$8:$AH$27,"&gt;="&amp;S$9,'Master Plan'!$AH$8:$AH$27,"&lt;"&amp;S$9+7)</f>
        <v>1</v>
      </c>
      <c r="T58" s="263" t="n">
        <f aca="false">COUNTIFS('Master Plan'!$J$8:$J$27,$A58,'Master Plan'!$AH$8:$AH$27,"&gt;="&amp;T$9,'Master Plan'!$AH$8:$AH$27,"&lt;"&amp;T$9+7)</f>
        <v>0</v>
      </c>
      <c r="U58" s="263" t="n">
        <f aca="false">COUNTIFS('Master Plan'!$J$8:$J$27,$A58,'Master Plan'!$AH$8:$AH$27,"&gt;="&amp;U$9,'Master Plan'!$AH$8:$AH$27,"&lt;"&amp;U$9+7)</f>
        <v>0</v>
      </c>
      <c r="V58" s="263" t="n">
        <f aca="false">COUNTIFS('Master Plan'!$J$8:$J$27,$A58,'Master Plan'!$AH$8:$AH$27,"&gt;="&amp;V$9,'Master Plan'!$AH$8:$AH$27,"&lt;"&amp;V$9+7)</f>
        <v>0</v>
      </c>
      <c r="W58" s="263" t="n">
        <f aca="false">COUNTIFS('Master Plan'!$J$8:$J$27,$A58,'Master Plan'!$AH$8:$AH$27,"&gt;="&amp;W$9,'Master Plan'!$AH$8:$AH$27,"&lt;"&amp;W$9+7)</f>
        <v>0</v>
      </c>
    </row>
    <row r="59" customFormat="false" ht="15" hidden="false" customHeight="false" outlineLevel="0" collapsed="false">
      <c r="A59" s="264" t="s">
        <v>2245</v>
      </c>
      <c r="B59" s="31" t="s">
        <v>2225</v>
      </c>
      <c r="C59" s="262" t="n">
        <f aca="false">สมมติฐาน!$R$30</f>
        <v>3</v>
      </c>
      <c r="D59" s="263" t="n">
        <f aca="false">COUNTIFS('Master Plan'!$J$8:$J$27,$A59,'Master Plan'!$Z$8:$Z$27,"&gt;="&amp;D$9,'Master Plan'!$Z$8:$Z$27,"&lt;"&amp;D$9+7)</f>
        <v>0</v>
      </c>
      <c r="E59" s="263" t="n">
        <f aca="false">COUNTIFS('Master Plan'!$J$8:$J$27,$A59,'Master Plan'!$Z$8:$Z$27,"&gt;="&amp;E$9,'Master Plan'!$Z$8:$Z$27,"&lt;"&amp;E$9+7)</f>
        <v>0</v>
      </c>
      <c r="F59" s="263" t="n">
        <f aca="false">COUNTIFS('Master Plan'!$J$8:$J$27,$A59,'Master Plan'!$Z$8:$Z$27,"&gt;="&amp;F$9,'Master Plan'!$Z$8:$Z$27,"&lt;"&amp;F$9+7)</f>
        <v>0</v>
      </c>
      <c r="G59" s="263" t="n">
        <f aca="false">COUNTIFS('Master Plan'!$J$8:$J$27,$A59,'Master Plan'!$Z$8:$Z$27,"&gt;="&amp;G$9,'Master Plan'!$Z$8:$Z$27,"&lt;"&amp;G$9+7)</f>
        <v>0</v>
      </c>
      <c r="H59" s="263" t="n">
        <f aca="false">COUNTIFS('Master Plan'!$J$8:$J$27,$A59,'Master Plan'!$Z$8:$Z$27,"&gt;="&amp;H$9,'Master Plan'!$Z$8:$Z$27,"&lt;"&amp;H$9+7)</f>
        <v>1</v>
      </c>
      <c r="I59" s="263" t="n">
        <f aca="false">COUNTIFS('Master Plan'!$J$8:$J$27,$A59,'Master Plan'!$Z$8:$Z$27,"&gt;="&amp;I$9,'Master Plan'!$Z$8:$Z$27,"&lt;"&amp;I$9+7)</f>
        <v>0</v>
      </c>
      <c r="J59" s="263" t="n">
        <f aca="false">COUNTIFS('Master Plan'!$J$8:$J$27,$A59,'Master Plan'!$Z$8:$Z$27,"&gt;="&amp;J$9,'Master Plan'!$Z$8:$Z$27,"&lt;"&amp;J$9+7)</f>
        <v>0</v>
      </c>
      <c r="K59" s="263" t="n">
        <f aca="false">COUNTIFS('Master Plan'!$J$8:$J$27,$A59,'Master Plan'!$Z$8:$Z$27,"&gt;="&amp;K$9,'Master Plan'!$Z$8:$Z$27,"&lt;"&amp;K$9+7)</f>
        <v>0</v>
      </c>
      <c r="L59" s="263" t="n">
        <f aca="false">COUNTIFS('Master Plan'!$J$8:$J$27,$A59,'Master Plan'!$Z$8:$Z$27,"&gt;="&amp;L$9,'Master Plan'!$Z$8:$Z$27,"&lt;"&amp;L$9+7)</f>
        <v>0</v>
      </c>
      <c r="M59" s="263" t="n">
        <f aca="false">COUNTIFS('Master Plan'!$J$8:$J$27,$A59,'Master Plan'!$Z$8:$Z$27,"&gt;="&amp;M$9,'Master Plan'!$Z$8:$Z$27,"&lt;"&amp;M$9+7)</f>
        <v>0</v>
      </c>
      <c r="N59" s="263" t="n">
        <f aca="false">COUNTIFS('Master Plan'!$J$8:$J$27,$A59,'Master Plan'!$Z$8:$Z$27,"&gt;="&amp;N$9,'Master Plan'!$Z$8:$Z$27,"&lt;"&amp;N$9+7)</f>
        <v>0</v>
      </c>
      <c r="O59" s="263" t="n">
        <f aca="false">COUNTIFS('Master Plan'!$J$8:$J$27,$A59,'Master Plan'!$Z$8:$Z$27,"&gt;="&amp;O$9,'Master Plan'!$Z$8:$Z$27,"&lt;"&amp;O$9+7)</f>
        <v>0</v>
      </c>
      <c r="P59" s="263" t="n">
        <f aca="false">COUNTIFS('Master Plan'!$J$8:$J$27,$A59,'Master Plan'!$Z$8:$Z$27,"&gt;="&amp;P$9,'Master Plan'!$Z$8:$Z$27,"&lt;"&amp;P$9+7)</f>
        <v>0</v>
      </c>
      <c r="Q59" s="263" t="n">
        <f aca="false">COUNTIFS('Master Plan'!$J$8:$J$27,$A59,'Master Plan'!$Z$8:$Z$27,"&gt;="&amp;Q$9,'Master Plan'!$Z$8:$Z$27,"&lt;"&amp;Q$9+7)</f>
        <v>0</v>
      </c>
      <c r="R59" s="263" t="n">
        <f aca="false">COUNTIFS('Master Plan'!$J$8:$J$27,$A59,'Master Plan'!$Z$8:$Z$27,"&gt;="&amp;R$9,'Master Plan'!$Z$8:$Z$27,"&lt;"&amp;R$9+7)</f>
        <v>0</v>
      </c>
      <c r="S59" s="263" t="n">
        <f aca="false">COUNTIFS('Master Plan'!$J$8:$J$27,$A59,'Master Plan'!$Z$8:$Z$27,"&gt;="&amp;S$9,'Master Plan'!$Z$8:$Z$27,"&lt;"&amp;S$9+7)</f>
        <v>0</v>
      </c>
      <c r="T59" s="263" t="n">
        <f aca="false">COUNTIFS('Master Plan'!$J$8:$J$27,$A59,'Master Plan'!$Z$8:$Z$27,"&gt;="&amp;T$9,'Master Plan'!$Z$8:$Z$27,"&lt;"&amp;T$9+7)</f>
        <v>0</v>
      </c>
      <c r="U59" s="263" t="n">
        <f aca="false">COUNTIFS('Master Plan'!$J$8:$J$27,$A59,'Master Plan'!$Z$8:$Z$27,"&gt;="&amp;U$9,'Master Plan'!$Z$8:$Z$27,"&lt;"&amp;U$9+7)</f>
        <v>0</v>
      </c>
      <c r="V59" s="263" t="n">
        <f aca="false">COUNTIFS('Master Plan'!$J$8:$J$27,$A59,'Master Plan'!$Z$8:$Z$27,"&gt;="&amp;V$9,'Master Plan'!$Z$8:$Z$27,"&lt;"&amp;V$9+7)</f>
        <v>0</v>
      </c>
      <c r="W59" s="263" t="n">
        <f aca="false">COUNTIFS('Master Plan'!$J$8:$J$27,$A59,'Master Plan'!$Z$8:$Z$27,"&gt;="&amp;W$9,'Master Plan'!$Z$8:$Z$27,"&lt;"&amp;W$9+7)</f>
        <v>0</v>
      </c>
    </row>
    <row r="60" customFormat="false" ht="15" hidden="false" customHeight="false" outlineLevel="0" collapsed="false">
      <c r="A60" s="264" t="s">
        <v>2245</v>
      </c>
      <c r="B60" s="36" t="s">
        <v>2226</v>
      </c>
      <c r="C60" s="262"/>
      <c r="D60" s="263" t="n">
        <f aca="false">COUNTIFS('Master Plan'!$J$8:$J$27,$A60,'Master Plan'!$AH$8:$AH$27,"&gt;="&amp;D$9,'Master Plan'!$AH$8:$AH$27,"&lt;"&amp;D$9+7)</f>
        <v>0</v>
      </c>
      <c r="E60" s="263" t="n">
        <f aca="false">COUNTIFS('Master Plan'!$J$8:$J$27,$A60,'Master Plan'!$AH$8:$AH$27,"&gt;="&amp;E$9,'Master Plan'!$AH$8:$AH$27,"&lt;"&amp;E$9+7)</f>
        <v>0</v>
      </c>
      <c r="F60" s="263" t="n">
        <f aca="false">COUNTIFS('Master Plan'!$J$8:$J$27,$A60,'Master Plan'!$AH$8:$AH$27,"&gt;="&amp;F$9,'Master Plan'!$AH$8:$AH$27,"&lt;"&amp;F$9+7)</f>
        <v>0</v>
      </c>
      <c r="G60" s="263" t="n">
        <f aca="false">COUNTIFS('Master Plan'!$J$8:$J$27,$A60,'Master Plan'!$AH$8:$AH$27,"&gt;="&amp;G$9,'Master Plan'!$AH$8:$AH$27,"&lt;"&amp;G$9+7)</f>
        <v>0</v>
      </c>
      <c r="H60" s="263" t="n">
        <f aca="false">COUNTIFS('Master Plan'!$J$8:$J$27,$A60,'Master Plan'!$AH$8:$AH$27,"&gt;="&amp;H$9,'Master Plan'!$AH$8:$AH$27,"&lt;"&amp;H$9+7)</f>
        <v>0</v>
      </c>
      <c r="I60" s="263" t="n">
        <f aca="false">COUNTIFS('Master Plan'!$J$8:$J$27,$A60,'Master Plan'!$AH$8:$AH$27,"&gt;="&amp;I$9,'Master Plan'!$AH$8:$AH$27,"&lt;"&amp;I$9+7)</f>
        <v>0</v>
      </c>
      <c r="J60" s="263" t="n">
        <f aca="false">COUNTIFS('Master Plan'!$J$8:$J$27,$A60,'Master Plan'!$AH$8:$AH$27,"&gt;="&amp;J$9,'Master Plan'!$AH$8:$AH$27,"&lt;"&amp;J$9+7)</f>
        <v>0</v>
      </c>
      <c r="K60" s="263" t="n">
        <f aca="false">COUNTIFS('Master Plan'!$J$8:$J$27,$A60,'Master Plan'!$AH$8:$AH$27,"&gt;="&amp;K$9,'Master Plan'!$AH$8:$AH$27,"&lt;"&amp;K$9+7)</f>
        <v>0</v>
      </c>
      <c r="L60" s="263" t="n">
        <f aca="false">COUNTIFS('Master Plan'!$J$8:$J$27,$A60,'Master Plan'!$AH$8:$AH$27,"&gt;="&amp;L$9,'Master Plan'!$AH$8:$AH$27,"&lt;"&amp;L$9+7)</f>
        <v>0</v>
      </c>
      <c r="M60" s="263" t="n">
        <f aca="false">COUNTIFS('Master Plan'!$J$8:$J$27,$A60,'Master Plan'!$AH$8:$AH$27,"&gt;="&amp;M$9,'Master Plan'!$AH$8:$AH$27,"&lt;"&amp;M$9+7)</f>
        <v>0</v>
      </c>
      <c r="N60" s="263" t="n">
        <f aca="false">COUNTIFS('Master Plan'!$J$8:$J$27,$A60,'Master Plan'!$AH$8:$AH$27,"&gt;="&amp;N$9,'Master Plan'!$AH$8:$AH$27,"&lt;"&amp;N$9+7)</f>
        <v>0</v>
      </c>
      <c r="O60" s="263" t="n">
        <f aca="false">COUNTIFS('Master Plan'!$J$8:$J$27,$A60,'Master Plan'!$AH$8:$AH$27,"&gt;="&amp;O$9,'Master Plan'!$AH$8:$AH$27,"&lt;"&amp;O$9+7)</f>
        <v>0</v>
      </c>
      <c r="P60" s="263" t="n">
        <f aca="false">COUNTIFS('Master Plan'!$J$8:$J$27,$A60,'Master Plan'!$AH$8:$AH$27,"&gt;="&amp;P$9,'Master Plan'!$AH$8:$AH$27,"&lt;"&amp;P$9+7)</f>
        <v>0</v>
      </c>
      <c r="Q60" s="263" t="n">
        <f aca="false">COUNTIFS('Master Plan'!$J$8:$J$27,$A60,'Master Plan'!$AH$8:$AH$27,"&gt;="&amp;Q$9,'Master Plan'!$AH$8:$AH$27,"&lt;"&amp;Q$9+7)</f>
        <v>0</v>
      </c>
      <c r="R60" s="263" t="n">
        <f aca="false">COUNTIFS('Master Plan'!$J$8:$J$27,$A60,'Master Plan'!$AH$8:$AH$27,"&gt;="&amp;R$9,'Master Plan'!$AH$8:$AH$27,"&lt;"&amp;R$9+7)</f>
        <v>0</v>
      </c>
      <c r="S60" s="263" t="n">
        <f aca="false">COUNTIFS('Master Plan'!$J$8:$J$27,$A60,'Master Plan'!$AH$8:$AH$27,"&gt;="&amp;S$9,'Master Plan'!$AH$8:$AH$27,"&lt;"&amp;S$9+7)</f>
        <v>1</v>
      </c>
      <c r="T60" s="263" t="n">
        <f aca="false">COUNTIFS('Master Plan'!$J$8:$J$27,$A60,'Master Plan'!$AH$8:$AH$27,"&gt;="&amp;T$9,'Master Plan'!$AH$8:$AH$27,"&lt;"&amp;T$9+7)</f>
        <v>0</v>
      </c>
      <c r="U60" s="263" t="n">
        <f aca="false">COUNTIFS('Master Plan'!$J$8:$J$27,$A60,'Master Plan'!$AH$8:$AH$27,"&gt;="&amp;U$9,'Master Plan'!$AH$8:$AH$27,"&lt;"&amp;U$9+7)</f>
        <v>0</v>
      </c>
      <c r="V60" s="263" t="n">
        <f aca="false">COUNTIFS('Master Plan'!$J$8:$J$27,$A60,'Master Plan'!$AH$8:$AH$27,"&gt;="&amp;V$9,'Master Plan'!$AH$8:$AH$27,"&lt;"&amp;V$9+7)</f>
        <v>0</v>
      </c>
      <c r="W60" s="263" t="n">
        <f aca="false">COUNTIFS('Master Plan'!$J$8:$J$27,$A60,'Master Plan'!$AH$8:$AH$27,"&gt;="&amp;W$9,'Master Plan'!$AH$8:$AH$27,"&lt;"&amp;W$9+7)</f>
        <v>0</v>
      </c>
    </row>
  </sheetData>
  <sheetProtection sheet="true" formatColumns="false" formatRows="false" sort="false" autoFilter="false"/>
  <mergeCells count="2">
    <mergeCell ref="A10:W10"/>
    <mergeCell ref="A20:W20"/>
  </mergeCells>
  <conditionalFormatting sqref="L5:L7">
    <cfRule type="expression" priority="2" aboveAverage="0" equalAverage="0" bottom="0" percent="0" rank="0" text="" dxfId="41">
      <formula>L5=MAX($L$5:$L$7)</formula>
    </cfRule>
  </conditionalFormatting>
  <conditionalFormatting sqref="D10:W60">
    <cfRule type="expression" priority="3" aboveAverage="0" equalAverage="0" bottom="0" percent="0" rank="0" text="" dxfId="41">
      <formula>AND(ISNUMBER($C10),N(D10)&gt;$C10)</formula>
    </cfRule>
    <cfRule type="expression" priority="4" aboveAverage="0" equalAverage="0" bottom="0" percent="0" rank="0" text="" dxfId="17">
      <formula>N(D10)&gt;0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26" min="3" style="0" width="7"/>
  </cols>
  <sheetData>
    <row r="1" customFormat="false" ht="16.4" hidden="false" customHeight="false" outlineLevel="0" collapsed="false">
      <c r="A1" s="265" t="s">
        <v>2246</v>
      </c>
    </row>
    <row r="2" customFormat="false" ht="15" hidden="false" customHeight="false" outlineLevel="0" collapsed="false">
      <c r="A2" s="38" t="s">
        <v>2247</v>
      </c>
      <c r="G2" s="42" t="s">
        <v>2248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9.4" hidden="false" customHeight="false" outlineLevel="0" collapsed="false">
      <c r="A3" s="266" t="s">
        <v>1519</v>
      </c>
      <c r="B3" s="266" t="s">
        <v>1520</v>
      </c>
      <c r="C3" s="266" t="s">
        <v>531</v>
      </c>
      <c r="D3" s="267" t="s">
        <v>2249</v>
      </c>
      <c r="E3" s="266" t="s">
        <v>534</v>
      </c>
      <c r="F3" s="267" t="s">
        <v>2250</v>
      </c>
      <c r="G3" s="266" t="s">
        <v>2251</v>
      </c>
      <c r="H3" s="266" t="s">
        <v>2252</v>
      </c>
      <c r="I3" s="266" t="s">
        <v>2253</v>
      </c>
      <c r="J3" s="266" t="s">
        <v>2254</v>
      </c>
      <c r="K3" s="266" t="s">
        <v>2255</v>
      </c>
      <c r="L3" s="266" t="s">
        <v>2256</v>
      </c>
      <c r="M3" s="266" t="s">
        <v>2257</v>
      </c>
      <c r="N3" s="266" t="s">
        <v>2258</v>
      </c>
      <c r="O3" s="266" t="s">
        <v>2259</v>
      </c>
      <c r="P3" s="266" t="s">
        <v>2260</v>
      </c>
      <c r="Q3" s="266" t="s">
        <v>2261</v>
      </c>
      <c r="R3" s="266" t="s">
        <v>2262</v>
      </c>
      <c r="S3" s="266" t="s">
        <v>2263</v>
      </c>
      <c r="T3" s="266" t="s">
        <v>2264</v>
      </c>
      <c r="U3" s="266" t="s">
        <v>2265</v>
      </c>
      <c r="V3" s="266" t="s">
        <v>2266</v>
      </c>
      <c r="W3" s="266" t="s">
        <v>2267</v>
      </c>
      <c r="X3" s="266" t="s">
        <v>2268</v>
      </c>
      <c r="Y3" s="266" t="s">
        <v>2269</v>
      </c>
      <c r="Z3" s="266" t="s">
        <v>2270</v>
      </c>
    </row>
    <row r="4" customFormat="false" ht="15" hidden="false" customHeight="false" outlineLevel="0" collapsed="false">
      <c r="A4" s="268" t="s">
        <v>1525</v>
      </c>
      <c r="B4" s="33" t="n">
        <f aca="false">'Master Plan'!BH7</f>
        <v>46321</v>
      </c>
      <c r="C4" s="268" t="n">
        <f aca="false">COUNTIFS('Master Plan'!$Y$8:$Y$27,"&gt;="&amp;B4,'Master Plan'!$Y$8:$Y$27,"&lt;"&amp;B4+7)</f>
        <v>0</v>
      </c>
      <c r="D4" s="268" t="n">
        <f aca="false">COUNTIFS('Master Plan'!$AA$8:$AA$27,"&gt;="&amp;B4,'Master Plan'!$AA$8:$AA$27,"&lt;"&amp;B4+7)</f>
        <v>0</v>
      </c>
      <c r="E4" s="268" t="n">
        <f aca="false">COUNTIFS('Master Plan'!$AB$8:$AB$27,"&gt;="&amp;B4,'Master Plan'!$AB$8:$AB$27,"&lt;"&amp;B4+7)</f>
        <v>0</v>
      </c>
      <c r="F4" s="268" t="n">
        <f aca="false">COUNTIFS('Master Plan'!$AH$8:$AH$27,"&gt;="&amp;B4,'Master Plan'!$AH$8:$AH$27,"&lt;"&amp;B4+7)</f>
        <v>0</v>
      </c>
      <c r="G4" s="268" t="n">
        <f aca="false">COUNTIFS('Master Plan'!$Z$8:$Z$27,"&gt;="&amp;$B4,'Master Plan'!$Z$8:$Z$27,"&lt;"&amp;$B4+7,'Master Plan'!$E$8:$E$27,G$3)</f>
        <v>0</v>
      </c>
      <c r="H4" s="268" t="n">
        <f aca="false">COUNTIFS('Master Plan'!$Z$8:$Z$27,"&gt;="&amp;$B4,'Master Plan'!$Z$8:$Z$27,"&lt;"&amp;$B4+7,'Master Plan'!$E$8:$E$27,H$3)</f>
        <v>0</v>
      </c>
      <c r="I4" s="268" t="n">
        <f aca="false">COUNTIFS('Master Plan'!$Z$8:$Z$27,"&gt;="&amp;$B4,'Master Plan'!$Z$8:$Z$27,"&lt;"&amp;$B4+7,'Master Plan'!$E$8:$E$27,I$3)</f>
        <v>0</v>
      </c>
      <c r="J4" s="268" t="n">
        <f aca="false">COUNTIFS('Master Plan'!$Z$8:$Z$27,"&gt;="&amp;$B4,'Master Plan'!$Z$8:$Z$27,"&lt;"&amp;$B4+7,'Master Plan'!$E$8:$E$27,J$3)</f>
        <v>0</v>
      </c>
      <c r="K4" s="268" t="n">
        <f aca="false">COUNTIFS('Master Plan'!$Z$8:$Z$27,"&gt;="&amp;$B4,'Master Plan'!$Z$8:$Z$27,"&lt;"&amp;$B4+7,'Master Plan'!$E$8:$E$27,K$3)</f>
        <v>0</v>
      </c>
      <c r="L4" s="268" t="n">
        <f aca="false">COUNTIFS('Master Plan'!$Z$8:$Z$27,"&gt;="&amp;$B4,'Master Plan'!$Z$8:$Z$27,"&lt;"&amp;$B4+7,'Master Plan'!$E$8:$E$27,L$3)</f>
        <v>0</v>
      </c>
      <c r="M4" s="268" t="n">
        <f aca="false">COUNTIFS('Master Plan'!$Z$8:$Z$27,"&gt;="&amp;$B4,'Master Plan'!$Z$8:$Z$27,"&lt;"&amp;$B4+7,'Master Plan'!$E$8:$E$27,M$3)</f>
        <v>0</v>
      </c>
      <c r="N4" s="268" t="n">
        <f aca="false">COUNTIFS('Master Plan'!$Z$8:$Z$27,"&gt;="&amp;$B4,'Master Plan'!$Z$8:$Z$27,"&lt;"&amp;$B4+7,'Master Plan'!$E$8:$E$27,N$3)</f>
        <v>0</v>
      </c>
      <c r="O4" s="268" t="n">
        <f aca="false">COUNTIFS('Master Plan'!$Z$8:$Z$27,"&gt;="&amp;$B4,'Master Plan'!$Z$8:$Z$27,"&lt;"&amp;$B4+7,'Master Plan'!$E$8:$E$27,O$3)</f>
        <v>0</v>
      </c>
      <c r="P4" s="268" t="n">
        <f aca="false">COUNTIFS('Master Plan'!$Z$8:$Z$27,"&gt;="&amp;$B4,'Master Plan'!$Z$8:$Z$27,"&lt;"&amp;$B4+7,'Master Plan'!$E$8:$E$27,P$3)</f>
        <v>0</v>
      </c>
      <c r="Q4" s="268" t="n">
        <f aca="false">COUNTIFS('Master Plan'!$Z$8:$Z$27,"&gt;="&amp;$B4,'Master Plan'!$Z$8:$Z$27,"&lt;"&amp;$B4+7,'Master Plan'!$E$8:$E$27,Q$3)</f>
        <v>0</v>
      </c>
      <c r="R4" s="268" t="n">
        <f aca="false">COUNTIFS('Master Plan'!$Z$8:$Z$27,"&gt;="&amp;$B4,'Master Plan'!$Z$8:$Z$27,"&lt;"&amp;$B4+7,'Master Plan'!$E$8:$E$27,R$3)</f>
        <v>0</v>
      </c>
      <c r="S4" s="268" t="n">
        <f aca="false">COUNTIFS('Master Plan'!$Z$8:$Z$27,"&gt;="&amp;$B4,'Master Plan'!$Z$8:$Z$27,"&lt;"&amp;$B4+7,'Master Plan'!$E$8:$E$27,S$3)</f>
        <v>0</v>
      </c>
      <c r="T4" s="268" t="n">
        <f aca="false">COUNTIFS('Master Plan'!$Z$8:$Z$27,"&gt;="&amp;$B4,'Master Plan'!$Z$8:$Z$27,"&lt;"&amp;$B4+7,'Master Plan'!$E$8:$E$27,T$3)</f>
        <v>0</v>
      </c>
      <c r="U4" s="268" t="n">
        <f aca="false">COUNTIFS('Master Plan'!$Z$8:$Z$27,"&gt;="&amp;$B4,'Master Plan'!$Z$8:$Z$27,"&lt;"&amp;$B4+7,'Master Plan'!$E$8:$E$27,U$3)</f>
        <v>0</v>
      </c>
      <c r="V4" s="268" t="n">
        <f aca="false">COUNTIFS('Master Plan'!$Z$8:$Z$27,"&gt;="&amp;$B4,'Master Plan'!$Z$8:$Z$27,"&lt;"&amp;$B4+7,'Master Plan'!$E$8:$E$27,V$3)</f>
        <v>0</v>
      </c>
      <c r="W4" s="268" t="n">
        <f aca="false">COUNTIFS('Master Plan'!$Z$8:$Z$27,"&gt;="&amp;$B4,'Master Plan'!$Z$8:$Z$27,"&lt;"&amp;$B4+7,'Master Plan'!$E$8:$E$27,W$3)</f>
        <v>0</v>
      </c>
      <c r="X4" s="268" t="n">
        <f aca="false">COUNTIFS('Master Plan'!$Z$8:$Z$27,"&gt;="&amp;$B4,'Master Plan'!$Z$8:$Z$27,"&lt;"&amp;$B4+7,'Master Plan'!$E$8:$E$27,X$3)</f>
        <v>0</v>
      </c>
      <c r="Y4" s="268" t="n">
        <f aca="false">COUNTIFS('Master Plan'!$Z$8:$Z$27,"&gt;="&amp;$B4,'Master Plan'!$Z$8:$Z$27,"&lt;"&amp;$B4+7,'Master Plan'!$E$8:$E$27,Y$3)</f>
        <v>0</v>
      </c>
      <c r="Z4" s="268" t="n">
        <f aca="false">COUNTIFS('Master Plan'!$Z$8:$Z$27,"&gt;="&amp;$B4,'Master Plan'!$Z$8:$Z$27,"&lt;"&amp;$B4+7,'Master Plan'!$E$8:$E$27,Z$3)</f>
        <v>0</v>
      </c>
    </row>
    <row r="5" customFormat="false" ht="15" hidden="false" customHeight="false" outlineLevel="0" collapsed="false">
      <c r="A5" s="268" t="s">
        <v>1526</v>
      </c>
      <c r="B5" s="33" t="n">
        <f aca="false">'Master Plan'!BI7</f>
        <v>46328</v>
      </c>
      <c r="C5" s="268" t="n">
        <f aca="false">COUNTIFS('Master Plan'!$Y$8:$Y$27,"&gt;="&amp;B5,'Master Plan'!$Y$8:$Y$27,"&lt;"&amp;B5+7)</f>
        <v>0</v>
      </c>
      <c r="D5" s="268" t="n">
        <f aca="false">COUNTIFS('Master Plan'!$AA$8:$AA$27,"&gt;="&amp;B5,'Master Plan'!$AA$8:$AA$27,"&lt;"&amp;B5+7)</f>
        <v>0</v>
      </c>
      <c r="E5" s="268" t="n">
        <f aca="false">COUNTIFS('Master Plan'!$AB$8:$AB$27,"&gt;="&amp;B5,'Master Plan'!$AB$8:$AB$27,"&lt;"&amp;B5+7)</f>
        <v>0</v>
      </c>
      <c r="F5" s="268" t="n">
        <f aca="false">COUNTIFS('Master Plan'!$AH$8:$AH$27,"&gt;="&amp;B5,'Master Plan'!$AH$8:$AH$27,"&lt;"&amp;B5+7)</f>
        <v>0</v>
      </c>
      <c r="G5" s="268" t="n">
        <f aca="false">COUNTIFS('Master Plan'!$Z$8:$Z$27,"&gt;="&amp;$B5,'Master Plan'!$Z$8:$Z$27,"&lt;"&amp;$B5+7,'Master Plan'!$E$8:$E$27,G$3)</f>
        <v>0</v>
      </c>
      <c r="H5" s="268" t="n">
        <f aca="false">COUNTIFS('Master Plan'!$Z$8:$Z$27,"&gt;="&amp;$B5,'Master Plan'!$Z$8:$Z$27,"&lt;"&amp;$B5+7,'Master Plan'!$E$8:$E$27,H$3)</f>
        <v>0</v>
      </c>
      <c r="I5" s="268" t="n">
        <f aca="false">COUNTIFS('Master Plan'!$Z$8:$Z$27,"&gt;="&amp;$B5,'Master Plan'!$Z$8:$Z$27,"&lt;"&amp;$B5+7,'Master Plan'!$E$8:$E$27,I$3)</f>
        <v>0</v>
      </c>
      <c r="J5" s="268" t="n">
        <f aca="false">COUNTIFS('Master Plan'!$Z$8:$Z$27,"&gt;="&amp;$B5,'Master Plan'!$Z$8:$Z$27,"&lt;"&amp;$B5+7,'Master Plan'!$E$8:$E$27,J$3)</f>
        <v>0</v>
      </c>
      <c r="K5" s="268" t="n">
        <f aca="false">COUNTIFS('Master Plan'!$Z$8:$Z$27,"&gt;="&amp;$B5,'Master Plan'!$Z$8:$Z$27,"&lt;"&amp;$B5+7,'Master Plan'!$E$8:$E$27,K$3)</f>
        <v>0</v>
      </c>
      <c r="L5" s="268" t="n">
        <f aca="false">COUNTIFS('Master Plan'!$Z$8:$Z$27,"&gt;="&amp;$B5,'Master Plan'!$Z$8:$Z$27,"&lt;"&amp;$B5+7,'Master Plan'!$E$8:$E$27,L$3)</f>
        <v>0</v>
      </c>
      <c r="M5" s="268" t="n">
        <f aca="false">COUNTIFS('Master Plan'!$Z$8:$Z$27,"&gt;="&amp;$B5,'Master Plan'!$Z$8:$Z$27,"&lt;"&amp;$B5+7,'Master Plan'!$E$8:$E$27,M$3)</f>
        <v>0</v>
      </c>
      <c r="N5" s="268" t="n">
        <f aca="false">COUNTIFS('Master Plan'!$Z$8:$Z$27,"&gt;="&amp;$B5,'Master Plan'!$Z$8:$Z$27,"&lt;"&amp;$B5+7,'Master Plan'!$E$8:$E$27,N$3)</f>
        <v>0</v>
      </c>
      <c r="O5" s="268" t="n">
        <f aca="false">COUNTIFS('Master Plan'!$Z$8:$Z$27,"&gt;="&amp;$B5,'Master Plan'!$Z$8:$Z$27,"&lt;"&amp;$B5+7,'Master Plan'!$E$8:$E$27,O$3)</f>
        <v>0</v>
      </c>
      <c r="P5" s="268" t="n">
        <f aca="false">COUNTIFS('Master Plan'!$Z$8:$Z$27,"&gt;="&amp;$B5,'Master Plan'!$Z$8:$Z$27,"&lt;"&amp;$B5+7,'Master Plan'!$E$8:$E$27,P$3)</f>
        <v>0</v>
      </c>
      <c r="Q5" s="268" t="n">
        <f aca="false">COUNTIFS('Master Plan'!$Z$8:$Z$27,"&gt;="&amp;$B5,'Master Plan'!$Z$8:$Z$27,"&lt;"&amp;$B5+7,'Master Plan'!$E$8:$E$27,Q$3)</f>
        <v>0</v>
      </c>
      <c r="R5" s="268" t="n">
        <f aca="false">COUNTIFS('Master Plan'!$Z$8:$Z$27,"&gt;="&amp;$B5,'Master Plan'!$Z$8:$Z$27,"&lt;"&amp;$B5+7,'Master Plan'!$E$8:$E$27,R$3)</f>
        <v>0</v>
      </c>
      <c r="S5" s="268" t="n">
        <f aca="false">COUNTIFS('Master Plan'!$Z$8:$Z$27,"&gt;="&amp;$B5,'Master Plan'!$Z$8:$Z$27,"&lt;"&amp;$B5+7,'Master Plan'!$E$8:$E$27,S$3)</f>
        <v>0</v>
      </c>
      <c r="T5" s="268" t="n">
        <f aca="false">COUNTIFS('Master Plan'!$Z$8:$Z$27,"&gt;="&amp;$B5,'Master Plan'!$Z$8:$Z$27,"&lt;"&amp;$B5+7,'Master Plan'!$E$8:$E$27,T$3)</f>
        <v>0</v>
      </c>
      <c r="U5" s="268" t="n">
        <f aca="false">COUNTIFS('Master Plan'!$Z$8:$Z$27,"&gt;="&amp;$B5,'Master Plan'!$Z$8:$Z$27,"&lt;"&amp;$B5+7,'Master Plan'!$E$8:$E$27,U$3)</f>
        <v>0</v>
      </c>
      <c r="V5" s="268" t="n">
        <f aca="false">COUNTIFS('Master Plan'!$Z$8:$Z$27,"&gt;="&amp;$B5,'Master Plan'!$Z$8:$Z$27,"&lt;"&amp;$B5+7,'Master Plan'!$E$8:$E$27,V$3)</f>
        <v>0</v>
      </c>
      <c r="W5" s="268" t="n">
        <f aca="false">COUNTIFS('Master Plan'!$Z$8:$Z$27,"&gt;="&amp;$B5,'Master Plan'!$Z$8:$Z$27,"&lt;"&amp;$B5+7,'Master Plan'!$E$8:$E$27,W$3)</f>
        <v>0</v>
      </c>
      <c r="X5" s="268" t="n">
        <f aca="false">COUNTIFS('Master Plan'!$Z$8:$Z$27,"&gt;="&amp;$B5,'Master Plan'!$Z$8:$Z$27,"&lt;"&amp;$B5+7,'Master Plan'!$E$8:$E$27,X$3)</f>
        <v>0</v>
      </c>
      <c r="Y5" s="268" t="n">
        <f aca="false">COUNTIFS('Master Plan'!$Z$8:$Z$27,"&gt;="&amp;$B5,'Master Plan'!$Z$8:$Z$27,"&lt;"&amp;$B5+7,'Master Plan'!$E$8:$E$27,Y$3)</f>
        <v>0</v>
      </c>
      <c r="Z5" s="268" t="n">
        <f aca="false">COUNTIFS('Master Plan'!$Z$8:$Z$27,"&gt;="&amp;$B5,'Master Plan'!$Z$8:$Z$27,"&lt;"&amp;$B5+7,'Master Plan'!$E$8:$E$27,Z$3)</f>
        <v>0</v>
      </c>
    </row>
    <row r="6" customFormat="false" ht="15" hidden="false" customHeight="false" outlineLevel="0" collapsed="false">
      <c r="A6" s="268" t="s">
        <v>1527</v>
      </c>
      <c r="B6" s="33" t="n">
        <f aca="false">'Master Plan'!BJ7</f>
        <v>46335</v>
      </c>
      <c r="C6" s="268" t="n">
        <f aca="false">COUNTIFS('Master Plan'!$Y$8:$Y$27,"&gt;="&amp;B6,'Master Plan'!$Y$8:$Y$27,"&lt;"&amp;B6+7)</f>
        <v>0</v>
      </c>
      <c r="D6" s="268" t="n">
        <f aca="false">COUNTIFS('Master Plan'!$AA$8:$AA$27,"&gt;="&amp;B6,'Master Plan'!$AA$8:$AA$27,"&lt;"&amp;B6+7)</f>
        <v>0</v>
      </c>
      <c r="E6" s="268" t="n">
        <f aca="false">COUNTIFS('Master Plan'!$AB$8:$AB$27,"&gt;="&amp;B6,'Master Plan'!$AB$8:$AB$27,"&lt;"&amp;B6+7)</f>
        <v>0</v>
      </c>
      <c r="F6" s="268" t="n">
        <f aca="false">COUNTIFS('Master Plan'!$AH$8:$AH$27,"&gt;="&amp;B6,'Master Plan'!$AH$8:$AH$27,"&lt;"&amp;B6+7)</f>
        <v>0</v>
      </c>
      <c r="G6" s="268" t="n">
        <f aca="false">COUNTIFS('Master Plan'!$Z$8:$Z$27,"&gt;="&amp;$B6,'Master Plan'!$Z$8:$Z$27,"&lt;"&amp;$B6+7,'Master Plan'!$E$8:$E$27,G$3)</f>
        <v>0</v>
      </c>
      <c r="H6" s="268" t="n">
        <f aca="false">COUNTIFS('Master Plan'!$Z$8:$Z$27,"&gt;="&amp;$B6,'Master Plan'!$Z$8:$Z$27,"&lt;"&amp;$B6+7,'Master Plan'!$E$8:$E$27,H$3)</f>
        <v>0</v>
      </c>
      <c r="I6" s="268" t="n">
        <f aca="false">COUNTIFS('Master Plan'!$Z$8:$Z$27,"&gt;="&amp;$B6,'Master Plan'!$Z$8:$Z$27,"&lt;"&amp;$B6+7,'Master Plan'!$E$8:$E$27,I$3)</f>
        <v>0</v>
      </c>
      <c r="J6" s="268" t="n">
        <f aca="false">COUNTIFS('Master Plan'!$Z$8:$Z$27,"&gt;="&amp;$B6,'Master Plan'!$Z$8:$Z$27,"&lt;"&amp;$B6+7,'Master Plan'!$E$8:$E$27,J$3)</f>
        <v>0</v>
      </c>
      <c r="K6" s="268" t="n">
        <f aca="false">COUNTIFS('Master Plan'!$Z$8:$Z$27,"&gt;="&amp;$B6,'Master Plan'!$Z$8:$Z$27,"&lt;"&amp;$B6+7,'Master Plan'!$E$8:$E$27,K$3)</f>
        <v>0</v>
      </c>
      <c r="L6" s="268" t="n">
        <f aca="false">COUNTIFS('Master Plan'!$Z$8:$Z$27,"&gt;="&amp;$B6,'Master Plan'!$Z$8:$Z$27,"&lt;"&amp;$B6+7,'Master Plan'!$E$8:$E$27,L$3)</f>
        <v>0</v>
      </c>
      <c r="M6" s="268" t="n">
        <f aca="false">COUNTIFS('Master Plan'!$Z$8:$Z$27,"&gt;="&amp;$B6,'Master Plan'!$Z$8:$Z$27,"&lt;"&amp;$B6+7,'Master Plan'!$E$8:$E$27,M$3)</f>
        <v>0</v>
      </c>
      <c r="N6" s="268" t="n">
        <f aca="false">COUNTIFS('Master Plan'!$Z$8:$Z$27,"&gt;="&amp;$B6,'Master Plan'!$Z$8:$Z$27,"&lt;"&amp;$B6+7,'Master Plan'!$E$8:$E$27,N$3)</f>
        <v>0</v>
      </c>
      <c r="O6" s="268" t="n">
        <f aca="false">COUNTIFS('Master Plan'!$Z$8:$Z$27,"&gt;="&amp;$B6,'Master Plan'!$Z$8:$Z$27,"&lt;"&amp;$B6+7,'Master Plan'!$E$8:$E$27,O$3)</f>
        <v>0</v>
      </c>
      <c r="P6" s="268" t="n">
        <f aca="false">COUNTIFS('Master Plan'!$Z$8:$Z$27,"&gt;="&amp;$B6,'Master Plan'!$Z$8:$Z$27,"&lt;"&amp;$B6+7,'Master Plan'!$E$8:$E$27,P$3)</f>
        <v>0</v>
      </c>
      <c r="Q6" s="268" t="n">
        <f aca="false">COUNTIFS('Master Plan'!$Z$8:$Z$27,"&gt;="&amp;$B6,'Master Plan'!$Z$8:$Z$27,"&lt;"&amp;$B6+7,'Master Plan'!$E$8:$E$27,Q$3)</f>
        <v>0</v>
      </c>
      <c r="R6" s="268" t="n">
        <f aca="false">COUNTIFS('Master Plan'!$Z$8:$Z$27,"&gt;="&amp;$B6,'Master Plan'!$Z$8:$Z$27,"&lt;"&amp;$B6+7,'Master Plan'!$E$8:$E$27,R$3)</f>
        <v>0</v>
      </c>
      <c r="S6" s="268" t="n">
        <f aca="false">COUNTIFS('Master Plan'!$Z$8:$Z$27,"&gt;="&amp;$B6,'Master Plan'!$Z$8:$Z$27,"&lt;"&amp;$B6+7,'Master Plan'!$E$8:$E$27,S$3)</f>
        <v>0</v>
      </c>
      <c r="T6" s="268" t="n">
        <f aca="false">COUNTIFS('Master Plan'!$Z$8:$Z$27,"&gt;="&amp;$B6,'Master Plan'!$Z$8:$Z$27,"&lt;"&amp;$B6+7,'Master Plan'!$E$8:$E$27,T$3)</f>
        <v>0</v>
      </c>
      <c r="U6" s="268" t="n">
        <f aca="false">COUNTIFS('Master Plan'!$Z$8:$Z$27,"&gt;="&amp;$B6,'Master Plan'!$Z$8:$Z$27,"&lt;"&amp;$B6+7,'Master Plan'!$E$8:$E$27,U$3)</f>
        <v>0</v>
      </c>
      <c r="V6" s="268" t="n">
        <f aca="false">COUNTIFS('Master Plan'!$Z$8:$Z$27,"&gt;="&amp;$B6,'Master Plan'!$Z$8:$Z$27,"&lt;"&amp;$B6+7,'Master Plan'!$E$8:$E$27,V$3)</f>
        <v>0</v>
      </c>
      <c r="W6" s="268" t="n">
        <f aca="false">COUNTIFS('Master Plan'!$Z$8:$Z$27,"&gt;="&amp;$B6,'Master Plan'!$Z$8:$Z$27,"&lt;"&amp;$B6+7,'Master Plan'!$E$8:$E$27,W$3)</f>
        <v>0</v>
      </c>
      <c r="X6" s="268" t="n">
        <f aca="false">COUNTIFS('Master Plan'!$Z$8:$Z$27,"&gt;="&amp;$B6,'Master Plan'!$Z$8:$Z$27,"&lt;"&amp;$B6+7,'Master Plan'!$E$8:$E$27,X$3)</f>
        <v>0</v>
      </c>
      <c r="Y6" s="268" t="n">
        <f aca="false">COUNTIFS('Master Plan'!$Z$8:$Z$27,"&gt;="&amp;$B6,'Master Plan'!$Z$8:$Z$27,"&lt;"&amp;$B6+7,'Master Plan'!$E$8:$E$27,Y$3)</f>
        <v>0</v>
      </c>
      <c r="Z6" s="268" t="n">
        <f aca="false">COUNTIFS('Master Plan'!$Z$8:$Z$27,"&gt;="&amp;$B6,'Master Plan'!$Z$8:$Z$27,"&lt;"&amp;$B6+7,'Master Plan'!$E$8:$E$27,Z$3)</f>
        <v>0</v>
      </c>
    </row>
    <row r="7" customFormat="false" ht="15" hidden="false" customHeight="false" outlineLevel="0" collapsed="false">
      <c r="A7" s="268" t="s">
        <v>1528</v>
      </c>
      <c r="B7" s="33" t="n">
        <f aca="false">'Master Plan'!BK7</f>
        <v>46342</v>
      </c>
      <c r="C7" s="268" t="n">
        <f aca="false">COUNTIFS('Master Plan'!$Y$8:$Y$27,"&gt;="&amp;B7,'Master Plan'!$Y$8:$Y$27,"&lt;"&amp;B7+7)</f>
        <v>0</v>
      </c>
      <c r="D7" s="268" t="n">
        <f aca="false">COUNTIFS('Master Plan'!$AA$8:$AA$27,"&gt;="&amp;B7,'Master Plan'!$AA$8:$AA$27,"&lt;"&amp;B7+7)</f>
        <v>0</v>
      </c>
      <c r="E7" s="268" t="n">
        <f aca="false">COUNTIFS('Master Plan'!$AB$8:$AB$27,"&gt;="&amp;B7,'Master Plan'!$AB$8:$AB$27,"&lt;"&amp;B7+7)</f>
        <v>0</v>
      </c>
      <c r="F7" s="268" t="n">
        <f aca="false">COUNTIFS('Master Plan'!$AH$8:$AH$27,"&gt;="&amp;B7,'Master Plan'!$AH$8:$AH$27,"&lt;"&amp;B7+7)</f>
        <v>0</v>
      </c>
      <c r="G7" s="268" t="n">
        <f aca="false">COUNTIFS('Master Plan'!$Z$8:$Z$27,"&gt;="&amp;$B7,'Master Plan'!$Z$8:$Z$27,"&lt;"&amp;$B7+7,'Master Plan'!$E$8:$E$27,G$3)</f>
        <v>0</v>
      </c>
      <c r="H7" s="268" t="n">
        <f aca="false">COUNTIFS('Master Plan'!$Z$8:$Z$27,"&gt;="&amp;$B7,'Master Plan'!$Z$8:$Z$27,"&lt;"&amp;$B7+7,'Master Plan'!$E$8:$E$27,H$3)</f>
        <v>0</v>
      </c>
      <c r="I7" s="268" t="n">
        <f aca="false">COUNTIFS('Master Plan'!$Z$8:$Z$27,"&gt;="&amp;$B7,'Master Plan'!$Z$8:$Z$27,"&lt;"&amp;$B7+7,'Master Plan'!$E$8:$E$27,I$3)</f>
        <v>0</v>
      </c>
      <c r="J7" s="268" t="n">
        <f aca="false">COUNTIFS('Master Plan'!$Z$8:$Z$27,"&gt;="&amp;$B7,'Master Plan'!$Z$8:$Z$27,"&lt;"&amp;$B7+7,'Master Plan'!$E$8:$E$27,J$3)</f>
        <v>0</v>
      </c>
      <c r="K7" s="268" t="n">
        <f aca="false">COUNTIFS('Master Plan'!$Z$8:$Z$27,"&gt;="&amp;$B7,'Master Plan'!$Z$8:$Z$27,"&lt;"&amp;$B7+7,'Master Plan'!$E$8:$E$27,K$3)</f>
        <v>0</v>
      </c>
      <c r="L7" s="268" t="n">
        <f aca="false">COUNTIFS('Master Plan'!$Z$8:$Z$27,"&gt;="&amp;$B7,'Master Plan'!$Z$8:$Z$27,"&lt;"&amp;$B7+7,'Master Plan'!$E$8:$E$27,L$3)</f>
        <v>0</v>
      </c>
      <c r="M7" s="268" t="n">
        <f aca="false">COUNTIFS('Master Plan'!$Z$8:$Z$27,"&gt;="&amp;$B7,'Master Plan'!$Z$8:$Z$27,"&lt;"&amp;$B7+7,'Master Plan'!$E$8:$E$27,M$3)</f>
        <v>0</v>
      </c>
      <c r="N7" s="268" t="n">
        <f aca="false">COUNTIFS('Master Plan'!$Z$8:$Z$27,"&gt;="&amp;$B7,'Master Plan'!$Z$8:$Z$27,"&lt;"&amp;$B7+7,'Master Plan'!$E$8:$E$27,N$3)</f>
        <v>0</v>
      </c>
      <c r="O7" s="268" t="n">
        <f aca="false">COUNTIFS('Master Plan'!$Z$8:$Z$27,"&gt;="&amp;$B7,'Master Plan'!$Z$8:$Z$27,"&lt;"&amp;$B7+7,'Master Plan'!$E$8:$E$27,O$3)</f>
        <v>0</v>
      </c>
      <c r="P7" s="268" t="n">
        <f aca="false">COUNTIFS('Master Plan'!$Z$8:$Z$27,"&gt;="&amp;$B7,'Master Plan'!$Z$8:$Z$27,"&lt;"&amp;$B7+7,'Master Plan'!$E$8:$E$27,P$3)</f>
        <v>0</v>
      </c>
      <c r="Q7" s="268" t="n">
        <f aca="false">COUNTIFS('Master Plan'!$Z$8:$Z$27,"&gt;="&amp;$B7,'Master Plan'!$Z$8:$Z$27,"&lt;"&amp;$B7+7,'Master Plan'!$E$8:$E$27,Q$3)</f>
        <v>0</v>
      </c>
      <c r="R7" s="268" t="n">
        <f aca="false">COUNTIFS('Master Plan'!$Z$8:$Z$27,"&gt;="&amp;$B7,'Master Plan'!$Z$8:$Z$27,"&lt;"&amp;$B7+7,'Master Plan'!$E$8:$E$27,R$3)</f>
        <v>0</v>
      </c>
      <c r="S7" s="268" t="n">
        <f aca="false">COUNTIFS('Master Plan'!$Z$8:$Z$27,"&gt;="&amp;$B7,'Master Plan'!$Z$8:$Z$27,"&lt;"&amp;$B7+7,'Master Plan'!$E$8:$E$27,S$3)</f>
        <v>0</v>
      </c>
      <c r="T7" s="268" t="n">
        <f aca="false">COUNTIFS('Master Plan'!$Z$8:$Z$27,"&gt;="&amp;$B7,'Master Plan'!$Z$8:$Z$27,"&lt;"&amp;$B7+7,'Master Plan'!$E$8:$E$27,T$3)</f>
        <v>0</v>
      </c>
      <c r="U7" s="268" t="n">
        <f aca="false">COUNTIFS('Master Plan'!$Z$8:$Z$27,"&gt;="&amp;$B7,'Master Plan'!$Z$8:$Z$27,"&lt;"&amp;$B7+7,'Master Plan'!$E$8:$E$27,U$3)</f>
        <v>0</v>
      </c>
      <c r="V7" s="268" t="n">
        <f aca="false">COUNTIFS('Master Plan'!$Z$8:$Z$27,"&gt;="&amp;$B7,'Master Plan'!$Z$8:$Z$27,"&lt;"&amp;$B7+7,'Master Plan'!$E$8:$E$27,V$3)</f>
        <v>0</v>
      </c>
      <c r="W7" s="268" t="n">
        <f aca="false">COUNTIFS('Master Plan'!$Z$8:$Z$27,"&gt;="&amp;$B7,'Master Plan'!$Z$8:$Z$27,"&lt;"&amp;$B7+7,'Master Plan'!$E$8:$E$27,W$3)</f>
        <v>0</v>
      </c>
      <c r="X7" s="268" t="n">
        <f aca="false">COUNTIFS('Master Plan'!$Z$8:$Z$27,"&gt;="&amp;$B7,'Master Plan'!$Z$8:$Z$27,"&lt;"&amp;$B7+7,'Master Plan'!$E$8:$E$27,X$3)</f>
        <v>0</v>
      </c>
      <c r="Y7" s="268" t="n">
        <f aca="false">COUNTIFS('Master Plan'!$Z$8:$Z$27,"&gt;="&amp;$B7,'Master Plan'!$Z$8:$Z$27,"&lt;"&amp;$B7+7,'Master Plan'!$E$8:$E$27,Y$3)</f>
        <v>0</v>
      </c>
      <c r="Z7" s="268" t="n">
        <f aca="false">COUNTIFS('Master Plan'!$Z$8:$Z$27,"&gt;="&amp;$B7,'Master Plan'!$Z$8:$Z$27,"&lt;"&amp;$B7+7,'Master Plan'!$E$8:$E$27,Z$3)</f>
        <v>0</v>
      </c>
    </row>
    <row r="8" customFormat="false" ht="15" hidden="false" customHeight="false" outlineLevel="0" collapsed="false">
      <c r="A8" s="268" t="s">
        <v>1529</v>
      </c>
      <c r="B8" s="33" t="n">
        <f aca="false">'Master Plan'!BL7</f>
        <v>46349</v>
      </c>
      <c r="C8" s="268" t="n">
        <f aca="false">COUNTIFS('Master Plan'!$Y$8:$Y$27,"&gt;="&amp;B8,'Master Plan'!$Y$8:$Y$27,"&lt;"&amp;B8+7)</f>
        <v>20</v>
      </c>
      <c r="D8" s="268" t="n">
        <f aca="false">COUNTIFS('Master Plan'!$AA$8:$AA$27,"&gt;="&amp;B8,'Master Plan'!$AA$8:$AA$27,"&lt;"&amp;B8+7)</f>
        <v>0</v>
      </c>
      <c r="E8" s="268" t="n">
        <f aca="false">COUNTIFS('Master Plan'!$AB$8:$AB$27,"&gt;="&amp;B8,'Master Plan'!$AB$8:$AB$27,"&lt;"&amp;B8+7)</f>
        <v>0</v>
      </c>
      <c r="F8" s="268" t="n">
        <f aca="false">COUNTIFS('Master Plan'!$AH$8:$AH$27,"&gt;="&amp;B8,'Master Plan'!$AH$8:$AH$27,"&lt;"&amp;B8+7)</f>
        <v>0</v>
      </c>
      <c r="G8" s="268" t="n">
        <f aca="false">COUNTIFS('Master Plan'!$Z$8:$Z$27,"&gt;="&amp;$B8,'Master Plan'!$Z$8:$Z$27,"&lt;"&amp;$B8+7,'Master Plan'!$E$8:$E$27,G$3)</f>
        <v>0</v>
      </c>
      <c r="H8" s="268" t="n">
        <f aca="false">COUNTIFS('Master Plan'!$Z$8:$Z$27,"&gt;="&amp;$B8,'Master Plan'!$Z$8:$Z$27,"&lt;"&amp;$B8+7,'Master Plan'!$E$8:$E$27,H$3)</f>
        <v>0</v>
      </c>
      <c r="I8" s="268" t="n">
        <f aca="false">COUNTIFS('Master Plan'!$Z$8:$Z$27,"&gt;="&amp;$B8,'Master Plan'!$Z$8:$Z$27,"&lt;"&amp;$B8+7,'Master Plan'!$E$8:$E$27,I$3)</f>
        <v>0</v>
      </c>
      <c r="J8" s="268" t="n">
        <f aca="false">COUNTIFS('Master Plan'!$Z$8:$Z$27,"&gt;="&amp;$B8,'Master Plan'!$Z$8:$Z$27,"&lt;"&amp;$B8+7,'Master Plan'!$E$8:$E$27,J$3)</f>
        <v>0</v>
      </c>
      <c r="K8" s="268" t="n">
        <f aca="false">COUNTIFS('Master Plan'!$Z$8:$Z$27,"&gt;="&amp;$B8,'Master Plan'!$Z$8:$Z$27,"&lt;"&amp;$B8+7,'Master Plan'!$E$8:$E$27,K$3)</f>
        <v>0</v>
      </c>
      <c r="L8" s="268" t="n">
        <f aca="false">COUNTIFS('Master Plan'!$Z$8:$Z$27,"&gt;="&amp;$B8,'Master Plan'!$Z$8:$Z$27,"&lt;"&amp;$B8+7,'Master Plan'!$E$8:$E$27,L$3)</f>
        <v>0</v>
      </c>
      <c r="M8" s="268" t="n">
        <f aca="false">COUNTIFS('Master Plan'!$Z$8:$Z$27,"&gt;="&amp;$B8,'Master Plan'!$Z$8:$Z$27,"&lt;"&amp;$B8+7,'Master Plan'!$E$8:$E$27,M$3)</f>
        <v>0</v>
      </c>
      <c r="N8" s="268" t="n">
        <f aca="false">COUNTIFS('Master Plan'!$Z$8:$Z$27,"&gt;="&amp;$B8,'Master Plan'!$Z$8:$Z$27,"&lt;"&amp;$B8+7,'Master Plan'!$E$8:$E$27,N$3)</f>
        <v>0</v>
      </c>
      <c r="O8" s="268" t="n">
        <f aca="false">COUNTIFS('Master Plan'!$Z$8:$Z$27,"&gt;="&amp;$B8,'Master Plan'!$Z$8:$Z$27,"&lt;"&amp;$B8+7,'Master Plan'!$E$8:$E$27,O$3)</f>
        <v>0</v>
      </c>
      <c r="P8" s="268" t="n">
        <f aca="false">COUNTIFS('Master Plan'!$Z$8:$Z$27,"&gt;="&amp;$B8,'Master Plan'!$Z$8:$Z$27,"&lt;"&amp;$B8+7,'Master Plan'!$E$8:$E$27,P$3)</f>
        <v>0</v>
      </c>
      <c r="Q8" s="268" t="n">
        <f aca="false">COUNTIFS('Master Plan'!$Z$8:$Z$27,"&gt;="&amp;$B8,'Master Plan'!$Z$8:$Z$27,"&lt;"&amp;$B8+7,'Master Plan'!$E$8:$E$27,Q$3)</f>
        <v>0</v>
      </c>
      <c r="R8" s="268" t="n">
        <f aca="false">COUNTIFS('Master Plan'!$Z$8:$Z$27,"&gt;="&amp;$B8,'Master Plan'!$Z$8:$Z$27,"&lt;"&amp;$B8+7,'Master Plan'!$E$8:$E$27,R$3)</f>
        <v>0</v>
      </c>
      <c r="S8" s="268" t="n">
        <f aca="false">COUNTIFS('Master Plan'!$Z$8:$Z$27,"&gt;="&amp;$B8,'Master Plan'!$Z$8:$Z$27,"&lt;"&amp;$B8+7,'Master Plan'!$E$8:$E$27,S$3)</f>
        <v>0</v>
      </c>
      <c r="T8" s="268" t="n">
        <f aca="false">COUNTIFS('Master Plan'!$Z$8:$Z$27,"&gt;="&amp;$B8,'Master Plan'!$Z$8:$Z$27,"&lt;"&amp;$B8+7,'Master Plan'!$E$8:$E$27,T$3)</f>
        <v>0</v>
      </c>
      <c r="U8" s="268" t="n">
        <f aca="false">COUNTIFS('Master Plan'!$Z$8:$Z$27,"&gt;="&amp;$B8,'Master Plan'!$Z$8:$Z$27,"&lt;"&amp;$B8+7,'Master Plan'!$E$8:$E$27,U$3)</f>
        <v>0</v>
      </c>
      <c r="V8" s="268" t="n">
        <f aca="false">COUNTIFS('Master Plan'!$Z$8:$Z$27,"&gt;="&amp;$B8,'Master Plan'!$Z$8:$Z$27,"&lt;"&amp;$B8+7,'Master Plan'!$E$8:$E$27,V$3)</f>
        <v>0</v>
      </c>
      <c r="W8" s="268" t="n">
        <f aca="false">COUNTIFS('Master Plan'!$Z$8:$Z$27,"&gt;="&amp;$B8,'Master Plan'!$Z$8:$Z$27,"&lt;"&amp;$B8+7,'Master Plan'!$E$8:$E$27,W$3)</f>
        <v>0</v>
      </c>
      <c r="X8" s="268" t="n">
        <f aca="false">COUNTIFS('Master Plan'!$Z$8:$Z$27,"&gt;="&amp;$B8,'Master Plan'!$Z$8:$Z$27,"&lt;"&amp;$B8+7,'Master Plan'!$E$8:$E$27,X$3)</f>
        <v>0</v>
      </c>
      <c r="Y8" s="268" t="n">
        <f aca="false">COUNTIFS('Master Plan'!$Z$8:$Z$27,"&gt;="&amp;$B8,'Master Plan'!$Z$8:$Z$27,"&lt;"&amp;$B8+7,'Master Plan'!$E$8:$E$27,Y$3)</f>
        <v>0</v>
      </c>
      <c r="Z8" s="268" t="n">
        <f aca="false">COUNTIFS('Master Plan'!$Z$8:$Z$27,"&gt;="&amp;$B8,'Master Plan'!$Z$8:$Z$27,"&lt;"&amp;$B8+7,'Master Plan'!$E$8:$E$27,Z$3)</f>
        <v>0</v>
      </c>
    </row>
    <row r="9" customFormat="false" ht="15" hidden="false" customHeight="false" outlineLevel="0" collapsed="false">
      <c r="A9" s="268" t="s">
        <v>1530</v>
      </c>
      <c r="B9" s="33" t="n">
        <f aca="false">'Master Plan'!BM7</f>
        <v>46356</v>
      </c>
      <c r="C9" s="268" t="n">
        <f aca="false">COUNTIFS('Master Plan'!$Y$8:$Y$27,"&gt;="&amp;B9,'Master Plan'!$Y$8:$Y$27,"&lt;"&amp;B9+7)</f>
        <v>0</v>
      </c>
      <c r="D9" s="268" t="n">
        <f aca="false">COUNTIFS('Master Plan'!$AA$8:$AA$27,"&gt;="&amp;B9,'Master Plan'!$AA$8:$AA$27,"&lt;"&amp;B9+7)</f>
        <v>20</v>
      </c>
      <c r="E9" s="268" t="n">
        <f aca="false">COUNTIFS('Master Plan'!$AB$8:$AB$27,"&gt;="&amp;B9,'Master Plan'!$AB$8:$AB$27,"&lt;"&amp;B9+7)</f>
        <v>0</v>
      </c>
      <c r="F9" s="268" t="n">
        <f aca="false">COUNTIFS('Master Plan'!$AH$8:$AH$27,"&gt;="&amp;B9,'Master Plan'!$AH$8:$AH$27,"&lt;"&amp;B9+7)</f>
        <v>0</v>
      </c>
      <c r="G9" s="268" t="n">
        <f aca="false">COUNTIFS('Master Plan'!$Z$8:$Z$27,"&gt;="&amp;$B9,'Master Plan'!$Z$8:$Z$27,"&lt;"&amp;$B9+7,'Master Plan'!$E$8:$E$27,G$3)</f>
        <v>1</v>
      </c>
      <c r="H9" s="268" t="n">
        <f aca="false">COUNTIFS('Master Plan'!$Z$8:$Z$27,"&gt;="&amp;$B9,'Master Plan'!$Z$8:$Z$27,"&lt;"&amp;$B9+7,'Master Plan'!$E$8:$E$27,H$3)</f>
        <v>1</v>
      </c>
      <c r="I9" s="268" t="n">
        <f aca="false">COUNTIFS('Master Plan'!$Z$8:$Z$27,"&gt;="&amp;$B9,'Master Plan'!$Z$8:$Z$27,"&lt;"&amp;$B9+7,'Master Plan'!$E$8:$E$27,I$3)</f>
        <v>1</v>
      </c>
      <c r="J9" s="268" t="n">
        <f aca="false">COUNTIFS('Master Plan'!$Z$8:$Z$27,"&gt;="&amp;$B9,'Master Plan'!$Z$8:$Z$27,"&lt;"&amp;$B9+7,'Master Plan'!$E$8:$E$27,J$3)</f>
        <v>1</v>
      </c>
      <c r="K9" s="268" t="n">
        <f aca="false">COUNTIFS('Master Plan'!$Z$8:$Z$27,"&gt;="&amp;$B9,'Master Plan'!$Z$8:$Z$27,"&lt;"&amp;$B9+7,'Master Plan'!$E$8:$E$27,K$3)</f>
        <v>1</v>
      </c>
      <c r="L9" s="268" t="n">
        <f aca="false">COUNTIFS('Master Plan'!$Z$8:$Z$27,"&gt;="&amp;$B9,'Master Plan'!$Z$8:$Z$27,"&lt;"&amp;$B9+7,'Master Plan'!$E$8:$E$27,L$3)</f>
        <v>1</v>
      </c>
      <c r="M9" s="268" t="n">
        <f aca="false">COUNTIFS('Master Plan'!$Z$8:$Z$27,"&gt;="&amp;$B9,'Master Plan'!$Z$8:$Z$27,"&lt;"&amp;$B9+7,'Master Plan'!$E$8:$E$27,M$3)</f>
        <v>1</v>
      </c>
      <c r="N9" s="268" t="n">
        <f aca="false">COUNTIFS('Master Plan'!$Z$8:$Z$27,"&gt;="&amp;$B9,'Master Plan'!$Z$8:$Z$27,"&lt;"&amp;$B9+7,'Master Plan'!$E$8:$E$27,N$3)</f>
        <v>1</v>
      </c>
      <c r="O9" s="268" t="n">
        <f aca="false">COUNTIFS('Master Plan'!$Z$8:$Z$27,"&gt;="&amp;$B9,'Master Plan'!$Z$8:$Z$27,"&lt;"&amp;$B9+7,'Master Plan'!$E$8:$E$27,O$3)</f>
        <v>1</v>
      </c>
      <c r="P9" s="268" t="n">
        <f aca="false">COUNTIFS('Master Plan'!$Z$8:$Z$27,"&gt;="&amp;$B9,'Master Plan'!$Z$8:$Z$27,"&lt;"&amp;$B9+7,'Master Plan'!$E$8:$E$27,P$3)</f>
        <v>1</v>
      </c>
      <c r="Q9" s="268" t="n">
        <f aca="false">COUNTIFS('Master Plan'!$Z$8:$Z$27,"&gt;="&amp;$B9,'Master Plan'!$Z$8:$Z$27,"&lt;"&amp;$B9+7,'Master Plan'!$E$8:$E$27,Q$3)</f>
        <v>1</v>
      </c>
      <c r="R9" s="268" t="n">
        <f aca="false">COUNTIFS('Master Plan'!$Z$8:$Z$27,"&gt;="&amp;$B9,'Master Plan'!$Z$8:$Z$27,"&lt;"&amp;$B9+7,'Master Plan'!$E$8:$E$27,R$3)</f>
        <v>1</v>
      </c>
      <c r="S9" s="268" t="n">
        <f aca="false">COUNTIFS('Master Plan'!$Z$8:$Z$27,"&gt;="&amp;$B9,'Master Plan'!$Z$8:$Z$27,"&lt;"&amp;$B9+7,'Master Plan'!$E$8:$E$27,S$3)</f>
        <v>1</v>
      </c>
      <c r="T9" s="268" t="n">
        <f aca="false">COUNTIFS('Master Plan'!$Z$8:$Z$27,"&gt;="&amp;$B9,'Master Plan'!$Z$8:$Z$27,"&lt;"&amp;$B9+7,'Master Plan'!$E$8:$E$27,T$3)</f>
        <v>1</v>
      </c>
      <c r="U9" s="268" t="n">
        <f aca="false">COUNTIFS('Master Plan'!$Z$8:$Z$27,"&gt;="&amp;$B9,'Master Plan'!$Z$8:$Z$27,"&lt;"&amp;$B9+7,'Master Plan'!$E$8:$E$27,U$3)</f>
        <v>1</v>
      </c>
      <c r="V9" s="268" t="n">
        <f aca="false">COUNTIFS('Master Plan'!$Z$8:$Z$27,"&gt;="&amp;$B9,'Master Plan'!$Z$8:$Z$27,"&lt;"&amp;$B9+7,'Master Plan'!$E$8:$E$27,V$3)</f>
        <v>1</v>
      </c>
      <c r="W9" s="268" t="n">
        <f aca="false">COUNTIFS('Master Plan'!$Z$8:$Z$27,"&gt;="&amp;$B9,'Master Plan'!$Z$8:$Z$27,"&lt;"&amp;$B9+7,'Master Plan'!$E$8:$E$27,W$3)</f>
        <v>1</v>
      </c>
      <c r="X9" s="268" t="n">
        <f aca="false">COUNTIFS('Master Plan'!$Z$8:$Z$27,"&gt;="&amp;$B9,'Master Plan'!$Z$8:$Z$27,"&lt;"&amp;$B9+7,'Master Plan'!$E$8:$E$27,X$3)</f>
        <v>1</v>
      </c>
      <c r="Y9" s="268" t="n">
        <f aca="false">COUNTIFS('Master Plan'!$Z$8:$Z$27,"&gt;="&amp;$B9,'Master Plan'!$Z$8:$Z$27,"&lt;"&amp;$B9+7,'Master Plan'!$E$8:$E$27,Y$3)</f>
        <v>1</v>
      </c>
      <c r="Z9" s="268" t="n">
        <f aca="false">COUNTIFS('Master Plan'!$Z$8:$Z$27,"&gt;="&amp;$B9,'Master Plan'!$Z$8:$Z$27,"&lt;"&amp;$B9+7,'Master Plan'!$E$8:$E$27,Z$3)</f>
        <v>1</v>
      </c>
    </row>
    <row r="10" customFormat="false" ht="15" hidden="false" customHeight="false" outlineLevel="0" collapsed="false">
      <c r="A10" s="268" t="s">
        <v>1531</v>
      </c>
      <c r="B10" s="33" t="n">
        <f aca="false">'Master Plan'!BN7</f>
        <v>46363</v>
      </c>
      <c r="C10" s="268" t="n">
        <f aca="false">COUNTIFS('Master Plan'!$Y$8:$Y$27,"&gt;="&amp;B10,'Master Plan'!$Y$8:$Y$27,"&lt;"&amp;B10+7)</f>
        <v>0</v>
      </c>
      <c r="D10" s="268" t="n">
        <f aca="false">COUNTIFS('Master Plan'!$AA$8:$AA$27,"&gt;="&amp;B10,'Master Plan'!$AA$8:$AA$27,"&lt;"&amp;B10+7)</f>
        <v>0</v>
      </c>
      <c r="E10" s="268" t="n">
        <f aca="false">COUNTIFS('Master Plan'!$AB$8:$AB$27,"&gt;="&amp;B10,'Master Plan'!$AB$8:$AB$27,"&lt;"&amp;B10+7)</f>
        <v>20</v>
      </c>
      <c r="F10" s="268" t="n">
        <f aca="false">COUNTIFS('Master Plan'!$AH$8:$AH$27,"&gt;="&amp;B10,'Master Plan'!$AH$8:$AH$27,"&lt;"&amp;B10+7)</f>
        <v>0</v>
      </c>
      <c r="G10" s="268" t="n">
        <f aca="false">COUNTIFS('Master Plan'!$Z$8:$Z$27,"&gt;="&amp;$B10,'Master Plan'!$Z$8:$Z$27,"&lt;"&amp;$B10+7,'Master Plan'!$E$8:$E$27,G$3)</f>
        <v>0</v>
      </c>
      <c r="H10" s="268" t="n">
        <f aca="false">COUNTIFS('Master Plan'!$Z$8:$Z$27,"&gt;="&amp;$B10,'Master Plan'!$Z$8:$Z$27,"&lt;"&amp;$B10+7,'Master Plan'!$E$8:$E$27,H$3)</f>
        <v>0</v>
      </c>
      <c r="I10" s="268" t="n">
        <f aca="false">COUNTIFS('Master Plan'!$Z$8:$Z$27,"&gt;="&amp;$B10,'Master Plan'!$Z$8:$Z$27,"&lt;"&amp;$B10+7,'Master Plan'!$E$8:$E$27,I$3)</f>
        <v>0</v>
      </c>
      <c r="J10" s="268" t="n">
        <f aca="false">COUNTIFS('Master Plan'!$Z$8:$Z$27,"&gt;="&amp;$B10,'Master Plan'!$Z$8:$Z$27,"&lt;"&amp;$B10+7,'Master Plan'!$E$8:$E$27,J$3)</f>
        <v>0</v>
      </c>
      <c r="K10" s="268" t="n">
        <f aca="false">COUNTIFS('Master Plan'!$Z$8:$Z$27,"&gt;="&amp;$B10,'Master Plan'!$Z$8:$Z$27,"&lt;"&amp;$B10+7,'Master Plan'!$E$8:$E$27,K$3)</f>
        <v>0</v>
      </c>
      <c r="L10" s="268" t="n">
        <f aca="false">COUNTIFS('Master Plan'!$Z$8:$Z$27,"&gt;="&amp;$B10,'Master Plan'!$Z$8:$Z$27,"&lt;"&amp;$B10+7,'Master Plan'!$E$8:$E$27,L$3)</f>
        <v>0</v>
      </c>
      <c r="M10" s="268" t="n">
        <f aca="false">COUNTIFS('Master Plan'!$Z$8:$Z$27,"&gt;="&amp;$B10,'Master Plan'!$Z$8:$Z$27,"&lt;"&amp;$B10+7,'Master Plan'!$E$8:$E$27,M$3)</f>
        <v>0</v>
      </c>
      <c r="N10" s="268" t="n">
        <f aca="false">COUNTIFS('Master Plan'!$Z$8:$Z$27,"&gt;="&amp;$B10,'Master Plan'!$Z$8:$Z$27,"&lt;"&amp;$B10+7,'Master Plan'!$E$8:$E$27,N$3)</f>
        <v>0</v>
      </c>
      <c r="O10" s="268" t="n">
        <f aca="false">COUNTIFS('Master Plan'!$Z$8:$Z$27,"&gt;="&amp;$B10,'Master Plan'!$Z$8:$Z$27,"&lt;"&amp;$B10+7,'Master Plan'!$E$8:$E$27,O$3)</f>
        <v>0</v>
      </c>
      <c r="P10" s="268" t="n">
        <f aca="false">COUNTIFS('Master Plan'!$Z$8:$Z$27,"&gt;="&amp;$B10,'Master Plan'!$Z$8:$Z$27,"&lt;"&amp;$B10+7,'Master Plan'!$E$8:$E$27,P$3)</f>
        <v>0</v>
      </c>
      <c r="Q10" s="268" t="n">
        <f aca="false">COUNTIFS('Master Plan'!$Z$8:$Z$27,"&gt;="&amp;$B10,'Master Plan'!$Z$8:$Z$27,"&lt;"&amp;$B10+7,'Master Plan'!$E$8:$E$27,Q$3)</f>
        <v>0</v>
      </c>
      <c r="R10" s="268" t="n">
        <f aca="false">COUNTIFS('Master Plan'!$Z$8:$Z$27,"&gt;="&amp;$B10,'Master Plan'!$Z$8:$Z$27,"&lt;"&amp;$B10+7,'Master Plan'!$E$8:$E$27,R$3)</f>
        <v>0</v>
      </c>
      <c r="S10" s="268" t="n">
        <f aca="false">COUNTIFS('Master Plan'!$Z$8:$Z$27,"&gt;="&amp;$B10,'Master Plan'!$Z$8:$Z$27,"&lt;"&amp;$B10+7,'Master Plan'!$E$8:$E$27,S$3)</f>
        <v>0</v>
      </c>
      <c r="T10" s="268" t="n">
        <f aca="false">COUNTIFS('Master Plan'!$Z$8:$Z$27,"&gt;="&amp;$B10,'Master Plan'!$Z$8:$Z$27,"&lt;"&amp;$B10+7,'Master Plan'!$E$8:$E$27,T$3)</f>
        <v>0</v>
      </c>
      <c r="U10" s="268" t="n">
        <f aca="false">COUNTIFS('Master Plan'!$Z$8:$Z$27,"&gt;="&amp;$B10,'Master Plan'!$Z$8:$Z$27,"&lt;"&amp;$B10+7,'Master Plan'!$E$8:$E$27,U$3)</f>
        <v>0</v>
      </c>
      <c r="V10" s="268" t="n">
        <f aca="false">COUNTIFS('Master Plan'!$Z$8:$Z$27,"&gt;="&amp;$B10,'Master Plan'!$Z$8:$Z$27,"&lt;"&amp;$B10+7,'Master Plan'!$E$8:$E$27,V$3)</f>
        <v>0</v>
      </c>
      <c r="W10" s="268" t="n">
        <f aca="false">COUNTIFS('Master Plan'!$Z$8:$Z$27,"&gt;="&amp;$B10,'Master Plan'!$Z$8:$Z$27,"&lt;"&amp;$B10+7,'Master Plan'!$E$8:$E$27,W$3)</f>
        <v>0</v>
      </c>
      <c r="X10" s="268" t="n">
        <f aca="false">COUNTIFS('Master Plan'!$Z$8:$Z$27,"&gt;="&amp;$B10,'Master Plan'!$Z$8:$Z$27,"&lt;"&amp;$B10+7,'Master Plan'!$E$8:$E$27,X$3)</f>
        <v>0</v>
      </c>
      <c r="Y10" s="268" t="n">
        <f aca="false">COUNTIFS('Master Plan'!$Z$8:$Z$27,"&gt;="&amp;$B10,'Master Plan'!$Z$8:$Z$27,"&lt;"&amp;$B10+7,'Master Plan'!$E$8:$E$27,Y$3)</f>
        <v>0</v>
      </c>
      <c r="Z10" s="268" t="n">
        <f aca="false">COUNTIFS('Master Plan'!$Z$8:$Z$27,"&gt;="&amp;$B10,'Master Plan'!$Z$8:$Z$27,"&lt;"&amp;$B10+7,'Master Plan'!$E$8:$E$27,Z$3)</f>
        <v>0</v>
      </c>
    </row>
    <row r="11" customFormat="false" ht="15" hidden="false" customHeight="false" outlineLevel="0" collapsed="false">
      <c r="A11" s="268" t="s">
        <v>1532</v>
      </c>
      <c r="B11" s="33" t="n">
        <f aca="false">'Master Plan'!BO7</f>
        <v>46370</v>
      </c>
      <c r="C11" s="268" t="n">
        <f aca="false">COUNTIFS('Master Plan'!$Y$8:$Y$27,"&gt;="&amp;B11,'Master Plan'!$Y$8:$Y$27,"&lt;"&amp;B11+7)</f>
        <v>0</v>
      </c>
      <c r="D11" s="268" t="n">
        <f aca="false">COUNTIFS('Master Plan'!$AA$8:$AA$27,"&gt;="&amp;B11,'Master Plan'!$AA$8:$AA$27,"&lt;"&amp;B11+7)</f>
        <v>0</v>
      </c>
      <c r="E11" s="268" t="n">
        <f aca="false">COUNTIFS('Master Plan'!$AB$8:$AB$27,"&gt;="&amp;B11,'Master Plan'!$AB$8:$AB$27,"&lt;"&amp;B11+7)</f>
        <v>0</v>
      </c>
      <c r="F11" s="268" t="n">
        <f aca="false">COUNTIFS('Master Plan'!$AH$8:$AH$27,"&gt;="&amp;B11,'Master Plan'!$AH$8:$AH$27,"&lt;"&amp;B11+7)</f>
        <v>0</v>
      </c>
      <c r="G11" s="268" t="n">
        <f aca="false">COUNTIFS('Master Plan'!$Z$8:$Z$27,"&gt;="&amp;$B11,'Master Plan'!$Z$8:$Z$27,"&lt;"&amp;$B11+7,'Master Plan'!$E$8:$E$27,G$3)</f>
        <v>0</v>
      </c>
      <c r="H11" s="268" t="n">
        <f aca="false">COUNTIFS('Master Plan'!$Z$8:$Z$27,"&gt;="&amp;$B11,'Master Plan'!$Z$8:$Z$27,"&lt;"&amp;$B11+7,'Master Plan'!$E$8:$E$27,H$3)</f>
        <v>0</v>
      </c>
      <c r="I11" s="268" t="n">
        <f aca="false">COUNTIFS('Master Plan'!$Z$8:$Z$27,"&gt;="&amp;$B11,'Master Plan'!$Z$8:$Z$27,"&lt;"&amp;$B11+7,'Master Plan'!$E$8:$E$27,I$3)</f>
        <v>0</v>
      </c>
      <c r="J11" s="268" t="n">
        <f aca="false">COUNTIFS('Master Plan'!$Z$8:$Z$27,"&gt;="&amp;$B11,'Master Plan'!$Z$8:$Z$27,"&lt;"&amp;$B11+7,'Master Plan'!$E$8:$E$27,J$3)</f>
        <v>0</v>
      </c>
      <c r="K11" s="268" t="n">
        <f aca="false">COUNTIFS('Master Plan'!$Z$8:$Z$27,"&gt;="&amp;$B11,'Master Plan'!$Z$8:$Z$27,"&lt;"&amp;$B11+7,'Master Plan'!$E$8:$E$27,K$3)</f>
        <v>0</v>
      </c>
      <c r="L11" s="268" t="n">
        <f aca="false">COUNTIFS('Master Plan'!$Z$8:$Z$27,"&gt;="&amp;$B11,'Master Plan'!$Z$8:$Z$27,"&lt;"&amp;$B11+7,'Master Plan'!$E$8:$E$27,L$3)</f>
        <v>0</v>
      </c>
      <c r="M11" s="268" t="n">
        <f aca="false">COUNTIFS('Master Plan'!$Z$8:$Z$27,"&gt;="&amp;$B11,'Master Plan'!$Z$8:$Z$27,"&lt;"&amp;$B11+7,'Master Plan'!$E$8:$E$27,M$3)</f>
        <v>0</v>
      </c>
      <c r="N11" s="268" t="n">
        <f aca="false">COUNTIFS('Master Plan'!$Z$8:$Z$27,"&gt;="&amp;$B11,'Master Plan'!$Z$8:$Z$27,"&lt;"&amp;$B11+7,'Master Plan'!$E$8:$E$27,N$3)</f>
        <v>0</v>
      </c>
      <c r="O11" s="268" t="n">
        <f aca="false">COUNTIFS('Master Plan'!$Z$8:$Z$27,"&gt;="&amp;$B11,'Master Plan'!$Z$8:$Z$27,"&lt;"&amp;$B11+7,'Master Plan'!$E$8:$E$27,O$3)</f>
        <v>0</v>
      </c>
      <c r="P11" s="268" t="n">
        <f aca="false">COUNTIFS('Master Plan'!$Z$8:$Z$27,"&gt;="&amp;$B11,'Master Plan'!$Z$8:$Z$27,"&lt;"&amp;$B11+7,'Master Plan'!$E$8:$E$27,P$3)</f>
        <v>0</v>
      </c>
      <c r="Q11" s="268" t="n">
        <f aca="false">COUNTIFS('Master Plan'!$Z$8:$Z$27,"&gt;="&amp;$B11,'Master Plan'!$Z$8:$Z$27,"&lt;"&amp;$B11+7,'Master Plan'!$E$8:$E$27,Q$3)</f>
        <v>0</v>
      </c>
      <c r="R11" s="268" t="n">
        <f aca="false">COUNTIFS('Master Plan'!$Z$8:$Z$27,"&gt;="&amp;$B11,'Master Plan'!$Z$8:$Z$27,"&lt;"&amp;$B11+7,'Master Plan'!$E$8:$E$27,R$3)</f>
        <v>0</v>
      </c>
      <c r="S11" s="268" t="n">
        <f aca="false">COUNTIFS('Master Plan'!$Z$8:$Z$27,"&gt;="&amp;$B11,'Master Plan'!$Z$8:$Z$27,"&lt;"&amp;$B11+7,'Master Plan'!$E$8:$E$27,S$3)</f>
        <v>0</v>
      </c>
      <c r="T11" s="268" t="n">
        <f aca="false">COUNTIFS('Master Plan'!$Z$8:$Z$27,"&gt;="&amp;$B11,'Master Plan'!$Z$8:$Z$27,"&lt;"&amp;$B11+7,'Master Plan'!$E$8:$E$27,T$3)</f>
        <v>0</v>
      </c>
      <c r="U11" s="268" t="n">
        <f aca="false">COUNTIFS('Master Plan'!$Z$8:$Z$27,"&gt;="&amp;$B11,'Master Plan'!$Z$8:$Z$27,"&lt;"&amp;$B11+7,'Master Plan'!$E$8:$E$27,U$3)</f>
        <v>0</v>
      </c>
      <c r="V11" s="268" t="n">
        <f aca="false">COUNTIFS('Master Plan'!$Z$8:$Z$27,"&gt;="&amp;$B11,'Master Plan'!$Z$8:$Z$27,"&lt;"&amp;$B11+7,'Master Plan'!$E$8:$E$27,V$3)</f>
        <v>0</v>
      </c>
      <c r="W11" s="268" t="n">
        <f aca="false">COUNTIFS('Master Plan'!$Z$8:$Z$27,"&gt;="&amp;$B11,'Master Plan'!$Z$8:$Z$27,"&lt;"&amp;$B11+7,'Master Plan'!$E$8:$E$27,W$3)</f>
        <v>0</v>
      </c>
      <c r="X11" s="268" t="n">
        <f aca="false">COUNTIFS('Master Plan'!$Z$8:$Z$27,"&gt;="&amp;$B11,'Master Plan'!$Z$8:$Z$27,"&lt;"&amp;$B11+7,'Master Plan'!$E$8:$E$27,X$3)</f>
        <v>0</v>
      </c>
      <c r="Y11" s="268" t="n">
        <f aca="false">COUNTIFS('Master Plan'!$Z$8:$Z$27,"&gt;="&amp;$B11,'Master Plan'!$Z$8:$Z$27,"&lt;"&amp;$B11+7,'Master Plan'!$E$8:$E$27,Y$3)</f>
        <v>0</v>
      </c>
      <c r="Z11" s="268" t="n">
        <f aca="false">COUNTIFS('Master Plan'!$Z$8:$Z$27,"&gt;="&amp;$B11,'Master Plan'!$Z$8:$Z$27,"&lt;"&amp;$B11+7,'Master Plan'!$E$8:$E$27,Z$3)</f>
        <v>0</v>
      </c>
    </row>
    <row r="12" customFormat="false" ht="15" hidden="false" customHeight="false" outlineLevel="0" collapsed="false">
      <c r="A12" s="268" t="s">
        <v>1533</v>
      </c>
      <c r="B12" s="33" t="n">
        <f aca="false">'Master Plan'!BP7</f>
        <v>46377</v>
      </c>
      <c r="C12" s="268" t="n">
        <f aca="false">COUNTIFS('Master Plan'!$Y$8:$Y$27,"&gt;="&amp;B12,'Master Plan'!$Y$8:$Y$27,"&lt;"&amp;B12+7)</f>
        <v>0</v>
      </c>
      <c r="D12" s="268" t="n">
        <f aca="false">COUNTIFS('Master Plan'!$AA$8:$AA$27,"&gt;="&amp;B12,'Master Plan'!$AA$8:$AA$27,"&lt;"&amp;B12+7)</f>
        <v>0</v>
      </c>
      <c r="E12" s="268" t="n">
        <f aca="false">COUNTIFS('Master Plan'!$AB$8:$AB$27,"&gt;="&amp;B12,'Master Plan'!$AB$8:$AB$27,"&lt;"&amp;B12+7)</f>
        <v>0</v>
      </c>
      <c r="F12" s="268" t="n">
        <f aca="false">COUNTIFS('Master Plan'!$AH$8:$AH$27,"&gt;="&amp;B12,'Master Plan'!$AH$8:$AH$27,"&lt;"&amp;B12+7)</f>
        <v>0</v>
      </c>
      <c r="G12" s="268" t="n">
        <f aca="false">COUNTIFS('Master Plan'!$Z$8:$Z$27,"&gt;="&amp;$B12,'Master Plan'!$Z$8:$Z$27,"&lt;"&amp;$B12+7,'Master Plan'!$E$8:$E$27,G$3)</f>
        <v>0</v>
      </c>
      <c r="H12" s="268" t="n">
        <f aca="false">COUNTIFS('Master Plan'!$Z$8:$Z$27,"&gt;="&amp;$B12,'Master Plan'!$Z$8:$Z$27,"&lt;"&amp;$B12+7,'Master Plan'!$E$8:$E$27,H$3)</f>
        <v>0</v>
      </c>
      <c r="I12" s="268" t="n">
        <f aca="false">COUNTIFS('Master Plan'!$Z$8:$Z$27,"&gt;="&amp;$B12,'Master Plan'!$Z$8:$Z$27,"&lt;"&amp;$B12+7,'Master Plan'!$E$8:$E$27,I$3)</f>
        <v>0</v>
      </c>
      <c r="J12" s="268" t="n">
        <f aca="false">COUNTIFS('Master Plan'!$Z$8:$Z$27,"&gt;="&amp;$B12,'Master Plan'!$Z$8:$Z$27,"&lt;"&amp;$B12+7,'Master Plan'!$E$8:$E$27,J$3)</f>
        <v>0</v>
      </c>
      <c r="K12" s="268" t="n">
        <f aca="false">COUNTIFS('Master Plan'!$Z$8:$Z$27,"&gt;="&amp;$B12,'Master Plan'!$Z$8:$Z$27,"&lt;"&amp;$B12+7,'Master Plan'!$E$8:$E$27,K$3)</f>
        <v>0</v>
      </c>
      <c r="L12" s="268" t="n">
        <f aca="false">COUNTIFS('Master Plan'!$Z$8:$Z$27,"&gt;="&amp;$B12,'Master Plan'!$Z$8:$Z$27,"&lt;"&amp;$B12+7,'Master Plan'!$E$8:$E$27,L$3)</f>
        <v>0</v>
      </c>
      <c r="M12" s="268" t="n">
        <f aca="false">COUNTIFS('Master Plan'!$Z$8:$Z$27,"&gt;="&amp;$B12,'Master Plan'!$Z$8:$Z$27,"&lt;"&amp;$B12+7,'Master Plan'!$E$8:$E$27,M$3)</f>
        <v>0</v>
      </c>
      <c r="N12" s="268" t="n">
        <f aca="false">COUNTIFS('Master Plan'!$Z$8:$Z$27,"&gt;="&amp;$B12,'Master Plan'!$Z$8:$Z$27,"&lt;"&amp;$B12+7,'Master Plan'!$E$8:$E$27,N$3)</f>
        <v>0</v>
      </c>
      <c r="O12" s="268" t="n">
        <f aca="false">COUNTIFS('Master Plan'!$Z$8:$Z$27,"&gt;="&amp;$B12,'Master Plan'!$Z$8:$Z$27,"&lt;"&amp;$B12+7,'Master Plan'!$E$8:$E$27,O$3)</f>
        <v>0</v>
      </c>
      <c r="P12" s="268" t="n">
        <f aca="false">COUNTIFS('Master Plan'!$Z$8:$Z$27,"&gt;="&amp;$B12,'Master Plan'!$Z$8:$Z$27,"&lt;"&amp;$B12+7,'Master Plan'!$E$8:$E$27,P$3)</f>
        <v>0</v>
      </c>
      <c r="Q12" s="268" t="n">
        <f aca="false">COUNTIFS('Master Plan'!$Z$8:$Z$27,"&gt;="&amp;$B12,'Master Plan'!$Z$8:$Z$27,"&lt;"&amp;$B12+7,'Master Plan'!$E$8:$E$27,Q$3)</f>
        <v>0</v>
      </c>
      <c r="R12" s="268" t="n">
        <f aca="false">COUNTIFS('Master Plan'!$Z$8:$Z$27,"&gt;="&amp;$B12,'Master Plan'!$Z$8:$Z$27,"&lt;"&amp;$B12+7,'Master Plan'!$E$8:$E$27,R$3)</f>
        <v>0</v>
      </c>
      <c r="S12" s="268" t="n">
        <f aca="false">COUNTIFS('Master Plan'!$Z$8:$Z$27,"&gt;="&amp;$B12,'Master Plan'!$Z$8:$Z$27,"&lt;"&amp;$B12+7,'Master Plan'!$E$8:$E$27,S$3)</f>
        <v>0</v>
      </c>
      <c r="T12" s="268" t="n">
        <f aca="false">COUNTIFS('Master Plan'!$Z$8:$Z$27,"&gt;="&amp;$B12,'Master Plan'!$Z$8:$Z$27,"&lt;"&amp;$B12+7,'Master Plan'!$E$8:$E$27,T$3)</f>
        <v>0</v>
      </c>
      <c r="U12" s="268" t="n">
        <f aca="false">COUNTIFS('Master Plan'!$Z$8:$Z$27,"&gt;="&amp;$B12,'Master Plan'!$Z$8:$Z$27,"&lt;"&amp;$B12+7,'Master Plan'!$E$8:$E$27,U$3)</f>
        <v>0</v>
      </c>
      <c r="V12" s="268" t="n">
        <f aca="false">COUNTIFS('Master Plan'!$Z$8:$Z$27,"&gt;="&amp;$B12,'Master Plan'!$Z$8:$Z$27,"&lt;"&amp;$B12+7,'Master Plan'!$E$8:$E$27,V$3)</f>
        <v>0</v>
      </c>
      <c r="W12" s="268" t="n">
        <f aca="false">COUNTIFS('Master Plan'!$Z$8:$Z$27,"&gt;="&amp;$B12,'Master Plan'!$Z$8:$Z$27,"&lt;"&amp;$B12+7,'Master Plan'!$E$8:$E$27,W$3)</f>
        <v>0</v>
      </c>
      <c r="X12" s="268" t="n">
        <f aca="false">COUNTIFS('Master Plan'!$Z$8:$Z$27,"&gt;="&amp;$B12,'Master Plan'!$Z$8:$Z$27,"&lt;"&amp;$B12+7,'Master Plan'!$E$8:$E$27,X$3)</f>
        <v>0</v>
      </c>
      <c r="Y12" s="268" t="n">
        <f aca="false">COUNTIFS('Master Plan'!$Z$8:$Z$27,"&gt;="&amp;$B12,'Master Plan'!$Z$8:$Z$27,"&lt;"&amp;$B12+7,'Master Plan'!$E$8:$E$27,Y$3)</f>
        <v>0</v>
      </c>
      <c r="Z12" s="268" t="n">
        <f aca="false">COUNTIFS('Master Plan'!$Z$8:$Z$27,"&gt;="&amp;$B12,'Master Plan'!$Z$8:$Z$27,"&lt;"&amp;$B12+7,'Master Plan'!$E$8:$E$27,Z$3)</f>
        <v>0</v>
      </c>
    </row>
    <row r="13" customFormat="false" ht="15" hidden="false" customHeight="false" outlineLevel="0" collapsed="false">
      <c r="A13" s="268" t="s">
        <v>1534</v>
      </c>
      <c r="B13" s="33" t="n">
        <f aca="false">'Master Plan'!BQ7</f>
        <v>46384</v>
      </c>
      <c r="C13" s="268" t="n">
        <f aca="false">COUNTIFS('Master Plan'!$Y$8:$Y$27,"&gt;="&amp;B13,'Master Plan'!$Y$8:$Y$27,"&lt;"&amp;B13+7)</f>
        <v>0</v>
      </c>
      <c r="D13" s="268" t="n">
        <f aca="false">COUNTIFS('Master Plan'!$AA$8:$AA$27,"&gt;="&amp;B13,'Master Plan'!$AA$8:$AA$27,"&lt;"&amp;B13+7)</f>
        <v>0</v>
      </c>
      <c r="E13" s="268" t="n">
        <f aca="false">COUNTIFS('Master Plan'!$AB$8:$AB$27,"&gt;="&amp;B13,'Master Plan'!$AB$8:$AB$27,"&lt;"&amp;B13+7)</f>
        <v>0</v>
      </c>
      <c r="F13" s="268" t="n">
        <f aca="false">COUNTIFS('Master Plan'!$AH$8:$AH$27,"&gt;="&amp;B13,'Master Plan'!$AH$8:$AH$27,"&lt;"&amp;B13+7)</f>
        <v>0</v>
      </c>
      <c r="G13" s="268" t="n">
        <f aca="false">COUNTIFS('Master Plan'!$Z$8:$Z$27,"&gt;="&amp;$B13,'Master Plan'!$Z$8:$Z$27,"&lt;"&amp;$B13+7,'Master Plan'!$E$8:$E$27,G$3)</f>
        <v>0</v>
      </c>
      <c r="H13" s="268" t="n">
        <f aca="false">COUNTIFS('Master Plan'!$Z$8:$Z$27,"&gt;="&amp;$B13,'Master Plan'!$Z$8:$Z$27,"&lt;"&amp;$B13+7,'Master Plan'!$E$8:$E$27,H$3)</f>
        <v>0</v>
      </c>
      <c r="I13" s="268" t="n">
        <f aca="false">COUNTIFS('Master Plan'!$Z$8:$Z$27,"&gt;="&amp;$B13,'Master Plan'!$Z$8:$Z$27,"&lt;"&amp;$B13+7,'Master Plan'!$E$8:$E$27,I$3)</f>
        <v>0</v>
      </c>
      <c r="J13" s="268" t="n">
        <f aca="false">COUNTIFS('Master Plan'!$Z$8:$Z$27,"&gt;="&amp;$B13,'Master Plan'!$Z$8:$Z$27,"&lt;"&amp;$B13+7,'Master Plan'!$E$8:$E$27,J$3)</f>
        <v>0</v>
      </c>
      <c r="K13" s="268" t="n">
        <f aca="false">COUNTIFS('Master Plan'!$Z$8:$Z$27,"&gt;="&amp;$B13,'Master Plan'!$Z$8:$Z$27,"&lt;"&amp;$B13+7,'Master Plan'!$E$8:$E$27,K$3)</f>
        <v>0</v>
      </c>
      <c r="L13" s="268" t="n">
        <f aca="false">COUNTIFS('Master Plan'!$Z$8:$Z$27,"&gt;="&amp;$B13,'Master Plan'!$Z$8:$Z$27,"&lt;"&amp;$B13+7,'Master Plan'!$E$8:$E$27,L$3)</f>
        <v>0</v>
      </c>
      <c r="M13" s="268" t="n">
        <f aca="false">COUNTIFS('Master Plan'!$Z$8:$Z$27,"&gt;="&amp;$B13,'Master Plan'!$Z$8:$Z$27,"&lt;"&amp;$B13+7,'Master Plan'!$E$8:$E$27,M$3)</f>
        <v>0</v>
      </c>
      <c r="N13" s="268" t="n">
        <f aca="false">COUNTIFS('Master Plan'!$Z$8:$Z$27,"&gt;="&amp;$B13,'Master Plan'!$Z$8:$Z$27,"&lt;"&amp;$B13+7,'Master Plan'!$E$8:$E$27,N$3)</f>
        <v>0</v>
      </c>
      <c r="O13" s="268" t="n">
        <f aca="false">COUNTIFS('Master Plan'!$Z$8:$Z$27,"&gt;="&amp;$B13,'Master Plan'!$Z$8:$Z$27,"&lt;"&amp;$B13+7,'Master Plan'!$E$8:$E$27,O$3)</f>
        <v>0</v>
      </c>
      <c r="P13" s="268" t="n">
        <f aca="false">COUNTIFS('Master Plan'!$Z$8:$Z$27,"&gt;="&amp;$B13,'Master Plan'!$Z$8:$Z$27,"&lt;"&amp;$B13+7,'Master Plan'!$E$8:$E$27,P$3)</f>
        <v>0</v>
      </c>
      <c r="Q13" s="268" t="n">
        <f aca="false">COUNTIFS('Master Plan'!$Z$8:$Z$27,"&gt;="&amp;$B13,'Master Plan'!$Z$8:$Z$27,"&lt;"&amp;$B13+7,'Master Plan'!$E$8:$E$27,Q$3)</f>
        <v>0</v>
      </c>
      <c r="R13" s="268" t="n">
        <f aca="false">COUNTIFS('Master Plan'!$Z$8:$Z$27,"&gt;="&amp;$B13,'Master Plan'!$Z$8:$Z$27,"&lt;"&amp;$B13+7,'Master Plan'!$E$8:$E$27,R$3)</f>
        <v>0</v>
      </c>
      <c r="S13" s="268" t="n">
        <f aca="false">COUNTIFS('Master Plan'!$Z$8:$Z$27,"&gt;="&amp;$B13,'Master Plan'!$Z$8:$Z$27,"&lt;"&amp;$B13+7,'Master Plan'!$E$8:$E$27,S$3)</f>
        <v>0</v>
      </c>
      <c r="T13" s="268" t="n">
        <f aca="false">COUNTIFS('Master Plan'!$Z$8:$Z$27,"&gt;="&amp;$B13,'Master Plan'!$Z$8:$Z$27,"&lt;"&amp;$B13+7,'Master Plan'!$E$8:$E$27,T$3)</f>
        <v>0</v>
      </c>
      <c r="U13" s="268" t="n">
        <f aca="false">COUNTIFS('Master Plan'!$Z$8:$Z$27,"&gt;="&amp;$B13,'Master Plan'!$Z$8:$Z$27,"&lt;"&amp;$B13+7,'Master Plan'!$E$8:$E$27,U$3)</f>
        <v>0</v>
      </c>
      <c r="V13" s="268" t="n">
        <f aca="false">COUNTIFS('Master Plan'!$Z$8:$Z$27,"&gt;="&amp;$B13,'Master Plan'!$Z$8:$Z$27,"&lt;"&amp;$B13+7,'Master Plan'!$E$8:$E$27,V$3)</f>
        <v>0</v>
      </c>
      <c r="W13" s="268" t="n">
        <f aca="false">COUNTIFS('Master Plan'!$Z$8:$Z$27,"&gt;="&amp;$B13,'Master Plan'!$Z$8:$Z$27,"&lt;"&amp;$B13+7,'Master Plan'!$E$8:$E$27,W$3)</f>
        <v>0</v>
      </c>
      <c r="X13" s="268" t="n">
        <f aca="false">COUNTIFS('Master Plan'!$Z$8:$Z$27,"&gt;="&amp;$B13,'Master Plan'!$Z$8:$Z$27,"&lt;"&amp;$B13+7,'Master Plan'!$E$8:$E$27,X$3)</f>
        <v>0</v>
      </c>
      <c r="Y13" s="268" t="n">
        <f aca="false">COUNTIFS('Master Plan'!$Z$8:$Z$27,"&gt;="&amp;$B13,'Master Plan'!$Z$8:$Z$27,"&lt;"&amp;$B13+7,'Master Plan'!$E$8:$E$27,Y$3)</f>
        <v>0</v>
      </c>
      <c r="Z13" s="268" t="n">
        <f aca="false">COUNTIFS('Master Plan'!$Z$8:$Z$27,"&gt;="&amp;$B13,'Master Plan'!$Z$8:$Z$27,"&lt;"&amp;$B13+7,'Master Plan'!$E$8:$E$27,Z$3)</f>
        <v>0</v>
      </c>
    </row>
    <row r="14" customFormat="false" ht="15" hidden="false" customHeight="false" outlineLevel="0" collapsed="false">
      <c r="A14" s="268" t="s">
        <v>1535</v>
      </c>
      <c r="B14" s="33" t="n">
        <f aca="false">'Master Plan'!BR7</f>
        <v>46391</v>
      </c>
      <c r="C14" s="268" t="n">
        <f aca="false">COUNTIFS('Master Plan'!$Y$8:$Y$27,"&gt;="&amp;B14,'Master Plan'!$Y$8:$Y$27,"&lt;"&amp;B14+7)</f>
        <v>0</v>
      </c>
      <c r="D14" s="268" t="n">
        <f aca="false">COUNTIFS('Master Plan'!$AA$8:$AA$27,"&gt;="&amp;B14,'Master Plan'!$AA$8:$AA$27,"&lt;"&amp;B14+7)</f>
        <v>0</v>
      </c>
      <c r="E14" s="268" t="n">
        <f aca="false">COUNTIFS('Master Plan'!$AB$8:$AB$27,"&gt;="&amp;B14,'Master Plan'!$AB$8:$AB$27,"&lt;"&amp;B14+7)</f>
        <v>0</v>
      </c>
      <c r="F14" s="268" t="n">
        <f aca="false">COUNTIFS('Master Plan'!$AH$8:$AH$27,"&gt;="&amp;B14,'Master Plan'!$AH$8:$AH$27,"&lt;"&amp;B14+7)</f>
        <v>0</v>
      </c>
      <c r="G14" s="268" t="n">
        <f aca="false">COUNTIFS('Master Plan'!$Z$8:$Z$27,"&gt;="&amp;$B14,'Master Plan'!$Z$8:$Z$27,"&lt;"&amp;$B14+7,'Master Plan'!$E$8:$E$27,G$3)</f>
        <v>0</v>
      </c>
      <c r="H14" s="268" t="n">
        <f aca="false">COUNTIFS('Master Plan'!$Z$8:$Z$27,"&gt;="&amp;$B14,'Master Plan'!$Z$8:$Z$27,"&lt;"&amp;$B14+7,'Master Plan'!$E$8:$E$27,H$3)</f>
        <v>0</v>
      </c>
      <c r="I14" s="268" t="n">
        <f aca="false">COUNTIFS('Master Plan'!$Z$8:$Z$27,"&gt;="&amp;$B14,'Master Plan'!$Z$8:$Z$27,"&lt;"&amp;$B14+7,'Master Plan'!$E$8:$E$27,I$3)</f>
        <v>0</v>
      </c>
      <c r="J14" s="268" t="n">
        <f aca="false">COUNTIFS('Master Plan'!$Z$8:$Z$27,"&gt;="&amp;$B14,'Master Plan'!$Z$8:$Z$27,"&lt;"&amp;$B14+7,'Master Plan'!$E$8:$E$27,J$3)</f>
        <v>0</v>
      </c>
      <c r="K14" s="268" t="n">
        <f aca="false">COUNTIFS('Master Plan'!$Z$8:$Z$27,"&gt;="&amp;$B14,'Master Plan'!$Z$8:$Z$27,"&lt;"&amp;$B14+7,'Master Plan'!$E$8:$E$27,K$3)</f>
        <v>0</v>
      </c>
      <c r="L14" s="268" t="n">
        <f aca="false">COUNTIFS('Master Plan'!$Z$8:$Z$27,"&gt;="&amp;$B14,'Master Plan'!$Z$8:$Z$27,"&lt;"&amp;$B14+7,'Master Plan'!$E$8:$E$27,L$3)</f>
        <v>0</v>
      </c>
      <c r="M14" s="268" t="n">
        <f aca="false">COUNTIFS('Master Plan'!$Z$8:$Z$27,"&gt;="&amp;$B14,'Master Plan'!$Z$8:$Z$27,"&lt;"&amp;$B14+7,'Master Plan'!$E$8:$E$27,M$3)</f>
        <v>0</v>
      </c>
      <c r="N14" s="268" t="n">
        <f aca="false">COUNTIFS('Master Plan'!$Z$8:$Z$27,"&gt;="&amp;$B14,'Master Plan'!$Z$8:$Z$27,"&lt;"&amp;$B14+7,'Master Plan'!$E$8:$E$27,N$3)</f>
        <v>0</v>
      </c>
      <c r="O14" s="268" t="n">
        <f aca="false">COUNTIFS('Master Plan'!$Z$8:$Z$27,"&gt;="&amp;$B14,'Master Plan'!$Z$8:$Z$27,"&lt;"&amp;$B14+7,'Master Plan'!$E$8:$E$27,O$3)</f>
        <v>0</v>
      </c>
      <c r="P14" s="268" t="n">
        <f aca="false">COUNTIFS('Master Plan'!$Z$8:$Z$27,"&gt;="&amp;$B14,'Master Plan'!$Z$8:$Z$27,"&lt;"&amp;$B14+7,'Master Plan'!$E$8:$E$27,P$3)</f>
        <v>0</v>
      </c>
      <c r="Q14" s="268" t="n">
        <f aca="false">COUNTIFS('Master Plan'!$Z$8:$Z$27,"&gt;="&amp;$B14,'Master Plan'!$Z$8:$Z$27,"&lt;"&amp;$B14+7,'Master Plan'!$E$8:$E$27,Q$3)</f>
        <v>0</v>
      </c>
      <c r="R14" s="268" t="n">
        <f aca="false">COUNTIFS('Master Plan'!$Z$8:$Z$27,"&gt;="&amp;$B14,'Master Plan'!$Z$8:$Z$27,"&lt;"&amp;$B14+7,'Master Plan'!$E$8:$E$27,R$3)</f>
        <v>0</v>
      </c>
      <c r="S14" s="268" t="n">
        <f aca="false">COUNTIFS('Master Plan'!$Z$8:$Z$27,"&gt;="&amp;$B14,'Master Plan'!$Z$8:$Z$27,"&lt;"&amp;$B14+7,'Master Plan'!$E$8:$E$27,S$3)</f>
        <v>0</v>
      </c>
      <c r="T14" s="268" t="n">
        <f aca="false">COUNTIFS('Master Plan'!$Z$8:$Z$27,"&gt;="&amp;$B14,'Master Plan'!$Z$8:$Z$27,"&lt;"&amp;$B14+7,'Master Plan'!$E$8:$E$27,T$3)</f>
        <v>0</v>
      </c>
      <c r="U14" s="268" t="n">
        <f aca="false">COUNTIFS('Master Plan'!$Z$8:$Z$27,"&gt;="&amp;$B14,'Master Plan'!$Z$8:$Z$27,"&lt;"&amp;$B14+7,'Master Plan'!$E$8:$E$27,U$3)</f>
        <v>0</v>
      </c>
      <c r="V14" s="268" t="n">
        <f aca="false">COUNTIFS('Master Plan'!$Z$8:$Z$27,"&gt;="&amp;$B14,'Master Plan'!$Z$8:$Z$27,"&lt;"&amp;$B14+7,'Master Plan'!$E$8:$E$27,V$3)</f>
        <v>0</v>
      </c>
      <c r="W14" s="268" t="n">
        <f aca="false">COUNTIFS('Master Plan'!$Z$8:$Z$27,"&gt;="&amp;$B14,'Master Plan'!$Z$8:$Z$27,"&lt;"&amp;$B14+7,'Master Plan'!$E$8:$E$27,W$3)</f>
        <v>0</v>
      </c>
      <c r="X14" s="268" t="n">
        <f aca="false">COUNTIFS('Master Plan'!$Z$8:$Z$27,"&gt;="&amp;$B14,'Master Plan'!$Z$8:$Z$27,"&lt;"&amp;$B14+7,'Master Plan'!$E$8:$E$27,X$3)</f>
        <v>0</v>
      </c>
      <c r="Y14" s="268" t="n">
        <f aca="false">COUNTIFS('Master Plan'!$Z$8:$Z$27,"&gt;="&amp;$B14,'Master Plan'!$Z$8:$Z$27,"&lt;"&amp;$B14+7,'Master Plan'!$E$8:$E$27,Y$3)</f>
        <v>0</v>
      </c>
      <c r="Z14" s="268" t="n">
        <f aca="false">COUNTIFS('Master Plan'!$Z$8:$Z$27,"&gt;="&amp;$B14,'Master Plan'!$Z$8:$Z$27,"&lt;"&amp;$B14+7,'Master Plan'!$E$8:$E$27,Z$3)</f>
        <v>0</v>
      </c>
    </row>
    <row r="15" customFormat="false" ht="15" hidden="false" customHeight="false" outlineLevel="0" collapsed="false">
      <c r="A15" s="268" t="s">
        <v>1536</v>
      </c>
      <c r="B15" s="33" t="n">
        <f aca="false">'Master Plan'!BS7</f>
        <v>46398</v>
      </c>
      <c r="C15" s="268" t="n">
        <f aca="false">COUNTIFS('Master Plan'!$Y$8:$Y$27,"&gt;="&amp;B15,'Master Plan'!$Y$8:$Y$27,"&lt;"&amp;B15+7)</f>
        <v>0</v>
      </c>
      <c r="D15" s="268" t="n">
        <f aca="false">COUNTIFS('Master Plan'!$AA$8:$AA$27,"&gt;="&amp;B15,'Master Plan'!$AA$8:$AA$27,"&lt;"&amp;B15+7)</f>
        <v>0</v>
      </c>
      <c r="E15" s="268" t="n">
        <f aca="false">COUNTIFS('Master Plan'!$AB$8:$AB$27,"&gt;="&amp;B15,'Master Plan'!$AB$8:$AB$27,"&lt;"&amp;B15+7)</f>
        <v>0</v>
      </c>
      <c r="F15" s="268" t="n">
        <f aca="false">COUNTIFS('Master Plan'!$AH$8:$AH$27,"&gt;="&amp;B15,'Master Plan'!$AH$8:$AH$27,"&lt;"&amp;B15+7)</f>
        <v>0</v>
      </c>
      <c r="G15" s="268" t="n">
        <f aca="false">COUNTIFS('Master Plan'!$Z$8:$Z$27,"&gt;="&amp;$B15,'Master Plan'!$Z$8:$Z$27,"&lt;"&amp;$B15+7,'Master Plan'!$E$8:$E$27,G$3)</f>
        <v>0</v>
      </c>
      <c r="H15" s="268" t="n">
        <f aca="false">COUNTIFS('Master Plan'!$Z$8:$Z$27,"&gt;="&amp;$B15,'Master Plan'!$Z$8:$Z$27,"&lt;"&amp;$B15+7,'Master Plan'!$E$8:$E$27,H$3)</f>
        <v>0</v>
      </c>
      <c r="I15" s="268" t="n">
        <f aca="false">COUNTIFS('Master Plan'!$Z$8:$Z$27,"&gt;="&amp;$B15,'Master Plan'!$Z$8:$Z$27,"&lt;"&amp;$B15+7,'Master Plan'!$E$8:$E$27,I$3)</f>
        <v>0</v>
      </c>
      <c r="J15" s="268" t="n">
        <f aca="false">COUNTIFS('Master Plan'!$Z$8:$Z$27,"&gt;="&amp;$B15,'Master Plan'!$Z$8:$Z$27,"&lt;"&amp;$B15+7,'Master Plan'!$E$8:$E$27,J$3)</f>
        <v>0</v>
      </c>
      <c r="K15" s="268" t="n">
        <f aca="false">COUNTIFS('Master Plan'!$Z$8:$Z$27,"&gt;="&amp;$B15,'Master Plan'!$Z$8:$Z$27,"&lt;"&amp;$B15+7,'Master Plan'!$E$8:$E$27,K$3)</f>
        <v>0</v>
      </c>
      <c r="L15" s="268" t="n">
        <f aca="false">COUNTIFS('Master Plan'!$Z$8:$Z$27,"&gt;="&amp;$B15,'Master Plan'!$Z$8:$Z$27,"&lt;"&amp;$B15+7,'Master Plan'!$E$8:$E$27,L$3)</f>
        <v>0</v>
      </c>
      <c r="M15" s="268" t="n">
        <f aca="false">COUNTIFS('Master Plan'!$Z$8:$Z$27,"&gt;="&amp;$B15,'Master Plan'!$Z$8:$Z$27,"&lt;"&amp;$B15+7,'Master Plan'!$E$8:$E$27,M$3)</f>
        <v>0</v>
      </c>
      <c r="N15" s="268" t="n">
        <f aca="false">COUNTIFS('Master Plan'!$Z$8:$Z$27,"&gt;="&amp;$B15,'Master Plan'!$Z$8:$Z$27,"&lt;"&amp;$B15+7,'Master Plan'!$E$8:$E$27,N$3)</f>
        <v>0</v>
      </c>
      <c r="O15" s="268" t="n">
        <f aca="false">COUNTIFS('Master Plan'!$Z$8:$Z$27,"&gt;="&amp;$B15,'Master Plan'!$Z$8:$Z$27,"&lt;"&amp;$B15+7,'Master Plan'!$E$8:$E$27,O$3)</f>
        <v>0</v>
      </c>
      <c r="P15" s="268" t="n">
        <f aca="false">COUNTIFS('Master Plan'!$Z$8:$Z$27,"&gt;="&amp;$B15,'Master Plan'!$Z$8:$Z$27,"&lt;"&amp;$B15+7,'Master Plan'!$E$8:$E$27,P$3)</f>
        <v>0</v>
      </c>
      <c r="Q15" s="268" t="n">
        <f aca="false">COUNTIFS('Master Plan'!$Z$8:$Z$27,"&gt;="&amp;$B15,'Master Plan'!$Z$8:$Z$27,"&lt;"&amp;$B15+7,'Master Plan'!$E$8:$E$27,Q$3)</f>
        <v>0</v>
      </c>
      <c r="R15" s="268" t="n">
        <f aca="false">COUNTIFS('Master Plan'!$Z$8:$Z$27,"&gt;="&amp;$B15,'Master Plan'!$Z$8:$Z$27,"&lt;"&amp;$B15+7,'Master Plan'!$E$8:$E$27,R$3)</f>
        <v>0</v>
      </c>
      <c r="S15" s="268" t="n">
        <f aca="false">COUNTIFS('Master Plan'!$Z$8:$Z$27,"&gt;="&amp;$B15,'Master Plan'!$Z$8:$Z$27,"&lt;"&amp;$B15+7,'Master Plan'!$E$8:$E$27,S$3)</f>
        <v>0</v>
      </c>
      <c r="T15" s="268" t="n">
        <f aca="false">COUNTIFS('Master Plan'!$Z$8:$Z$27,"&gt;="&amp;$B15,'Master Plan'!$Z$8:$Z$27,"&lt;"&amp;$B15+7,'Master Plan'!$E$8:$E$27,T$3)</f>
        <v>0</v>
      </c>
      <c r="U15" s="268" t="n">
        <f aca="false">COUNTIFS('Master Plan'!$Z$8:$Z$27,"&gt;="&amp;$B15,'Master Plan'!$Z$8:$Z$27,"&lt;"&amp;$B15+7,'Master Plan'!$E$8:$E$27,U$3)</f>
        <v>0</v>
      </c>
      <c r="V15" s="268" t="n">
        <f aca="false">COUNTIFS('Master Plan'!$Z$8:$Z$27,"&gt;="&amp;$B15,'Master Plan'!$Z$8:$Z$27,"&lt;"&amp;$B15+7,'Master Plan'!$E$8:$E$27,V$3)</f>
        <v>0</v>
      </c>
      <c r="W15" s="268" t="n">
        <f aca="false">COUNTIFS('Master Plan'!$Z$8:$Z$27,"&gt;="&amp;$B15,'Master Plan'!$Z$8:$Z$27,"&lt;"&amp;$B15+7,'Master Plan'!$E$8:$E$27,W$3)</f>
        <v>0</v>
      </c>
      <c r="X15" s="268" t="n">
        <f aca="false">COUNTIFS('Master Plan'!$Z$8:$Z$27,"&gt;="&amp;$B15,'Master Plan'!$Z$8:$Z$27,"&lt;"&amp;$B15+7,'Master Plan'!$E$8:$E$27,X$3)</f>
        <v>0</v>
      </c>
      <c r="Y15" s="268" t="n">
        <f aca="false">COUNTIFS('Master Plan'!$Z$8:$Z$27,"&gt;="&amp;$B15,'Master Plan'!$Z$8:$Z$27,"&lt;"&amp;$B15+7,'Master Plan'!$E$8:$E$27,Y$3)</f>
        <v>0</v>
      </c>
      <c r="Z15" s="268" t="n">
        <f aca="false">COUNTIFS('Master Plan'!$Z$8:$Z$27,"&gt;="&amp;$B15,'Master Plan'!$Z$8:$Z$27,"&lt;"&amp;$B15+7,'Master Plan'!$E$8:$E$27,Z$3)</f>
        <v>0</v>
      </c>
    </row>
    <row r="16" customFormat="false" ht="15" hidden="false" customHeight="false" outlineLevel="0" collapsed="false">
      <c r="A16" s="268" t="s">
        <v>1537</v>
      </c>
      <c r="B16" s="33" t="n">
        <f aca="false">'Master Plan'!BT7</f>
        <v>46405</v>
      </c>
      <c r="C16" s="268" t="n">
        <f aca="false">COUNTIFS('Master Plan'!$Y$8:$Y$27,"&gt;="&amp;B16,'Master Plan'!$Y$8:$Y$27,"&lt;"&amp;B16+7)</f>
        <v>0</v>
      </c>
      <c r="D16" s="268" t="n">
        <f aca="false">COUNTIFS('Master Plan'!$AA$8:$AA$27,"&gt;="&amp;B16,'Master Plan'!$AA$8:$AA$27,"&lt;"&amp;B16+7)</f>
        <v>0</v>
      </c>
      <c r="E16" s="268" t="n">
        <f aca="false">COUNTIFS('Master Plan'!$AB$8:$AB$27,"&gt;="&amp;B16,'Master Plan'!$AB$8:$AB$27,"&lt;"&amp;B16+7)</f>
        <v>0</v>
      </c>
      <c r="F16" s="268" t="n">
        <f aca="false">COUNTIFS('Master Plan'!$AH$8:$AH$27,"&gt;="&amp;B16,'Master Plan'!$AH$8:$AH$27,"&lt;"&amp;B16+7)</f>
        <v>0</v>
      </c>
      <c r="G16" s="268" t="n">
        <f aca="false">COUNTIFS('Master Plan'!$Z$8:$Z$27,"&gt;="&amp;$B16,'Master Plan'!$Z$8:$Z$27,"&lt;"&amp;$B16+7,'Master Plan'!$E$8:$E$27,G$3)</f>
        <v>0</v>
      </c>
      <c r="H16" s="268" t="n">
        <f aca="false">COUNTIFS('Master Plan'!$Z$8:$Z$27,"&gt;="&amp;$B16,'Master Plan'!$Z$8:$Z$27,"&lt;"&amp;$B16+7,'Master Plan'!$E$8:$E$27,H$3)</f>
        <v>0</v>
      </c>
      <c r="I16" s="268" t="n">
        <f aca="false">COUNTIFS('Master Plan'!$Z$8:$Z$27,"&gt;="&amp;$B16,'Master Plan'!$Z$8:$Z$27,"&lt;"&amp;$B16+7,'Master Plan'!$E$8:$E$27,I$3)</f>
        <v>0</v>
      </c>
      <c r="J16" s="268" t="n">
        <f aca="false">COUNTIFS('Master Plan'!$Z$8:$Z$27,"&gt;="&amp;$B16,'Master Plan'!$Z$8:$Z$27,"&lt;"&amp;$B16+7,'Master Plan'!$E$8:$E$27,J$3)</f>
        <v>0</v>
      </c>
      <c r="K16" s="268" t="n">
        <f aca="false">COUNTIFS('Master Plan'!$Z$8:$Z$27,"&gt;="&amp;$B16,'Master Plan'!$Z$8:$Z$27,"&lt;"&amp;$B16+7,'Master Plan'!$E$8:$E$27,K$3)</f>
        <v>0</v>
      </c>
      <c r="L16" s="268" t="n">
        <f aca="false">COUNTIFS('Master Plan'!$Z$8:$Z$27,"&gt;="&amp;$B16,'Master Plan'!$Z$8:$Z$27,"&lt;"&amp;$B16+7,'Master Plan'!$E$8:$E$27,L$3)</f>
        <v>0</v>
      </c>
      <c r="M16" s="268" t="n">
        <f aca="false">COUNTIFS('Master Plan'!$Z$8:$Z$27,"&gt;="&amp;$B16,'Master Plan'!$Z$8:$Z$27,"&lt;"&amp;$B16+7,'Master Plan'!$E$8:$E$27,M$3)</f>
        <v>0</v>
      </c>
      <c r="N16" s="268" t="n">
        <f aca="false">COUNTIFS('Master Plan'!$Z$8:$Z$27,"&gt;="&amp;$B16,'Master Plan'!$Z$8:$Z$27,"&lt;"&amp;$B16+7,'Master Plan'!$E$8:$E$27,N$3)</f>
        <v>0</v>
      </c>
      <c r="O16" s="268" t="n">
        <f aca="false">COUNTIFS('Master Plan'!$Z$8:$Z$27,"&gt;="&amp;$B16,'Master Plan'!$Z$8:$Z$27,"&lt;"&amp;$B16+7,'Master Plan'!$E$8:$E$27,O$3)</f>
        <v>0</v>
      </c>
      <c r="P16" s="268" t="n">
        <f aca="false">COUNTIFS('Master Plan'!$Z$8:$Z$27,"&gt;="&amp;$B16,'Master Plan'!$Z$8:$Z$27,"&lt;"&amp;$B16+7,'Master Plan'!$E$8:$E$27,P$3)</f>
        <v>0</v>
      </c>
      <c r="Q16" s="268" t="n">
        <f aca="false">COUNTIFS('Master Plan'!$Z$8:$Z$27,"&gt;="&amp;$B16,'Master Plan'!$Z$8:$Z$27,"&lt;"&amp;$B16+7,'Master Plan'!$E$8:$E$27,Q$3)</f>
        <v>0</v>
      </c>
      <c r="R16" s="268" t="n">
        <f aca="false">COUNTIFS('Master Plan'!$Z$8:$Z$27,"&gt;="&amp;$B16,'Master Plan'!$Z$8:$Z$27,"&lt;"&amp;$B16+7,'Master Plan'!$E$8:$E$27,R$3)</f>
        <v>0</v>
      </c>
      <c r="S16" s="268" t="n">
        <f aca="false">COUNTIFS('Master Plan'!$Z$8:$Z$27,"&gt;="&amp;$B16,'Master Plan'!$Z$8:$Z$27,"&lt;"&amp;$B16+7,'Master Plan'!$E$8:$E$27,S$3)</f>
        <v>0</v>
      </c>
      <c r="T16" s="268" t="n">
        <f aca="false">COUNTIFS('Master Plan'!$Z$8:$Z$27,"&gt;="&amp;$B16,'Master Plan'!$Z$8:$Z$27,"&lt;"&amp;$B16+7,'Master Plan'!$E$8:$E$27,T$3)</f>
        <v>0</v>
      </c>
      <c r="U16" s="268" t="n">
        <f aca="false">COUNTIFS('Master Plan'!$Z$8:$Z$27,"&gt;="&amp;$B16,'Master Plan'!$Z$8:$Z$27,"&lt;"&amp;$B16+7,'Master Plan'!$E$8:$E$27,U$3)</f>
        <v>0</v>
      </c>
      <c r="V16" s="268" t="n">
        <f aca="false">COUNTIFS('Master Plan'!$Z$8:$Z$27,"&gt;="&amp;$B16,'Master Plan'!$Z$8:$Z$27,"&lt;"&amp;$B16+7,'Master Plan'!$E$8:$E$27,V$3)</f>
        <v>0</v>
      </c>
      <c r="W16" s="268" t="n">
        <f aca="false">COUNTIFS('Master Plan'!$Z$8:$Z$27,"&gt;="&amp;$B16,'Master Plan'!$Z$8:$Z$27,"&lt;"&amp;$B16+7,'Master Plan'!$E$8:$E$27,W$3)</f>
        <v>0</v>
      </c>
      <c r="X16" s="268" t="n">
        <f aca="false">COUNTIFS('Master Plan'!$Z$8:$Z$27,"&gt;="&amp;$B16,'Master Plan'!$Z$8:$Z$27,"&lt;"&amp;$B16+7,'Master Plan'!$E$8:$E$27,X$3)</f>
        <v>0</v>
      </c>
      <c r="Y16" s="268" t="n">
        <f aca="false">COUNTIFS('Master Plan'!$Z$8:$Z$27,"&gt;="&amp;$B16,'Master Plan'!$Z$8:$Z$27,"&lt;"&amp;$B16+7,'Master Plan'!$E$8:$E$27,Y$3)</f>
        <v>0</v>
      </c>
      <c r="Z16" s="268" t="n">
        <f aca="false">COUNTIFS('Master Plan'!$Z$8:$Z$27,"&gt;="&amp;$B16,'Master Plan'!$Z$8:$Z$27,"&lt;"&amp;$B16+7,'Master Plan'!$E$8:$E$27,Z$3)</f>
        <v>0</v>
      </c>
    </row>
    <row r="17" customFormat="false" ht="15" hidden="false" customHeight="false" outlineLevel="0" collapsed="false">
      <c r="A17" s="268" t="s">
        <v>1538</v>
      </c>
      <c r="B17" s="33" t="n">
        <f aca="false">'Master Plan'!BU7</f>
        <v>46412</v>
      </c>
      <c r="C17" s="268" t="n">
        <f aca="false">COUNTIFS('Master Plan'!$Y$8:$Y$27,"&gt;="&amp;B17,'Master Plan'!$Y$8:$Y$27,"&lt;"&amp;B17+7)</f>
        <v>0</v>
      </c>
      <c r="D17" s="268" t="n">
        <f aca="false">COUNTIFS('Master Plan'!$AA$8:$AA$27,"&gt;="&amp;B17,'Master Plan'!$AA$8:$AA$27,"&lt;"&amp;B17+7)</f>
        <v>0</v>
      </c>
      <c r="E17" s="268" t="n">
        <f aca="false">COUNTIFS('Master Plan'!$AB$8:$AB$27,"&gt;="&amp;B17,'Master Plan'!$AB$8:$AB$27,"&lt;"&amp;B17+7)</f>
        <v>0</v>
      </c>
      <c r="F17" s="268" t="n">
        <f aca="false">COUNTIFS('Master Plan'!$AH$8:$AH$27,"&gt;="&amp;B17,'Master Plan'!$AH$8:$AH$27,"&lt;"&amp;B17+7)</f>
        <v>0</v>
      </c>
      <c r="G17" s="268" t="n">
        <f aca="false">COUNTIFS('Master Plan'!$Z$8:$Z$27,"&gt;="&amp;$B17,'Master Plan'!$Z$8:$Z$27,"&lt;"&amp;$B17+7,'Master Plan'!$E$8:$E$27,G$3)</f>
        <v>0</v>
      </c>
      <c r="H17" s="268" t="n">
        <f aca="false">COUNTIFS('Master Plan'!$Z$8:$Z$27,"&gt;="&amp;$B17,'Master Plan'!$Z$8:$Z$27,"&lt;"&amp;$B17+7,'Master Plan'!$E$8:$E$27,H$3)</f>
        <v>0</v>
      </c>
      <c r="I17" s="268" t="n">
        <f aca="false">COUNTIFS('Master Plan'!$Z$8:$Z$27,"&gt;="&amp;$B17,'Master Plan'!$Z$8:$Z$27,"&lt;"&amp;$B17+7,'Master Plan'!$E$8:$E$27,I$3)</f>
        <v>0</v>
      </c>
      <c r="J17" s="268" t="n">
        <f aca="false">COUNTIFS('Master Plan'!$Z$8:$Z$27,"&gt;="&amp;$B17,'Master Plan'!$Z$8:$Z$27,"&lt;"&amp;$B17+7,'Master Plan'!$E$8:$E$27,J$3)</f>
        <v>0</v>
      </c>
      <c r="K17" s="268" t="n">
        <f aca="false">COUNTIFS('Master Plan'!$Z$8:$Z$27,"&gt;="&amp;$B17,'Master Plan'!$Z$8:$Z$27,"&lt;"&amp;$B17+7,'Master Plan'!$E$8:$E$27,K$3)</f>
        <v>0</v>
      </c>
      <c r="L17" s="268" t="n">
        <f aca="false">COUNTIFS('Master Plan'!$Z$8:$Z$27,"&gt;="&amp;$B17,'Master Plan'!$Z$8:$Z$27,"&lt;"&amp;$B17+7,'Master Plan'!$E$8:$E$27,L$3)</f>
        <v>0</v>
      </c>
      <c r="M17" s="268" t="n">
        <f aca="false">COUNTIFS('Master Plan'!$Z$8:$Z$27,"&gt;="&amp;$B17,'Master Plan'!$Z$8:$Z$27,"&lt;"&amp;$B17+7,'Master Plan'!$E$8:$E$27,M$3)</f>
        <v>0</v>
      </c>
      <c r="N17" s="268" t="n">
        <f aca="false">COUNTIFS('Master Plan'!$Z$8:$Z$27,"&gt;="&amp;$B17,'Master Plan'!$Z$8:$Z$27,"&lt;"&amp;$B17+7,'Master Plan'!$E$8:$E$27,N$3)</f>
        <v>0</v>
      </c>
      <c r="O17" s="268" t="n">
        <f aca="false">COUNTIFS('Master Plan'!$Z$8:$Z$27,"&gt;="&amp;$B17,'Master Plan'!$Z$8:$Z$27,"&lt;"&amp;$B17+7,'Master Plan'!$E$8:$E$27,O$3)</f>
        <v>0</v>
      </c>
      <c r="P17" s="268" t="n">
        <f aca="false">COUNTIFS('Master Plan'!$Z$8:$Z$27,"&gt;="&amp;$B17,'Master Plan'!$Z$8:$Z$27,"&lt;"&amp;$B17+7,'Master Plan'!$E$8:$E$27,P$3)</f>
        <v>0</v>
      </c>
      <c r="Q17" s="268" t="n">
        <f aca="false">COUNTIFS('Master Plan'!$Z$8:$Z$27,"&gt;="&amp;$B17,'Master Plan'!$Z$8:$Z$27,"&lt;"&amp;$B17+7,'Master Plan'!$E$8:$E$27,Q$3)</f>
        <v>0</v>
      </c>
      <c r="R17" s="268" t="n">
        <f aca="false">COUNTIFS('Master Plan'!$Z$8:$Z$27,"&gt;="&amp;$B17,'Master Plan'!$Z$8:$Z$27,"&lt;"&amp;$B17+7,'Master Plan'!$E$8:$E$27,R$3)</f>
        <v>0</v>
      </c>
      <c r="S17" s="268" t="n">
        <f aca="false">COUNTIFS('Master Plan'!$Z$8:$Z$27,"&gt;="&amp;$B17,'Master Plan'!$Z$8:$Z$27,"&lt;"&amp;$B17+7,'Master Plan'!$E$8:$E$27,S$3)</f>
        <v>0</v>
      </c>
      <c r="T17" s="268" t="n">
        <f aca="false">COUNTIFS('Master Plan'!$Z$8:$Z$27,"&gt;="&amp;$B17,'Master Plan'!$Z$8:$Z$27,"&lt;"&amp;$B17+7,'Master Plan'!$E$8:$E$27,T$3)</f>
        <v>0</v>
      </c>
      <c r="U17" s="268" t="n">
        <f aca="false">COUNTIFS('Master Plan'!$Z$8:$Z$27,"&gt;="&amp;$B17,'Master Plan'!$Z$8:$Z$27,"&lt;"&amp;$B17+7,'Master Plan'!$E$8:$E$27,U$3)</f>
        <v>0</v>
      </c>
      <c r="V17" s="268" t="n">
        <f aca="false">COUNTIFS('Master Plan'!$Z$8:$Z$27,"&gt;="&amp;$B17,'Master Plan'!$Z$8:$Z$27,"&lt;"&amp;$B17+7,'Master Plan'!$E$8:$E$27,V$3)</f>
        <v>0</v>
      </c>
      <c r="W17" s="268" t="n">
        <f aca="false">COUNTIFS('Master Plan'!$Z$8:$Z$27,"&gt;="&amp;$B17,'Master Plan'!$Z$8:$Z$27,"&lt;"&amp;$B17+7,'Master Plan'!$E$8:$E$27,W$3)</f>
        <v>0</v>
      </c>
      <c r="X17" s="268" t="n">
        <f aca="false">COUNTIFS('Master Plan'!$Z$8:$Z$27,"&gt;="&amp;$B17,'Master Plan'!$Z$8:$Z$27,"&lt;"&amp;$B17+7,'Master Plan'!$E$8:$E$27,X$3)</f>
        <v>0</v>
      </c>
      <c r="Y17" s="268" t="n">
        <f aca="false">COUNTIFS('Master Plan'!$Z$8:$Z$27,"&gt;="&amp;$B17,'Master Plan'!$Z$8:$Z$27,"&lt;"&amp;$B17+7,'Master Plan'!$E$8:$E$27,Y$3)</f>
        <v>0</v>
      </c>
      <c r="Z17" s="268" t="n">
        <f aca="false">COUNTIFS('Master Plan'!$Z$8:$Z$27,"&gt;="&amp;$B17,'Master Plan'!$Z$8:$Z$27,"&lt;"&amp;$B17+7,'Master Plan'!$E$8:$E$27,Z$3)</f>
        <v>0</v>
      </c>
    </row>
    <row r="18" customFormat="false" ht="15" hidden="false" customHeight="false" outlineLevel="0" collapsed="false">
      <c r="A18" s="268" t="s">
        <v>1539</v>
      </c>
      <c r="B18" s="33" t="n">
        <f aca="false">'Master Plan'!BV7</f>
        <v>46419</v>
      </c>
      <c r="C18" s="268" t="n">
        <f aca="false">COUNTIFS('Master Plan'!$Y$8:$Y$27,"&gt;="&amp;B18,'Master Plan'!$Y$8:$Y$27,"&lt;"&amp;B18+7)</f>
        <v>0</v>
      </c>
      <c r="D18" s="268" t="n">
        <f aca="false">COUNTIFS('Master Plan'!$AA$8:$AA$27,"&gt;="&amp;B18,'Master Plan'!$AA$8:$AA$27,"&lt;"&amp;B18+7)</f>
        <v>0</v>
      </c>
      <c r="E18" s="268" t="n">
        <f aca="false">COUNTIFS('Master Plan'!$AB$8:$AB$27,"&gt;="&amp;B18,'Master Plan'!$AB$8:$AB$27,"&lt;"&amp;B18+7)</f>
        <v>0</v>
      </c>
      <c r="F18" s="268" t="n">
        <f aca="false">COUNTIFS('Master Plan'!$AH$8:$AH$27,"&gt;="&amp;B18,'Master Plan'!$AH$8:$AH$27,"&lt;"&amp;B18+7)</f>
        <v>0</v>
      </c>
      <c r="G18" s="268" t="n">
        <f aca="false">COUNTIFS('Master Plan'!$Z$8:$Z$27,"&gt;="&amp;$B18,'Master Plan'!$Z$8:$Z$27,"&lt;"&amp;$B18+7,'Master Plan'!$E$8:$E$27,G$3)</f>
        <v>0</v>
      </c>
      <c r="H18" s="268" t="n">
        <f aca="false">COUNTIFS('Master Plan'!$Z$8:$Z$27,"&gt;="&amp;$B18,'Master Plan'!$Z$8:$Z$27,"&lt;"&amp;$B18+7,'Master Plan'!$E$8:$E$27,H$3)</f>
        <v>0</v>
      </c>
      <c r="I18" s="268" t="n">
        <f aca="false">COUNTIFS('Master Plan'!$Z$8:$Z$27,"&gt;="&amp;$B18,'Master Plan'!$Z$8:$Z$27,"&lt;"&amp;$B18+7,'Master Plan'!$E$8:$E$27,I$3)</f>
        <v>0</v>
      </c>
      <c r="J18" s="268" t="n">
        <f aca="false">COUNTIFS('Master Plan'!$Z$8:$Z$27,"&gt;="&amp;$B18,'Master Plan'!$Z$8:$Z$27,"&lt;"&amp;$B18+7,'Master Plan'!$E$8:$E$27,J$3)</f>
        <v>0</v>
      </c>
      <c r="K18" s="268" t="n">
        <f aca="false">COUNTIFS('Master Plan'!$Z$8:$Z$27,"&gt;="&amp;$B18,'Master Plan'!$Z$8:$Z$27,"&lt;"&amp;$B18+7,'Master Plan'!$E$8:$E$27,K$3)</f>
        <v>0</v>
      </c>
      <c r="L18" s="268" t="n">
        <f aca="false">COUNTIFS('Master Plan'!$Z$8:$Z$27,"&gt;="&amp;$B18,'Master Plan'!$Z$8:$Z$27,"&lt;"&amp;$B18+7,'Master Plan'!$E$8:$E$27,L$3)</f>
        <v>0</v>
      </c>
      <c r="M18" s="268" t="n">
        <f aca="false">COUNTIFS('Master Plan'!$Z$8:$Z$27,"&gt;="&amp;$B18,'Master Plan'!$Z$8:$Z$27,"&lt;"&amp;$B18+7,'Master Plan'!$E$8:$E$27,M$3)</f>
        <v>0</v>
      </c>
      <c r="N18" s="268" t="n">
        <f aca="false">COUNTIFS('Master Plan'!$Z$8:$Z$27,"&gt;="&amp;$B18,'Master Plan'!$Z$8:$Z$27,"&lt;"&amp;$B18+7,'Master Plan'!$E$8:$E$27,N$3)</f>
        <v>0</v>
      </c>
      <c r="O18" s="268" t="n">
        <f aca="false">COUNTIFS('Master Plan'!$Z$8:$Z$27,"&gt;="&amp;$B18,'Master Plan'!$Z$8:$Z$27,"&lt;"&amp;$B18+7,'Master Plan'!$E$8:$E$27,O$3)</f>
        <v>0</v>
      </c>
      <c r="P18" s="268" t="n">
        <f aca="false">COUNTIFS('Master Plan'!$Z$8:$Z$27,"&gt;="&amp;$B18,'Master Plan'!$Z$8:$Z$27,"&lt;"&amp;$B18+7,'Master Plan'!$E$8:$E$27,P$3)</f>
        <v>0</v>
      </c>
      <c r="Q18" s="268" t="n">
        <f aca="false">COUNTIFS('Master Plan'!$Z$8:$Z$27,"&gt;="&amp;$B18,'Master Plan'!$Z$8:$Z$27,"&lt;"&amp;$B18+7,'Master Plan'!$E$8:$E$27,Q$3)</f>
        <v>0</v>
      </c>
      <c r="R18" s="268" t="n">
        <f aca="false">COUNTIFS('Master Plan'!$Z$8:$Z$27,"&gt;="&amp;$B18,'Master Plan'!$Z$8:$Z$27,"&lt;"&amp;$B18+7,'Master Plan'!$E$8:$E$27,R$3)</f>
        <v>0</v>
      </c>
      <c r="S18" s="268" t="n">
        <f aca="false">COUNTIFS('Master Plan'!$Z$8:$Z$27,"&gt;="&amp;$B18,'Master Plan'!$Z$8:$Z$27,"&lt;"&amp;$B18+7,'Master Plan'!$E$8:$E$27,S$3)</f>
        <v>0</v>
      </c>
      <c r="T18" s="268" t="n">
        <f aca="false">COUNTIFS('Master Plan'!$Z$8:$Z$27,"&gt;="&amp;$B18,'Master Plan'!$Z$8:$Z$27,"&lt;"&amp;$B18+7,'Master Plan'!$E$8:$E$27,T$3)</f>
        <v>0</v>
      </c>
      <c r="U18" s="268" t="n">
        <f aca="false">COUNTIFS('Master Plan'!$Z$8:$Z$27,"&gt;="&amp;$B18,'Master Plan'!$Z$8:$Z$27,"&lt;"&amp;$B18+7,'Master Plan'!$E$8:$E$27,U$3)</f>
        <v>0</v>
      </c>
      <c r="V18" s="268" t="n">
        <f aca="false">COUNTIFS('Master Plan'!$Z$8:$Z$27,"&gt;="&amp;$B18,'Master Plan'!$Z$8:$Z$27,"&lt;"&amp;$B18+7,'Master Plan'!$E$8:$E$27,V$3)</f>
        <v>0</v>
      </c>
      <c r="W18" s="268" t="n">
        <f aca="false">COUNTIFS('Master Plan'!$Z$8:$Z$27,"&gt;="&amp;$B18,'Master Plan'!$Z$8:$Z$27,"&lt;"&amp;$B18+7,'Master Plan'!$E$8:$E$27,W$3)</f>
        <v>0</v>
      </c>
      <c r="X18" s="268" t="n">
        <f aca="false">COUNTIFS('Master Plan'!$Z$8:$Z$27,"&gt;="&amp;$B18,'Master Plan'!$Z$8:$Z$27,"&lt;"&amp;$B18+7,'Master Plan'!$E$8:$E$27,X$3)</f>
        <v>0</v>
      </c>
      <c r="Y18" s="268" t="n">
        <f aca="false">COUNTIFS('Master Plan'!$Z$8:$Z$27,"&gt;="&amp;$B18,'Master Plan'!$Z$8:$Z$27,"&lt;"&amp;$B18+7,'Master Plan'!$E$8:$E$27,Y$3)</f>
        <v>0</v>
      </c>
      <c r="Z18" s="268" t="n">
        <f aca="false">COUNTIFS('Master Plan'!$Z$8:$Z$27,"&gt;="&amp;$B18,'Master Plan'!$Z$8:$Z$27,"&lt;"&amp;$B18+7,'Master Plan'!$E$8:$E$27,Z$3)</f>
        <v>0</v>
      </c>
    </row>
    <row r="19" customFormat="false" ht="15" hidden="false" customHeight="false" outlineLevel="0" collapsed="false">
      <c r="A19" s="268" t="s">
        <v>1540</v>
      </c>
      <c r="B19" s="33" t="n">
        <f aca="false">'Master Plan'!BW7</f>
        <v>46426</v>
      </c>
      <c r="C19" s="268" t="n">
        <f aca="false">COUNTIFS('Master Plan'!$Y$8:$Y$27,"&gt;="&amp;B19,'Master Plan'!$Y$8:$Y$27,"&lt;"&amp;B19+7)</f>
        <v>0</v>
      </c>
      <c r="D19" s="268" t="n">
        <f aca="false">COUNTIFS('Master Plan'!$AA$8:$AA$27,"&gt;="&amp;B19,'Master Plan'!$AA$8:$AA$27,"&lt;"&amp;B19+7)</f>
        <v>0</v>
      </c>
      <c r="E19" s="268" t="n">
        <f aca="false">COUNTIFS('Master Plan'!$AB$8:$AB$27,"&gt;="&amp;B19,'Master Plan'!$AB$8:$AB$27,"&lt;"&amp;B19+7)</f>
        <v>0</v>
      </c>
      <c r="F19" s="268" t="n">
        <f aca="false">COUNTIFS('Master Plan'!$AH$8:$AH$27,"&gt;="&amp;B19,'Master Plan'!$AH$8:$AH$27,"&lt;"&amp;B19+7)</f>
        <v>0</v>
      </c>
      <c r="G19" s="268" t="n">
        <f aca="false">COUNTIFS('Master Plan'!$Z$8:$Z$27,"&gt;="&amp;$B19,'Master Plan'!$Z$8:$Z$27,"&lt;"&amp;$B19+7,'Master Plan'!$E$8:$E$27,G$3)</f>
        <v>0</v>
      </c>
      <c r="H19" s="268" t="n">
        <f aca="false">COUNTIFS('Master Plan'!$Z$8:$Z$27,"&gt;="&amp;$B19,'Master Plan'!$Z$8:$Z$27,"&lt;"&amp;$B19+7,'Master Plan'!$E$8:$E$27,H$3)</f>
        <v>0</v>
      </c>
      <c r="I19" s="268" t="n">
        <f aca="false">COUNTIFS('Master Plan'!$Z$8:$Z$27,"&gt;="&amp;$B19,'Master Plan'!$Z$8:$Z$27,"&lt;"&amp;$B19+7,'Master Plan'!$E$8:$E$27,I$3)</f>
        <v>0</v>
      </c>
      <c r="J19" s="268" t="n">
        <f aca="false">COUNTIFS('Master Plan'!$Z$8:$Z$27,"&gt;="&amp;$B19,'Master Plan'!$Z$8:$Z$27,"&lt;"&amp;$B19+7,'Master Plan'!$E$8:$E$27,J$3)</f>
        <v>0</v>
      </c>
      <c r="K19" s="268" t="n">
        <f aca="false">COUNTIFS('Master Plan'!$Z$8:$Z$27,"&gt;="&amp;$B19,'Master Plan'!$Z$8:$Z$27,"&lt;"&amp;$B19+7,'Master Plan'!$E$8:$E$27,K$3)</f>
        <v>0</v>
      </c>
      <c r="L19" s="268" t="n">
        <f aca="false">COUNTIFS('Master Plan'!$Z$8:$Z$27,"&gt;="&amp;$B19,'Master Plan'!$Z$8:$Z$27,"&lt;"&amp;$B19+7,'Master Plan'!$E$8:$E$27,L$3)</f>
        <v>0</v>
      </c>
      <c r="M19" s="268" t="n">
        <f aca="false">COUNTIFS('Master Plan'!$Z$8:$Z$27,"&gt;="&amp;$B19,'Master Plan'!$Z$8:$Z$27,"&lt;"&amp;$B19+7,'Master Plan'!$E$8:$E$27,M$3)</f>
        <v>0</v>
      </c>
      <c r="N19" s="268" t="n">
        <f aca="false">COUNTIFS('Master Plan'!$Z$8:$Z$27,"&gt;="&amp;$B19,'Master Plan'!$Z$8:$Z$27,"&lt;"&amp;$B19+7,'Master Plan'!$E$8:$E$27,N$3)</f>
        <v>0</v>
      </c>
      <c r="O19" s="268" t="n">
        <f aca="false">COUNTIFS('Master Plan'!$Z$8:$Z$27,"&gt;="&amp;$B19,'Master Plan'!$Z$8:$Z$27,"&lt;"&amp;$B19+7,'Master Plan'!$E$8:$E$27,O$3)</f>
        <v>0</v>
      </c>
      <c r="P19" s="268" t="n">
        <f aca="false">COUNTIFS('Master Plan'!$Z$8:$Z$27,"&gt;="&amp;$B19,'Master Plan'!$Z$8:$Z$27,"&lt;"&amp;$B19+7,'Master Plan'!$E$8:$E$27,P$3)</f>
        <v>0</v>
      </c>
      <c r="Q19" s="268" t="n">
        <f aca="false">COUNTIFS('Master Plan'!$Z$8:$Z$27,"&gt;="&amp;$B19,'Master Plan'!$Z$8:$Z$27,"&lt;"&amp;$B19+7,'Master Plan'!$E$8:$E$27,Q$3)</f>
        <v>0</v>
      </c>
      <c r="R19" s="268" t="n">
        <f aca="false">COUNTIFS('Master Plan'!$Z$8:$Z$27,"&gt;="&amp;$B19,'Master Plan'!$Z$8:$Z$27,"&lt;"&amp;$B19+7,'Master Plan'!$E$8:$E$27,R$3)</f>
        <v>0</v>
      </c>
      <c r="S19" s="268" t="n">
        <f aca="false">COUNTIFS('Master Plan'!$Z$8:$Z$27,"&gt;="&amp;$B19,'Master Plan'!$Z$8:$Z$27,"&lt;"&amp;$B19+7,'Master Plan'!$E$8:$E$27,S$3)</f>
        <v>0</v>
      </c>
      <c r="T19" s="268" t="n">
        <f aca="false">COUNTIFS('Master Plan'!$Z$8:$Z$27,"&gt;="&amp;$B19,'Master Plan'!$Z$8:$Z$27,"&lt;"&amp;$B19+7,'Master Plan'!$E$8:$E$27,T$3)</f>
        <v>0</v>
      </c>
      <c r="U19" s="268" t="n">
        <f aca="false">COUNTIFS('Master Plan'!$Z$8:$Z$27,"&gt;="&amp;$B19,'Master Plan'!$Z$8:$Z$27,"&lt;"&amp;$B19+7,'Master Plan'!$E$8:$E$27,U$3)</f>
        <v>0</v>
      </c>
      <c r="V19" s="268" t="n">
        <f aca="false">COUNTIFS('Master Plan'!$Z$8:$Z$27,"&gt;="&amp;$B19,'Master Plan'!$Z$8:$Z$27,"&lt;"&amp;$B19+7,'Master Plan'!$E$8:$E$27,V$3)</f>
        <v>0</v>
      </c>
      <c r="W19" s="268" t="n">
        <f aca="false">COUNTIFS('Master Plan'!$Z$8:$Z$27,"&gt;="&amp;$B19,'Master Plan'!$Z$8:$Z$27,"&lt;"&amp;$B19+7,'Master Plan'!$E$8:$E$27,W$3)</f>
        <v>0</v>
      </c>
      <c r="X19" s="268" t="n">
        <f aca="false">COUNTIFS('Master Plan'!$Z$8:$Z$27,"&gt;="&amp;$B19,'Master Plan'!$Z$8:$Z$27,"&lt;"&amp;$B19+7,'Master Plan'!$E$8:$E$27,X$3)</f>
        <v>0</v>
      </c>
      <c r="Y19" s="268" t="n">
        <f aca="false">COUNTIFS('Master Plan'!$Z$8:$Z$27,"&gt;="&amp;$B19,'Master Plan'!$Z$8:$Z$27,"&lt;"&amp;$B19+7,'Master Plan'!$E$8:$E$27,Y$3)</f>
        <v>0</v>
      </c>
      <c r="Z19" s="268" t="n">
        <f aca="false">COUNTIFS('Master Plan'!$Z$8:$Z$27,"&gt;="&amp;$B19,'Master Plan'!$Z$8:$Z$27,"&lt;"&amp;$B19+7,'Master Plan'!$E$8:$E$27,Z$3)</f>
        <v>0</v>
      </c>
    </row>
    <row r="20" customFormat="false" ht="15" hidden="false" customHeight="false" outlineLevel="0" collapsed="false">
      <c r="A20" s="268" t="s">
        <v>1541</v>
      </c>
      <c r="B20" s="33" t="n">
        <f aca="false">'Master Plan'!BX7</f>
        <v>46433</v>
      </c>
      <c r="C20" s="268" t="n">
        <f aca="false">COUNTIFS('Master Plan'!$Y$8:$Y$27,"&gt;="&amp;B20,'Master Plan'!$Y$8:$Y$27,"&lt;"&amp;B20+7)</f>
        <v>0</v>
      </c>
      <c r="D20" s="268" t="n">
        <f aca="false">COUNTIFS('Master Plan'!$AA$8:$AA$27,"&gt;="&amp;B20,'Master Plan'!$AA$8:$AA$27,"&lt;"&amp;B20+7)</f>
        <v>0</v>
      </c>
      <c r="E20" s="268" t="n">
        <f aca="false">COUNTIFS('Master Plan'!$AB$8:$AB$27,"&gt;="&amp;B20,'Master Plan'!$AB$8:$AB$27,"&lt;"&amp;B20+7)</f>
        <v>0</v>
      </c>
      <c r="F20" s="268" t="n">
        <f aca="false">COUNTIFS('Master Plan'!$AH$8:$AH$27,"&gt;="&amp;B20,'Master Plan'!$AH$8:$AH$27,"&lt;"&amp;B20+7)</f>
        <v>20</v>
      </c>
      <c r="G20" s="268" t="n">
        <f aca="false">COUNTIFS('Master Plan'!$Z$8:$Z$27,"&gt;="&amp;$B20,'Master Plan'!$Z$8:$Z$27,"&lt;"&amp;$B20+7,'Master Plan'!$E$8:$E$27,G$3)</f>
        <v>0</v>
      </c>
      <c r="H20" s="268" t="n">
        <f aca="false">COUNTIFS('Master Plan'!$Z$8:$Z$27,"&gt;="&amp;$B20,'Master Plan'!$Z$8:$Z$27,"&lt;"&amp;$B20+7,'Master Plan'!$E$8:$E$27,H$3)</f>
        <v>0</v>
      </c>
      <c r="I20" s="268" t="n">
        <f aca="false">COUNTIFS('Master Plan'!$Z$8:$Z$27,"&gt;="&amp;$B20,'Master Plan'!$Z$8:$Z$27,"&lt;"&amp;$B20+7,'Master Plan'!$E$8:$E$27,I$3)</f>
        <v>0</v>
      </c>
      <c r="J20" s="268" t="n">
        <f aca="false">COUNTIFS('Master Plan'!$Z$8:$Z$27,"&gt;="&amp;$B20,'Master Plan'!$Z$8:$Z$27,"&lt;"&amp;$B20+7,'Master Plan'!$E$8:$E$27,J$3)</f>
        <v>0</v>
      </c>
      <c r="K20" s="268" t="n">
        <f aca="false">COUNTIFS('Master Plan'!$Z$8:$Z$27,"&gt;="&amp;$B20,'Master Plan'!$Z$8:$Z$27,"&lt;"&amp;$B20+7,'Master Plan'!$E$8:$E$27,K$3)</f>
        <v>0</v>
      </c>
      <c r="L20" s="268" t="n">
        <f aca="false">COUNTIFS('Master Plan'!$Z$8:$Z$27,"&gt;="&amp;$B20,'Master Plan'!$Z$8:$Z$27,"&lt;"&amp;$B20+7,'Master Plan'!$E$8:$E$27,L$3)</f>
        <v>0</v>
      </c>
      <c r="M20" s="268" t="n">
        <f aca="false">COUNTIFS('Master Plan'!$Z$8:$Z$27,"&gt;="&amp;$B20,'Master Plan'!$Z$8:$Z$27,"&lt;"&amp;$B20+7,'Master Plan'!$E$8:$E$27,M$3)</f>
        <v>0</v>
      </c>
      <c r="N20" s="268" t="n">
        <f aca="false">COUNTIFS('Master Plan'!$Z$8:$Z$27,"&gt;="&amp;$B20,'Master Plan'!$Z$8:$Z$27,"&lt;"&amp;$B20+7,'Master Plan'!$E$8:$E$27,N$3)</f>
        <v>0</v>
      </c>
      <c r="O20" s="268" t="n">
        <f aca="false">COUNTIFS('Master Plan'!$Z$8:$Z$27,"&gt;="&amp;$B20,'Master Plan'!$Z$8:$Z$27,"&lt;"&amp;$B20+7,'Master Plan'!$E$8:$E$27,O$3)</f>
        <v>0</v>
      </c>
      <c r="P20" s="268" t="n">
        <f aca="false">COUNTIFS('Master Plan'!$Z$8:$Z$27,"&gt;="&amp;$B20,'Master Plan'!$Z$8:$Z$27,"&lt;"&amp;$B20+7,'Master Plan'!$E$8:$E$27,P$3)</f>
        <v>0</v>
      </c>
      <c r="Q20" s="268" t="n">
        <f aca="false">COUNTIFS('Master Plan'!$Z$8:$Z$27,"&gt;="&amp;$B20,'Master Plan'!$Z$8:$Z$27,"&lt;"&amp;$B20+7,'Master Plan'!$E$8:$E$27,Q$3)</f>
        <v>0</v>
      </c>
      <c r="R20" s="268" t="n">
        <f aca="false">COUNTIFS('Master Plan'!$Z$8:$Z$27,"&gt;="&amp;$B20,'Master Plan'!$Z$8:$Z$27,"&lt;"&amp;$B20+7,'Master Plan'!$E$8:$E$27,R$3)</f>
        <v>0</v>
      </c>
      <c r="S20" s="268" t="n">
        <f aca="false">COUNTIFS('Master Plan'!$Z$8:$Z$27,"&gt;="&amp;$B20,'Master Plan'!$Z$8:$Z$27,"&lt;"&amp;$B20+7,'Master Plan'!$E$8:$E$27,S$3)</f>
        <v>0</v>
      </c>
      <c r="T20" s="268" t="n">
        <f aca="false">COUNTIFS('Master Plan'!$Z$8:$Z$27,"&gt;="&amp;$B20,'Master Plan'!$Z$8:$Z$27,"&lt;"&amp;$B20+7,'Master Plan'!$E$8:$E$27,T$3)</f>
        <v>0</v>
      </c>
      <c r="U20" s="268" t="n">
        <f aca="false">COUNTIFS('Master Plan'!$Z$8:$Z$27,"&gt;="&amp;$B20,'Master Plan'!$Z$8:$Z$27,"&lt;"&amp;$B20+7,'Master Plan'!$E$8:$E$27,U$3)</f>
        <v>0</v>
      </c>
      <c r="V20" s="268" t="n">
        <f aca="false">COUNTIFS('Master Plan'!$Z$8:$Z$27,"&gt;="&amp;$B20,'Master Plan'!$Z$8:$Z$27,"&lt;"&amp;$B20+7,'Master Plan'!$E$8:$E$27,V$3)</f>
        <v>0</v>
      </c>
      <c r="W20" s="268" t="n">
        <f aca="false">COUNTIFS('Master Plan'!$Z$8:$Z$27,"&gt;="&amp;$B20,'Master Plan'!$Z$8:$Z$27,"&lt;"&amp;$B20+7,'Master Plan'!$E$8:$E$27,W$3)</f>
        <v>0</v>
      </c>
      <c r="X20" s="268" t="n">
        <f aca="false">COUNTIFS('Master Plan'!$Z$8:$Z$27,"&gt;="&amp;$B20,'Master Plan'!$Z$8:$Z$27,"&lt;"&amp;$B20+7,'Master Plan'!$E$8:$E$27,X$3)</f>
        <v>0</v>
      </c>
      <c r="Y20" s="268" t="n">
        <f aca="false">COUNTIFS('Master Plan'!$Z$8:$Z$27,"&gt;="&amp;$B20,'Master Plan'!$Z$8:$Z$27,"&lt;"&amp;$B20+7,'Master Plan'!$E$8:$E$27,Y$3)</f>
        <v>0</v>
      </c>
      <c r="Z20" s="268" t="n">
        <f aca="false">COUNTIFS('Master Plan'!$Z$8:$Z$27,"&gt;="&amp;$B20,'Master Plan'!$Z$8:$Z$27,"&lt;"&amp;$B20+7,'Master Plan'!$E$8:$E$27,Z$3)</f>
        <v>0</v>
      </c>
    </row>
    <row r="21" customFormat="false" ht="15" hidden="false" customHeight="false" outlineLevel="0" collapsed="false">
      <c r="A21" s="268" t="s">
        <v>1542</v>
      </c>
      <c r="B21" s="33" t="n">
        <f aca="false">'Master Plan'!BY7</f>
        <v>46440</v>
      </c>
      <c r="C21" s="268" t="n">
        <f aca="false">COUNTIFS('Master Plan'!$Y$8:$Y$27,"&gt;="&amp;B21,'Master Plan'!$Y$8:$Y$27,"&lt;"&amp;B21+7)</f>
        <v>0</v>
      </c>
      <c r="D21" s="268" t="n">
        <f aca="false">COUNTIFS('Master Plan'!$AA$8:$AA$27,"&gt;="&amp;B21,'Master Plan'!$AA$8:$AA$27,"&lt;"&amp;B21+7)</f>
        <v>0</v>
      </c>
      <c r="E21" s="268" t="n">
        <f aca="false">COUNTIFS('Master Plan'!$AB$8:$AB$27,"&gt;="&amp;B21,'Master Plan'!$AB$8:$AB$27,"&lt;"&amp;B21+7)</f>
        <v>0</v>
      </c>
      <c r="F21" s="268" t="n">
        <f aca="false">COUNTIFS('Master Plan'!$AH$8:$AH$27,"&gt;="&amp;B21,'Master Plan'!$AH$8:$AH$27,"&lt;"&amp;B21+7)</f>
        <v>0</v>
      </c>
      <c r="G21" s="268" t="n">
        <f aca="false">COUNTIFS('Master Plan'!$Z$8:$Z$27,"&gt;="&amp;$B21,'Master Plan'!$Z$8:$Z$27,"&lt;"&amp;$B21+7,'Master Plan'!$E$8:$E$27,G$3)</f>
        <v>0</v>
      </c>
      <c r="H21" s="268" t="n">
        <f aca="false">COUNTIFS('Master Plan'!$Z$8:$Z$27,"&gt;="&amp;$B21,'Master Plan'!$Z$8:$Z$27,"&lt;"&amp;$B21+7,'Master Plan'!$E$8:$E$27,H$3)</f>
        <v>0</v>
      </c>
      <c r="I21" s="268" t="n">
        <f aca="false">COUNTIFS('Master Plan'!$Z$8:$Z$27,"&gt;="&amp;$B21,'Master Plan'!$Z$8:$Z$27,"&lt;"&amp;$B21+7,'Master Plan'!$E$8:$E$27,I$3)</f>
        <v>0</v>
      </c>
      <c r="J21" s="268" t="n">
        <f aca="false">COUNTIFS('Master Plan'!$Z$8:$Z$27,"&gt;="&amp;$B21,'Master Plan'!$Z$8:$Z$27,"&lt;"&amp;$B21+7,'Master Plan'!$E$8:$E$27,J$3)</f>
        <v>0</v>
      </c>
      <c r="K21" s="268" t="n">
        <f aca="false">COUNTIFS('Master Plan'!$Z$8:$Z$27,"&gt;="&amp;$B21,'Master Plan'!$Z$8:$Z$27,"&lt;"&amp;$B21+7,'Master Plan'!$E$8:$E$27,K$3)</f>
        <v>0</v>
      </c>
      <c r="L21" s="268" t="n">
        <f aca="false">COUNTIFS('Master Plan'!$Z$8:$Z$27,"&gt;="&amp;$B21,'Master Plan'!$Z$8:$Z$27,"&lt;"&amp;$B21+7,'Master Plan'!$E$8:$E$27,L$3)</f>
        <v>0</v>
      </c>
      <c r="M21" s="268" t="n">
        <f aca="false">COUNTIFS('Master Plan'!$Z$8:$Z$27,"&gt;="&amp;$B21,'Master Plan'!$Z$8:$Z$27,"&lt;"&amp;$B21+7,'Master Plan'!$E$8:$E$27,M$3)</f>
        <v>0</v>
      </c>
      <c r="N21" s="268" t="n">
        <f aca="false">COUNTIFS('Master Plan'!$Z$8:$Z$27,"&gt;="&amp;$B21,'Master Plan'!$Z$8:$Z$27,"&lt;"&amp;$B21+7,'Master Plan'!$E$8:$E$27,N$3)</f>
        <v>0</v>
      </c>
      <c r="O21" s="268" t="n">
        <f aca="false">COUNTIFS('Master Plan'!$Z$8:$Z$27,"&gt;="&amp;$B21,'Master Plan'!$Z$8:$Z$27,"&lt;"&amp;$B21+7,'Master Plan'!$E$8:$E$27,O$3)</f>
        <v>0</v>
      </c>
      <c r="P21" s="268" t="n">
        <f aca="false">COUNTIFS('Master Plan'!$Z$8:$Z$27,"&gt;="&amp;$B21,'Master Plan'!$Z$8:$Z$27,"&lt;"&amp;$B21+7,'Master Plan'!$E$8:$E$27,P$3)</f>
        <v>0</v>
      </c>
      <c r="Q21" s="268" t="n">
        <f aca="false">COUNTIFS('Master Plan'!$Z$8:$Z$27,"&gt;="&amp;$B21,'Master Plan'!$Z$8:$Z$27,"&lt;"&amp;$B21+7,'Master Plan'!$E$8:$E$27,Q$3)</f>
        <v>0</v>
      </c>
      <c r="R21" s="268" t="n">
        <f aca="false">COUNTIFS('Master Plan'!$Z$8:$Z$27,"&gt;="&amp;$B21,'Master Plan'!$Z$8:$Z$27,"&lt;"&amp;$B21+7,'Master Plan'!$E$8:$E$27,R$3)</f>
        <v>0</v>
      </c>
      <c r="S21" s="268" t="n">
        <f aca="false">COUNTIFS('Master Plan'!$Z$8:$Z$27,"&gt;="&amp;$B21,'Master Plan'!$Z$8:$Z$27,"&lt;"&amp;$B21+7,'Master Plan'!$E$8:$E$27,S$3)</f>
        <v>0</v>
      </c>
      <c r="T21" s="268" t="n">
        <f aca="false">COUNTIFS('Master Plan'!$Z$8:$Z$27,"&gt;="&amp;$B21,'Master Plan'!$Z$8:$Z$27,"&lt;"&amp;$B21+7,'Master Plan'!$E$8:$E$27,T$3)</f>
        <v>0</v>
      </c>
      <c r="U21" s="268" t="n">
        <f aca="false">COUNTIFS('Master Plan'!$Z$8:$Z$27,"&gt;="&amp;$B21,'Master Plan'!$Z$8:$Z$27,"&lt;"&amp;$B21+7,'Master Plan'!$E$8:$E$27,U$3)</f>
        <v>0</v>
      </c>
      <c r="V21" s="268" t="n">
        <f aca="false">COUNTIFS('Master Plan'!$Z$8:$Z$27,"&gt;="&amp;$B21,'Master Plan'!$Z$8:$Z$27,"&lt;"&amp;$B21+7,'Master Plan'!$E$8:$E$27,V$3)</f>
        <v>0</v>
      </c>
      <c r="W21" s="268" t="n">
        <f aca="false">COUNTIFS('Master Plan'!$Z$8:$Z$27,"&gt;="&amp;$B21,'Master Plan'!$Z$8:$Z$27,"&lt;"&amp;$B21+7,'Master Plan'!$E$8:$E$27,W$3)</f>
        <v>0</v>
      </c>
      <c r="X21" s="268" t="n">
        <f aca="false">COUNTIFS('Master Plan'!$Z$8:$Z$27,"&gt;="&amp;$B21,'Master Plan'!$Z$8:$Z$27,"&lt;"&amp;$B21+7,'Master Plan'!$E$8:$E$27,X$3)</f>
        <v>0</v>
      </c>
      <c r="Y21" s="268" t="n">
        <f aca="false">COUNTIFS('Master Plan'!$Z$8:$Z$27,"&gt;="&amp;$B21,'Master Plan'!$Z$8:$Z$27,"&lt;"&amp;$B21+7,'Master Plan'!$E$8:$E$27,Y$3)</f>
        <v>0</v>
      </c>
      <c r="Z21" s="268" t="n">
        <f aca="false">COUNTIFS('Master Plan'!$Z$8:$Z$27,"&gt;="&amp;$B21,'Master Plan'!$Z$8:$Z$27,"&lt;"&amp;$B21+7,'Master Plan'!$E$8:$E$27,Z$3)</f>
        <v>0</v>
      </c>
    </row>
    <row r="22" customFormat="false" ht="15" hidden="false" customHeight="false" outlineLevel="0" collapsed="false">
      <c r="A22" s="268" t="s">
        <v>1543</v>
      </c>
      <c r="B22" s="33" t="n">
        <f aca="false">'Master Plan'!BZ7</f>
        <v>46447</v>
      </c>
      <c r="C22" s="268" t="n">
        <f aca="false">COUNTIFS('Master Plan'!$Y$8:$Y$27,"&gt;="&amp;B22,'Master Plan'!$Y$8:$Y$27,"&lt;"&amp;B22+7)</f>
        <v>0</v>
      </c>
      <c r="D22" s="268" t="n">
        <f aca="false">COUNTIFS('Master Plan'!$AA$8:$AA$27,"&gt;="&amp;B22,'Master Plan'!$AA$8:$AA$27,"&lt;"&amp;B22+7)</f>
        <v>0</v>
      </c>
      <c r="E22" s="268" t="n">
        <f aca="false">COUNTIFS('Master Plan'!$AB$8:$AB$27,"&gt;="&amp;B22,'Master Plan'!$AB$8:$AB$27,"&lt;"&amp;B22+7)</f>
        <v>0</v>
      </c>
      <c r="F22" s="268" t="n">
        <f aca="false">COUNTIFS('Master Plan'!$AH$8:$AH$27,"&gt;="&amp;B22,'Master Plan'!$AH$8:$AH$27,"&lt;"&amp;B22+7)</f>
        <v>0</v>
      </c>
      <c r="G22" s="268" t="n">
        <f aca="false">COUNTIFS('Master Plan'!$Z$8:$Z$27,"&gt;="&amp;$B22,'Master Plan'!$Z$8:$Z$27,"&lt;"&amp;$B22+7,'Master Plan'!$E$8:$E$27,G$3)</f>
        <v>0</v>
      </c>
      <c r="H22" s="268" t="n">
        <f aca="false">COUNTIFS('Master Plan'!$Z$8:$Z$27,"&gt;="&amp;$B22,'Master Plan'!$Z$8:$Z$27,"&lt;"&amp;$B22+7,'Master Plan'!$E$8:$E$27,H$3)</f>
        <v>0</v>
      </c>
      <c r="I22" s="268" t="n">
        <f aca="false">COUNTIFS('Master Plan'!$Z$8:$Z$27,"&gt;="&amp;$B22,'Master Plan'!$Z$8:$Z$27,"&lt;"&amp;$B22+7,'Master Plan'!$E$8:$E$27,I$3)</f>
        <v>0</v>
      </c>
      <c r="J22" s="268" t="n">
        <f aca="false">COUNTIFS('Master Plan'!$Z$8:$Z$27,"&gt;="&amp;$B22,'Master Plan'!$Z$8:$Z$27,"&lt;"&amp;$B22+7,'Master Plan'!$E$8:$E$27,J$3)</f>
        <v>0</v>
      </c>
      <c r="K22" s="268" t="n">
        <f aca="false">COUNTIFS('Master Plan'!$Z$8:$Z$27,"&gt;="&amp;$B22,'Master Plan'!$Z$8:$Z$27,"&lt;"&amp;$B22+7,'Master Plan'!$E$8:$E$27,K$3)</f>
        <v>0</v>
      </c>
      <c r="L22" s="268" t="n">
        <f aca="false">COUNTIFS('Master Plan'!$Z$8:$Z$27,"&gt;="&amp;$B22,'Master Plan'!$Z$8:$Z$27,"&lt;"&amp;$B22+7,'Master Plan'!$E$8:$E$27,L$3)</f>
        <v>0</v>
      </c>
      <c r="M22" s="268" t="n">
        <f aca="false">COUNTIFS('Master Plan'!$Z$8:$Z$27,"&gt;="&amp;$B22,'Master Plan'!$Z$8:$Z$27,"&lt;"&amp;$B22+7,'Master Plan'!$E$8:$E$27,M$3)</f>
        <v>0</v>
      </c>
      <c r="N22" s="268" t="n">
        <f aca="false">COUNTIFS('Master Plan'!$Z$8:$Z$27,"&gt;="&amp;$B22,'Master Plan'!$Z$8:$Z$27,"&lt;"&amp;$B22+7,'Master Plan'!$E$8:$E$27,N$3)</f>
        <v>0</v>
      </c>
      <c r="O22" s="268" t="n">
        <f aca="false">COUNTIFS('Master Plan'!$Z$8:$Z$27,"&gt;="&amp;$B22,'Master Plan'!$Z$8:$Z$27,"&lt;"&amp;$B22+7,'Master Plan'!$E$8:$E$27,O$3)</f>
        <v>0</v>
      </c>
      <c r="P22" s="268" t="n">
        <f aca="false">COUNTIFS('Master Plan'!$Z$8:$Z$27,"&gt;="&amp;$B22,'Master Plan'!$Z$8:$Z$27,"&lt;"&amp;$B22+7,'Master Plan'!$E$8:$E$27,P$3)</f>
        <v>0</v>
      </c>
      <c r="Q22" s="268" t="n">
        <f aca="false">COUNTIFS('Master Plan'!$Z$8:$Z$27,"&gt;="&amp;$B22,'Master Plan'!$Z$8:$Z$27,"&lt;"&amp;$B22+7,'Master Plan'!$E$8:$E$27,Q$3)</f>
        <v>0</v>
      </c>
      <c r="R22" s="268" t="n">
        <f aca="false">COUNTIFS('Master Plan'!$Z$8:$Z$27,"&gt;="&amp;$B22,'Master Plan'!$Z$8:$Z$27,"&lt;"&amp;$B22+7,'Master Plan'!$E$8:$E$27,R$3)</f>
        <v>0</v>
      </c>
      <c r="S22" s="268" t="n">
        <f aca="false">COUNTIFS('Master Plan'!$Z$8:$Z$27,"&gt;="&amp;$B22,'Master Plan'!$Z$8:$Z$27,"&lt;"&amp;$B22+7,'Master Plan'!$E$8:$E$27,S$3)</f>
        <v>0</v>
      </c>
      <c r="T22" s="268" t="n">
        <f aca="false">COUNTIFS('Master Plan'!$Z$8:$Z$27,"&gt;="&amp;$B22,'Master Plan'!$Z$8:$Z$27,"&lt;"&amp;$B22+7,'Master Plan'!$E$8:$E$27,T$3)</f>
        <v>0</v>
      </c>
      <c r="U22" s="268" t="n">
        <f aca="false">COUNTIFS('Master Plan'!$Z$8:$Z$27,"&gt;="&amp;$B22,'Master Plan'!$Z$8:$Z$27,"&lt;"&amp;$B22+7,'Master Plan'!$E$8:$E$27,U$3)</f>
        <v>0</v>
      </c>
      <c r="V22" s="268" t="n">
        <f aca="false">COUNTIFS('Master Plan'!$Z$8:$Z$27,"&gt;="&amp;$B22,'Master Plan'!$Z$8:$Z$27,"&lt;"&amp;$B22+7,'Master Plan'!$E$8:$E$27,V$3)</f>
        <v>0</v>
      </c>
      <c r="W22" s="268" t="n">
        <f aca="false">COUNTIFS('Master Plan'!$Z$8:$Z$27,"&gt;="&amp;$B22,'Master Plan'!$Z$8:$Z$27,"&lt;"&amp;$B22+7,'Master Plan'!$E$8:$E$27,W$3)</f>
        <v>0</v>
      </c>
      <c r="X22" s="268" t="n">
        <f aca="false">COUNTIFS('Master Plan'!$Z$8:$Z$27,"&gt;="&amp;$B22,'Master Plan'!$Z$8:$Z$27,"&lt;"&amp;$B22+7,'Master Plan'!$E$8:$E$27,X$3)</f>
        <v>0</v>
      </c>
      <c r="Y22" s="268" t="n">
        <f aca="false">COUNTIFS('Master Plan'!$Z$8:$Z$27,"&gt;="&amp;$B22,'Master Plan'!$Z$8:$Z$27,"&lt;"&amp;$B22+7,'Master Plan'!$E$8:$E$27,Y$3)</f>
        <v>0</v>
      </c>
      <c r="Z22" s="268" t="n">
        <f aca="false">COUNTIFS('Master Plan'!$Z$8:$Z$27,"&gt;="&amp;$B22,'Master Plan'!$Z$8:$Z$27,"&lt;"&amp;$B22+7,'Master Plan'!$E$8:$E$27,Z$3)</f>
        <v>0</v>
      </c>
    </row>
    <row r="23" customFormat="false" ht="15" hidden="false" customHeight="false" outlineLevel="0" collapsed="false">
      <c r="A23" s="268" t="s">
        <v>1544</v>
      </c>
      <c r="B23" s="33" t="n">
        <f aca="false">'Master Plan'!CA7</f>
        <v>46454</v>
      </c>
      <c r="C23" s="268" t="n">
        <f aca="false">COUNTIFS('Master Plan'!$Y$8:$Y$27,"&gt;="&amp;B23,'Master Plan'!$Y$8:$Y$27,"&lt;"&amp;B23+7)</f>
        <v>0</v>
      </c>
      <c r="D23" s="268" t="n">
        <f aca="false">COUNTIFS('Master Plan'!$AA$8:$AA$27,"&gt;="&amp;B23,'Master Plan'!$AA$8:$AA$27,"&lt;"&amp;B23+7)</f>
        <v>0</v>
      </c>
      <c r="E23" s="268" t="n">
        <f aca="false">COUNTIFS('Master Plan'!$AB$8:$AB$27,"&gt;="&amp;B23,'Master Plan'!$AB$8:$AB$27,"&lt;"&amp;B23+7)</f>
        <v>0</v>
      </c>
      <c r="F23" s="268" t="n">
        <f aca="false">COUNTIFS('Master Plan'!$AH$8:$AH$27,"&gt;="&amp;B23,'Master Plan'!$AH$8:$AH$27,"&lt;"&amp;B23+7)</f>
        <v>0</v>
      </c>
      <c r="G23" s="268" t="n">
        <f aca="false">COUNTIFS('Master Plan'!$Z$8:$Z$27,"&gt;="&amp;$B23,'Master Plan'!$Z$8:$Z$27,"&lt;"&amp;$B23+7,'Master Plan'!$E$8:$E$27,G$3)</f>
        <v>0</v>
      </c>
      <c r="H23" s="268" t="n">
        <f aca="false">COUNTIFS('Master Plan'!$Z$8:$Z$27,"&gt;="&amp;$B23,'Master Plan'!$Z$8:$Z$27,"&lt;"&amp;$B23+7,'Master Plan'!$E$8:$E$27,H$3)</f>
        <v>0</v>
      </c>
      <c r="I23" s="268" t="n">
        <f aca="false">COUNTIFS('Master Plan'!$Z$8:$Z$27,"&gt;="&amp;$B23,'Master Plan'!$Z$8:$Z$27,"&lt;"&amp;$B23+7,'Master Plan'!$E$8:$E$27,I$3)</f>
        <v>0</v>
      </c>
      <c r="J23" s="268" t="n">
        <f aca="false">COUNTIFS('Master Plan'!$Z$8:$Z$27,"&gt;="&amp;$B23,'Master Plan'!$Z$8:$Z$27,"&lt;"&amp;$B23+7,'Master Plan'!$E$8:$E$27,J$3)</f>
        <v>0</v>
      </c>
      <c r="K23" s="268" t="n">
        <f aca="false">COUNTIFS('Master Plan'!$Z$8:$Z$27,"&gt;="&amp;$B23,'Master Plan'!$Z$8:$Z$27,"&lt;"&amp;$B23+7,'Master Plan'!$E$8:$E$27,K$3)</f>
        <v>0</v>
      </c>
      <c r="L23" s="268" t="n">
        <f aca="false">COUNTIFS('Master Plan'!$Z$8:$Z$27,"&gt;="&amp;$B23,'Master Plan'!$Z$8:$Z$27,"&lt;"&amp;$B23+7,'Master Plan'!$E$8:$E$27,L$3)</f>
        <v>0</v>
      </c>
      <c r="M23" s="268" t="n">
        <f aca="false">COUNTIFS('Master Plan'!$Z$8:$Z$27,"&gt;="&amp;$B23,'Master Plan'!$Z$8:$Z$27,"&lt;"&amp;$B23+7,'Master Plan'!$E$8:$E$27,M$3)</f>
        <v>0</v>
      </c>
      <c r="N23" s="268" t="n">
        <f aca="false">COUNTIFS('Master Plan'!$Z$8:$Z$27,"&gt;="&amp;$B23,'Master Plan'!$Z$8:$Z$27,"&lt;"&amp;$B23+7,'Master Plan'!$E$8:$E$27,N$3)</f>
        <v>0</v>
      </c>
      <c r="O23" s="268" t="n">
        <f aca="false">COUNTIFS('Master Plan'!$Z$8:$Z$27,"&gt;="&amp;$B23,'Master Plan'!$Z$8:$Z$27,"&lt;"&amp;$B23+7,'Master Plan'!$E$8:$E$27,O$3)</f>
        <v>0</v>
      </c>
      <c r="P23" s="268" t="n">
        <f aca="false">COUNTIFS('Master Plan'!$Z$8:$Z$27,"&gt;="&amp;$B23,'Master Plan'!$Z$8:$Z$27,"&lt;"&amp;$B23+7,'Master Plan'!$E$8:$E$27,P$3)</f>
        <v>0</v>
      </c>
      <c r="Q23" s="268" t="n">
        <f aca="false">COUNTIFS('Master Plan'!$Z$8:$Z$27,"&gt;="&amp;$B23,'Master Plan'!$Z$8:$Z$27,"&lt;"&amp;$B23+7,'Master Plan'!$E$8:$E$27,Q$3)</f>
        <v>0</v>
      </c>
      <c r="R23" s="268" t="n">
        <f aca="false">COUNTIFS('Master Plan'!$Z$8:$Z$27,"&gt;="&amp;$B23,'Master Plan'!$Z$8:$Z$27,"&lt;"&amp;$B23+7,'Master Plan'!$E$8:$E$27,R$3)</f>
        <v>0</v>
      </c>
      <c r="S23" s="268" t="n">
        <f aca="false">COUNTIFS('Master Plan'!$Z$8:$Z$27,"&gt;="&amp;$B23,'Master Plan'!$Z$8:$Z$27,"&lt;"&amp;$B23+7,'Master Plan'!$E$8:$E$27,S$3)</f>
        <v>0</v>
      </c>
      <c r="T23" s="268" t="n">
        <f aca="false">COUNTIFS('Master Plan'!$Z$8:$Z$27,"&gt;="&amp;$B23,'Master Plan'!$Z$8:$Z$27,"&lt;"&amp;$B23+7,'Master Plan'!$E$8:$E$27,T$3)</f>
        <v>0</v>
      </c>
      <c r="U23" s="268" t="n">
        <f aca="false">COUNTIFS('Master Plan'!$Z$8:$Z$27,"&gt;="&amp;$B23,'Master Plan'!$Z$8:$Z$27,"&lt;"&amp;$B23+7,'Master Plan'!$E$8:$E$27,U$3)</f>
        <v>0</v>
      </c>
      <c r="V23" s="268" t="n">
        <f aca="false">COUNTIFS('Master Plan'!$Z$8:$Z$27,"&gt;="&amp;$B23,'Master Plan'!$Z$8:$Z$27,"&lt;"&amp;$B23+7,'Master Plan'!$E$8:$E$27,V$3)</f>
        <v>0</v>
      </c>
      <c r="W23" s="268" t="n">
        <f aca="false">COUNTIFS('Master Plan'!$Z$8:$Z$27,"&gt;="&amp;$B23,'Master Plan'!$Z$8:$Z$27,"&lt;"&amp;$B23+7,'Master Plan'!$E$8:$E$27,W$3)</f>
        <v>0</v>
      </c>
      <c r="X23" s="268" t="n">
        <f aca="false">COUNTIFS('Master Plan'!$Z$8:$Z$27,"&gt;="&amp;$B23,'Master Plan'!$Z$8:$Z$27,"&lt;"&amp;$B23+7,'Master Plan'!$E$8:$E$27,X$3)</f>
        <v>0</v>
      </c>
      <c r="Y23" s="268" t="n">
        <f aca="false">COUNTIFS('Master Plan'!$Z$8:$Z$27,"&gt;="&amp;$B23,'Master Plan'!$Z$8:$Z$27,"&lt;"&amp;$B23+7,'Master Plan'!$E$8:$E$27,Y$3)</f>
        <v>0</v>
      </c>
      <c r="Z23" s="268" t="n">
        <f aca="false">COUNTIFS('Master Plan'!$Z$8:$Z$27,"&gt;="&amp;$B23,'Master Plan'!$Z$8:$Z$27,"&lt;"&amp;$B23+7,'Master Plan'!$E$8:$E$27,Z$3)</f>
        <v>0</v>
      </c>
    </row>
    <row r="24" customFormat="false" ht="15" hidden="false" customHeight="false" outlineLevel="0" collapsed="false">
      <c r="A24" s="268" t="s">
        <v>1545</v>
      </c>
      <c r="B24" s="33" t="n">
        <f aca="false">'Master Plan'!CB7</f>
        <v>46461</v>
      </c>
      <c r="C24" s="268" t="n">
        <f aca="false">COUNTIFS('Master Plan'!$Y$8:$Y$27,"&gt;="&amp;B24,'Master Plan'!$Y$8:$Y$27,"&lt;"&amp;B24+7)</f>
        <v>0</v>
      </c>
      <c r="D24" s="268" t="n">
        <f aca="false">COUNTIFS('Master Plan'!$AA$8:$AA$27,"&gt;="&amp;B24,'Master Plan'!$AA$8:$AA$27,"&lt;"&amp;B24+7)</f>
        <v>0</v>
      </c>
      <c r="E24" s="268" t="n">
        <f aca="false">COUNTIFS('Master Plan'!$AB$8:$AB$27,"&gt;="&amp;B24,'Master Plan'!$AB$8:$AB$27,"&lt;"&amp;B24+7)</f>
        <v>0</v>
      </c>
      <c r="F24" s="268" t="n">
        <f aca="false">COUNTIFS('Master Plan'!$AH$8:$AH$27,"&gt;="&amp;B24,'Master Plan'!$AH$8:$AH$27,"&lt;"&amp;B24+7)</f>
        <v>0</v>
      </c>
      <c r="G24" s="268" t="n">
        <f aca="false">COUNTIFS('Master Plan'!$Z$8:$Z$27,"&gt;="&amp;$B24,'Master Plan'!$Z$8:$Z$27,"&lt;"&amp;$B24+7,'Master Plan'!$E$8:$E$27,G$3)</f>
        <v>0</v>
      </c>
      <c r="H24" s="268" t="n">
        <f aca="false">COUNTIFS('Master Plan'!$Z$8:$Z$27,"&gt;="&amp;$B24,'Master Plan'!$Z$8:$Z$27,"&lt;"&amp;$B24+7,'Master Plan'!$E$8:$E$27,H$3)</f>
        <v>0</v>
      </c>
      <c r="I24" s="268" t="n">
        <f aca="false">COUNTIFS('Master Plan'!$Z$8:$Z$27,"&gt;="&amp;$B24,'Master Plan'!$Z$8:$Z$27,"&lt;"&amp;$B24+7,'Master Plan'!$E$8:$E$27,I$3)</f>
        <v>0</v>
      </c>
      <c r="J24" s="268" t="n">
        <f aca="false">COUNTIFS('Master Plan'!$Z$8:$Z$27,"&gt;="&amp;$B24,'Master Plan'!$Z$8:$Z$27,"&lt;"&amp;$B24+7,'Master Plan'!$E$8:$E$27,J$3)</f>
        <v>0</v>
      </c>
      <c r="K24" s="268" t="n">
        <f aca="false">COUNTIFS('Master Plan'!$Z$8:$Z$27,"&gt;="&amp;$B24,'Master Plan'!$Z$8:$Z$27,"&lt;"&amp;$B24+7,'Master Plan'!$E$8:$E$27,K$3)</f>
        <v>0</v>
      </c>
      <c r="L24" s="268" t="n">
        <f aca="false">COUNTIFS('Master Plan'!$Z$8:$Z$27,"&gt;="&amp;$B24,'Master Plan'!$Z$8:$Z$27,"&lt;"&amp;$B24+7,'Master Plan'!$E$8:$E$27,L$3)</f>
        <v>0</v>
      </c>
      <c r="M24" s="268" t="n">
        <f aca="false">COUNTIFS('Master Plan'!$Z$8:$Z$27,"&gt;="&amp;$B24,'Master Plan'!$Z$8:$Z$27,"&lt;"&amp;$B24+7,'Master Plan'!$E$8:$E$27,M$3)</f>
        <v>0</v>
      </c>
      <c r="N24" s="268" t="n">
        <f aca="false">COUNTIFS('Master Plan'!$Z$8:$Z$27,"&gt;="&amp;$B24,'Master Plan'!$Z$8:$Z$27,"&lt;"&amp;$B24+7,'Master Plan'!$E$8:$E$27,N$3)</f>
        <v>0</v>
      </c>
      <c r="O24" s="268" t="n">
        <f aca="false">COUNTIFS('Master Plan'!$Z$8:$Z$27,"&gt;="&amp;$B24,'Master Plan'!$Z$8:$Z$27,"&lt;"&amp;$B24+7,'Master Plan'!$E$8:$E$27,O$3)</f>
        <v>0</v>
      </c>
      <c r="P24" s="268" t="n">
        <f aca="false">COUNTIFS('Master Plan'!$Z$8:$Z$27,"&gt;="&amp;$B24,'Master Plan'!$Z$8:$Z$27,"&lt;"&amp;$B24+7,'Master Plan'!$E$8:$E$27,P$3)</f>
        <v>0</v>
      </c>
      <c r="Q24" s="268" t="n">
        <f aca="false">COUNTIFS('Master Plan'!$Z$8:$Z$27,"&gt;="&amp;$B24,'Master Plan'!$Z$8:$Z$27,"&lt;"&amp;$B24+7,'Master Plan'!$E$8:$E$27,Q$3)</f>
        <v>0</v>
      </c>
      <c r="R24" s="268" t="n">
        <f aca="false">COUNTIFS('Master Plan'!$Z$8:$Z$27,"&gt;="&amp;$B24,'Master Plan'!$Z$8:$Z$27,"&lt;"&amp;$B24+7,'Master Plan'!$E$8:$E$27,R$3)</f>
        <v>0</v>
      </c>
      <c r="S24" s="268" t="n">
        <f aca="false">COUNTIFS('Master Plan'!$Z$8:$Z$27,"&gt;="&amp;$B24,'Master Plan'!$Z$8:$Z$27,"&lt;"&amp;$B24+7,'Master Plan'!$E$8:$E$27,S$3)</f>
        <v>0</v>
      </c>
      <c r="T24" s="268" t="n">
        <f aca="false">COUNTIFS('Master Plan'!$Z$8:$Z$27,"&gt;="&amp;$B24,'Master Plan'!$Z$8:$Z$27,"&lt;"&amp;$B24+7,'Master Plan'!$E$8:$E$27,T$3)</f>
        <v>0</v>
      </c>
      <c r="U24" s="268" t="n">
        <f aca="false">COUNTIFS('Master Plan'!$Z$8:$Z$27,"&gt;="&amp;$B24,'Master Plan'!$Z$8:$Z$27,"&lt;"&amp;$B24+7,'Master Plan'!$E$8:$E$27,U$3)</f>
        <v>0</v>
      </c>
      <c r="V24" s="268" t="n">
        <f aca="false">COUNTIFS('Master Plan'!$Z$8:$Z$27,"&gt;="&amp;$B24,'Master Plan'!$Z$8:$Z$27,"&lt;"&amp;$B24+7,'Master Plan'!$E$8:$E$27,V$3)</f>
        <v>0</v>
      </c>
      <c r="W24" s="268" t="n">
        <f aca="false">COUNTIFS('Master Plan'!$Z$8:$Z$27,"&gt;="&amp;$B24,'Master Plan'!$Z$8:$Z$27,"&lt;"&amp;$B24+7,'Master Plan'!$E$8:$E$27,W$3)</f>
        <v>0</v>
      </c>
      <c r="X24" s="268" t="n">
        <f aca="false">COUNTIFS('Master Plan'!$Z$8:$Z$27,"&gt;="&amp;$B24,'Master Plan'!$Z$8:$Z$27,"&lt;"&amp;$B24+7,'Master Plan'!$E$8:$E$27,X$3)</f>
        <v>0</v>
      </c>
      <c r="Y24" s="268" t="n">
        <f aca="false">COUNTIFS('Master Plan'!$Z$8:$Z$27,"&gt;="&amp;$B24,'Master Plan'!$Z$8:$Z$27,"&lt;"&amp;$B24+7,'Master Plan'!$E$8:$E$27,Y$3)</f>
        <v>0</v>
      </c>
      <c r="Z24" s="268" t="n">
        <f aca="false">COUNTIFS('Master Plan'!$Z$8:$Z$27,"&gt;="&amp;$B24,'Master Plan'!$Z$8:$Z$27,"&lt;"&amp;$B24+7,'Master Plan'!$E$8:$E$27,Z$3)</f>
        <v>0</v>
      </c>
    </row>
    <row r="25" customFormat="false" ht="15" hidden="false" customHeight="false" outlineLevel="0" collapsed="false">
      <c r="A25" s="268" t="s">
        <v>1546</v>
      </c>
      <c r="B25" s="33" t="n">
        <f aca="false">'Master Plan'!CC7</f>
        <v>46468</v>
      </c>
      <c r="C25" s="268" t="n">
        <f aca="false">COUNTIFS('Master Plan'!$Y$8:$Y$27,"&gt;="&amp;B25,'Master Plan'!$Y$8:$Y$27,"&lt;"&amp;B25+7)</f>
        <v>0</v>
      </c>
      <c r="D25" s="268" t="n">
        <f aca="false">COUNTIFS('Master Plan'!$AA$8:$AA$27,"&gt;="&amp;B25,'Master Plan'!$AA$8:$AA$27,"&lt;"&amp;B25+7)</f>
        <v>0</v>
      </c>
      <c r="E25" s="268" t="n">
        <f aca="false">COUNTIFS('Master Plan'!$AB$8:$AB$27,"&gt;="&amp;B25,'Master Plan'!$AB$8:$AB$27,"&lt;"&amp;B25+7)</f>
        <v>0</v>
      </c>
      <c r="F25" s="268" t="n">
        <f aca="false">COUNTIFS('Master Plan'!$AH$8:$AH$27,"&gt;="&amp;B25,'Master Plan'!$AH$8:$AH$27,"&lt;"&amp;B25+7)</f>
        <v>0</v>
      </c>
      <c r="G25" s="268" t="n">
        <f aca="false">COUNTIFS('Master Plan'!$Z$8:$Z$27,"&gt;="&amp;$B25,'Master Plan'!$Z$8:$Z$27,"&lt;"&amp;$B25+7,'Master Plan'!$E$8:$E$27,G$3)</f>
        <v>0</v>
      </c>
      <c r="H25" s="268" t="n">
        <f aca="false">COUNTIFS('Master Plan'!$Z$8:$Z$27,"&gt;="&amp;$B25,'Master Plan'!$Z$8:$Z$27,"&lt;"&amp;$B25+7,'Master Plan'!$E$8:$E$27,H$3)</f>
        <v>0</v>
      </c>
      <c r="I25" s="268" t="n">
        <f aca="false">COUNTIFS('Master Plan'!$Z$8:$Z$27,"&gt;="&amp;$B25,'Master Plan'!$Z$8:$Z$27,"&lt;"&amp;$B25+7,'Master Plan'!$E$8:$E$27,I$3)</f>
        <v>0</v>
      </c>
      <c r="J25" s="268" t="n">
        <f aca="false">COUNTIFS('Master Plan'!$Z$8:$Z$27,"&gt;="&amp;$B25,'Master Plan'!$Z$8:$Z$27,"&lt;"&amp;$B25+7,'Master Plan'!$E$8:$E$27,J$3)</f>
        <v>0</v>
      </c>
      <c r="K25" s="268" t="n">
        <f aca="false">COUNTIFS('Master Plan'!$Z$8:$Z$27,"&gt;="&amp;$B25,'Master Plan'!$Z$8:$Z$27,"&lt;"&amp;$B25+7,'Master Plan'!$E$8:$E$27,K$3)</f>
        <v>0</v>
      </c>
      <c r="L25" s="268" t="n">
        <f aca="false">COUNTIFS('Master Plan'!$Z$8:$Z$27,"&gt;="&amp;$B25,'Master Plan'!$Z$8:$Z$27,"&lt;"&amp;$B25+7,'Master Plan'!$E$8:$E$27,L$3)</f>
        <v>0</v>
      </c>
      <c r="M25" s="268" t="n">
        <f aca="false">COUNTIFS('Master Plan'!$Z$8:$Z$27,"&gt;="&amp;$B25,'Master Plan'!$Z$8:$Z$27,"&lt;"&amp;$B25+7,'Master Plan'!$E$8:$E$27,M$3)</f>
        <v>0</v>
      </c>
      <c r="N25" s="268" t="n">
        <f aca="false">COUNTIFS('Master Plan'!$Z$8:$Z$27,"&gt;="&amp;$B25,'Master Plan'!$Z$8:$Z$27,"&lt;"&amp;$B25+7,'Master Plan'!$E$8:$E$27,N$3)</f>
        <v>0</v>
      </c>
      <c r="O25" s="268" t="n">
        <f aca="false">COUNTIFS('Master Plan'!$Z$8:$Z$27,"&gt;="&amp;$B25,'Master Plan'!$Z$8:$Z$27,"&lt;"&amp;$B25+7,'Master Plan'!$E$8:$E$27,O$3)</f>
        <v>0</v>
      </c>
      <c r="P25" s="268" t="n">
        <f aca="false">COUNTIFS('Master Plan'!$Z$8:$Z$27,"&gt;="&amp;$B25,'Master Plan'!$Z$8:$Z$27,"&lt;"&amp;$B25+7,'Master Plan'!$E$8:$E$27,P$3)</f>
        <v>0</v>
      </c>
      <c r="Q25" s="268" t="n">
        <f aca="false">COUNTIFS('Master Plan'!$Z$8:$Z$27,"&gt;="&amp;$B25,'Master Plan'!$Z$8:$Z$27,"&lt;"&amp;$B25+7,'Master Plan'!$E$8:$E$27,Q$3)</f>
        <v>0</v>
      </c>
      <c r="R25" s="268" t="n">
        <f aca="false">COUNTIFS('Master Plan'!$Z$8:$Z$27,"&gt;="&amp;$B25,'Master Plan'!$Z$8:$Z$27,"&lt;"&amp;$B25+7,'Master Plan'!$E$8:$E$27,R$3)</f>
        <v>0</v>
      </c>
      <c r="S25" s="268" t="n">
        <f aca="false">COUNTIFS('Master Plan'!$Z$8:$Z$27,"&gt;="&amp;$B25,'Master Plan'!$Z$8:$Z$27,"&lt;"&amp;$B25+7,'Master Plan'!$E$8:$E$27,S$3)</f>
        <v>0</v>
      </c>
      <c r="T25" s="268" t="n">
        <f aca="false">COUNTIFS('Master Plan'!$Z$8:$Z$27,"&gt;="&amp;$B25,'Master Plan'!$Z$8:$Z$27,"&lt;"&amp;$B25+7,'Master Plan'!$E$8:$E$27,T$3)</f>
        <v>0</v>
      </c>
      <c r="U25" s="268" t="n">
        <f aca="false">COUNTIFS('Master Plan'!$Z$8:$Z$27,"&gt;="&amp;$B25,'Master Plan'!$Z$8:$Z$27,"&lt;"&amp;$B25+7,'Master Plan'!$E$8:$E$27,U$3)</f>
        <v>0</v>
      </c>
      <c r="V25" s="268" t="n">
        <f aca="false">COUNTIFS('Master Plan'!$Z$8:$Z$27,"&gt;="&amp;$B25,'Master Plan'!$Z$8:$Z$27,"&lt;"&amp;$B25+7,'Master Plan'!$E$8:$E$27,V$3)</f>
        <v>0</v>
      </c>
      <c r="W25" s="268" t="n">
        <f aca="false">COUNTIFS('Master Plan'!$Z$8:$Z$27,"&gt;="&amp;$B25,'Master Plan'!$Z$8:$Z$27,"&lt;"&amp;$B25+7,'Master Plan'!$E$8:$E$27,W$3)</f>
        <v>0</v>
      </c>
      <c r="X25" s="268" t="n">
        <f aca="false">COUNTIFS('Master Plan'!$Z$8:$Z$27,"&gt;="&amp;$B25,'Master Plan'!$Z$8:$Z$27,"&lt;"&amp;$B25+7,'Master Plan'!$E$8:$E$27,X$3)</f>
        <v>0</v>
      </c>
      <c r="Y25" s="268" t="n">
        <f aca="false">COUNTIFS('Master Plan'!$Z$8:$Z$27,"&gt;="&amp;$B25,'Master Plan'!$Z$8:$Z$27,"&lt;"&amp;$B25+7,'Master Plan'!$E$8:$E$27,Y$3)</f>
        <v>0</v>
      </c>
      <c r="Z25" s="268" t="n">
        <f aca="false">COUNTIFS('Master Plan'!$Z$8:$Z$27,"&gt;="&amp;$B25,'Master Plan'!$Z$8:$Z$27,"&lt;"&amp;$B25+7,'Master Plan'!$E$8:$E$27,Z$3)</f>
        <v>0</v>
      </c>
    </row>
    <row r="26" customFormat="false" ht="15" hidden="false" customHeight="false" outlineLevel="0" collapsed="false">
      <c r="A26" s="268" t="s">
        <v>1547</v>
      </c>
      <c r="B26" s="33" t="n">
        <f aca="false">'Master Plan'!CD7</f>
        <v>46475</v>
      </c>
      <c r="C26" s="268" t="n">
        <f aca="false">COUNTIFS('Master Plan'!$Y$8:$Y$27,"&gt;="&amp;B26,'Master Plan'!$Y$8:$Y$27,"&lt;"&amp;B26+7)</f>
        <v>0</v>
      </c>
      <c r="D26" s="268" t="n">
        <f aca="false">COUNTIFS('Master Plan'!$AA$8:$AA$27,"&gt;="&amp;B26,'Master Plan'!$AA$8:$AA$27,"&lt;"&amp;B26+7)</f>
        <v>0</v>
      </c>
      <c r="E26" s="268" t="n">
        <f aca="false">COUNTIFS('Master Plan'!$AB$8:$AB$27,"&gt;="&amp;B26,'Master Plan'!$AB$8:$AB$27,"&lt;"&amp;B26+7)</f>
        <v>0</v>
      </c>
      <c r="F26" s="268" t="n">
        <f aca="false">COUNTIFS('Master Plan'!$AH$8:$AH$27,"&gt;="&amp;B26,'Master Plan'!$AH$8:$AH$27,"&lt;"&amp;B26+7)</f>
        <v>0</v>
      </c>
      <c r="G26" s="268" t="n">
        <f aca="false">COUNTIFS('Master Plan'!$Z$8:$Z$27,"&gt;="&amp;$B26,'Master Plan'!$Z$8:$Z$27,"&lt;"&amp;$B26+7,'Master Plan'!$E$8:$E$27,G$3)</f>
        <v>0</v>
      </c>
      <c r="H26" s="268" t="n">
        <f aca="false">COUNTIFS('Master Plan'!$Z$8:$Z$27,"&gt;="&amp;$B26,'Master Plan'!$Z$8:$Z$27,"&lt;"&amp;$B26+7,'Master Plan'!$E$8:$E$27,H$3)</f>
        <v>0</v>
      </c>
      <c r="I26" s="268" t="n">
        <f aca="false">COUNTIFS('Master Plan'!$Z$8:$Z$27,"&gt;="&amp;$B26,'Master Plan'!$Z$8:$Z$27,"&lt;"&amp;$B26+7,'Master Plan'!$E$8:$E$27,I$3)</f>
        <v>0</v>
      </c>
      <c r="J26" s="268" t="n">
        <f aca="false">COUNTIFS('Master Plan'!$Z$8:$Z$27,"&gt;="&amp;$B26,'Master Plan'!$Z$8:$Z$27,"&lt;"&amp;$B26+7,'Master Plan'!$E$8:$E$27,J$3)</f>
        <v>0</v>
      </c>
      <c r="K26" s="268" t="n">
        <f aca="false">COUNTIFS('Master Plan'!$Z$8:$Z$27,"&gt;="&amp;$B26,'Master Plan'!$Z$8:$Z$27,"&lt;"&amp;$B26+7,'Master Plan'!$E$8:$E$27,K$3)</f>
        <v>0</v>
      </c>
      <c r="L26" s="268" t="n">
        <f aca="false">COUNTIFS('Master Plan'!$Z$8:$Z$27,"&gt;="&amp;$B26,'Master Plan'!$Z$8:$Z$27,"&lt;"&amp;$B26+7,'Master Plan'!$E$8:$E$27,L$3)</f>
        <v>0</v>
      </c>
      <c r="M26" s="268" t="n">
        <f aca="false">COUNTIFS('Master Plan'!$Z$8:$Z$27,"&gt;="&amp;$B26,'Master Plan'!$Z$8:$Z$27,"&lt;"&amp;$B26+7,'Master Plan'!$E$8:$E$27,M$3)</f>
        <v>0</v>
      </c>
      <c r="N26" s="268" t="n">
        <f aca="false">COUNTIFS('Master Plan'!$Z$8:$Z$27,"&gt;="&amp;$B26,'Master Plan'!$Z$8:$Z$27,"&lt;"&amp;$B26+7,'Master Plan'!$E$8:$E$27,N$3)</f>
        <v>0</v>
      </c>
      <c r="O26" s="268" t="n">
        <f aca="false">COUNTIFS('Master Plan'!$Z$8:$Z$27,"&gt;="&amp;$B26,'Master Plan'!$Z$8:$Z$27,"&lt;"&amp;$B26+7,'Master Plan'!$E$8:$E$27,O$3)</f>
        <v>0</v>
      </c>
      <c r="P26" s="268" t="n">
        <f aca="false">COUNTIFS('Master Plan'!$Z$8:$Z$27,"&gt;="&amp;$B26,'Master Plan'!$Z$8:$Z$27,"&lt;"&amp;$B26+7,'Master Plan'!$E$8:$E$27,P$3)</f>
        <v>0</v>
      </c>
      <c r="Q26" s="268" t="n">
        <f aca="false">COUNTIFS('Master Plan'!$Z$8:$Z$27,"&gt;="&amp;$B26,'Master Plan'!$Z$8:$Z$27,"&lt;"&amp;$B26+7,'Master Plan'!$E$8:$E$27,Q$3)</f>
        <v>0</v>
      </c>
      <c r="R26" s="268" t="n">
        <f aca="false">COUNTIFS('Master Plan'!$Z$8:$Z$27,"&gt;="&amp;$B26,'Master Plan'!$Z$8:$Z$27,"&lt;"&amp;$B26+7,'Master Plan'!$E$8:$E$27,R$3)</f>
        <v>0</v>
      </c>
      <c r="S26" s="268" t="n">
        <f aca="false">COUNTIFS('Master Plan'!$Z$8:$Z$27,"&gt;="&amp;$B26,'Master Plan'!$Z$8:$Z$27,"&lt;"&amp;$B26+7,'Master Plan'!$E$8:$E$27,S$3)</f>
        <v>0</v>
      </c>
      <c r="T26" s="268" t="n">
        <f aca="false">COUNTIFS('Master Plan'!$Z$8:$Z$27,"&gt;="&amp;$B26,'Master Plan'!$Z$8:$Z$27,"&lt;"&amp;$B26+7,'Master Plan'!$E$8:$E$27,T$3)</f>
        <v>0</v>
      </c>
      <c r="U26" s="268" t="n">
        <f aca="false">COUNTIFS('Master Plan'!$Z$8:$Z$27,"&gt;="&amp;$B26,'Master Plan'!$Z$8:$Z$27,"&lt;"&amp;$B26+7,'Master Plan'!$E$8:$E$27,U$3)</f>
        <v>0</v>
      </c>
      <c r="V26" s="268" t="n">
        <f aca="false">COUNTIFS('Master Plan'!$Z$8:$Z$27,"&gt;="&amp;$B26,'Master Plan'!$Z$8:$Z$27,"&lt;"&amp;$B26+7,'Master Plan'!$E$8:$E$27,V$3)</f>
        <v>0</v>
      </c>
      <c r="W26" s="268" t="n">
        <f aca="false">COUNTIFS('Master Plan'!$Z$8:$Z$27,"&gt;="&amp;$B26,'Master Plan'!$Z$8:$Z$27,"&lt;"&amp;$B26+7,'Master Plan'!$E$8:$E$27,W$3)</f>
        <v>0</v>
      </c>
      <c r="X26" s="268" t="n">
        <f aca="false">COUNTIFS('Master Plan'!$Z$8:$Z$27,"&gt;="&amp;$B26,'Master Plan'!$Z$8:$Z$27,"&lt;"&amp;$B26+7,'Master Plan'!$E$8:$E$27,X$3)</f>
        <v>0</v>
      </c>
      <c r="Y26" s="268" t="n">
        <f aca="false">COUNTIFS('Master Plan'!$Z$8:$Z$27,"&gt;="&amp;$B26,'Master Plan'!$Z$8:$Z$27,"&lt;"&amp;$B26+7,'Master Plan'!$E$8:$E$27,Y$3)</f>
        <v>0</v>
      </c>
      <c r="Z26" s="268" t="n">
        <f aca="false">COUNTIFS('Master Plan'!$Z$8:$Z$27,"&gt;="&amp;$B26,'Master Plan'!$Z$8:$Z$27,"&lt;"&amp;$B26+7,'Master Plan'!$E$8:$E$27,Z$3)</f>
        <v>0</v>
      </c>
    </row>
    <row r="27" customFormat="false" ht="15" hidden="false" customHeight="false" outlineLevel="0" collapsed="false">
      <c r="A27" s="268" t="s">
        <v>1548</v>
      </c>
      <c r="B27" s="33" t="n">
        <f aca="false">'Master Plan'!CE7</f>
        <v>46482</v>
      </c>
      <c r="C27" s="268" t="n">
        <f aca="false">COUNTIFS('Master Plan'!$Y$8:$Y$27,"&gt;="&amp;B27,'Master Plan'!$Y$8:$Y$27,"&lt;"&amp;B27+7)</f>
        <v>0</v>
      </c>
      <c r="D27" s="268" t="n">
        <f aca="false">COUNTIFS('Master Plan'!$AA$8:$AA$27,"&gt;="&amp;B27,'Master Plan'!$AA$8:$AA$27,"&lt;"&amp;B27+7)</f>
        <v>0</v>
      </c>
      <c r="E27" s="268" t="n">
        <f aca="false">COUNTIFS('Master Plan'!$AB$8:$AB$27,"&gt;="&amp;B27,'Master Plan'!$AB$8:$AB$27,"&lt;"&amp;B27+7)</f>
        <v>0</v>
      </c>
      <c r="F27" s="268" t="n">
        <f aca="false">COUNTIFS('Master Plan'!$AH$8:$AH$27,"&gt;="&amp;B27,'Master Plan'!$AH$8:$AH$27,"&lt;"&amp;B27+7)</f>
        <v>0</v>
      </c>
      <c r="G27" s="268" t="n">
        <f aca="false">COUNTIFS('Master Plan'!$Z$8:$Z$27,"&gt;="&amp;$B27,'Master Plan'!$Z$8:$Z$27,"&lt;"&amp;$B27+7,'Master Plan'!$E$8:$E$27,G$3)</f>
        <v>0</v>
      </c>
      <c r="H27" s="268" t="n">
        <f aca="false">COUNTIFS('Master Plan'!$Z$8:$Z$27,"&gt;="&amp;$B27,'Master Plan'!$Z$8:$Z$27,"&lt;"&amp;$B27+7,'Master Plan'!$E$8:$E$27,H$3)</f>
        <v>0</v>
      </c>
      <c r="I27" s="268" t="n">
        <f aca="false">COUNTIFS('Master Plan'!$Z$8:$Z$27,"&gt;="&amp;$B27,'Master Plan'!$Z$8:$Z$27,"&lt;"&amp;$B27+7,'Master Plan'!$E$8:$E$27,I$3)</f>
        <v>0</v>
      </c>
      <c r="J27" s="268" t="n">
        <f aca="false">COUNTIFS('Master Plan'!$Z$8:$Z$27,"&gt;="&amp;$B27,'Master Plan'!$Z$8:$Z$27,"&lt;"&amp;$B27+7,'Master Plan'!$E$8:$E$27,J$3)</f>
        <v>0</v>
      </c>
      <c r="K27" s="268" t="n">
        <f aca="false">COUNTIFS('Master Plan'!$Z$8:$Z$27,"&gt;="&amp;$B27,'Master Plan'!$Z$8:$Z$27,"&lt;"&amp;$B27+7,'Master Plan'!$E$8:$E$27,K$3)</f>
        <v>0</v>
      </c>
      <c r="L27" s="268" t="n">
        <f aca="false">COUNTIFS('Master Plan'!$Z$8:$Z$27,"&gt;="&amp;$B27,'Master Plan'!$Z$8:$Z$27,"&lt;"&amp;$B27+7,'Master Plan'!$E$8:$E$27,L$3)</f>
        <v>0</v>
      </c>
      <c r="M27" s="268" t="n">
        <f aca="false">COUNTIFS('Master Plan'!$Z$8:$Z$27,"&gt;="&amp;$B27,'Master Plan'!$Z$8:$Z$27,"&lt;"&amp;$B27+7,'Master Plan'!$E$8:$E$27,M$3)</f>
        <v>0</v>
      </c>
      <c r="N27" s="268" t="n">
        <f aca="false">COUNTIFS('Master Plan'!$Z$8:$Z$27,"&gt;="&amp;$B27,'Master Plan'!$Z$8:$Z$27,"&lt;"&amp;$B27+7,'Master Plan'!$E$8:$E$27,N$3)</f>
        <v>0</v>
      </c>
      <c r="O27" s="268" t="n">
        <f aca="false">COUNTIFS('Master Plan'!$Z$8:$Z$27,"&gt;="&amp;$B27,'Master Plan'!$Z$8:$Z$27,"&lt;"&amp;$B27+7,'Master Plan'!$E$8:$E$27,O$3)</f>
        <v>0</v>
      </c>
      <c r="P27" s="268" t="n">
        <f aca="false">COUNTIFS('Master Plan'!$Z$8:$Z$27,"&gt;="&amp;$B27,'Master Plan'!$Z$8:$Z$27,"&lt;"&amp;$B27+7,'Master Plan'!$E$8:$E$27,P$3)</f>
        <v>0</v>
      </c>
      <c r="Q27" s="268" t="n">
        <f aca="false">COUNTIFS('Master Plan'!$Z$8:$Z$27,"&gt;="&amp;$B27,'Master Plan'!$Z$8:$Z$27,"&lt;"&amp;$B27+7,'Master Plan'!$E$8:$E$27,Q$3)</f>
        <v>0</v>
      </c>
      <c r="R27" s="268" t="n">
        <f aca="false">COUNTIFS('Master Plan'!$Z$8:$Z$27,"&gt;="&amp;$B27,'Master Plan'!$Z$8:$Z$27,"&lt;"&amp;$B27+7,'Master Plan'!$E$8:$E$27,R$3)</f>
        <v>0</v>
      </c>
      <c r="S27" s="268" t="n">
        <f aca="false">COUNTIFS('Master Plan'!$Z$8:$Z$27,"&gt;="&amp;$B27,'Master Plan'!$Z$8:$Z$27,"&lt;"&amp;$B27+7,'Master Plan'!$E$8:$E$27,S$3)</f>
        <v>0</v>
      </c>
      <c r="T27" s="268" t="n">
        <f aca="false">COUNTIFS('Master Plan'!$Z$8:$Z$27,"&gt;="&amp;$B27,'Master Plan'!$Z$8:$Z$27,"&lt;"&amp;$B27+7,'Master Plan'!$E$8:$E$27,T$3)</f>
        <v>0</v>
      </c>
      <c r="U27" s="268" t="n">
        <f aca="false">COUNTIFS('Master Plan'!$Z$8:$Z$27,"&gt;="&amp;$B27,'Master Plan'!$Z$8:$Z$27,"&lt;"&amp;$B27+7,'Master Plan'!$E$8:$E$27,U$3)</f>
        <v>0</v>
      </c>
      <c r="V27" s="268" t="n">
        <f aca="false">COUNTIFS('Master Plan'!$Z$8:$Z$27,"&gt;="&amp;$B27,'Master Plan'!$Z$8:$Z$27,"&lt;"&amp;$B27+7,'Master Plan'!$E$8:$E$27,V$3)</f>
        <v>0</v>
      </c>
      <c r="W27" s="268" t="n">
        <f aca="false">COUNTIFS('Master Plan'!$Z$8:$Z$27,"&gt;="&amp;$B27,'Master Plan'!$Z$8:$Z$27,"&lt;"&amp;$B27+7,'Master Plan'!$E$8:$E$27,W$3)</f>
        <v>0</v>
      </c>
      <c r="X27" s="268" t="n">
        <f aca="false">COUNTIFS('Master Plan'!$Z$8:$Z$27,"&gt;="&amp;$B27,'Master Plan'!$Z$8:$Z$27,"&lt;"&amp;$B27+7,'Master Plan'!$E$8:$E$27,X$3)</f>
        <v>0</v>
      </c>
      <c r="Y27" s="268" t="n">
        <f aca="false">COUNTIFS('Master Plan'!$Z$8:$Z$27,"&gt;="&amp;$B27,'Master Plan'!$Z$8:$Z$27,"&lt;"&amp;$B27+7,'Master Plan'!$E$8:$E$27,Y$3)</f>
        <v>0</v>
      </c>
      <c r="Z27" s="268" t="n">
        <f aca="false">COUNTIFS('Master Plan'!$Z$8:$Z$27,"&gt;="&amp;$B27,'Master Plan'!$Z$8:$Z$27,"&lt;"&amp;$B27+7,'Master Plan'!$E$8:$E$27,Z$3)</f>
        <v>0</v>
      </c>
    </row>
    <row r="28" customFormat="false" ht="15" hidden="false" customHeight="false" outlineLevel="0" collapsed="false">
      <c r="A28" s="268" t="s">
        <v>1549</v>
      </c>
      <c r="B28" s="33" t="n">
        <f aca="false">'Master Plan'!CF7</f>
        <v>46489</v>
      </c>
      <c r="C28" s="268" t="n">
        <f aca="false">COUNTIFS('Master Plan'!$Y$8:$Y$27,"&gt;="&amp;B28,'Master Plan'!$Y$8:$Y$27,"&lt;"&amp;B28+7)</f>
        <v>0</v>
      </c>
      <c r="D28" s="268" t="n">
        <f aca="false">COUNTIFS('Master Plan'!$AA$8:$AA$27,"&gt;="&amp;B28,'Master Plan'!$AA$8:$AA$27,"&lt;"&amp;B28+7)</f>
        <v>0</v>
      </c>
      <c r="E28" s="268" t="n">
        <f aca="false">COUNTIFS('Master Plan'!$AB$8:$AB$27,"&gt;="&amp;B28,'Master Plan'!$AB$8:$AB$27,"&lt;"&amp;B28+7)</f>
        <v>0</v>
      </c>
      <c r="F28" s="268" t="n">
        <f aca="false">COUNTIFS('Master Plan'!$AH$8:$AH$27,"&gt;="&amp;B28,'Master Plan'!$AH$8:$AH$27,"&lt;"&amp;B28+7)</f>
        <v>0</v>
      </c>
      <c r="G28" s="268" t="n">
        <f aca="false">COUNTIFS('Master Plan'!$Z$8:$Z$27,"&gt;="&amp;$B28,'Master Plan'!$Z$8:$Z$27,"&lt;"&amp;$B28+7,'Master Plan'!$E$8:$E$27,G$3)</f>
        <v>0</v>
      </c>
      <c r="H28" s="268" t="n">
        <f aca="false">COUNTIFS('Master Plan'!$Z$8:$Z$27,"&gt;="&amp;$B28,'Master Plan'!$Z$8:$Z$27,"&lt;"&amp;$B28+7,'Master Plan'!$E$8:$E$27,H$3)</f>
        <v>0</v>
      </c>
      <c r="I28" s="268" t="n">
        <f aca="false">COUNTIFS('Master Plan'!$Z$8:$Z$27,"&gt;="&amp;$B28,'Master Plan'!$Z$8:$Z$27,"&lt;"&amp;$B28+7,'Master Plan'!$E$8:$E$27,I$3)</f>
        <v>0</v>
      </c>
      <c r="J28" s="268" t="n">
        <f aca="false">COUNTIFS('Master Plan'!$Z$8:$Z$27,"&gt;="&amp;$B28,'Master Plan'!$Z$8:$Z$27,"&lt;"&amp;$B28+7,'Master Plan'!$E$8:$E$27,J$3)</f>
        <v>0</v>
      </c>
      <c r="K28" s="268" t="n">
        <f aca="false">COUNTIFS('Master Plan'!$Z$8:$Z$27,"&gt;="&amp;$B28,'Master Plan'!$Z$8:$Z$27,"&lt;"&amp;$B28+7,'Master Plan'!$E$8:$E$27,K$3)</f>
        <v>0</v>
      </c>
      <c r="L28" s="268" t="n">
        <f aca="false">COUNTIFS('Master Plan'!$Z$8:$Z$27,"&gt;="&amp;$B28,'Master Plan'!$Z$8:$Z$27,"&lt;"&amp;$B28+7,'Master Plan'!$E$8:$E$27,L$3)</f>
        <v>0</v>
      </c>
      <c r="M28" s="268" t="n">
        <f aca="false">COUNTIFS('Master Plan'!$Z$8:$Z$27,"&gt;="&amp;$B28,'Master Plan'!$Z$8:$Z$27,"&lt;"&amp;$B28+7,'Master Plan'!$E$8:$E$27,M$3)</f>
        <v>0</v>
      </c>
      <c r="N28" s="268" t="n">
        <f aca="false">COUNTIFS('Master Plan'!$Z$8:$Z$27,"&gt;="&amp;$B28,'Master Plan'!$Z$8:$Z$27,"&lt;"&amp;$B28+7,'Master Plan'!$E$8:$E$27,N$3)</f>
        <v>0</v>
      </c>
      <c r="O28" s="268" t="n">
        <f aca="false">COUNTIFS('Master Plan'!$Z$8:$Z$27,"&gt;="&amp;$B28,'Master Plan'!$Z$8:$Z$27,"&lt;"&amp;$B28+7,'Master Plan'!$E$8:$E$27,O$3)</f>
        <v>0</v>
      </c>
      <c r="P28" s="268" t="n">
        <f aca="false">COUNTIFS('Master Plan'!$Z$8:$Z$27,"&gt;="&amp;$B28,'Master Plan'!$Z$8:$Z$27,"&lt;"&amp;$B28+7,'Master Plan'!$E$8:$E$27,P$3)</f>
        <v>0</v>
      </c>
      <c r="Q28" s="268" t="n">
        <f aca="false">COUNTIFS('Master Plan'!$Z$8:$Z$27,"&gt;="&amp;$B28,'Master Plan'!$Z$8:$Z$27,"&lt;"&amp;$B28+7,'Master Plan'!$E$8:$E$27,Q$3)</f>
        <v>0</v>
      </c>
      <c r="R28" s="268" t="n">
        <f aca="false">COUNTIFS('Master Plan'!$Z$8:$Z$27,"&gt;="&amp;$B28,'Master Plan'!$Z$8:$Z$27,"&lt;"&amp;$B28+7,'Master Plan'!$E$8:$E$27,R$3)</f>
        <v>0</v>
      </c>
      <c r="S28" s="268" t="n">
        <f aca="false">COUNTIFS('Master Plan'!$Z$8:$Z$27,"&gt;="&amp;$B28,'Master Plan'!$Z$8:$Z$27,"&lt;"&amp;$B28+7,'Master Plan'!$E$8:$E$27,S$3)</f>
        <v>0</v>
      </c>
      <c r="T28" s="268" t="n">
        <f aca="false">COUNTIFS('Master Plan'!$Z$8:$Z$27,"&gt;="&amp;$B28,'Master Plan'!$Z$8:$Z$27,"&lt;"&amp;$B28+7,'Master Plan'!$E$8:$E$27,T$3)</f>
        <v>0</v>
      </c>
      <c r="U28" s="268" t="n">
        <f aca="false">COUNTIFS('Master Plan'!$Z$8:$Z$27,"&gt;="&amp;$B28,'Master Plan'!$Z$8:$Z$27,"&lt;"&amp;$B28+7,'Master Plan'!$E$8:$E$27,U$3)</f>
        <v>0</v>
      </c>
      <c r="V28" s="268" t="n">
        <f aca="false">COUNTIFS('Master Plan'!$Z$8:$Z$27,"&gt;="&amp;$B28,'Master Plan'!$Z$8:$Z$27,"&lt;"&amp;$B28+7,'Master Plan'!$E$8:$E$27,V$3)</f>
        <v>0</v>
      </c>
      <c r="W28" s="268" t="n">
        <f aca="false">COUNTIFS('Master Plan'!$Z$8:$Z$27,"&gt;="&amp;$B28,'Master Plan'!$Z$8:$Z$27,"&lt;"&amp;$B28+7,'Master Plan'!$E$8:$E$27,W$3)</f>
        <v>0</v>
      </c>
      <c r="X28" s="268" t="n">
        <f aca="false">COUNTIFS('Master Plan'!$Z$8:$Z$27,"&gt;="&amp;$B28,'Master Plan'!$Z$8:$Z$27,"&lt;"&amp;$B28+7,'Master Plan'!$E$8:$E$27,X$3)</f>
        <v>0</v>
      </c>
      <c r="Y28" s="268" t="n">
        <f aca="false">COUNTIFS('Master Plan'!$Z$8:$Z$27,"&gt;="&amp;$B28,'Master Plan'!$Z$8:$Z$27,"&lt;"&amp;$B28+7,'Master Plan'!$E$8:$E$27,Y$3)</f>
        <v>0</v>
      </c>
      <c r="Z28" s="268" t="n">
        <f aca="false">COUNTIFS('Master Plan'!$Z$8:$Z$27,"&gt;="&amp;$B28,'Master Plan'!$Z$8:$Z$27,"&lt;"&amp;$B28+7,'Master Plan'!$E$8:$E$27,Z$3)</f>
        <v>0</v>
      </c>
    </row>
    <row r="29" customFormat="false" ht="15" hidden="false" customHeight="false" outlineLevel="0" collapsed="false">
      <c r="A29" s="268" t="s">
        <v>1550</v>
      </c>
      <c r="B29" s="33" t="n">
        <f aca="false">'Master Plan'!CG7</f>
        <v>46496</v>
      </c>
      <c r="C29" s="268" t="n">
        <f aca="false">COUNTIFS('Master Plan'!$Y$8:$Y$27,"&gt;="&amp;B29,'Master Plan'!$Y$8:$Y$27,"&lt;"&amp;B29+7)</f>
        <v>0</v>
      </c>
      <c r="D29" s="268" t="n">
        <f aca="false">COUNTIFS('Master Plan'!$AA$8:$AA$27,"&gt;="&amp;B29,'Master Plan'!$AA$8:$AA$27,"&lt;"&amp;B29+7)</f>
        <v>0</v>
      </c>
      <c r="E29" s="268" t="n">
        <f aca="false">COUNTIFS('Master Plan'!$AB$8:$AB$27,"&gt;="&amp;B29,'Master Plan'!$AB$8:$AB$27,"&lt;"&amp;B29+7)</f>
        <v>0</v>
      </c>
      <c r="F29" s="268" t="n">
        <f aca="false">COUNTIFS('Master Plan'!$AH$8:$AH$27,"&gt;="&amp;B29,'Master Plan'!$AH$8:$AH$27,"&lt;"&amp;B29+7)</f>
        <v>0</v>
      </c>
      <c r="G29" s="268" t="n">
        <f aca="false">COUNTIFS('Master Plan'!$Z$8:$Z$27,"&gt;="&amp;$B29,'Master Plan'!$Z$8:$Z$27,"&lt;"&amp;$B29+7,'Master Plan'!$E$8:$E$27,G$3)</f>
        <v>0</v>
      </c>
      <c r="H29" s="268" t="n">
        <f aca="false">COUNTIFS('Master Plan'!$Z$8:$Z$27,"&gt;="&amp;$B29,'Master Plan'!$Z$8:$Z$27,"&lt;"&amp;$B29+7,'Master Plan'!$E$8:$E$27,H$3)</f>
        <v>0</v>
      </c>
      <c r="I29" s="268" t="n">
        <f aca="false">COUNTIFS('Master Plan'!$Z$8:$Z$27,"&gt;="&amp;$B29,'Master Plan'!$Z$8:$Z$27,"&lt;"&amp;$B29+7,'Master Plan'!$E$8:$E$27,I$3)</f>
        <v>0</v>
      </c>
      <c r="J29" s="268" t="n">
        <f aca="false">COUNTIFS('Master Plan'!$Z$8:$Z$27,"&gt;="&amp;$B29,'Master Plan'!$Z$8:$Z$27,"&lt;"&amp;$B29+7,'Master Plan'!$E$8:$E$27,J$3)</f>
        <v>0</v>
      </c>
      <c r="K29" s="268" t="n">
        <f aca="false">COUNTIFS('Master Plan'!$Z$8:$Z$27,"&gt;="&amp;$B29,'Master Plan'!$Z$8:$Z$27,"&lt;"&amp;$B29+7,'Master Plan'!$E$8:$E$27,K$3)</f>
        <v>0</v>
      </c>
      <c r="L29" s="268" t="n">
        <f aca="false">COUNTIFS('Master Plan'!$Z$8:$Z$27,"&gt;="&amp;$B29,'Master Plan'!$Z$8:$Z$27,"&lt;"&amp;$B29+7,'Master Plan'!$E$8:$E$27,L$3)</f>
        <v>0</v>
      </c>
      <c r="M29" s="268" t="n">
        <f aca="false">COUNTIFS('Master Plan'!$Z$8:$Z$27,"&gt;="&amp;$B29,'Master Plan'!$Z$8:$Z$27,"&lt;"&amp;$B29+7,'Master Plan'!$E$8:$E$27,M$3)</f>
        <v>0</v>
      </c>
      <c r="N29" s="268" t="n">
        <f aca="false">COUNTIFS('Master Plan'!$Z$8:$Z$27,"&gt;="&amp;$B29,'Master Plan'!$Z$8:$Z$27,"&lt;"&amp;$B29+7,'Master Plan'!$E$8:$E$27,N$3)</f>
        <v>0</v>
      </c>
      <c r="O29" s="268" t="n">
        <f aca="false">COUNTIFS('Master Plan'!$Z$8:$Z$27,"&gt;="&amp;$B29,'Master Plan'!$Z$8:$Z$27,"&lt;"&amp;$B29+7,'Master Plan'!$E$8:$E$27,O$3)</f>
        <v>0</v>
      </c>
      <c r="P29" s="268" t="n">
        <f aca="false">COUNTIFS('Master Plan'!$Z$8:$Z$27,"&gt;="&amp;$B29,'Master Plan'!$Z$8:$Z$27,"&lt;"&amp;$B29+7,'Master Plan'!$E$8:$E$27,P$3)</f>
        <v>0</v>
      </c>
      <c r="Q29" s="268" t="n">
        <f aca="false">COUNTIFS('Master Plan'!$Z$8:$Z$27,"&gt;="&amp;$B29,'Master Plan'!$Z$8:$Z$27,"&lt;"&amp;$B29+7,'Master Plan'!$E$8:$E$27,Q$3)</f>
        <v>0</v>
      </c>
      <c r="R29" s="268" t="n">
        <f aca="false">COUNTIFS('Master Plan'!$Z$8:$Z$27,"&gt;="&amp;$B29,'Master Plan'!$Z$8:$Z$27,"&lt;"&amp;$B29+7,'Master Plan'!$E$8:$E$27,R$3)</f>
        <v>0</v>
      </c>
      <c r="S29" s="268" t="n">
        <f aca="false">COUNTIFS('Master Plan'!$Z$8:$Z$27,"&gt;="&amp;$B29,'Master Plan'!$Z$8:$Z$27,"&lt;"&amp;$B29+7,'Master Plan'!$E$8:$E$27,S$3)</f>
        <v>0</v>
      </c>
      <c r="T29" s="268" t="n">
        <f aca="false">COUNTIFS('Master Plan'!$Z$8:$Z$27,"&gt;="&amp;$B29,'Master Plan'!$Z$8:$Z$27,"&lt;"&amp;$B29+7,'Master Plan'!$E$8:$E$27,T$3)</f>
        <v>0</v>
      </c>
      <c r="U29" s="268" t="n">
        <f aca="false">COUNTIFS('Master Plan'!$Z$8:$Z$27,"&gt;="&amp;$B29,'Master Plan'!$Z$8:$Z$27,"&lt;"&amp;$B29+7,'Master Plan'!$E$8:$E$27,U$3)</f>
        <v>0</v>
      </c>
      <c r="V29" s="268" t="n">
        <f aca="false">COUNTIFS('Master Plan'!$Z$8:$Z$27,"&gt;="&amp;$B29,'Master Plan'!$Z$8:$Z$27,"&lt;"&amp;$B29+7,'Master Plan'!$E$8:$E$27,V$3)</f>
        <v>0</v>
      </c>
      <c r="W29" s="268" t="n">
        <f aca="false">COUNTIFS('Master Plan'!$Z$8:$Z$27,"&gt;="&amp;$B29,'Master Plan'!$Z$8:$Z$27,"&lt;"&amp;$B29+7,'Master Plan'!$E$8:$E$27,W$3)</f>
        <v>0</v>
      </c>
      <c r="X29" s="268" t="n">
        <f aca="false">COUNTIFS('Master Plan'!$Z$8:$Z$27,"&gt;="&amp;$B29,'Master Plan'!$Z$8:$Z$27,"&lt;"&amp;$B29+7,'Master Plan'!$E$8:$E$27,X$3)</f>
        <v>0</v>
      </c>
      <c r="Y29" s="268" t="n">
        <f aca="false">COUNTIFS('Master Plan'!$Z$8:$Z$27,"&gt;="&amp;$B29,'Master Plan'!$Z$8:$Z$27,"&lt;"&amp;$B29+7,'Master Plan'!$E$8:$E$27,Y$3)</f>
        <v>0</v>
      </c>
      <c r="Z29" s="268" t="n">
        <f aca="false">COUNTIFS('Master Plan'!$Z$8:$Z$27,"&gt;="&amp;$B29,'Master Plan'!$Z$8:$Z$27,"&lt;"&amp;$B29+7,'Master Plan'!$E$8:$E$27,Z$3)</f>
        <v>0</v>
      </c>
    </row>
    <row r="30" customFormat="false" ht="15" hidden="false" customHeight="false" outlineLevel="0" collapsed="false">
      <c r="A30" s="268" t="s">
        <v>1551</v>
      </c>
      <c r="B30" s="33" t="n">
        <f aca="false">'Master Plan'!CH7</f>
        <v>46503</v>
      </c>
      <c r="C30" s="268" t="n">
        <f aca="false">COUNTIFS('Master Plan'!$Y$8:$Y$27,"&gt;="&amp;B30,'Master Plan'!$Y$8:$Y$27,"&lt;"&amp;B30+7)</f>
        <v>0</v>
      </c>
      <c r="D30" s="268" t="n">
        <f aca="false">COUNTIFS('Master Plan'!$AA$8:$AA$27,"&gt;="&amp;B30,'Master Plan'!$AA$8:$AA$27,"&lt;"&amp;B30+7)</f>
        <v>0</v>
      </c>
      <c r="E30" s="268" t="n">
        <f aca="false">COUNTIFS('Master Plan'!$AB$8:$AB$27,"&gt;="&amp;B30,'Master Plan'!$AB$8:$AB$27,"&lt;"&amp;B30+7)</f>
        <v>0</v>
      </c>
      <c r="F30" s="268" t="n">
        <f aca="false">COUNTIFS('Master Plan'!$AH$8:$AH$27,"&gt;="&amp;B30,'Master Plan'!$AH$8:$AH$27,"&lt;"&amp;B30+7)</f>
        <v>0</v>
      </c>
      <c r="G30" s="268" t="n">
        <f aca="false">COUNTIFS('Master Plan'!$Z$8:$Z$27,"&gt;="&amp;$B30,'Master Plan'!$Z$8:$Z$27,"&lt;"&amp;$B30+7,'Master Plan'!$E$8:$E$27,G$3)</f>
        <v>0</v>
      </c>
      <c r="H30" s="268" t="n">
        <f aca="false">COUNTIFS('Master Plan'!$Z$8:$Z$27,"&gt;="&amp;$B30,'Master Plan'!$Z$8:$Z$27,"&lt;"&amp;$B30+7,'Master Plan'!$E$8:$E$27,H$3)</f>
        <v>0</v>
      </c>
      <c r="I30" s="268" t="n">
        <f aca="false">COUNTIFS('Master Plan'!$Z$8:$Z$27,"&gt;="&amp;$B30,'Master Plan'!$Z$8:$Z$27,"&lt;"&amp;$B30+7,'Master Plan'!$E$8:$E$27,I$3)</f>
        <v>0</v>
      </c>
      <c r="J30" s="268" t="n">
        <f aca="false">COUNTIFS('Master Plan'!$Z$8:$Z$27,"&gt;="&amp;$B30,'Master Plan'!$Z$8:$Z$27,"&lt;"&amp;$B30+7,'Master Plan'!$E$8:$E$27,J$3)</f>
        <v>0</v>
      </c>
      <c r="K30" s="268" t="n">
        <f aca="false">COUNTIFS('Master Plan'!$Z$8:$Z$27,"&gt;="&amp;$B30,'Master Plan'!$Z$8:$Z$27,"&lt;"&amp;$B30+7,'Master Plan'!$E$8:$E$27,K$3)</f>
        <v>0</v>
      </c>
      <c r="L30" s="268" t="n">
        <f aca="false">COUNTIFS('Master Plan'!$Z$8:$Z$27,"&gt;="&amp;$B30,'Master Plan'!$Z$8:$Z$27,"&lt;"&amp;$B30+7,'Master Plan'!$E$8:$E$27,L$3)</f>
        <v>0</v>
      </c>
      <c r="M30" s="268" t="n">
        <f aca="false">COUNTIFS('Master Plan'!$Z$8:$Z$27,"&gt;="&amp;$B30,'Master Plan'!$Z$8:$Z$27,"&lt;"&amp;$B30+7,'Master Plan'!$E$8:$E$27,M$3)</f>
        <v>0</v>
      </c>
      <c r="N30" s="268" t="n">
        <f aca="false">COUNTIFS('Master Plan'!$Z$8:$Z$27,"&gt;="&amp;$B30,'Master Plan'!$Z$8:$Z$27,"&lt;"&amp;$B30+7,'Master Plan'!$E$8:$E$27,N$3)</f>
        <v>0</v>
      </c>
      <c r="O30" s="268" t="n">
        <f aca="false">COUNTIFS('Master Plan'!$Z$8:$Z$27,"&gt;="&amp;$B30,'Master Plan'!$Z$8:$Z$27,"&lt;"&amp;$B30+7,'Master Plan'!$E$8:$E$27,O$3)</f>
        <v>0</v>
      </c>
      <c r="P30" s="268" t="n">
        <f aca="false">COUNTIFS('Master Plan'!$Z$8:$Z$27,"&gt;="&amp;$B30,'Master Plan'!$Z$8:$Z$27,"&lt;"&amp;$B30+7,'Master Plan'!$E$8:$E$27,P$3)</f>
        <v>0</v>
      </c>
      <c r="Q30" s="268" t="n">
        <f aca="false">COUNTIFS('Master Plan'!$Z$8:$Z$27,"&gt;="&amp;$B30,'Master Plan'!$Z$8:$Z$27,"&lt;"&amp;$B30+7,'Master Plan'!$E$8:$E$27,Q$3)</f>
        <v>0</v>
      </c>
      <c r="R30" s="268" t="n">
        <f aca="false">COUNTIFS('Master Plan'!$Z$8:$Z$27,"&gt;="&amp;$B30,'Master Plan'!$Z$8:$Z$27,"&lt;"&amp;$B30+7,'Master Plan'!$E$8:$E$27,R$3)</f>
        <v>0</v>
      </c>
      <c r="S30" s="268" t="n">
        <f aca="false">COUNTIFS('Master Plan'!$Z$8:$Z$27,"&gt;="&amp;$B30,'Master Plan'!$Z$8:$Z$27,"&lt;"&amp;$B30+7,'Master Plan'!$E$8:$E$27,S$3)</f>
        <v>0</v>
      </c>
      <c r="T30" s="268" t="n">
        <f aca="false">COUNTIFS('Master Plan'!$Z$8:$Z$27,"&gt;="&amp;$B30,'Master Plan'!$Z$8:$Z$27,"&lt;"&amp;$B30+7,'Master Plan'!$E$8:$E$27,T$3)</f>
        <v>0</v>
      </c>
      <c r="U30" s="268" t="n">
        <f aca="false">COUNTIFS('Master Plan'!$Z$8:$Z$27,"&gt;="&amp;$B30,'Master Plan'!$Z$8:$Z$27,"&lt;"&amp;$B30+7,'Master Plan'!$E$8:$E$27,U$3)</f>
        <v>0</v>
      </c>
      <c r="V30" s="268" t="n">
        <f aca="false">COUNTIFS('Master Plan'!$Z$8:$Z$27,"&gt;="&amp;$B30,'Master Plan'!$Z$8:$Z$27,"&lt;"&amp;$B30+7,'Master Plan'!$E$8:$E$27,V$3)</f>
        <v>0</v>
      </c>
      <c r="W30" s="268" t="n">
        <f aca="false">COUNTIFS('Master Plan'!$Z$8:$Z$27,"&gt;="&amp;$B30,'Master Plan'!$Z$8:$Z$27,"&lt;"&amp;$B30+7,'Master Plan'!$E$8:$E$27,W$3)</f>
        <v>0</v>
      </c>
      <c r="X30" s="268" t="n">
        <f aca="false">COUNTIFS('Master Plan'!$Z$8:$Z$27,"&gt;="&amp;$B30,'Master Plan'!$Z$8:$Z$27,"&lt;"&amp;$B30+7,'Master Plan'!$E$8:$E$27,X$3)</f>
        <v>0</v>
      </c>
      <c r="Y30" s="268" t="n">
        <f aca="false">COUNTIFS('Master Plan'!$Z$8:$Z$27,"&gt;="&amp;$B30,'Master Plan'!$Z$8:$Z$27,"&lt;"&amp;$B30+7,'Master Plan'!$E$8:$E$27,Y$3)</f>
        <v>0</v>
      </c>
      <c r="Z30" s="268" t="n">
        <f aca="false">COUNTIFS('Master Plan'!$Z$8:$Z$27,"&gt;="&amp;$B30,'Master Plan'!$Z$8:$Z$27,"&lt;"&amp;$B30+7,'Master Plan'!$E$8:$E$27,Z$3)</f>
        <v>0</v>
      </c>
    </row>
    <row r="31" customFormat="false" ht="15" hidden="false" customHeight="false" outlineLevel="0" collapsed="false">
      <c r="A31" s="268" t="s">
        <v>1552</v>
      </c>
      <c r="B31" s="33" t="n">
        <f aca="false">'Master Plan'!CI7</f>
        <v>46510</v>
      </c>
      <c r="C31" s="268" t="n">
        <f aca="false">COUNTIFS('Master Plan'!$Y$8:$Y$27,"&gt;="&amp;B31,'Master Plan'!$Y$8:$Y$27,"&lt;"&amp;B31+7)</f>
        <v>0</v>
      </c>
      <c r="D31" s="268" t="n">
        <f aca="false">COUNTIFS('Master Plan'!$AA$8:$AA$27,"&gt;="&amp;B31,'Master Plan'!$AA$8:$AA$27,"&lt;"&amp;B31+7)</f>
        <v>0</v>
      </c>
      <c r="E31" s="268" t="n">
        <f aca="false">COUNTIFS('Master Plan'!$AB$8:$AB$27,"&gt;="&amp;B31,'Master Plan'!$AB$8:$AB$27,"&lt;"&amp;B31+7)</f>
        <v>0</v>
      </c>
      <c r="F31" s="268" t="n">
        <f aca="false">COUNTIFS('Master Plan'!$AH$8:$AH$27,"&gt;="&amp;B31,'Master Plan'!$AH$8:$AH$27,"&lt;"&amp;B31+7)</f>
        <v>0</v>
      </c>
      <c r="G31" s="268" t="n">
        <f aca="false">COUNTIFS('Master Plan'!$Z$8:$Z$27,"&gt;="&amp;$B31,'Master Plan'!$Z$8:$Z$27,"&lt;"&amp;$B31+7,'Master Plan'!$E$8:$E$27,G$3)</f>
        <v>0</v>
      </c>
      <c r="H31" s="268" t="n">
        <f aca="false">COUNTIFS('Master Plan'!$Z$8:$Z$27,"&gt;="&amp;$B31,'Master Plan'!$Z$8:$Z$27,"&lt;"&amp;$B31+7,'Master Plan'!$E$8:$E$27,H$3)</f>
        <v>0</v>
      </c>
      <c r="I31" s="268" t="n">
        <f aca="false">COUNTIFS('Master Plan'!$Z$8:$Z$27,"&gt;="&amp;$B31,'Master Plan'!$Z$8:$Z$27,"&lt;"&amp;$B31+7,'Master Plan'!$E$8:$E$27,I$3)</f>
        <v>0</v>
      </c>
      <c r="J31" s="268" t="n">
        <f aca="false">COUNTIFS('Master Plan'!$Z$8:$Z$27,"&gt;="&amp;$B31,'Master Plan'!$Z$8:$Z$27,"&lt;"&amp;$B31+7,'Master Plan'!$E$8:$E$27,J$3)</f>
        <v>0</v>
      </c>
      <c r="K31" s="268" t="n">
        <f aca="false">COUNTIFS('Master Plan'!$Z$8:$Z$27,"&gt;="&amp;$B31,'Master Plan'!$Z$8:$Z$27,"&lt;"&amp;$B31+7,'Master Plan'!$E$8:$E$27,K$3)</f>
        <v>0</v>
      </c>
      <c r="L31" s="268" t="n">
        <f aca="false">COUNTIFS('Master Plan'!$Z$8:$Z$27,"&gt;="&amp;$B31,'Master Plan'!$Z$8:$Z$27,"&lt;"&amp;$B31+7,'Master Plan'!$E$8:$E$27,L$3)</f>
        <v>0</v>
      </c>
      <c r="M31" s="268" t="n">
        <f aca="false">COUNTIFS('Master Plan'!$Z$8:$Z$27,"&gt;="&amp;$B31,'Master Plan'!$Z$8:$Z$27,"&lt;"&amp;$B31+7,'Master Plan'!$E$8:$E$27,M$3)</f>
        <v>0</v>
      </c>
      <c r="N31" s="268" t="n">
        <f aca="false">COUNTIFS('Master Plan'!$Z$8:$Z$27,"&gt;="&amp;$B31,'Master Plan'!$Z$8:$Z$27,"&lt;"&amp;$B31+7,'Master Plan'!$E$8:$E$27,N$3)</f>
        <v>0</v>
      </c>
      <c r="O31" s="268" t="n">
        <f aca="false">COUNTIFS('Master Plan'!$Z$8:$Z$27,"&gt;="&amp;$B31,'Master Plan'!$Z$8:$Z$27,"&lt;"&amp;$B31+7,'Master Plan'!$E$8:$E$27,O$3)</f>
        <v>0</v>
      </c>
      <c r="P31" s="268" t="n">
        <f aca="false">COUNTIFS('Master Plan'!$Z$8:$Z$27,"&gt;="&amp;$B31,'Master Plan'!$Z$8:$Z$27,"&lt;"&amp;$B31+7,'Master Plan'!$E$8:$E$27,P$3)</f>
        <v>0</v>
      </c>
      <c r="Q31" s="268" t="n">
        <f aca="false">COUNTIFS('Master Plan'!$Z$8:$Z$27,"&gt;="&amp;$B31,'Master Plan'!$Z$8:$Z$27,"&lt;"&amp;$B31+7,'Master Plan'!$E$8:$E$27,Q$3)</f>
        <v>0</v>
      </c>
      <c r="R31" s="268" t="n">
        <f aca="false">COUNTIFS('Master Plan'!$Z$8:$Z$27,"&gt;="&amp;$B31,'Master Plan'!$Z$8:$Z$27,"&lt;"&amp;$B31+7,'Master Plan'!$E$8:$E$27,R$3)</f>
        <v>0</v>
      </c>
      <c r="S31" s="268" t="n">
        <f aca="false">COUNTIFS('Master Plan'!$Z$8:$Z$27,"&gt;="&amp;$B31,'Master Plan'!$Z$8:$Z$27,"&lt;"&amp;$B31+7,'Master Plan'!$E$8:$E$27,S$3)</f>
        <v>0</v>
      </c>
      <c r="T31" s="268" t="n">
        <f aca="false">COUNTIFS('Master Plan'!$Z$8:$Z$27,"&gt;="&amp;$B31,'Master Plan'!$Z$8:$Z$27,"&lt;"&amp;$B31+7,'Master Plan'!$E$8:$E$27,T$3)</f>
        <v>0</v>
      </c>
      <c r="U31" s="268" t="n">
        <f aca="false">COUNTIFS('Master Plan'!$Z$8:$Z$27,"&gt;="&amp;$B31,'Master Plan'!$Z$8:$Z$27,"&lt;"&amp;$B31+7,'Master Plan'!$E$8:$E$27,U$3)</f>
        <v>0</v>
      </c>
      <c r="V31" s="268" t="n">
        <f aca="false">COUNTIFS('Master Plan'!$Z$8:$Z$27,"&gt;="&amp;$B31,'Master Plan'!$Z$8:$Z$27,"&lt;"&amp;$B31+7,'Master Plan'!$E$8:$E$27,V$3)</f>
        <v>0</v>
      </c>
      <c r="W31" s="268" t="n">
        <f aca="false">COUNTIFS('Master Plan'!$Z$8:$Z$27,"&gt;="&amp;$B31,'Master Plan'!$Z$8:$Z$27,"&lt;"&amp;$B31+7,'Master Plan'!$E$8:$E$27,W$3)</f>
        <v>0</v>
      </c>
      <c r="X31" s="268" t="n">
        <f aca="false">COUNTIFS('Master Plan'!$Z$8:$Z$27,"&gt;="&amp;$B31,'Master Plan'!$Z$8:$Z$27,"&lt;"&amp;$B31+7,'Master Plan'!$E$8:$E$27,X$3)</f>
        <v>0</v>
      </c>
      <c r="Y31" s="268" t="n">
        <f aca="false">COUNTIFS('Master Plan'!$Z$8:$Z$27,"&gt;="&amp;$B31,'Master Plan'!$Z$8:$Z$27,"&lt;"&amp;$B31+7,'Master Plan'!$E$8:$E$27,Y$3)</f>
        <v>0</v>
      </c>
      <c r="Z31" s="268" t="n">
        <f aca="false">COUNTIFS('Master Plan'!$Z$8:$Z$27,"&gt;="&amp;$B31,'Master Plan'!$Z$8:$Z$27,"&lt;"&amp;$B31+7,'Master Plan'!$E$8:$E$27,Z$3)</f>
        <v>0</v>
      </c>
    </row>
    <row r="32" customFormat="false" ht="15" hidden="false" customHeight="false" outlineLevel="0" collapsed="false">
      <c r="A32" s="268" t="s">
        <v>1553</v>
      </c>
      <c r="B32" s="33" t="n">
        <f aca="false">'Master Plan'!CJ7</f>
        <v>46517</v>
      </c>
      <c r="C32" s="268" t="n">
        <f aca="false">COUNTIFS('Master Plan'!$Y$8:$Y$27,"&gt;="&amp;B32,'Master Plan'!$Y$8:$Y$27,"&lt;"&amp;B32+7)</f>
        <v>0</v>
      </c>
      <c r="D32" s="268" t="n">
        <f aca="false">COUNTIFS('Master Plan'!$AA$8:$AA$27,"&gt;="&amp;B32,'Master Plan'!$AA$8:$AA$27,"&lt;"&amp;B32+7)</f>
        <v>0</v>
      </c>
      <c r="E32" s="268" t="n">
        <f aca="false">COUNTIFS('Master Plan'!$AB$8:$AB$27,"&gt;="&amp;B32,'Master Plan'!$AB$8:$AB$27,"&lt;"&amp;B32+7)</f>
        <v>0</v>
      </c>
      <c r="F32" s="268" t="n">
        <f aca="false">COUNTIFS('Master Plan'!$AH$8:$AH$27,"&gt;="&amp;B32,'Master Plan'!$AH$8:$AH$27,"&lt;"&amp;B32+7)</f>
        <v>0</v>
      </c>
      <c r="G32" s="268" t="n">
        <f aca="false">COUNTIFS('Master Plan'!$Z$8:$Z$27,"&gt;="&amp;$B32,'Master Plan'!$Z$8:$Z$27,"&lt;"&amp;$B32+7,'Master Plan'!$E$8:$E$27,G$3)</f>
        <v>0</v>
      </c>
      <c r="H32" s="268" t="n">
        <f aca="false">COUNTIFS('Master Plan'!$Z$8:$Z$27,"&gt;="&amp;$B32,'Master Plan'!$Z$8:$Z$27,"&lt;"&amp;$B32+7,'Master Plan'!$E$8:$E$27,H$3)</f>
        <v>0</v>
      </c>
      <c r="I32" s="268" t="n">
        <f aca="false">COUNTIFS('Master Plan'!$Z$8:$Z$27,"&gt;="&amp;$B32,'Master Plan'!$Z$8:$Z$27,"&lt;"&amp;$B32+7,'Master Plan'!$E$8:$E$27,I$3)</f>
        <v>0</v>
      </c>
      <c r="J32" s="268" t="n">
        <f aca="false">COUNTIFS('Master Plan'!$Z$8:$Z$27,"&gt;="&amp;$B32,'Master Plan'!$Z$8:$Z$27,"&lt;"&amp;$B32+7,'Master Plan'!$E$8:$E$27,J$3)</f>
        <v>0</v>
      </c>
      <c r="K32" s="268" t="n">
        <f aca="false">COUNTIFS('Master Plan'!$Z$8:$Z$27,"&gt;="&amp;$B32,'Master Plan'!$Z$8:$Z$27,"&lt;"&amp;$B32+7,'Master Plan'!$E$8:$E$27,K$3)</f>
        <v>0</v>
      </c>
      <c r="L32" s="268" t="n">
        <f aca="false">COUNTIFS('Master Plan'!$Z$8:$Z$27,"&gt;="&amp;$B32,'Master Plan'!$Z$8:$Z$27,"&lt;"&amp;$B32+7,'Master Plan'!$E$8:$E$27,L$3)</f>
        <v>0</v>
      </c>
      <c r="M32" s="268" t="n">
        <f aca="false">COUNTIFS('Master Plan'!$Z$8:$Z$27,"&gt;="&amp;$B32,'Master Plan'!$Z$8:$Z$27,"&lt;"&amp;$B32+7,'Master Plan'!$E$8:$E$27,M$3)</f>
        <v>0</v>
      </c>
      <c r="N32" s="268" t="n">
        <f aca="false">COUNTIFS('Master Plan'!$Z$8:$Z$27,"&gt;="&amp;$B32,'Master Plan'!$Z$8:$Z$27,"&lt;"&amp;$B32+7,'Master Plan'!$E$8:$E$27,N$3)</f>
        <v>0</v>
      </c>
      <c r="O32" s="268" t="n">
        <f aca="false">COUNTIFS('Master Plan'!$Z$8:$Z$27,"&gt;="&amp;$B32,'Master Plan'!$Z$8:$Z$27,"&lt;"&amp;$B32+7,'Master Plan'!$E$8:$E$27,O$3)</f>
        <v>0</v>
      </c>
      <c r="P32" s="268" t="n">
        <f aca="false">COUNTIFS('Master Plan'!$Z$8:$Z$27,"&gt;="&amp;$B32,'Master Plan'!$Z$8:$Z$27,"&lt;"&amp;$B32+7,'Master Plan'!$E$8:$E$27,P$3)</f>
        <v>0</v>
      </c>
      <c r="Q32" s="268" t="n">
        <f aca="false">COUNTIFS('Master Plan'!$Z$8:$Z$27,"&gt;="&amp;$B32,'Master Plan'!$Z$8:$Z$27,"&lt;"&amp;$B32+7,'Master Plan'!$E$8:$E$27,Q$3)</f>
        <v>0</v>
      </c>
      <c r="R32" s="268" t="n">
        <f aca="false">COUNTIFS('Master Plan'!$Z$8:$Z$27,"&gt;="&amp;$B32,'Master Plan'!$Z$8:$Z$27,"&lt;"&amp;$B32+7,'Master Plan'!$E$8:$E$27,R$3)</f>
        <v>0</v>
      </c>
      <c r="S32" s="268" t="n">
        <f aca="false">COUNTIFS('Master Plan'!$Z$8:$Z$27,"&gt;="&amp;$B32,'Master Plan'!$Z$8:$Z$27,"&lt;"&amp;$B32+7,'Master Plan'!$E$8:$E$27,S$3)</f>
        <v>0</v>
      </c>
      <c r="T32" s="268" t="n">
        <f aca="false">COUNTIFS('Master Plan'!$Z$8:$Z$27,"&gt;="&amp;$B32,'Master Plan'!$Z$8:$Z$27,"&lt;"&amp;$B32+7,'Master Plan'!$E$8:$E$27,T$3)</f>
        <v>0</v>
      </c>
      <c r="U32" s="268" t="n">
        <f aca="false">COUNTIFS('Master Plan'!$Z$8:$Z$27,"&gt;="&amp;$B32,'Master Plan'!$Z$8:$Z$27,"&lt;"&amp;$B32+7,'Master Plan'!$E$8:$E$27,U$3)</f>
        <v>0</v>
      </c>
      <c r="V32" s="268" t="n">
        <f aca="false">COUNTIFS('Master Plan'!$Z$8:$Z$27,"&gt;="&amp;$B32,'Master Plan'!$Z$8:$Z$27,"&lt;"&amp;$B32+7,'Master Plan'!$E$8:$E$27,V$3)</f>
        <v>0</v>
      </c>
      <c r="W32" s="268" t="n">
        <f aca="false">COUNTIFS('Master Plan'!$Z$8:$Z$27,"&gt;="&amp;$B32,'Master Plan'!$Z$8:$Z$27,"&lt;"&amp;$B32+7,'Master Plan'!$E$8:$E$27,W$3)</f>
        <v>0</v>
      </c>
      <c r="X32" s="268" t="n">
        <f aca="false">COUNTIFS('Master Plan'!$Z$8:$Z$27,"&gt;="&amp;$B32,'Master Plan'!$Z$8:$Z$27,"&lt;"&amp;$B32+7,'Master Plan'!$E$8:$E$27,X$3)</f>
        <v>0</v>
      </c>
      <c r="Y32" s="268" t="n">
        <f aca="false">COUNTIFS('Master Plan'!$Z$8:$Z$27,"&gt;="&amp;$B32,'Master Plan'!$Z$8:$Z$27,"&lt;"&amp;$B32+7,'Master Plan'!$E$8:$E$27,Y$3)</f>
        <v>0</v>
      </c>
      <c r="Z32" s="268" t="n">
        <f aca="false">COUNTIFS('Master Plan'!$Z$8:$Z$27,"&gt;="&amp;$B32,'Master Plan'!$Z$8:$Z$27,"&lt;"&amp;$B32+7,'Master Plan'!$E$8:$E$27,Z$3)</f>
        <v>0</v>
      </c>
    </row>
    <row r="33" customFormat="false" ht="15" hidden="false" customHeight="false" outlineLevel="0" collapsed="false">
      <c r="A33" s="268" t="s">
        <v>1554</v>
      </c>
      <c r="B33" s="33" t="n">
        <f aca="false">'Master Plan'!CK7</f>
        <v>46524</v>
      </c>
      <c r="C33" s="268" t="n">
        <f aca="false">COUNTIFS('Master Plan'!$Y$8:$Y$27,"&gt;="&amp;B33,'Master Plan'!$Y$8:$Y$27,"&lt;"&amp;B33+7)</f>
        <v>0</v>
      </c>
      <c r="D33" s="268" t="n">
        <f aca="false">COUNTIFS('Master Plan'!$AA$8:$AA$27,"&gt;="&amp;B33,'Master Plan'!$AA$8:$AA$27,"&lt;"&amp;B33+7)</f>
        <v>0</v>
      </c>
      <c r="E33" s="268" t="n">
        <f aca="false">COUNTIFS('Master Plan'!$AB$8:$AB$27,"&gt;="&amp;B33,'Master Plan'!$AB$8:$AB$27,"&lt;"&amp;B33+7)</f>
        <v>0</v>
      </c>
      <c r="F33" s="268" t="n">
        <f aca="false">COUNTIFS('Master Plan'!$AH$8:$AH$27,"&gt;="&amp;B33,'Master Plan'!$AH$8:$AH$27,"&lt;"&amp;B33+7)</f>
        <v>0</v>
      </c>
      <c r="G33" s="268" t="n">
        <f aca="false">COUNTIFS('Master Plan'!$Z$8:$Z$27,"&gt;="&amp;$B33,'Master Plan'!$Z$8:$Z$27,"&lt;"&amp;$B33+7,'Master Plan'!$E$8:$E$27,G$3)</f>
        <v>0</v>
      </c>
      <c r="H33" s="268" t="n">
        <f aca="false">COUNTIFS('Master Plan'!$Z$8:$Z$27,"&gt;="&amp;$B33,'Master Plan'!$Z$8:$Z$27,"&lt;"&amp;$B33+7,'Master Plan'!$E$8:$E$27,H$3)</f>
        <v>0</v>
      </c>
      <c r="I33" s="268" t="n">
        <f aca="false">COUNTIFS('Master Plan'!$Z$8:$Z$27,"&gt;="&amp;$B33,'Master Plan'!$Z$8:$Z$27,"&lt;"&amp;$B33+7,'Master Plan'!$E$8:$E$27,I$3)</f>
        <v>0</v>
      </c>
      <c r="J33" s="268" t="n">
        <f aca="false">COUNTIFS('Master Plan'!$Z$8:$Z$27,"&gt;="&amp;$B33,'Master Plan'!$Z$8:$Z$27,"&lt;"&amp;$B33+7,'Master Plan'!$E$8:$E$27,J$3)</f>
        <v>0</v>
      </c>
      <c r="K33" s="268" t="n">
        <f aca="false">COUNTIFS('Master Plan'!$Z$8:$Z$27,"&gt;="&amp;$B33,'Master Plan'!$Z$8:$Z$27,"&lt;"&amp;$B33+7,'Master Plan'!$E$8:$E$27,K$3)</f>
        <v>0</v>
      </c>
      <c r="L33" s="268" t="n">
        <f aca="false">COUNTIFS('Master Plan'!$Z$8:$Z$27,"&gt;="&amp;$B33,'Master Plan'!$Z$8:$Z$27,"&lt;"&amp;$B33+7,'Master Plan'!$E$8:$E$27,L$3)</f>
        <v>0</v>
      </c>
      <c r="M33" s="268" t="n">
        <f aca="false">COUNTIFS('Master Plan'!$Z$8:$Z$27,"&gt;="&amp;$B33,'Master Plan'!$Z$8:$Z$27,"&lt;"&amp;$B33+7,'Master Plan'!$E$8:$E$27,M$3)</f>
        <v>0</v>
      </c>
      <c r="N33" s="268" t="n">
        <f aca="false">COUNTIFS('Master Plan'!$Z$8:$Z$27,"&gt;="&amp;$B33,'Master Plan'!$Z$8:$Z$27,"&lt;"&amp;$B33+7,'Master Plan'!$E$8:$E$27,N$3)</f>
        <v>0</v>
      </c>
      <c r="O33" s="268" t="n">
        <f aca="false">COUNTIFS('Master Plan'!$Z$8:$Z$27,"&gt;="&amp;$B33,'Master Plan'!$Z$8:$Z$27,"&lt;"&amp;$B33+7,'Master Plan'!$E$8:$E$27,O$3)</f>
        <v>0</v>
      </c>
      <c r="P33" s="268" t="n">
        <f aca="false">COUNTIFS('Master Plan'!$Z$8:$Z$27,"&gt;="&amp;$B33,'Master Plan'!$Z$8:$Z$27,"&lt;"&amp;$B33+7,'Master Plan'!$E$8:$E$27,P$3)</f>
        <v>0</v>
      </c>
      <c r="Q33" s="268" t="n">
        <f aca="false">COUNTIFS('Master Plan'!$Z$8:$Z$27,"&gt;="&amp;$B33,'Master Plan'!$Z$8:$Z$27,"&lt;"&amp;$B33+7,'Master Plan'!$E$8:$E$27,Q$3)</f>
        <v>0</v>
      </c>
      <c r="R33" s="268" t="n">
        <f aca="false">COUNTIFS('Master Plan'!$Z$8:$Z$27,"&gt;="&amp;$B33,'Master Plan'!$Z$8:$Z$27,"&lt;"&amp;$B33+7,'Master Plan'!$E$8:$E$27,R$3)</f>
        <v>0</v>
      </c>
      <c r="S33" s="268" t="n">
        <f aca="false">COUNTIFS('Master Plan'!$Z$8:$Z$27,"&gt;="&amp;$B33,'Master Plan'!$Z$8:$Z$27,"&lt;"&amp;$B33+7,'Master Plan'!$E$8:$E$27,S$3)</f>
        <v>0</v>
      </c>
      <c r="T33" s="268" t="n">
        <f aca="false">COUNTIFS('Master Plan'!$Z$8:$Z$27,"&gt;="&amp;$B33,'Master Plan'!$Z$8:$Z$27,"&lt;"&amp;$B33+7,'Master Plan'!$E$8:$E$27,T$3)</f>
        <v>0</v>
      </c>
      <c r="U33" s="268" t="n">
        <f aca="false">COUNTIFS('Master Plan'!$Z$8:$Z$27,"&gt;="&amp;$B33,'Master Plan'!$Z$8:$Z$27,"&lt;"&amp;$B33+7,'Master Plan'!$E$8:$E$27,U$3)</f>
        <v>0</v>
      </c>
      <c r="V33" s="268" t="n">
        <f aca="false">COUNTIFS('Master Plan'!$Z$8:$Z$27,"&gt;="&amp;$B33,'Master Plan'!$Z$8:$Z$27,"&lt;"&amp;$B33+7,'Master Plan'!$E$8:$E$27,V$3)</f>
        <v>0</v>
      </c>
      <c r="W33" s="268" t="n">
        <f aca="false">COUNTIFS('Master Plan'!$Z$8:$Z$27,"&gt;="&amp;$B33,'Master Plan'!$Z$8:$Z$27,"&lt;"&amp;$B33+7,'Master Plan'!$E$8:$E$27,W$3)</f>
        <v>0</v>
      </c>
      <c r="X33" s="268" t="n">
        <f aca="false">COUNTIFS('Master Plan'!$Z$8:$Z$27,"&gt;="&amp;$B33,'Master Plan'!$Z$8:$Z$27,"&lt;"&amp;$B33+7,'Master Plan'!$E$8:$E$27,X$3)</f>
        <v>0</v>
      </c>
      <c r="Y33" s="268" t="n">
        <f aca="false">COUNTIFS('Master Plan'!$Z$8:$Z$27,"&gt;="&amp;$B33,'Master Plan'!$Z$8:$Z$27,"&lt;"&amp;$B33+7,'Master Plan'!$E$8:$E$27,Y$3)</f>
        <v>0</v>
      </c>
      <c r="Z33" s="268" t="n">
        <f aca="false">COUNTIFS('Master Plan'!$Z$8:$Z$27,"&gt;="&amp;$B33,'Master Plan'!$Z$8:$Z$27,"&lt;"&amp;$B33+7,'Master Plan'!$E$8:$E$27,Z$3)</f>
        <v>0</v>
      </c>
    </row>
    <row r="34" customFormat="false" ht="15" hidden="false" customHeight="false" outlineLevel="0" collapsed="false">
      <c r="A34" s="268" t="s">
        <v>1555</v>
      </c>
      <c r="B34" s="33" t="n">
        <f aca="false">'Master Plan'!CL7</f>
        <v>46531</v>
      </c>
      <c r="C34" s="268" t="n">
        <f aca="false">COUNTIFS('Master Plan'!$Y$8:$Y$27,"&gt;="&amp;B34,'Master Plan'!$Y$8:$Y$27,"&lt;"&amp;B34+7)</f>
        <v>0</v>
      </c>
      <c r="D34" s="268" t="n">
        <f aca="false">COUNTIFS('Master Plan'!$AA$8:$AA$27,"&gt;="&amp;B34,'Master Plan'!$AA$8:$AA$27,"&lt;"&amp;B34+7)</f>
        <v>0</v>
      </c>
      <c r="E34" s="268" t="n">
        <f aca="false">COUNTIFS('Master Plan'!$AB$8:$AB$27,"&gt;="&amp;B34,'Master Plan'!$AB$8:$AB$27,"&lt;"&amp;B34+7)</f>
        <v>0</v>
      </c>
      <c r="F34" s="268" t="n">
        <f aca="false">COUNTIFS('Master Plan'!$AH$8:$AH$27,"&gt;="&amp;B34,'Master Plan'!$AH$8:$AH$27,"&lt;"&amp;B34+7)</f>
        <v>0</v>
      </c>
      <c r="G34" s="268" t="n">
        <f aca="false">COUNTIFS('Master Plan'!$Z$8:$Z$27,"&gt;="&amp;$B34,'Master Plan'!$Z$8:$Z$27,"&lt;"&amp;$B34+7,'Master Plan'!$E$8:$E$27,G$3)</f>
        <v>0</v>
      </c>
      <c r="H34" s="268" t="n">
        <f aca="false">COUNTIFS('Master Plan'!$Z$8:$Z$27,"&gt;="&amp;$B34,'Master Plan'!$Z$8:$Z$27,"&lt;"&amp;$B34+7,'Master Plan'!$E$8:$E$27,H$3)</f>
        <v>0</v>
      </c>
      <c r="I34" s="268" t="n">
        <f aca="false">COUNTIFS('Master Plan'!$Z$8:$Z$27,"&gt;="&amp;$B34,'Master Plan'!$Z$8:$Z$27,"&lt;"&amp;$B34+7,'Master Plan'!$E$8:$E$27,I$3)</f>
        <v>0</v>
      </c>
      <c r="J34" s="268" t="n">
        <f aca="false">COUNTIFS('Master Plan'!$Z$8:$Z$27,"&gt;="&amp;$B34,'Master Plan'!$Z$8:$Z$27,"&lt;"&amp;$B34+7,'Master Plan'!$E$8:$E$27,J$3)</f>
        <v>0</v>
      </c>
      <c r="K34" s="268" t="n">
        <f aca="false">COUNTIFS('Master Plan'!$Z$8:$Z$27,"&gt;="&amp;$B34,'Master Plan'!$Z$8:$Z$27,"&lt;"&amp;$B34+7,'Master Plan'!$E$8:$E$27,K$3)</f>
        <v>0</v>
      </c>
      <c r="L34" s="268" t="n">
        <f aca="false">COUNTIFS('Master Plan'!$Z$8:$Z$27,"&gt;="&amp;$B34,'Master Plan'!$Z$8:$Z$27,"&lt;"&amp;$B34+7,'Master Plan'!$E$8:$E$27,L$3)</f>
        <v>0</v>
      </c>
      <c r="M34" s="268" t="n">
        <f aca="false">COUNTIFS('Master Plan'!$Z$8:$Z$27,"&gt;="&amp;$B34,'Master Plan'!$Z$8:$Z$27,"&lt;"&amp;$B34+7,'Master Plan'!$E$8:$E$27,M$3)</f>
        <v>0</v>
      </c>
      <c r="N34" s="268" t="n">
        <f aca="false">COUNTIFS('Master Plan'!$Z$8:$Z$27,"&gt;="&amp;$B34,'Master Plan'!$Z$8:$Z$27,"&lt;"&amp;$B34+7,'Master Plan'!$E$8:$E$27,N$3)</f>
        <v>0</v>
      </c>
      <c r="O34" s="268" t="n">
        <f aca="false">COUNTIFS('Master Plan'!$Z$8:$Z$27,"&gt;="&amp;$B34,'Master Plan'!$Z$8:$Z$27,"&lt;"&amp;$B34+7,'Master Plan'!$E$8:$E$27,O$3)</f>
        <v>0</v>
      </c>
      <c r="P34" s="268" t="n">
        <f aca="false">COUNTIFS('Master Plan'!$Z$8:$Z$27,"&gt;="&amp;$B34,'Master Plan'!$Z$8:$Z$27,"&lt;"&amp;$B34+7,'Master Plan'!$E$8:$E$27,P$3)</f>
        <v>0</v>
      </c>
      <c r="Q34" s="268" t="n">
        <f aca="false">COUNTIFS('Master Plan'!$Z$8:$Z$27,"&gt;="&amp;$B34,'Master Plan'!$Z$8:$Z$27,"&lt;"&amp;$B34+7,'Master Plan'!$E$8:$E$27,Q$3)</f>
        <v>0</v>
      </c>
      <c r="R34" s="268" t="n">
        <f aca="false">COUNTIFS('Master Plan'!$Z$8:$Z$27,"&gt;="&amp;$B34,'Master Plan'!$Z$8:$Z$27,"&lt;"&amp;$B34+7,'Master Plan'!$E$8:$E$27,R$3)</f>
        <v>0</v>
      </c>
      <c r="S34" s="268" t="n">
        <f aca="false">COUNTIFS('Master Plan'!$Z$8:$Z$27,"&gt;="&amp;$B34,'Master Plan'!$Z$8:$Z$27,"&lt;"&amp;$B34+7,'Master Plan'!$E$8:$E$27,S$3)</f>
        <v>0</v>
      </c>
      <c r="T34" s="268" t="n">
        <f aca="false">COUNTIFS('Master Plan'!$Z$8:$Z$27,"&gt;="&amp;$B34,'Master Plan'!$Z$8:$Z$27,"&lt;"&amp;$B34+7,'Master Plan'!$E$8:$E$27,T$3)</f>
        <v>0</v>
      </c>
      <c r="U34" s="268" t="n">
        <f aca="false">COUNTIFS('Master Plan'!$Z$8:$Z$27,"&gt;="&amp;$B34,'Master Plan'!$Z$8:$Z$27,"&lt;"&amp;$B34+7,'Master Plan'!$E$8:$E$27,U$3)</f>
        <v>0</v>
      </c>
      <c r="V34" s="268" t="n">
        <f aca="false">COUNTIFS('Master Plan'!$Z$8:$Z$27,"&gt;="&amp;$B34,'Master Plan'!$Z$8:$Z$27,"&lt;"&amp;$B34+7,'Master Plan'!$E$8:$E$27,V$3)</f>
        <v>0</v>
      </c>
      <c r="W34" s="268" t="n">
        <f aca="false">COUNTIFS('Master Plan'!$Z$8:$Z$27,"&gt;="&amp;$B34,'Master Plan'!$Z$8:$Z$27,"&lt;"&amp;$B34+7,'Master Plan'!$E$8:$E$27,W$3)</f>
        <v>0</v>
      </c>
      <c r="X34" s="268" t="n">
        <f aca="false">COUNTIFS('Master Plan'!$Z$8:$Z$27,"&gt;="&amp;$B34,'Master Plan'!$Z$8:$Z$27,"&lt;"&amp;$B34+7,'Master Plan'!$E$8:$E$27,X$3)</f>
        <v>0</v>
      </c>
      <c r="Y34" s="268" t="n">
        <f aca="false">COUNTIFS('Master Plan'!$Z$8:$Z$27,"&gt;="&amp;$B34,'Master Plan'!$Z$8:$Z$27,"&lt;"&amp;$B34+7,'Master Plan'!$E$8:$E$27,Y$3)</f>
        <v>0</v>
      </c>
      <c r="Z34" s="268" t="n">
        <f aca="false">COUNTIFS('Master Plan'!$Z$8:$Z$27,"&gt;="&amp;$B34,'Master Plan'!$Z$8:$Z$27,"&lt;"&amp;$B34+7,'Master Plan'!$E$8:$E$27,Z$3)</f>
        <v>0</v>
      </c>
    </row>
    <row r="35" customFormat="false" ht="15" hidden="false" customHeight="false" outlineLevel="0" collapsed="false">
      <c r="A35" s="268" t="s">
        <v>1556</v>
      </c>
      <c r="B35" s="33" t="n">
        <f aca="false">'Master Plan'!CM7</f>
        <v>46538</v>
      </c>
      <c r="C35" s="268" t="n">
        <f aca="false">COUNTIFS('Master Plan'!$Y$8:$Y$27,"&gt;="&amp;B35,'Master Plan'!$Y$8:$Y$27,"&lt;"&amp;B35+7)</f>
        <v>0</v>
      </c>
      <c r="D35" s="268" t="n">
        <f aca="false">COUNTIFS('Master Plan'!$AA$8:$AA$27,"&gt;="&amp;B35,'Master Plan'!$AA$8:$AA$27,"&lt;"&amp;B35+7)</f>
        <v>0</v>
      </c>
      <c r="E35" s="268" t="n">
        <f aca="false">COUNTIFS('Master Plan'!$AB$8:$AB$27,"&gt;="&amp;B35,'Master Plan'!$AB$8:$AB$27,"&lt;"&amp;B35+7)</f>
        <v>0</v>
      </c>
      <c r="F35" s="268" t="n">
        <f aca="false">COUNTIFS('Master Plan'!$AH$8:$AH$27,"&gt;="&amp;B35,'Master Plan'!$AH$8:$AH$27,"&lt;"&amp;B35+7)</f>
        <v>0</v>
      </c>
      <c r="G35" s="268" t="n">
        <f aca="false">COUNTIFS('Master Plan'!$Z$8:$Z$27,"&gt;="&amp;$B35,'Master Plan'!$Z$8:$Z$27,"&lt;"&amp;$B35+7,'Master Plan'!$E$8:$E$27,G$3)</f>
        <v>0</v>
      </c>
      <c r="H35" s="268" t="n">
        <f aca="false">COUNTIFS('Master Plan'!$Z$8:$Z$27,"&gt;="&amp;$B35,'Master Plan'!$Z$8:$Z$27,"&lt;"&amp;$B35+7,'Master Plan'!$E$8:$E$27,H$3)</f>
        <v>0</v>
      </c>
      <c r="I35" s="268" t="n">
        <f aca="false">COUNTIFS('Master Plan'!$Z$8:$Z$27,"&gt;="&amp;$B35,'Master Plan'!$Z$8:$Z$27,"&lt;"&amp;$B35+7,'Master Plan'!$E$8:$E$27,I$3)</f>
        <v>0</v>
      </c>
      <c r="J35" s="268" t="n">
        <f aca="false">COUNTIFS('Master Plan'!$Z$8:$Z$27,"&gt;="&amp;$B35,'Master Plan'!$Z$8:$Z$27,"&lt;"&amp;$B35+7,'Master Plan'!$E$8:$E$27,J$3)</f>
        <v>0</v>
      </c>
      <c r="K35" s="268" t="n">
        <f aca="false">COUNTIFS('Master Plan'!$Z$8:$Z$27,"&gt;="&amp;$B35,'Master Plan'!$Z$8:$Z$27,"&lt;"&amp;$B35+7,'Master Plan'!$E$8:$E$27,K$3)</f>
        <v>0</v>
      </c>
      <c r="L35" s="268" t="n">
        <f aca="false">COUNTIFS('Master Plan'!$Z$8:$Z$27,"&gt;="&amp;$B35,'Master Plan'!$Z$8:$Z$27,"&lt;"&amp;$B35+7,'Master Plan'!$E$8:$E$27,L$3)</f>
        <v>0</v>
      </c>
      <c r="M35" s="268" t="n">
        <f aca="false">COUNTIFS('Master Plan'!$Z$8:$Z$27,"&gt;="&amp;$B35,'Master Plan'!$Z$8:$Z$27,"&lt;"&amp;$B35+7,'Master Plan'!$E$8:$E$27,M$3)</f>
        <v>0</v>
      </c>
      <c r="N35" s="268" t="n">
        <f aca="false">COUNTIFS('Master Plan'!$Z$8:$Z$27,"&gt;="&amp;$B35,'Master Plan'!$Z$8:$Z$27,"&lt;"&amp;$B35+7,'Master Plan'!$E$8:$E$27,N$3)</f>
        <v>0</v>
      </c>
      <c r="O35" s="268" t="n">
        <f aca="false">COUNTIFS('Master Plan'!$Z$8:$Z$27,"&gt;="&amp;$B35,'Master Plan'!$Z$8:$Z$27,"&lt;"&amp;$B35+7,'Master Plan'!$E$8:$E$27,O$3)</f>
        <v>0</v>
      </c>
      <c r="P35" s="268" t="n">
        <f aca="false">COUNTIFS('Master Plan'!$Z$8:$Z$27,"&gt;="&amp;$B35,'Master Plan'!$Z$8:$Z$27,"&lt;"&amp;$B35+7,'Master Plan'!$E$8:$E$27,P$3)</f>
        <v>0</v>
      </c>
      <c r="Q35" s="268" t="n">
        <f aca="false">COUNTIFS('Master Plan'!$Z$8:$Z$27,"&gt;="&amp;$B35,'Master Plan'!$Z$8:$Z$27,"&lt;"&amp;$B35+7,'Master Plan'!$E$8:$E$27,Q$3)</f>
        <v>0</v>
      </c>
      <c r="R35" s="268" t="n">
        <f aca="false">COUNTIFS('Master Plan'!$Z$8:$Z$27,"&gt;="&amp;$B35,'Master Plan'!$Z$8:$Z$27,"&lt;"&amp;$B35+7,'Master Plan'!$E$8:$E$27,R$3)</f>
        <v>0</v>
      </c>
      <c r="S35" s="268" t="n">
        <f aca="false">COUNTIFS('Master Plan'!$Z$8:$Z$27,"&gt;="&amp;$B35,'Master Plan'!$Z$8:$Z$27,"&lt;"&amp;$B35+7,'Master Plan'!$E$8:$E$27,S$3)</f>
        <v>0</v>
      </c>
      <c r="T35" s="268" t="n">
        <f aca="false">COUNTIFS('Master Plan'!$Z$8:$Z$27,"&gt;="&amp;$B35,'Master Plan'!$Z$8:$Z$27,"&lt;"&amp;$B35+7,'Master Plan'!$E$8:$E$27,T$3)</f>
        <v>0</v>
      </c>
      <c r="U35" s="268" t="n">
        <f aca="false">COUNTIFS('Master Plan'!$Z$8:$Z$27,"&gt;="&amp;$B35,'Master Plan'!$Z$8:$Z$27,"&lt;"&amp;$B35+7,'Master Plan'!$E$8:$E$27,U$3)</f>
        <v>0</v>
      </c>
      <c r="V35" s="268" t="n">
        <f aca="false">COUNTIFS('Master Plan'!$Z$8:$Z$27,"&gt;="&amp;$B35,'Master Plan'!$Z$8:$Z$27,"&lt;"&amp;$B35+7,'Master Plan'!$E$8:$E$27,V$3)</f>
        <v>0</v>
      </c>
      <c r="W35" s="268" t="n">
        <f aca="false">COUNTIFS('Master Plan'!$Z$8:$Z$27,"&gt;="&amp;$B35,'Master Plan'!$Z$8:$Z$27,"&lt;"&amp;$B35+7,'Master Plan'!$E$8:$E$27,W$3)</f>
        <v>0</v>
      </c>
      <c r="X35" s="268" t="n">
        <f aca="false">COUNTIFS('Master Plan'!$Z$8:$Z$27,"&gt;="&amp;$B35,'Master Plan'!$Z$8:$Z$27,"&lt;"&amp;$B35+7,'Master Plan'!$E$8:$E$27,X$3)</f>
        <v>0</v>
      </c>
      <c r="Y35" s="268" t="n">
        <f aca="false">COUNTIFS('Master Plan'!$Z$8:$Z$27,"&gt;="&amp;$B35,'Master Plan'!$Z$8:$Z$27,"&lt;"&amp;$B35+7,'Master Plan'!$E$8:$E$27,Y$3)</f>
        <v>0</v>
      </c>
      <c r="Z35" s="268" t="n">
        <f aca="false">COUNTIFS('Master Plan'!$Z$8:$Z$27,"&gt;="&amp;$B35,'Master Plan'!$Z$8:$Z$27,"&lt;"&amp;$B35+7,'Master Plan'!$E$8:$E$27,Z$3)</f>
        <v>0</v>
      </c>
    </row>
    <row r="36" customFormat="false" ht="15" hidden="false" customHeight="false" outlineLevel="0" collapsed="false">
      <c r="A36" s="268" t="s">
        <v>1557</v>
      </c>
      <c r="B36" s="33" t="n">
        <f aca="false">'Master Plan'!CN7</f>
        <v>46545</v>
      </c>
      <c r="C36" s="268" t="n">
        <f aca="false">COUNTIFS('Master Plan'!$Y$8:$Y$27,"&gt;="&amp;B36,'Master Plan'!$Y$8:$Y$27,"&lt;"&amp;B36+7)</f>
        <v>0</v>
      </c>
      <c r="D36" s="268" t="n">
        <f aca="false">COUNTIFS('Master Plan'!$AA$8:$AA$27,"&gt;="&amp;B36,'Master Plan'!$AA$8:$AA$27,"&lt;"&amp;B36+7)</f>
        <v>0</v>
      </c>
      <c r="E36" s="268" t="n">
        <f aca="false">COUNTIFS('Master Plan'!$AB$8:$AB$27,"&gt;="&amp;B36,'Master Plan'!$AB$8:$AB$27,"&lt;"&amp;B36+7)</f>
        <v>0</v>
      </c>
      <c r="F36" s="268" t="n">
        <f aca="false">COUNTIFS('Master Plan'!$AH$8:$AH$27,"&gt;="&amp;B36,'Master Plan'!$AH$8:$AH$27,"&lt;"&amp;B36+7)</f>
        <v>0</v>
      </c>
      <c r="G36" s="268" t="n">
        <f aca="false">COUNTIFS('Master Plan'!$Z$8:$Z$27,"&gt;="&amp;$B36,'Master Plan'!$Z$8:$Z$27,"&lt;"&amp;$B36+7,'Master Plan'!$E$8:$E$27,G$3)</f>
        <v>0</v>
      </c>
      <c r="H36" s="268" t="n">
        <f aca="false">COUNTIFS('Master Plan'!$Z$8:$Z$27,"&gt;="&amp;$B36,'Master Plan'!$Z$8:$Z$27,"&lt;"&amp;$B36+7,'Master Plan'!$E$8:$E$27,H$3)</f>
        <v>0</v>
      </c>
      <c r="I36" s="268" t="n">
        <f aca="false">COUNTIFS('Master Plan'!$Z$8:$Z$27,"&gt;="&amp;$B36,'Master Plan'!$Z$8:$Z$27,"&lt;"&amp;$B36+7,'Master Plan'!$E$8:$E$27,I$3)</f>
        <v>0</v>
      </c>
      <c r="J36" s="268" t="n">
        <f aca="false">COUNTIFS('Master Plan'!$Z$8:$Z$27,"&gt;="&amp;$B36,'Master Plan'!$Z$8:$Z$27,"&lt;"&amp;$B36+7,'Master Plan'!$E$8:$E$27,J$3)</f>
        <v>0</v>
      </c>
      <c r="K36" s="268" t="n">
        <f aca="false">COUNTIFS('Master Plan'!$Z$8:$Z$27,"&gt;="&amp;$B36,'Master Plan'!$Z$8:$Z$27,"&lt;"&amp;$B36+7,'Master Plan'!$E$8:$E$27,K$3)</f>
        <v>0</v>
      </c>
      <c r="L36" s="268" t="n">
        <f aca="false">COUNTIFS('Master Plan'!$Z$8:$Z$27,"&gt;="&amp;$B36,'Master Plan'!$Z$8:$Z$27,"&lt;"&amp;$B36+7,'Master Plan'!$E$8:$E$27,L$3)</f>
        <v>0</v>
      </c>
      <c r="M36" s="268" t="n">
        <f aca="false">COUNTIFS('Master Plan'!$Z$8:$Z$27,"&gt;="&amp;$B36,'Master Plan'!$Z$8:$Z$27,"&lt;"&amp;$B36+7,'Master Plan'!$E$8:$E$27,M$3)</f>
        <v>0</v>
      </c>
      <c r="N36" s="268" t="n">
        <f aca="false">COUNTIFS('Master Plan'!$Z$8:$Z$27,"&gt;="&amp;$B36,'Master Plan'!$Z$8:$Z$27,"&lt;"&amp;$B36+7,'Master Plan'!$E$8:$E$27,N$3)</f>
        <v>0</v>
      </c>
      <c r="O36" s="268" t="n">
        <f aca="false">COUNTIFS('Master Plan'!$Z$8:$Z$27,"&gt;="&amp;$B36,'Master Plan'!$Z$8:$Z$27,"&lt;"&amp;$B36+7,'Master Plan'!$E$8:$E$27,O$3)</f>
        <v>0</v>
      </c>
      <c r="P36" s="268" t="n">
        <f aca="false">COUNTIFS('Master Plan'!$Z$8:$Z$27,"&gt;="&amp;$B36,'Master Plan'!$Z$8:$Z$27,"&lt;"&amp;$B36+7,'Master Plan'!$E$8:$E$27,P$3)</f>
        <v>0</v>
      </c>
      <c r="Q36" s="268" t="n">
        <f aca="false">COUNTIFS('Master Plan'!$Z$8:$Z$27,"&gt;="&amp;$B36,'Master Plan'!$Z$8:$Z$27,"&lt;"&amp;$B36+7,'Master Plan'!$E$8:$E$27,Q$3)</f>
        <v>0</v>
      </c>
      <c r="R36" s="268" t="n">
        <f aca="false">COUNTIFS('Master Plan'!$Z$8:$Z$27,"&gt;="&amp;$B36,'Master Plan'!$Z$8:$Z$27,"&lt;"&amp;$B36+7,'Master Plan'!$E$8:$E$27,R$3)</f>
        <v>0</v>
      </c>
      <c r="S36" s="268" t="n">
        <f aca="false">COUNTIFS('Master Plan'!$Z$8:$Z$27,"&gt;="&amp;$B36,'Master Plan'!$Z$8:$Z$27,"&lt;"&amp;$B36+7,'Master Plan'!$E$8:$E$27,S$3)</f>
        <v>0</v>
      </c>
      <c r="T36" s="268" t="n">
        <f aca="false">COUNTIFS('Master Plan'!$Z$8:$Z$27,"&gt;="&amp;$B36,'Master Plan'!$Z$8:$Z$27,"&lt;"&amp;$B36+7,'Master Plan'!$E$8:$E$27,T$3)</f>
        <v>0</v>
      </c>
      <c r="U36" s="268" t="n">
        <f aca="false">COUNTIFS('Master Plan'!$Z$8:$Z$27,"&gt;="&amp;$B36,'Master Plan'!$Z$8:$Z$27,"&lt;"&amp;$B36+7,'Master Plan'!$E$8:$E$27,U$3)</f>
        <v>0</v>
      </c>
      <c r="V36" s="268" t="n">
        <f aca="false">COUNTIFS('Master Plan'!$Z$8:$Z$27,"&gt;="&amp;$B36,'Master Plan'!$Z$8:$Z$27,"&lt;"&amp;$B36+7,'Master Plan'!$E$8:$E$27,V$3)</f>
        <v>0</v>
      </c>
      <c r="W36" s="268" t="n">
        <f aca="false">COUNTIFS('Master Plan'!$Z$8:$Z$27,"&gt;="&amp;$B36,'Master Plan'!$Z$8:$Z$27,"&lt;"&amp;$B36+7,'Master Plan'!$E$8:$E$27,W$3)</f>
        <v>0</v>
      </c>
      <c r="X36" s="268" t="n">
        <f aca="false">COUNTIFS('Master Plan'!$Z$8:$Z$27,"&gt;="&amp;$B36,'Master Plan'!$Z$8:$Z$27,"&lt;"&amp;$B36+7,'Master Plan'!$E$8:$E$27,X$3)</f>
        <v>0</v>
      </c>
      <c r="Y36" s="268" t="n">
        <f aca="false">COUNTIFS('Master Plan'!$Z$8:$Z$27,"&gt;="&amp;$B36,'Master Plan'!$Z$8:$Z$27,"&lt;"&amp;$B36+7,'Master Plan'!$E$8:$E$27,Y$3)</f>
        <v>0</v>
      </c>
      <c r="Z36" s="268" t="n">
        <f aca="false">COUNTIFS('Master Plan'!$Z$8:$Z$27,"&gt;="&amp;$B36,'Master Plan'!$Z$8:$Z$27,"&lt;"&amp;$B36+7,'Master Plan'!$E$8:$E$27,Z$3)</f>
        <v>0</v>
      </c>
    </row>
    <row r="37" customFormat="false" ht="15" hidden="false" customHeight="false" outlineLevel="0" collapsed="false">
      <c r="A37" s="268" t="s">
        <v>1558</v>
      </c>
      <c r="B37" s="33" t="n">
        <f aca="false">'Master Plan'!CO7</f>
        <v>46552</v>
      </c>
      <c r="C37" s="268" t="n">
        <f aca="false">COUNTIFS('Master Plan'!$Y$8:$Y$27,"&gt;="&amp;B37,'Master Plan'!$Y$8:$Y$27,"&lt;"&amp;B37+7)</f>
        <v>0</v>
      </c>
      <c r="D37" s="268" t="n">
        <f aca="false">COUNTIFS('Master Plan'!$AA$8:$AA$27,"&gt;="&amp;B37,'Master Plan'!$AA$8:$AA$27,"&lt;"&amp;B37+7)</f>
        <v>0</v>
      </c>
      <c r="E37" s="268" t="n">
        <f aca="false">COUNTIFS('Master Plan'!$AB$8:$AB$27,"&gt;="&amp;B37,'Master Plan'!$AB$8:$AB$27,"&lt;"&amp;B37+7)</f>
        <v>0</v>
      </c>
      <c r="F37" s="268" t="n">
        <f aca="false">COUNTIFS('Master Plan'!$AH$8:$AH$27,"&gt;="&amp;B37,'Master Plan'!$AH$8:$AH$27,"&lt;"&amp;B37+7)</f>
        <v>0</v>
      </c>
      <c r="G37" s="268" t="n">
        <f aca="false">COUNTIFS('Master Plan'!$Z$8:$Z$27,"&gt;="&amp;$B37,'Master Plan'!$Z$8:$Z$27,"&lt;"&amp;$B37+7,'Master Plan'!$E$8:$E$27,G$3)</f>
        <v>0</v>
      </c>
      <c r="H37" s="268" t="n">
        <f aca="false">COUNTIFS('Master Plan'!$Z$8:$Z$27,"&gt;="&amp;$B37,'Master Plan'!$Z$8:$Z$27,"&lt;"&amp;$B37+7,'Master Plan'!$E$8:$E$27,H$3)</f>
        <v>0</v>
      </c>
      <c r="I37" s="268" t="n">
        <f aca="false">COUNTIFS('Master Plan'!$Z$8:$Z$27,"&gt;="&amp;$B37,'Master Plan'!$Z$8:$Z$27,"&lt;"&amp;$B37+7,'Master Plan'!$E$8:$E$27,I$3)</f>
        <v>0</v>
      </c>
      <c r="J37" s="268" t="n">
        <f aca="false">COUNTIFS('Master Plan'!$Z$8:$Z$27,"&gt;="&amp;$B37,'Master Plan'!$Z$8:$Z$27,"&lt;"&amp;$B37+7,'Master Plan'!$E$8:$E$27,J$3)</f>
        <v>0</v>
      </c>
      <c r="K37" s="268" t="n">
        <f aca="false">COUNTIFS('Master Plan'!$Z$8:$Z$27,"&gt;="&amp;$B37,'Master Plan'!$Z$8:$Z$27,"&lt;"&amp;$B37+7,'Master Plan'!$E$8:$E$27,K$3)</f>
        <v>0</v>
      </c>
      <c r="L37" s="268" t="n">
        <f aca="false">COUNTIFS('Master Plan'!$Z$8:$Z$27,"&gt;="&amp;$B37,'Master Plan'!$Z$8:$Z$27,"&lt;"&amp;$B37+7,'Master Plan'!$E$8:$E$27,L$3)</f>
        <v>0</v>
      </c>
      <c r="M37" s="268" t="n">
        <f aca="false">COUNTIFS('Master Plan'!$Z$8:$Z$27,"&gt;="&amp;$B37,'Master Plan'!$Z$8:$Z$27,"&lt;"&amp;$B37+7,'Master Plan'!$E$8:$E$27,M$3)</f>
        <v>0</v>
      </c>
      <c r="N37" s="268" t="n">
        <f aca="false">COUNTIFS('Master Plan'!$Z$8:$Z$27,"&gt;="&amp;$B37,'Master Plan'!$Z$8:$Z$27,"&lt;"&amp;$B37+7,'Master Plan'!$E$8:$E$27,N$3)</f>
        <v>0</v>
      </c>
      <c r="O37" s="268" t="n">
        <f aca="false">COUNTIFS('Master Plan'!$Z$8:$Z$27,"&gt;="&amp;$B37,'Master Plan'!$Z$8:$Z$27,"&lt;"&amp;$B37+7,'Master Plan'!$E$8:$E$27,O$3)</f>
        <v>0</v>
      </c>
      <c r="P37" s="268" t="n">
        <f aca="false">COUNTIFS('Master Plan'!$Z$8:$Z$27,"&gt;="&amp;$B37,'Master Plan'!$Z$8:$Z$27,"&lt;"&amp;$B37+7,'Master Plan'!$E$8:$E$27,P$3)</f>
        <v>0</v>
      </c>
      <c r="Q37" s="268" t="n">
        <f aca="false">COUNTIFS('Master Plan'!$Z$8:$Z$27,"&gt;="&amp;$B37,'Master Plan'!$Z$8:$Z$27,"&lt;"&amp;$B37+7,'Master Plan'!$E$8:$E$27,Q$3)</f>
        <v>0</v>
      </c>
      <c r="R37" s="268" t="n">
        <f aca="false">COUNTIFS('Master Plan'!$Z$8:$Z$27,"&gt;="&amp;$B37,'Master Plan'!$Z$8:$Z$27,"&lt;"&amp;$B37+7,'Master Plan'!$E$8:$E$27,R$3)</f>
        <v>0</v>
      </c>
      <c r="S37" s="268" t="n">
        <f aca="false">COUNTIFS('Master Plan'!$Z$8:$Z$27,"&gt;="&amp;$B37,'Master Plan'!$Z$8:$Z$27,"&lt;"&amp;$B37+7,'Master Plan'!$E$8:$E$27,S$3)</f>
        <v>0</v>
      </c>
      <c r="T37" s="268" t="n">
        <f aca="false">COUNTIFS('Master Plan'!$Z$8:$Z$27,"&gt;="&amp;$B37,'Master Plan'!$Z$8:$Z$27,"&lt;"&amp;$B37+7,'Master Plan'!$E$8:$E$27,T$3)</f>
        <v>0</v>
      </c>
      <c r="U37" s="268" t="n">
        <f aca="false">COUNTIFS('Master Plan'!$Z$8:$Z$27,"&gt;="&amp;$B37,'Master Plan'!$Z$8:$Z$27,"&lt;"&amp;$B37+7,'Master Plan'!$E$8:$E$27,U$3)</f>
        <v>0</v>
      </c>
      <c r="V37" s="268" t="n">
        <f aca="false">COUNTIFS('Master Plan'!$Z$8:$Z$27,"&gt;="&amp;$B37,'Master Plan'!$Z$8:$Z$27,"&lt;"&amp;$B37+7,'Master Plan'!$E$8:$E$27,V$3)</f>
        <v>0</v>
      </c>
      <c r="W37" s="268" t="n">
        <f aca="false">COUNTIFS('Master Plan'!$Z$8:$Z$27,"&gt;="&amp;$B37,'Master Plan'!$Z$8:$Z$27,"&lt;"&amp;$B37+7,'Master Plan'!$E$8:$E$27,W$3)</f>
        <v>0</v>
      </c>
      <c r="X37" s="268" t="n">
        <f aca="false">COUNTIFS('Master Plan'!$Z$8:$Z$27,"&gt;="&amp;$B37,'Master Plan'!$Z$8:$Z$27,"&lt;"&amp;$B37+7,'Master Plan'!$E$8:$E$27,X$3)</f>
        <v>0</v>
      </c>
      <c r="Y37" s="268" t="n">
        <f aca="false">COUNTIFS('Master Plan'!$Z$8:$Z$27,"&gt;="&amp;$B37,'Master Plan'!$Z$8:$Z$27,"&lt;"&amp;$B37+7,'Master Plan'!$E$8:$E$27,Y$3)</f>
        <v>0</v>
      </c>
      <c r="Z37" s="268" t="n">
        <f aca="false">COUNTIFS('Master Plan'!$Z$8:$Z$27,"&gt;="&amp;$B37,'Master Plan'!$Z$8:$Z$27,"&lt;"&amp;$B37+7,'Master Plan'!$E$8:$E$27,Z$3)</f>
        <v>0</v>
      </c>
    </row>
    <row r="38" customFormat="false" ht="15" hidden="false" customHeight="false" outlineLevel="0" collapsed="false">
      <c r="A38" s="268" t="s">
        <v>1559</v>
      </c>
      <c r="B38" s="33" t="n">
        <f aca="false">'Master Plan'!CP7</f>
        <v>46559</v>
      </c>
      <c r="C38" s="268" t="n">
        <f aca="false">COUNTIFS('Master Plan'!$Y$8:$Y$27,"&gt;="&amp;B38,'Master Plan'!$Y$8:$Y$27,"&lt;"&amp;B38+7)</f>
        <v>0</v>
      </c>
      <c r="D38" s="268" t="n">
        <f aca="false">COUNTIFS('Master Plan'!$AA$8:$AA$27,"&gt;="&amp;B38,'Master Plan'!$AA$8:$AA$27,"&lt;"&amp;B38+7)</f>
        <v>0</v>
      </c>
      <c r="E38" s="268" t="n">
        <f aca="false">COUNTIFS('Master Plan'!$AB$8:$AB$27,"&gt;="&amp;B38,'Master Plan'!$AB$8:$AB$27,"&lt;"&amp;B38+7)</f>
        <v>0</v>
      </c>
      <c r="F38" s="268" t="n">
        <f aca="false">COUNTIFS('Master Plan'!$AH$8:$AH$27,"&gt;="&amp;B38,'Master Plan'!$AH$8:$AH$27,"&lt;"&amp;B38+7)</f>
        <v>0</v>
      </c>
      <c r="G38" s="268" t="n">
        <f aca="false">COUNTIFS('Master Plan'!$Z$8:$Z$27,"&gt;="&amp;$B38,'Master Plan'!$Z$8:$Z$27,"&lt;"&amp;$B38+7,'Master Plan'!$E$8:$E$27,G$3)</f>
        <v>0</v>
      </c>
      <c r="H38" s="268" t="n">
        <f aca="false">COUNTIFS('Master Plan'!$Z$8:$Z$27,"&gt;="&amp;$B38,'Master Plan'!$Z$8:$Z$27,"&lt;"&amp;$B38+7,'Master Plan'!$E$8:$E$27,H$3)</f>
        <v>0</v>
      </c>
      <c r="I38" s="268" t="n">
        <f aca="false">COUNTIFS('Master Plan'!$Z$8:$Z$27,"&gt;="&amp;$B38,'Master Plan'!$Z$8:$Z$27,"&lt;"&amp;$B38+7,'Master Plan'!$E$8:$E$27,I$3)</f>
        <v>0</v>
      </c>
      <c r="J38" s="268" t="n">
        <f aca="false">COUNTIFS('Master Plan'!$Z$8:$Z$27,"&gt;="&amp;$B38,'Master Plan'!$Z$8:$Z$27,"&lt;"&amp;$B38+7,'Master Plan'!$E$8:$E$27,J$3)</f>
        <v>0</v>
      </c>
      <c r="K38" s="268" t="n">
        <f aca="false">COUNTIFS('Master Plan'!$Z$8:$Z$27,"&gt;="&amp;$B38,'Master Plan'!$Z$8:$Z$27,"&lt;"&amp;$B38+7,'Master Plan'!$E$8:$E$27,K$3)</f>
        <v>0</v>
      </c>
      <c r="L38" s="268" t="n">
        <f aca="false">COUNTIFS('Master Plan'!$Z$8:$Z$27,"&gt;="&amp;$B38,'Master Plan'!$Z$8:$Z$27,"&lt;"&amp;$B38+7,'Master Plan'!$E$8:$E$27,L$3)</f>
        <v>0</v>
      </c>
      <c r="M38" s="268" t="n">
        <f aca="false">COUNTIFS('Master Plan'!$Z$8:$Z$27,"&gt;="&amp;$B38,'Master Plan'!$Z$8:$Z$27,"&lt;"&amp;$B38+7,'Master Plan'!$E$8:$E$27,M$3)</f>
        <v>0</v>
      </c>
      <c r="N38" s="268" t="n">
        <f aca="false">COUNTIFS('Master Plan'!$Z$8:$Z$27,"&gt;="&amp;$B38,'Master Plan'!$Z$8:$Z$27,"&lt;"&amp;$B38+7,'Master Plan'!$E$8:$E$27,N$3)</f>
        <v>0</v>
      </c>
      <c r="O38" s="268" t="n">
        <f aca="false">COUNTIFS('Master Plan'!$Z$8:$Z$27,"&gt;="&amp;$B38,'Master Plan'!$Z$8:$Z$27,"&lt;"&amp;$B38+7,'Master Plan'!$E$8:$E$27,O$3)</f>
        <v>0</v>
      </c>
      <c r="P38" s="268" t="n">
        <f aca="false">COUNTIFS('Master Plan'!$Z$8:$Z$27,"&gt;="&amp;$B38,'Master Plan'!$Z$8:$Z$27,"&lt;"&amp;$B38+7,'Master Plan'!$E$8:$E$27,P$3)</f>
        <v>0</v>
      </c>
      <c r="Q38" s="268" t="n">
        <f aca="false">COUNTIFS('Master Plan'!$Z$8:$Z$27,"&gt;="&amp;$B38,'Master Plan'!$Z$8:$Z$27,"&lt;"&amp;$B38+7,'Master Plan'!$E$8:$E$27,Q$3)</f>
        <v>0</v>
      </c>
      <c r="R38" s="268" t="n">
        <f aca="false">COUNTIFS('Master Plan'!$Z$8:$Z$27,"&gt;="&amp;$B38,'Master Plan'!$Z$8:$Z$27,"&lt;"&amp;$B38+7,'Master Plan'!$E$8:$E$27,R$3)</f>
        <v>0</v>
      </c>
      <c r="S38" s="268" t="n">
        <f aca="false">COUNTIFS('Master Plan'!$Z$8:$Z$27,"&gt;="&amp;$B38,'Master Plan'!$Z$8:$Z$27,"&lt;"&amp;$B38+7,'Master Plan'!$E$8:$E$27,S$3)</f>
        <v>0</v>
      </c>
      <c r="T38" s="268" t="n">
        <f aca="false">COUNTIFS('Master Plan'!$Z$8:$Z$27,"&gt;="&amp;$B38,'Master Plan'!$Z$8:$Z$27,"&lt;"&amp;$B38+7,'Master Plan'!$E$8:$E$27,T$3)</f>
        <v>0</v>
      </c>
      <c r="U38" s="268" t="n">
        <f aca="false">COUNTIFS('Master Plan'!$Z$8:$Z$27,"&gt;="&amp;$B38,'Master Plan'!$Z$8:$Z$27,"&lt;"&amp;$B38+7,'Master Plan'!$E$8:$E$27,U$3)</f>
        <v>0</v>
      </c>
      <c r="V38" s="268" t="n">
        <f aca="false">COUNTIFS('Master Plan'!$Z$8:$Z$27,"&gt;="&amp;$B38,'Master Plan'!$Z$8:$Z$27,"&lt;"&amp;$B38+7,'Master Plan'!$E$8:$E$27,V$3)</f>
        <v>0</v>
      </c>
      <c r="W38" s="268" t="n">
        <f aca="false">COUNTIFS('Master Plan'!$Z$8:$Z$27,"&gt;="&amp;$B38,'Master Plan'!$Z$8:$Z$27,"&lt;"&amp;$B38+7,'Master Plan'!$E$8:$E$27,W$3)</f>
        <v>0</v>
      </c>
      <c r="X38" s="268" t="n">
        <f aca="false">COUNTIFS('Master Plan'!$Z$8:$Z$27,"&gt;="&amp;$B38,'Master Plan'!$Z$8:$Z$27,"&lt;"&amp;$B38+7,'Master Plan'!$E$8:$E$27,X$3)</f>
        <v>0</v>
      </c>
      <c r="Y38" s="268" t="n">
        <f aca="false">COUNTIFS('Master Plan'!$Z$8:$Z$27,"&gt;="&amp;$B38,'Master Plan'!$Z$8:$Z$27,"&lt;"&amp;$B38+7,'Master Plan'!$E$8:$E$27,Y$3)</f>
        <v>0</v>
      </c>
      <c r="Z38" s="268" t="n">
        <f aca="false">COUNTIFS('Master Plan'!$Z$8:$Z$27,"&gt;="&amp;$B38,'Master Plan'!$Z$8:$Z$27,"&lt;"&amp;$B38+7,'Master Plan'!$E$8:$E$27,Z$3)</f>
        <v>0</v>
      </c>
    </row>
    <row r="39" customFormat="false" ht="15" hidden="false" customHeight="false" outlineLevel="0" collapsed="false">
      <c r="A39" s="268" t="s">
        <v>1560</v>
      </c>
      <c r="B39" s="33" t="n">
        <f aca="false">'Master Plan'!CQ7</f>
        <v>46566</v>
      </c>
      <c r="C39" s="268" t="n">
        <f aca="false">COUNTIFS('Master Plan'!$Y$8:$Y$27,"&gt;="&amp;B39,'Master Plan'!$Y$8:$Y$27,"&lt;"&amp;B39+7)</f>
        <v>0</v>
      </c>
      <c r="D39" s="268" t="n">
        <f aca="false">COUNTIFS('Master Plan'!$AA$8:$AA$27,"&gt;="&amp;B39,'Master Plan'!$AA$8:$AA$27,"&lt;"&amp;B39+7)</f>
        <v>0</v>
      </c>
      <c r="E39" s="268" t="n">
        <f aca="false">COUNTIFS('Master Plan'!$AB$8:$AB$27,"&gt;="&amp;B39,'Master Plan'!$AB$8:$AB$27,"&lt;"&amp;B39+7)</f>
        <v>0</v>
      </c>
      <c r="F39" s="268" t="n">
        <f aca="false">COUNTIFS('Master Plan'!$AH$8:$AH$27,"&gt;="&amp;B39,'Master Plan'!$AH$8:$AH$27,"&lt;"&amp;B39+7)</f>
        <v>0</v>
      </c>
      <c r="G39" s="268" t="n">
        <f aca="false">COUNTIFS('Master Plan'!$Z$8:$Z$27,"&gt;="&amp;$B39,'Master Plan'!$Z$8:$Z$27,"&lt;"&amp;$B39+7,'Master Plan'!$E$8:$E$27,G$3)</f>
        <v>0</v>
      </c>
      <c r="H39" s="268" t="n">
        <f aca="false">COUNTIFS('Master Plan'!$Z$8:$Z$27,"&gt;="&amp;$B39,'Master Plan'!$Z$8:$Z$27,"&lt;"&amp;$B39+7,'Master Plan'!$E$8:$E$27,H$3)</f>
        <v>0</v>
      </c>
      <c r="I39" s="268" t="n">
        <f aca="false">COUNTIFS('Master Plan'!$Z$8:$Z$27,"&gt;="&amp;$B39,'Master Plan'!$Z$8:$Z$27,"&lt;"&amp;$B39+7,'Master Plan'!$E$8:$E$27,I$3)</f>
        <v>0</v>
      </c>
      <c r="J39" s="268" t="n">
        <f aca="false">COUNTIFS('Master Plan'!$Z$8:$Z$27,"&gt;="&amp;$B39,'Master Plan'!$Z$8:$Z$27,"&lt;"&amp;$B39+7,'Master Plan'!$E$8:$E$27,J$3)</f>
        <v>0</v>
      </c>
      <c r="K39" s="268" t="n">
        <f aca="false">COUNTIFS('Master Plan'!$Z$8:$Z$27,"&gt;="&amp;$B39,'Master Plan'!$Z$8:$Z$27,"&lt;"&amp;$B39+7,'Master Plan'!$E$8:$E$27,K$3)</f>
        <v>0</v>
      </c>
      <c r="L39" s="268" t="n">
        <f aca="false">COUNTIFS('Master Plan'!$Z$8:$Z$27,"&gt;="&amp;$B39,'Master Plan'!$Z$8:$Z$27,"&lt;"&amp;$B39+7,'Master Plan'!$E$8:$E$27,L$3)</f>
        <v>0</v>
      </c>
      <c r="M39" s="268" t="n">
        <f aca="false">COUNTIFS('Master Plan'!$Z$8:$Z$27,"&gt;="&amp;$B39,'Master Plan'!$Z$8:$Z$27,"&lt;"&amp;$B39+7,'Master Plan'!$E$8:$E$27,M$3)</f>
        <v>0</v>
      </c>
      <c r="N39" s="268" t="n">
        <f aca="false">COUNTIFS('Master Plan'!$Z$8:$Z$27,"&gt;="&amp;$B39,'Master Plan'!$Z$8:$Z$27,"&lt;"&amp;$B39+7,'Master Plan'!$E$8:$E$27,N$3)</f>
        <v>0</v>
      </c>
      <c r="O39" s="268" t="n">
        <f aca="false">COUNTIFS('Master Plan'!$Z$8:$Z$27,"&gt;="&amp;$B39,'Master Plan'!$Z$8:$Z$27,"&lt;"&amp;$B39+7,'Master Plan'!$E$8:$E$27,O$3)</f>
        <v>0</v>
      </c>
      <c r="P39" s="268" t="n">
        <f aca="false">COUNTIFS('Master Plan'!$Z$8:$Z$27,"&gt;="&amp;$B39,'Master Plan'!$Z$8:$Z$27,"&lt;"&amp;$B39+7,'Master Plan'!$E$8:$E$27,P$3)</f>
        <v>0</v>
      </c>
      <c r="Q39" s="268" t="n">
        <f aca="false">COUNTIFS('Master Plan'!$Z$8:$Z$27,"&gt;="&amp;$B39,'Master Plan'!$Z$8:$Z$27,"&lt;"&amp;$B39+7,'Master Plan'!$E$8:$E$27,Q$3)</f>
        <v>0</v>
      </c>
      <c r="R39" s="268" t="n">
        <f aca="false">COUNTIFS('Master Plan'!$Z$8:$Z$27,"&gt;="&amp;$B39,'Master Plan'!$Z$8:$Z$27,"&lt;"&amp;$B39+7,'Master Plan'!$E$8:$E$27,R$3)</f>
        <v>0</v>
      </c>
      <c r="S39" s="268" t="n">
        <f aca="false">COUNTIFS('Master Plan'!$Z$8:$Z$27,"&gt;="&amp;$B39,'Master Plan'!$Z$8:$Z$27,"&lt;"&amp;$B39+7,'Master Plan'!$E$8:$E$27,S$3)</f>
        <v>0</v>
      </c>
      <c r="T39" s="268" t="n">
        <f aca="false">COUNTIFS('Master Plan'!$Z$8:$Z$27,"&gt;="&amp;$B39,'Master Plan'!$Z$8:$Z$27,"&lt;"&amp;$B39+7,'Master Plan'!$E$8:$E$27,T$3)</f>
        <v>0</v>
      </c>
      <c r="U39" s="268" t="n">
        <f aca="false">COUNTIFS('Master Plan'!$Z$8:$Z$27,"&gt;="&amp;$B39,'Master Plan'!$Z$8:$Z$27,"&lt;"&amp;$B39+7,'Master Plan'!$E$8:$E$27,U$3)</f>
        <v>0</v>
      </c>
      <c r="V39" s="268" t="n">
        <f aca="false">COUNTIFS('Master Plan'!$Z$8:$Z$27,"&gt;="&amp;$B39,'Master Plan'!$Z$8:$Z$27,"&lt;"&amp;$B39+7,'Master Plan'!$E$8:$E$27,V$3)</f>
        <v>0</v>
      </c>
      <c r="W39" s="268" t="n">
        <f aca="false">COUNTIFS('Master Plan'!$Z$8:$Z$27,"&gt;="&amp;$B39,'Master Plan'!$Z$8:$Z$27,"&lt;"&amp;$B39+7,'Master Plan'!$E$8:$E$27,W$3)</f>
        <v>0</v>
      </c>
      <c r="X39" s="268" t="n">
        <f aca="false">COUNTIFS('Master Plan'!$Z$8:$Z$27,"&gt;="&amp;$B39,'Master Plan'!$Z$8:$Z$27,"&lt;"&amp;$B39+7,'Master Plan'!$E$8:$E$27,X$3)</f>
        <v>0</v>
      </c>
      <c r="Y39" s="268" t="n">
        <f aca="false">COUNTIFS('Master Plan'!$Z$8:$Z$27,"&gt;="&amp;$B39,'Master Plan'!$Z$8:$Z$27,"&lt;"&amp;$B39+7,'Master Plan'!$E$8:$E$27,Y$3)</f>
        <v>0</v>
      </c>
      <c r="Z39" s="268" t="n">
        <f aca="false">COUNTIFS('Master Plan'!$Z$8:$Z$27,"&gt;="&amp;$B39,'Master Plan'!$Z$8:$Z$27,"&lt;"&amp;$B39+7,'Master Plan'!$E$8:$E$27,Z$3)</f>
        <v>0</v>
      </c>
    </row>
    <row r="40" customFormat="false" ht="15" hidden="false" customHeight="false" outlineLevel="0" collapsed="false">
      <c r="A40" s="268" t="s">
        <v>1561</v>
      </c>
      <c r="B40" s="33" t="n">
        <f aca="false">'Master Plan'!CR7</f>
        <v>46573</v>
      </c>
      <c r="C40" s="268" t="n">
        <f aca="false">COUNTIFS('Master Plan'!$Y$8:$Y$27,"&gt;="&amp;B40,'Master Plan'!$Y$8:$Y$27,"&lt;"&amp;B40+7)</f>
        <v>0</v>
      </c>
      <c r="D40" s="268" t="n">
        <f aca="false">COUNTIFS('Master Plan'!$AA$8:$AA$27,"&gt;="&amp;B40,'Master Plan'!$AA$8:$AA$27,"&lt;"&amp;B40+7)</f>
        <v>0</v>
      </c>
      <c r="E40" s="268" t="n">
        <f aca="false">COUNTIFS('Master Plan'!$AB$8:$AB$27,"&gt;="&amp;B40,'Master Plan'!$AB$8:$AB$27,"&lt;"&amp;B40+7)</f>
        <v>0</v>
      </c>
      <c r="F40" s="268" t="n">
        <f aca="false">COUNTIFS('Master Plan'!$AH$8:$AH$27,"&gt;="&amp;B40,'Master Plan'!$AH$8:$AH$27,"&lt;"&amp;B40+7)</f>
        <v>0</v>
      </c>
      <c r="G40" s="268" t="n">
        <f aca="false">COUNTIFS('Master Plan'!$Z$8:$Z$27,"&gt;="&amp;$B40,'Master Plan'!$Z$8:$Z$27,"&lt;"&amp;$B40+7,'Master Plan'!$E$8:$E$27,G$3)</f>
        <v>0</v>
      </c>
      <c r="H40" s="268" t="n">
        <f aca="false">COUNTIFS('Master Plan'!$Z$8:$Z$27,"&gt;="&amp;$B40,'Master Plan'!$Z$8:$Z$27,"&lt;"&amp;$B40+7,'Master Plan'!$E$8:$E$27,H$3)</f>
        <v>0</v>
      </c>
      <c r="I40" s="268" t="n">
        <f aca="false">COUNTIFS('Master Plan'!$Z$8:$Z$27,"&gt;="&amp;$B40,'Master Plan'!$Z$8:$Z$27,"&lt;"&amp;$B40+7,'Master Plan'!$E$8:$E$27,I$3)</f>
        <v>0</v>
      </c>
      <c r="J40" s="268" t="n">
        <f aca="false">COUNTIFS('Master Plan'!$Z$8:$Z$27,"&gt;="&amp;$B40,'Master Plan'!$Z$8:$Z$27,"&lt;"&amp;$B40+7,'Master Plan'!$E$8:$E$27,J$3)</f>
        <v>0</v>
      </c>
      <c r="K40" s="268" t="n">
        <f aca="false">COUNTIFS('Master Plan'!$Z$8:$Z$27,"&gt;="&amp;$B40,'Master Plan'!$Z$8:$Z$27,"&lt;"&amp;$B40+7,'Master Plan'!$E$8:$E$27,K$3)</f>
        <v>0</v>
      </c>
      <c r="L40" s="268" t="n">
        <f aca="false">COUNTIFS('Master Plan'!$Z$8:$Z$27,"&gt;="&amp;$B40,'Master Plan'!$Z$8:$Z$27,"&lt;"&amp;$B40+7,'Master Plan'!$E$8:$E$27,L$3)</f>
        <v>0</v>
      </c>
      <c r="M40" s="268" t="n">
        <f aca="false">COUNTIFS('Master Plan'!$Z$8:$Z$27,"&gt;="&amp;$B40,'Master Plan'!$Z$8:$Z$27,"&lt;"&amp;$B40+7,'Master Plan'!$E$8:$E$27,M$3)</f>
        <v>0</v>
      </c>
      <c r="N40" s="268" t="n">
        <f aca="false">COUNTIFS('Master Plan'!$Z$8:$Z$27,"&gt;="&amp;$B40,'Master Plan'!$Z$8:$Z$27,"&lt;"&amp;$B40+7,'Master Plan'!$E$8:$E$27,N$3)</f>
        <v>0</v>
      </c>
      <c r="O40" s="268" t="n">
        <f aca="false">COUNTIFS('Master Plan'!$Z$8:$Z$27,"&gt;="&amp;$B40,'Master Plan'!$Z$8:$Z$27,"&lt;"&amp;$B40+7,'Master Plan'!$E$8:$E$27,O$3)</f>
        <v>0</v>
      </c>
      <c r="P40" s="268" t="n">
        <f aca="false">COUNTIFS('Master Plan'!$Z$8:$Z$27,"&gt;="&amp;$B40,'Master Plan'!$Z$8:$Z$27,"&lt;"&amp;$B40+7,'Master Plan'!$E$8:$E$27,P$3)</f>
        <v>0</v>
      </c>
      <c r="Q40" s="268" t="n">
        <f aca="false">COUNTIFS('Master Plan'!$Z$8:$Z$27,"&gt;="&amp;$B40,'Master Plan'!$Z$8:$Z$27,"&lt;"&amp;$B40+7,'Master Plan'!$E$8:$E$27,Q$3)</f>
        <v>0</v>
      </c>
      <c r="R40" s="268" t="n">
        <f aca="false">COUNTIFS('Master Plan'!$Z$8:$Z$27,"&gt;="&amp;$B40,'Master Plan'!$Z$8:$Z$27,"&lt;"&amp;$B40+7,'Master Plan'!$E$8:$E$27,R$3)</f>
        <v>0</v>
      </c>
      <c r="S40" s="268" t="n">
        <f aca="false">COUNTIFS('Master Plan'!$Z$8:$Z$27,"&gt;="&amp;$B40,'Master Plan'!$Z$8:$Z$27,"&lt;"&amp;$B40+7,'Master Plan'!$E$8:$E$27,S$3)</f>
        <v>0</v>
      </c>
      <c r="T40" s="268" t="n">
        <f aca="false">COUNTIFS('Master Plan'!$Z$8:$Z$27,"&gt;="&amp;$B40,'Master Plan'!$Z$8:$Z$27,"&lt;"&amp;$B40+7,'Master Plan'!$E$8:$E$27,T$3)</f>
        <v>0</v>
      </c>
      <c r="U40" s="268" t="n">
        <f aca="false">COUNTIFS('Master Plan'!$Z$8:$Z$27,"&gt;="&amp;$B40,'Master Plan'!$Z$8:$Z$27,"&lt;"&amp;$B40+7,'Master Plan'!$E$8:$E$27,U$3)</f>
        <v>0</v>
      </c>
      <c r="V40" s="268" t="n">
        <f aca="false">COUNTIFS('Master Plan'!$Z$8:$Z$27,"&gt;="&amp;$B40,'Master Plan'!$Z$8:$Z$27,"&lt;"&amp;$B40+7,'Master Plan'!$E$8:$E$27,V$3)</f>
        <v>0</v>
      </c>
      <c r="W40" s="268" t="n">
        <f aca="false">COUNTIFS('Master Plan'!$Z$8:$Z$27,"&gt;="&amp;$B40,'Master Plan'!$Z$8:$Z$27,"&lt;"&amp;$B40+7,'Master Plan'!$E$8:$E$27,W$3)</f>
        <v>0</v>
      </c>
      <c r="X40" s="268" t="n">
        <f aca="false">COUNTIFS('Master Plan'!$Z$8:$Z$27,"&gt;="&amp;$B40,'Master Plan'!$Z$8:$Z$27,"&lt;"&amp;$B40+7,'Master Plan'!$E$8:$E$27,X$3)</f>
        <v>0</v>
      </c>
      <c r="Y40" s="268" t="n">
        <f aca="false">COUNTIFS('Master Plan'!$Z$8:$Z$27,"&gt;="&amp;$B40,'Master Plan'!$Z$8:$Z$27,"&lt;"&amp;$B40+7,'Master Plan'!$E$8:$E$27,Y$3)</f>
        <v>0</v>
      </c>
      <c r="Z40" s="268" t="n">
        <f aca="false">COUNTIFS('Master Plan'!$Z$8:$Z$27,"&gt;="&amp;$B40,'Master Plan'!$Z$8:$Z$27,"&lt;"&amp;$B40+7,'Master Plan'!$E$8:$E$27,Z$3)</f>
        <v>0</v>
      </c>
    </row>
    <row r="41" customFormat="false" ht="15" hidden="false" customHeight="false" outlineLevel="0" collapsed="false">
      <c r="A41" s="268" t="s">
        <v>1562</v>
      </c>
      <c r="B41" s="33" t="n">
        <f aca="false">'Master Plan'!CS7</f>
        <v>46580</v>
      </c>
      <c r="C41" s="268" t="n">
        <f aca="false">COUNTIFS('Master Plan'!$Y$8:$Y$27,"&gt;="&amp;B41,'Master Plan'!$Y$8:$Y$27,"&lt;"&amp;B41+7)</f>
        <v>0</v>
      </c>
      <c r="D41" s="268" t="n">
        <f aca="false">COUNTIFS('Master Plan'!$AA$8:$AA$27,"&gt;="&amp;B41,'Master Plan'!$AA$8:$AA$27,"&lt;"&amp;B41+7)</f>
        <v>0</v>
      </c>
      <c r="E41" s="268" t="n">
        <f aca="false">COUNTIFS('Master Plan'!$AB$8:$AB$27,"&gt;="&amp;B41,'Master Plan'!$AB$8:$AB$27,"&lt;"&amp;B41+7)</f>
        <v>0</v>
      </c>
      <c r="F41" s="268" t="n">
        <f aca="false">COUNTIFS('Master Plan'!$AH$8:$AH$27,"&gt;="&amp;B41,'Master Plan'!$AH$8:$AH$27,"&lt;"&amp;B41+7)</f>
        <v>0</v>
      </c>
      <c r="G41" s="268" t="n">
        <f aca="false">COUNTIFS('Master Plan'!$Z$8:$Z$27,"&gt;="&amp;$B41,'Master Plan'!$Z$8:$Z$27,"&lt;"&amp;$B41+7,'Master Plan'!$E$8:$E$27,G$3)</f>
        <v>0</v>
      </c>
      <c r="H41" s="268" t="n">
        <f aca="false">COUNTIFS('Master Plan'!$Z$8:$Z$27,"&gt;="&amp;$B41,'Master Plan'!$Z$8:$Z$27,"&lt;"&amp;$B41+7,'Master Plan'!$E$8:$E$27,H$3)</f>
        <v>0</v>
      </c>
      <c r="I41" s="268" t="n">
        <f aca="false">COUNTIFS('Master Plan'!$Z$8:$Z$27,"&gt;="&amp;$B41,'Master Plan'!$Z$8:$Z$27,"&lt;"&amp;$B41+7,'Master Plan'!$E$8:$E$27,I$3)</f>
        <v>0</v>
      </c>
      <c r="J41" s="268" t="n">
        <f aca="false">COUNTIFS('Master Plan'!$Z$8:$Z$27,"&gt;="&amp;$B41,'Master Plan'!$Z$8:$Z$27,"&lt;"&amp;$B41+7,'Master Plan'!$E$8:$E$27,J$3)</f>
        <v>0</v>
      </c>
      <c r="K41" s="268" t="n">
        <f aca="false">COUNTIFS('Master Plan'!$Z$8:$Z$27,"&gt;="&amp;$B41,'Master Plan'!$Z$8:$Z$27,"&lt;"&amp;$B41+7,'Master Plan'!$E$8:$E$27,K$3)</f>
        <v>0</v>
      </c>
      <c r="L41" s="268" t="n">
        <f aca="false">COUNTIFS('Master Plan'!$Z$8:$Z$27,"&gt;="&amp;$B41,'Master Plan'!$Z$8:$Z$27,"&lt;"&amp;$B41+7,'Master Plan'!$E$8:$E$27,L$3)</f>
        <v>0</v>
      </c>
      <c r="M41" s="268" t="n">
        <f aca="false">COUNTIFS('Master Plan'!$Z$8:$Z$27,"&gt;="&amp;$B41,'Master Plan'!$Z$8:$Z$27,"&lt;"&amp;$B41+7,'Master Plan'!$E$8:$E$27,M$3)</f>
        <v>0</v>
      </c>
      <c r="N41" s="268" t="n">
        <f aca="false">COUNTIFS('Master Plan'!$Z$8:$Z$27,"&gt;="&amp;$B41,'Master Plan'!$Z$8:$Z$27,"&lt;"&amp;$B41+7,'Master Plan'!$E$8:$E$27,N$3)</f>
        <v>0</v>
      </c>
      <c r="O41" s="268" t="n">
        <f aca="false">COUNTIFS('Master Plan'!$Z$8:$Z$27,"&gt;="&amp;$B41,'Master Plan'!$Z$8:$Z$27,"&lt;"&amp;$B41+7,'Master Plan'!$E$8:$E$27,O$3)</f>
        <v>0</v>
      </c>
      <c r="P41" s="268" t="n">
        <f aca="false">COUNTIFS('Master Plan'!$Z$8:$Z$27,"&gt;="&amp;$B41,'Master Plan'!$Z$8:$Z$27,"&lt;"&amp;$B41+7,'Master Plan'!$E$8:$E$27,P$3)</f>
        <v>0</v>
      </c>
      <c r="Q41" s="268" t="n">
        <f aca="false">COUNTIFS('Master Plan'!$Z$8:$Z$27,"&gt;="&amp;$B41,'Master Plan'!$Z$8:$Z$27,"&lt;"&amp;$B41+7,'Master Plan'!$E$8:$E$27,Q$3)</f>
        <v>0</v>
      </c>
      <c r="R41" s="268" t="n">
        <f aca="false">COUNTIFS('Master Plan'!$Z$8:$Z$27,"&gt;="&amp;$B41,'Master Plan'!$Z$8:$Z$27,"&lt;"&amp;$B41+7,'Master Plan'!$E$8:$E$27,R$3)</f>
        <v>0</v>
      </c>
      <c r="S41" s="268" t="n">
        <f aca="false">COUNTIFS('Master Plan'!$Z$8:$Z$27,"&gt;="&amp;$B41,'Master Plan'!$Z$8:$Z$27,"&lt;"&amp;$B41+7,'Master Plan'!$E$8:$E$27,S$3)</f>
        <v>0</v>
      </c>
      <c r="T41" s="268" t="n">
        <f aca="false">COUNTIFS('Master Plan'!$Z$8:$Z$27,"&gt;="&amp;$B41,'Master Plan'!$Z$8:$Z$27,"&lt;"&amp;$B41+7,'Master Plan'!$E$8:$E$27,T$3)</f>
        <v>0</v>
      </c>
      <c r="U41" s="268" t="n">
        <f aca="false">COUNTIFS('Master Plan'!$Z$8:$Z$27,"&gt;="&amp;$B41,'Master Plan'!$Z$8:$Z$27,"&lt;"&amp;$B41+7,'Master Plan'!$E$8:$E$27,U$3)</f>
        <v>0</v>
      </c>
      <c r="V41" s="268" t="n">
        <f aca="false">COUNTIFS('Master Plan'!$Z$8:$Z$27,"&gt;="&amp;$B41,'Master Plan'!$Z$8:$Z$27,"&lt;"&amp;$B41+7,'Master Plan'!$E$8:$E$27,V$3)</f>
        <v>0</v>
      </c>
      <c r="W41" s="268" t="n">
        <f aca="false">COUNTIFS('Master Plan'!$Z$8:$Z$27,"&gt;="&amp;$B41,'Master Plan'!$Z$8:$Z$27,"&lt;"&amp;$B41+7,'Master Plan'!$E$8:$E$27,W$3)</f>
        <v>0</v>
      </c>
      <c r="X41" s="268" t="n">
        <f aca="false">COUNTIFS('Master Plan'!$Z$8:$Z$27,"&gt;="&amp;$B41,'Master Plan'!$Z$8:$Z$27,"&lt;"&amp;$B41+7,'Master Plan'!$E$8:$E$27,X$3)</f>
        <v>0</v>
      </c>
      <c r="Y41" s="268" t="n">
        <f aca="false">COUNTIFS('Master Plan'!$Z$8:$Z$27,"&gt;="&amp;$B41,'Master Plan'!$Z$8:$Z$27,"&lt;"&amp;$B41+7,'Master Plan'!$E$8:$E$27,Y$3)</f>
        <v>0</v>
      </c>
      <c r="Z41" s="268" t="n">
        <f aca="false">COUNTIFS('Master Plan'!$Z$8:$Z$27,"&gt;="&amp;$B41,'Master Plan'!$Z$8:$Z$27,"&lt;"&amp;$B41+7,'Master Plan'!$E$8:$E$27,Z$3)</f>
        <v>0</v>
      </c>
    </row>
    <row r="42" customFormat="false" ht="15" hidden="false" customHeight="false" outlineLevel="0" collapsed="false">
      <c r="A42" s="268" t="s">
        <v>1563</v>
      </c>
      <c r="B42" s="33" t="n">
        <f aca="false">'Master Plan'!CT7</f>
        <v>46587</v>
      </c>
      <c r="C42" s="268" t="n">
        <f aca="false">COUNTIFS('Master Plan'!$Y$8:$Y$27,"&gt;="&amp;B42,'Master Plan'!$Y$8:$Y$27,"&lt;"&amp;B42+7)</f>
        <v>0</v>
      </c>
      <c r="D42" s="268" t="n">
        <f aca="false">COUNTIFS('Master Plan'!$AA$8:$AA$27,"&gt;="&amp;B42,'Master Plan'!$AA$8:$AA$27,"&lt;"&amp;B42+7)</f>
        <v>0</v>
      </c>
      <c r="E42" s="268" t="n">
        <f aca="false">COUNTIFS('Master Plan'!$AB$8:$AB$27,"&gt;="&amp;B42,'Master Plan'!$AB$8:$AB$27,"&lt;"&amp;B42+7)</f>
        <v>0</v>
      </c>
      <c r="F42" s="268" t="n">
        <f aca="false">COUNTIFS('Master Plan'!$AH$8:$AH$27,"&gt;="&amp;B42,'Master Plan'!$AH$8:$AH$27,"&lt;"&amp;B42+7)</f>
        <v>0</v>
      </c>
      <c r="G42" s="268" t="n">
        <f aca="false">COUNTIFS('Master Plan'!$Z$8:$Z$27,"&gt;="&amp;$B42,'Master Plan'!$Z$8:$Z$27,"&lt;"&amp;$B42+7,'Master Plan'!$E$8:$E$27,G$3)</f>
        <v>0</v>
      </c>
      <c r="H42" s="268" t="n">
        <f aca="false">COUNTIFS('Master Plan'!$Z$8:$Z$27,"&gt;="&amp;$B42,'Master Plan'!$Z$8:$Z$27,"&lt;"&amp;$B42+7,'Master Plan'!$E$8:$E$27,H$3)</f>
        <v>0</v>
      </c>
      <c r="I42" s="268" t="n">
        <f aca="false">COUNTIFS('Master Plan'!$Z$8:$Z$27,"&gt;="&amp;$B42,'Master Plan'!$Z$8:$Z$27,"&lt;"&amp;$B42+7,'Master Plan'!$E$8:$E$27,I$3)</f>
        <v>0</v>
      </c>
      <c r="J42" s="268" t="n">
        <f aca="false">COUNTIFS('Master Plan'!$Z$8:$Z$27,"&gt;="&amp;$B42,'Master Plan'!$Z$8:$Z$27,"&lt;"&amp;$B42+7,'Master Plan'!$E$8:$E$27,J$3)</f>
        <v>0</v>
      </c>
      <c r="K42" s="268" t="n">
        <f aca="false">COUNTIFS('Master Plan'!$Z$8:$Z$27,"&gt;="&amp;$B42,'Master Plan'!$Z$8:$Z$27,"&lt;"&amp;$B42+7,'Master Plan'!$E$8:$E$27,K$3)</f>
        <v>0</v>
      </c>
      <c r="L42" s="268" t="n">
        <f aca="false">COUNTIFS('Master Plan'!$Z$8:$Z$27,"&gt;="&amp;$B42,'Master Plan'!$Z$8:$Z$27,"&lt;"&amp;$B42+7,'Master Plan'!$E$8:$E$27,L$3)</f>
        <v>0</v>
      </c>
      <c r="M42" s="268" t="n">
        <f aca="false">COUNTIFS('Master Plan'!$Z$8:$Z$27,"&gt;="&amp;$B42,'Master Plan'!$Z$8:$Z$27,"&lt;"&amp;$B42+7,'Master Plan'!$E$8:$E$27,M$3)</f>
        <v>0</v>
      </c>
      <c r="N42" s="268" t="n">
        <f aca="false">COUNTIFS('Master Plan'!$Z$8:$Z$27,"&gt;="&amp;$B42,'Master Plan'!$Z$8:$Z$27,"&lt;"&amp;$B42+7,'Master Plan'!$E$8:$E$27,N$3)</f>
        <v>0</v>
      </c>
      <c r="O42" s="268" t="n">
        <f aca="false">COUNTIFS('Master Plan'!$Z$8:$Z$27,"&gt;="&amp;$B42,'Master Plan'!$Z$8:$Z$27,"&lt;"&amp;$B42+7,'Master Plan'!$E$8:$E$27,O$3)</f>
        <v>0</v>
      </c>
      <c r="P42" s="268" t="n">
        <f aca="false">COUNTIFS('Master Plan'!$Z$8:$Z$27,"&gt;="&amp;$B42,'Master Plan'!$Z$8:$Z$27,"&lt;"&amp;$B42+7,'Master Plan'!$E$8:$E$27,P$3)</f>
        <v>0</v>
      </c>
      <c r="Q42" s="268" t="n">
        <f aca="false">COUNTIFS('Master Plan'!$Z$8:$Z$27,"&gt;="&amp;$B42,'Master Plan'!$Z$8:$Z$27,"&lt;"&amp;$B42+7,'Master Plan'!$E$8:$E$27,Q$3)</f>
        <v>0</v>
      </c>
      <c r="R42" s="268" t="n">
        <f aca="false">COUNTIFS('Master Plan'!$Z$8:$Z$27,"&gt;="&amp;$B42,'Master Plan'!$Z$8:$Z$27,"&lt;"&amp;$B42+7,'Master Plan'!$E$8:$E$27,R$3)</f>
        <v>0</v>
      </c>
      <c r="S42" s="268" t="n">
        <f aca="false">COUNTIFS('Master Plan'!$Z$8:$Z$27,"&gt;="&amp;$B42,'Master Plan'!$Z$8:$Z$27,"&lt;"&amp;$B42+7,'Master Plan'!$E$8:$E$27,S$3)</f>
        <v>0</v>
      </c>
      <c r="T42" s="268" t="n">
        <f aca="false">COUNTIFS('Master Plan'!$Z$8:$Z$27,"&gt;="&amp;$B42,'Master Plan'!$Z$8:$Z$27,"&lt;"&amp;$B42+7,'Master Plan'!$E$8:$E$27,T$3)</f>
        <v>0</v>
      </c>
      <c r="U42" s="268" t="n">
        <f aca="false">COUNTIFS('Master Plan'!$Z$8:$Z$27,"&gt;="&amp;$B42,'Master Plan'!$Z$8:$Z$27,"&lt;"&amp;$B42+7,'Master Plan'!$E$8:$E$27,U$3)</f>
        <v>0</v>
      </c>
      <c r="V42" s="268" t="n">
        <f aca="false">COUNTIFS('Master Plan'!$Z$8:$Z$27,"&gt;="&amp;$B42,'Master Plan'!$Z$8:$Z$27,"&lt;"&amp;$B42+7,'Master Plan'!$E$8:$E$27,V$3)</f>
        <v>0</v>
      </c>
      <c r="W42" s="268" t="n">
        <f aca="false">COUNTIFS('Master Plan'!$Z$8:$Z$27,"&gt;="&amp;$B42,'Master Plan'!$Z$8:$Z$27,"&lt;"&amp;$B42+7,'Master Plan'!$E$8:$E$27,W$3)</f>
        <v>0</v>
      </c>
      <c r="X42" s="268" t="n">
        <f aca="false">COUNTIFS('Master Plan'!$Z$8:$Z$27,"&gt;="&amp;$B42,'Master Plan'!$Z$8:$Z$27,"&lt;"&amp;$B42+7,'Master Plan'!$E$8:$E$27,X$3)</f>
        <v>0</v>
      </c>
      <c r="Y42" s="268" t="n">
        <f aca="false">COUNTIFS('Master Plan'!$Z$8:$Z$27,"&gt;="&amp;$B42,'Master Plan'!$Z$8:$Z$27,"&lt;"&amp;$B42+7,'Master Plan'!$E$8:$E$27,Y$3)</f>
        <v>0</v>
      </c>
      <c r="Z42" s="268" t="n">
        <f aca="false">COUNTIFS('Master Plan'!$Z$8:$Z$27,"&gt;="&amp;$B42,'Master Plan'!$Z$8:$Z$27,"&lt;"&amp;$B42+7,'Master Plan'!$E$8:$E$27,Z$3)</f>
        <v>0</v>
      </c>
    </row>
    <row r="43" customFormat="false" ht="15" hidden="false" customHeight="false" outlineLevel="0" collapsed="false">
      <c r="A43" s="268" t="s">
        <v>1564</v>
      </c>
      <c r="B43" s="33" t="n">
        <f aca="false">'Master Plan'!CU7</f>
        <v>46594</v>
      </c>
      <c r="C43" s="268" t="n">
        <f aca="false">COUNTIFS('Master Plan'!$Y$8:$Y$27,"&gt;="&amp;B43,'Master Plan'!$Y$8:$Y$27,"&lt;"&amp;B43+7)</f>
        <v>0</v>
      </c>
      <c r="D43" s="268" t="n">
        <f aca="false">COUNTIFS('Master Plan'!$AA$8:$AA$27,"&gt;="&amp;B43,'Master Plan'!$AA$8:$AA$27,"&lt;"&amp;B43+7)</f>
        <v>0</v>
      </c>
      <c r="E43" s="268" t="n">
        <f aca="false">COUNTIFS('Master Plan'!$AB$8:$AB$27,"&gt;="&amp;B43,'Master Plan'!$AB$8:$AB$27,"&lt;"&amp;B43+7)</f>
        <v>0</v>
      </c>
      <c r="F43" s="268" t="n">
        <f aca="false">COUNTIFS('Master Plan'!$AH$8:$AH$27,"&gt;="&amp;B43,'Master Plan'!$AH$8:$AH$27,"&lt;"&amp;B43+7)</f>
        <v>0</v>
      </c>
      <c r="G43" s="268" t="n">
        <f aca="false">COUNTIFS('Master Plan'!$Z$8:$Z$27,"&gt;="&amp;$B43,'Master Plan'!$Z$8:$Z$27,"&lt;"&amp;$B43+7,'Master Plan'!$E$8:$E$27,G$3)</f>
        <v>0</v>
      </c>
      <c r="H43" s="268" t="n">
        <f aca="false">COUNTIFS('Master Plan'!$Z$8:$Z$27,"&gt;="&amp;$B43,'Master Plan'!$Z$8:$Z$27,"&lt;"&amp;$B43+7,'Master Plan'!$E$8:$E$27,H$3)</f>
        <v>0</v>
      </c>
      <c r="I43" s="268" t="n">
        <f aca="false">COUNTIFS('Master Plan'!$Z$8:$Z$27,"&gt;="&amp;$B43,'Master Plan'!$Z$8:$Z$27,"&lt;"&amp;$B43+7,'Master Plan'!$E$8:$E$27,I$3)</f>
        <v>0</v>
      </c>
      <c r="J43" s="268" t="n">
        <f aca="false">COUNTIFS('Master Plan'!$Z$8:$Z$27,"&gt;="&amp;$B43,'Master Plan'!$Z$8:$Z$27,"&lt;"&amp;$B43+7,'Master Plan'!$E$8:$E$27,J$3)</f>
        <v>0</v>
      </c>
      <c r="K43" s="268" t="n">
        <f aca="false">COUNTIFS('Master Plan'!$Z$8:$Z$27,"&gt;="&amp;$B43,'Master Plan'!$Z$8:$Z$27,"&lt;"&amp;$B43+7,'Master Plan'!$E$8:$E$27,K$3)</f>
        <v>0</v>
      </c>
      <c r="L43" s="268" t="n">
        <f aca="false">COUNTIFS('Master Plan'!$Z$8:$Z$27,"&gt;="&amp;$B43,'Master Plan'!$Z$8:$Z$27,"&lt;"&amp;$B43+7,'Master Plan'!$E$8:$E$27,L$3)</f>
        <v>0</v>
      </c>
      <c r="M43" s="268" t="n">
        <f aca="false">COUNTIFS('Master Plan'!$Z$8:$Z$27,"&gt;="&amp;$B43,'Master Plan'!$Z$8:$Z$27,"&lt;"&amp;$B43+7,'Master Plan'!$E$8:$E$27,M$3)</f>
        <v>0</v>
      </c>
      <c r="N43" s="268" t="n">
        <f aca="false">COUNTIFS('Master Plan'!$Z$8:$Z$27,"&gt;="&amp;$B43,'Master Plan'!$Z$8:$Z$27,"&lt;"&amp;$B43+7,'Master Plan'!$E$8:$E$27,N$3)</f>
        <v>0</v>
      </c>
      <c r="O43" s="268" t="n">
        <f aca="false">COUNTIFS('Master Plan'!$Z$8:$Z$27,"&gt;="&amp;$B43,'Master Plan'!$Z$8:$Z$27,"&lt;"&amp;$B43+7,'Master Plan'!$E$8:$E$27,O$3)</f>
        <v>0</v>
      </c>
      <c r="P43" s="268" t="n">
        <f aca="false">COUNTIFS('Master Plan'!$Z$8:$Z$27,"&gt;="&amp;$B43,'Master Plan'!$Z$8:$Z$27,"&lt;"&amp;$B43+7,'Master Plan'!$E$8:$E$27,P$3)</f>
        <v>0</v>
      </c>
      <c r="Q43" s="268" t="n">
        <f aca="false">COUNTIFS('Master Plan'!$Z$8:$Z$27,"&gt;="&amp;$B43,'Master Plan'!$Z$8:$Z$27,"&lt;"&amp;$B43+7,'Master Plan'!$E$8:$E$27,Q$3)</f>
        <v>0</v>
      </c>
      <c r="R43" s="268" t="n">
        <f aca="false">COUNTIFS('Master Plan'!$Z$8:$Z$27,"&gt;="&amp;$B43,'Master Plan'!$Z$8:$Z$27,"&lt;"&amp;$B43+7,'Master Plan'!$E$8:$E$27,R$3)</f>
        <v>0</v>
      </c>
      <c r="S43" s="268" t="n">
        <f aca="false">COUNTIFS('Master Plan'!$Z$8:$Z$27,"&gt;="&amp;$B43,'Master Plan'!$Z$8:$Z$27,"&lt;"&amp;$B43+7,'Master Plan'!$E$8:$E$27,S$3)</f>
        <v>0</v>
      </c>
      <c r="T43" s="268" t="n">
        <f aca="false">COUNTIFS('Master Plan'!$Z$8:$Z$27,"&gt;="&amp;$B43,'Master Plan'!$Z$8:$Z$27,"&lt;"&amp;$B43+7,'Master Plan'!$E$8:$E$27,T$3)</f>
        <v>0</v>
      </c>
      <c r="U43" s="268" t="n">
        <f aca="false">COUNTIFS('Master Plan'!$Z$8:$Z$27,"&gt;="&amp;$B43,'Master Plan'!$Z$8:$Z$27,"&lt;"&amp;$B43+7,'Master Plan'!$E$8:$E$27,U$3)</f>
        <v>0</v>
      </c>
      <c r="V43" s="268" t="n">
        <f aca="false">COUNTIFS('Master Plan'!$Z$8:$Z$27,"&gt;="&amp;$B43,'Master Plan'!$Z$8:$Z$27,"&lt;"&amp;$B43+7,'Master Plan'!$E$8:$E$27,V$3)</f>
        <v>0</v>
      </c>
      <c r="W43" s="268" t="n">
        <f aca="false">COUNTIFS('Master Plan'!$Z$8:$Z$27,"&gt;="&amp;$B43,'Master Plan'!$Z$8:$Z$27,"&lt;"&amp;$B43+7,'Master Plan'!$E$8:$E$27,W$3)</f>
        <v>0</v>
      </c>
      <c r="X43" s="268" t="n">
        <f aca="false">COUNTIFS('Master Plan'!$Z$8:$Z$27,"&gt;="&amp;$B43,'Master Plan'!$Z$8:$Z$27,"&lt;"&amp;$B43+7,'Master Plan'!$E$8:$E$27,X$3)</f>
        <v>0</v>
      </c>
      <c r="Y43" s="268" t="n">
        <f aca="false">COUNTIFS('Master Plan'!$Z$8:$Z$27,"&gt;="&amp;$B43,'Master Plan'!$Z$8:$Z$27,"&lt;"&amp;$B43+7,'Master Plan'!$E$8:$E$27,Y$3)</f>
        <v>0</v>
      </c>
      <c r="Z43" s="268" t="n">
        <f aca="false">COUNTIFS('Master Plan'!$Z$8:$Z$27,"&gt;="&amp;$B43,'Master Plan'!$Z$8:$Z$27,"&lt;"&amp;$B43+7,'Master Plan'!$E$8:$E$27,Z$3)</f>
        <v>0</v>
      </c>
    </row>
    <row r="44" customFormat="false" ht="15" hidden="false" customHeight="false" outlineLevel="0" collapsed="false">
      <c r="A44" s="268" t="s">
        <v>1565</v>
      </c>
      <c r="B44" s="33" t="n">
        <f aca="false">'Master Plan'!CV7</f>
        <v>46601</v>
      </c>
      <c r="C44" s="268" t="n">
        <f aca="false">COUNTIFS('Master Plan'!$Y$8:$Y$27,"&gt;="&amp;B44,'Master Plan'!$Y$8:$Y$27,"&lt;"&amp;B44+7)</f>
        <v>0</v>
      </c>
      <c r="D44" s="268" t="n">
        <f aca="false">COUNTIFS('Master Plan'!$AA$8:$AA$27,"&gt;="&amp;B44,'Master Plan'!$AA$8:$AA$27,"&lt;"&amp;B44+7)</f>
        <v>0</v>
      </c>
      <c r="E44" s="268" t="n">
        <f aca="false">COUNTIFS('Master Plan'!$AB$8:$AB$27,"&gt;="&amp;B44,'Master Plan'!$AB$8:$AB$27,"&lt;"&amp;B44+7)</f>
        <v>0</v>
      </c>
      <c r="F44" s="268" t="n">
        <f aca="false">COUNTIFS('Master Plan'!$AH$8:$AH$27,"&gt;="&amp;B44,'Master Plan'!$AH$8:$AH$27,"&lt;"&amp;B44+7)</f>
        <v>0</v>
      </c>
      <c r="G44" s="268" t="n">
        <f aca="false">COUNTIFS('Master Plan'!$Z$8:$Z$27,"&gt;="&amp;$B44,'Master Plan'!$Z$8:$Z$27,"&lt;"&amp;$B44+7,'Master Plan'!$E$8:$E$27,G$3)</f>
        <v>0</v>
      </c>
      <c r="H44" s="268" t="n">
        <f aca="false">COUNTIFS('Master Plan'!$Z$8:$Z$27,"&gt;="&amp;$B44,'Master Plan'!$Z$8:$Z$27,"&lt;"&amp;$B44+7,'Master Plan'!$E$8:$E$27,H$3)</f>
        <v>0</v>
      </c>
      <c r="I44" s="268" t="n">
        <f aca="false">COUNTIFS('Master Plan'!$Z$8:$Z$27,"&gt;="&amp;$B44,'Master Plan'!$Z$8:$Z$27,"&lt;"&amp;$B44+7,'Master Plan'!$E$8:$E$27,I$3)</f>
        <v>0</v>
      </c>
      <c r="J44" s="268" t="n">
        <f aca="false">COUNTIFS('Master Plan'!$Z$8:$Z$27,"&gt;="&amp;$B44,'Master Plan'!$Z$8:$Z$27,"&lt;"&amp;$B44+7,'Master Plan'!$E$8:$E$27,J$3)</f>
        <v>0</v>
      </c>
      <c r="K44" s="268" t="n">
        <f aca="false">COUNTIFS('Master Plan'!$Z$8:$Z$27,"&gt;="&amp;$B44,'Master Plan'!$Z$8:$Z$27,"&lt;"&amp;$B44+7,'Master Plan'!$E$8:$E$27,K$3)</f>
        <v>0</v>
      </c>
      <c r="L44" s="268" t="n">
        <f aca="false">COUNTIFS('Master Plan'!$Z$8:$Z$27,"&gt;="&amp;$B44,'Master Plan'!$Z$8:$Z$27,"&lt;"&amp;$B44+7,'Master Plan'!$E$8:$E$27,L$3)</f>
        <v>0</v>
      </c>
      <c r="M44" s="268" t="n">
        <f aca="false">COUNTIFS('Master Plan'!$Z$8:$Z$27,"&gt;="&amp;$B44,'Master Plan'!$Z$8:$Z$27,"&lt;"&amp;$B44+7,'Master Plan'!$E$8:$E$27,M$3)</f>
        <v>0</v>
      </c>
      <c r="N44" s="268" t="n">
        <f aca="false">COUNTIFS('Master Plan'!$Z$8:$Z$27,"&gt;="&amp;$B44,'Master Plan'!$Z$8:$Z$27,"&lt;"&amp;$B44+7,'Master Plan'!$E$8:$E$27,N$3)</f>
        <v>0</v>
      </c>
      <c r="O44" s="268" t="n">
        <f aca="false">COUNTIFS('Master Plan'!$Z$8:$Z$27,"&gt;="&amp;$B44,'Master Plan'!$Z$8:$Z$27,"&lt;"&amp;$B44+7,'Master Plan'!$E$8:$E$27,O$3)</f>
        <v>0</v>
      </c>
      <c r="P44" s="268" t="n">
        <f aca="false">COUNTIFS('Master Plan'!$Z$8:$Z$27,"&gt;="&amp;$B44,'Master Plan'!$Z$8:$Z$27,"&lt;"&amp;$B44+7,'Master Plan'!$E$8:$E$27,P$3)</f>
        <v>0</v>
      </c>
      <c r="Q44" s="268" t="n">
        <f aca="false">COUNTIFS('Master Plan'!$Z$8:$Z$27,"&gt;="&amp;$B44,'Master Plan'!$Z$8:$Z$27,"&lt;"&amp;$B44+7,'Master Plan'!$E$8:$E$27,Q$3)</f>
        <v>0</v>
      </c>
      <c r="R44" s="268" t="n">
        <f aca="false">COUNTIFS('Master Plan'!$Z$8:$Z$27,"&gt;="&amp;$B44,'Master Plan'!$Z$8:$Z$27,"&lt;"&amp;$B44+7,'Master Plan'!$E$8:$E$27,R$3)</f>
        <v>0</v>
      </c>
      <c r="S44" s="268" t="n">
        <f aca="false">COUNTIFS('Master Plan'!$Z$8:$Z$27,"&gt;="&amp;$B44,'Master Plan'!$Z$8:$Z$27,"&lt;"&amp;$B44+7,'Master Plan'!$E$8:$E$27,S$3)</f>
        <v>0</v>
      </c>
      <c r="T44" s="268" t="n">
        <f aca="false">COUNTIFS('Master Plan'!$Z$8:$Z$27,"&gt;="&amp;$B44,'Master Plan'!$Z$8:$Z$27,"&lt;"&amp;$B44+7,'Master Plan'!$E$8:$E$27,T$3)</f>
        <v>0</v>
      </c>
      <c r="U44" s="268" t="n">
        <f aca="false">COUNTIFS('Master Plan'!$Z$8:$Z$27,"&gt;="&amp;$B44,'Master Plan'!$Z$8:$Z$27,"&lt;"&amp;$B44+7,'Master Plan'!$E$8:$E$27,U$3)</f>
        <v>0</v>
      </c>
      <c r="V44" s="268" t="n">
        <f aca="false">COUNTIFS('Master Plan'!$Z$8:$Z$27,"&gt;="&amp;$B44,'Master Plan'!$Z$8:$Z$27,"&lt;"&amp;$B44+7,'Master Plan'!$E$8:$E$27,V$3)</f>
        <v>0</v>
      </c>
      <c r="W44" s="268" t="n">
        <f aca="false">COUNTIFS('Master Plan'!$Z$8:$Z$27,"&gt;="&amp;$B44,'Master Plan'!$Z$8:$Z$27,"&lt;"&amp;$B44+7,'Master Plan'!$E$8:$E$27,W$3)</f>
        <v>0</v>
      </c>
      <c r="X44" s="268" t="n">
        <f aca="false">COUNTIFS('Master Plan'!$Z$8:$Z$27,"&gt;="&amp;$B44,'Master Plan'!$Z$8:$Z$27,"&lt;"&amp;$B44+7,'Master Plan'!$E$8:$E$27,X$3)</f>
        <v>0</v>
      </c>
      <c r="Y44" s="268" t="n">
        <f aca="false">COUNTIFS('Master Plan'!$Z$8:$Z$27,"&gt;="&amp;$B44,'Master Plan'!$Z$8:$Z$27,"&lt;"&amp;$B44+7,'Master Plan'!$E$8:$E$27,Y$3)</f>
        <v>0</v>
      </c>
      <c r="Z44" s="268" t="n">
        <f aca="false">COUNTIFS('Master Plan'!$Z$8:$Z$27,"&gt;="&amp;$B44,'Master Plan'!$Z$8:$Z$27,"&lt;"&amp;$B44+7,'Master Plan'!$E$8:$E$27,Z$3)</f>
        <v>0</v>
      </c>
    </row>
    <row r="45" customFormat="false" ht="15" hidden="false" customHeight="false" outlineLevel="0" collapsed="false">
      <c r="A45" s="268" t="s">
        <v>1566</v>
      </c>
      <c r="B45" s="33" t="n">
        <f aca="false">'Master Plan'!CW7</f>
        <v>46608</v>
      </c>
      <c r="C45" s="268" t="n">
        <f aca="false">COUNTIFS('Master Plan'!$Y$8:$Y$27,"&gt;="&amp;B45,'Master Plan'!$Y$8:$Y$27,"&lt;"&amp;B45+7)</f>
        <v>0</v>
      </c>
      <c r="D45" s="268" t="n">
        <f aca="false">COUNTIFS('Master Plan'!$AA$8:$AA$27,"&gt;="&amp;B45,'Master Plan'!$AA$8:$AA$27,"&lt;"&amp;B45+7)</f>
        <v>0</v>
      </c>
      <c r="E45" s="268" t="n">
        <f aca="false">COUNTIFS('Master Plan'!$AB$8:$AB$27,"&gt;="&amp;B45,'Master Plan'!$AB$8:$AB$27,"&lt;"&amp;B45+7)</f>
        <v>0</v>
      </c>
      <c r="F45" s="268" t="n">
        <f aca="false">COUNTIFS('Master Plan'!$AH$8:$AH$27,"&gt;="&amp;B45,'Master Plan'!$AH$8:$AH$27,"&lt;"&amp;B45+7)</f>
        <v>0</v>
      </c>
      <c r="G45" s="268" t="n">
        <f aca="false">COUNTIFS('Master Plan'!$Z$8:$Z$27,"&gt;="&amp;$B45,'Master Plan'!$Z$8:$Z$27,"&lt;"&amp;$B45+7,'Master Plan'!$E$8:$E$27,G$3)</f>
        <v>0</v>
      </c>
      <c r="H45" s="268" t="n">
        <f aca="false">COUNTIFS('Master Plan'!$Z$8:$Z$27,"&gt;="&amp;$B45,'Master Plan'!$Z$8:$Z$27,"&lt;"&amp;$B45+7,'Master Plan'!$E$8:$E$27,H$3)</f>
        <v>0</v>
      </c>
      <c r="I45" s="268" t="n">
        <f aca="false">COUNTIFS('Master Plan'!$Z$8:$Z$27,"&gt;="&amp;$B45,'Master Plan'!$Z$8:$Z$27,"&lt;"&amp;$B45+7,'Master Plan'!$E$8:$E$27,I$3)</f>
        <v>0</v>
      </c>
      <c r="J45" s="268" t="n">
        <f aca="false">COUNTIFS('Master Plan'!$Z$8:$Z$27,"&gt;="&amp;$B45,'Master Plan'!$Z$8:$Z$27,"&lt;"&amp;$B45+7,'Master Plan'!$E$8:$E$27,J$3)</f>
        <v>0</v>
      </c>
      <c r="K45" s="268" t="n">
        <f aca="false">COUNTIFS('Master Plan'!$Z$8:$Z$27,"&gt;="&amp;$B45,'Master Plan'!$Z$8:$Z$27,"&lt;"&amp;$B45+7,'Master Plan'!$E$8:$E$27,K$3)</f>
        <v>0</v>
      </c>
      <c r="L45" s="268" t="n">
        <f aca="false">COUNTIFS('Master Plan'!$Z$8:$Z$27,"&gt;="&amp;$B45,'Master Plan'!$Z$8:$Z$27,"&lt;"&amp;$B45+7,'Master Plan'!$E$8:$E$27,L$3)</f>
        <v>0</v>
      </c>
      <c r="M45" s="268" t="n">
        <f aca="false">COUNTIFS('Master Plan'!$Z$8:$Z$27,"&gt;="&amp;$B45,'Master Plan'!$Z$8:$Z$27,"&lt;"&amp;$B45+7,'Master Plan'!$E$8:$E$27,M$3)</f>
        <v>0</v>
      </c>
      <c r="N45" s="268" t="n">
        <f aca="false">COUNTIFS('Master Plan'!$Z$8:$Z$27,"&gt;="&amp;$B45,'Master Plan'!$Z$8:$Z$27,"&lt;"&amp;$B45+7,'Master Plan'!$E$8:$E$27,N$3)</f>
        <v>0</v>
      </c>
      <c r="O45" s="268" t="n">
        <f aca="false">COUNTIFS('Master Plan'!$Z$8:$Z$27,"&gt;="&amp;$B45,'Master Plan'!$Z$8:$Z$27,"&lt;"&amp;$B45+7,'Master Plan'!$E$8:$E$27,O$3)</f>
        <v>0</v>
      </c>
      <c r="P45" s="268" t="n">
        <f aca="false">COUNTIFS('Master Plan'!$Z$8:$Z$27,"&gt;="&amp;$B45,'Master Plan'!$Z$8:$Z$27,"&lt;"&amp;$B45+7,'Master Plan'!$E$8:$E$27,P$3)</f>
        <v>0</v>
      </c>
      <c r="Q45" s="268" t="n">
        <f aca="false">COUNTIFS('Master Plan'!$Z$8:$Z$27,"&gt;="&amp;$B45,'Master Plan'!$Z$8:$Z$27,"&lt;"&amp;$B45+7,'Master Plan'!$E$8:$E$27,Q$3)</f>
        <v>0</v>
      </c>
      <c r="R45" s="268" t="n">
        <f aca="false">COUNTIFS('Master Plan'!$Z$8:$Z$27,"&gt;="&amp;$B45,'Master Plan'!$Z$8:$Z$27,"&lt;"&amp;$B45+7,'Master Plan'!$E$8:$E$27,R$3)</f>
        <v>0</v>
      </c>
      <c r="S45" s="268" t="n">
        <f aca="false">COUNTIFS('Master Plan'!$Z$8:$Z$27,"&gt;="&amp;$B45,'Master Plan'!$Z$8:$Z$27,"&lt;"&amp;$B45+7,'Master Plan'!$E$8:$E$27,S$3)</f>
        <v>0</v>
      </c>
      <c r="T45" s="268" t="n">
        <f aca="false">COUNTIFS('Master Plan'!$Z$8:$Z$27,"&gt;="&amp;$B45,'Master Plan'!$Z$8:$Z$27,"&lt;"&amp;$B45+7,'Master Plan'!$E$8:$E$27,T$3)</f>
        <v>0</v>
      </c>
      <c r="U45" s="268" t="n">
        <f aca="false">COUNTIFS('Master Plan'!$Z$8:$Z$27,"&gt;="&amp;$B45,'Master Plan'!$Z$8:$Z$27,"&lt;"&amp;$B45+7,'Master Plan'!$E$8:$E$27,U$3)</f>
        <v>0</v>
      </c>
      <c r="V45" s="268" t="n">
        <f aca="false">COUNTIFS('Master Plan'!$Z$8:$Z$27,"&gt;="&amp;$B45,'Master Plan'!$Z$8:$Z$27,"&lt;"&amp;$B45+7,'Master Plan'!$E$8:$E$27,V$3)</f>
        <v>0</v>
      </c>
      <c r="W45" s="268" t="n">
        <f aca="false">COUNTIFS('Master Plan'!$Z$8:$Z$27,"&gt;="&amp;$B45,'Master Plan'!$Z$8:$Z$27,"&lt;"&amp;$B45+7,'Master Plan'!$E$8:$E$27,W$3)</f>
        <v>0</v>
      </c>
      <c r="X45" s="268" t="n">
        <f aca="false">COUNTIFS('Master Plan'!$Z$8:$Z$27,"&gt;="&amp;$B45,'Master Plan'!$Z$8:$Z$27,"&lt;"&amp;$B45+7,'Master Plan'!$E$8:$E$27,X$3)</f>
        <v>0</v>
      </c>
      <c r="Y45" s="268" t="n">
        <f aca="false">COUNTIFS('Master Plan'!$Z$8:$Z$27,"&gt;="&amp;$B45,'Master Plan'!$Z$8:$Z$27,"&lt;"&amp;$B45+7,'Master Plan'!$E$8:$E$27,Y$3)</f>
        <v>0</v>
      </c>
      <c r="Z45" s="268" t="n">
        <f aca="false">COUNTIFS('Master Plan'!$Z$8:$Z$27,"&gt;="&amp;$B45,'Master Plan'!$Z$8:$Z$27,"&lt;"&amp;$B45+7,'Master Plan'!$E$8:$E$27,Z$3)</f>
        <v>0</v>
      </c>
    </row>
    <row r="46" customFormat="false" ht="15" hidden="false" customHeight="false" outlineLevel="0" collapsed="false">
      <c r="A46" s="268" t="s">
        <v>1567</v>
      </c>
      <c r="B46" s="33" t="n">
        <f aca="false">'Master Plan'!CX7</f>
        <v>46615</v>
      </c>
      <c r="C46" s="268" t="n">
        <f aca="false">COUNTIFS('Master Plan'!$Y$8:$Y$27,"&gt;="&amp;B46,'Master Plan'!$Y$8:$Y$27,"&lt;"&amp;B46+7)</f>
        <v>0</v>
      </c>
      <c r="D46" s="268" t="n">
        <f aca="false">COUNTIFS('Master Plan'!$AA$8:$AA$27,"&gt;="&amp;B46,'Master Plan'!$AA$8:$AA$27,"&lt;"&amp;B46+7)</f>
        <v>0</v>
      </c>
      <c r="E46" s="268" t="n">
        <f aca="false">COUNTIFS('Master Plan'!$AB$8:$AB$27,"&gt;="&amp;B46,'Master Plan'!$AB$8:$AB$27,"&lt;"&amp;B46+7)</f>
        <v>0</v>
      </c>
      <c r="F46" s="268" t="n">
        <f aca="false">COUNTIFS('Master Plan'!$AH$8:$AH$27,"&gt;="&amp;B46,'Master Plan'!$AH$8:$AH$27,"&lt;"&amp;B46+7)</f>
        <v>0</v>
      </c>
      <c r="G46" s="268" t="n">
        <f aca="false">COUNTIFS('Master Plan'!$Z$8:$Z$27,"&gt;="&amp;$B46,'Master Plan'!$Z$8:$Z$27,"&lt;"&amp;$B46+7,'Master Plan'!$E$8:$E$27,G$3)</f>
        <v>0</v>
      </c>
      <c r="H46" s="268" t="n">
        <f aca="false">COUNTIFS('Master Plan'!$Z$8:$Z$27,"&gt;="&amp;$B46,'Master Plan'!$Z$8:$Z$27,"&lt;"&amp;$B46+7,'Master Plan'!$E$8:$E$27,H$3)</f>
        <v>0</v>
      </c>
      <c r="I46" s="268" t="n">
        <f aca="false">COUNTIFS('Master Plan'!$Z$8:$Z$27,"&gt;="&amp;$B46,'Master Plan'!$Z$8:$Z$27,"&lt;"&amp;$B46+7,'Master Plan'!$E$8:$E$27,I$3)</f>
        <v>0</v>
      </c>
      <c r="J46" s="268" t="n">
        <f aca="false">COUNTIFS('Master Plan'!$Z$8:$Z$27,"&gt;="&amp;$B46,'Master Plan'!$Z$8:$Z$27,"&lt;"&amp;$B46+7,'Master Plan'!$E$8:$E$27,J$3)</f>
        <v>0</v>
      </c>
      <c r="K46" s="268" t="n">
        <f aca="false">COUNTIFS('Master Plan'!$Z$8:$Z$27,"&gt;="&amp;$B46,'Master Plan'!$Z$8:$Z$27,"&lt;"&amp;$B46+7,'Master Plan'!$E$8:$E$27,K$3)</f>
        <v>0</v>
      </c>
      <c r="L46" s="268" t="n">
        <f aca="false">COUNTIFS('Master Plan'!$Z$8:$Z$27,"&gt;="&amp;$B46,'Master Plan'!$Z$8:$Z$27,"&lt;"&amp;$B46+7,'Master Plan'!$E$8:$E$27,L$3)</f>
        <v>0</v>
      </c>
      <c r="M46" s="268" t="n">
        <f aca="false">COUNTIFS('Master Plan'!$Z$8:$Z$27,"&gt;="&amp;$B46,'Master Plan'!$Z$8:$Z$27,"&lt;"&amp;$B46+7,'Master Plan'!$E$8:$E$27,M$3)</f>
        <v>0</v>
      </c>
      <c r="N46" s="268" t="n">
        <f aca="false">COUNTIFS('Master Plan'!$Z$8:$Z$27,"&gt;="&amp;$B46,'Master Plan'!$Z$8:$Z$27,"&lt;"&amp;$B46+7,'Master Plan'!$E$8:$E$27,N$3)</f>
        <v>0</v>
      </c>
      <c r="O46" s="268" t="n">
        <f aca="false">COUNTIFS('Master Plan'!$Z$8:$Z$27,"&gt;="&amp;$B46,'Master Plan'!$Z$8:$Z$27,"&lt;"&amp;$B46+7,'Master Plan'!$E$8:$E$27,O$3)</f>
        <v>0</v>
      </c>
      <c r="P46" s="268" t="n">
        <f aca="false">COUNTIFS('Master Plan'!$Z$8:$Z$27,"&gt;="&amp;$B46,'Master Plan'!$Z$8:$Z$27,"&lt;"&amp;$B46+7,'Master Plan'!$E$8:$E$27,P$3)</f>
        <v>0</v>
      </c>
      <c r="Q46" s="268" t="n">
        <f aca="false">COUNTIFS('Master Plan'!$Z$8:$Z$27,"&gt;="&amp;$B46,'Master Plan'!$Z$8:$Z$27,"&lt;"&amp;$B46+7,'Master Plan'!$E$8:$E$27,Q$3)</f>
        <v>0</v>
      </c>
      <c r="R46" s="268" t="n">
        <f aca="false">COUNTIFS('Master Plan'!$Z$8:$Z$27,"&gt;="&amp;$B46,'Master Plan'!$Z$8:$Z$27,"&lt;"&amp;$B46+7,'Master Plan'!$E$8:$E$27,R$3)</f>
        <v>0</v>
      </c>
      <c r="S46" s="268" t="n">
        <f aca="false">COUNTIFS('Master Plan'!$Z$8:$Z$27,"&gt;="&amp;$B46,'Master Plan'!$Z$8:$Z$27,"&lt;"&amp;$B46+7,'Master Plan'!$E$8:$E$27,S$3)</f>
        <v>0</v>
      </c>
      <c r="T46" s="268" t="n">
        <f aca="false">COUNTIFS('Master Plan'!$Z$8:$Z$27,"&gt;="&amp;$B46,'Master Plan'!$Z$8:$Z$27,"&lt;"&amp;$B46+7,'Master Plan'!$E$8:$E$27,T$3)</f>
        <v>0</v>
      </c>
      <c r="U46" s="268" t="n">
        <f aca="false">COUNTIFS('Master Plan'!$Z$8:$Z$27,"&gt;="&amp;$B46,'Master Plan'!$Z$8:$Z$27,"&lt;"&amp;$B46+7,'Master Plan'!$E$8:$E$27,U$3)</f>
        <v>0</v>
      </c>
      <c r="V46" s="268" t="n">
        <f aca="false">COUNTIFS('Master Plan'!$Z$8:$Z$27,"&gt;="&amp;$B46,'Master Plan'!$Z$8:$Z$27,"&lt;"&amp;$B46+7,'Master Plan'!$E$8:$E$27,V$3)</f>
        <v>0</v>
      </c>
      <c r="W46" s="268" t="n">
        <f aca="false">COUNTIFS('Master Plan'!$Z$8:$Z$27,"&gt;="&amp;$B46,'Master Plan'!$Z$8:$Z$27,"&lt;"&amp;$B46+7,'Master Plan'!$E$8:$E$27,W$3)</f>
        <v>0</v>
      </c>
      <c r="X46" s="268" t="n">
        <f aca="false">COUNTIFS('Master Plan'!$Z$8:$Z$27,"&gt;="&amp;$B46,'Master Plan'!$Z$8:$Z$27,"&lt;"&amp;$B46+7,'Master Plan'!$E$8:$E$27,X$3)</f>
        <v>0</v>
      </c>
      <c r="Y46" s="268" t="n">
        <f aca="false">COUNTIFS('Master Plan'!$Z$8:$Z$27,"&gt;="&amp;$B46,'Master Plan'!$Z$8:$Z$27,"&lt;"&amp;$B46+7,'Master Plan'!$E$8:$E$27,Y$3)</f>
        <v>0</v>
      </c>
      <c r="Z46" s="268" t="n">
        <f aca="false">COUNTIFS('Master Plan'!$Z$8:$Z$27,"&gt;="&amp;$B46,'Master Plan'!$Z$8:$Z$27,"&lt;"&amp;$B46+7,'Master Plan'!$E$8:$E$27,Z$3)</f>
        <v>0</v>
      </c>
    </row>
    <row r="47" customFormat="false" ht="15" hidden="false" customHeight="false" outlineLevel="0" collapsed="false">
      <c r="A47" s="268" t="s">
        <v>1568</v>
      </c>
      <c r="B47" s="33" t="n">
        <f aca="false">'Master Plan'!CY7</f>
        <v>46622</v>
      </c>
      <c r="C47" s="268" t="n">
        <f aca="false">COUNTIFS('Master Plan'!$Y$8:$Y$27,"&gt;="&amp;B47,'Master Plan'!$Y$8:$Y$27,"&lt;"&amp;B47+7)</f>
        <v>0</v>
      </c>
      <c r="D47" s="268" t="n">
        <f aca="false">COUNTIFS('Master Plan'!$AA$8:$AA$27,"&gt;="&amp;B47,'Master Plan'!$AA$8:$AA$27,"&lt;"&amp;B47+7)</f>
        <v>0</v>
      </c>
      <c r="E47" s="268" t="n">
        <f aca="false">COUNTIFS('Master Plan'!$AB$8:$AB$27,"&gt;="&amp;B47,'Master Plan'!$AB$8:$AB$27,"&lt;"&amp;B47+7)</f>
        <v>0</v>
      </c>
      <c r="F47" s="268" t="n">
        <f aca="false">COUNTIFS('Master Plan'!$AH$8:$AH$27,"&gt;="&amp;B47,'Master Plan'!$AH$8:$AH$27,"&lt;"&amp;B47+7)</f>
        <v>0</v>
      </c>
      <c r="G47" s="268" t="n">
        <f aca="false">COUNTIFS('Master Plan'!$Z$8:$Z$27,"&gt;="&amp;$B47,'Master Plan'!$Z$8:$Z$27,"&lt;"&amp;$B47+7,'Master Plan'!$E$8:$E$27,G$3)</f>
        <v>0</v>
      </c>
      <c r="H47" s="268" t="n">
        <f aca="false">COUNTIFS('Master Plan'!$Z$8:$Z$27,"&gt;="&amp;$B47,'Master Plan'!$Z$8:$Z$27,"&lt;"&amp;$B47+7,'Master Plan'!$E$8:$E$27,H$3)</f>
        <v>0</v>
      </c>
      <c r="I47" s="268" t="n">
        <f aca="false">COUNTIFS('Master Plan'!$Z$8:$Z$27,"&gt;="&amp;$B47,'Master Plan'!$Z$8:$Z$27,"&lt;"&amp;$B47+7,'Master Plan'!$E$8:$E$27,I$3)</f>
        <v>0</v>
      </c>
      <c r="J47" s="268" t="n">
        <f aca="false">COUNTIFS('Master Plan'!$Z$8:$Z$27,"&gt;="&amp;$B47,'Master Plan'!$Z$8:$Z$27,"&lt;"&amp;$B47+7,'Master Plan'!$E$8:$E$27,J$3)</f>
        <v>0</v>
      </c>
      <c r="K47" s="268" t="n">
        <f aca="false">COUNTIFS('Master Plan'!$Z$8:$Z$27,"&gt;="&amp;$B47,'Master Plan'!$Z$8:$Z$27,"&lt;"&amp;$B47+7,'Master Plan'!$E$8:$E$27,K$3)</f>
        <v>0</v>
      </c>
      <c r="L47" s="268" t="n">
        <f aca="false">COUNTIFS('Master Plan'!$Z$8:$Z$27,"&gt;="&amp;$B47,'Master Plan'!$Z$8:$Z$27,"&lt;"&amp;$B47+7,'Master Plan'!$E$8:$E$27,L$3)</f>
        <v>0</v>
      </c>
      <c r="M47" s="268" t="n">
        <f aca="false">COUNTIFS('Master Plan'!$Z$8:$Z$27,"&gt;="&amp;$B47,'Master Plan'!$Z$8:$Z$27,"&lt;"&amp;$B47+7,'Master Plan'!$E$8:$E$27,M$3)</f>
        <v>0</v>
      </c>
      <c r="N47" s="268" t="n">
        <f aca="false">COUNTIFS('Master Plan'!$Z$8:$Z$27,"&gt;="&amp;$B47,'Master Plan'!$Z$8:$Z$27,"&lt;"&amp;$B47+7,'Master Plan'!$E$8:$E$27,N$3)</f>
        <v>0</v>
      </c>
      <c r="O47" s="268" t="n">
        <f aca="false">COUNTIFS('Master Plan'!$Z$8:$Z$27,"&gt;="&amp;$B47,'Master Plan'!$Z$8:$Z$27,"&lt;"&amp;$B47+7,'Master Plan'!$E$8:$E$27,O$3)</f>
        <v>0</v>
      </c>
      <c r="P47" s="268" t="n">
        <f aca="false">COUNTIFS('Master Plan'!$Z$8:$Z$27,"&gt;="&amp;$B47,'Master Plan'!$Z$8:$Z$27,"&lt;"&amp;$B47+7,'Master Plan'!$E$8:$E$27,P$3)</f>
        <v>0</v>
      </c>
      <c r="Q47" s="268" t="n">
        <f aca="false">COUNTIFS('Master Plan'!$Z$8:$Z$27,"&gt;="&amp;$B47,'Master Plan'!$Z$8:$Z$27,"&lt;"&amp;$B47+7,'Master Plan'!$E$8:$E$27,Q$3)</f>
        <v>0</v>
      </c>
      <c r="R47" s="268" t="n">
        <f aca="false">COUNTIFS('Master Plan'!$Z$8:$Z$27,"&gt;="&amp;$B47,'Master Plan'!$Z$8:$Z$27,"&lt;"&amp;$B47+7,'Master Plan'!$E$8:$E$27,R$3)</f>
        <v>0</v>
      </c>
      <c r="S47" s="268" t="n">
        <f aca="false">COUNTIFS('Master Plan'!$Z$8:$Z$27,"&gt;="&amp;$B47,'Master Plan'!$Z$8:$Z$27,"&lt;"&amp;$B47+7,'Master Plan'!$E$8:$E$27,S$3)</f>
        <v>0</v>
      </c>
      <c r="T47" s="268" t="n">
        <f aca="false">COUNTIFS('Master Plan'!$Z$8:$Z$27,"&gt;="&amp;$B47,'Master Plan'!$Z$8:$Z$27,"&lt;"&amp;$B47+7,'Master Plan'!$E$8:$E$27,T$3)</f>
        <v>0</v>
      </c>
      <c r="U47" s="268" t="n">
        <f aca="false">COUNTIFS('Master Plan'!$Z$8:$Z$27,"&gt;="&amp;$B47,'Master Plan'!$Z$8:$Z$27,"&lt;"&amp;$B47+7,'Master Plan'!$E$8:$E$27,U$3)</f>
        <v>0</v>
      </c>
      <c r="V47" s="268" t="n">
        <f aca="false">COUNTIFS('Master Plan'!$Z$8:$Z$27,"&gt;="&amp;$B47,'Master Plan'!$Z$8:$Z$27,"&lt;"&amp;$B47+7,'Master Plan'!$E$8:$E$27,V$3)</f>
        <v>0</v>
      </c>
      <c r="W47" s="268" t="n">
        <f aca="false">COUNTIFS('Master Plan'!$Z$8:$Z$27,"&gt;="&amp;$B47,'Master Plan'!$Z$8:$Z$27,"&lt;"&amp;$B47+7,'Master Plan'!$E$8:$E$27,W$3)</f>
        <v>0</v>
      </c>
      <c r="X47" s="268" t="n">
        <f aca="false">COUNTIFS('Master Plan'!$Z$8:$Z$27,"&gt;="&amp;$B47,'Master Plan'!$Z$8:$Z$27,"&lt;"&amp;$B47+7,'Master Plan'!$E$8:$E$27,X$3)</f>
        <v>0</v>
      </c>
      <c r="Y47" s="268" t="n">
        <f aca="false">COUNTIFS('Master Plan'!$Z$8:$Z$27,"&gt;="&amp;$B47,'Master Plan'!$Z$8:$Z$27,"&lt;"&amp;$B47+7,'Master Plan'!$E$8:$E$27,Y$3)</f>
        <v>0</v>
      </c>
      <c r="Z47" s="268" t="n">
        <f aca="false">COUNTIFS('Master Plan'!$Z$8:$Z$27,"&gt;="&amp;$B47,'Master Plan'!$Z$8:$Z$27,"&lt;"&amp;$B47+7,'Master Plan'!$E$8:$E$27,Z$3)</f>
        <v>0</v>
      </c>
    </row>
    <row r="48" customFormat="false" ht="15" hidden="false" customHeight="false" outlineLevel="0" collapsed="false">
      <c r="A48" s="268" t="s">
        <v>1569</v>
      </c>
      <c r="B48" s="33" t="n">
        <f aca="false">'Master Plan'!CZ7</f>
        <v>46629</v>
      </c>
      <c r="C48" s="268" t="n">
        <f aca="false">COUNTIFS('Master Plan'!$Y$8:$Y$27,"&gt;="&amp;B48,'Master Plan'!$Y$8:$Y$27,"&lt;"&amp;B48+7)</f>
        <v>0</v>
      </c>
      <c r="D48" s="268" t="n">
        <f aca="false">COUNTIFS('Master Plan'!$AA$8:$AA$27,"&gt;="&amp;B48,'Master Plan'!$AA$8:$AA$27,"&lt;"&amp;B48+7)</f>
        <v>0</v>
      </c>
      <c r="E48" s="268" t="n">
        <f aca="false">COUNTIFS('Master Plan'!$AB$8:$AB$27,"&gt;="&amp;B48,'Master Plan'!$AB$8:$AB$27,"&lt;"&amp;B48+7)</f>
        <v>0</v>
      </c>
      <c r="F48" s="268" t="n">
        <f aca="false">COUNTIFS('Master Plan'!$AH$8:$AH$27,"&gt;="&amp;B48,'Master Plan'!$AH$8:$AH$27,"&lt;"&amp;B48+7)</f>
        <v>0</v>
      </c>
      <c r="G48" s="268" t="n">
        <f aca="false">COUNTIFS('Master Plan'!$Z$8:$Z$27,"&gt;="&amp;$B48,'Master Plan'!$Z$8:$Z$27,"&lt;"&amp;$B48+7,'Master Plan'!$E$8:$E$27,G$3)</f>
        <v>0</v>
      </c>
      <c r="H48" s="268" t="n">
        <f aca="false">COUNTIFS('Master Plan'!$Z$8:$Z$27,"&gt;="&amp;$B48,'Master Plan'!$Z$8:$Z$27,"&lt;"&amp;$B48+7,'Master Plan'!$E$8:$E$27,H$3)</f>
        <v>0</v>
      </c>
      <c r="I48" s="268" t="n">
        <f aca="false">COUNTIFS('Master Plan'!$Z$8:$Z$27,"&gt;="&amp;$B48,'Master Plan'!$Z$8:$Z$27,"&lt;"&amp;$B48+7,'Master Plan'!$E$8:$E$27,I$3)</f>
        <v>0</v>
      </c>
      <c r="J48" s="268" t="n">
        <f aca="false">COUNTIFS('Master Plan'!$Z$8:$Z$27,"&gt;="&amp;$B48,'Master Plan'!$Z$8:$Z$27,"&lt;"&amp;$B48+7,'Master Plan'!$E$8:$E$27,J$3)</f>
        <v>0</v>
      </c>
      <c r="K48" s="268" t="n">
        <f aca="false">COUNTIFS('Master Plan'!$Z$8:$Z$27,"&gt;="&amp;$B48,'Master Plan'!$Z$8:$Z$27,"&lt;"&amp;$B48+7,'Master Plan'!$E$8:$E$27,K$3)</f>
        <v>0</v>
      </c>
      <c r="L48" s="268" t="n">
        <f aca="false">COUNTIFS('Master Plan'!$Z$8:$Z$27,"&gt;="&amp;$B48,'Master Plan'!$Z$8:$Z$27,"&lt;"&amp;$B48+7,'Master Plan'!$E$8:$E$27,L$3)</f>
        <v>0</v>
      </c>
      <c r="M48" s="268" t="n">
        <f aca="false">COUNTIFS('Master Plan'!$Z$8:$Z$27,"&gt;="&amp;$B48,'Master Plan'!$Z$8:$Z$27,"&lt;"&amp;$B48+7,'Master Plan'!$E$8:$E$27,M$3)</f>
        <v>0</v>
      </c>
      <c r="N48" s="268" t="n">
        <f aca="false">COUNTIFS('Master Plan'!$Z$8:$Z$27,"&gt;="&amp;$B48,'Master Plan'!$Z$8:$Z$27,"&lt;"&amp;$B48+7,'Master Plan'!$E$8:$E$27,N$3)</f>
        <v>0</v>
      </c>
      <c r="O48" s="268" t="n">
        <f aca="false">COUNTIFS('Master Plan'!$Z$8:$Z$27,"&gt;="&amp;$B48,'Master Plan'!$Z$8:$Z$27,"&lt;"&amp;$B48+7,'Master Plan'!$E$8:$E$27,O$3)</f>
        <v>0</v>
      </c>
      <c r="P48" s="268" t="n">
        <f aca="false">COUNTIFS('Master Plan'!$Z$8:$Z$27,"&gt;="&amp;$B48,'Master Plan'!$Z$8:$Z$27,"&lt;"&amp;$B48+7,'Master Plan'!$E$8:$E$27,P$3)</f>
        <v>0</v>
      </c>
      <c r="Q48" s="268" t="n">
        <f aca="false">COUNTIFS('Master Plan'!$Z$8:$Z$27,"&gt;="&amp;$B48,'Master Plan'!$Z$8:$Z$27,"&lt;"&amp;$B48+7,'Master Plan'!$E$8:$E$27,Q$3)</f>
        <v>0</v>
      </c>
      <c r="R48" s="268" t="n">
        <f aca="false">COUNTIFS('Master Plan'!$Z$8:$Z$27,"&gt;="&amp;$B48,'Master Plan'!$Z$8:$Z$27,"&lt;"&amp;$B48+7,'Master Plan'!$E$8:$E$27,R$3)</f>
        <v>0</v>
      </c>
      <c r="S48" s="268" t="n">
        <f aca="false">COUNTIFS('Master Plan'!$Z$8:$Z$27,"&gt;="&amp;$B48,'Master Plan'!$Z$8:$Z$27,"&lt;"&amp;$B48+7,'Master Plan'!$E$8:$E$27,S$3)</f>
        <v>0</v>
      </c>
      <c r="T48" s="268" t="n">
        <f aca="false">COUNTIFS('Master Plan'!$Z$8:$Z$27,"&gt;="&amp;$B48,'Master Plan'!$Z$8:$Z$27,"&lt;"&amp;$B48+7,'Master Plan'!$E$8:$E$27,T$3)</f>
        <v>0</v>
      </c>
      <c r="U48" s="268" t="n">
        <f aca="false">COUNTIFS('Master Plan'!$Z$8:$Z$27,"&gt;="&amp;$B48,'Master Plan'!$Z$8:$Z$27,"&lt;"&amp;$B48+7,'Master Plan'!$E$8:$E$27,U$3)</f>
        <v>0</v>
      </c>
      <c r="V48" s="268" t="n">
        <f aca="false">COUNTIFS('Master Plan'!$Z$8:$Z$27,"&gt;="&amp;$B48,'Master Plan'!$Z$8:$Z$27,"&lt;"&amp;$B48+7,'Master Plan'!$E$8:$E$27,V$3)</f>
        <v>0</v>
      </c>
      <c r="W48" s="268" t="n">
        <f aca="false">COUNTIFS('Master Plan'!$Z$8:$Z$27,"&gt;="&amp;$B48,'Master Plan'!$Z$8:$Z$27,"&lt;"&amp;$B48+7,'Master Plan'!$E$8:$E$27,W$3)</f>
        <v>0</v>
      </c>
      <c r="X48" s="268" t="n">
        <f aca="false">COUNTIFS('Master Plan'!$Z$8:$Z$27,"&gt;="&amp;$B48,'Master Plan'!$Z$8:$Z$27,"&lt;"&amp;$B48+7,'Master Plan'!$E$8:$E$27,X$3)</f>
        <v>0</v>
      </c>
      <c r="Y48" s="268" t="n">
        <f aca="false">COUNTIFS('Master Plan'!$Z$8:$Z$27,"&gt;="&amp;$B48,'Master Plan'!$Z$8:$Z$27,"&lt;"&amp;$B48+7,'Master Plan'!$E$8:$E$27,Y$3)</f>
        <v>0</v>
      </c>
      <c r="Z48" s="268" t="n">
        <f aca="false">COUNTIFS('Master Plan'!$Z$8:$Z$27,"&gt;="&amp;$B48,'Master Plan'!$Z$8:$Z$27,"&lt;"&amp;$B48+7,'Master Plan'!$E$8:$E$27,Z$3)</f>
        <v>0</v>
      </c>
    </row>
    <row r="49" customFormat="false" ht="15" hidden="false" customHeight="false" outlineLevel="0" collapsed="false">
      <c r="A49" s="268" t="s">
        <v>1570</v>
      </c>
      <c r="B49" s="33" t="n">
        <f aca="false">'Master Plan'!DA7</f>
        <v>46636</v>
      </c>
      <c r="C49" s="268" t="n">
        <f aca="false">COUNTIFS('Master Plan'!$Y$8:$Y$27,"&gt;="&amp;B49,'Master Plan'!$Y$8:$Y$27,"&lt;"&amp;B49+7)</f>
        <v>0</v>
      </c>
      <c r="D49" s="268" t="n">
        <f aca="false">COUNTIFS('Master Plan'!$AA$8:$AA$27,"&gt;="&amp;B49,'Master Plan'!$AA$8:$AA$27,"&lt;"&amp;B49+7)</f>
        <v>0</v>
      </c>
      <c r="E49" s="268" t="n">
        <f aca="false">COUNTIFS('Master Plan'!$AB$8:$AB$27,"&gt;="&amp;B49,'Master Plan'!$AB$8:$AB$27,"&lt;"&amp;B49+7)</f>
        <v>0</v>
      </c>
      <c r="F49" s="268" t="n">
        <f aca="false">COUNTIFS('Master Plan'!$AH$8:$AH$27,"&gt;="&amp;B49,'Master Plan'!$AH$8:$AH$27,"&lt;"&amp;B49+7)</f>
        <v>0</v>
      </c>
      <c r="G49" s="268" t="n">
        <f aca="false">COUNTIFS('Master Plan'!$Z$8:$Z$27,"&gt;="&amp;$B49,'Master Plan'!$Z$8:$Z$27,"&lt;"&amp;$B49+7,'Master Plan'!$E$8:$E$27,G$3)</f>
        <v>0</v>
      </c>
      <c r="H49" s="268" t="n">
        <f aca="false">COUNTIFS('Master Plan'!$Z$8:$Z$27,"&gt;="&amp;$B49,'Master Plan'!$Z$8:$Z$27,"&lt;"&amp;$B49+7,'Master Plan'!$E$8:$E$27,H$3)</f>
        <v>0</v>
      </c>
      <c r="I49" s="268" t="n">
        <f aca="false">COUNTIFS('Master Plan'!$Z$8:$Z$27,"&gt;="&amp;$B49,'Master Plan'!$Z$8:$Z$27,"&lt;"&amp;$B49+7,'Master Plan'!$E$8:$E$27,I$3)</f>
        <v>0</v>
      </c>
      <c r="J49" s="268" t="n">
        <f aca="false">COUNTIFS('Master Plan'!$Z$8:$Z$27,"&gt;="&amp;$B49,'Master Plan'!$Z$8:$Z$27,"&lt;"&amp;$B49+7,'Master Plan'!$E$8:$E$27,J$3)</f>
        <v>0</v>
      </c>
      <c r="K49" s="268" t="n">
        <f aca="false">COUNTIFS('Master Plan'!$Z$8:$Z$27,"&gt;="&amp;$B49,'Master Plan'!$Z$8:$Z$27,"&lt;"&amp;$B49+7,'Master Plan'!$E$8:$E$27,K$3)</f>
        <v>0</v>
      </c>
      <c r="L49" s="268" t="n">
        <f aca="false">COUNTIFS('Master Plan'!$Z$8:$Z$27,"&gt;="&amp;$B49,'Master Plan'!$Z$8:$Z$27,"&lt;"&amp;$B49+7,'Master Plan'!$E$8:$E$27,L$3)</f>
        <v>0</v>
      </c>
      <c r="M49" s="268" t="n">
        <f aca="false">COUNTIFS('Master Plan'!$Z$8:$Z$27,"&gt;="&amp;$B49,'Master Plan'!$Z$8:$Z$27,"&lt;"&amp;$B49+7,'Master Plan'!$E$8:$E$27,M$3)</f>
        <v>0</v>
      </c>
      <c r="N49" s="268" t="n">
        <f aca="false">COUNTIFS('Master Plan'!$Z$8:$Z$27,"&gt;="&amp;$B49,'Master Plan'!$Z$8:$Z$27,"&lt;"&amp;$B49+7,'Master Plan'!$E$8:$E$27,N$3)</f>
        <v>0</v>
      </c>
      <c r="O49" s="268" t="n">
        <f aca="false">COUNTIFS('Master Plan'!$Z$8:$Z$27,"&gt;="&amp;$B49,'Master Plan'!$Z$8:$Z$27,"&lt;"&amp;$B49+7,'Master Plan'!$E$8:$E$27,O$3)</f>
        <v>0</v>
      </c>
      <c r="P49" s="268" t="n">
        <f aca="false">COUNTIFS('Master Plan'!$Z$8:$Z$27,"&gt;="&amp;$B49,'Master Plan'!$Z$8:$Z$27,"&lt;"&amp;$B49+7,'Master Plan'!$E$8:$E$27,P$3)</f>
        <v>0</v>
      </c>
      <c r="Q49" s="268" t="n">
        <f aca="false">COUNTIFS('Master Plan'!$Z$8:$Z$27,"&gt;="&amp;$B49,'Master Plan'!$Z$8:$Z$27,"&lt;"&amp;$B49+7,'Master Plan'!$E$8:$E$27,Q$3)</f>
        <v>0</v>
      </c>
      <c r="R49" s="268" t="n">
        <f aca="false">COUNTIFS('Master Plan'!$Z$8:$Z$27,"&gt;="&amp;$B49,'Master Plan'!$Z$8:$Z$27,"&lt;"&amp;$B49+7,'Master Plan'!$E$8:$E$27,R$3)</f>
        <v>0</v>
      </c>
      <c r="S49" s="268" t="n">
        <f aca="false">COUNTIFS('Master Plan'!$Z$8:$Z$27,"&gt;="&amp;$B49,'Master Plan'!$Z$8:$Z$27,"&lt;"&amp;$B49+7,'Master Plan'!$E$8:$E$27,S$3)</f>
        <v>0</v>
      </c>
      <c r="T49" s="268" t="n">
        <f aca="false">COUNTIFS('Master Plan'!$Z$8:$Z$27,"&gt;="&amp;$B49,'Master Plan'!$Z$8:$Z$27,"&lt;"&amp;$B49+7,'Master Plan'!$E$8:$E$27,T$3)</f>
        <v>0</v>
      </c>
      <c r="U49" s="268" t="n">
        <f aca="false">COUNTIFS('Master Plan'!$Z$8:$Z$27,"&gt;="&amp;$B49,'Master Plan'!$Z$8:$Z$27,"&lt;"&amp;$B49+7,'Master Plan'!$E$8:$E$27,U$3)</f>
        <v>0</v>
      </c>
      <c r="V49" s="268" t="n">
        <f aca="false">COUNTIFS('Master Plan'!$Z$8:$Z$27,"&gt;="&amp;$B49,'Master Plan'!$Z$8:$Z$27,"&lt;"&amp;$B49+7,'Master Plan'!$E$8:$E$27,V$3)</f>
        <v>0</v>
      </c>
      <c r="W49" s="268" t="n">
        <f aca="false">COUNTIFS('Master Plan'!$Z$8:$Z$27,"&gt;="&amp;$B49,'Master Plan'!$Z$8:$Z$27,"&lt;"&amp;$B49+7,'Master Plan'!$E$8:$E$27,W$3)</f>
        <v>0</v>
      </c>
      <c r="X49" s="268" t="n">
        <f aca="false">COUNTIFS('Master Plan'!$Z$8:$Z$27,"&gt;="&amp;$B49,'Master Plan'!$Z$8:$Z$27,"&lt;"&amp;$B49+7,'Master Plan'!$E$8:$E$27,X$3)</f>
        <v>0</v>
      </c>
      <c r="Y49" s="268" t="n">
        <f aca="false">COUNTIFS('Master Plan'!$Z$8:$Z$27,"&gt;="&amp;$B49,'Master Plan'!$Z$8:$Z$27,"&lt;"&amp;$B49+7,'Master Plan'!$E$8:$E$27,Y$3)</f>
        <v>0</v>
      </c>
      <c r="Z49" s="268" t="n">
        <f aca="false">COUNTIFS('Master Plan'!$Z$8:$Z$27,"&gt;="&amp;$B49,'Master Plan'!$Z$8:$Z$27,"&lt;"&amp;$B49+7,'Master Plan'!$E$8:$E$27,Z$3)</f>
        <v>0</v>
      </c>
    </row>
    <row r="50" customFormat="false" ht="15" hidden="false" customHeight="false" outlineLevel="0" collapsed="false">
      <c r="A50" s="268" t="s">
        <v>1571</v>
      </c>
      <c r="B50" s="33" t="n">
        <f aca="false">'Master Plan'!DB7</f>
        <v>46643</v>
      </c>
      <c r="C50" s="268" t="n">
        <f aca="false">COUNTIFS('Master Plan'!$Y$8:$Y$27,"&gt;="&amp;B50,'Master Plan'!$Y$8:$Y$27,"&lt;"&amp;B50+7)</f>
        <v>0</v>
      </c>
      <c r="D50" s="268" t="n">
        <f aca="false">COUNTIFS('Master Plan'!$AA$8:$AA$27,"&gt;="&amp;B50,'Master Plan'!$AA$8:$AA$27,"&lt;"&amp;B50+7)</f>
        <v>0</v>
      </c>
      <c r="E50" s="268" t="n">
        <f aca="false">COUNTIFS('Master Plan'!$AB$8:$AB$27,"&gt;="&amp;B50,'Master Plan'!$AB$8:$AB$27,"&lt;"&amp;B50+7)</f>
        <v>0</v>
      </c>
      <c r="F50" s="268" t="n">
        <f aca="false">COUNTIFS('Master Plan'!$AH$8:$AH$27,"&gt;="&amp;B50,'Master Plan'!$AH$8:$AH$27,"&lt;"&amp;B50+7)</f>
        <v>0</v>
      </c>
      <c r="G50" s="268" t="n">
        <f aca="false">COUNTIFS('Master Plan'!$Z$8:$Z$27,"&gt;="&amp;$B50,'Master Plan'!$Z$8:$Z$27,"&lt;"&amp;$B50+7,'Master Plan'!$E$8:$E$27,G$3)</f>
        <v>0</v>
      </c>
      <c r="H50" s="268" t="n">
        <f aca="false">COUNTIFS('Master Plan'!$Z$8:$Z$27,"&gt;="&amp;$B50,'Master Plan'!$Z$8:$Z$27,"&lt;"&amp;$B50+7,'Master Plan'!$E$8:$E$27,H$3)</f>
        <v>0</v>
      </c>
      <c r="I50" s="268" t="n">
        <f aca="false">COUNTIFS('Master Plan'!$Z$8:$Z$27,"&gt;="&amp;$B50,'Master Plan'!$Z$8:$Z$27,"&lt;"&amp;$B50+7,'Master Plan'!$E$8:$E$27,I$3)</f>
        <v>0</v>
      </c>
      <c r="J50" s="268" t="n">
        <f aca="false">COUNTIFS('Master Plan'!$Z$8:$Z$27,"&gt;="&amp;$B50,'Master Plan'!$Z$8:$Z$27,"&lt;"&amp;$B50+7,'Master Plan'!$E$8:$E$27,J$3)</f>
        <v>0</v>
      </c>
      <c r="K50" s="268" t="n">
        <f aca="false">COUNTIFS('Master Plan'!$Z$8:$Z$27,"&gt;="&amp;$B50,'Master Plan'!$Z$8:$Z$27,"&lt;"&amp;$B50+7,'Master Plan'!$E$8:$E$27,K$3)</f>
        <v>0</v>
      </c>
      <c r="L50" s="268" t="n">
        <f aca="false">COUNTIFS('Master Plan'!$Z$8:$Z$27,"&gt;="&amp;$B50,'Master Plan'!$Z$8:$Z$27,"&lt;"&amp;$B50+7,'Master Plan'!$E$8:$E$27,L$3)</f>
        <v>0</v>
      </c>
      <c r="M50" s="268" t="n">
        <f aca="false">COUNTIFS('Master Plan'!$Z$8:$Z$27,"&gt;="&amp;$B50,'Master Plan'!$Z$8:$Z$27,"&lt;"&amp;$B50+7,'Master Plan'!$E$8:$E$27,M$3)</f>
        <v>0</v>
      </c>
      <c r="N50" s="268" t="n">
        <f aca="false">COUNTIFS('Master Plan'!$Z$8:$Z$27,"&gt;="&amp;$B50,'Master Plan'!$Z$8:$Z$27,"&lt;"&amp;$B50+7,'Master Plan'!$E$8:$E$27,N$3)</f>
        <v>0</v>
      </c>
      <c r="O50" s="268" t="n">
        <f aca="false">COUNTIFS('Master Plan'!$Z$8:$Z$27,"&gt;="&amp;$B50,'Master Plan'!$Z$8:$Z$27,"&lt;"&amp;$B50+7,'Master Plan'!$E$8:$E$27,O$3)</f>
        <v>0</v>
      </c>
      <c r="P50" s="268" t="n">
        <f aca="false">COUNTIFS('Master Plan'!$Z$8:$Z$27,"&gt;="&amp;$B50,'Master Plan'!$Z$8:$Z$27,"&lt;"&amp;$B50+7,'Master Plan'!$E$8:$E$27,P$3)</f>
        <v>0</v>
      </c>
      <c r="Q50" s="268" t="n">
        <f aca="false">COUNTIFS('Master Plan'!$Z$8:$Z$27,"&gt;="&amp;$B50,'Master Plan'!$Z$8:$Z$27,"&lt;"&amp;$B50+7,'Master Plan'!$E$8:$E$27,Q$3)</f>
        <v>0</v>
      </c>
      <c r="R50" s="268" t="n">
        <f aca="false">COUNTIFS('Master Plan'!$Z$8:$Z$27,"&gt;="&amp;$B50,'Master Plan'!$Z$8:$Z$27,"&lt;"&amp;$B50+7,'Master Plan'!$E$8:$E$27,R$3)</f>
        <v>0</v>
      </c>
      <c r="S50" s="268" t="n">
        <f aca="false">COUNTIFS('Master Plan'!$Z$8:$Z$27,"&gt;="&amp;$B50,'Master Plan'!$Z$8:$Z$27,"&lt;"&amp;$B50+7,'Master Plan'!$E$8:$E$27,S$3)</f>
        <v>0</v>
      </c>
      <c r="T50" s="268" t="n">
        <f aca="false">COUNTIFS('Master Plan'!$Z$8:$Z$27,"&gt;="&amp;$B50,'Master Plan'!$Z$8:$Z$27,"&lt;"&amp;$B50+7,'Master Plan'!$E$8:$E$27,T$3)</f>
        <v>0</v>
      </c>
      <c r="U50" s="268" t="n">
        <f aca="false">COUNTIFS('Master Plan'!$Z$8:$Z$27,"&gt;="&amp;$B50,'Master Plan'!$Z$8:$Z$27,"&lt;"&amp;$B50+7,'Master Plan'!$E$8:$E$27,U$3)</f>
        <v>0</v>
      </c>
      <c r="V50" s="268" t="n">
        <f aca="false">COUNTIFS('Master Plan'!$Z$8:$Z$27,"&gt;="&amp;$B50,'Master Plan'!$Z$8:$Z$27,"&lt;"&amp;$B50+7,'Master Plan'!$E$8:$E$27,V$3)</f>
        <v>0</v>
      </c>
      <c r="W50" s="268" t="n">
        <f aca="false">COUNTIFS('Master Plan'!$Z$8:$Z$27,"&gt;="&amp;$B50,'Master Plan'!$Z$8:$Z$27,"&lt;"&amp;$B50+7,'Master Plan'!$E$8:$E$27,W$3)</f>
        <v>0</v>
      </c>
      <c r="X50" s="268" t="n">
        <f aca="false">COUNTIFS('Master Plan'!$Z$8:$Z$27,"&gt;="&amp;$B50,'Master Plan'!$Z$8:$Z$27,"&lt;"&amp;$B50+7,'Master Plan'!$E$8:$E$27,X$3)</f>
        <v>0</v>
      </c>
      <c r="Y50" s="268" t="n">
        <f aca="false">COUNTIFS('Master Plan'!$Z$8:$Z$27,"&gt;="&amp;$B50,'Master Plan'!$Z$8:$Z$27,"&lt;"&amp;$B50+7,'Master Plan'!$E$8:$E$27,Y$3)</f>
        <v>0</v>
      </c>
      <c r="Z50" s="268" t="n">
        <f aca="false">COUNTIFS('Master Plan'!$Z$8:$Z$27,"&gt;="&amp;$B50,'Master Plan'!$Z$8:$Z$27,"&lt;"&amp;$B50+7,'Master Plan'!$E$8:$E$27,Z$3)</f>
        <v>0</v>
      </c>
    </row>
    <row r="51" customFormat="false" ht="15" hidden="false" customHeight="false" outlineLevel="0" collapsed="false">
      <c r="A51" s="268" t="s">
        <v>1572</v>
      </c>
      <c r="B51" s="33" t="n">
        <f aca="false">'Master Plan'!DC7</f>
        <v>46650</v>
      </c>
      <c r="C51" s="268" t="n">
        <f aca="false">COUNTIFS('Master Plan'!$Y$8:$Y$27,"&gt;="&amp;B51,'Master Plan'!$Y$8:$Y$27,"&lt;"&amp;B51+7)</f>
        <v>0</v>
      </c>
      <c r="D51" s="268" t="n">
        <f aca="false">COUNTIFS('Master Plan'!$AA$8:$AA$27,"&gt;="&amp;B51,'Master Plan'!$AA$8:$AA$27,"&lt;"&amp;B51+7)</f>
        <v>0</v>
      </c>
      <c r="E51" s="268" t="n">
        <f aca="false">COUNTIFS('Master Plan'!$AB$8:$AB$27,"&gt;="&amp;B51,'Master Plan'!$AB$8:$AB$27,"&lt;"&amp;B51+7)</f>
        <v>0</v>
      </c>
      <c r="F51" s="268" t="n">
        <f aca="false">COUNTIFS('Master Plan'!$AH$8:$AH$27,"&gt;="&amp;B51,'Master Plan'!$AH$8:$AH$27,"&lt;"&amp;B51+7)</f>
        <v>0</v>
      </c>
      <c r="G51" s="268" t="n">
        <f aca="false">COUNTIFS('Master Plan'!$Z$8:$Z$27,"&gt;="&amp;$B51,'Master Plan'!$Z$8:$Z$27,"&lt;"&amp;$B51+7,'Master Plan'!$E$8:$E$27,G$3)</f>
        <v>0</v>
      </c>
      <c r="H51" s="268" t="n">
        <f aca="false">COUNTIFS('Master Plan'!$Z$8:$Z$27,"&gt;="&amp;$B51,'Master Plan'!$Z$8:$Z$27,"&lt;"&amp;$B51+7,'Master Plan'!$E$8:$E$27,H$3)</f>
        <v>0</v>
      </c>
      <c r="I51" s="268" t="n">
        <f aca="false">COUNTIFS('Master Plan'!$Z$8:$Z$27,"&gt;="&amp;$B51,'Master Plan'!$Z$8:$Z$27,"&lt;"&amp;$B51+7,'Master Plan'!$E$8:$E$27,I$3)</f>
        <v>0</v>
      </c>
      <c r="J51" s="268" t="n">
        <f aca="false">COUNTIFS('Master Plan'!$Z$8:$Z$27,"&gt;="&amp;$B51,'Master Plan'!$Z$8:$Z$27,"&lt;"&amp;$B51+7,'Master Plan'!$E$8:$E$27,J$3)</f>
        <v>0</v>
      </c>
      <c r="K51" s="268" t="n">
        <f aca="false">COUNTIFS('Master Plan'!$Z$8:$Z$27,"&gt;="&amp;$B51,'Master Plan'!$Z$8:$Z$27,"&lt;"&amp;$B51+7,'Master Plan'!$E$8:$E$27,K$3)</f>
        <v>0</v>
      </c>
      <c r="L51" s="268" t="n">
        <f aca="false">COUNTIFS('Master Plan'!$Z$8:$Z$27,"&gt;="&amp;$B51,'Master Plan'!$Z$8:$Z$27,"&lt;"&amp;$B51+7,'Master Plan'!$E$8:$E$27,L$3)</f>
        <v>0</v>
      </c>
      <c r="M51" s="268" t="n">
        <f aca="false">COUNTIFS('Master Plan'!$Z$8:$Z$27,"&gt;="&amp;$B51,'Master Plan'!$Z$8:$Z$27,"&lt;"&amp;$B51+7,'Master Plan'!$E$8:$E$27,M$3)</f>
        <v>0</v>
      </c>
      <c r="N51" s="268" t="n">
        <f aca="false">COUNTIFS('Master Plan'!$Z$8:$Z$27,"&gt;="&amp;$B51,'Master Plan'!$Z$8:$Z$27,"&lt;"&amp;$B51+7,'Master Plan'!$E$8:$E$27,N$3)</f>
        <v>0</v>
      </c>
      <c r="O51" s="268" t="n">
        <f aca="false">COUNTIFS('Master Plan'!$Z$8:$Z$27,"&gt;="&amp;$B51,'Master Plan'!$Z$8:$Z$27,"&lt;"&amp;$B51+7,'Master Plan'!$E$8:$E$27,O$3)</f>
        <v>0</v>
      </c>
      <c r="P51" s="268" t="n">
        <f aca="false">COUNTIFS('Master Plan'!$Z$8:$Z$27,"&gt;="&amp;$B51,'Master Plan'!$Z$8:$Z$27,"&lt;"&amp;$B51+7,'Master Plan'!$E$8:$E$27,P$3)</f>
        <v>0</v>
      </c>
      <c r="Q51" s="268" t="n">
        <f aca="false">COUNTIFS('Master Plan'!$Z$8:$Z$27,"&gt;="&amp;$B51,'Master Plan'!$Z$8:$Z$27,"&lt;"&amp;$B51+7,'Master Plan'!$E$8:$E$27,Q$3)</f>
        <v>0</v>
      </c>
      <c r="R51" s="268" t="n">
        <f aca="false">COUNTIFS('Master Plan'!$Z$8:$Z$27,"&gt;="&amp;$B51,'Master Plan'!$Z$8:$Z$27,"&lt;"&amp;$B51+7,'Master Plan'!$E$8:$E$27,R$3)</f>
        <v>0</v>
      </c>
      <c r="S51" s="268" t="n">
        <f aca="false">COUNTIFS('Master Plan'!$Z$8:$Z$27,"&gt;="&amp;$B51,'Master Plan'!$Z$8:$Z$27,"&lt;"&amp;$B51+7,'Master Plan'!$E$8:$E$27,S$3)</f>
        <v>0</v>
      </c>
      <c r="T51" s="268" t="n">
        <f aca="false">COUNTIFS('Master Plan'!$Z$8:$Z$27,"&gt;="&amp;$B51,'Master Plan'!$Z$8:$Z$27,"&lt;"&amp;$B51+7,'Master Plan'!$E$8:$E$27,T$3)</f>
        <v>0</v>
      </c>
      <c r="U51" s="268" t="n">
        <f aca="false">COUNTIFS('Master Plan'!$Z$8:$Z$27,"&gt;="&amp;$B51,'Master Plan'!$Z$8:$Z$27,"&lt;"&amp;$B51+7,'Master Plan'!$E$8:$E$27,U$3)</f>
        <v>0</v>
      </c>
      <c r="V51" s="268" t="n">
        <f aca="false">COUNTIFS('Master Plan'!$Z$8:$Z$27,"&gt;="&amp;$B51,'Master Plan'!$Z$8:$Z$27,"&lt;"&amp;$B51+7,'Master Plan'!$E$8:$E$27,V$3)</f>
        <v>0</v>
      </c>
      <c r="W51" s="268" t="n">
        <f aca="false">COUNTIFS('Master Plan'!$Z$8:$Z$27,"&gt;="&amp;$B51,'Master Plan'!$Z$8:$Z$27,"&lt;"&amp;$B51+7,'Master Plan'!$E$8:$E$27,W$3)</f>
        <v>0</v>
      </c>
      <c r="X51" s="268" t="n">
        <f aca="false">COUNTIFS('Master Plan'!$Z$8:$Z$27,"&gt;="&amp;$B51,'Master Plan'!$Z$8:$Z$27,"&lt;"&amp;$B51+7,'Master Plan'!$E$8:$E$27,X$3)</f>
        <v>0</v>
      </c>
      <c r="Y51" s="268" t="n">
        <f aca="false">COUNTIFS('Master Plan'!$Z$8:$Z$27,"&gt;="&amp;$B51,'Master Plan'!$Z$8:$Z$27,"&lt;"&amp;$B51+7,'Master Plan'!$E$8:$E$27,Y$3)</f>
        <v>0</v>
      </c>
      <c r="Z51" s="268" t="n">
        <f aca="false">COUNTIFS('Master Plan'!$Z$8:$Z$27,"&gt;="&amp;$B51,'Master Plan'!$Z$8:$Z$27,"&lt;"&amp;$B51+7,'Master Plan'!$E$8:$E$27,Z$3)</f>
        <v>0</v>
      </c>
    </row>
  </sheetData>
  <sheetProtection sheet="true" formatColumns="false" formatRows="false" sort="false" autoFilter="false"/>
  <mergeCells count="1">
    <mergeCell ref="G2:Z2"/>
  </mergeCells>
  <conditionalFormatting sqref="G4:Z51">
    <cfRule type="expression" priority="2" aboveAverage="0" equalAverage="0" bottom="0" percent="0" rank="0" text="" dxfId="41">
      <formula>G4&gt;IFERROR(VLOOKUP(G$3,ZONE_TBL,2,0),CAP_PEA)</formula>
    </cfRule>
  </conditionalFormatting>
  <conditionalFormatting sqref="B4:B51">
    <cfRule type="expression" priority="3" aboveAverage="0" equalAverage="0" bottom="0" percent="0" rank="0" text="" dxfId="27">
      <formula>AND(ASOF&gt;=B4,ASOF&lt;B4+7)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4" min="10" style="0" width="9"/>
    <col collapsed="false" customWidth="true" hidden="false" outlineLevel="0" max="44" min="15" style="0" width="6.51"/>
  </cols>
  <sheetData>
    <row r="1" customFormat="false" ht="18.65" hidden="false" customHeight="false" outlineLevel="0" collapsed="false">
      <c r="A1" s="37" t="s">
        <v>2271</v>
      </c>
    </row>
    <row r="2" customFormat="false" ht="15" hidden="false" customHeight="false" outlineLevel="0" collapsed="false">
      <c r="A2" s="230" t="s">
        <v>2272</v>
      </c>
    </row>
    <row r="4" customFormat="false" ht="23.85" hidden="false" customHeight="true" outlineLevel="0" collapsed="false">
      <c r="A4" s="151" t="s">
        <v>34</v>
      </c>
      <c r="B4" s="152" t="s">
        <v>2273</v>
      </c>
      <c r="C4" s="151" t="s">
        <v>573</v>
      </c>
      <c r="D4" s="151" t="s">
        <v>2274</v>
      </c>
      <c r="E4" s="151" t="s">
        <v>2275</v>
      </c>
      <c r="F4" s="151" t="s">
        <v>2276</v>
      </c>
      <c r="G4" s="151" t="s">
        <v>2277</v>
      </c>
      <c r="H4" s="151" t="s">
        <v>2278</v>
      </c>
      <c r="I4" s="151" t="s">
        <v>1782</v>
      </c>
      <c r="J4" s="151"/>
      <c r="K4" s="151"/>
      <c r="L4" s="151"/>
      <c r="M4" s="151"/>
    </row>
    <row r="5" customFormat="false" ht="15" hidden="false" customHeight="false" outlineLevel="0" collapsed="false">
      <c r="A5" s="249" t="s">
        <v>872</v>
      </c>
      <c r="B5" s="249" t="s">
        <v>872</v>
      </c>
      <c r="C5" s="246" t="s">
        <v>2279</v>
      </c>
      <c r="D5" s="246" t="s">
        <v>2280</v>
      </c>
      <c r="E5" s="232" t="s">
        <v>2281</v>
      </c>
      <c r="F5" s="247" t="n">
        <v>4</v>
      </c>
      <c r="G5" s="269" t="n">
        <v>25</v>
      </c>
      <c r="H5" s="269" t="n">
        <v>0.5</v>
      </c>
      <c r="I5" s="246" t="s">
        <v>2282</v>
      </c>
      <c r="J5" s="246"/>
      <c r="K5" s="246"/>
      <c r="L5" s="246"/>
      <c r="M5" s="246"/>
    </row>
    <row r="6" customFormat="false" ht="15" hidden="false" customHeight="false" outlineLevel="0" collapsed="false">
      <c r="A6" s="249" t="s">
        <v>987</v>
      </c>
      <c r="B6" s="249" t="s">
        <v>987</v>
      </c>
      <c r="C6" s="246" t="s">
        <v>2283</v>
      </c>
      <c r="D6" s="246" t="s">
        <v>2284</v>
      </c>
      <c r="E6" s="232" t="s">
        <v>527</v>
      </c>
      <c r="F6" s="247" t="n">
        <v>3</v>
      </c>
      <c r="G6" s="269" t="n">
        <v>40</v>
      </c>
      <c r="H6" s="269" t="n">
        <v>1</v>
      </c>
      <c r="I6" s="246"/>
      <c r="J6" s="246"/>
      <c r="K6" s="246"/>
      <c r="L6" s="246"/>
      <c r="M6" s="246"/>
    </row>
    <row r="7" customFormat="false" ht="15" hidden="false" customHeight="false" outlineLevel="0" collapsed="false">
      <c r="A7" s="249" t="s">
        <v>1037</v>
      </c>
      <c r="B7" s="249" t="s">
        <v>1037</v>
      </c>
      <c r="C7" s="246" t="s">
        <v>2285</v>
      </c>
      <c r="D7" s="246" t="s">
        <v>2280</v>
      </c>
      <c r="E7" s="232" t="s">
        <v>527</v>
      </c>
      <c r="F7" s="247" t="n">
        <v>4</v>
      </c>
      <c r="G7" s="269" t="n">
        <v>35</v>
      </c>
      <c r="H7" s="269" t="n">
        <v>0.5</v>
      </c>
      <c r="I7" s="246" t="s">
        <v>2286</v>
      </c>
      <c r="J7" s="246"/>
      <c r="K7" s="246"/>
      <c r="L7" s="246"/>
      <c r="M7" s="246"/>
    </row>
    <row r="8" customFormat="false" ht="15" hidden="false" customHeight="false" outlineLevel="0" collapsed="false">
      <c r="A8" s="249" t="s">
        <v>1063</v>
      </c>
      <c r="B8" s="249" t="s">
        <v>1063</v>
      </c>
      <c r="C8" s="246" t="s">
        <v>2287</v>
      </c>
      <c r="D8" s="246" t="s">
        <v>2284</v>
      </c>
      <c r="E8" s="246" t="s">
        <v>1808</v>
      </c>
      <c r="F8" s="247" t="n">
        <v>2</v>
      </c>
      <c r="G8" s="270"/>
      <c r="H8" s="269" t="n">
        <v>1</v>
      </c>
      <c r="I8" s="246"/>
      <c r="J8" s="246"/>
      <c r="K8" s="246"/>
      <c r="L8" s="246"/>
      <c r="M8" s="246"/>
    </row>
    <row r="9" customFormat="false" ht="15" hidden="false" customHeight="false" outlineLevel="0" collapsed="false">
      <c r="A9" s="249" t="s">
        <v>2288</v>
      </c>
      <c r="B9" s="249" t="s">
        <v>1079</v>
      </c>
      <c r="C9" s="246" t="s">
        <v>2289</v>
      </c>
      <c r="D9" s="246" t="s">
        <v>2290</v>
      </c>
      <c r="E9" s="246" t="s">
        <v>2291</v>
      </c>
      <c r="F9" s="247" t="n">
        <v>4</v>
      </c>
      <c r="G9" s="270"/>
      <c r="H9" s="269" t="n">
        <v>6</v>
      </c>
      <c r="I9" s="246" t="s">
        <v>2292</v>
      </c>
      <c r="J9" s="246"/>
      <c r="K9" s="246"/>
      <c r="L9" s="246"/>
      <c r="M9" s="246"/>
    </row>
    <row r="10" customFormat="false" ht="15" hidden="false" customHeight="false" outlineLevel="0" collapsed="false">
      <c r="A10" s="249" t="s">
        <v>2293</v>
      </c>
      <c r="B10" s="249" t="s">
        <v>1079</v>
      </c>
      <c r="C10" s="246" t="s">
        <v>2294</v>
      </c>
      <c r="D10" s="246" t="s">
        <v>2284</v>
      </c>
      <c r="E10" s="246" t="s">
        <v>2295</v>
      </c>
      <c r="F10" s="247" t="n">
        <v>3</v>
      </c>
      <c r="G10" s="269" t="n">
        <v>2</v>
      </c>
      <c r="H10" s="269" t="n">
        <v>0.5</v>
      </c>
      <c r="I10" s="246" t="s">
        <v>2296</v>
      </c>
      <c r="J10" s="246"/>
      <c r="K10" s="246"/>
      <c r="L10" s="246"/>
      <c r="M10" s="246"/>
    </row>
    <row r="11" customFormat="false" ht="15" hidden="false" customHeight="false" outlineLevel="0" collapsed="false">
      <c r="A11" s="249" t="s">
        <v>1113</v>
      </c>
      <c r="B11" s="249" t="s">
        <v>1113</v>
      </c>
      <c r="C11" s="246" t="s">
        <v>2297</v>
      </c>
      <c r="D11" s="246" t="s">
        <v>2284</v>
      </c>
      <c r="E11" s="246" t="s">
        <v>1808</v>
      </c>
      <c r="F11" s="247" t="n">
        <v>4</v>
      </c>
      <c r="G11" s="270"/>
      <c r="H11" s="269" t="n">
        <v>4</v>
      </c>
      <c r="I11" s="246"/>
      <c r="J11" s="246"/>
      <c r="K11" s="246"/>
      <c r="L11" s="246"/>
      <c r="M11" s="246"/>
    </row>
    <row r="12" customFormat="false" ht="15" hidden="false" customHeight="false" outlineLevel="0" collapsed="false">
      <c r="A12" s="249" t="s">
        <v>1147</v>
      </c>
      <c r="B12" s="249" t="s">
        <v>1147</v>
      </c>
      <c r="C12" s="246" t="s">
        <v>2298</v>
      </c>
      <c r="D12" s="246" t="s">
        <v>2284</v>
      </c>
      <c r="E12" s="246" t="s">
        <v>1808</v>
      </c>
      <c r="F12" s="247" t="n">
        <v>2</v>
      </c>
      <c r="G12" s="270"/>
      <c r="H12" s="269" t="n">
        <v>2</v>
      </c>
      <c r="I12" s="246"/>
      <c r="J12" s="246"/>
      <c r="K12" s="246"/>
      <c r="L12" s="246"/>
      <c r="M12" s="246"/>
    </row>
    <row r="13" customFormat="false" ht="15" hidden="false" customHeight="false" outlineLevel="0" collapsed="false">
      <c r="A13" s="249" t="s">
        <v>2299</v>
      </c>
      <c r="B13" s="249" t="s">
        <v>1168</v>
      </c>
      <c r="C13" s="246" t="s">
        <v>2300</v>
      </c>
      <c r="D13" s="246" t="s">
        <v>2301</v>
      </c>
      <c r="E13" s="246" t="s">
        <v>2302</v>
      </c>
      <c r="F13" s="247" t="n">
        <v>4</v>
      </c>
      <c r="G13" s="270"/>
      <c r="H13" s="269" t="n">
        <v>3</v>
      </c>
      <c r="I13" s="246" t="s">
        <v>2303</v>
      </c>
      <c r="J13" s="246"/>
      <c r="K13" s="246"/>
      <c r="L13" s="246"/>
      <c r="M13" s="246"/>
    </row>
    <row r="14" customFormat="false" ht="15" hidden="false" customHeight="false" outlineLevel="0" collapsed="false">
      <c r="A14" s="249" t="s">
        <v>2304</v>
      </c>
      <c r="B14" s="249" t="s">
        <v>1168</v>
      </c>
      <c r="C14" s="246" t="s">
        <v>2305</v>
      </c>
      <c r="D14" s="246" t="s">
        <v>2284</v>
      </c>
      <c r="E14" s="246" t="s">
        <v>2306</v>
      </c>
      <c r="F14" s="247" t="n">
        <v>2</v>
      </c>
      <c r="G14" s="270"/>
      <c r="H14" s="269" t="n">
        <v>1.5</v>
      </c>
      <c r="I14" s="246"/>
      <c r="J14" s="246"/>
      <c r="K14" s="246"/>
      <c r="L14" s="246"/>
      <c r="M14" s="246"/>
    </row>
    <row r="15" customFormat="false" ht="15" hidden="false" customHeight="false" outlineLevel="0" collapsed="false">
      <c r="A15" s="249" t="s">
        <v>1192</v>
      </c>
      <c r="B15" s="249" t="s">
        <v>1192</v>
      </c>
      <c r="C15" s="232" t="s">
        <v>1198</v>
      </c>
      <c r="D15" s="246" t="s">
        <v>2284</v>
      </c>
      <c r="E15" s="246" t="s">
        <v>1808</v>
      </c>
      <c r="F15" s="247" t="n">
        <v>2</v>
      </c>
      <c r="G15" s="270"/>
      <c r="H15" s="269" t="n">
        <v>1</v>
      </c>
      <c r="I15" s="246"/>
      <c r="J15" s="246"/>
      <c r="K15" s="246"/>
      <c r="L15" s="246"/>
      <c r="M15" s="246"/>
    </row>
    <row r="16" customFormat="false" ht="15" hidden="false" customHeight="false" outlineLevel="0" collapsed="false">
      <c r="A16" s="249" t="s">
        <v>1205</v>
      </c>
      <c r="B16" s="249" t="s">
        <v>1205</v>
      </c>
      <c r="C16" s="246" t="s">
        <v>2307</v>
      </c>
      <c r="D16" s="246" t="s">
        <v>2308</v>
      </c>
      <c r="E16" s="232" t="s">
        <v>527</v>
      </c>
      <c r="F16" s="247" t="n">
        <v>3</v>
      </c>
      <c r="G16" s="269" t="n">
        <v>100</v>
      </c>
      <c r="H16" s="269" t="n">
        <v>2</v>
      </c>
      <c r="I16" s="232" t="s">
        <v>2309</v>
      </c>
      <c r="J16" s="232"/>
      <c r="K16" s="232"/>
      <c r="L16" s="232"/>
      <c r="M16" s="232"/>
    </row>
    <row r="17" customFormat="false" ht="15" hidden="false" customHeight="false" outlineLevel="0" collapsed="false">
      <c r="A17" s="250" t="s">
        <v>2310</v>
      </c>
      <c r="B17" s="249" t="s">
        <v>2311</v>
      </c>
      <c r="C17" s="246" t="s">
        <v>2312</v>
      </c>
      <c r="D17" s="246" t="s">
        <v>2313</v>
      </c>
      <c r="E17" s="246" t="s">
        <v>2314</v>
      </c>
      <c r="F17" s="247" t="n">
        <v>1</v>
      </c>
      <c r="G17" s="270"/>
      <c r="H17" s="270"/>
      <c r="I17" s="232" t="s">
        <v>2315</v>
      </c>
      <c r="J17" s="232"/>
      <c r="K17" s="232"/>
      <c r="L17" s="232"/>
      <c r="M17" s="232"/>
    </row>
    <row r="18" customFormat="false" ht="15" hidden="false" customHeight="false" outlineLevel="0" collapsed="false">
      <c r="A18" s="271" t="s">
        <v>2316</v>
      </c>
    </row>
    <row r="20" customFormat="false" ht="15" hidden="false" customHeight="false" outlineLevel="0" collapsed="false">
      <c r="A20" s="272" t="s">
        <v>2317</v>
      </c>
    </row>
    <row r="21" customFormat="false" ht="15" hidden="false" customHeight="false" outlineLevel="0" collapsed="false">
      <c r="A21" s="273" t="s">
        <v>2318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4" t="s">
        <v>2319</v>
      </c>
      <c r="O21" s="275" t="n">
        <f aca="false">ASOF-WEEKDAY(ASOF,3)</f>
        <v>46328</v>
      </c>
      <c r="P21" s="275" t="n">
        <f aca="false">O21+7</f>
        <v>46335</v>
      </c>
      <c r="Q21" s="275" t="n">
        <f aca="false">P21+7</f>
        <v>46342</v>
      </c>
      <c r="R21" s="275" t="n">
        <f aca="false">Q21+7</f>
        <v>46349</v>
      </c>
      <c r="S21" s="275" t="n">
        <f aca="false">R21+7</f>
        <v>46356</v>
      </c>
      <c r="T21" s="275" t="n">
        <f aca="false">S21+7</f>
        <v>46363</v>
      </c>
      <c r="U21" s="275" t="n">
        <f aca="false">T21+7</f>
        <v>46370</v>
      </c>
      <c r="V21" s="275" t="n">
        <f aca="false">U21+7</f>
        <v>46377</v>
      </c>
      <c r="W21" s="275" t="n">
        <f aca="false">V21+7</f>
        <v>46384</v>
      </c>
      <c r="X21" s="275" t="n">
        <f aca="false">W21+7</f>
        <v>46391</v>
      </c>
      <c r="Y21" s="275" t="n">
        <f aca="false">X21+7</f>
        <v>46398</v>
      </c>
      <c r="Z21" s="275" t="n">
        <f aca="false">Y21+7</f>
        <v>46405</v>
      </c>
      <c r="AA21" s="275" t="n">
        <f aca="false">Z21+7</f>
        <v>46412</v>
      </c>
      <c r="AB21" s="275" t="n">
        <f aca="false">AA21+7</f>
        <v>46419</v>
      </c>
      <c r="AC21" s="275" t="n">
        <f aca="false">AB21+7</f>
        <v>46426</v>
      </c>
      <c r="AD21" s="275" t="n">
        <f aca="false">AC21+7</f>
        <v>46433</v>
      </c>
      <c r="AE21" s="275" t="n">
        <f aca="false">AD21+7</f>
        <v>46440</v>
      </c>
      <c r="AF21" s="275" t="n">
        <f aca="false">AE21+7</f>
        <v>46447</v>
      </c>
      <c r="AG21" s="275" t="n">
        <f aca="false">AF21+7</f>
        <v>46454</v>
      </c>
      <c r="AH21" s="275" t="n">
        <f aca="false">AG21+7</f>
        <v>46461</v>
      </c>
      <c r="AI21" s="275" t="n">
        <f aca="false">AH21+7</f>
        <v>46468</v>
      </c>
      <c r="AJ21" s="275" t="n">
        <f aca="false">AI21+7</f>
        <v>46475</v>
      </c>
      <c r="AK21" s="275" t="n">
        <f aca="false">AJ21+7</f>
        <v>46482</v>
      </c>
      <c r="AL21" s="275" t="n">
        <f aca="false">AK21+7</f>
        <v>46489</v>
      </c>
      <c r="AM21" s="275" t="n">
        <f aca="false">AL21+7</f>
        <v>46496</v>
      </c>
      <c r="AN21" s="275" t="n">
        <f aca="false">AM21+7</f>
        <v>46503</v>
      </c>
      <c r="AO21" s="275" t="n">
        <f aca="false">AN21+7</f>
        <v>46510</v>
      </c>
      <c r="AP21" s="275" t="n">
        <f aca="false">AO21+7</f>
        <v>46517</v>
      </c>
      <c r="AQ21" s="275" t="n">
        <f aca="false">AP21+7</f>
        <v>46524</v>
      </c>
      <c r="AR21" s="275" t="n">
        <f aca="false">AQ21+7</f>
        <v>46531</v>
      </c>
    </row>
    <row r="22" customFormat="false" ht="15" hidden="false" customHeight="false" outlineLevel="0" collapsed="false">
      <c r="A22" s="233" t="s">
        <v>2320</v>
      </c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76" t="n">
        <f aca="false">MAX(O22:AR22)</f>
        <v>406.6</v>
      </c>
      <c r="O22" s="277" t="n">
        <f aca="false">IF(NETWORKDAYS(O$21,O$21+6,HOLIDAYS)=0,0,ROUND(SUM(O$73:O$312)/NETWORKDAYS(O$21,O$21+6,HOLIDAYS),1))</f>
        <v>162.4</v>
      </c>
      <c r="P22" s="277" t="n">
        <f aca="false">IF(NETWORKDAYS(P$21,P$21+6,HOLIDAYS)=0,0,ROUND(SUM(P$73:P$312)/NETWORKDAYS(P$21,P$21+6,HOLIDAYS),1))</f>
        <v>126.2</v>
      </c>
      <c r="Q22" s="277" t="n">
        <f aca="false">IF(NETWORKDAYS(Q$21,Q$21+6,HOLIDAYS)=0,0,ROUND(SUM(Q$73:Q$312)/NETWORKDAYS(Q$21,Q$21+6,HOLIDAYS),1))</f>
        <v>406.6</v>
      </c>
      <c r="R22" s="277" t="n">
        <f aca="false">IF(NETWORKDAYS(R$21,R$21+6,HOLIDAYS)=0,0,ROUND(SUM(R$73:R$312)/NETWORKDAYS(R$21,R$21+6,HOLIDAYS),1))</f>
        <v>0</v>
      </c>
      <c r="S22" s="277" t="n">
        <f aca="false">IF(NETWORKDAYS(S$21,S$21+6,HOLIDAYS)=0,0,ROUND(SUM(S$73:S$312)/NETWORKDAYS(S$21,S$21+6,HOLIDAYS),1))</f>
        <v>69.9</v>
      </c>
      <c r="T22" s="277" t="n">
        <f aca="false">IF(NETWORKDAYS(T$21,T$21+6,HOLIDAYS)=0,0,ROUND(SUM(T$73:T$312)/NETWORKDAYS(T$21,T$21+6,HOLIDAYS),1))</f>
        <v>0</v>
      </c>
      <c r="U22" s="277" t="n">
        <f aca="false">IF(NETWORKDAYS(U$21,U$21+6,HOLIDAYS)=0,0,ROUND(SUM(U$73:U$312)/NETWORKDAYS(U$21,U$21+6,HOLIDAYS),1))</f>
        <v>0</v>
      </c>
      <c r="V22" s="277" t="n">
        <f aca="false">IF(NETWORKDAYS(V$21,V$21+6,HOLIDAYS)=0,0,ROUND(SUM(V$73:V$312)/NETWORKDAYS(V$21,V$21+6,HOLIDAYS),1))</f>
        <v>0</v>
      </c>
      <c r="W22" s="277" t="n">
        <f aca="false">IF(NETWORKDAYS(W$21,W$21+6,HOLIDAYS)=0,0,ROUND(SUM(W$73:W$312)/NETWORKDAYS(W$21,W$21+6,HOLIDAYS),1))</f>
        <v>0</v>
      </c>
      <c r="X22" s="277" t="n">
        <f aca="false">IF(NETWORKDAYS(X$21,X$21+6,HOLIDAYS)=0,0,ROUND(SUM(X$73:X$312)/NETWORKDAYS(X$21,X$21+6,HOLIDAYS),1))</f>
        <v>0</v>
      </c>
      <c r="Y22" s="277" t="n">
        <f aca="false">IF(NETWORKDAYS(Y$21,Y$21+6,HOLIDAYS)=0,0,ROUND(SUM(Y$73:Y$312)/NETWORKDAYS(Y$21,Y$21+6,HOLIDAYS),1))</f>
        <v>0</v>
      </c>
      <c r="Z22" s="277" t="n">
        <f aca="false">IF(NETWORKDAYS(Z$21,Z$21+6,HOLIDAYS)=0,0,ROUND(SUM(Z$73:Z$312)/NETWORKDAYS(Z$21,Z$21+6,HOLIDAYS),1))</f>
        <v>0</v>
      </c>
      <c r="AA22" s="277" t="n">
        <f aca="false">IF(NETWORKDAYS(AA$21,AA$21+6,HOLIDAYS)=0,0,ROUND(SUM(AA$73:AA$312)/NETWORKDAYS(AA$21,AA$21+6,HOLIDAYS),1))</f>
        <v>0</v>
      </c>
      <c r="AB22" s="277" t="n">
        <f aca="false">IF(NETWORKDAYS(AB$21,AB$21+6,HOLIDAYS)=0,0,ROUND(SUM(AB$73:AB$312)/NETWORKDAYS(AB$21,AB$21+6,HOLIDAYS),1))</f>
        <v>0</v>
      </c>
      <c r="AC22" s="277" t="n">
        <f aca="false">IF(NETWORKDAYS(AC$21,AC$21+6,HOLIDAYS)=0,0,ROUND(SUM(AC$73:AC$312)/NETWORKDAYS(AC$21,AC$21+6,HOLIDAYS),1))</f>
        <v>0</v>
      </c>
      <c r="AD22" s="277" t="n">
        <f aca="false">IF(NETWORKDAYS(AD$21,AD$21+6,HOLIDAYS)=0,0,ROUND(SUM(AD$73:AD$312)/NETWORKDAYS(AD$21,AD$21+6,HOLIDAYS),1))</f>
        <v>0</v>
      </c>
      <c r="AE22" s="277" t="n">
        <f aca="false">IF(NETWORKDAYS(AE$21,AE$21+6,HOLIDAYS)=0,0,ROUND(SUM(AE$73:AE$312)/NETWORKDAYS(AE$21,AE$21+6,HOLIDAYS),1))</f>
        <v>0</v>
      </c>
      <c r="AF22" s="277" t="n">
        <f aca="false">IF(NETWORKDAYS(AF$21,AF$21+6,HOLIDAYS)=0,0,ROUND(SUM(AF$73:AF$312)/NETWORKDAYS(AF$21,AF$21+6,HOLIDAYS),1))</f>
        <v>0</v>
      </c>
      <c r="AG22" s="277" t="n">
        <f aca="false">IF(NETWORKDAYS(AG$21,AG$21+6,HOLIDAYS)=0,0,ROUND(SUM(AG$73:AG$312)/NETWORKDAYS(AG$21,AG$21+6,HOLIDAYS),1))</f>
        <v>0</v>
      </c>
      <c r="AH22" s="277" t="n">
        <f aca="false">IF(NETWORKDAYS(AH$21,AH$21+6,HOLIDAYS)=0,0,ROUND(SUM(AH$73:AH$312)/NETWORKDAYS(AH$21,AH$21+6,HOLIDAYS),1))</f>
        <v>0</v>
      </c>
      <c r="AI22" s="277" t="n">
        <f aca="false">IF(NETWORKDAYS(AI$21,AI$21+6,HOLIDAYS)=0,0,ROUND(SUM(AI$73:AI$312)/NETWORKDAYS(AI$21,AI$21+6,HOLIDAYS),1))</f>
        <v>0</v>
      </c>
      <c r="AJ22" s="277" t="n">
        <f aca="false">IF(NETWORKDAYS(AJ$21,AJ$21+6,HOLIDAYS)=0,0,ROUND(SUM(AJ$73:AJ$312)/NETWORKDAYS(AJ$21,AJ$21+6,HOLIDAYS),1))</f>
        <v>0</v>
      </c>
      <c r="AK22" s="277" t="n">
        <f aca="false">IF(NETWORKDAYS(AK$21,AK$21+6,HOLIDAYS)=0,0,ROUND(SUM(AK$73:AK$312)/NETWORKDAYS(AK$21,AK$21+6,HOLIDAYS),1))</f>
        <v>0</v>
      </c>
      <c r="AL22" s="277" t="n">
        <f aca="false">IF(NETWORKDAYS(AL$21,AL$21+6,HOLIDAYS)=0,0,ROUND(SUM(AL$73:AL$312)/NETWORKDAYS(AL$21,AL$21+6,HOLIDAYS),1))</f>
        <v>0</v>
      </c>
      <c r="AM22" s="277" t="n">
        <f aca="false">IF(NETWORKDAYS(AM$21,AM$21+6,HOLIDAYS)=0,0,ROUND(SUM(AM$73:AM$312)/NETWORKDAYS(AM$21,AM$21+6,HOLIDAYS),1))</f>
        <v>0</v>
      </c>
      <c r="AN22" s="277" t="n">
        <f aca="false">IF(NETWORKDAYS(AN$21,AN$21+6,HOLIDAYS)=0,0,ROUND(SUM(AN$73:AN$312)/NETWORKDAYS(AN$21,AN$21+6,HOLIDAYS),1))</f>
        <v>0</v>
      </c>
      <c r="AO22" s="277" t="n">
        <f aca="false">IF(NETWORKDAYS(AO$21,AO$21+6,HOLIDAYS)=0,0,ROUND(SUM(AO$73:AO$312)/NETWORKDAYS(AO$21,AO$21+6,HOLIDAYS),1))</f>
        <v>0</v>
      </c>
      <c r="AP22" s="277" t="n">
        <f aca="false">IF(NETWORKDAYS(AP$21,AP$21+6,HOLIDAYS)=0,0,ROUND(SUM(AP$73:AP$312)/NETWORKDAYS(AP$21,AP$21+6,HOLIDAYS),1))</f>
        <v>0</v>
      </c>
      <c r="AQ22" s="277" t="n">
        <f aca="false">IF(NETWORKDAYS(AQ$21,AQ$21+6,HOLIDAYS)=0,0,ROUND(SUM(AQ$73:AQ$312)/NETWORKDAYS(AQ$21,AQ$21+6,HOLIDAYS),1))</f>
        <v>0</v>
      </c>
      <c r="AR22" s="277" t="n">
        <f aca="false">IF(NETWORKDAYS(AR$21,AR$21+6,HOLIDAYS)=0,0,ROUND(SUM(AR$73:AR$312)/NETWORKDAYS(AR$21,AR$21+6,HOLIDAYS),1))</f>
        <v>0</v>
      </c>
    </row>
    <row r="23" customFormat="false" ht="15" hidden="false" customHeight="false" outlineLevel="0" collapsed="false">
      <c r="A23" s="246" t="s">
        <v>2321</v>
      </c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76" t="n">
        <f aca="false">MAX(O23:AR23)</f>
        <v>19.9</v>
      </c>
      <c r="O23" s="278" t="n">
        <f aca="false">IF(NETWORKDAYS(O$21,O$21+6,HOLIDAYS)=0,0,ROUND(SUMIF($B$73:$B$312,"01",O$73:O$312)/NETWORKDAYS(O$21,O$21+6,HOLIDAYS),1))</f>
        <v>3.8</v>
      </c>
      <c r="P23" s="278" t="n">
        <f aca="false">IF(NETWORKDAYS(P$21,P$21+6,HOLIDAYS)=0,0,ROUND(SUMIF($B$73:$B$312,"01",P$73:P$312)/NETWORKDAYS(P$21,P$21+6,HOLIDAYS),1))</f>
        <v>3.8</v>
      </c>
      <c r="Q23" s="278" t="n">
        <f aca="false">IF(NETWORKDAYS(Q$21,Q$21+6,HOLIDAYS)=0,0,ROUND(SUMIF($B$73:$B$312,"01",Q$73:Q$312)/NETWORKDAYS(Q$21,Q$21+6,HOLIDAYS),1))</f>
        <v>19.9</v>
      </c>
      <c r="R23" s="278" t="n">
        <f aca="false">IF(NETWORKDAYS(R$21,R$21+6,HOLIDAYS)=0,0,ROUND(SUMIF($B$73:$B$312,"01",R$73:R$312)/NETWORKDAYS(R$21,R$21+6,HOLIDAYS),1))</f>
        <v>0</v>
      </c>
      <c r="S23" s="278" t="n">
        <f aca="false">IF(NETWORKDAYS(S$21,S$21+6,HOLIDAYS)=0,0,ROUND(SUMIF($B$73:$B$312,"01",S$73:S$312)/NETWORKDAYS(S$21,S$21+6,HOLIDAYS),1))</f>
        <v>3.1</v>
      </c>
      <c r="T23" s="278" t="n">
        <f aca="false">IF(NETWORKDAYS(T$21,T$21+6,HOLIDAYS)=0,0,ROUND(SUMIF($B$73:$B$312,"01",T$73:T$312)/NETWORKDAYS(T$21,T$21+6,HOLIDAYS),1))</f>
        <v>0</v>
      </c>
      <c r="U23" s="278" t="n">
        <f aca="false">IF(NETWORKDAYS(U$21,U$21+6,HOLIDAYS)=0,0,ROUND(SUMIF($B$73:$B$312,"01",U$73:U$312)/NETWORKDAYS(U$21,U$21+6,HOLIDAYS),1))</f>
        <v>0</v>
      </c>
      <c r="V23" s="278" t="n">
        <f aca="false">IF(NETWORKDAYS(V$21,V$21+6,HOLIDAYS)=0,0,ROUND(SUMIF($B$73:$B$312,"01",V$73:V$312)/NETWORKDAYS(V$21,V$21+6,HOLIDAYS),1))</f>
        <v>0</v>
      </c>
      <c r="W23" s="278" t="n">
        <f aca="false">IF(NETWORKDAYS(W$21,W$21+6,HOLIDAYS)=0,0,ROUND(SUMIF($B$73:$B$312,"01",W$73:W$312)/NETWORKDAYS(W$21,W$21+6,HOLIDAYS),1))</f>
        <v>0</v>
      </c>
      <c r="X23" s="278" t="n">
        <f aca="false">IF(NETWORKDAYS(X$21,X$21+6,HOLIDAYS)=0,0,ROUND(SUMIF($B$73:$B$312,"01",X$73:X$312)/NETWORKDAYS(X$21,X$21+6,HOLIDAYS),1))</f>
        <v>0</v>
      </c>
      <c r="Y23" s="278" t="n">
        <f aca="false">IF(NETWORKDAYS(Y$21,Y$21+6,HOLIDAYS)=0,0,ROUND(SUMIF($B$73:$B$312,"01",Y$73:Y$312)/NETWORKDAYS(Y$21,Y$21+6,HOLIDAYS),1))</f>
        <v>0</v>
      </c>
      <c r="Z23" s="278" t="n">
        <f aca="false">IF(NETWORKDAYS(Z$21,Z$21+6,HOLIDAYS)=0,0,ROUND(SUMIF($B$73:$B$312,"01",Z$73:Z$312)/NETWORKDAYS(Z$21,Z$21+6,HOLIDAYS),1))</f>
        <v>0</v>
      </c>
      <c r="AA23" s="278" t="n">
        <f aca="false">IF(NETWORKDAYS(AA$21,AA$21+6,HOLIDAYS)=0,0,ROUND(SUMIF($B$73:$B$312,"01",AA$73:AA$312)/NETWORKDAYS(AA$21,AA$21+6,HOLIDAYS),1))</f>
        <v>0</v>
      </c>
      <c r="AB23" s="278" t="n">
        <f aca="false">IF(NETWORKDAYS(AB$21,AB$21+6,HOLIDAYS)=0,0,ROUND(SUMIF($B$73:$B$312,"01",AB$73:AB$312)/NETWORKDAYS(AB$21,AB$21+6,HOLIDAYS),1))</f>
        <v>0</v>
      </c>
      <c r="AC23" s="278" t="n">
        <f aca="false">IF(NETWORKDAYS(AC$21,AC$21+6,HOLIDAYS)=0,0,ROUND(SUMIF($B$73:$B$312,"01",AC$73:AC$312)/NETWORKDAYS(AC$21,AC$21+6,HOLIDAYS),1))</f>
        <v>0</v>
      </c>
      <c r="AD23" s="278" t="n">
        <f aca="false">IF(NETWORKDAYS(AD$21,AD$21+6,HOLIDAYS)=0,0,ROUND(SUMIF($B$73:$B$312,"01",AD$73:AD$312)/NETWORKDAYS(AD$21,AD$21+6,HOLIDAYS),1))</f>
        <v>0</v>
      </c>
      <c r="AE23" s="278" t="n">
        <f aca="false">IF(NETWORKDAYS(AE$21,AE$21+6,HOLIDAYS)=0,0,ROUND(SUMIF($B$73:$B$312,"01",AE$73:AE$312)/NETWORKDAYS(AE$21,AE$21+6,HOLIDAYS),1))</f>
        <v>0</v>
      </c>
      <c r="AF23" s="278" t="n">
        <f aca="false">IF(NETWORKDAYS(AF$21,AF$21+6,HOLIDAYS)=0,0,ROUND(SUMIF($B$73:$B$312,"01",AF$73:AF$312)/NETWORKDAYS(AF$21,AF$21+6,HOLIDAYS),1))</f>
        <v>0</v>
      </c>
      <c r="AG23" s="278" t="n">
        <f aca="false">IF(NETWORKDAYS(AG$21,AG$21+6,HOLIDAYS)=0,0,ROUND(SUMIF($B$73:$B$312,"01",AG$73:AG$312)/NETWORKDAYS(AG$21,AG$21+6,HOLIDAYS),1))</f>
        <v>0</v>
      </c>
      <c r="AH23" s="278" t="n">
        <f aca="false">IF(NETWORKDAYS(AH$21,AH$21+6,HOLIDAYS)=0,0,ROUND(SUMIF($B$73:$B$312,"01",AH$73:AH$312)/NETWORKDAYS(AH$21,AH$21+6,HOLIDAYS),1))</f>
        <v>0</v>
      </c>
      <c r="AI23" s="278" t="n">
        <f aca="false">IF(NETWORKDAYS(AI$21,AI$21+6,HOLIDAYS)=0,0,ROUND(SUMIF($B$73:$B$312,"01",AI$73:AI$312)/NETWORKDAYS(AI$21,AI$21+6,HOLIDAYS),1))</f>
        <v>0</v>
      </c>
      <c r="AJ23" s="278" t="n">
        <f aca="false">IF(NETWORKDAYS(AJ$21,AJ$21+6,HOLIDAYS)=0,0,ROUND(SUMIF($B$73:$B$312,"01",AJ$73:AJ$312)/NETWORKDAYS(AJ$21,AJ$21+6,HOLIDAYS),1))</f>
        <v>0</v>
      </c>
      <c r="AK23" s="278" t="n">
        <f aca="false">IF(NETWORKDAYS(AK$21,AK$21+6,HOLIDAYS)=0,0,ROUND(SUMIF($B$73:$B$312,"01",AK$73:AK$312)/NETWORKDAYS(AK$21,AK$21+6,HOLIDAYS),1))</f>
        <v>0</v>
      </c>
      <c r="AL23" s="278" t="n">
        <f aca="false">IF(NETWORKDAYS(AL$21,AL$21+6,HOLIDAYS)=0,0,ROUND(SUMIF($B$73:$B$312,"01",AL$73:AL$312)/NETWORKDAYS(AL$21,AL$21+6,HOLIDAYS),1))</f>
        <v>0</v>
      </c>
      <c r="AM23" s="278" t="n">
        <f aca="false">IF(NETWORKDAYS(AM$21,AM$21+6,HOLIDAYS)=0,0,ROUND(SUMIF($B$73:$B$312,"01",AM$73:AM$312)/NETWORKDAYS(AM$21,AM$21+6,HOLIDAYS),1))</f>
        <v>0</v>
      </c>
      <c r="AN23" s="278" t="n">
        <f aca="false">IF(NETWORKDAYS(AN$21,AN$21+6,HOLIDAYS)=0,0,ROUND(SUMIF($B$73:$B$312,"01",AN$73:AN$312)/NETWORKDAYS(AN$21,AN$21+6,HOLIDAYS),1))</f>
        <v>0</v>
      </c>
      <c r="AO23" s="278" t="n">
        <f aca="false">IF(NETWORKDAYS(AO$21,AO$21+6,HOLIDAYS)=0,0,ROUND(SUMIF($B$73:$B$312,"01",AO$73:AO$312)/NETWORKDAYS(AO$21,AO$21+6,HOLIDAYS),1))</f>
        <v>0</v>
      </c>
      <c r="AP23" s="278" t="n">
        <f aca="false">IF(NETWORKDAYS(AP$21,AP$21+6,HOLIDAYS)=0,0,ROUND(SUMIF($B$73:$B$312,"01",AP$73:AP$312)/NETWORKDAYS(AP$21,AP$21+6,HOLIDAYS),1))</f>
        <v>0</v>
      </c>
      <c r="AQ23" s="278" t="n">
        <f aca="false">IF(NETWORKDAYS(AQ$21,AQ$21+6,HOLIDAYS)=0,0,ROUND(SUMIF($B$73:$B$312,"01",AQ$73:AQ$312)/NETWORKDAYS(AQ$21,AQ$21+6,HOLIDAYS),1))</f>
        <v>0</v>
      </c>
      <c r="AR23" s="278" t="n">
        <f aca="false">IF(NETWORKDAYS(AR$21,AR$21+6,HOLIDAYS)=0,0,ROUND(SUMIF($B$73:$B$312,"01",AR$73:AR$312)/NETWORKDAYS(AR$21,AR$21+6,HOLIDAYS),1))</f>
        <v>0</v>
      </c>
    </row>
    <row r="24" customFormat="false" ht="15" hidden="false" customHeight="false" outlineLevel="0" collapsed="false">
      <c r="A24" s="246" t="s">
        <v>2322</v>
      </c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76" t="n">
        <f aca="false">MAX(O24:AR24)</f>
        <v>22.6</v>
      </c>
      <c r="O24" s="278" t="n">
        <f aca="false">IF(NETWORKDAYS(O$21,O$21+6,HOLIDAYS)=0,0,ROUND(SUMIF($B$73:$B$312,"02",O$73:O$312)/NETWORKDAYS(O$21,O$21+6,HOLIDAYS),1))</f>
        <v>8.3</v>
      </c>
      <c r="P24" s="278" t="n">
        <f aca="false">IF(NETWORKDAYS(P$21,P$21+6,HOLIDAYS)=0,0,ROUND(SUMIF($B$73:$B$312,"02",P$73:P$312)/NETWORKDAYS(P$21,P$21+6,HOLIDAYS),1))</f>
        <v>6.5</v>
      </c>
      <c r="Q24" s="278" t="n">
        <f aca="false">IF(NETWORKDAYS(Q$21,Q$21+6,HOLIDAYS)=0,0,ROUND(SUMIF($B$73:$B$312,"02",Q$73:Q$312)/NETWORKDAYS(Q$21,Q$21+6,HOLIDAYS),1))</f>
        <v>22.6</v>
      </c>
      <c r="R24" s="278" t="n">
        <f aca="false">IF(NETWORKDAYS(R$21,R$21+6,HOLIDAYS)=0,0,ROUND(SUMIF($B$73:$B$312,"02",R$73:R$312)/NETWORKDAYS(R$21,R$21+6,HOLIDAYS),1))</f>
        <v>0</v>
      </c>
      <c r="S24" s="278" t="n">
        <f aca="false">IF(NETWORKDAYS(S$21,S$21+6,HOLIDAYS)=0,0,ROUND(SUMIF($B$73:$B$312,"02",S$73:S$312)/NETWORKDAYS(S$21,S$21+6,HOLIDAYS),1))</f>
        <v>3.9</v>
      </c>
      <c r="T24" s="278" t="n">
        <f aca="false">IF(NETWORKDAYS(T$21,T$21+6,HOLIDAYS)=0,0,ROUND(SUMIF($B$73:$B$312,"02",T$73:T$312)/NETWORKDAYS(T$21,T$21+6,HOLIDAYS),1))</f>
        <v>0</v>
      </c>
      <c r="U24" s="278" t="n">
        <f aca="false">IF(NETWORKDAYS(U$21,U$21+6,HOLIDAYS)=0,0,ROUND(SUMIF($B$73:$B$312,"02",U$73:U$312)/NETWORKDAYS(U$21,U$21+6,HOLIDAYS),1))</f>
        <v>0</v>
      </c>
      <c r="V24" s="278" t="n">
        <f aca="false">IF(NETWORKDAYS(V$21,V$21+6,HOLIDAYS)=0,0,ROUND(SUMIF($B$73:$B$312,"02",V$73:V$312)/NETWORKDAYS(V$21,V$21+6,HOLIDAYS),1))</f>
        <v>0</v>
      </c>
      <c r="W24" s="278" t="n">
        <f aca="false">IF(NETWORKDAYS(W$21,W$21+6,HOLIDAYS)=0,0,ROUND(SUMIF($B$73:$B$312,"02",W$73:W$312)/NETWORKDAYS(W$21,W$21+6,HOLIDAYS),1))</f>
        <v>0</v>
      </c>
      <c r="X24" s="278" t="n">
        <f aca="false">IF(NETWORKDAYS(X$21,X$21+6,HOLIDAYS)=0,0,ROUND(SUMIF($B$73:$B$312,"02",X$73:X$312)/NETWORKDAYS(X$21,X$21+6,HOLIDAYS),1))</f>
        <v>0</v>
      </c>
      <c r="Y24" s="278" t="n">
        <f aca="false">IF(NETWORKDAYS(Y$21,Y$21+6,HOLIDAYS)=0,0,ROUND(SUMIF($B$73:$B$312,"02",Y$73:Y$312)/NETWORKDAYS(Y$21,Y$21+6,HOLIDAYS),1))</f>
        <v>0</v>
      </c>
      <c r="Z24" s="278" t="n">
        <f aca="false">IF(NETWORKDAYS(Z$21,Z$21+6,HOLIDAYS)=0,0,ROUND(SUMIF($B$73:$B$312,"02",Z$73:Z$312)/NETWORKDAYS(Z$21,Z$21+6,HOLIDAYS),1))</f>
        <v>0</v>
      </c>
      <c r="AA24" s="278" t="n">
        <f aca="false">IF(NETWORKDAYS(AA$21,AA$21+6,HOLIDAYS)=0,0,ROUND(SUMIF($B$73:$B$312,"02",AA$73:AA$312)/NETWORKDAYS(AA$21,AA$21+6,HOLIDAYS),1))</f>
        <v>0</v>
      </c>
      <c r="AB24" s="278" t="n">
        <f aca="false">IF(NETWORKDAYS(AB$21,AB$21+6,HOLIDAYS)=0,0,ROUND(SUMIF($B$73:$B$312,"02",AB$73:AB$312)/NETWORKDAYS(AB$21,AB$21+6,HOLIDAYS),1))</f>
        <v>0</v>
      </c>
      <c r="AC24" s="278" t="n">
        <f aca="false">IF(NETWORKDAYS(AC$21,AC$21+6,HOLIDAYS)=0,0,ROUND(SUMIF($B$73:$B$312,"02",AC$73:AC$312)/NETWORKDAYS(AC$21,AC$21+6,HOLIDAYS),1))</f>
        <v>0</v>
      </c>
      <c r="AD24" s="278" t="n">
        <f aca="false">IF(NETWORKDAYS(AD$21,AD$21+6,HOLIDAYS)=0,0,ROUND(SUMIF($B$73:$B$312,"02",AD$73:AD$312)/NETWORKDAYS(AD$21,AD$21+6,HOLIDAYS),1))</f>
        <v>0</v>
      </c>
      <c r="AE24" s="278" t="n">
        <f aca="false">IF(NETWORKDAYS(AE$21,AE$21+6,HOLIDAYS)=0,0,ROUND(SUMIF($B$73:$B$312,"02",AE$73:AE$312)/NETWORKDAYS(AE$21,AE$21+6,HOLIDAYS),1))</f>
        <v>0</v>
      </c>
      <c r="AF24" s="278" t="n">
        <f aca="false">IF(NETWORKDAYS(AF$21,AF$21+6,HOLIDAYS)=0,0,ROUND(SUMIF($B$73:$B$312,"02",AF$73:AF$312)/NETWORKDAYS(AF$21,AF$21+6,HOLIDAYS),1))</f>
        <v>0</v>
      </c>
      <c r="AG24" s="278" t="n">
        <f aca="false">IF(NETWORKDAYS(AG$21,AG$21+6,HOLIDAYS)=0,0,ROUND(SUMIF($B$73:$B$312,"02",AG$73:AG$312)/NETWORKDAYS(AG$21,AG$21+6,HOLIDAYS),1))</f>
        <v>0</v>
      </c>
      <c r="AH24" s="278" t="n">
        <f aca="false">IF(NETWORKDAYS(AH$21,AH$21+6,HOLIDAYS)=0,0,ROUND(SUMIF($B$73:$B$312,"02",AH$73:AH$312)/NETWORKDAYS(AH$21,AH$21+6,HOLIDAYS),1))</f>
        <v>0</v>
      </c>
      <c r="AI24" s="278" t="n">
        <f aca="false">IF(NETWORKDAYS(AI$21,AI$21+6,HOLIDAYS)=0,0,ROUND(SUMIF($B$73:$B$312,"02",AI$73:AI$312)/NETWORKDAYS(AI$21,AI$21+6,HOLIDAYS),1))</f>
        <v>0</v>
      </c>
      <c r="AJ24" s="278" t="n">
        <f aca="false">IF(NETWORKDAYS(AJ$21,AJ$21+6,HOLIDAYS)=0,0,ROUND(SUMIF($B$73:$B$312,"02",AJ$73:AJ$312)/NETWORKDAYS(AJ$21,AJ$21+6,HOLIDAYS),1))</f>
        <v>0</v>
      </c>
      <c r="AK24" s="278" t="n">
        <f aca="false">IF(NETWORKDAYS(AK$21,AK$21+6,HOLIDAYS)=0,0,ROUND(SUMIF($B$73:$B$312,"02",AK$73:AK$312)/NETWORKDAYS(AK$21,AK$21+6,HOLIDAYS),1))</f>
        <v>0</v>
      </c>
      <c r="AL24" s="278" t="n">
        <f aca="false">IF(NETWORKDAYS(AL$21,AL$21+6,HOLIDAYS)=0,0,ROUND(SUMIF($B$73:$B$312,"02",AL$73:AL$312)/NETWORKDAYS(AL$21,AL$21+6,HOLIDAYS),1))</f>
        <v>0</v>
      </c>
      <c r="AM24" s="278" t="n">
        <f aca="false">IF(NETWORKDAYS(AM$21,AM$21+6,HOLIDAYS)=0,0,ROUND(SUMIF($B$73:$B$312,"02",AM$73:AM$312)/NETWORKDAYS(AM$21,AM$21+6,HOLIDAYS),1))</f>
        <v>0</v>
      </c>
      <c r="AN24" s="278" t="n">
        <f aca="false">IF(NETWORKDAYS(AN$21,AN$21+6,HOLIDAYS)=0,0,ROUND(SUMIF($B$73:$B$312,"02",AN$73:AN$312)/NETWORKDAYS(AN$21,AN$21+6,HOLIDAYS),1))</f>
        <v>0</v>
      </c>
      <c r="AO24" s="278" t="n">
        <f aca="false">IF(NETWORKDAYS(AO$21,AO$21+6,HOLIDAYS)=0,0,ROUND(SUMIF($B$73:$B$312,"02",AO$73:AO$312)/NETWORKDAYS(AO$21,AO$21+6,HOLIDAYS),1))</f>
        <v>0</v>
      </c>
      <c r="AP24" s="278" t="n">
        <f aca="false">IF(NETWORKDAYS(AP$21,AP$21+6,HOLIDAYS)=0,0,ROUND(SUMIF($B$73:$B$312,"02",AP$73:AP$312)/NETWORKDAYS(AP$21,AP$21+6,HOLIDAYS),1))</f>
        <v>0</v>
      </c>
      <c r="AQ24" s="278" t="n">
        <f aca="false">IF(NETWORKDAYS(AQ$21,AQ$21+6,HOLIDAYS)=0,0,ROUND(SUMIF($B$73:$B$312,"02",AQ$73:AQ$312)/NETWORKDAYS(AQ$21,AQ$21+6,HOLIDAYS),1))</f>
        <v>0</v>
      </c>
      <c r="AR24" s="278" t="n">
        <f aca="false">IF(NETWORKDAYS(AR$21,AR$21+6,HOLIDAYS)=0,0,ROUND(SUMIF($B$73:$B$312,"02",AR$73:AR$312)/NETWORKDAYS(AR$21,AR$21+6,HOLIDAYS),1))</f>
        <v>0</v>
      </c>
    </row>
    <row r="25" customFormat="false" ht="15" hidden="false" customHeight="false" outlineLevel="0" collapsed="false">
      <c r="A25" s="246" t="s">
        <v>2323</v>
      </c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76" t="n">
        <f aca="false">MAX(O25:AR25)</f>
        <v>18.1</v>
      </c>
      <c r="O25" s="278" t="n">
        <f aca="false">IF(NETWORKDAYS(O$21,O$21+6,HOLIDAYS)=0,0,ROUND(SUMIF($B$73:$B$312,"03",O$73:O$312)/NETWORKDAYS(O$21,O$21+6,HOLIDAYS),1))</f>
        <v>3.8</v>
      </c>
      <c r="P25" s="278" t="n">
        <f aca="false">IF(NETWORKDAYS(P$21,P$21+6,HOLIDAYS)=0,0,ROUND(SUMIF($B$73:$B$312,"03",P$73:P$312)/NETWORKDAYS(P$21,P$21+6,HOLIDAYS),1))</f>
        <v>3.8</v>
      </c>
      <c r="Q25" s="278" t="n">
        <f aca="false">IF(NETWORKDAYS(Q$21,Q$21+6,HOLIDAYS)=0,0,ROUND(SUMIF($B$73:$B$312,"03",Q$73:Q$312)/NETWORKDAYS(Q$21,Q$21+6,HOLIDAYS),1))</f>
        <v>18.1</v>
      </c>
      <c r="R25" s="278" t="n">
        <f aca="false">IF(NETWORKDAYS(R$21,R$21+6,HOLIDAYS)=0,0,ROUND(SUMIF($B$73:$B$312,"03",R$73:R$312)/NETWORKDAYS(R$21,R$21+6,HOLIDAYS),1))</f>
        <v>0</v>
      </c>
      <c r="S25" s="278" t="n">
        <f aca="false">IF(NETWORKDAYS(S$21,S$21+6,HOLIDAYS)=0,0,ROUND(SUMIF($B$73:$B$312,"03",S$73:S$312)/NETWORKDAYS(S$21,S$21+6,HOLIDAYS),1))</f>
        <v>3.1</v>
      </c>
      <c r="T25" s="278" t="n">
        <f aca="false">IF(NETWORKDAYS(T$21,T$21+6,HOLIDAYS)=0,0,ROUND(SUMIF($B$73:$B$312,"03",T$73:T$312)/NETWORKDAYS(T$21,T$21+6,HOLIDAYS),1))</f>
        <v>0</v>
      </c>
      <c r="U25" s="278" t="n">
        <f aca="false">IF(NETWORKDAYS(U$21,U$21+6,HOLIDAYS)=0,0,ROUND(SUMIF($B$73:$B$312,"03",U$73:U$312)/NETWORKDAYS(U$21,U$21+6,HOLIDAYS),1))</f>
        <v>0</v>
      </c>
      <c r="V25" s="278" t="n">
        <f aca="false">IF(NETWORKDAYS(V$21,V$21+6,HOLIDAYS)=0,0,ROUND(SUMIF($B$73:$B$312,"03",V$73:V$312)/NETWORKDAYS(V$21,V$21+6,HOLIDAYS),1))</f>
        <v>0</v>
      </c>
      <c r="W25" s="278" t="n">
        <f aca="false">IF(NETWORKDAYS(W$21,W$21+6,HOLIDAYS)=0,0,ROUND(SUMIF($B$73:$B$312,"03",W$73:W$312)/NETWORKDAYS(W$21,W$21+6,HOLIDAYS),1))</f>
        <v>0</v>
      </c>
      <c r="X25" s="278" t="n">
        <f aca="false">IF(NETWORKDAYS(X$21,X$21+6,HOLIDAYS)=0,0,ROUND(SUMIF($B$73:$B$312,"03",X$73:X$312)/NETWORKDAYS(X$21,X$21+6,HOLIDAYS),1))</f>
        <v>0</v>
      </c>
      <c r="Y25" s="278" t="n">
        <f aca="false">IF(NETWORKDAYS(Y$21,Y$21+6,HOLIDAYS)=0,0,ROUND(SUMIF($B$73:$B$312,"03",Y$73:Y$312)/NETWORKDAYS(Y$21,Y$21+6,HOLIDAYS),1))</f>
        <v>0</v>
      </c>
      <c r="Z25" s="278" t="n">
        <f aca="false">IF(NETWORKDAYS(Z$21,Z$21+6,HOLIDAYS)=0,0,ROUND(SUMIF($B$73:$B$312,"03",Z$73:Z$312)/NETWORKDAYS(Z$21,Z$21+6,HOLIDAYS),1))</f>
        <v>0</v>
      </c>
      <c r="AA25" s="278" t="n">
        <f aca="false">IF(NETWORKDAYS(AA$21,AA$21+6,HOLIDAYS)=0,0,ROUND(SUMIF($B$73:$B$312,"03",AA$73:AA$312)/NETWORKDAYS(AA$21,AA$21+6,HOLIDAYS),1))</f>
        <v>0</v>
      </c>
      <c r="AB25" s="278" t="n">
        <f aca="false">IF(NETWORKDAYS(AB$21,AB$21+6,HOLIDAYS)=0,0,ROUND(SUMIF($B$73:$B$312,"03",AB$73:AB$312)/NETWORKDAYS(AB$21,AB$21+6,HOLIDAYS),1))</f>
        <v>0</v>
      </c>
      <c r="AC25" s="278" t="n">
        <f aca="false">IF(NETWORKDAYS(AC$21,AC$21+6,HOLIDAYS)=0,0,ROUND(SUMIF($B$73:$B$312,"03",AC$73:AC$312)/NETWORKDAYS(AC$21,AC$21+6,HOLIDAYS),1))</f>
        <v>0</v>
      </c>
      <c r="AD25" s="278" t="n">
        <f aca="false">IF(NETWORKDAYS(AD$21,AD$21+6,HOLIDAYS)=0,0,ROUND(SUMIF($B$73:$B$312,"03",AD$73:AD$312)/NETWORKDAYS(AD$21,AD$21+6,HOLIDAYS),1))</f>
        <v>0</v>
      </c>
      <c r="AE25" s="278" t="n">
        <f aca="false">IF(NETWORKDAYS(AE$21,AE$21+6,HOLIDAYS)=0,0,ROUND(SUMIF($B$73:$B$312,"03",AE$73:AE$312)/NETWORKDAYS(AE$21,AE$21+6,HOLIDAYS),1))</f>
        <v>0</v>
      </c>
      <c r="AF25" s="278" t="n">
        <f aca="false">IF(NETWORKDAYS(AF$21,AF$21+6,HOLIDAYS)=0,0,ROUND(SUMIF($B$73:$B$312,"03",AF$73:AF$312)/NETWORKDAYS(AF$21,AF$21+6,HOLIDAYS),1))</f>
        <v>0</v>
      </c>
      <c r="AG25" s="278" t="n">
        <f aca="false">IF(NETWORKDAYS(AG$21,AG$21+6,HOLIDAYS)=0,0,ROUND(SUMIF($B$73:$B$312,"03",AG$73:AG$312)/NETWORKDAYS(AG$21,AG$21+6,HOLIDAYS),1))</f>
        <v>0</v>
      </c>
      <c r="AH25" s="278" t="n">
        <f aca="false">IF(NETWORKDAYS(AH$21,AH$21+6,HOLIDAYS)=0,0,ROUND(SUMIF($B$73:$B$312,"03",AH$73:AH$312)/NETWORKDAYS(AH$21,AH$21+6,HOLIDAYS),1))</f>
        <v>0</v>
      </c>
      <c r="AI25" s="278" t="n">
        <f aca="false">IF(NETWORKDAYS(AI$21,AI$21+6,HOLIDAYS)=0,0,ROUND(SUMIF($B$73:$B$312,"03",AI$73:AI$312)/NETWORKDAYS(AI$21,AI$21+6,HOLIDAYS),1))</f>
        <v>0</v>
      </c>
      <c r="AJ25" s="278" t="n">
        <f aca="false">IF(NETWORKDAYS(AJ$21,AJ$21+6,HOLIDAYS)=0,0,ROUND(SUMIF($B$73:$B$312,"03",AJ$73:AJ$312)/NETWORKDAYS(AJ$21,AJ$21+6,HOLIDAYS),1))</f>
        <v>0</v>
      </c>
      <c r="AK25" s="278" t="n">
        <f aca="false">IF(NETWORKDAYS(AK$21,AK$21+6,HOLIDAYS)=0,0,ROUND(SUMIF($B$73:$B$312,"03",AK$73:AK$312)/NETWORKDAYS(AK$21,AK$21+6,HOLIDAYS),1))</f>
        <v>0</v>
      </c>
      <c r="AL25" s="278" t="n">
        <f aca="false">IF(NETWORKDAYS(AL$21,AL$21+6,HOLIDAYS)=0,0,ROUND(SUMIF($B$73:$B$312,"03",AL$73:AL$312)/NETWORKDAYS(AL$21,AL$21+6,HOLIDAYS),1))</f>
        <v>0</v>
      </c>
      <c r="AM25" s="278" t="n">
        <f aca="false">IF(NETWORKDAYS(AM$21,AM$21+6,HOLIDAYS)=0,0,ROUND(SUMIF($B$73:$B$312,"03",AM$73:AM$312)/NETWORKDAYS(AM$21,AM$21+6,HOLIDAYS),1))</f>
        <v>0</v>
      </c>
      <c r="AN25" s="278" t="n">
        <f aca="false">IF(NETWORKDAYS(AN$21,AN$21+6,HOLIDAYS)=0,0,ROUND(SUMIF($B$73:$B$312,"03",AN$73:AN$312)/NETWORKDAYS(AN$21,AN$21+6,HOLIDAYS),1))</f>
        <v>0</v>
      </c>
      <c r="AO25" s="278" t="n">
        <f aca="false">IF(NETWORKDAYS(AO$21,AO$21+6,HOLIDAYS)=0,0,ROUND(SUMIF($B$73:$B$312,"03",AO$73:AO$312)/NETWORKDAYS(AO$21,AO$21+6,HOLIDAYS),1))</f>
        <v>0</v>
      </c>
      <c r="AP25" s="278" t="n">
        <f aca="false">IF(NETWORKDAYS(AP$21,AP$21+6,HOLIDAYS)=0,0,ROUND(SUMIF($B$73:$B$312,"03",AP$73:AP$312)/NETWORKDAYS(AP$21,AP$21+6,HOLIDAYS),1))</f>
        <v>0</v>
      </c>
      <c r="AQ25" s="278" t="n">
        <f aca="false">IF(NETWORKDAYS(AQ$21,AQ$21+6,HOLIDAYS)=0,0,ROUND(SUMIF($B$73:$B$312,"03",AQ$73:AQ$312)/NETWORKDAYS(AQ$21,AQ$21+6,HOLIDAYS),1))</f>
        <v>0</v>
      </c>
      <c r="AR25" s="278" t="n">
        <f aca="false">IF(NETWORKDAYS(AR$21,AR$21+6,HOLIDAYS)=0,0,ROUND(SUMIF($B$73:$B$312,"03",AR$73:AR$312)/NETWORKDAYS(AR$21,AR$21+6,HOLIDAYS),1))</f>
        <v>0</v>
      </c>
    </row>
    <row r="26" customFormat="false" ht="15" hidden="false" customHeight="false" outlineLevel="0" collapsed="false">
      <c r="A26" s="246" t="s">
        <v>2324</v>
      </c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76" t="n">
        <f aca="false">MAX(O26:AR26)</f>
        <v>20.8</v>
      </c>
      <c r="O26" s="278" t="n">
        <f aca="false">IF(NETWORKDAYS(O$21,O$21+6,HOLIDAYS)=0,0,ROUND(SUMIF($B$73:$B$312,"04",O$73:O$312)/NETWORKDAYS(O$21,O$21+6,HOLIDAYS),1))</f>
        <v>8.3</v>
      </c>
      <c r="P26" s="278" t="n">
        <f aca="false">IF(NETWORKDAYS(P$21,P$21+6,HOLIDAYS)=0,0,ROUND(SUMIF($B$73:$B$312,"04",P$73:P$312)/NETWORKDAYS(P$21,P$21+6,HOLIDAYS),1))</f>
        <v>6.5</v>
      </c>
      <c r="Q26" s="278" t="n">
        <f aca="false">IF(NETWORKDAYS(Q$21,Q$21+6,HOLIDAYS)=0,0,ROUND(SUMIF($B$73:$B$312,"04",Q$73:Q$312)/NETWORKDAYS(Q$21,Q$21+6,HOLIDAYS),1))</f>
        <v>20.8</v>
      </c>
      <c r="R26" s="278" t="n">
        <f aca="false">IF(NETWORKDAYS(R$21,R$21+6,HOLIDAYS)=0,0,ROUND(SUMIF($B$73:$B$312,"04",R$73:R$312)/NETWORKDAYS(R$21,R$21+6,HOLIDAYS),1))</f>
        <v>0</v>
      </c>
      <c r="S26" s="278" t="n">
        <f aca="false">IF(NETWORKDAYS(S$21,S$21+6,HOLIDAYS)=0,0,ROUND(SUMIF($B$73:$B$312,"04",S$73:S$312)/NETWORKDAYS(S$21,S$21+6,HOLIDAYS),1))</f>
        <v>3.9</v>
      </c>
      <c r="T26" s="278" t="n">
        <f aca="false">IF(NETWORKDAYS(T$21,T$21+6,HOLIDAYS)=0,0,ROUND(SUMIF($B$73:$B$312,"04",T$73:T$312)/NETWORKDAYS(T$21,T$21+6,HOLIDAYS),1))</f>
        <v>0</v>
      </c>
      <c r="U26" s="278" t="n">
        <f aca="false">IF(NETWORKDAYS(U$21,U$21+6,HOLIDAYS)=0,0,ROUND(SUMIF($B$73:$B$312,"04",U$73:U$312)/NETWORKDAYS(U$21,U$21+6,HOLIDAYS),1))</f>
        <v>0</v>
      </c>
      <c r="V26" s="278" t="n">
        <f aca="false">IF(NETWORKDAYS(V$21,V$21+6,HOLIDAYS)=0,0,ROUND(SUMIF($B$73:$B$312,"04",V$73:V$312)/NETWORKDAYS(V$21,V$21+6,HOLIDAYS),1))</f>
        <v>0</v>
      </c>
      <c r="W26" s="278" t="n">
        <f aca="false">IF(NETWORKDAYS(W$21,W$21+6,HOLIDAYS)=0,0,ROUND(SUMIF($B$73:$B$312,"04",W$73:W$312)/NETWORKDAYS(W$21,W$21+6,HOLIDAYS),1))</f>
        <v>0</v>
      </c>
      <c r="X26" s="278" t="n">
        <f aca="false">IF(NETWORKDAYS(X$21,X$21+6,HOLIDAYS)=0,0,ROUND(SUMIF($B$73:$B$312,"04",X$73:X$312)/NETWORKDAYS(X$21,X$21+6,HOLIDAYS),1))</f>
        <v>0</v>
      </c>
      <c r="Y26" s="278" t="n">
        <f aca="false">IF(NETWORKDAYS(Y$21,Y$21+6,HOLIDAYS)=0,0,ROUND(SUMIF($B$73:$B$312,"04",Y$73:Y$312)/NETWORKDAYS(Y$21,Y$21+6,HOLIDAYS),1))</f>
        <v>0</v>
      </c>
      <c r="Z26" s="278" t="n">
        <f aca="false">IF(NETWORKDAYS(Z$21,Z$21+6,HOLIDAYS)=0,0,ROUND(SUMIF($B$73:$B$312,"04",Z$73:Z$312)/NETWORKDAYS(Z$21,Z$21+6,HOLIDAYS),1))</f>
        <v>0</v>
      </c>
      <c r="AA26" s="278" t="n">
        <f aca="false">IF(NETWORKDAYS(AA$21,AA$21+6,HOLIDAYS)=0,0,ROUND(SUMIF($B$73:$B$312,"04",AA$73:AA$312)/NETWORKDAYS(AA$21,AA$21+6,HOLIDAYS),1))</f>
        <v>0</v>
      </c>
      <c r="AB26" s="278" t="n">
        <f aca="false">IF(NETWORKDAYS(AB$21,AB$21+6,HOLIDAYS)=0,0,ROUND(SUMIF($B$73:$B$312,"04",AB$73:AB$312)/NETWORKDAYS(AB$21,AB$21+6,HOLIDAYS),1))</f>
        <v>0</v>
      </c>
      <c r="AC26" s="278" t="n">
        <f aca="false">IF(NETWORKDAYS(AC$21,AC$21+6,HOLIDAYS)=0,0,ROUND(SUMIF($B$73:$B$312,"04",AC$73:AC$312)/NETWORKDAYS(AC$21,AC$21+6,HOLIDAYS),1))</f>
        <v>0</v>
      </c>
      <c r="AD26" s="278" t="n">
        <f aca="false">IF(NETWORKDAYS(AD$21,AD$21+6,HOLIDAYS)=0,0,ROUND(SUMIF($B$73:$B$312,"04",AD$73:AD$312)/NETWORKDAYS(AD$21,AD$21+6,HOLIDAYS),1))</f>
        <v>0</v>
      </c>
      <c r="AE26" s="278" t="n">
        <f aca="false">IF(NETWORKDAYS(AE$21,AE$21+6,HOLIDAYS)=0,0,ROUND(SUMIF($B$73:$B$312,"04",AE$73:AE$312)/NETWORKDAYS(AE$21,AE$21+6,HOLIDAYS),1))</f>
        <v>0</v>
      </c>
      <c r="AF26" s="278" t="n">
        <f aca="false">IF(NETWORKDAYS(AF$21,AF$21+6,HOLIDAYS)=0,0,ROUND(SUMIF($B$73:$B$312,"04",AF$73:AF$312)/NETWORKDAYS(AF$21,AF$21+6,HOLIDAYS),1))</f>
        <v>0</v>
      </c>
      <c r="AG26" s="278" t="n">
        <f aca="false">IF(NETWORKDAYS(AG$21,AG$21+6,HOLIDAYS)=0,0,ROUND(SUMIF($B$73:$B$312,"04",AG$73:AG$312)/NETWORKDAYS(AG$21,AG$21+6,HOLIDAYS),1))</f>
        <v>0</v>
      </c>
      <c r="AH26" s="278" t="n">
        <f aca="false">IF(NETWORKDAYS(AH$21,AH$21+6,HOLIDAYS)=0,0,ROUND(SUMIF($B$73:$B$312,"04",AH$73:AH$312)/NETWORKDAYS(AH$21,AH$21+6,HOLIDAYS),1))</f>
        <v>0</v>
      </c>
      <c r="AI26" s="278" t="n">
        <f aca="false">IF(NETWORKDAYS(AI$21,AI$21+6,HOLIDAYS)=0,0,ROUND(SUMIF($B$73:$B$312,"04",AI$73:AI$312)/NETWORKDAYS(AI$21,AI$21+6,HOLIDAYS),1))</f>
        <v>0</v>
      </c>
      <c r="AJ26" s="278" t="n">
        <f aca="false">IF(NETWORKDAYS(AJ$21,AJ$21+6,HOLIDAYS)=0,0,ROUND(SUMIF($B$73:$B$312,"04",AJ$73:AJ$312)/NETWORKDAYS(AJ$21,AJ$21+6,HOLIDAYS),1))</f>
        <v>0</v>
      </c>
      <c r="AK26" s="278" t="n">
        <f aca="false">IF(NETWORKDAYS(AK$21,AK$21+6,HOLIDAYS)=0,0,ROUND(SUMIF($B$73:$B$312,"04",AK$73:AK$312)/NETWORKDAYS(AK$21,AK$21+6,HOLIDAYS),1))</f>
        <v>0</v>
      </c>
      <c r="AL26" s="278" t="n">
        <f aca="false">IF(NETWORKDAYS(AL$21,AL$21+6,HOLIDAYS)=0,0,ROUND(SUMIF($B$73:$B$312,"04",AL$73:AL$312)/NETWORKDAYS(AL$21,AL$21+6,HOLIDAYS),1))</f>
        <v>0</v>
      </c>
      <c r="AM26" s="278" t="n">
        <f aca="false">IF(NETWORKDAYS(AM$21,AM$21+6,HOLIDAYS)=0,0,ROUND(SUMIF($B$73:$B$312,"04",AM$73:AM$312)/NETWORKDAYS(AM$21,AM$21+6,HOLIDAYS),1))</f>
        <v>0</v>
      </c>
      <c r="AN26" s="278" t="n">
        <f aca="false">IF(NETWORKDAYS(AN$21,AN$21+6,HOLIDAYS)=0,0,ROUND(SUMIF($B$73:$B$312,"04",AN$73:AN$312)/NETWORKDAYS(AN$21,AN$21+6,HOLIDAYS),1))</f>
        <v>0</v>
      </c>
      <c r="AO26" s="278" t="n">
        <f aca="false">IF(NETWORKDAYS(AO$21,AO$21+6,HOLIDAYS)=0,0,ROUND(SUMIF($B$73:$B$312,"04",AO$73:AO$312)/NETWORKDAYS(AO$21,AO$21+6,HOLIDAYS),1))</f>
        <v>0</v>
      </c>
      <c r="AP26" s="278" t="n">
        <f aca="false">IF(NETWORKDAYS(AP$21,AP$21+6,HOLIDAYS)=0,0,ROUND(SUMIF($B$73:$B$312,"04",AP$73:AP$312)/NETWORKDAYS(AP$21,AP$21+6,HOLIDAYS),1))</f>
        <v>0</v>
      </c>
      <c r="AQ26" s="278" t="n">
        <f aca="false">IF(NETWORKDAYS(AQ$21,AQ$21+6,HOLIDAYS)=0,0,ROUND(SUMIF($B$73:$B$312,"04",AQ$73:AQ$312)/NETWORKDAYS(AQ$21,AQ$21+6,HOLIDAYS),1))</f>
        <v>0</v>
      </c>
      <c r="AR26" s="278" t="n">
        <f aca="false">IF(NETWORKDAYS(AR$21,AR$21+6,HOLIDAYS)=0,0,ROUND(SUMIF($B$73:$B$312,"04",AR$73:AR$312)/NETWORKDAYS(AR$21,AR$21+6,HOLIDAYS),1))</f>
        <v>0</v>
      </c>
    </row>
    <row r="27" customFormat="false" ht="15" hidden="false" customHeight="false" outlineLevel="0" collapsed="false">
      <c r="A27" s="246" t="s">
        <v>2325</v>
      </c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76" t="n">
        <f aca="false">MAX(O27:AR27)</f>
        <v>19.9</v>
      </c>
      <c r="O27" s="278" t="n">
        <f aca="false">IF(NETWORKDAYS(O$21,O$21+6,HOLIDAYS)=0,0,ROUND(SUMIF($B$73:$B$312,"05",O$73:O$312)/NETWORKDAYS(O$21,O$21+6,HOLIDAYS),1))</f>
        <v>3.4</v>
      </c>
      <c r="P27" s="278" t="n">
        <f aca="false">IF(NETWORKDAYS(P$21,P$21+6,HOLIDAYS)=0,0,ROUND(SUMIF($B$73:$B$312,"05",P$73:P$312)/NETWORKDAYS(P$21,P$21+6,HOLIDAYS),1))</f>
        <v>3.4</v>
      </c>
      <c r="Q27" s="278" t="n">
        <f aca="false">IF(NETWORKDAYS(Q$21,Q$21+6,HOLIDAYS)=0,0,ROUND(SUMIF($B$73:$B$312,"05",Q$73:Q$312)/NETWORKDAYS(Q$21,Q$21+6,HOLIDAYS),1))</f>
        <v>19.9</v>
      </c>
      <c r="R27" s="278" t="n">
        <f aca="false">IF(NETWORKDAYS(R$21,R$21+6,HOLIDAYS)=0,0,ROUND(SUMIF($B$73:$B$312,"05",R$73:R$312)/NETWORKDAYS(R$21,R$21+6,HOLIDAYS),1))</f>
        <v>0</v>
      </c>
      <c r="S27" s="278" t="n">
        <f aca="false">IF(NETWORKDAYS(S$21,S$21+6,HOLIDAYS)=0,0,ROUND(SUMIF($B$73:$B$312,"05",S$73:S$312)/NETWORKDAYS(S$21,S$21+6,HOLIDAYS),1))</f>
        <v>3.1</v>
      </c>
      <c r="T27" s="278" t="n">
        <f aca="false">IF(NETWORKDAYS(T$21,T$21+6,HOLIDAYS)=0,0,ROUND(SUMIF($B$73:$B$312,"05",T$73:T$312)/NETWORKDAYS(T$21,T$21+6,HOLIDAYS),1))</f>
        <v>0</v>
      </c>
      <c r="U27" s="278" t="n">
        <f aca="false">IF(NETWORKDAYS(U$21,U$21+6,HOLIDAYS)=0,0,ROUND(SUMIF($B$73:$B$312,"05",U$73:U$312)/NETWORKDAYS(U$21,U$21+6,HOLIDAYS),1))</f>
        <v>0</v>
      </c>
      <c r="V27" s="278" t="n">
        <f aca="false">IF(NETWORKDAYS(V$21,V$21+6,HOLIDAYS)=0,0,ROUND(SUMIF($B$73:$B$312,"05",V$73:V$312)/NETWORKDAYS(V$21,V$21+6,HOLIDAYS),1))</f>
        <v>0</v>
      </c>
      <c r="W27" s="278" t="n">
        <f aca="false">IF(NETWORKDAYS(W$21,W$21+6,HOLIDAYS)=0,0,ROUND(SUMIF($B$73:$B$312,"05",W$73:W$312)/NETWORKDAYS(W$21,W$21+6,HOLIDAYS),1))</f>
        <v>0</v>
      </c>
      <c r="X27" s="278" t="n">
        <f aca="false">IF(NETWORKDAYS(X$21,X$21+6,HOLIDAYS)=0,0,ROUND(SUMIF($B$73:$B$312,"05",X$73:X$312)/NETWORKDAYS(X$21,X$21+6,HOLIDAYS),1))</f>
        <v>0</v>
      </c>
      <c r="Y27" s="278" t="n">
        <f aca="false">IF(NETWORKDAYS(Y$21,Y$21+6,HOLIDAYS)=0,0,ROUND(SUMIF($B$73:$B$312,"05",Y$73:Y$312)/NETWORKDAYS(Y$21,Y$21+6,HOLIDAYS),1))</f>
        <v>0</v>
      </c>
      <c r="Z27" s="278" t="n">
        <f aca="false">IF(NETWORKDAYS(Z$21,Z$21+6,HOLIDAYS)=0,0,ROUND(SUMIF($B$73:$B$312,"05",Z$73:Z$312)/NETWORKDAYS(Z$21,Z$21+6,HOLIDAYS),1))</f>
        <v>0</v>
      </c>
      <c r="AA27" s="278" t="n">
        <f aca="false">IF(NETWORKDAYS(AA$21,AA$21+6,HOLIDAYS)=0,0,ROUND(SUMIF($B$73:$B$312,"05",AA$73:AA$312)/NETWORKDAYS(AA$21,AA$21+6,HOLIDAYS),1))</f>
        <v>0</v>
      </c>
      <c r="AB27" s="278" t="n">
        <f aca="false">IF(NETWORKDAYS(AB$21,AB$21+6,HOLIDAYS)=0,0,ROUND(SUMIF($B$73:$B$312,"05",AB$73:AB$312)/NETWORKDAYS(AB$21,AB$21+6,HOLIDAYS),1))</f>
        <v>0</v>
      </c>
      <c r="AC27" s="278" t="n">
        <f aca="false">IF(NETWORKDAYS(AC$21,AC$21+6,HOLIDAYS)=0,0,ROUND(SUMIF($B$73:$B$312,"05",AC$73:AC$312)/NETWORKDAYS(AC$21,AC$21+6,HOLIDAYS),1))</f>
        <v>0</v>
      </c>
      <c r="AD27" s="278" t="n">
        <f aca="false">IF(NETWORKDAYS(AD$21,AD$21+6,HOLIDAYS)=0,0,ROUND(SUMIF($B$73:$B$312,"05",AD$73:AD$312)/NETWORKDAYS(AD$21,AD$21+6,HOLIDAYS),1))</f>
        <v>0</v>
      </c>
      <c r="AE27" s="278" t="n">
        <f aca="false">IF(NETWORKDAYS(AE$21,AE$21+6,HOLIDAYS)=0,0,ROUND(SUMIF($B$73:$B$312,"05",AE$73:AE$312)/NETWORKDAYS(AE$21,AE$21+6,HOLIDAYS),1))</f>
        <v>0</v>
      </c>
      <c r="AF27" s="278" t="n">
        <f aca="false">IF(NETWORKDAYS(AF$21,AF$21+6,HOLIDAYS)=0,0,ROUND(SUMIF($B$73:$B$312,"05",AF$73:AF$312)/NETWORKDAYS(AF$21,AF$21+6,HOLIDAYS),1))</f>
        <v>0</v>
      </c>
      <c r="AG27" s="278" t="n">
        <f aca="false">IF(NETWORKDAYS(AG$21,AG$21+6,HOLIDAYS)=0,0,ROUND(SUMIF($B$73:$B$312,"05",AG$73:AG$312)/NETWORKDAYS(AG$21,AG$21+6,HOLIDAYS),1))</f>
        <v>0</v>
      </c>
      <c r="AH27" s="278" t="n">
        <f aca="false">IF(NETWORKDAYS(AH$21,AH$21+6,HOLIDAYS)=0,0,ROUND(SUMIF($B$73:$B$312,"05",AH$73:AH$312)/NETWORKDAYS(AH$21,AH$21+6,HOLIDAYS),1))</f>
        <v>0</v>
      </c>
      <c r="AI27" s="278" t="n">
        <f aca="false">IF(NETWORKDAYS(AI$21,AI$21+6,HOLIDAYS)=0,0,ROUND(SUMIF($B$73:$B$312,"05",AI$73:AI$312)/NETWORKDAYS(AI$21,AI$21+6,HOLIDAYS),1))</f>
        <v>0</v>
      </c>
      <c r="AJ27" s="278" t="n">
        <f aca="false">IF(NETWORKDAYS(AJ$21,AJ$21+6,HOLIDAYS)=0,0,ROUND(SUMIF($B$73:$B$312,"05",AJ$73:AJ$312)/NETWORKDAYS(AJ$21,AJ$21+6,HOLIDAYS),1))</f>
        <v>0</v>
      </c>
      <c r="AK27" s="278" t="n">
        <f aca="false">IF(NETWORKDAYS(AK$21,AK$21+6,HOLIDAYS)=0,0,ROUND(SUMIF($B$73:$B$312,"05",AK$73:AK$312)/NETWORKDAYS(AK$21,AK$21+6,HOLIDAYS),1))</f>
        <v>0</v>
      </c>
      <c r="AL27" s="278" t="n">
        <f aca="false">IF(NETWORKDAYS(AL$21,AL$21+6,HOLIDAYS)=0,0,ROUND(SUMIF($B$73:$B$312,"05",AL$73:AL$312)/NETWORKDAYS(AL$21,AL$21+6,HOLIDAYS),1))</f>
        <v>0</v>
      </c>
      <c r="AM27" s="278" t="n">
        <f aca="false">IF(NETWORKDAYS(AM$21,AM$21+6,HOLIDAYS)=0,0,ROUND(SUMIF($B$73:$B$312,"05",AM$73:AM$312)/NETWORKDAYS(AM$21,AM$21+6,HOLIDAYS),1))</f>
        <v>0</v>
      </c>
      <c r="AN27" s="278" t="n">
        <f aca="false">IF(NETWORKDAYS(AN$21,AN$21+6,HOLIDAYS)=0,0,ROUND(SUMIF($B$73:$B$312,"05",AN$73:AN$312)/NETWORKDAYS(AN$21,AN$21+6,HOLIDAYS),1))</f>
        <v>0</v>
      </c>
      <c r="AO27" s="278" t="n">
        <f aca="false">IF(NETWORKDAYS(AO$21,AO$21+6,HOLIDAYS)=0,0,ROUND(SUMIF($B$73:$B$312,"05",AO$73:AO$312)/NETWORKDAYS(AO$21,AO$21+6,HOLIDAYS),1))</f>
        <v>0</v>
      </c>
      <c r="AP27" s="278" t="n">
        <f aca="false">IF(NETWORKDAYS(AP$21,AP$21+6,HOLIDAYS)=0,0,ROUND(SUMIF($B$73:$B$312,"05",AP$73:AP$312)/NETWORKDAYS(AP$21,AP$21+6,HOLIDAYS),1))</f>
        <v>0</v>
      </c>
      <c r="AQ27" s="278" t="n">
        <f aca="false">IF(NETWORKDAYS(AQ$21,AQ$21+6,HOLIDAYS)=0,0,ROUND(SUMIF($B$73:$B$312,"05",AQ$73:AQ$312)/NETWORKDAYS(AQ$21,AQ$21+6,HOLIDAYS),1))</f>
        <v>0</v>
      </c>
      <c r="AR27" s="278" t="n">
        <f aca="false">IF(NETWORKDAYS(AR$21,AR$21+6,HOLIDAYS)=0,0,ROUND(SUMIF($B$73:$B$312,"05",AR$73:AR$312)/NETWORKDAYS(AR$21,AR$21+6,HOLIDAYS),1))</f>
        <v>0</v>
      </c>
    </row>
    <row r="28" customFormat="false" ht="15" hidden="false" customHeight="false" outlineLevel="0" collapsed="false">
      <c r="A28" s="246" t="s">
        <v>2326</v>
      </c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76" t="n">
        <f aca="false">MAX(O28:AR28)</f>
        <v>22.6</v>
      </c>
      <c r="O28" s="278" t="n">
        <f aca="false">IF(NETWORKDAYS(O$21,O$21+6,HOLIDAYS)=0,0,ROUND(SUMIF($B$73:$B$312,"06",O$73:O$312)/NETWORKDAYS(O$21,O$21+6,HOLIDAYS),1))</f>
        <v>7.1</v>
      </c>
      <c r="P28" s="278" t="n">
        <f aca="false">IF(NETWORKDAYS(P$21,P$21+6,HOLIDAYS)=0,0,ROUND(SUMIF($B$73:$B$312,"06",P$73:P$312)/NETWORKDAYS(P$21,P$21+6,HOLIDAYS),1))</f>
        <v>6</v>
      </c>
      <c r="Q28" s="278" t="n">
        <f aca="false">IF(NETWORKDAYS(Q$21,Q$21+6,HOLIDAYS)=0,0,ROUND(SUMIF($B$73:$B$312,"06",Q$73:Q$312)/NETWORKDAYS(Q$21,Q$21+6,HOLIDAYS),1))</f>
        <v>22.6</v>
      </c>
      <c r="R28" s="278" t="n">
        <f aca="false">IF(NETWORKDAYS(R$21,R$21+6,HOLIDAYS)=0,0,ROUND(SUMIF($B$73:$B$312,"06",R$73:R$312)/NETWORKDAYS(R$21,R$21+6,HOLIDAYS),1))</f>
        <v>0</v>
      </c>
      <c r="S28" s="278" t="n">
        <f aca="false">IF(NETWORKDAYS(S$21,S$21+6,HOLIDAYS)=0,0,ROUND(SUMIF($B$73:$B$312,"06",S$73:S$312)/NETWORKDAYS(S$21,S$21+6,HOLIDAYS),1))</f>
        <v>3.9</v>
      </c>
      <c r="T28" s="278" t="n">
        <f aca="false">IF(NETWORKDAYS(T$21,T$21+6,HOLIDAYS)=0,0,ROUND(SUMIF($B$73:$B$312,"06",T$73:T$312)/NETWORKDAYS(T$21,T$21+6,HOLIDAYS),1))</f>
        <v>0</v>
      </c>
      <c r="U28" s="278" t="n">
        <f aca="false">IF(NETWORKDAYS(U$21,U$21+6,HOLIDAYS)=0,0,ROUND(SUMIF($B$73:$B$312,"06",U$73:U$312)/NETWORKDAYS(U$21,U$21+6,HOLIDAYS),1))</f>
        <v>0</v>
      </c>
      <c r="V28" s="278" t="n">
        <f aca="false">IF(NETWORKDAYS(V$21,V$21+6,HOLIDAYS)=0,0,ROUND(SUMIF($B$73:$B$312,"06",V$73:V$312)/NETWORKDAYS(V$21,V$21+6,HOLIDAYS),1))</f>
        <v>0</v>
      </c>
      <c r="W28" s="278" t="n">
        <f aca="false">IF(NETWORKDAYS(W$21,W$21+6,HOLIDAYS)=0,0,ROUND(SUMIF($B$73:$B$312,"06",W$73:W$312)/NETWORKDAYS(W$21,W$21+6,HOLIDAYS),1))</f>
        <v>0</v>
      </c>
      <c r="X28" s="278" t="n">
        <f aca="false">IF(NETWORKDAYS(X$21,X$21+6,HOLIDAYS)=0,0,ROUND(SUMIF($B$73:$B$312,"06",X$73:X$312)/NETWORKDAYS(X$21,X$21+6,HOLIDAYS),1))</f>
        <v>0</v>
      </c>
      <c r="Y28" s="278" t="n">
        <f aca="false">IF(NETWORKDAYS(Y$21,Y$21+6,HOLIDAYS)=0,0,ROUND(SUMIF($B$73:$B$312,"06",Y$73:Y$312)/NETWORKDAYS(Y$21,Y$21+6,HOLIDAYS),1))</f>
        <v>0</v>
      </c>
      <c r="Z28" s="278" t="n">
        <f aca="false">IF(NETWORKDAYS(Z$21,Z$21+6,HOLIDAYS)=0,0,ROUND(SUMIF($B$73:$B$312,"06",Z$73:Z$312)/NETWORKDAYS(Z$21,Z$21+6,HOLIDAYS),1))</f>
        <v>0</v>
      </c>
      <c r="AA28" s="278" t="n">
        <f aca="false">IF(NETWORKDAYS(AA$21,AA$21+6,HOLIDAYS)=0,0,ROUND(SUMIF($B$73:$B$312,"06",AA$73:AA$312)/NETWORKDAYS(AA$21,AA$21+6,HOLIDAYS),1))</f>
        <v>0</v>
      </c>
      <c r="AB28" s="278" t="n">
        <f aca="false">IF(NETWORKDAYS(AB$21,AB$21+6,HOLIDAYS)=0,0,ROUND(SUMIF($B$73:$B$312,"06",AB$73:AB$312)/NETWORKDAYS(AB$21,AB$21+6,HOLIDAYS),1))</f>
        <v>0</v>
      </c>
      <c r="AC28" s="278" t="n">
        <f aca="false">IF(NETWORKDAYS(AC$21,AC$21+6,HOLIDAYS)=0,0,ROUND(SUMIF($B$73:$B$312,"06",AC$73:AC$312)/NETWORKDAYS(AC$21,AC$21+6,HOLIDAYS),1))</f>
        <v>0</v>
      </c>
      <c r="AD28" s="278" t="n">
        <f aca="false">IF(NETWORKDAYS(AD$21,AD$21+6,HOLIDAYS)=0,0,ROUND(SUMIF($B$73:$B$312,"06",AD$73:AD$312)/NETWORKDAYS(AD$21,AD$21+6,HOLIDAYS),1))</f>
        <v>0</v>
      </c>
      <c r="AE28" s="278" t="n">
        <f aca="false">IF(NETWORKDAYS(AE$21,AE$21+6,HOLIDAYS)=0,0,ROUND(SUMIF($B$73:$B$312,"06",AE$73:AE$312)/NETWORKDAYS(AE$21,AE$21+6,HOLIDAYS),1))</f>
        <v>0</v>
      </c>
      <c r="AF28" s="278" t="n">
        <f aca="false">IF(NETWORKDAYS(AF$21,AF$21+6,HOLIDAYS)=0,0,ROUND(SUMIF($B$73:$B$312,"06",AF$73:AF$312)/NETWORKDAYS(AF$21,AF$21+6,HOLIDAYS),1))</f>
        <v>0</v>
      </c>
      <c r="AG28" s="278" t="n">
        <f aca="false">IF(NETWORKDAYS(AG$21,AG$21+6,HOLIDAYS)=0,0,ROUND(SUMIF($B$73:$B$312,"06",AG$73:AG$312)/NETWORKDAYS(AG$21,AG$21+6,HOLIDAYS),1))</f>
        <v>0</v>
      </c>
      <c r="AH28" s="278" t="n">
        <f aca="false">IF(NETWORKDAYS(AH$21,AH$21+6,HOLIDAYS)=0,0,ROUND(SUMIF($B$73:$B$312,"06",AH$73:AH$312)/NETWORKDAYS(AH$21,AH$21+6,HOLIDAYS),1))</f>
        <v>0</v>
      </c>
      <c r="AI28" s="278" t="n">
        <f aca="false">IF(NETWORKDAYS(AI$21,AI$21+6,HOLIDAYS)=0,0,ROUND(SUMIF($B$73:$B$312,"06",AI$73:AI$312)/NETWORKDAYS(AI$21,AI$21+6,HOLIDAYS),1))</f>
        <v>0</v>
      </c>
      <c r="AJ28" s="278" t="n">
        <f aca="false">IF(NETWORKDAYS(AJ$21,AJ$21+6,HOLIDAYS)=0,0,ROUND(SUMIF($B$73:$B$312,"06",AJ$73:AJ$312)/NETWORKDAYS(AJ$21,AJ$21+6,HOLIDAYS),1))</f>
        <v>0</v>
      </c>
      <c r="AK28" s="278" t="n">
        <f aca="false">IF(NETWORKDAYS(AK$21,AK$21+6,HOLIDAYS)=0,0,ROUND(SUMIF($B$73:$B$312,"06",AK$73:AK$312)/NETWORKDAYS(AK$21,AK$21+6,HOLIDAYS),1))</f>
        <v>0</v>
      </c>
      <c r="AL28" s="278" t="n">
        <f aca="false">IF(NETWORKDAYS(AL$21,AL$21+6,HOLIDAYS)=0,0,ROUND(SUMIF($B$73:$B$312,"06",AL$73:AL$312)/NETWORKDAYS(AL$21,AL$21+6,HOLIDAYS),1))</f>
        <v>0</v>
      </c>
      <c r="AM28" s="278" t="n">
        <f aca="false">IF(NETWORKDAYS(AM$21,AM$21+6,HOLIDAYS)=0,0,ROUND(SUMIF($B$73:$B$312,"06",AM$73:AM$312)/NETWORKDAYS(AM$21,AM$21+6,HOLIDAYS),1))</f>
        <v>0</v>
      </c>
      <c r="AN28" s="278" t="n">
        <f aca="false">IF(NETWORKDAYS(AN$21,AN$21+6,HOLIDAYS)=0,0,ROUND(SUMIF($B$73:$B$312,"06",AN$73:AN$312)/NETWORKDAYS(AN$21,AN$21+6,HOLIDAYS),1))</f>
        <v>0</v>
      </c>
      <c r="AO28" s="278" t="n">
        <f aca="false">IF(NETWORKDAYS(AO$21,AO$21+6,HOLIDAYS)=0,0,ROUND(SUMIF($B$73:$B$312,"06",AO$73:AO$312)/NETWORKDAYS(AO$21,AO$21+6,HOLIDAYS),1))</f>
        <v>0</v>
      </c>
      <c r="AP28" s="278" t="n">
        <f aca="false">IF(NETWORKDAYS(AP$21,AP$21+6,HOLIDAYS)=0,0,ROUND(SUMIF($B$73:$B$312,"06",AP$73:AP$312)/NETWORKDAYS(AP$21,AP$21+6,HOLIDAYS),1))</f>
        <v>0</v>
      </c>
      <c r="AQ28" s="278" t="n">
        <f aca="false">IF(NETWORKDAYS(AQ$21,AQ$21+6,HOLIDAYS)=0,0,ROUND(SUMIF($B$73:$B$312,"06",AQ$73:AQ$312)/NETWORKDAYS(AQ$21,AQ$21+6,HOLIDAYS),1))</f>
        <v>0</v>
      </c>
      <c r="AR28" s="278" t="n">
        <f aca="false">IF(NETWORKDAYS(AR$21,AR$21+6,HOLIDAYS)=0,0,ROUND(SUMIF($B$73:$B$312,"06",AR$73:AR$312)/NETWORKDAYS(AR$21,AR$21+6,HOLIDAYS),1))</f>
        <v>0</v>
      </c>
    </row>
    <row r="29" customFormat="false" ht="15" hidden="false" customHeight="false" outlineLevel="0" collapsed="false">
      <c r="A29" s="246" t="s">
        <v>2327</v>
      </c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76" t="n">
        <f aca="false">MAX(O29:AR29)</f>
        <v>18.1</v>
      </c>
      <c r="O29" s="278" t="n">
        <f aca="false">IF(NETWORKDAYS(O$21,O$21+6,HOLIDAYS)=0,0,ROUND(SUMIF($B$73:$B$312,"07",O$73:O$312)/NETWORKDAYS(O$21,O$21+6,HOLIDAYS),1))</f>
        <v>3.4</v>
      </c>
      <c r="P29" s="278" t="n">
        <f aca="false">IF(NETWORKDAYS(P$21,P$21+6,HOLIDAYS)=0,0,ROUND(SUMIF($B$73:$B$312,"07",P$73:P$312)/NETWORKDAYS(P$21,P$21+6,HOLIDAYS),1))</f>
        <v>3.4</v>
      </c>
      <c r="Q29" s="278" t="n">
        <f aca="false">IF(NETWORKDAYS(Q$21,Q$21+6,HOLIDAYS)=0,0,ROUND(SUMIF($B$73:$B$312,"07",Q$73:Q$312)/NETWORKDAYS(Q$21,Q$21+6,HOLIDAYS),1))</f>
        <v>18.1</v>
      </c>
      <c r="R29" s="278" t="n">
        <f aca="false">IF(NETWORKDAYS(R$21,R$21+6,HOLIDAYS)=0,0,ROUND(SUMIF($B$73:$B$312,"07",R$73:R$312)/NETWORKDAYS(R$21,R$21+6,HOLIDAYS),1))</f>
        <v>0</v>
      </c>
      <c r="S29" s="278" t="n">
        <f aca="false">IF(NETWORKDAYS(S$21,S$21+6,HOLIDAYS)=0,0,ROUND(SUMIF($B$73:$B$312,"07",S$73:S$312)/NETWORKDAYS(S$21,S$21+6,HOLIDAYS),1))</f>
        <v>3.1</v>
      </c>
      <c r="T29" s="278" t="n">
        <f aca="false">IF(NETWORKDAYS(T$21,T$21+6,HOLIDAYS)=0,0,ROUND(SUMIF($B$73:$B$312,"07",T$73:T$312)/NETWORKDAYS(T$21,T$21+6,HOLIDAYS),1))</f>
        <v>0</v>
      </c>
      <c r="U29" s="278" t="n">
        <f aca="false">IF(NETWORKDAYS(U$21,U$21+6,HOLIDAYS)=0,0,ROUND(SUMIF($B$73:$B$312,"07",U$73:U$312)/NETWORKDAYS(U$21,U$21+6,HOLIDAYS),1))</f>
        <v>0</v>
      </c>
      <c r="V29" s="278" t="n">
        <f aca="false">IF(NETWORKDAYS(V$21,V$21+6,HOLIDAYS)=0,0,ROUND(SUMIF($B$73:$B$312,"07",V$73:V$312)/NETWORKDAYS(V$21,V$21+6,HOLIDAYS),1))</f>
        <v>0</v>
      </c>
      <c r="W29" s="278" t="n">
        <f aca="false">IF(NETWORKDAYS(W$21,W$21+6,HOLIDAYS)=0,0,ROUND(SUMIF($B$73:$B$312,"07",W$73:W$312)/NETWORKDAYS(W$21,W$21+6,HOLIDAYS),1))</f>
        <v>0</v>
      </c>
      <c r="X29" s="278" t="n">
        <f aca="false">IF(NETWORKDAYS(X$21,X$21+6,HOLIDAYS)=0,0,ROUND(SUMIF($B$73:$B$312,"07",X$73:X$312)/NETWORKDAYS(X$21,X$21+6,HOLIDAYS),1))</f>
        <v>0</v>
      </c>
      <c r="Y29" s="278" t="n">
        <f aca="false">IF(NETWORKDAYS(Y$21,Y$21+6,HOLIDAYS)=0,0,ROUND(SUMIF($B$73:$B$312,"07",Y$73:Y$312)/NETWORKDAYS(Y$21,Y$21+6,HOLIDAYS),1))</f>
        <v>0</v>
      </c>
      <c r="Z29" s="278" t="n">
        <f aca="false">IF(NETWORKDAYS(Z$21,Z$21+6,HOLIDAYS)=0,0,ROUND(SUMIF($B$73:$B$312,"07",Z$73:Z$312)/NETWORKDAYS(Z$21,Z$21+6,HOLIDAYS),1))</f>
        <v>0</v>
      </c>
      <c r="AA29" s="278" t="n">
        <f aca="false">IF(NETWORKDAYS(AA$21,AA$21+6,HOLIDAYS)=0,0,ROUND(SUMIF($B$73:$B$312,"07",AA$73:AA$312)/NETWORKDAYS(AA$21,AA$21+6,HOLIDAYS),1))</f>
        <v>0</v>
      </c>
      <c r="AB29" s="278" t="n">
        <f aca="false">IF(NETWORKDAYS(AB$21,AB$21+6,HOLIDAYS)=0,0,ROUND(SUMIF($B$73:$B$312,"07",AB$73:AB$312)/NETWORKDAYS(AB$21,AB$21+6,HOLIDAYS),1))</f>
        <v>0</v>
      </c>
      <c r="AC29" s="278" t="n">
        <f aca="false">IF(NETWORKDAYS(AC$21,AC$21+6,HOLIDAYS)=0,0,ROUND(SUMIF($B$73:$B$312,"07",AC$73:AC$312)/NETWORKDAYS(AC$21,AC$21+6,HOLIDAYS),1))</f>
        <v>0</v>
      </c>
      <c r="AD29" s="278" t="n">
        <f aca="false">IF(NETWORKDAYS(AD$21,AD$21+6,HOLIDAYS)=0,0,ROUND(SUMIF($B$73:$B$312,"07",AD$73:AD$312)/NETWORKDAYS(AD$21,AD$21+6,HOLIDAYS),1))</f>
        <v>0</v>
      </c>
      <c r="AE29" s="278" t="n">
        <f aca="false">IF(NETWORKDAYS(AE$21,AE$21+6,HOLIDAYS)=0,0,ROUND(SUMIF($B$73:$B$312,"07",AE$73:AE$312)/NETWORKDAYS(AE$21,AE$21+6,HOLIDAYS),1))</f>
        <v>0</v>
      </c>
      <c r="AF29" s="278" t="n">
        <f aca="false">IF(NETWORKDAYS(AF$21,AF$21+6,HOLIDAYS)=0,0,ROUND(SUMIF($B$73:$B$312,"07",AF$73:AF$312)/NETWORKDAYS(AF$21,AF$21+6,HOLIDAYS),1))</f>
        <v>0</v>
      </c>
      <c r="AG29" s="278" t="n">
        <f aca="false">IF(NETWORKDAYS(AG$21,AG$21+6,HOLIDAYS)=0,0,ROUND(SUMIF($B$73:$B$312,"07",AG$73:AG$312)/NETWORKDAYS(AG$21,AG$21+6,HOLIDAYS),1))</f>
        <v>0</v>
      </c>
      <c r="AH29" s="278" t="n">
        <f aca="false">IF(NETWORKDAYS(AH$21,AH$21+6,HOLIDAYS)=0,0,ROUND(SUMIF($B$73:$B$312,"07",AH$73:AH$312)/NETWORKDAYS(AH$21,AH$21+6,HOLIDAYS),1))</f>
        <v>0</v>
      </c>
      <c r="AI29" s="278" t="n">
        <f aca="false">IF(NETWORKDAYS(AI$21,AI$21+6,HOLIDAYS)=0,0,ROUND(SUMIF($B$73:$B$312,"07",AI$73:AI$312)/NETWORKDAYS(AI$21,AI$21+6,HOLIDAYS),1))</f>
        <v>0</v>
      </c>
      <c r="AJ29" s="278" t="n">
        <f aca="false">IF(NETWORKDAYS(AJ$21,AJ$21+6,HOLIDAYS)=0,0,ROUND(SUMIF($B$73:$B$312,"07",AJ$73:AJ$312)/NETWORKDAYS(AJ$21,AJ$21+6,HOLIDAYS),1))</f>
        <v>0</v>
      </c>
      <c r="AK29" s="278" t="n">
        <f aca="false">IF(NETWORKDAYS(AK$21,AK$21+6,HOLIDAYS)=0,0,ROUND(SUMIF($B$73:$B$312,"07",AK$73:AK$312)/NETWORKDAYS(AK$21,AK$21+6,HOLIDAYS),1))</f>
        <v>0</v>
      </c>
      <c r="AL29" s="278" t="n">
        <f aca="false">IF(NETWORKDAYS(AL$21,AL$21+6,HOLIDAYS)=0,0,ROUND(SUMIF($B$73:$B$312,"07",AL$73:AL$312)/NETWORKDAYS(AL$21,AL$21+6,HOLIDAYS),1))</f>
        <v>0</v>
      </c>
      <c r="AM29" s="278" t="n">
        <f aca="false">IF(NETWORKDAYS(AM$21,AM$21+6,HOLIDAYS)=0,0,ROUND(SUMIF($B$73:$B$312,"07",AM$73:AM$312)/NETWORKDAYS(AM$21,AM$21+6,HOLIDAYS),1))</f>
        <v>0</v>
      </c>
      <c r="AN29" s="278" t="n">
        <f aca="false">IF(NETWORKDAYS(AN$21,AN$21+6,HOLIDAYS)=0,0,ROUND(SUMIF($B$73:$B$312,"07",AN$73:AN$312)/NETWORKDAYS(AN$21,AN$21+6,HOLIDAYS),1))</f>
        <v>0</v>
      </c>
      <c r="AO29" s="278" t="n">
        <f aca="false">IF(NETWORKDAYS(AO$21,AO$21+6,HOLIDAYS)=0,0,ROUND(SUMIF($B$73:$B$312,"07",AO$73:AO$312)/NETWORKDAYS(AO$21,AO$21+6,HOLIDAYS),1))</f>
        <v>0</v>
      </c>
      <c r="AP29" s="278" t="n">
        <f aca="false">IF(NETWORKDAYS(AP$21,AP$21+6,HOLIDAYS)=0,0,ROUND(SUMIF($B$73:$B$312,"07",AP$73:AP$312)/NETWORKDAYS(AP$21,AP$21+6,HOLIDAYS),1))</f>
        <v>0</v>
      </c>
      <c r="AQ29" s="278" t="n">
        <f aca="false">IF(NETWORKDAYS(AQ$21,AQ$21+6,HOLIDAYS)=0,0,ROUND(SUMIF($B$73:$B$312,"07",AQ$73:AQ$312)/NETWORKDAYS(AQ$21,AQ$21+6,HOLIDAYS),1))</f>
        <v>0</v>
      </c>
      <c r="AR29" s="278" t="n">
        <f aca="false">IF(NETWORKDAYS(AR$21,AR$21+6,HOLIDAYS)=0,0,ROUND(SUMIF($B$73:$B$312,"07",AR$73:AR$312)/NETWORKDAYS(AR$21,AR$21+6,HOLIDAYS),1))</f>
        <v>0</v>
      </c>
    </row>
    <row r="30" customFormat="false" ht="15" hidden="false" customHeight="false" outlineLevel="0" collapsed="false">
      <c r="A30" s="246" t="s">
        <v>2328</v>
      </c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76" t="n">
        <f aca="false">MAX(O30:AR30)</f>
        <v>20.8</v>
      </c>
      <c r="O30" s="278" t="n">
        <f aca="false">IF(NETWORKDAYS(O$21,O$21+6,HOLIDAYS)=0,0,ROUND(SUMIF($B$73:$B$312,"08",O$73:O$312)/NETWORKDAYS(O$21,O$21+6,HOLIDAYS),1))</f>
        <v>7.1</v>
      </c>
      <c r="P30" s="278" t="n">
        <f aca="false">IF(NETWORKDAYS(P$21,P$21+6,HOLIDAYS)=0,0,ROUND(SUMIF($B$73:$B$312,"08",P$73:P$312)/NETWORKDAYS(P$21,P$21+6,HOLIDAYS),1))</f>
        <v>6</v>
      </c>
      <c r="Q30" s="278" t="n">
        <f aca="false">IF(NETWORKDAYS(Q$21,Q$21+6,HOLIDAYS)=0,0,ROUND(SUMIF($B$73:$B$312,"08",Q$73:Q$312)/NETWORKDAYS(Q$21,Q$21+6,HOLIDAYS),1))</f>
        <v>20.8</v>
      </c>
      <c r="R30" s="278" t="n">
        <f aca="false">IF(NETWORKDAYS(R$21,R$21+6,HOLIDAYS)=0,0,ROUND(SUMIF($B$73:$B$312,"08",R$73:R$312)/NETWORKDAYS(R$21,R$21+6,HOLIDAYS),1))</f>
        <v>0</v>
      </c>
      <c r="S30" s="278" t="n">
        <f aca="false">IF(NETWORKDAYS(S$21,S$21+6,HOLIDAYS)=0,0,ROUND(SUMIF($B$73:$B$312,"08",S$73:S$312)/NETWORKDAYS(S$21,S$21+6,HOLIDAYS),1))</f>
        <v>3.9</v>
      </c>
      <c r="T30" s="278" t="n">
        <f aca="false">IF(NETWORKDAYS(T$21,T$21+6,HOLIDAYS)=0,0,ROUND(SUMIF($B$73:$B$312,"08",T$73:T$312)/NETWORKDAYS(T$21,T$21+6,HOLIDAYS),1))</f>
        <v>0</v>
      </c>
      <c r="U30" s="278" t="n">
        <f aca="false">IF(NETWORKDAYS(U$21,U$21+6,HOLIDAYS)=0,0,ROUND(SUMIF($B$73:$B$312,"08",U$73:U$312)/NETWORKDAYS(U$21,U$21+6,HOLIDAYS),1))</f>
        <v>0</v>
      </c>
      <c r="V30" s="278" t="n">
        <f aca="false">IF(NETWORKDAYS(V$21,V$21+6,HOLIDAYS)=0,0,ROUND(SUMIF($B$73:$B$312,"08",V$73:V$312)/NETWORKDAYS(V$21,V$21+6,HOLIDAYS),1))</f>
        <v>0</v>
      </c>
      <c r="W30" s="278" t="n">
        <f aca="false">IF(NETWORKDAYS(W$21,W$21+6,HOLIDAYS)=0,0,ROUND(SUMIF($B$73:$B$312,"08",W$73:W$312)/NETWORKDAYS(W$21,W$21+6,HOLIDAYS),1))</f>
        <v>0</v>
      </c>
      <c r="X30" s="278" t="n">
        <f aca="false">IF(NETWORKDAYS(X$21,X$21+6,HOLIDAYS)=0,0,ROUND(SUMIF($B$73:$B$312,"08",X$73:X$312)/NETWORKDAYS(X$21,X$21+6,HOLIDAYS),1))</f>
        <v>0</v>
      </c>
      <c r="Y30" s="278" t="n">
        <f aca="false">IF(NETWORKDAYS(Y$21,Y$21+6,HOLIDAYS)=0,0,ROUND(SUMIF($B$73:$B$312,"08",Y$73:Y$312)/NETWORKDAYS(Y$21,Y$21+6,HOLIDAYS),1))</f>
        <v>0</v>
      </c>
      <c r="Z30" s="278" t="n">
        <f aca="false">IF(NETWORKDAYS(Z$21,Z$21+6,HOLIDAYS)=0,0,ROUND(SUMIF($B$73:$B$312,"08",Z$73:Z$312)/NETWORKDAYS(Z$21,Z$21+6,HOLIDAYS),1))</f>
        <v>0</v>
      </c>
      <c r="AA30" s="278" t="n">
        <f aca="false">IF(NETWORKDAYS(AA$21,AA$21+6,HOLIDAYS)=0,0,ROUND(SUMIF($B$73:$B$312,"08",AA$73:AA$312)/NETWORKDAYS(AA$21,AA$21+6,HOLIDAYS),1))</f>
        <v>0</v>
      </c>
      <c r="AB30" s="278" t="n">
        <f aca="false">IF(NETWORKDAYS(AB$21,AB$21+6,HOLIDAYS)=0,0,ROUND(SUMIF($B$73:$B$312,"08",AB$73:AB$312)/NETWORKDAYS(AB$21,AB$21+6,HOLIDAYS),1))</f>
        <v>0</v>
      </c>
      <c r="AC30" s="278" t="n">
        <f aca="false">IF(NETWORKDAYS(AC$21,AC$21+6,HOLIDAYS)=0,0,ROUND(SUMIF($B$73:$B$312,"08",AC$73:AC$312)/NETWORKDAYS(AC$21,AC$21+6,HOLIDAYS),1))</f>
        <v>0</v>
      </c>
      <c r="AD30" s="278" t="n">
        <f aca="false">IF(NETWORKDAYS(AD$21,AD$21+6,HOLIDAYS)=0,0,ROUND(SUMIF($B$73:$B$312,"08",AD$73:AD$312)/NETWORKDAYS(AD$21,AD$21+6,HOLIDAYS),1))</f>
        <v>0</v>
      </c>
      <c r="AE30" s="278" t="n">
        <f aca="false">IF(NETWORKDAYS(AE$21,AE$21+6,HOLIDAYS)=0,0,ROUND(SUMIF($B$73:$B$312,"08",AE$73:AE$312)/NETWORKDAYS(AE$21,AE$21+6,HOLIDAYS),1))</f>
        <v>0</v>
      </c>
      <c r="AF30" s="278" t="n">
        <f aca="false">IF(NETWORKDAYS(AF$21,AF$21+6,HOLIDAYS)=0,0,ROUND(SUMIF($B$73:$B$312,"08",AF$73:AF$312)/NETWORKDAYS(AF$21,AF$21+6,HOLIDAYS),1))</f>
        <v>0</v>
      </c>
      <c r="AG30" s="278" t="n">
        <f aca="false">IF(NETWORKDAYS(AG$21,AG$21+6,HOLIDAYS)=0,0,ROUND(SUMIF($B$73:$B$312,"08",AG$73:AG$312)/NETWORKDAYS(AG$21,AG$21+6,HOLIDAYS),1))</f>
        <v>0</v>
      </c>
      <c r="AH30" s="278" t="n">
        <f aca="false">IF(NETWORKDAYS(AH$21,AH$21+6,HOLIDAYS)=0,0,ROUND(SUMIF($B$73:$B$312,"08",AH$73:AH$312)/NETWORKDAYS(AH$21,AH$21+6,HOLIDAYS),1))</f>
        <v>0</v>
      </c>
      <c r="AI30" s="278" t="n">
        <f aca="false">IF(NETWORKDAYS(AI$21,AI$21+6,HOLIDAYS)=0,0,ROUND(SUMIF($B$73:$B$312,"08",AI$73:AI$312)/NETWORKDAYS(AI$21,AI$21+6,HOLIDAYS),1))</f>
        <v>0</v>
      </c>
      <c r="AJ30" s="278" t="n">
        <f aca="false">IF(NETWORKDAYS(AJ$21,AJ$21+6,HOLIDAYS)=0,0,ROUND(SUMIF($B$73:$B$312,"08",AJ$73:AJ$312)/NETWORKDAYS(AJ$21,AJ$21+6,HOLIDAYS),1))</f>
        <v>0</v>
      </c>
      <c r="AK30" s="278" t="n">
        <f aca="false">IF(NETWORKDAYS(AK$21,AK$21+6,HOLIDAYS)=0,0,ROUND(SUMIF($B$73:$B$312,"08",AK$73:AK$312)/NETWORKDAYS(AK$21,AK$21+6,HOLIDAYS),1))</f>
        <v>0</v>
      </c>
      <c r="AL30" s="278" t="n">
        <f aca="false">IF(NETWORKDAYS(AL$21,AL$21+6,HOLIDAYS)=0,0,ROUND(SUMIF($B$73:$B$312,"08",AL$73:AL$312)/NETWORKDAYS(AL$21,AL$21+6,HOLIDAYS),1))</f>
        <v>0</v>
      </c>
      <c r="AM30" s="278" t="n">
        <f aca="false">IF(NETWORKDAYS(AM$21,AM$21+6,HOLIDAYS)=0,0,ROUND(SUMIF($B$73:$B$312,"08",AM$73:AM$312)/NETWORKDAYS(AM$21,AM$21+6,HOLIDAYS),1))</f>
        <v>0</v>
      </c>
      <c r="AN30" s="278" t="n">
        <f aca="false">IF(NETWORKDAYS(AN$21,AN$21+6,HOLIDAYS)=0,0,ROUND(SUMIF($B$73:$B$312,"08",AN$73:AN$312)/NETWORKDAYS(AN$21,AN$21+6,HOLIDAYS),1))</f>
        <v>0</v>
      </c>
      <c r="AO30" s="278" t="n">
        <f aca="false">IF(NETWORKDAYS(AO$21,AO$21+6,HOLIDAYS)=0,0,ROUND(SUMIF($B$73:$B$312,"08",AO$73:AO$312)/NETWORKDAYS(AO$21,AO$21+6,HOLIDAYS),1))</f>
        <v>0</v>
      </c>
      <c r="AP30" s="278" t="n">
        <f aca="false">IF(NETWORKDAYS(AP$21,AP$21+6,HOLIDAYS)=0,0,ROUND(SUMIF($B$73:$B$312,"08",AP$73:AP$312)/NETWORKDAYS(AP$21,AP$21+6,HOLIDAYS),1))</f>
        <v>0</v>
      </c>
      <c r="AQ30" s="278" t="n">
        <f aca="false">IF(NETWORKDAYS(AQ$21,AQ$21+6,HOLIDAYS)=0,0,ROUND(SUMIF($B$73:$B$312,"08",AQ$73:AQ$312)/NETWORKDAYS(AQ$21,AQ$21+6,HOLIDAYS),1))</f>
        <v>0</v>
      </c>
      <c r="AR30" s="278" t="n">
        <f aca="false">IF(NETWORKDAYS(AR$21,AR$21+6,HOLIDAYS)=0,0,ROUND(SUMIF($B$73:$B$312,"08",AR$73:AR$312)/NETWORKDAYS(AR$21,AR$21+6,HOLIDAYS),1))</f>
        <v>0</v>
      </c>
    </row>
    <row r="31" customFormat="false" ht="15" hidden="false" customHeight="false" outlineLevel="0" collapsed="false">
      <c r="A31" s="246" t="s">
        <v>2329</v>
      </c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76" t="n">
        <f aca="false">MAX(O31:AR31)</f>
        <v>19.9</v>
      </c>
      <c r="O31" s="278" t="n">
        <f aca="false">IF(NETWORKDAYS(O$21,O$21+6,HOLIDAYS)=0,0,ROUND(SUMIF($B$73:$B$312,"09",O$73:O$312)/NETWORKDAYS(O$21,O$21+6,HOLIDAYS),1))</f>
        <v>4.1</v>
      </c>
      <c r="P31" s="278" t="n">
        <f aca="false">IF(NETWORKDAYS(P$21,P$21+6,HOLIDAYS)=0,0,ROUND(SUMIF($B$73:$B$312,"09",P$73:P$312)/NETWORKDAYS(P$21,P$21+6,HOLIDAYS),1))</f>
        <v>4.1</v>
      </c>
      <c r="Q31" s="278" t="n">
        <f aca="false">IF(NETWORKDAYS(Q$21,Q$21+6,HOLIDAYS)=0,0,ROUND(SUMIF($B$73:$B$312,"09",Q$73:Q$312)/NETWORKDAYS(Q$21,Q$21+6,HOLIDAYS),1))</f>
        <v>19.9</v>
      </c>
      <c r="R31" s="278" t="n">
        <f aca="false">IF(NETWORKDAYS(R$21,R$21+6,HOLIDAYS)=0,0,ROUND(SUMIF($B$73:$B$312,"09",R$73:R$312)/NETWORKDAYS(R$21,R$21+6,HOLIDAYS),1))</f>
        <v>0</v>
      </c>
      <c r="S31" s="278" t="n">
        <f aca="false">IF(NETWORKDAYS(S$21,S$21+6,HOLIDAYS)=0,0,ROUND(SUMIF($B$73:$B$312,"09",S$73:S$312)/NETWORKDAYS(S$21,S$21+6,HOLIDAYS),1))</f>
        <v>3.1</v>
      </c>
      <c r="T31" s="278" t="n">
        <f aca="false">IF(NETWORKDAYS(T$21,T$21+6,HOLIDAYS)=0,0,ROUND(SUMIF($B$73:$B$312,"09",T$73:T$312)/NETWORKDAYS(T$21,T$21+6,HOLIDAYS),1))</f>
        <v>0</v>
      </c>
      <c r="U31" s="278" t="n">
        <f aca="false">IF(NETWORKDAYS(U$21,U$21+6,HOLIDAYS)=0,0,ROUND(SUMIF($B$73:$B$312,"09",U$73:U$312)/NETWORKDAYS(U$21,U$21+6,HOLIDAYS),1))</f>
        <v>0</v>
      </c>
      <c r="V31" s="278" t="n">
        <f aca="false">IF(NETWORKDAYS(V$21,V$21+6,HOLIDAYS)=0,0,ROUND(SUMIF($B$73:$B$312,"09",V$73:V$312)/NETWORKDAYS(V$21,V$21+6,HOLIDAYS),1))</f>
        <v>0</v>
      </c>
      <c r="W31" s="278" t="n">
        <f aca="false">IF(NETWORKDAYS(W$21,W$21+6,HOLIDAYS)=0,0,ROUND(SUMIF($B$73:$B$312,"09",W$73:W$312)/NETWORKDAYS(W$21,W$21+6,HOLIDAYS),1))</f>
        <v>0</v>
      </c>
      <c r="X31" s="278" t="n">
        <f aca="false">IF(NETWORKDAYS(X$21,X$21+6,HOLIDAYS)=0,0,ROUND(SUMIF($B$73:$B$312,"09",X$73:X$312)/NETWORKDAYS(X$21,X$21+6,HOLIDAYS),1))</f>
        <v>0</v>
      </c>
      <c r="Y31" s="278" t="n">
        <f aca="false">IF(NETWORKDAYS(Y$21,Y$21+6,HOLIDAYS)=0,0,ROUND(SUMIF($B$73:$B$312,"09",Y$73:Y$312)/NETWORKDAYS(Y$21,Y$21+6,HOLIDAYS),1))</f>
        <v>0</v>
      </c>
      <c r="Z31" s="278" t="n">
        <f aca="false">IF(NETWORKDAYS(Z$21,Z$21+6,HOLIDAYS)=0,0,ROUND(SUMIF($B$73:$B$312,"09",Z$73:Z$312)/NETWORKDAYS(Z$21,Z$21+6,HOLIDAYS),1))</f>
        <v>0</v>
      </c>
      <c r="AA31" s="278" t="n">
        <f aca="false">IF(NETWORKDAYS(AA$21,AA$21+6,HOLIDAYS)=0,0,ROUND(SUMIF($B$73:$B$312,"09",AA$73:AA$312)/NETWORKDAYS(AA$21,AA$21+6,HOLIDAYS),1))</f>
        <v>0</v>
      </c>
      <c r="AB31" s="278" t="n">
        <f aca="false">IF(NETWORKDAYS(AB$21,AB$21+6,HOLIDAYS)=0,0,ROUND(SUMIF($B$73:$B$312,"09",AB$73:AB$312)/NETWORKDAYS(AB$21,AB$21+6,HOLIDAYS),1))</f>
        <v>0</v>
      </c>
      <c r="AC31" s="278" t="n">
        <f aca="false">IF(NETWORKDAYS(AC$21,AC$21+6,HOLIDAYS)=0,0,ROUND(SUMIF($B$73:$B$312,"09",AC$73:AC$312)/NETWORKDAYS(AC$21,AC$21+6,HOLIDAYS),1))</f>
        <v>0</v>
      </c>
      <c r="AD31" s="278" t="n">
        <f aca="false">IF(NETWORKDAYS(AD$21,AD$21+6,HOLIDAYS)=0,0,ROUND(SUMIF($B$73:$B$312,"09",AD$73:AD$312)/NETWORKDAYS(AD$21,AD$21+6,HOLIDAYS),1))</f>
        <v>0</v>
      </c>
      <c r="AE31" s="278" t="n">
        <f aca="false">IF(NETWORKDAYS(AE$21,AE$21+6,HOLIDAYS)=0,0,ROUND(SUMIF($B$73:$B$312,"09",AE$73:AE$312)/NETWORKDAYS(AE$21,AE$21+6,HOLIDAYS),1))</f>
        <v>0</v>
      </c>
      <c r="AF31" s="278" t="n">
        <f aca="false">IF(NETWORKDAYS(AF$21,AF$21+6,HOLIDAYS)=0,0,ROUND(SUMIF($B$73:$B$312,"09",AF$73:AF$312)/NETWORKDAYS(AF$21,AF$21+6,HOLIDAYS),1))</f>
        <v>0</v>
      </c>
      <c r="AG31" s="278" t="n">
        <f aca="false">IF(NETWORKDAYS(AG$21,AG$21+6,HOLIDAYS)=0,0,ROUND(SUMIF($B$73:$B$312,"09",AG$73:AG$312)/NETWORKDAYS(AG$21,AG$21+6,HOLIDAYS),1))</f>
        <v>0</v>
      </c>
      <c r="AH31" s="278" t="n">
        <f aca="false">IF(NETWORKDAYS(AH$21,AH$21+6,HOLIDAYS)=0,0,ROUND(SUMIF($B$73:$B$312,"09",AH$73:AH$312)/NETWORKDAYS(AH$21,AH$21+6,HOLIDAYS),1))</f>
        <v>0</v>
      </c>
      <c r="AI31" s="278" t="n">
        <f aca="false">IF(NETWORKDAYS(AI$21,AI$21+6,HOLIDAYS)=0,0,ROUND(SUMIF($B$73:$B$312,"09",AI$73:AI$312)/NETWORKDAYS(AI$21,AI$21+6,HOLIDAYS),1))</f>
        <v>0</v>
      </c>
      <c r="AJ31" s="278" t="n">
        <f aca="false">IF(NETWORKDAYS(AJ$21,AJ$21+6,HOLIDAYS)=0,0,ROUND(SUMIF($B$73:$B$312,"09",AJ$73:AJ$312)/NETWORKDAYS(AJ$21,AJ$21+6,HOLIDAYS),1))</f>
        <v>0</v>
      </c>
      <c r="AK31" s="278" t="n">
        <f aca="false">IF(NETWORKDAYS(AK$21,AK$21+6,HOLIDAYS)=0,0,ROUND(SUMIF($B$73:$B$312,"09",AK$73:AK$312)/NETWORKDAYS(AK$21,AK$21+6,HOLIDAYS),1))</f>
        <v>0</v>
      </c>
      <c r="AL31" s="278" t="n">
        <f aca="false">IF(NETWORKDAYS(AL$21,AL$21+6,HOLIDAYS)=0,0,ROUND(SUMIF($B$73:$B$312,"09",AL$73:AL$312)/NETWORKDAYS(AL$21,AL$21+6,HOLIDAYS),1))</f>
        <v>0</v>
      </c>
      <c r="AM31" s="278" t="n">
        <f aca="false">IF(NETWORKDAYS(AM$21,AM$21+6,HOLIDAYS)=0,0,ROUND(SUMIF($B$73:$B$312,"09",AM$73:AM$312)/NETWORKDAYS(AM$21,AM$21+6,HOLIDAYS),1))</f>
        <v>0</v>
      </c>
      <c r="AN31" s="278" t="n">
        <f aca="false">IF(NETWORKDAYS(AN$21,AN$21+6,HOLIDAYS)=0,0,ROUND(SUMIF($B$73:$B$312,"09",AN$73:AN$312)/NETWORKDAYS(AN$21,AN$21+6,HOLIDAYS),1))</f>
        <v>0</v>
      </c>
      <c r="AO31" s="278" t="n">
        <f aca="false">IF(NETWORKDAYS(AO$21,AO$21+6,HOLIDAYS)=0,0,ROUND(SUMIF($B$73:$B$312,"09",AO$73:AO$312)/NETWORKDAYS(AO$21,AO$21+6,HOLIDAYS),1))</f>
        <v>0</v>
      </c>
      <c r="AP31" s="278" t="n">
        <f aca="false">IF(NETWORKDAYS(AP$21,AP$21+6,HOLIDAYS)=0,0,ROUND(SUMIF($B$73:$B$312,"09",AP$73:AP$312)/NETWORKDAYS(AP$21,AP$21+6,HOLIDAYS),1))</f>
        <v>0</v>
      </c>
      <c r="AQ31" s="278" t="n">
        <f aca="false">IF(NETWORKDAYS(AQ$21,AQ$21+6,HOLIDAYS)=0,0,ROUND(SUMIF($B$73:$B$312,"09",AQ$73:AQ$312)/NETWORKDAYS(AQ$21,AQ$21+6,HOLIDAYS),1))</f>
        <v>0</v>
      </c>
      <c r="AR31" s="278" t="n">
        <f aca="false">IF(NETWORKDAYS(AR$21,AR$21+6,HOLIDAYS)=0,0,ROUND(SUMIF($B$73:$B$312,"09",AR$73:AR$312)/NETWORKDAYS(AR$21,AR$21+6,HOLIDAYS),1))</f>
        <v>0</v>
      </c>
    </row>
    <row r="32" customFormat="false" ht="15" hidden="false" customHeight="false" outlineLevel="0" collapsed="false">
      <c r="A32" s="246" t="s">
        <v>2330</v>
      </c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76" t="n">
        <f aca="false">MAX(O32:AR32)</f>
        <v>22.6</v>
      </c>
      <c r="O32" s="278" t="n">
        <f aca="false">IF(NETWORKDAYS(O$21,O$21+6,HOLIDAYS)=0,0,ROUND(SUMIF($B$73:$B$312,"10",O$73:O$312)/NETWORKDAYS(O$21,O$21+6,HOLIDAYS),1))</f>
        <v>9</v>
      </c>
      <c r="P32" s="278" t="n">
        <f aca="false">IF(NETWORKDAYS(P$21,P$21+6,HOLIDAYS)=0,0,ROUND(SUMIF($B$73:$B$312,"10",P$73:P$312)/NETWORKDAYS(P$21,P$21+6,HOLIDAYS),1))</f>
        <v>6.7</v>
      </c>
      <c r="Q32" s="278" t="n">
        <f aca="false">IF(NETWORKDAYS(Q$21,Q$21+6,HOLIDAYS)=0,0,ROUND(SUMIF($B$73:$B$312,"10",Q$73:Q$312)/NETWORKDAYS(Q$21,Q$21+6,HOLIDAYS),1))</f>
        <v>22.6</v>
      </c>
      <c r="R32" s="278" t="n">
        <f aca="false">IF(NETWORKDAYS(R$21,R$21+6,HOLIDAYS)=0,0,ROUND(SUMIF($B$73:$B$312,"10",R$73:R$312)/NETWORKDAYS(R$21,R$21+6,HOLIDAYS),1))</f>
        <v>0</v>
      </c>
      <c r="S32" s="278" t="n">
        <f aca="false">IF(NETWORKDAYS(S$21,S$21+6,HOLIDAYS)=0,0,ROUND(SUMIF($B$73:$B$312,"10",S$73:S$312)/NETWORKDAYS(S$21,S$21+6,HOLIDAYS),1))</f>
        <v>3.9</v>
      </c>
      <c r="T32" s="278" t="n">
        <f aca="false">IF(NETWORKDAYS(T$21,T$21+6,HOLIDAYS)=0,0,ROUND(SUMIF($B$73:$B$312,"10",T$73:T$312)/NETWORKDAYS(T$21,T$21+6,HOLIDAYS),1))</f>
        <v>0</v>
      </c>
      <c r="U32" s="278" t="n">
        <f aca="false">IF(NETWORKDAYS(U$21,U$21+6,HOLIDAYS)=0,0,ROUND(SUMIF($B$73:$B$312,"10",U$73:U$312)/NETWORKDAYS(U$21,U$21+6,HOLIDAYS),1))</f>
        <v>0</v>
      </c>
      <c r="V32" s="278" t="n">
        <f aca="false">IF(NETWORKDAYS(V$21,V$21+6,HOLIDAYS)=0,0,ROUND(SUMIF($B$73:$B$312,"10",V$73:V$312)/NETWORKDAYS(V$21,V$21+6,HOLIDAYS),1))</f>
        <v>0</v>
      </c>
      <c r="W32" s="278" t="n">
        <f aca="false">IF(NETWORKDAYS(W$21,W$21+6,HOLIDAYS)=0,0,ROUND(SUMIF($B$73:$B$312,"10",W$73:W$312)/NETWORKDAYS(W$21,W$21+6,HOLIDAYS),1))</f>
        <v>0</v>
      </c>
      <c r="X32" s="278" t="n">
        <f aca="false">IF(NETWORKDAYS(X$21,X$21+6,HOLIDAYS)=0,0,ROUND(SUMIF($B$73:$B$312,"10",X$73:X$312)/NETWORKDAYS(X$21,X$21+6,HOLIDAYS),1))</f>
        <v>0</v>
      </c>
      <c r="Y32" s="278" t="n">
        <f aca="false">IF(NETWORKDAYS(Y$21,Y$21+6,HOLIDAYS)=0,0,ROUND(SUMIF($B$73:$B$312,"10",Y$73:Y$312)/NETWORKDAYS(Y$21,Y$21+6,HOLIDAYS),1))</f>
        <v>0</v>
      </c>
      <c r="Z32" s="278" t="n">
        <f aca="false">IF(NETWORKDAYS(Z$21,Z$21+6,HOLIDAYS)=0,0,ROUND(SUMIF($B$73:$B$312,"10",Z$73:Z$312)/NETWORKDAYS(Z$21,Z$21+6,HOLIDAYS),1))</f>
        <v>0</v>
      </c>
      <c r="AA32" s="278" t="n">
        <f aca="false">IF(NETWORKDAYS(AA$21,AA$21+6,HOLIDAYS)=0,0,ROUND(SUMIF($B$73:$B$312,"10",AA$73:AA$312)/NETWORKDAYS(AA$21,AA$21+6,HOLIDAYS),1))</f>
        <v>0</v>
      </c>
      <c r="AB32" s="278" t="n">
        <f aca="false">IF(NETWORKDAYS(AB$21,AB$21+6,HOLIDAYS)=0,0,ROUND(SUMIF($B$73:$B$312,"10",AB$73:AB$312)/NETWORKDAYS(AB$21,AB$21+6,HOLIDAYS),1))</f>
        <v>0</v>
      </c>
      <c r="AC32" s="278" t="n">
        <f aca="false">IF(NETWORKDAYS(AC$21,AC$21+6,HOLIDAYS)=0,0,ROUND(SUMIF($B$73:$B$312,"10",AC$73:AC$312)/NETWORKDAYS(AC$21,AC$21+6,HOLIDAYS),1))</f>
        <v>0</v>
      </c>
      <c r="AD32" s="278" t="n">
        <f aca="false">IF(NETWORKDAYS(AD$21,AD$21+6,HOLIDAYS)=0,0,ROUND(SUMIF($B$73:$B$312,"10",AD$73:AD$312)/NETWORKDAYS(AD$21,AD$21+6,HOLIDAYS),1))</f>
        <v>0</v>
      </c>
      <c r="AE32" s="278" t="n">
        <f aca="false">IF(NETWORKDAYS(AE$21,AE$21+6,HOLIDAYS)=0,0,ROUND(SUMIF($B$73:$B$312,"10",AE$73:AE$312)/NETWORKDAYS(AE$21,AE$21+6,HOLIDAYS),1))</f>
        <v>0</v>
      </c>
      <c r="AF32" s="278" t="n">
        <f aca="false">IF(NETWORKDAYS(AF$21,AF$21+6,HOLIDAYS)=0,0,ROUND(SUMIF($B$73:$B$312,"10",AF$73:AF$312)/NETWORKDAYS(AF$21,AF$21+6,HOLIDAYS),1))</f>
        <v>0</v>
      </c>
      <c r="AG32" s="278" t="n">
        <f aca="false">IF(NETWORKDAYS(AG$21,AG$21+6,HOLIDAYS)=0,0,ROUND(SUMIF($B$73:$B$312,"10",AG$73:AG$312)/NETWORKDAYS(AG$21,AG$21+6,HOLIDAYS),1))</f>
        <v>0</v>
      </c>
      <c r="AH32" s="278" t="n">
        <f aca="false">IF(NETWORKDAYS(AH$21,AH$21+6,HOLIDAYS)=0,0,ROUND(SUMIF($B$73:$B$312,"10",AH$73:AH$312)/NETWORKDAYS(AH$21,AH$21+6,HOLIDAYS),1))</f>
        <v>0</v>
      </c>
      <c r="AI32" s="278" t="n">
        <f aca="false">IF(NETWORKDAYS(AI$21,AI$21+6,HOLIDAYS)=0,0,ROUND(SUMIF($B$73:$B$312,"10",AI$73:AI$312)/NETWORKDAYS(AI$21,AI$21+6,HOLIDAYS),1))</f>
        <v>0</v>
      </c>
      <c r="AJ32" s="278" t="n">
        <f aca="false">IF(NETWORKDAYS(AJ$21,AJ$21+6,HOLIDAYS)=0,0,ROUND(SUMIF($B$73:$B$312,"10",AJ$73:AJ$312)/NETWORKDAYS(AJ$21,AJ$21+6,HOLIDAYS),1))</f>
        <v>0</v>
      </c>
      <c r="AK32" s="278" t="n">
        <f aca="false">IF(NETWORKDAYS(AK$21,AK$21+6,HOLIDAYS)=0,0,ROUND(SUMIF($B$73:$B$312,"10",AK$73:AK$312)/NETWORKDAYS(AK$21,AK$21+6,HOLIDAYS),1))</f>
        <v>0</v>
      </c>
      <c r="AL32" s="278" t="n">
        <f aca="false">IF(NETWORKDAYS(AL$21,AL$21+6,HOLIDAYS)=0,0,ROUND(SUMIF($B$73:$B$312,"10",AL$73:AL$312)/NETWORKDAYS(AL$21,AL$21+6,HOLIDAYS),1))</f>
        <v>0</v>
      </c>
      <c r="AM32" s="278" t="n">
        <f aca="false">IF(NETWORKDAYS(AM$21,AM$21+6,HOLIDAYS)=0,0,ROUND(SUMIF($B$73:$B$312,"10",AM$73:AM$312)/NETWORKDAYS(AM$21,AM$21+6,HOLIDAYS),1))</f>
        <v>0</v>
      </c>
      <c r="AN32" s="278" t="n">
        <f aca="false">IF(NETWORKDAYS(AN$21,AN$21+6,HOLIDAYS)=0,0,ROUND(SUMIF($B$73:$B$312,"10",AN$73:AN$312)/NETWORKDAYS(AN$21,AN$21+6,HOLIDAYS),1))</f>
        <v>0</v>
      </c>
      <c r="AO32" s="278" t="n">
        <f aca="false">IF(NETWORKDAYS(AO$21,AO$21+6,HOLIDAYS)=0,0,ROUND(SUMIF($B$73:$B$312,"10",AO$73:AO$312)/NETWORKDAYS(AO$21,AO$21+6,HOLIDAYS),1))</f>
        <v>0</v>
      </c>
      <c r="AP32" s="278" t="n">
        <f aca="false">IF(NETWORKDAYS(AP$21,AP$21+6,HOLIDAYS)=0,0,ROUND(SUMIF($B$73:$B$312,"10",AP$73:AP$312)/NETWORKDAYS(AP$21,AP$21+6,HOLIDAYS),1))</f>
        <v>0</v>
      </c>
      <c r="AQ32" s="278" t="n">
        <f aca="false">IF(NETWORKDAYS(AQ$21,AQ$21+6,HOLIDAYS)=0,0,ROUND(SUMIF($B$73:$B$312,"10",AQ$73:AQ$312)/NETWORKDAYS(AQ$21,AQ$21+6,HOLIDAYS),1))</f>
        <v>0</v>
      </c>
      <c r="AR32" s="278" t="n">
        <f aca="false">IF(NETWORKDAYS(AR$21,AR$21+6,HOLIDAYS)=0,0,ROUND(SUMIF($B$73:$B$312,"10",AR$73:AR$312)/NETWORKDAYS(AR$21,AR$21+6,HOLIDAYS),1))</f>
        <v>0</v>
      </c>
    </row>
    <row r="33" customFormat="false" ht="15" hidden="false" customHeight="false" outlineLevel="0" collapsed="false">
      <c r="A33" s="246" t="s">
        <v>2331</v>
      </c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76" t="n">
        <f aca="false">MAX(O33:AR33)</f>
        <v>18.1</v>
      </c>
      <c r="O33" s="278" t="n">
        <f aca="false">IF(NETWORKDAYS(O$21,O$21+6,HOLIDAYS)=0,0,ROUND(SUMIF($B$73:$B$312,"11",O$73:O$312)/NETWORKDAYS(O$21,O$21+6,HOLIDAYS),1))</f>
        <v>4.1</v>
      </c>
      <c r="P33" s="278" t="n">
        <f aca="false">IF(NETWORKDAYS(P$21,P$21+6,HOLIDAYS)=0,0,ROUND(SUMIF($B$73:$B$312,"11",P$73:P$312)/NETWORKDAYS(P$21,P$21+6,HOLIDAYS),1))</f>
        <v>4.1</v>
      </c>
      <c r="Q33" s="278" t="n">
        <f aca="false">IF(NETWORKDAYS(Q$21,Q$21+6,HOLIDAYS)=0,0,ROUND(SUMIF($B$73:$B$312,"11",Q$73:Q$312)/NETWORKDAYS(Q$21,Q$21+6,HOLIDAYS),1))</f>
        <v>18.1</v>
      </c>
      <c r="R33" s="278" t="n">
        <f aca="false">IF(NETWORKDAYS(R$21,R$21+6,HOLIDAYS)=0,0,ROUND(SUMIF($B$73:$B$312,"11",R$73:R$312)/NETWORKDAYS(R$21,R$21+6,HOLIDAYS),1))</f>
        <v>0</v>
      </c>
      <c r="S33" s="278" t="n">
        <f aca="false">IF(NETWORKDAYS(S$21,S$21+6,HOLIDAYS)=0,0,ROUND(SUMIF($B$73:$B$312,"11",S$73:S$312)/NETWORKDAYS(S$21,S$21+6,HOLIDAYS),1))</f>
        <v>3.1</v>
      </c>
      <c r="T33" s="278" t="n">
        <f aca="false">IF(NETWORKDAYS(T$21,T$21+6,HOLIDAYS)=0,0,ROUND(SUMIF($B$73:$B$312,"11",T$73:T$312)/NETWORKDAYS(T$21,T$21+6,HOLIDAYS),1))</f>
        <v>0</v>
      </c>
      <c r="U33" s="278" t="n">
        <f aca="false">IF(NETWORKDAYS(U$21,U$21+6,HOLIDAYS)=0,0,ROUND(SUMIF($B$73:$B$312,"11",U$73:U$312)/NETWORKDAYS(U$21,U$21+6,HOLIDAYS),1))</f>
        <v>0</v>
      </c>
      <c r="V33" s="278" t="n">
        <f aca="false">IF(NETWORKDAYS(V$21,V$21+6,HOLIDAYS)=0,0,ROUND(SUMIF($B$73:$B$312,"11",V$73:V$312)/NETWORKDAYS(V$21,V$21+6,HOLIDAYS),1))</f>
        <v>0</v>
      </c>
      <c r="W33" s="278" t="n">
        <f aca="false">IF(NETWORKDAYS(W$21,W$21+6,HOLIDAYS)=0,0,ROUND(SUMIF($B$73:$B$312,"11",W$73:W$312)/NETWORKDAYS(W$21,W$21+6,HOLIDAYS),1))</f>
        <v>0</v>
      </c>
      <c r="X33" s="278" t="n">
        <f aca="false">IF(NETWORKDAYS(X$21,X$21+6,HOLIDAYS)=0,0,ROUND(SUMIF($B$73:$B$312,"11",X$73:X$312)/NETWORKDAYS(X$21,X$21+6,HOLIDAYS),1))</f>
        <v>0</v>
      </c>
      <c r="Y33" s="278" t="n">
        <f aca="false">IF(NETWORKDAYS(Y$21,Y$21+6,HOLIDAYS)=0,0,ROUND(SUMIF($B$73:$B$312,"11",Y$73:Y$312)/NETWORKDAYS(Y$21,Y$21+6,HOLIDAYS),1))</f>
        <v>0</v>
      </c>
      <c r="Z33" s="278" t="n">
        <f aca="false">IF(NETWORKDAYS(Z$21,Z$21+6,HOLIDAYS)=0,0,ROUND(SUMIF($B$73:$B$312,"11",Z$73:Z$312)/NETWORKDAYS(Z$21,Z$21+6,HOLIDAYS),1))</f>
        <v>0</v>
      </c>
      <c r="AA33" s="278" t="n">
        <f aca="false">IF(NETWORKDAYS(AA$21,AA$21+6,HOLIDAYS)=0,0,ROUND(SUMIF($B$73:$B$312,"11",AA$73:AA$312)/NETWORKDAYS(AA$21,AA$21+6,HOLIDAYS),1))</f>
        <v>0</v>
      </c>
      <c r="AB33" s="278" t="n">
        <f aca="false">IF(NETWORKDAYS(AB$21,AB$21+6,HOLIDAYS)=0,0,ROUND(SUMIF($B$73:$B$312,"11",AB$73:AB$312)/NETWORKDAYS(AB$21,AB$21+6,HOLIDAYS),1))</f>
        <v>0</v>
      </c>
      <c r="AC33" s="278" t="n">
        <f aca="false">IF(NETWORKDAYS(AC$21,AC$21+6,HOLIDAYS)=0,0,ROUND(SUMIF($B$73:$B$312,"11",AC$73:AC$312)/NETWORKDAYS(AC$21,AC$21+6,HOLIDAYS),1))</f>
        <v>0</v>
      </c>
      <c r="AD33" s="278" t="n">
        <f aca="false">IF(NETWORKDAYS(AD$21,AD$21+6,HOLIDAYS)=0,0,ROUND(SUMIF($B$73:$B$312,"11",AD$73:AD$312)/NETWORKDAYS(AD$21,AD$21+6,HOLIDAYS),1))</f>
        <v>0</v>
      </c>
      <c r="AE33" s="278" t="n">
        <f aca="false">IF(NETWORKDAYS(AE$21,AE$21+6,HOLIDAYS)=0,0,ROUND(SUMIF($B$73:$B$312,"11",AE$73:AE$312)/NETWORKDAYS(AE$21,AE$21+6,HOLIDAYS),1))</f>
        <v>0</v>
      </c>
      <c r="AF33" s="278" t="n">
        <f aca="false">IF(NETWORKDAYS(AF$21,AF$21+6,HOLIDAYS)=0,0,ROUND(SUMIF($B$73:$B$312,"11",AF$73:AF$312)/NETWORKDAYS(AF$21,AF$21+6,HOLIDAYS),1))</f>
        <v>0</v>
      </c>
      <c r="AG33" s="278" t="n">
        <f aca="false">IF(NETWORKDAYS(AG$21,AG$21+6,HOLIDAYS)=0,0,ROUND(SUMIF($B$73:$B$312,"11",AG$73:AG$312)/NETWORKDAYS(AG$21,AG$21+6,HOLIDAYS),1))</f>
        <v>0</v>
      </c>
      <c r="AH33" s="278" t="n">
        <f aca="false">IF(NETWORKDAYS(AH$21,AH$21+6,HOLIDAYS)=0,0,ROUND(SUMIF($B$73:$B$312,"11",AH$73:AH$312)/NETWORKDAYS(AH$21,AH$21+6,HOLIDAYS),1))</f>
        <v>0</v>
      </c>
      <c r="AI33" s="278" t="n">
        <f aca="false">IF(NETWORKDAYS(AI$21,AI$21+6,HOLIDAYS)=0,0,ROUND(SUMIF($B$73:$B$312,"11",AI$73:AI$312)/NETWORKDAYS(AI$21,AI$21+6,HOLIDAYS),1))</f>
        <v>0</v>
      </c>
      <c r="AJ33" s="278" t="n">
        <f aca="false">IF(NETWORKDAYS(AJ$21,AJ$21+6,HOLIDAYS)=0,0,ROUND(SUMIF($B$73:$B$312,"11",AJ$73:AJ$312)/NETWORKDAYS(AJ$21,AJ$21+6,HOLIDAYS),1))</f>
        <v>0</v>
      </c>
      <c r="AK33" s="278" t="n">
        <f aca="false">IF(NETWORKDAYS(AK$21,AK$21+6,HOLIDAYS)=0,0,ROUND(SUMIF($B$73:$B$312,"11",AK$73:AK$312)/NETWORKDAYS(AK$21,AK$21+6,HOLIDAYS),1))</f>
        <v>0</v>
      </c>
      <c r="AL33" s="278" t="n">
        <f aca="false">IF(NETWORKDAYS(AL$21,AL$21+6,HOLIDAYS)=0,0,ROUND(SUMIF($B$73:$B$312,"11",AL$73:AL$312)/NETWORKDAYS(AL$21,AL$21+6,HOLIDAYS),1))</f>
        <v>0</v>
      </c>
      <c r="AM33" s="278" t="n">
        <f aca="false">IF(NETWORKDAYS(AM$21,AM$21+6,HOLIDAYS)=0,0,ROUND(SUMIF($B$73:$B$312,"11",AM$73:AM$312)/NETWORKDAYS(AM$21,AM$21+6,HOLIDAYS),1))</f>
        <v>0</v>
      </c>
      <c r="AN33" s="278" t="n">
        <f aca="false">IF(NETWORKDAYS(AN$21,AN$21+6,HOLIDAYS)=0,0,ROUND(SUMIF($B$73:$B$312,"11",AN$73:AN$312)/NETWORKDAYS(AN$21,AN$21+6,HOLIDAYS),1))</f>
        <v>0</v>
      </c>
      <c r="AO33" s="278" t="n">
        <f aca="false">IF(NETWORKDAYS(AO$21,AO$21+6,HOLIDAYS)=0,0,ROUND(SUMIF($B$73:$B$312,"11",AO$73:AO$312)/NETWORKDAYS(AO$21,AO$21+6,HOLIDAYS),1))</f>
        <v>0</v>
      </c>
      <c r="AP33" s="278" t="n">
        <f aca="false">IF(NETWORKDAYS(AP$21,AP$21+6,HOLIDAYS)=0,0,ROUND(SUMIF($B$73:$B$312,"11",AP$73:AP$312)/NETWORKDAYS(AP$21,AP$21+6,HOLIDAYS),1))</f>
        <v>0</v>
      </c>
      <c r="AQ33" s="278" t="n">
        <f aca="false">IF(NETWORKDAYS(AQ$21,AQ$21+6,HOLIDAYS)=0,0,ROUND(SUMIF($B$73:$B$312,"11",AQ$73:AQ$312)/NETWORKDAYS(AQ$21,AQ$21+6,HOLIDAYS),1))</f>
        <v>0</v>
      </c>
      <c r="AR33" s="278" t="n">
        <f aca="false">IF(NETWORKDAYS(AR$21,AR$21+6,HOLIDAYS)=0,0,ROUND(SUMIF($B$73:$B$312,"11",AR$73:AR$312)/NETWORKDAYS(AR$21,AR$21+6,HOLIDAYS),1))</f>
        <v>0</v>
      </c>
    </row>
    <row r="34" customFormat="false" ht="15" hidden="false" customHeight="false" outlineLevel="0" collapsed="false">
      <c r="A34" s="246" t="s">
        <v>2332</v>
      </c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76" t="n">
        <f aca="false">MAX(O34:AR34)</f>
        <v>20.8</v>
      </c>
      <c r="O34" s="278" t="n">
        <f aca="false">IF(NETWORKDAYS(O$21,O$21+6,HOLIDAYS)=0,0,ROUND(SUMIF($B$73:$B$312,"12",O$73:O$312)/NETWORKDAYS(O$21,O$21+6,HOLIDAYS),1))</f>
        <v>9</v>
      </c>
      <c r="P34" s="278" t="n">
        <f aca="false">IF(NETWORKDAYS(P$21,P$21+6,HOLIDAYS)=0,0,ROUND(SUMIF($B$73:$B$312,"12",P$73:P$312)/NETWORKDAYS(P$21,P$21+6,HOLIDAYS),1))</f>
        <v>6.7</v>
      </c>
      <c r="Q34" s="278" t="n">
        <f aca="false">IF(NETWORKDAYS(Q$21,Q$21+6,HOLIDAYS)=0,0,ROUND(SUMIF($B$73:$B$312,"12",Q$73:Q$312)/NETWORKDAYS(Q$21,Q$21+6,HOLIDAYS),1))</f>
        <v>20.8</v>
      </c>
      <c r="R34" s="278" t="n">
        <f aca="false">IF(NETWORKDAYS(R$21,R$21+6,HOLIDAYS)=0,0,ROUND(SUMIF($B$73:$B$312,"12",R$73:R$312)/NETWORKDAYS(R$21,R$21+6,HOLIDAYS),1))</f>
        <v>0</v>
      </c>
      <c r="S34" s="278" t="n">
        <f aca="false">IF(NETWORKDAYS(S$21,S$21+6,HOLIDAYS)=0,0,ROUND(SUMIF($B$73:$B$312,"12",S$73:S$312)/NETWORKDAYS(S$21,S$21+6,HOLIDAYS),1))</f>
        <v>3.9</v>
      </c>
      <c r="T34" s="278" t="n">
        <f aca="false">IF(NETWORKDAYS(T$21,T$21+6,HOLIDAYS)=0,0,ROUND(SUMIF($B$73:$B$312,"12",T$73:T$312)/NETWORKDAYS(T$21,T$21+6,HOLIDAYS),1))</f>
        <v>0</v>
      </c>
      <c r="U34" s="278" t="n">
        <f aca="false">IF(NETWORKDAYS(U$21,U$21+6,HOLIDAYS)=0,0,ROUND(SUMIF($B$73:$B$312,"12",U$73:U$312)/NETWORKDAYS(U$21,U$21+6,HOLIDAYS),1))</f>
        <v>0</v>
      </c>
      <c r="V34" s="278" t="n">
        <f aca="false">IF(NETWORKDAYS(V$21,V$21+6,HOLIDAYS)=0,0,ROUND(SUMIF($B$73:$B$312,"12",V$73:V$312)/NETWORKDAYS(V$21,V$21+6,HOLIDAYS),1))</f>
        <v>0</v>
      </c>
      <c r="W34" s="278" t="n">
        <f aca="false">IF(NETWORKDAYS(W$21,W$21+6,HOLIDAYS)=0,0,ROUND(SUMIF($B$73:$B$312,"12",W$73:W$312)/NETWORKDAYS(W$21,W$21+6,HOLIDAYS),1))</f>
        <v>0</v>
      </c>
      <c r="X34" s="278" t="n">
        <f aca="false">IF(NETWORKDAYS(X$21,X$21+6,HOLIDAYS)=0,0,ROUND(SUMIF($B$73:$B$312,"12",X$73:X$312)/NETWORKDAYS(X$21,X$21+6,HOLIDAYS),1))</f>
        <v>0</v>
      </c>
      <c r="Y34" s="278" t="n">
        <f aca="false">IF(NETWORKDAYS(Y$21,Y$21+6,HOLIDAYS)=0,0,ROUND(SUMIF($B$73:$B$312,"12",Y$73:Y$312)/NETWORKDAYS(Y$21,Y$21+6,HOLIDAYS),1))</f>
        <v>0</v>
      </c>
      <c r="Z34" s="278" t="n">
        <f aca="false">IF(NETWORKDAYS(Z$21,Z$21+6,HOLIDAYS)=0,0,ROUND(SUMIF($B$73:$B$312,"12",Z$73:Z$312)/NETWORKDAYS(Z$21,Z$21+6,HOLIDAYS),1))</f>
        <v>0</v>
      </c>
      <c r="AA34" s="278" t="n">
        <f aca="false">IF(NETWORKDAYS(AA$21,AA$21+6,HOLIDAYS)=0,0,ROUND(SUMIF($B$73:$B$312,"12",AA$73:AA$312)/NETWORKDAYS(AA$21,AA$21+6,HOLIDAYS),1))</f>
        <v>0</v>
      </c>
      <c r="AB34" s="278" t="n">
        <f aca="false">IF(NETWORKDAYS(AB$21,AB$21+6,HOLIDAYS)=0,0,ROUND(SUMIF($B$73:$B$312,"12",AB$73:AB$312)/NETWORKDAYS(AB$21,AB$21+6,HOLIDAYS),1))</f>
        <v>0</v>
      </c>
      <c r="AC34" s="278" t="n">
        <f aca="false">IF(NETWORKDAYS(AC$21,AC$21+6,HOLIDAYS)=0,0,ROUND(SUMIF($B$73:$B$312,"12",AC$73:AC$312)/NETWORKDAYS(AC$21,AC$21+6,HOLIDAYS),1))</f>
        <v>0</v>
      </c>
      <c r="AD34" s="278" t="n">
        <f aca="false">IF(NETWORKDAYS(AD$21,AD$21+6,HOLIDAYS)=0,0,ROUND(SUMIF($B$73:$B$312,"12",AD$73:AD$312)/NETWORKDAYS(AD$21,AD$21+6,HOLIDAYS),1))</f>
        <v>0</v>
      </c>
      <c r="AE34" s="278" t="n">
        <f aca="false">IF(NETWORKDAYS(AE$21,AE$21+6,HOLIDAYS)=0,0,ROUND(SUMIF($B$73:$B$312,"12",AE$73:AE$312)/NETWORKDAYS(AE$21,AE$21+6,HOLIDAYS),1))</f>
        <v>0</v>
      </c>
      <c r="AF34" s="278" t="n">
        <f aca="false">IF(NETWORKDAYS(AF$21,AF$21+6,HOLIDAYS)=0,0,ROUND(SUMIF($B$73:$B$312,"12",AF$73:AF$312)/NETWORKDAYS(AF$21,AF$21+6,HOLIDAYS),1))</f>
        <v>0</v>
      </c>
      <c r="AG34" s="278" t="n">
        <f aca="false">IF(NETWORKDAYS(AG$21,AG$21+6,HOLIDAYS)=0,0,ROUND(SUMIF($B$73:$B$312,"12",AG$73:AG$312)/NETWORKDAYS(AG$21,AG$21+6,HOLIDAYS),1))</f>
        <v>0</v>
      </c>
      <c r="AH34" s="278" t="n">
        <f aca="false">IF(NETWORKDAYS(AH$21,AH$21+6,HOLIDAYS)=0,0,ROUND(SUMIF($B$73:$B$312,"12",AH$73:AH$312)/NETWORKDAYS(AH$21,AH$21+6,HOLIDAYS),1))</f>
        <v>0</v>
      </c>
      <c r="AI34" s="278" t="n">
        <f aca="false">IF(NETWORKDAYS(AI$21,AI$21+6,HOLIDAYS)=0,0,ROUND(SUMIF($B$73:$B$312,"12",AI$73:AI$312)/NETWORKDAYS(AI$21,AI$21+6,HOLIDAYS),1))</f>
        <v>0</v>
      </c>
      <c r="AJ34" s="278" t="n">
        <f aca="false">IF(NETWORKDAYS(AJ$21,AJ$21+6,HOLIDAYS)=0,0,ROUND(SUMIF($B$73:$B$312,"12",AJ$73:AJ$312)/NETWORKDAYS(AJ$21,AJ$21+6,HOLIDAYS),1))</f>
        <v>0</v>
      </c>
      <c r="AK34" s="278" t="n">
        <f aca="false">IF(NETWORKDAYS(AK$21,AK$21+6,HOLIDAYS)=0,0,ROUND(SUMIF($B$73:$B$312,"12",AK$73:AK$312)/NETWORKDAYS(AK$21,AK$21+6,HOLIDAYS),1))</f>
        <v>0</v>
      </c>
      <c r="AL34" s="278" t="n">
        <f aca="false">IF(NETWORKDAYS(AL$21,AL$21+6,HOLIDAYS)=0,0,ROUND(SUMIF($B$73:$B$312,"12",AL$73:AL$312)/NETWORKDAYS(AL$21,AL$21+6,HOLIDAYS),1))</f>
        <v>0</v>
      </c>
      <c r="AM34" s="278" t="n">
        <f aca="false">IF(NETWORKDAYS(AM$21,AM$21+6,HOLIDAYS)=0,0,ROUND(SUMIF($B$73:$B$312,"12",AM$73:AM$312)/NETWORKDAYS(AM$21,AM$21+6,HOLIDAYS),1))</f>
        <v>0</v>
      </c>
      <c r="AN34" s="278" t="n">
        <f aca="false">IF(NETWORKDAYS(AN$21,AN$21+6,HOLIDAYS)=0,0,ROUND(SUMIF($B$73:$B$312,"12",AN$73:AN$312)/NETWORKDAYS(AN$21,AN$21+6,HOLIDAYS),1))</f>
        <v>0</v>
      </c>
      <c r="AO34" s="278" t="n">
        <f aca="false">IF(NETWORKDAYS(AO$21,AO$21+6,HOLIDAYS)=0,0,ROUND(SUMIF($B$73:$B$312,"12",AO$73:AO$312)/NETWORKDAYS(AO$21,AO$21+6,HOLIDAYS),1))</f>
        <v>0</v>
      </c>
      <c r="AP34" s="278" t="n">
        <f aca="false">IF(NETWORKDAYS(AP$21,AP$21+6,HOLIDAYS)=0,0,ROUND(SUMIF($B$73:$B$312,"12",AP$73:AP$312)/NETWORKDAYS(AP$21,AP$21+6,HOLIDAYS),1))</f>
        <v>0</v>
      </c>
      <c r="AQ34" s="278" t="n">
        <f aca="false">IF(NETWORKDAYS(AQ$21,AQ$21+6,HOLIDAYS)=0,0,ROUND(SUMIF($B$73:$B$312,"12",AQ$73:AQ$312)/NETWORKDAYS(AQ$21,AQ$21+6,HOLIDAYS),1))</f>
        <v>0</v>
      </c>
      <c r="AR34" s="278" t="n">
        <f aca="false">IF(NETWORKDAYS(AR$21,AR$21+6,HOLIDAYS)=0,0,ROUND(SUMIF($B$73:$B$312,"12",AR$73:AR$312)/NETWORKDAYS(AR$21,AR$21+6,HOLIDAYS),1))</f>
        <v>0</v>
      </c>
    </row>
    <row r="35" customFormat="false" ht="15" hidden="false" customHeight="false" outlineLevel="0" collapsed="false">
      <c r="A35" s="246" t="s">
        <v>2333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76" t="n">
        <f aca="false">MAX(O35:AR35)</f>
        <v>19.9</v>
      </c>
      <c r="O35" s="278" t="n">
        <f aca="false">IF(NETWORKDAYS(O$21,O$21+6,HOLIDAYS)=0,0,ROUND(SUMIF($B$73:$B$312,"13",O$73:O$312)/NETWORKDAYS(O$21,O$21+6,HOLIDAYS),1))</f>
        <v>5.1</v>
      </c>
      <c r="P35" s="278" t="n">
        <f aca="false">IF(NETWORKDAYS(P$21,P$21+6,HOLIDAYS)=0,0,ROUND(SUMIF($B$73:$B$312,"13",P$73:P$312)/NETWORKDAYS(P$21,P$21+6,HOLIDAYS),1))</f>
        <v>5.1</v>
      </c>
      <c r="Q35" s="278" t="n">
        <f aca="false">IF(NETWORKDAYS(Q$21,Q$21+6,HOLIDAYS)=0,0,ROUND(SUMIF($B$73:$B$312,"13",Q$73:Q$312)/NETWORKDAYS(Q$21,Q$21+6,HOLIDAYS),1))</f>
        <v>19.9</v>
      </c>
      <c r="R35" s="278" t="n">
        <f aca="false">IF(NETWORKDAYS(R$21,R$21+6,HOLIDAYS)=0,0,ROUND(SUMIF($B$73:$B$312,"13",R$73:R$312)/NETWORKDAYS(R$21,R$21+6,HOLIDAYS),1))</f>
        <v>0</v>
      </c>
      <c r="S35" s="278" t="n">
        <f aca="false">IF(NETWORKDAYS(S$21,S$21+6,HOLIDAYS)=0,0,ROUND(SUMIF($B$73:$B$312,"13",S$73:S$312)/NETWORKDAYS(S$21,S$21+6,HOLIDAYS),1))</f>
        <v>3.1</v>
      </c>
      <c r="T35" s="278" t="n">
        <f aca="false">IF(NETWORKDAYS(T$21,T$21+6,HOLIDAYS)=0,0,ROUND(SUMIF($B$73:$B$312,"13",T$73:T$312)/NETWORKDAYS(T$21,T$21+6,HOLIDAYS),1))</f>
        <v>0</v>
      </c>
      <c r="U35" s="278" t="n">
        <f aca="false">IF(NETWORKDAYS(U$21,U$21+6,HOLIDAYS)=0,0,ROUND(SUMIF($B$73:$B$312,"13",U$73:U$312)/NETWORKDAYS(U$21,U$21+6,HOLIDAYS),1))</f>
        <v>0</v>
      </c>
      <c r="V35" s="278" t="n">
        <f aca="false">IF(NETWORKDAYS(V$21,V$21+6,HOLIDAYS)=0,0,ROUND(SUMIF($B$73:$B$312,"13",V$73:V$312)/NETWORKDAYS(V$21,V$21+6,HOLIDAYS),1))</f>
        <v>0</v>
      </c>
      <c r="W35" s="278" t="n">
        <f aca="false">IF(NETWORKDAYS(W$21,W$21+6,HOLIDAYS)=0,0,ROUND(SUMIF($B$73:$B$312,"13",W$73:W$312)/NETWORKDAYS(W$21,W$21+6,HOLIDAYS),1))</f>
        <v>0</v>
      </c>
      <c r="X35" s="278" t="n">
        <f aca="false">IF(NETWORKDAYS(X$21,X$21+6,HOLIDAYS)=0,0,ROUND(SUMIF($B$73:$B$312,"13",X$73:X$312)/NETWORKDAYS(X$21,X$21+6,HOLIDAYS),1))</f>
        <v>0</v>
      </c>
      <c r="Y35" s="278" t="n">
        <f aca="false">IF(NETWORKDAYS(Y$21,Y$21+6,HOLIDAYS)=0,0,ROUND(SUMIF($B$73:$B$312,"13",Y$73:Y$312)/NETWORKDAYS(Y$21,Y$21+6,HOLIDAYS),1))</f>
        <v>0</v>
      </c>
      <c r="Z35" s="278" t="n">
        <f aca="false">IF(NETWORKDAYS(Z$21,Z$21+6,HOLIDAYS)=0,0,ROUND(SUMIF($B$73:$B$312,"13",Z$73:Z$312)/NETWORKDAYS(Z$21,Z$21+6,HOLIDAYS),1))</f>
        <v>0</v>
      </c>
      <c r="AA35" s="278" t="n">
        <f aca="false">IF(NETWORKDAYS(AA$21,AA$21+6,HOLIDAYS)=0,0,ROUND(SUMIF($B$73:$B$312,"13",AA$73:AA$312)/NETWORKDAYS(AA$21,AA$21+6,HOLIDAYS),1))</f>
        <v>0</v>
      </c>
      <c r="AB35" s="278" t="n">
        <f aca="false">IF(NETWORKDAYS(AB$21,AB$21+6,HOLIDAYS)=0,0,ROUND(SUMIF($B$73:$B$312,"13",AB$73:AB$312)/NETWORKDAYS(AB$21,AB$21+6,HOLIDAYS),1))</f>
        <v>0</v>
      </c>
      <c r="AC35" s="278" t="n">
        <f aca="false">IF(NETWORKDAYS(AC$21,AC$21+6,HOLIDAYS)=0,0,ROUND(SUMIF($B$73:$B$312,"13",AC$73:AC$312)/NETWORKDAYS(AC$21,AC$21+6,HOLIDAYS),1))</f>
        <v>0</v>
      </c>
      <c r="AD35" s="278" t="n">
        <f aca="false">IF(NETWORKDAYS(AD$21,AD$21+6,HOLIDAYS)=0,0,ROUND(SUMIF($B$73:$B$312,"13",AD$73:AD$312)/NETWORKDAYS(AD$21,AD$21+6,HOLIDAYS),1))</f>
        <v>0</v>
      </c>
      <c r="AE35" s="278" t="n">
        <f aca="false">IF(NETWORKDAYS(AE$21,AE$21+6,HOLIDAYS)=0,0,ROUND(SUMIF($B$73:$B$312,"13",AE$73:AE$312)/NETWORKDAYS(AE$21,AE$21+6,HOLIDAYS),1))</f>
        <v>0</v>
      </c>
      <c r="AF35" s="278" t="n">
        <f aca="false">IF(NETWORKDAYS(AF$21,AF$21+6,HOLIDAYS)=0,0,ROUND(SUMIF($B$73:$B$312,"13",AF$73:AF$312)/NETWORKDAYS(AF$21,AF$21+6,HOLIDAYS),1))</f>
        <v>0</v>
      </c>
      <c r="AG35" s="278" t="n">
        <f aca="false">IF(NETWORKDAYS(AG$21,AG$21+6,HOLIDAYS)=0,0,ROUND(SUMIF($B$73:$B$312,"13",AG$73:AG$312)/NETWORKDAYS(AG$21,AG$21+6,HOLIDAYS),1))</f>
        <v>0</v>
      </c>
      <c r="AH35" s="278" t="n">
        <f aca="false">IF(NETWORKDAYS(AH$21,AH$21+6,HOLIDAYS)=0,0,ROUND(SUMIF($B$73:$B$312,"13",AH$73:AH$312)/NETWORKDAYS(AH$21,AH$21+6,HOLIDAYS),1))</f>
        <v>0</v>
      </c>
      <c r="AI35" s="278" t="n">
        <f aca="false">IF(NETWORKDAYS(AI$21,AI$21+6,HOLIDAYS)=0,0,ROUND(SUMIF($B$73:$B$312,"13",AI$73:AI$312)/NETWORKDAYS(AI$21,AI$21+6,HOLIDAYS),1))</f>
        <v>0</v>
      </c>
      <c r="AJ35" s="278" t="n">
        <f aca="false">IF(NETWORKDAYS(AJ$21,AJ$21+6,HOLIDAYS)=0,0,ROUND(SUMIF($B$73:$B$312,"13",AJ$73:AJ$312)/NETWORKDAYS(AJ$21,AJ$21+6,HOLIDAYS),1))</f>
        <v>0</v>
      </c>
      <c r="AK35" s="278" t="n">
        <f aca="false">IF(NETWORKDAYS(AK$21,AK$21+6,HOLIDAYS)=0,0,ROUND(SUMIF($B$73:$B$312,"13",AK$73:AK$312)/NETWORKDAYS(AK$21,AK$21+6,HOLIDAYS),1))</f>
        <v>0</v>
      </c>
      <c r="AL35" s="278" t="n">
        <f aca="false">IF(NETWORKDAYS(AL$21,AL$21+6,HOLIDAYS)=0,0,ROUND(SUMIF($B$73:$B$312,"13",AL$73:AL$312)/NETWORKDAYS(AL$21,AL$21+6,HOLIDAYS),1))</f>
        <v>0</v>
      </c>
      <c r="AM35" s="278" t="n">
        <f aca="false">IF(NETWORKDAYS(AM$21,AM$21+6,HOLIDAYS)=0,0,ROUND(SUMIF($B$73:$B$312,"13",AM$73:AM$312)/NETWORKDAYS(AM$21,AM$21+6,HOLIDAYS),1))</f>
        <v>0</v>
      </c>
      <c r="AN35" s="278" t="n">
        <f aca="false">IF(NETWORKDAYS(AN$21,AN$21+6,HOLIDAYS)=0,0,ROUND(SUMIF($B$73:$B$312,"13",AN$73:AN$312)/NETWORKDAYS(AN$21,AN$21+6,HOLIDAYS),1))</f>
        <v>0</v>
      </c>
      <c r="AO35" s="278" t="n">
        <f aca="false">IF(NETWORKDAYS(AO$21,AO$21+6,HOLIDAYS)=0,0,ROUND(SUMIF($B$73:$B$312,"13",AO$73:AO$312)/NETWORKDAYS(AO$21,AO$21+6,HOLIDAYS),1))</f>
        <v>0</v>
      </c>
      <c r="AP35" s="278" t="n">
        <f aca="false">IF(NETWORKDAYS(AP$21,AP$21+6,HOLIDAYS)=0,0,ROUND(SUMIF($B$73:$B$312,"13",AP$73:AP$312)/NETWORKDAYS(AP$21,AP$21+6,HOLIDAYS),1))</f>
        <v>0</v>
      </c>
      <c r="AQ35" s="278" t="n">
        <f aca="false">IF(NETWORKDAYS(AQ$21,AQ$21+6,HOLIDAYS)=0,0,ROUND(SUMIF($B$73:$B$312,"13",AQ$73:AQ$312)/NETWORKDAYS(AQ$21,AQ$21+6,HOLIDAYS),1))</f>
        <v>0</v>
      </c>
      <c r="AR35" s="278" t="n">
        <f aca="false">IF(NETWORKDAYS(AR$21,AR$21+6,HOLIDAYS)=0,0,ROUND(SUMIF($B$73:$B$312,"13",AR$73:AR$312)/NETWORKDAYS(AR$21,AR$21+6,HOLIDAYS),1))</f>
        <v>0</v>
      </c>
    </row>
    <row r="36" customFormat="false" ht="15" hidden="false" customHeight="false" outlineLevel="0" collapsed="false">
      <c r="A36" s="246" t="s">
        <v>2334</v>
      </c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76" t="n">
        <f aca="false">MAX(O36:AR36)</f>
        <v>22.6</v>
      </c>
      <c r="O36" s="278" t="n">
        <f aca="false">IF(NETWORKDAYS(O$21,O$21+6,HOLIDAYS)=0,0,ROUND(SUMIF($B$73:$B$312,"14",O$73:O$312)/NETWORKDAYS(O$21,O$21+6,HOLIDAYS),1))</f>
        <v>11.5</v>
      </c>
      <c r="P36" s="278" t="n">
        <f aca="false">IF(NETWORKDAYS(P$21,P$21+6,HOLIDAYS)=0,0,ROUND(SUMIF($B$73:$B$312,"14",P$73:P$312)/NETWORKDAYS(P$21,P$21+6,HOLIDAYS),1))</f>
        <v>7.8</v>
      </c>
      <c r="Q36" s="278" t="n">
        <f aca="false">IF(NETWORKDAYS(Q$21,Q$21+6,HOLIDAYS)=0,0,ROUND(SUMIF($B$73:$B$312,"14",Q$73:Q$312)/NETWORKDAYS(Q$21,Q$21+6,HOLIDAYS),1))</f>
        <v>22.6</v>
      </c>
      <c r="R36" s="278" t="n">
        <f aca="false">IF(NETWORKDAYS(R$21,R$21+6,HOLIDAYS)=0,0,ROUND(SUMIF($B$73:$B$312,"14",R$73:R$312)/NETWORKDAYS(R$21,R$21+6,HOLIDAYS),1))</f>
        <v>0</v>
      </c>
      <c r="S36" s="278" t="n">
        <f aca="false">IF(NETWORKDAYS(S$21,S$21+6,HOLIDAYS)=0,0,ROUND(SUMIF($B$73:$B$312,"14",S$73:S$312)/NETWORKDAYS(S$21,S$21+6,HOLIDAYS),1))</f>
        <v>3.9</v>
      </c>
      <c r="T36" s="278" t="n">
        <f aca="false">IF(NETWORKDAYS(T$21,T$21+6,HOLIDAYS)=0,0,ROUND(SUMIF($B$73:$B$312,"14",T$73:T$312)/NETWORKDAYS(T$21,T$21+6,HOLIDAYS),1))</f>
        <v>0</v>
      </c>
      <c r="U36" s="278" t="n">
        <f aca="false">IF(NETWORKDAYS(U$21,U$21+6,HOLIDAYS)=0,0,ROUND(SUMIF($B$73:$B$312,"14",U$73:U$312)/NETWORKDAYS(U$21,U$21+6,HOLIDAYS),1))</f>
        <v>0</v>
      </c>
      <c r="V36" s="278" t="n">
        <f aca="false">IF(NETWORKDAYS(V$21,V$21+6,HOLIDAYS)=0,0,ROUND(SUMIF($B$73:$B$312,"14",V$73:V$312)/NETWORKDAYS(V$21,V$21+6,HOLIDAYS),1))</f>
        <v>0</v>
      </c>
      <c r="W36" s="278" t="n">
        <f aca="false">IF(NETWORKDAYS(W$21,W$21+6,HOLIDAYS)=0,0,ROUND(SUMIF($B$73:$B$312,"14",W$73:W$312)/NETWORKDAYS(W$21,W$21+6,HOLIDAYS),1))</f>
        <v>0</v>
      </c>
      <c r="X36" s="278" t="n">
        <f aca="false">IF(NETWORKDAYS(X$21,X$21+6,HOLIDAYS)=0,0,ROUND(SUMIF($B$73:$B$312,"14",X$73:X$312)/NETWORKDAYS(X$21,X$21+6,HOLIDAYS),1))</f>
        <v>0</v>
      </c>
      <c r="Y36" s="278" t="n">
        <f aca="false">IF(NETWORKDAYS(Y$21,Y$21+6,HOLIDAYS)=0,0,ROUND(SUMIF($B$73:$B$312,"14",Y$73:Y$312)/NETWORKDAYS(Y$21,Y$21+6,HOLIDAYS),1))</f>
        <v>0</v>
      </c>
      <c r="Z36" s="278" t="n">
        <f aca="false">IF(NETWORKDAYS(Z$21,Z$21+6,HOLIDAYS)=0,0,ROUND(SUMIF($B$73:$B$312,"14",Z$73:Z$312)/NETWORKDAYS(Z$21,Z$21+6,HOLIDAYS),1))</f>
        <v>0</v>
      </c>
      <c r="AA36" s="278" t="n">
        <f aca="false">IF(NETWORKDAYS(AA$21,AA$21+6,HOLIDAYS)=0,0,ROUND(SUMIF($B$73:$B$312,"14",AA$73:AA$312)/NETWORKDAYS(AA$21,AA$21+6,HOLIDAYS),1))</f>
        <v>0</v>
      </c>
      <c r="AB36" s="278" t="n">
        <f aca="false">IF(NETWORKDAYS(AB$21,AB$21+6,HOLIDAYS)=0,0,ROUND(SUMIF($B$73:$B$312,"14",AB$73:AB$312)/NETWORKDAYS(AB$21,AB$21+6,HOLIDAYS),1))</f>
        <v>0</v>
      </c>
      <c r="AC36" s="278" t="n">
        <f aca="false">IF(NETWORKDAYS(AC$21,AC$21+6,HOLIDAYS)=0,0,ROUND(SUMIF($B$73:$B$312,"14",AC$73:AC$312)/NETWORKDAYS(AC$21,AC$21+6,HOLIDAYS),1))</f>
        <v>0</v>
      </c>
      <c r="AD36" s="278" t="n">
        <f aca="false">IF(NETWORKDAYS(AD$21,AD$21+6,HOLIDAYS)=0,0,ROUND(SUMIF($B$73:$B$312,"14",AD$73:AD$312)/NETWORKDAYS(AD$21,AD$21+6,HOLIDAYS),1))</f>
        <v>0</v>
      </c>
      <c r="AE36" s="278" t="n">
        <f aca="false">IF(NETWORKDAYS(AE$21,AE$21+6,HOLIDAYS)=0,0,ROUND(SUMIF($B$73:$B$312,"14",AE$73:AE$312)/NETWORKDAYS(AE$21,AE$21+6,HOLIDAYS),1))</f>
        <v>0</v>
      </c>
      <c r="AF36" s="278" t="n">
        <f aca="false">IF(NETWORKDAYS(AF$21,AF$21+6,HOLIDAYS)=0,0,ROUND(SUMIF($B$73:$B$312,"14",AF$73:AF$312)/NETWORKDAYS(AF$21,AF$21+6,HOLIDAYS),1))</f>
        <v>0</v>
      </c>
      <c r="AG36" s="278" t="n">
        <f aca="false">IF(NETWORKDAYS(AG$21,AG$21+6,HOLIDAYS)=0,0,ROUND(SUMIF($B$73:$B$312,"14",AG$73:AG$312)/NETWORKDAYS(AG$21,AG$21+6,HOLIDAYS),1))</f>
        <v>0</v>
      </c>
      <c r="AH36" s="278" t="n">
        <f aca="false">IF(NETWORKDAYS(AH$21,AH$21+6,HOLIDAYS)=0,0,ROUND(SUMIF($B$73:$B$312,"14",AH$73:AH$312)/NETWORKDAYS(AH$21,AH$21+6,HOLIDAYS),1))</f>
        <v>0</v>
      </c>
      <c r="AI36" s="278" t="n">
        <f aca="false">IF(NETWORKDAYS(AI$21,AI$21+6,HOLIDAYS)=0,0,ROUND(SUMIF($B$73:$B$312,"14",AI$73:AI$312)/NETWORKDAYS(AI$21,AI$21+6,HOLIDAYS),1))</f>
        <v>0</v>
      </c>
      <c r="AJ36" s="278" t="n">
        <f aca="false">IF(NETWORKDAYS(AJ$21,AJ$21+6,HOLIDAYS)=0,0,ROUND(SUMIF($B$73:$B$312,"14",AJ$73:AJ$312)/NETWORKDAYS(AJ$21,AJ$21+6,HOLIDAYS),1))</f>
        <v>0</v>
      </c>
      <c r="AK36" s="278" t="n">
        <f aca="false">IF(NETWORKDAYS(AK$21,AK$21+6,HOLIDAYS)=0,0,ROUND(SUMIF($B$73:$B$312,"14",AK$73:AK$312)/NETWORKDAYS(AK$21,AK$21+6,HOLIDAYS),1))</f>
        <v>0</v>
      </c>
      <c r="AL36" s="278" t="n">
        <f aca="false">IF(NETWORKDAYS(AL$21,AL$21+6,HOLIDAYS)=0,0,ROUND(SUMIF($B$73:$B$312,"14",AL$73:AL$312)/NETWORKDAYS(AL$21,AL$21+6,HOLIDAYS),1))</f>
        <v>0</v>
      </c>
      <c r="AM36" s="278" t="n">
        <f aca="false">IF(NETWORKDAYS(AM$21,AM$21+6,HOLIDAYS)=0,0,ROUND(SUMIF($B$73:$B$312,"14",AM$73:AM$312)/NETWORKDAYS(AM$21,AM$21+6,HOLIDAYS),1))</f>
        <v>0</v>
      </c>
      <c r="AN36" s="278" t="n">
        <f aca="false">IF(NETWORKDAYS(AN$21,AN$21+6,HOLIDAYS)=0,0,ROUND(SUMIF($B$73:$B$312,"14",AN$73:AN$312)/NETWORKDAYS(AN$21,AN$21+6,HOLIDAYS),1))</f>
        <v>0</v>
      </c>
      <c r="AO36" s="278" t="n">
        <f aca="false">IF(NETWORKDAYS(AO$21,AO$21+6,HOLIDAYS)=0,0,ROUND(SUMIF($B$73:$B$312,"14",AO$73:AO$312)/NETWORKDAYS(AO$21,AO$21+6,HOLIDAYS),1))</f>
        <v>0</v>
      </c>
      <c r="AP36" s="278" t="n">
        <f aca="false">IF(NETWORKDAYS(AP$21,AP$21+6,HOLIDAYS)=0,0,ROUND(SUMIF($B$73:$B$312,"14",AP$73:AP$312)/NETWORKDAYS(AP$21,AP$21+6,HOLIDAYS),1))</f>
        <v>0</v>
      </c>
      <c r="AQ36" s="278" t="n">
        <f aca="false">IF(NETWORKDAYS(AQ$21,AQ$21+6,HOLIDAYS)=0,0,ROUND(SUMIF($B$73:$B$312,"14",AQ$73:AQ$312)/NETWORKDAYS(AQ$21,AQ$21+6,HOLIDAYS),1))</f>
        <v>0</v>
      </c>
      <c r="AR36" s="278" t="n">
        <f aca="false">IF(NETWORKDAYS(AR$21,AR$21+6,HOLIDAYS)=0,0,ROUND(SUMIF($B$73:$B$312,"14",AR$73:AR$312)/NETWORKDAYS(AR$21,AR$21+6,HOLIDAYS),1))</f>
        <v>0</v>
      </c>
    </row>
    <row r="37" customFormat="false" ht="15" hidden="false" customHeight="false" outlineLevel="0" collapsed="false">
      <c r="A37" s="246" t="s">
        <v>2335</v>
      </c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76" t="n">
        <f aca="false">MAX(O37:AR37)</f>
        <v>18.1</v>
      </c>
      <c r="O37" s="278" t="n">
        <f aca="false">IF(NETWORKDAYS(O$21,O$21+6,HOLIDAYS)=0,0,ROUND(SUMIF($B$73:$B$312,"15",O$73:O$312)/NETWORKDAYS(O$21,O$21+6,HOLIDAYS),1))</f>
        <v>5.1</v>
      </c>
      <c r="P37" s="278" t="n">
        <f aca="false">IF(NETWORKDAYS(P$21,P$21+6,HOLIDAYS)=0,0,ROUND(SUMIF($B$73:$B$312,"15",P$73:P$312)/NETWORKDAYS(P$21,P$21+6,HOLIDAYS),1))</f>
        <v>5.1</v>
      </c>
      <c r="Q37" s="278" t="n">
        <f aca="false">IF(NETWORKDAYS(Q$21,Q$21+6,HOLIDAYS)=0,0,ROUND(SUMIF($B$73:$B$312,"15",Q$73:Q$312)/NETWORKDAYS(Q$21,Q$21+6,HOLIDAYS),1))</f>
        <v>18.1</v>
      </c>
      <c r="R37" s="278" t="n">
        <f aca="false">IF(NETWORKDAYS(R$21,R$21+6,HOLIDAYS)=0,0,ROUND(SUMIF($B$73:$B$312,"15",R$73:R$312)/NETWORKDAYS(R$21,R$21+6,HOLIDAYS),1))</f>
        <v>0</v>
      </c>
      <c r="S37" s="278" t="n">
        <f aca="false">IF(NETWORKDAYS(S$21,S$21+6,HOLIDAYS)=0,0,ROUND(SUMIF($B$73:$B$312,"15",S$73:S$312)/NETWORKDAYS(S$21,S$21+6,HOLIDAYS),1))</f>
        <v>3.1</v>
      </c>
      <c r="T37" s="278" t="n">
        <f aca="false">IF(NETWORKDAYS(T$21,T$21+6,HOLIDAYS)=0,0,ROUND(SUMIF($B$73:$B$312,"15",T$73:T$312)/NETWORKDAYS(T$21,T$21+6,HOLIDAYS),1))</f>
        <v>0</v>
      </c>
      <c r="U37" s="278" t="n">
        <f aca="false">IF(NETWORKDAYS(U$21,U$21+6,HOLIDAYS)=0,0,ROUND(SUMIF($B$73:$B$312,"15",U$73:U$312)/NETWORKDAYS(U$21,U$21+6,HOLIDAYS),1))</f>
        <v>0</v>
      </c>
      <c r="V37" s="278" t="n">
        <f aca="false">IF(NETWORKDAYS(V$21,V$21+6,HOLIDAYS)=0,0,ROUND(SUMIF($B$73:$B$312,"15",V$73:V$312)/NETWORKDAYS(V$21,V$21+6,HOLIDAYS),1))</f>
        <v>0</v>
      </c>
      <c r="W37" s="278" t="n">
        <f aca="false">IF(NETWORKDAYS(W$21,W$21+6,HOLIDAYS)=0,0,ROUND(SUMIF($B$73:$B$312,"15",W$73:W$312)/NETWORKDAYS(W$21,W$21+6,HOLIDAYS),1))</f>
        <v>0</v>
      </c>
      <c r="X37" s="278" t="n">
        <f aca="false">IF(NETWORKDAYS(X$21,X$21+6,HOLIDAYS)=0,0,ROUND(SUMIF($B$73:$B$312,"15",X$73:X$312)/NETWORKDAYS(X$21,X$21+6,HOLIDAYS),1))</f>
        <v>0</v>
      </c>
      <c r="Y37" s="278" t="n">
        <f aca="false">IF(NETWORKDAYS(Y$21,Y$21+6,HOLIDAYS)=0,0,ROUND(SUMIF($B$73:$B$312,"15",Y$73:Y$312)/NETWORKDAYS(Y$21,Y$21+6,HOLIDAYS),1))</f>
        <v>0</v>
      </c>
      <c r="Z37" s="278" t="n">
        <f aca="false">IF(NETWORKDAYS(Z$21,Z$21+6,HOLIDAYS)=0,0,ROUND(SUMIF($B$73:$B$312,"15",Z$73:Z$312)/NETWORKDAYS(Z$21,Z$21+6,HOLIDAYS),1))</f>
        <v>0</v>
      </c>
      <c r="AA37" s="278" t="n">
        <f aca="false">IF(NETWORKDAYS(AA$21,AA$21+6,HOLIDAYS)=0,0,ROUND(SUMIF($B$73:$B$312,"15",AA$73:AA$312)/NETWORKDAYS(AA$21,AA$21+6,HOLIDAYS),1))</f>
        <v>0</v>
      </c>
      <c r="AB37" s="278" t="n">
        <f aca="false">IF(NETWORKDAYS(AB$21,AB$21+6,HOLIDAYS)=0,0,ROUND(SUMIF($B$73:$B$312,"15",AB$73:AB$312)/NETWORKDAYS(AB$21,AB$21+6,HOLIDAYS),1))</f>
        <v>0</v>
      </c>
      <c r="AC37" s="278" t="n">
        <f aca="false">IF(NETWORKDAYS(AC$21,AC$21+6,HOLIDAYS)=0,0,ROUND(SUMIF($B$73:$B$312,"15",AC$73:AC$312)/NETWORKDAYS(AC$21,AC$21+6,HOLIDAYS),1))</f>
        <v>0</v>
      </c>
      <c r="AD37" s="278" t="n">
        <f aca="false">IF(NETWORKDAYS(AD$21,AD$21+6,HOLIDAYS)=0,0,ROUND(SUMIF($B$73:$B$312,"15",AD$73:AD$312)/NETWORKDAYS(AD$21,AD$21+6,HOLIDAYS),1))</f>
        <v>0</v>
      </c>
      <c r="AE37" s="278" t="n">
        <f aca="false">IF(NETWORKDAYS(AE$21,AE$21+6,HOLIDAYS)=0,0,ROUND(SUMIF($B$73:$B$312,"15",AE$73:AE$312)/NETWORKDAYS(AE$21,AE$21+6,HOLIDAYS),1))</f>
        <v>0</v>
      </c>
      <c r="AF37" s="278" t="n">
        <f aca="false">IF(NETWORKDAYS(AF$21,AF$21+6,HOLIDAYS)=0,0,ROUND(SUMIF($B$73:$B$312,"15",AF$73:AF$312)/NETWORKDAYS(AF$21,AF$21+6,HOLIDAYS),1))</f>
        <v>0</v>
      </c>
      <c r="AG37" s="278" t="n">
        <f aca="false">IF(NETWORKDAYS(AG$21,AG$21+6,HOLIDAYS)=0,0,ROUND(SUMIF($B$73:$B$312,"15",AG$73:AG$312)/NETWORKDAYS(AG$21,AG$21+6,HOLIDAYS),1))</f>
        <v>0</v>
      </c>
      <c r="AH37" s="278" t="n">
        <f aca="false">IF(NETWORKDAYS(AH$21,AH$21+6,HOLIDAYS)=0,0,ROUND(SUMIF($B$73:$B$312,"15",AH$73:AH$312)/NETWORKDAYS(AH$21,AH$21+6,HOLIDAYS),1))</f>
        <v>0</v>
      </c>
      <c r="AI37" s="278" t="n">
        <f aca="false">IF(NETWORKDAYS(AI$21,AI$21+6,HOLIDAYS)=0,0,ROUND(SUMIF($B$73:$B$312,"15",AI$73:AI$312)/NETWORKDAYS(AI$21,AI$21+6,HOLIDAYS),1))</f>
        <v>0</v>
      </c>
      <c r="AJ37" s="278" t="n">
        <f aca="false">IF(NETWORKDAYS(AJ$21,AJ$21+6,HOLIDAYS)=0,0,ROUND(SUMIF($B$73:$B$312,"15",AJ$73:AJ$312)/NETWORKDAYS(AJ$21,AJ$21+6,HOLIDAYS),1))</f>
        <v>0</v>
      </c>
      <c r="AK37" s="278" t="n">
        <f aca="false">IF(NETWORKDAYS(AK$21,AK$21+6,HOLIDAYS)=0,0,ROUND(SUMIF($B$73:$B$312,"15",AK$73:AK$312)/NETWORKDAYS(AK$21,AK$21+6,HOLIDAYS),1))</f>
        <v>0</v>
      </c>
      <c r="AL37" s="278" t="n">
        <f aca="false">IF(NETWORKDAYS(AL$21,AL$21+6,HOLIDAYS)=0,0,ROUND(SUMIF($B$73:$B$312,"15",AL$73:AL$312)/NETWORKDAYS(AL$21,AL$21+6,HOLIDAYS),1))</f>
        <v>0</v>
      </c>
      <c r="AM37" s="278" t="n">
        <f aca="false">IF(NETWORKDAYS(AM$21,AM$21+6,HOLIDAYS)=0,0,ROUND(SUMIF($B$73:$B$312,"15",AM$73:AM$312)/NETWORKDAYS(AM$21,AM$21+6,HOLIDAYS),1))</f>
        <v>0</v>
      </c>
      <c r="AN37" s="278" t="n">
        <f aca="false">IF(NETWORKDAYS(AN$21,AN$21+6,HOLIDAYS)=0,0,ROUND(SUMIF($B$73:$B$312,"15",AN$73:AN$312)/NETWORKDAYS(AN$21,AN$21+6,HOLIDAYS),1))</f>
        <v>0</v>
      </c>
      <c r="AO37" s="278" t="n">
        <f aca="false">IF(NETWORKDAYS(AO$21,AO$21+6,HOLIDAYS)=0,0,ROUND(SUMIF($B$73:$B$312,"15",AO$73:AO$312)/NETWORKDAYS(AO$21,AO$21+6,HOLIDAYS),1))</f>
        <v>0</v>
      </c>
      <c r="AP37" s="278" t="n">
        <f aca="false">IF(NETWORKDAYS(AP$21,AP$21+6,HOLIDAYS)=0,0,ROUND(SUMIF($B$73:$B$312,"15",AP$73:AP$312)/NETWORKDAYS(AP$21,AP$21+6,HOLIDAYS),1))</f>
        <v>0</v>
      </c>
      <c r="AQ37" s="278" t="n">
        <f aca="false">IF(NETWORKDAYS(AQ$21,AQ$21+6,HOLIDAYS)=0,0,ROUND(SUMIF($B$73:$B$312,"15",AQ$73:AQ$312)/NETWORKDAYS(AQ$21,AQ$21+6,HOLIDAYS),1))</f>
        <v>0</v>
      </c>
      <c r="AR37" s="278" t="n">
        <f aca="false">IF(NETWORKDAYS(AR$21,AR$21+6,HOLIDAYS)=0,0,ROUND(SUMIF($B$73:$B$312,"15",AR$73:AR$312)/NETWORKDAYS(AR$21,AR$21+6,HOLIDAYS),1))</f>
        <v>0</v>
      </c>
    </row>
    <row r="38" customFormat="false" ht="15" hidden="false" customHeight="false" outlineLevel="0" collapsed="false">
      <c r="A38" s="246" t="s">
        <v>2336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76" t="n">
        <f aca="false">MAX(O38:AR38)</f>
        <v>20.8</v>
      </c>
      <c r="O38" s="278" t="n">
        <f aca="false">IF(NETWORKDAYS(O$21,O$21+6,HOLIDAYS)=0,0,ROUND(SUMIF($B$73:$B$312,"16",O$73:O$312)/NETWORKDAYS(O$21,O$21+6,HOLIDAYS),1))</f>
        <v>11.5</v>
      </c>
      <c r="P38" s="278" t="n">
        <f aca="false">IF(NETWORKDAYS(P$21,P$21+6,HOLIDAYS)=0,0,ROUND(SUMIF($B$73:$B$312,"16",P$73:P$312)/NETWORKDAYS(P$21,P$21+6,HOLIDAYS),1))</f>
        <v>7.8</v>
      </c>
      <c r="Q38" s="278" t="n">
        <f aca="false">IF(NETWORKDAYS(Q$21,Q$21+6,HOLIDAYS)=0,0,ROUND(SUMIF($B$73:$B$312,"16",Q$73:Q$312)/NETWORKDAYS(Q$21,Q$21+6,HOLIDAYS),1))</f>
        <v>20.8</v>
      </c>
      <c r="R38" s="278" t="n">
        <f aca="false">IF(NETWORKDAYS(R$21,R$21+6,HOLIDAYS)=0,0,ROUND(SUMIF($B$73:$B$312,"16",R$73:R$312)/NETWORKDAYS(R$21,R$21+6,HOLIDAYS),1))</f>
        <v>0</v>
      </c>
      <c r="S38" s="278" t="n">
        <f aca="false">IF(NETWORKDAYS(S$21,S$21+6,HOLIDAYS)=0,0,ROUND(SUMIF($B$73:$B$312,"16",S$73:S$312)/NETWORKDAYS(S$21,S$21+6,HOLIDAYS),1))</f>
        <v>3.9</v>
      </c>
      <c r="T38" s="278" t="n">
        <f aca="false">IF(NETWORKDAYS(T$21,T$21+6,HOLIDAYS)=0,0,ROUND(SUMIF($B$73:$B$312,"16",T$73:T$312)/NETWORKDAYS(T$21,T$21+6,HOLIDAYS),1))</f>
        <v>0</v>
      </c>
      <c r="U38" s="278" t="n">
        <f aca="false">IF(NETWORKDAYS(U$21,U$21+6,HOLIDAYS)=0,0,ROUND(SUMIF($B$73:$B$312,"16",U$73:U$312)/NETWORKDAYS(U$21,U$21+6,HOLIDAYS),1))</f>
        <v>0</v>
      </c>
      <c r="V38" s="278" t="n">
        <f aca="false">IF(NETWORKDAYS(V$21,V$21+6,HOLIDAYS)=0,0,ROUND(SUMIF($B$73:$B$312,"16",V$73:V$312)/NETWORKDAYS(V$21,V$21+6,HOLIDAYS),1))</f>
        <v>0</v>
      </c>
      <c r="W38" s="278" t="n">
        <f aca="false">IF(NETWORKDAYS(W$21,W$21+6,HOLIDAYS)=0,0,ROUND(SUMIF($B$73:$B$312,"16",W$73:W$312)/NETWORKDAYS(W$21,W$21+6,HOLIDAYS),1))</f>
        <v>0</v>
      </c>
      <c r="X38" s="278" t="n">
        <f aca="false">IF(NETWORKDAYS(X$21,X$21+6,HOLIDAYS)=0,0,ROUND(SUMIF($B$73:$B$312,"16",X$73:X$312)/NETWORKDAYS(X$21,X$21+6,HOLIDAYS),1))</f>
        <v>0</v>
      </c>
      <c r="Y38" s="278" t="n">
        <f aca="false">IF(NETWORKDAYS(Y$21,Y$21+6,HOLIDAYS)=0,0,ROUND(SUMIF($B$73:$B$312,"16",Y$73:Y$312)/NETWORKDAYS(Y$21,Y$21+6,HOLIDAYS),1))</f>
        <v>0</v>
      </c>
      <c r="Z38" s="278" t="n">
        <f aca="false">IF(NETWORKDAYS(Z$21,Z$21+6,HOLIDAYS)=0,0,ROUND(SUMIF($B$73:$B$312,"16",Z$73:Z$312)/NETWORKDAYS(Z$21,Z$21+6,HOLIDAYS),1))</f>
        <v>0</v>
      </c>
      <c r="AA38" s="278" t="n">
        <f aca="false">IF(NETWORKDAYS(AA$21,AA$21+6,HOLIDAYS)=0,0,ROUND(SUMIF($B$73:$B$312,"16",AA$73:AA$312)/NETWORKDAYS(AA$21,AA$21+6,HOLIDAYS),1))</f>
        <v>0</v>
      </c>
      <c r="AB38" s="278" t="n">
        <f aca="false">IF(NETWORKDAYS(AB$21,AB$21+6,HOLIDAYS)=0,0,ROUND(SUMIF($B$73:$B$312,"16",AB$73:AB$312)/NETWORKDAYS(AB$21,AB$21+6,HOLIDAYS),1))</f>
        <v>0</v>
      </c>
      <c r="AC38" s="278" t="n">
        <f aca="false">IF(NETWORKDAYS(AC$21,AC$21+6,HOLIDAYS)=0,0,ROUND(SUMIF($B$73:$B$312,"16",AC$73:AC$312)/NETWORKDAYS(AC$21,AC$21+6,HOLIDAYS),1))</f>
        <v>0</v>
      </c>
      <c r="AD38" s="278" t="n">
        <f aca="false">IF(NETWORKDAYS(AD$21,AD$21+6,HOLIDAYS)=0,0,ROUND(SUMIF($B$73:$B$312,"16",AD$73:AD$312)/NETWORKDAYS(AD$21,AD$21+6,HOLIDAYS),1))</f>
        <v>0</v>
      </c>
      <c r="AE38" s="278" t="n">
        <f aca="false">IF(NETWORKDAYS(AE$21,AE$21+6,HOLIDAYS)=0,0,ROUND(SUMIF($B$73:$B$312,"16",AE$73:AE$312)/NETWORKDAYS(AE$21,AE$21+6,HOLIDAYS),1))</f>
        <v>0</v>
      </c>
      <c r="AF38" s="278" t="n">
        <f aca="false">IF(NETWORKDAYS(AF$21,AF$21+6,HOLIDAYS)=0,0,ROUND(SUMIF($B$73:$B$312,"16",AF$73:AF$312)/NETWORKDAYS(AF$21,AF$21+6,HOLIDAYS),1))</f>
        <v>0</v>
      </c>
      <c r="AG38" s="278" t="n">
        <f aca="false">IF(NETWORKDAYS(AG$21,AG$21+6,HOLIDAYS)=0,0,ROUND(SUMIF($B$73:$B$312,"16",AG$73:AG$312)/NETWORKDAYS(AG$21,AG$21+6,HOLIDAYS),1))</f>
        <v>0</v>
      </c>
      <c r="AH38" s="278" t="n">
        <f aca="false">IF(NETWORKDAYS(AH$21,AH$21+6,HOLIDAYS)=0,0,ROUND(SUMIF($B$73:$B$312,"16",AH$73:AH$312)/NETWORKDAYS(AH$21,AH$21+6,HOLIDAYS),1))</f>
        <v>0</v>
      </c>
      <c r="AI38" s="278" t="n">
        <f aca="false">IF(NETWORKDAYS(AI$21,AI$21+6,HOLIDAYS)=0,0,ROUND(SUMIF($B$73:$B$312,"16",AI$73:AI$312)/NETWORKDAYS(AI$21,AI$21+6,HOLIDAYS),1))</f>
        <v>0</v>
      </c>
      <c r="AJ38" s="278" t="n">
        <f aca="false">IF(NETWORKDAYS(AJ$21,AJ$21+6,HOLIDAYS)=0,0,ROUND(SUMIF($B$73:$B$312,"16",AJ$73:AJ$312)/NETWORKDAYS(AJ$21,AJ$21+6,HOLIDAYS),1))</f>
        <v>0</v>
      </c>
      <c r="AK38" s="278" t="n">
        <f aca="false">IF(NETWORKDAYS(AK$21,AK$21+6,HOLIDAYS)=0,0,ROUND(SUMIF($B$73:$B$312,"16",AK$73:AK$312)/NETWORKDAYS(AK$21,AK$21+6,HOLIDAYS),1))</f>
        <v>0</v>
      </c>
      <c r="AL38" s="278" t="n">
        <f aca="false">IF(NETWORKDAYS(AL$21,AL$21+6,HOLIDAYS)=0,0,ROUND(SUMIF($B$73:$B$312,"16",AL$73:AL$312)/NETWORKDAYS(AL$21,AL$21+6,HOLIDAYS),1))</f>
        <v>0</v>
      </c>
      <c r="AM38" s="278" t="n">
        <f aca="false">IF(NETWORKDAYS(AM$21,AM$21+6,HOLIDAYS)=0,0,ROUND(SUMIF($B$73:$B$312,"16",AM$73:AM$312)/NETWORKDAYS(AM$21,AM$21+6,HOLIDAYS),1))</f>
        <v>0</v>
      </c>
      <c r="AN38" s="278" t="n">
        <f aca="false">IF(NETWORKDAYS(AN$21,AN$21+6,HOLIDAYS)=0,0,ROUND(SUMIF($B$73:$B$312,"16",AN$73:AN$312)/NETWORKDAYS(AN$21,AN$21+6,HOLIDAYS),1))</f>
        <v>0</v>
      </c>
      <c r="AO38" s="278" t="n">
        <f aca="false">IF(NETWORKDAYS(AO$21,AO$21+6,HOLIDAYS)=0,0,ROUND(SUMIF($B$73:$B$312,"16",AO$73:AO$312)/NETWORKDAYS(AO$21,AO$21+6,HOLIDAYS),1))</f>
        <v>0</v>
      </c>
      <c r="AP38" s="278" t="n">
        <f aca="false">IF(NETWORKDAYS(AP$21,AP$21+6,HOLIDAYS)=0,0,ROUND(SUMIF($B$73:$B$312,"16",AP$73:AP$312)/NETWORKDAYS(AP$21,AP$21+6,HOLIDAYS),1))</f>
        <v>0</v>
      </c>
      <c r="AQ38" s="278" t="n">
        <f aca="false">IF(NETWORKDAYS(AQ$21,AQ$21+6,HOLIDAYS)=0,0,ROUND(SUMIF($B$73:$B$312,"16",AQ$73:AQ$312)/NETWORKDAYS(AQ$21,AQ$21+6,HOLIDAYS),1))</f>
        <v>0</v>
      </c>
      <c r="AR38" s="278" t="n">
        <f aca="false">IF(NETWORKDAYS(AR$21,AR$21+6,HOLIDAYS)=0,0,ROUND(SUMIF($B$73:$B$312,"16",AR$73:AR$312)/NETWORKDAYS(AR$21,AR$21+6,HOLIDAYS),1))</f>
        <v>0</v>
      </c>
    </row>
    <row r="39" customFormat="false" ht="15" hidden="false" customHeight="false" outlineLevel="0" collapsed="false">
      <c r="A39" s="246" t="s">
        <v>2337</v>
      </c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76" t="n">
        <f aca="false">MAX(O39:AR39)</f>
        <v>19.9</v>
      </c>
      <c r="O39" s="278" t="n">
        <f aca="false">IF(NETWORKDAYS(O$21,O$21+6,HOLIDAYS)=0,0,ROUND(SUMIF($B$73:$B$312,"17",O$73:O$312)/NETWORKDAYS(O$21,O$21+6,HOLIDAYS),1))</f>
        <v>8.4</v>
      </c>
      <c r="P39" s="278" t="n">
        <f aca="false">IF(NETWORKDAYS(P$21,P$21+6,HOLIDAYS)=0,0,ROUND(SUMIF($B$73:$B$312,"17",P$73:P$312)/NETWORKDAYS(P$21,P$21+6,HOLIDAYS),1))</f>
        <v>8.4</v>
      </c>
      <c r="Q39" s="278" t="n">
        <f aca="false">IF(NETWORKDAYS(Q$21,Q$21+6,HOLIDAYS)=0,0,ROUND(SUMIF($B$73:$B$312,"17",Q$73:Q$312)/NETWORKDAYS(Q$21,Q$21+6,HOLIDAYS),1))</f>
        <v>19.9</v>
      </c>
      <c r="R39" s="278" t="n">
        <f aca="false">IF(NETWORKDAYS(R$21,R$21+6,HOLIDAYS)=0,0,ROUND(SUMIF($B$73:$B$312,"17",R$73:R$312)/NETWORKDAYS(R$21,R$21+6,HOLIDAYS),1))</f>
        <v>0</v>
      </c>
      <c r="S39" s="278" t="n">
        <f aca="false">IF(NETWORKDAYS(S$21,S$21+6,HOLIDAYS)=0,0,ROUND(SUMIF($B$73:$B$312,"17",S$73:S$312)/NETWORKDAYS(S$21,S$21+6,HOLIDAYS),1))</f>
        <v>3.1</v>
      </c>
      <c r="T39" s="278" t="n">
        <f aca="false">IF(NETWORKDAYS(T$21,T$21+6,HOLIDAYS)=0,0,ROUND(SUMIF($B$73:$B$312,"17",T$73:T$312)/NETWORKDAYS(T$21,T$21+6,HOLIDAYS),1))</f>
        <v>0</v>
      </c>
      <c r="U39" s="278" t="n">
        <f aca="false">IF(NETWORKDAYS(U$21,U$21+6,HOLIDAYS)=0,0,ROUND(SUMIF($B$73:$B$312,"17",U$73:U$312)/NETWORKDAYS(U$21,U$21+6,HOLIDAYS),1))</f>
        <v>0</v>
      </c>
      <c r="V39" s="278" t="n">
        <f aca="false">IF(NETWORKDAYS(V$21,V$21+6,HOLIDAYS)=0,0,ROUND(SUMIF($B$73:$B$312,"17",V$73:V$312)/NETWORKDAYS(V$21,V$21+6,HOLIDAYS),1))</f>
        <v>0</v>
      </c>
      <c r="W39" s="278" t="n">
        <f aca="false">IF(NETWORKDAYS(W$21,W$21+6,HOLIDAYS)=0,0,ROUND(SUMIF($B$73:$B$312,"17",W$73:W$312)/NETWORKDAYS(W$21,W$21+6,HOLIDAYS),1))</f>
        <v>0</v>
      </c>
      <c r="X39" s="278" t="n">
        <f aca="false">IF(NETWORKDAYS(X$21,X$21+6,HOLIDAYS)=0,0,ROUND(SUMIF($B$73:$B$312,"17",X$73:X$312)/NETWORKDAYS(X$21,X$21+6,HOLIDAYS),1))</f>
        <v>0</v>
      </c>
      <c r="Y39" s="278" t="n">
        <f aca="false">IF(NETWORKDAYS(Y$21,Y$21+6,HOLIDAYS)=0,0,ROUND(SUMIF($B$73:$B$312,"17",Y$73:Y$312)/NETWORKDAYS(Y$21,Y$21+6,HOLIDAYS),1))</f>
        <v>0</v>
      </c>
      <c r="Z39" s="278" t="n">
        <f aca="false">IF(NETWORKDAYS(Z$21,Z$21+6,HOLIDAYS)=0,0,ROUND(SUMIF($B$73:$B$312,"17",Z$73:Z$312)/NETWORKDAYS(Z$21,Z$21+6,HOLIDAYS),1))</f>
        <v>0</v>
      </c>
      <c r="AA39" s="278" t="n">
        <f aca="false">IF(NETWORKDAYS(AA$21,AA$21+6,HOLIDAYS)=0,0,ROUND(SUMIF($B$73:$B$312,"17",AA$73:AA$312)/NETWORKDAYS(AA$21,AA$21+6,HOLIDAYS),1))</f>
        <v>0</v>
      </c>
      <c r="AB39" s="278" t="n">
        <f aca="false">IF(NETWORKDAYS(AB$21,AB$21+6,HOLIDAYS)=0,0,ROUND(SUMIF($B$73:$B$312,"17",AB$73:AB$312)/NETWORKDAYS(AB$21,AB$21+6,HOLIDAYS),1))</f>
        <v>0</v>
      </c>
      <c r="AC39" s="278" t="n">
        <f aca="false">IF(NETWORKDAYS(AC$21,AC$21+6,HOLIDAYS)=0,0,ROUND(SUMIF($B$73:$B$312,"17",AC$73:AC$312)/NETWORKDAYS(AC$21,AC$21+6,HOLIDAYS),1))</f>
        <v>0</v>
      </c>
      <c r="AD39" s="278" t="n">
        <f aca="false">IF(NETWORKDAYS(AD$21,AD$21+6,HOLIDAYS)=0,0,ROUND(SUMIF($B$73:$B$312,"17",AD$73:AD$312)/NETWORKDAYS(AD$21,AD$21+6,HOLIDAYS),1))</f>
        <v>0</v>
      </c>
      <c r="AE39" s="278" t="n">
        <f aca="false">IF(NETWORKDAYS(AE$21,AE$21+6,HOLIDAYS)=0,0,ROUND(SUMIF($B$73:$B$312,"17",AE$73:AE$312)/NETWORKDAYS(AE$21,AE$21+6,HOLIDAYS),1))</f>
        <v>0</v>
      </c>
      <c r="AF39" s="278" t="n">
        <f aca="false">IF(NETWORKDAYS(AF$21,AF$21+6,HOLIDAYS)=0,0,ROUND(SUMIF($B$73:$B$312,"17",AF$73:AF$312)/NETWORKDAYS(AF$21,AF$21+6,HOLIDAYS),1))</f>
        <v>0</v>
      </c>
      <c r="AG39" s="278" t="n">
        <f aca="false">IF(NETWORKDAYS(AG$21,AG$21+6,HOLIDAYS)=0,0,ROUND(SUMIF($B$73:$B$312,"17",AG$73:AG$312)/NETWORKDAYS(AG$21,AG$21+6,HOLIDAYS),1))</f>
        <v>0</v>
      </c>
      <c r="AH39" s="278" t="n">
        <f aca="false">IF(NETWORKDAYS(AH$21,AH$21+6,HOLIDAYS)=0,0,ROUND(SUMIF($B$73:$B$312,"17",AH$73:AH$312)/NETWORKDAYS(AH$21,AH$21+6,HOLIDAYS),1))</f>
        <v>0</v>
      </c>
      <c r="AI39" s="278" t="n">
        <f aca="false">IF(NETWORKDAYS(AI$21,AI$21+6,HOLIDAYS)=0,0,ROUND(SUMIF($B$73:$B$312,"17",AI$73:AI$312)/NETWORKDAYS(AI$21,AI$21+6,HOLIDAYS),1))</f>
        <v>0</v>
      </c>
      <c r="AJ39" s="278" t="n">
        <f aca="false">IF(NETWORKDAYS(AJ$21,AJ$21+6,HOLIDAYS)=0,0,ROUND(SUMIF($B$73:$B$312,"17",AJ$73:AJ$312)/NETWORKDAYS(AJ$21,AJ$21+6,HOLIDAYS),1))</f>
        <v>0</v>
      </c>
      <c r="AK39" s="278" t="n">
        <f aca="false">IF(NETWORKDAYS(AK$21,AK$21+6,HOLIDAYS)=0,0,ROUND(SUMIF($B$73:$B$312,"17",AK$73:AK$312)/NETWORKDAYS(AK$21,AK$21+6,HOLIDAYS),1))</f>
        <v>0</v>
      </c>
      <c r="AL39" s="278" t="n">
        <f aca="false">IF(NETWORKDAYS(AL$21,AL$21+6,HOLIDAYS)=0,0,ROUND(SUMIF($B$73:$B$312,"17",AL$73:AL$312)/NETWORKDAYS(AL$21,AL$21+6,HOLIDAYS),1))</f>
        <v>0</v>
      </c>
      <c r="AM39" s="278" t="n">
        <f aca="false">IF(NETWORKDAYS(AM$21,AM$21+6,HOLIDAYS)=0,0,ROUND(SUMIF($B$73:$B$312,"17",AM$73:AM$312)/NETWORKDAYS(AM$21,AM$21+6,HOLIDAYS),1))</f>
        <v>0</v>
      </c>
      <c r="AN39" s="278" t="n">
        <f aca="false">IF(NETWORKDAYS(AN$21,AN$21+6,HOLIDAYS)=0,0,ROUND(SUMIF($B$73:$B$312,"17",AN$73:AN$312)/NETWORKDAYS(AN$21,AN$21+6,HOLIDAYS),1))</f>
        <v>0</v>
      </c>
      <c r="AO39" s="278" t="n">
        <f aca="false">IF(NETWORKDAYS(AO$21,AO$21+6,HOLIDAYS)=0,0,ROUND(SUMIF($B$73:$B$312,"17",AO$73:AO$312)/NETWORKDAYS(AO$21,AO$21+6,HOLIDAYS),1))</f>
        <v>0</v>
      </c>
      <c r="AP39" s="278" t="n">
        <f aca="false">IF(NETWORKDAYS(AP$21,AP$21+6,HOLIDAYS)=0,0,ROUND(SUMIF($B$73:$B$312,"17",AP$73:AP$312)/NETWORKDAYS(AP$21,AP$21+6,HOLIDAYS),1))</f>
        <v>0</v>
      </c>
      <c r="AQ39" s="278" t="n">
        <f aca="false">IF(NETWORKDAYS(AQ$21,AQ$21+6,HOLIDAYS)=0,0,ROUND(SUMIF($B$73:$B$312,"17",AQ$73:AQ$312)/NETWORKDAYS(AQ$21,AQ$21+6,HOLIDAYS),1))</f>
        <v>0</v>
      </c>
      <c r="AR39" s="278" t="n">
        <f aca="false">IF(NETWORKDAYS(AR$21,AR$21+6,HOLIDAYS)=0,0,ROUND(SUMIF($B$73:$B$312,"17",AR$73:AR$312)/NETWORKDAYS(AR$21,AR$21+6,HOLIDAYS),1))</f>
        <v>0</v>
      </c>
    </row>
    <row r="40" customFormat="false" ht="15" hidden="false" customHeight="false" outlineLevel="0" collapsed="false">
      <c r="A40" s="246" t="s">
        <v>2338</v>
      </c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76" t="n">
        <f aca="false">MAX(O40:AR40)</f>
        <v>22.6</v>
      </c>
      <c r="O40" s="278" t="n">
        <f aca="false">IF(NETWORKDAYS(O$21,O$21+6,HOLIDAYS)=0,0,ROUND(SUMIF($B$73:$B$312,"18",O$73:O$312)/NETWORKDAYS(O$21,O$21+6,HOLIDAYS),1))</f>
        <v>20.5</v>
      </c>
      <c r="P40" s="278" t="n">
        <f aca="false">IF(NETWORKDAYS(P$21,P$21+6,HOLIDAYS)=0,0,ROUND(SUMIF($B$73:$B$312,"18",P$73:P$312)/NETWORKDAYS(P$21,P$21+6,HOLIDAYS),1))</f>
        <v>11.4</v>
      </c>
      <c r="Q40" s="278" t="n">
        <f aca="false">IF(NETWORKDAYS(Q$21,Q$21+6,HOLIDAYS)=0,0,ROUND(SUMIF($B$73:$B$312,"18",Q$73:Q$312)/NETWORKDAYS(Q$21,Q$21+6,HOLIDAYS),1))</f>
        <v>22.6</v>
      </c>
      <c r="R40" s="278" t="n">
        <f aca="false">IF(NETWORKDAYS(R$21,R$21+6,HOLIDAYS)=0,0,ROUND(SUMIF($B$73:$B$312,"18",R$73:R$312)/NETWORKDAYS(R$21,R$21+6,HOLIDAYS),1))</f>
        <v>0</v>
      </c>
      <c r="S40" s="278" t="n">
        <f aca="false">IF(NETWORKDAYS(S$21,S$21+6,HOLIDAYS)=0,0,ROUND(SUMIF($B$73:$B$312,"18",S$73:S$312)/NETWORKDAYS(S$21,S$21+6,HOLIDAYS),1))</f>
        <v>3.9</v>
      </c>
      <c r="T40" s="278" t="n">
        <f aca="false">IF(NETWORKDAYS(T$21,T$21+6,HOLIDAYS)=0,0,ROUND(SUMIF($B$73:$B$312,"18",T$73:T$312)/NETWORKDAYS(T$21,T$21+6,HOLIDAYS),1))</f>
        <v>0</v>
      </c>
      <c r="U40" s="278" t="n">
        <f aca="false">IF(NETWORKDAYS(U$21,U$21+6,HOLIDAYS)=0,0,ROUND(SUMIF($B$73:$B$312,"18",U$73:U$312)/NETWORKDAYS(U$21,U$21+6,HOLIDAYS),1))</f>
        <v>0</v>
      </c>
      <c r="V40" s="278" t="n">
        <f aca="false">IF(NETWORKDAYS(V$21,V$21+6,HOLIDAYS)=0,0,ROUND(SUMIF($B$73:$B$312,"18",V$73:V$312)/NETWORKDAYS(V$21,V$21+6,HOLIDAYS),1))</f>
        <v>0</v>
      </c>
      <c r="W40" s="278" t="n">
        <f aca="false">IF(NETWORKDAYS(W$21,W$21+6,HOLIDAYS)=0,0,ROUND(SUMIF($B$73:$B$312,"18",W$73:W$312)/NETWORKDAYS(W$21,W$21+6,HOLIDAYS),1))</f>
        <v>0</v>
      </c>
      <c r="X40" s="278" t="n">
        <f aca="false">IF(NETWORKDAYS(X$21,X$21+6,HOLIDAYS)=0,0,ROUND(SUMIF($B$73:$B$312,"18",X$73:X$312)/NETWORKDAYS(X$21,X$21+6,HOLIDAYS),1))</f>
        <v>0</v>
      </c>
      <c r="Y40" s="278" t="n">
        <f aca="false">IF(NETWORKDAYS(Y$21,Y$21+6,HOLIDAYS)=0,0,ROUND(SUMIF($B$73:$B$312,"18",Y$73:Y$312)/NETWORKDAYS(Y$21,Y$21+6,HOLIDAYS),1))</f>
        <v>0</v>
      </c>
      <c r="Z40" s="278" t="n">
        <f aca="false">IF(NETWORKDAYS(Z$21,Z$21+6,HOLIDAYS)=0,0,ROUND(SUMIF($B$73:$B$312,"18",Z$73:Z$312)/NETWORKDAYS(Z$21,Z$21+6,HOLIDAYS),1))</f>
        <v>0</v>
      </c>
      <c r="AA40" s="278" t="n">
        <f aca="false">IF(NETWORKDAYS(AA$21,AA$21+6,HOLIDAYS)=0,0,ROUND(SUMIF($B$73:$B$312,"18",AA$73:AA$312)/NETWORKDAYS(AA$21,AA$21+6,HOLIDAYS),1))</f>
        <v>0</v>
      </c>
      <c r="AB40" s="278" t="n">
        <f aca="false">IF(NETWORKDAYS(AB$21,AB$21+6,HOLIDAYS)=0,0,ROUND(SUMIF($B$73:$B$312,"18",AB$73:AB$312)/NETWORKDAYS(AB$21,AB$21+6,HOLIDAYS),1))</f>
        <v>0</v>
      </c>
      <c r="AC40" s="278" t="n">
        <f aca="false">IF(NETWORKDAYS(AC$21,AC$21+6,HOLIDAYS)=0,0,ROUND(SUMIF($B$73:$B$312,"18",AC$73:AC$312)/NETWORKDAYS(AC$21,AC$21+6,HOLIDAYS),1))</f>
        <v>0</v>
      </c>
      <c r="AD40" s="278" t="n">
        <f aca="false">IF(NETWORKDAYS(AD$21,AD$21+6,HOLIDAYS)=0,0,ROUND(SUMIF($B$73:$B$312,"18",AD$73:AD$312)/NETWORKDAYS(AD$21,AD$21+6,HOLIDAYS),1))</f>
        <v>0</v>
      </c>
      <c r="AE40" s="278" t="n">
        <f aca="false">IF(NETWORKDAYS(AE$21,AE$21+6,HOLIDAYS)=0,0,ROUND(SUMIF($B$73:$B$312,"18",AE$73:AE$312)/NETWORKDAYS(AE$21,AE$21+6,HOLIDAYS),1))</f>
        <v>0</v>
      </c>
      <c r="AF40" s="278" t="n">
        <f aca="false">IF(NETWORKDAYS(AF$21,AF$21+6,HOLIDAYS)=0,0,ROUND(SUMIF($B$73:$B$312,"18",AF$73:AF$312)/NETWORKDAYS(AF$21,AF$21+6,HOLIDAYS),1))</f>
        <v>0</v>
      </c>
      <c r="AG40" s="278" t="n">
        <f aca="false">IF(NETWORKDAYS(AG$21,AG$21+6,HOLIDAYS)=0,0,ROUND(SUMIF($B$73:$B$312,"18",AG$73:AG$312)/NETWORKDAYS(AG$21,AG$21+6,HOLIDAYS),1))</f>
        <v>0</v>
      </c>
      <c r="AH40" s="278" t="n">
        <f aca="false">IF(NETWORKDAYS(AH$21,AH$21+6,HOLIDAYS)=0,0,ROUND(SUMIF($B$73:$B$312,"18",AH$73:AH$312)/NETWORKDAYS(AH$21,AH$21+6,HOLIDAYS),1))</f>
        <v>0</v>
      </c>
      <c r="AI40" s="278" t="n">
        <f aca="false">IF(NETWORKDAYS(AI$21,AI$21+6,HOLIDAYS)=0,0,ROUND(SUMIF($B$73:$B$312,"18",AI$73:AI$312)/NETWORKDAYS(AI$21,AI$21+6,HOLIDAYS),1))</f>
        <v>0</v>
      </c>
      <c r="AJ40" s="278" t="n">
        <f aca="false">IF(NETWORKDAYS(AJ$21,AJ$21+6,HOLIDAYS)=0,0,ROUND(SUMIF($B$73:$B$312,"18",AJ$73:AJ$312)/NETWORKDAYS(AJ$21,AJ$21+6,HOLIDAYS),1))</f>
        <v>0</v>
      </c>
      <c r="AK40" s="278" t="n">
        <f aca="false">IF(NETWORKDAYS(AK$21,AK$21+6,HOLIDAYS)=0,0,ROUND(SUMIF($B$73:$B$312,"18",AK$73:AK$312)/NETWORKDAYS(AK$21,AK$21+6,HOLIDAYS),1))</f>
        <v>0</v>
      </c>
      <c r="AL40" s="278" t="n">
        <f aca="false">IF(NETWORKDAYS(AL$21,AL$21+6,HOLIDAYS)=0,0,ROUND(SUMIF($B$73:$B$312,"18",AL$73:AL$312)/NETWORKDAYS(AL$21,AL$21+6,HOLIDAYS),1))</f>
        <v>0</v>
      </c>
      <c r="AM40" s="278" t="n">
        <f aca="false">IF(NETWORKDAYS(AM$21,AM$21+6,HOLIDAYS)=0,0,ROUND(SUMIF($B$73:$B$312,"18",AM$73:AM$312)/NETWORKDAYS(AM$21,AM$21+6,HOLIDAYS),1))</f>
        <v>0</v>
      </c>
      <c r="AN40" s="278" t="n">
        <f aca="false">IF(NETWORKDAYS(AN$21,AN$21+6,HOLIDAYS)=0,0,ROUND(SUMIF($B$73:$B$312,"18",AN$73:AN$312)/NETWORKDAYS(AN$21,AN$21+6,HOLIDAYS),1))</f>
        <v>0</v>
      </c>
      <c r="AO40" s="278" t="n">
        <f aca="false">IF(NETWORKDAYS(AO$21,AO$21+6,HOLIDAYS)=0,0,ROUND(SUMIF($B$73:$B$312,"18",AO$73:AO$312)/NETWORKDAYS(AO$21,AO$21+6,HOLIDAYS),1))</f>
        <v>0</v>
      </c>
      <c r="AP40" s="278" t="n">
        <f aca="false">IF(NETWORKDAYS(AP$21,AP$21+6,HOLIDAYS)=0,0,ROUND(SUMIF($B$73:$B$312,"18",AP$73:AP$312)/NETWORKDAYS(AP$21,AP$21+6,HOLIDAYS),1))</f>
        <v>0</v>
      </c>
      <c r="AQ40" s="278" t="n">
        <f aca="false">IF(NETWORKDAYS(AQ$21,AQ$21+6,HOLIDAYS)=0,0,ROUND(SUMIF($B$73:$B$312,"18",AQ$73:AQ$312)/NETWORKDAYS(AQ$21,AQ$21+6,HOLIDAYS),1))</f>
        <v>0</v>
      </c>
      <c r="AR40" s="278" t="n">
        <f aca="false">IF(NETWORKDAYS(AR$21,AR$21+6,HOLIDAYS)=0,0,ROUND(SUMIF($B$73:$B$312,"18",AR$73:AR$312)/NETWORKDAYS(AR$21,AR$21+6,HOLIDAYS),1))</f>
        <v>0</v>
      </c>
    </row>
    <row r="41" customFormat="false" ht="15" hidden="false" customHeight="false" outlineLevel="0" collapsed="false">
      <c r="A41" s="246" t="s">
        <v>2339</v>
      </c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76" t="n">
        <f aca="false">MAX(O41:AR41)</f>
        <v>18.1</v>
      </c>
      <c r="O41" s="278" t="n">
        <f aca="false">IF(NETWORKDAYS(O$21,O$21+6,HOLIDAYS)=0,0,ROUND(SUMIF($B$73:$B$312,"19",O$73:O$312)/NETWORKDAYS(O$21,O$21+6,HOLIDAYS),1))</f>
        <v>8.4</v>
      </c>
      <c r="P41" s="278" t="n">
        <f aca="false">IF(NETWORKDAYS(P$21,P$21+6,HOLIDAYS)=0,0,ROUND(SUMIF($B$73:$B$312,"19",P$73:P$312)/NETWORKDAYS(P$21,P$21+6,HOLIDAYS),1))</f>
        <v>8.4</v>
      </c>
      <c r="Q41" s="278" t="n">
        <f aca="false">IF(NETWORKDAYS(Q$21,Q$21+6,HOLIDAYS)=0,0,ROUND(SUMIF($B$73:$B$312,"19",Q$73:Q$312)/NETWORKDAYS(Q$21,Q$21+6,HOLIDAYS),1))</f>
        <v>18.1</v>
      </c>
      <c r="R41" s="278" t="n">
        <f aca="false">IF(NETWORKDAYS(R$21,R$21+6,HOLIDAYS)=0,0,ROUND(SUMIF($B$73:$B$312,"19",R$73:R$312)/NETWORKDAYS(R$21,R$21+6,HOLIDAYS),1))</f>
        <v>0</v>
      </c>
      <c r="S41" s="278" t="n">
        <f aca="false">IF(NETWORKDAYS(S$21,S$21+6,HOLIDAYS)=0,0,ROUND(SUMIF($B$73:$B$312,"19",S$73:S$312)/NETWORKDAYS(S$21,S$21+6,HOLIDAYS),1))</f>
        <v>3.1</v>
      </c>
      <c r="T41" s="278" t="n">
        <f aca="false">IF(NETWORKDAYS(T$21,T$21+6,HOLIDAYS)=0,0,ROUND(SUMIF($B$73:$B$312,"19",T$73:T$312)/NETWORKDAYS(T$21,T$21+6,HOLIDAYS),1))</f>
        <v>0</v>
      </c>
      <c r="U41" s="278" t="n">
        <f aca="false">IF(NETWORKDAYS(U$21,U$21+6,HOLIDAYS)=0,0,ROUND(SUMIF($B$73:$B$312,"19",U$73:U$312)/NETWORKDAYS(U$21,U$21+6,HOLIDAYS),1))</f>
        <v>0</v>
      </c>
      <c r="V41" s="278" t="n">
        <f aca="false">IF(NETWORKDAYS(V$21,V$21+6,HOLIDAYS)=0,0,ROUND(SUMIF($B$73:$B$312,"19",V$73:V$312)/NETWORKDAYS(V$21,V$21+6,HOLIDAYS),1))</f>
        <v>0</v>
      </c>
      <c r="W41" s="278" t="n">
        <f aca="false">IF(NETWORKDAYS(W$21,W$21+6,HOLIDAYS)=0,0,ROUND(SUMIF($B$73:$B$312,"19",W$73:W$312)/NETWORKDAYS(W$21,W$21+6,HOLIDAYS),1))</f>
        <v>0</v>
      </c>
      <c r="X41" s="278" t="n">
        <f aca="false">IF(NETWORKDAYS(X$21,X$21+6,HOLIDAYS)=0,0,ROUND(SUMIF($B$73:$B$312,"19",X$73:X$312)/NETWORKDAYS(X$21,X$21+6,HOLIDAYS),1))</f>
        <v>0</v>
      </c>
      <c r="Y41" s="278" t="n">
        <f aca="false">IF(NETWORKDAYS(Y$21,Y$21+6,HOLIDAYS)=0,0,ROUND(SUMIF($B$73:$B$312,"19",Y$73:Y$312)/NETWORKDAYS(Y$21,Y$21+6,HOLIDAYS),1))</f>
        <v>0</v>
      </c>
      <c r="Z41" s="278" t="n">
        <f aca="false">IF(NETWORKDAYS(Z$21,Z$21+6,HOLIDAYS)=0,0,ROUND(SUMIF($B$73:$B$312,"19",Z$73:Z$312)/NETWORKDAYS(Z$21,Z$21+6,HOLIDAYS),1))</f>
        <v>0</v>
      </c>
      <c r="AA41" s="278" t="n">
        <f aca="false">IF(NETWORKDAYS(AA$21,AA$21+6,HOLIDAYS)=0,0,ROUND(SUMIF($B$73:$B$312,"19",AA$73:AA$312)/NETWORKDAYS(AA$21,AA$21+6,HOLIDAYS),1))</f>
        <v>0</v>
      </c>
      <c r="AB41" s="278" t="n">
        <f aca="false">IF(NETWORKDAYS(AB$21,AB$21+6,HOLIDAYS)=0,0,ROUND(SUMIF($B$73:$B$312,"19",AB$73:AB$312)/NETWORKDAYS(AB$21,AB$21+6,HOLIDAYS),1))</f>
        <v>0</v>
      </c>
      <c r="AC41" s="278" t="n">
        <f aca="false">IF(NETWORKDAYS(AC$21,AC$21+6,HOLIDAYS)=0,0,ROUND(SUMIF($B$73:$B$312,"19",AC$73:AC$312)/NETWORKDAYS(AC$21,AC$21+6,HOLIDAYS),1))</f>
        <v>0</v>
      </c>
      <c r="AD41" s="278" t="n">
        <f aca="false">IF(NETWORKDAYS(AD$21,AD$21+6,HOLIDAYS)=0,0,ROUND(SUMIF($B$73:$B$312,"19",AD$73:AD$312)/NETWORKDAYS(AD$21,AD$21+6,HOLIDAYS),1))</f>
        <v>0</v>
      </c>
      <c r="AE41" s="278" t="n">
        <f aca="false">IF(NETWORKDAYS(AE$21,AE$21+6,HOLIDAYS)=0,0,ROUND(SUMIF($B$73:$B$312,"19",AE$73:AE$312)/NETWORKDAYS(AE$21,AE$21+6,HOLIDAYS),1))</f>
        <v>0</v>
      </c>
      <c r="AF41" s="278" t="n">
        <f aca="false">IF(NETWORKDAYS(AF$21,AF$21+6,HOLIDAYS)=0,0,ROUND(SUMIF($B$73:$B$312,"19",AF$73:AF$312)/NETWORKDAYS(AF$21,AF$21+6,HOLIDAYS),1))</f>
        <v>0</v>
      </c>
      <c r="AG41" s="278" t="n">
        <f aca="false">IF(NETWORKDAYS(AG$21,AG$21+6,HOLIDAYS)=0,0,ROUND(SUMIF($B$73:$B$312,"19",AG$73:AG$312)/NETWORKDAYS(AG$21,AG$21+6,HOLIDAYS),1))</f>
        <v>0</v>
      </c>
      <c r="AH41" s="278" t="n">
        <f aca="false">IF(NETWORKDAYS(AH$21,AH$21+6,HOLIDAYS)=0,0,ROUND(SUMIF($B$73:$B$312,"19",AH$73:AH$312)/NETWORKDAYS(AH$21,AH$21+6,HOLIDAYS),1))</f>
        <v>0</v>
      </c>
      <c r="AI41" s="278" t="n">
        <f aca="false">IF(NETWORKDAYS(AI$21,AI$21+6,HOLIDAYS)=0,0,ROUND(SUMIF($B$73:$B$312,"19",AI$73:AI$312)/NETWORKDAYS(AI$21,AI$21+6,HOLIDAYS),1))</f>
        <v>0</v>
      </c>
      <c r="AJ41" s="278" t="n">
        <f aca="false">IF(NETWORKDAYS(AJ$21,AJ$21+6,HOLIDAYS)=0,0,ROUND(SUMIF($B$73:$B$312,"19",AJ$73:AJ$312)/NETWORKDAYS(AJ$21,AJ$21+6,HOLIDAYS),1))</f>
        <v>0</v>
      </c>
      <c r="AK41" s="278" t="n">
        <f aca="false">IF(NETWORKDAYS(AK$21,AK$21+6,HOLIDAYS)=0,0,ROUND(SUMIF($B$73:$B$312,"19",AK$73:AK$312)/NETWORKDAYS(AK$21,AK$21+6,HOLIDAYS),1))</f>
        <v>0</v>
      </c>
      <c r="AL41" s="278" t="n">
        <f aca="false">IF(NETWORKDAYS(AL$21,AL$21+6,HOLIDAYS)=0,0,ROUND(SUMIF($B$73:$B$312,"19",AL$73:AL$312)/NETWORKDAYS(AL$21,AL$21+6,HOLIDAYS),1))</f>
        <v>0</v>
      </c>
      <c r="AM41" s="278" t="n">
        <f aca="false">IF(NETWORKDAYS(AM$21,AM$21+6,HOLIDAYS)=0,0,ROUND(SUMIF($B$73:$B$312,"19",AM$73:AM$312)/NETWORKDAYS(AM$21,AM$21+6,HOLIDAYS),1))</f>
        <v>0</v>
      </c>
      <c r="AN41" s="278" t="n">
        <f aca="false">IF(NETWORKDAYS(AN$21,AN$21+6,HOLIDAYS)=0,0,ROUND(SUMIF($B$73:$B$312,"19",AN$73:AN$312)/NETWORKDAYS(AN$21,AN$21+6,HOLIDAYS),1))</f>
        <v>0</v>
      </c>
      <c r="AO41" s="278" t="n">
        <f aca="false">IF(NETWORKDAYS(AO$21,AO$21+6,HOLIDAYS)=0,0,ROUND(SUMIF($B$73:$B$312,"19",AO$73:AO$312)/NETWORKDAYS(AO$21,AO$21+6,HOLIDAYS),1))</f>
        <v>0</v>
      </c>
      <c r="AP41" s="278" t="n">
        <f aca="false">IF(NETWORKDAYS(AP$21,AP$21+6,HOLIDAYS)=0,0,ROUND(SUMIF($B$73:$B$312,"19",AP$73:AP$312)/NETWORKDAYS(AP$21,AP$21+6,HOLIDAYS),1))</f>
        <v>0</v>
      </c>
      <c r="AQ41" s="278" t="n">
        <f aca="false">IF(NETWORKDAYS(AQ$21,AQ$21+6,HOLIDAYS)=0,0,ROUND(SUMIF($B$73:$B$312,"19",AQ$73:AQ$312)/NETWORKDAYS(AQ$21,AQ$21+6,HOLIDAYS),1))</f>
        <v>0</v>
      </c>
      <c r="AR41" s="278" t="n">
        <f aca="false">IF(NETWORKDAYS(AR$21,AR$21+6,HOLIDAYS)=0,0,ROUND(SUMIF($B$73:$B$312,"19",AR$73:AR$312)/NETWORKDAYS(AR$21,AR$21+6,HOLIDAYS),1))</f>
        <v>0</v>
      </c>
    </row>
    <row r="42" customFormat="false" ht="15" hidden="false" customHeight="false" outlineLevel="0" collapsed="false">
      <c r="A42" s="246" t="s">
        <v>2340</v>
      </c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76" t="n">
        <f aca="false">MAX(O42:AR42)</f>
        <v>20.8</v>
      </c>
      <c r="O42" s="278" t="n">
        <f aca="false">IF(NETWORKDAYS(O$21,O$21+6,HOLIDAYS)=0,0,ROUND(SUMIF($B$73:$B$312,"20",O$73:O$312)/NETWORKDAYS(O$21,O$21+6,HOLIDAYS),1))</f>
        <v>20.5</v>
      </c>
      <c r="P42" s="278" t="n">
        <f aca="false">IF(NETWORKDAYS(P$21,P$21+6,HOLIDAYS)=0,0,ROUND(SUMIF($B$73:$B$312,"20",P$73:P$312)/NETWORKDAYS(P$21,P$21+6,HOLIDAYS),1))</f>
        <v>11.4</v>
      </c>
      <c r="Q42" s="278" t="n">
        <f aca="false">IF(NETWORKDAYS(Q$21,Q$21+6,HOLIDAYS)=0,0,ROUND(SUMIF($B$73:$B$312,"20",Q$73:Q$312)/NETWORKDAYS(Q$21,Q$21+6,HOLIDAYS),1))</f>
        <v>20.8</v>
      </c>
      <c r="R42" s="278" t="n">
        <f aca="false">IF(NETWORKDAYS(R$21,R$21+6,HOLIDAYS)=0,0,ROUND(SUMIF($B$73:$B$312,"20",R$73:R$312)/NETWORKDAYS(R$21,R$21+6,HOLIDAYS),1))</f>
        <v>0</v>
      </c>
      <c r="S42" s="278" t="n">
        <f aca="false">IF(NETWORKDAYS(S$21,S$21+6,HOLIDAYS)=0,0,ROUND(SUMIF($B$73:$B$312,"20",S$73:S$312)/NETWORKDAYS(S$21,S$21+6,HOLIDAYS),1))</f>
        <v>3.9</v>
      </c>
      <c r="T42" s="278" t="n">
        <f aca="false">IF(NETWORKDAYS(T$21,T$21+6,HOLIDAYS)=0,0,ROUND(SUMIF($B$73:$B$312,"20",T$73:T$312)/NETWORKDAYS(T$21,T$21+6,HOLIDAYS),1))</f>
        <v>0</v>
      </c>
      <c r="U42" s="278" t="n">
        <f aca="false">IF(NETWORKDAYS(U$21,U$21+6,HOLIDAYS)=0,0,ROUND(SUMIF($B$73:$B$312,"20",U$73:U$312)/NETWORKDAYS(U$21,U$21+6,HOLIDAYS),1))</f>
        <v>0</v>
      </c>
      <c r="V42" s="278" t="n">
        <f aca="false">IF(NETWORKDAYS(V$21,V$21+6,HOLIDAYS)=0,0,ROUND(SUMIF($B$73:$B$312,"20",V$73:V$312)/NETWORKDAYS(V$21,V$21+6,HOLIDAYS),1))</f>
        <v>0</v>
      </c>
      <c r="W42" s="278" t="n">
        <f aca="false">IF(NETWORKDAYS(W$21,W$21+6,HOLIDAYS)=0,0,ROUND(SUMIF($B$73:$B$312,"20",W$73:W$312)/NETWORKDAYS(W$21,W$21+6,HOLIDAYS),1))</f>
        <v>0</v>
      </c>
      <c r="X42" s="278" t="n">
        <f aca="false">IF(NETWORKDAYS(X$21,X$21+6,HOLIDAYS)=0,0,ROUND(SUMIF($B$73:$B$312,"20",X$73:X$312)/NETWORKDAYS(X$21,X$21+6,HOLIDAYS),1))</f>
        <v>0</v>
      </c>
      <c r="Y42" s="278" t="n">
        <f aca="false">IF(NETWORKDAYS(Y$21,Y$21+6,HOLIDAYS)=0,0,ROUND(SUMIF($B$73:$B$312,"20",Y$73:Y$312)/NETWORKDAYS(Y$21,Y$21+6,HOLIDAYS),1))</f>
        <v>0</v>
      </c>
      <c r="Z42" s="278" t="n">
        <f aca="false">IF(NETWORKDAYS(Z$21,Z$21+6,HOLIDAYS)=0,0,ROUND(SUMIF($B$73:$B$312,"20",Z$73:Z$312)/NETWORKDAYS(Z$21,Z$21+6,HOLIDAYS),1))</f>
        <v>0</v>
      </c>
      <c r="AA42" s="278" t="n">
        <f aca="false">IF(NETWORKDAYS(AA$21,AA$21+6,HOLIDAYS)=0,0,ROUND(SUMIF($B$73:$B$312,"20",AA$73:AA$312)/NETWORKDAYS(AA$21,AA$21+6,HOLIDAYS),1))</f>
        <v>0</v>
      </c>
      <c r="AB42" s="278" t="n">
        <f aca="false">IF(NETWORKDAYS(AB$21,AB$21+6,HOLIDAYS)=0,0,ROUND(SUMIF($B$73:$B$312,"20",AB$73:AB$312)/NETWORKDAYS(AB$21,AB$21+6,HOLIDAYS),1))</f>
        <v>0</v>
      </c>
      <c r="AC42" s="278" t="n">
        <f aca="false">IF(NETWORKDAYS(AC$21,AC$21+6,HOLIDAYS)=0,0,ROUND(SUMIF($B$73:$B$312,"20",AC$73:AC$312)/NETWORKDAYS(AC$21,AC$21+6,HOLIDAYS),1))</f>
        <v>0</v>
      </c>
      <c r="AD42" s="278" t="n">
        <f aca="false">IF(NETWORKDAYS(AD$21,AD$21+6,HOLIDAYS)=0,0,ROUND(SUMIF($B$73:$B$312,"20",AD$73:AD$312)/NETWORKDAYS(AD$21,AD$21+6,HOLIDAYS),1))</f>
        <v>0</v>
      </c>
      <c r="AE42" s="278" t="n">
        <f aca="false">IF(NETWORKDAYS(AE$21,AE$21+6,HOLIDAYS)=0,0,ROUND(SUMIF($B$73:$B$312,"20",AE$73:AE$312)/NETWORKDAYS(AE$21,AE$21+6,HOLIDAYS),1))</f>
        <v>0</v>
      </c>
      <c r="AF42" s="278" t="n">
        <f aca="false">IF(NETWORKDAYS(AF$21,AF$21+6,HOLIDAYS)=0,0,ROUND(SUMIF($B$73:$B$312,"20",AF$73:AF$312)/NETWORKDAYS(AF$21,AF$21+6,HOLIDAYS),1))</f>
        <v>0</v>
      </c>
      <c r="AG42" s="278" t="n">
        <f aca="false">IF(NETWORKDAYS(AG$21,AG$21+6,HOLIDAYS)=0,0,ROUND(SUMIF($B$73:$B$312,"20",AG$73:AG$312)/NETWORKDAYS(AG$21,AG$21+6,HOLIDAYS),1))</f>
        <v>0</v>
      </c>
      <c r="AH42" s="278" t="n">
        <f aca="false">IF(NETWORKDAYS(AH$21,AH$21+6,HOLIDAYS)=0,0,ROUND(SUMIF($B$73:$B$312,"20",AH$73:AH$312)/NETWORKDAYS(AH$21,AH$21+6,HOLIDAYS),1))</f>
        <v>0</v>
      </c>
      <c r="AI42" s="278" t="n">
        <f aca="false">IF(NETWORKDAYS(AI$21,AI$21+6,HOLIDAYS)=0,0,ROUND(SUMIF($B$73:$B$312,"20",AI$73:AI$312)/NETWORKDAYS(AI$21,AI$21+6,HOLIDAYS),1))</f>
        <v>0</v>
      </c>
      <c r="AJ42" s="278" t="n">
        <f aca="false">IF(NETWORKDAYS(AJ$21,AJ$21+6,HOLIDAYS)=0,0,ROUND(SUMIF($B$73:$B$312,"20",AJ$73:AJ$312)/NETWORKDAYS(AJ$21,AJ$21+6,HOLIDAYS),1))</f>
        <v>0</v>
      </c>
      <c r="AK42" s="278" t="n">
        <f aca="false">IF(NETWORKDAYS(AK$21,AK$21+6,HOLIDAYS)=0,0,ROUND(SUMIF($B$73:$B$312,"20",AK$73:AK$312)/NETWORKDAYS(AK$21,AK$21+6,HOLIDAYS),1))</f>
        <v>0</v>
      </c>
      <c r="AL42" s="278" t="n">
        <f aca="false">IF(NETWORKDAYS(AL$21,AL$21+6,HOLIDAYS)=0,0,ROUND(SUMIF($B$73:$B$312,"20",AL$73:AL$312)/NETWORKDAYS(AL$21,AL$21+6,HOLIDAYS),1))</f>
        <v>0</v>
      </c>
      <c r="AM42" s="278" t="n">
        <f aca="false">IF(NETWORKDAYS(AM$21,AM$21+6,HOLIDAYS)=0,0,ROUND(SUMIF($B$73:$B$312,"20",AM$73:AM$312)/NETWORKDAYS(AM$21,AM$21+6,HOLIDAYS),1))</f>
        <v>0</v>
      </c>
      <c r="AN42" s="278" t="n">
        <f aca="false">IF(NETWORKDAYS(AN$21,AN$21+6,HOLIDAYS)=0,0,ROUND(SUMIF($B$73:$B$312,"20",AN$73:AN$312)/NETWORKDAYS(AN$21,AN$21+6,HOLIDAYS),1))</f>
        <v>0</v>
      </c>
      <c r="AO42" s="278" t="n">
        <f aca="false">IF(NETWORKDAYS(AO$21,AO$21+6,HOLIDAYS)=0,0,ROUND(SUMIF($B$73:$B$312,"20",AO$73:AO$312)/NETWORKDAYS(AO$21,AO$21+6,HOLIDAYS),1))</f>
        <v>0</v>
      </c>
      <c r="AP42" s="278" t="n">
        <f aca="false">IF(NETWORKDAYS(AP$21,AP$21+6,HOLIDAYS)=0,0,ROUND(SUMIF($B$73:$B$312,"20",AP$73:AP$312)/NETWORKDAYS(AP$21,AP$21+6,HOLIDAYS),1))</f>
        <v>0</v>
      </c>
      <c r="AQ42" s="278" t="n">
        <f aca="false">IF(NETWORKDAYS(AQ$21,AQ$21+6,HOLIDAYS)=0,0,ROUND(SUMIF($B$73:$B$312,"20",AQ$73:AQ$312)/NETWORKDAYS(AQ$21,AQ$21+6,HOLIDAYS),1))</f>
        <v>0</v>
      </c>
      <c r="AR42" s="278" t="n">
        <f aca="false">IF(NETWORKDAYS(AR$21,AR$21+6,HOLIDAYS)=0,0,ROUND(SUMIF($B$73:$B$312,"20",AR$73:AR$312)/NETWORKDAYS(AR$21,AR$21+6,HOLIDAYS),1))</f>
        <v>0</v>
      </c>
    </row>
    <row r="43" customFormat="false" ht="15" hidden="false" customHeight="false" outlineLevel="0" collapsed="false">
      <c r="A43" s="246" t="s">
        <v>2341</v>
      </c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76" t="n">
        <f aca="false">MAX(O43:AR43)</f>
        <v>142.4</v>
      </c>
      <c r="O43" s="278" t="n">
        <f aca="false">IF(NETWORKDAYS(O$21,O$21+6,HOLIDAYS)=0,0,ROUND(SUMIF($D$73:$D$312,"ช่างโครงสร้าง",O$73:O$312)/NETWORKDAYS(O$21,O$21+6,HOLIDAYS),1))</f>
        <v>142.4</v>
      </c>
      <c r="P43" s="278" t="n">
        <f aca="false">IF(NETWORKDAYS(P$21,P$21+6,HOLIDAYS)=0,0,ROUND(SUMIF($D$73:$D$312,"ช่างโครงสร้าง",P$73:P$312)/NETWORKDAYS(P$21,P$21+6,HOLIDAYS),1))</f>
        <v>106.2</v>
      </c>
      <c r="Q43" s="278" t="n">
        <f aca="false">IF(NETWORKDAYS(Q$21,Q$21+6,HOLIDAYS)=0,0,ROUND(SUMIF($D$73:$D$312,"ช่างโครงสร้าง",Q$73:Q$312)/NETWORKDAYS(Q$21,Q$21+6,HOLIDAYS),1))</f>
        <v>81</v>
      </c>
      <c r="R43" s="278" t="n">
        <f aca="false">IF(NETWORKDAYS(R$21,R$21+6,HOLIDAYS)=0,0,ROUND(SUMIF($D$73:$D$312,"ช่างโครงสร้าง",R$73:R$312)/NETWORKDAYS(R$21,R$21+6,HOLIDAYS),1))</f>
        <v>0</v>
      </c>
      <c r="S43" s="278" t="n">
        <f aca="false">IF(NETWORKDAYS(S$21,S$21+6,HOLIDAYS)=0,0,ROUND(SUMIF($D$73:$D$312,"ช่างโครงสร้าง",S$73:S$312)/NETWORKDAYS(S$21,S$21+6,HOLIDAYS),1))</f>
        <v>0</v>
      </c>
      <c r="T43" s="278" t="n">
        <f aca="false">IF(NETWORKDAYS(T$21,T$21+6,HOLIDAYS)=0,0,ROUND(SUMIF($D$73:$D$312,"ช่างโครงสร้าง",T$73:T$312)/NETWORKDAYS(T$21,T$21+6,HOLIDAYS),1))</f>
        <v>0</v>
      </c>
      <c r="U43" s="278" t="n">
        <f aca="false">IF(NETWORKDAYS(U$21,U$21+6,HOLIDAYS)=0,0,ROUND(SUMIF($D$73:$D$312,"ช่างโครงสร้าง",U$73:U$312)/NETWORKDAYS(U$21,U$21+6,HOLIDAYS),1))</f>
        <v>0</v>
      </c>
      <c r="V43" s="278" t="n">
        <f aca="false">IF(NETWORKDAYS(V$21,V$21+6,HOLIDAYS)=0,0,ROUND(SUMIF($D$73:$D$312,"ช่างโครงสร้าง",V$73:V$312)/NETWORKDAYS(V$21,V$21+6,HOLIDAYS),1))</f>
        <v>0</v>
      </c>
      <c r="W43" s="278" t="n">
        <f aca="false">IF(NETWORKDAYS(W$21,W$21+6,HOLIDAYS)=0,0,ROUND(SUMIF($D$73:$D$312,"ช่างโครงสร้าง",W$73:W$312)/NETWORKDAYS(W$21,W$21+6,HOLIDAYS),1))</f>
        <v>0</v>
      </c>
      <c r="X43" s="278" t="n">
        <f aca="false">IF(NETWORKDAYS(X$21,X$21+6,HOLIDAYS)=0,0,ROUND(SUMIF($D$73:$D$312,"ช่างโครงสร้าง",X$73:X$312)/NETWORKDAYS(X$21,X$21+6,HOLIDAYS),1))</f>
        <v>0</v>
      </c>
      <c r="Y43" s="278" t="n">
        <f aca="false">IF(NETWORKDAYS(Y$21,Y$21+6,HOLIDAYS)=0,0,ROUND(SUMIF($D$73:$D$312,"ช่างโครงสร้าง",Y$73:Y$312)/NETWORKDAYS(Y$21,Y$21+6,HOLIDAYS),1))</f>
        <v>0</v>
      </c>
      <c r="Z43" s="278" t="n">
        <f aca="false">IF(NETWORKDAYS(Z$21,Z$21+6,HOLIDAYS)=0,0,ROUND(SUMIF($D$73:$D$312,"ช่างโครงสร้าง",Z$73:Z$312)/NETWORKDAYS(Z$21,Z$21+6,HOLIDAYS),1))</f>
        <v>0</v>
      </c>
      <c r="AA43" s="278" t="n">
        <f aca="false">IF(NETWORKDAYS(AA$21,AA$21+6,HOLIDAYS)=0,0,ROUND(SUMIF($D$73:$D$312,"ช่างโครงสร้าง",AA$73:AA$312)/NETWORKDAYS(AA$21,AA$21+6,HOLIDAYS),1))</f>
        <v>0</v>
      </c>
      <c r="AB43" s="278" t="n">
        <f aca="false">IF(NETWORKDAYS(AB$21,AB$21+6,HOLIDAYS)=0,0,ROUND(SUMIF($D$73:$D$312,"ช่างโครงสร้าง",AB$73:AB$312)/NETWORKDAYS(AB$21,AB$21+6,HOLIDAYS),1))</f>
        <v>0</v>
      </c>
      <c r="AC43" s="278" t="n">
        <f aca="false">IF(NETWORKDAYS(AC$21,AC$21+6,HOLIDAYS)=0,0,ROUND(SUMIF($D$73:$D$312,"ช่างโครงสร้าง",AC$73:AC$312)/NETWORKDAYS(AC$21,AC$21+6,HOLIDAYS),1))</f>
        <v>0</v>
      </c>
      <c r="AD43" s="278" t="n">
        <f aca="false">IF(NETWORKDAYS(AD$21,AD$21+6,HOLIDAYS)=0,0,ROUND(SUMIF($D$73:$D$312,"ช่างโครงสร้าง",AD$73:AD$312)/NETWORKDAYS(AD$21,AD$21+6,HOLIDAYS),1))</f>
        <v>0</v>
      </c>
      <c r="AE43" s="278" t="n">
        <f aca="false">IF(NETWORKDAYS(AE$21,AE$21+6,HOLIDAYS)=0,0,ROUND(SUMIF($D$73:$D$312,"ช่างโครงสร้าง",AE$73:AE$312)/NETWORKDAYS(AE$21,AE$21+6,HOLIDAYS),1))</f>
        <v>0</v>
      </c>
      <c r="AF43" s="278" t="n">
        <f aca="false">IF(NETWORKDAYS(AF$21,AF$21+6,HOLIDAYS)=0,0,ROUND(SUMIF($D$73:$D$312,"ช่างโครงสร้าง",AF$73:AF$312)/NETWORKDAYS(AF$21,AF$21+6,HOLIDAYS),1))</f>
        <v>0</v>
      </c>
      <c r="AG43" s="278" t="n">
        <f aca="false">IF(NETWORKDAYS(AG$21,AG$21+6,HOLIDAYS)=0,0,ROUND(SUMIF($D$73:$D$312,"ช่างโครงสร้าง",AG$73:AG$312)/NETWORKDAYS(AG$21,AG$21+6,HOLIDAYS),1))</f>
        <v>0</v>
      </c>
      <c r="AH43" s="278" t="n">
        <f aca="false">IF(NETWORKDAYS(AH$21,AH$21+6,HOLIDAYS)=0,0,ROUND(SUMIF($D$73:$D$312,"ช่างโครงสร้าง",AH$73:AH$312)/NETWORKDAYS(AH$21,AH$21+6,HOLIDAYS),1))</f>
        <v>0</v>
      </c>
      <c r="AI43" s="278" t="n">
        <f aca="false">IF(NETWORKDAYS(AI$21,AI$21+6,HOLIDAYS)=0,0,ROUND(SUMIF($D$73:$D$312,"ช่างโครงสร้าง",AI$73:AI$312)/NETWORKDAYS(AI$21,AI$21+6,HOLIDAYS),1))</f>
        <v>0</v>
      </c>
      <c r="AJ43" s="278" t="n">
        <f aca="false">IF(NETWORKDAYS(AJ$21,AJ$21+6,HOLIDAYS)=0,0,ROUND(SUMIF($D$73:$D$312,"ช่างโครงสร้าง",AJ$73:AJ$312)/NETWORKDAYS(AJ$21,AJ$21+6,HOLIDAYS),1))</f>
        <v>0</v>
      </c>
      <c r="AK43" s="278" t="n">
        <f aca="false">IF(NETWORKDAYS(AK$21,AK$21+6,HOLIDAYS)=0,0,ROUND(SUMIF($D$73:$D$312,"ช่างโครงสร้าง",AK$73:AK$312)/NETWORKDAYS(AK$21,AK$21+6,HOLIDAYS),1))</f>
        <v>0</v>
      </c>
      <c r="AL43" s="278" t="n">
        <f aca="false">IF(NETWORKDAYS(AL$21,AL$21+6,HOLIDAYS)=0,0,ROUND(SUMIF($D$73:$D$312,"ช่างโครงสร้าง",AL$73:AL$312)/NETWORKDAYS(AL$21,AL$21+6,HOLIDAYS),1))</f>
        <v>0</v>
      </c>
      <c r="AM43" s="278" t="n">
        <f aca="false">IF(NETWORKDAYS(AM$21,AM$21+6,HOLIDAYS)=0,0,ROUND(SUMIF($D$73:$D$312,"ช่างโครงสร้าง",AM$73:AM$312)/NETWORKDAYS(AM$21,AM$21+6,HOLIDAYS),1))</f>
        <v>0</v>
      </c>
      <c r="AN43" s="278" t="n">
        <f aca="false">IF(NETWORKDAYS(AN$21,AN$21+6,HOLIDAYS)=0,0,ROUND(SUMIF($D$73:$D$312,"ช่างโครงสร้าง",AN$73:AN$312)/NETWORKDAYS(AN$21,AN$21+6,HOLIDAYS),1))</f>
        <v>0</v>
      </c>
      <c r="AO43" s="278" t="n">
        <f aca="false">IF(NETWORKDAYS(AO$21,AO$21+6,HOLIDAYS)=0,0,ROUND(SUMIF($D$73:$D$312,"ช่างโครงสร้าง",AO$73:AO$312)/NETWORKDAYS(AO$21,AO$21+6,HOLIDAYS),1))</f>
        <v>0</v>
      </c>
      <c r="AP43" s="278" t="n">
        <f aca="false">IF(NETWORKDAYS(AP$21,AP$21+6,HOLIDAYS)=0,0,ROUND(SUMIF($D$73:$D$312,"ช่างโครงสร้าง",AP$73:AP$312)/NETWORKDAYS(AP$21,AP$21+6,HOLIDAYS),1))</f>
        <v>0</v>
      </c>
      <c r="AQ43" s="278" t="n">
        <f aca="false">IF(NETWORKDAYS(AQ$21,AQ$21+6,HOLIDAYS)=0,0,ROUND(SUMIF($D$73:$D$312,"ช่างโครงสร้าง",AQ$73:AQ$312)/NETWORKDAYS(AQ$21,AQ$21+6,HOLIDAYS),1))</f>
        <v>0</v>
      </c>
      <c r="AR43" s="278" t="n">
        <f aca="false">IF(NETWORKDAYS(AR$21,AR$21+6,HOLIDAYS)=0,0,ROUND(SUMIF($D$73:$D$312,"ช่างโครงสร้าง",AR$73:AR$312)/NETWORKDAYS(AR$21,AR$21+6,HOLIDAYS),1))</f>
        <v>0</v>
      </c>
    </row>
    <row r="44" customFormat="false" ht="15" hidden="false" customHeight="false" outlineLevel="0" collapsed="false">
      <c r="A44" s="246" t="s">
        <v>2342</v>
      </c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76" t="n">
        <f aca="false">MAX(O44:AR44)</f>
        <v>185.6</v>
      </c>
      <c r="O44" s="278" t="n">
        <f aca="false">IF(NETWORKDAYS(O$21,O$21+6,HOLIDAYS)=0,0,ROUND(SUMIF($D$73:$D$312,"ช่างไฟฟ้า",O$73:O$312)/NETWORKDAYS(O$21,O$21+6,HOLIDAYS),1))</f>
        <v>0</v>
      </c>
      <c r="P44" s="278" t="n">
        <f aca="false">IF(NETWORKDAYS(P$21,P$21+6,HOLIDAYS)=0,0,ROUND(SUMIF($D$73:$D$312,"ช่างไฟฟ้า",P$73:P$312)/NETWORKDAYS(P$21,P$21+6,HOLIDAYS),1))</f>
        <v>0</v>
      </c>
      <c r="Q44" s="278" t="n">
        <f aca="false">IF(NETWORKDAYS(Q$21,Q$21+6,HOLIDAYS)=0,0,ROUND(SUMIF($D$73:$D$312,"ช่างไฟฟ้า",Q$73:Q$312)/NETWORKDAYS(Q$21,Q$21+6,HOLIDAYS),1))</f>
        <v>185.6</v>
      </c>
      <c r="R44" s="278" t="n">
        <f aca="false">IF(NETWORKDAYS(R$21,R$21+6,HOLIDAYS)=0,0,ROUND(SUMIF($D$73:$D$312,"ช่างไฟฟ้า",R$73:R$312)/NETWORKDAYS(R$21,R$21+6,HOLIDAYS),1))</f>
        <v>0</v>
      </c>
      <c r="S44" s="278" t="n">
        <f aca="false">IF(NETWORKDAYS(S$21,S$21+6,HOLIDAYS)=0,0,ROUND(SUMIF($D$73:$D$312,"ช่างไฟฟ้า",S$73:S$312)/NETWORKDAYS(S$21,S$21+6,HOLIDAYS),1))</f>
        <v>0</v>
      </c>
      <c r="T44" s="278" t="n">
        <f aca="false">IF(NETWORKDAYS(T$21,T$21+6,HOLIDAYS)=0,0,ROUND(SUMIF($D$73:$D$312,"ช่างไฟฟ้า",T$73:T$312)/NETWORKDAYS(T$21,T$21+6,HOLIDAYS),1))</f>
        <v>0</v>
      </c>
      <c r="U44" s="278" t="n">
        <f aca="false">IF(NETWORKDAYS(U$21,U$21+6,HOLIDAYS)=0,0,ROUND(SUMIF($D$73:$D$312,"ช่างไฟฟ้า",U$73:U$312)/NETWORKDAYS(U$21,U$21+6,HOLIDAYS),1))</f>
        <v>0</v>
      </c>
      <c r="V44" s="278" t="n">
        <f aca="false">IF(NETWORKDAYS(V$21,V$21+6,HOLIDAYS)=0,0,ROUND(SUMIF($D$73:$D$312,"ช่างไฟฟ้า",V$73:V$312)/NETWORKDAYS(V$21,V$21+6,HOLIDAYS),1))</f>
        <v>0</v>
      </c>
      <c r="W44" s="278" t="n">
        <f aca="false">IF(NETWORKDAYS(W$21,W$21+6,HOLIDAYS)=0,0,ROUND(SUMIF($D$73:$D$312,"ช่างไฟฟ้า",W$73:W$312)/NETWORKDAYS(W$21,W$21+6,HOLIDAYS),1))</f>
        <v>0</v>
      </c>
      <c r="X44" s="278" t="n">
        <f aca="false">IF(NETWORKDAYS(X$21,X$21+6,HOLIDAYS)=0,0,ROUND(SUMIF($D$73:$D$312,"ช่างไฟฟ้า",X$73:X$312)/NETWORKDAYS(X$21,X$21+6,HOLIDAYS),1))</f>
        <v>0</v>
      </c>
      <c r="Y44" s="278" t="n">
        <f aca="false">IF(NETWORKDAYS(Y$21,Y$21+6,HOLIDAYS)=0,0,ROUND(SUMIF($D$73:$D$312,"ช่างไฟฟ้า",Y$73:Y$312)/NETWORKDAYS(Y$21,Y$21+6,HOLIDAYS),1))</f>
        <v>0</v>
      </c>
      <c r="Z44" s="278" t="n">
        <f aca="false">IF(NETWORKDAYS(Z$21,Z$21+6,HOLIDAYS)=0,0,ROUND(SUMIF($D$73:$D$312,"ช่างไฟฟ้า",Z$73:Z$312)/NETWORKDAYS(Z$21,Z$21+6,HOLIDAYS),1))</f>
        <v>0</v>
      </c>
      <c r="AA44" s="278" t="n">
        <f aca="false">IF(NETWORKDAYS(AA$21,AA$21+6,HOLIDAYS)=0,0,ROUND(SUMIF($D$73:$D$312,"ช่างไฟฟ้า",AA$73:AA$312)/NETWORKDAYS(AA$21,AA$21+6,HOLIDAYS),1))</f>
        <v>0</v>
      </c>
      <c r="AB44" s="278" t="n">
        <f aca="false">IF(NETWORKDAYS(AB$21,AB$21+6,HOLIDAYS)=0,0,ROUND(SUMIF($D$73:$D$312,"ช่างไฟฟ้า",AB$73:AB$312)/NETWORKDAYS(AB$21,AB$21+6,HOLIDAYS),1))</f>
        <v>0</v>
      </c>
      <c r="AC44" s="278" t="n">
        <f aca="false">IF(NETWORKDAYS(AC$21,AC$21+6,HOLIDAYS)=0,0,ROUND(SUMIF($D$73:$D$312,"ช่างไฟฟ้า",AC$73:AC$312)/NETWORKDAYS(AC$21,AC$21+6,HOLIDAYS),1))</f>
        <v>0</v>
      </c>
      <c r="AD44" s="278" t="n">
        <f aca="false">IF(NETWORKDAYS(AD$21,AD$21+6,HOLIDAYS)=0,0,ROUND(SUMIF($D$73:$D$312,"ช่างไฟฟ้า",AD$73:AD$312)/NETWORKDAYS(AD$21,AD$21+6,HOLIDAYS),1))</f>
        <v>0</v>
      </c>
      <c r="AE44" s="278" t="n">
        <f aca="false">IF(NETWORKDAYS(AE$21,AE$21+6,HOLIDAYS)=0,0,ROUND(SUMIF($D$73:$D$312,"ช่างไฟฟ้า",AE$73:AE$312)/NETWORKDAYS(AE$21,AE$21+6,HOLIDAYS),1))</f>
        <v>0</v>
      </c>
      <c r="AF44" s="278" t="n">
        <f aca="false">IF(NETWORKDAYS(AF$21,AF$21+6,HOLIDAYS)=0,0,ROUND(SUMIF($D$73:$D$312,"ช่างไฟฟ้า",AF$73:AF$312)/NETWORKDAYS(AF$21,AF$21+6,HOLIDAYS),1))</f>
        <v>0</v>
      </c>
      <c r="AG44" s="278" t="n">
        <f aca="false">IF(NETWORKDAYS(AG$21,AG$21+6,HOLIDAYS)=0,0,ROUND(SUMIF($D$73:$D$312,"ช่างไฟฟ้า",AG$73:AG$312)/NETWORKDAYS(AG$21,AG$21+6,HOLIDAYS),1))</f>
        <v>0</v>
      </c>
      <c r="AH44" s="278" t="n">
        <f aca="false">IF(NETWORKDAYS(AH$21,AH$21+6,HOLIDAYS)=0,0,ROUND(SUMIF($D$73:$D$312,"ช่างไฟฟ้า",AH$73:AH$312)/NETWORKDAYS(AH$21,AH$21+6,HOLIDAYS),1))</f>
        <v>0</v>
      </c>
      <c r="AI44" s="278" t="n">
        <f aca="false">IF(NETWORKDAYS(AI$21,AI$21+6,HOLIDAYS)=0,0,ROUND(SUMIF($D$73:$D$312,"ช่างไฟฟ้า",AI$73:AI$312)/NETWORKDAYS(AI$21,AI$21+6,HOLIDAYS),1))</f>
        <v>0</v>
      </c>
      <c r="AJ44" s="278" t="n">
        <f aca="false">IF(NETWORKDAYS(AJ$21,AJ$21+6,HOLIDAYS)=0,0,ROUND(SUMIF($D$73:$D$312,"ช่างไฟฟ้า",AJ$73:AJ$312)/NETWORKDAYS(AJ$21,AJ$21+6,HOLIDAYS),1))</f>
        <v>0</v>
      </c>
      <c r="AK44" s="278" t="n">
        <f aca="false">IF(NETWORKDAYS(AK$21,AK$21+6,HOLIDAYS)=0,0,ROUND(SUMIF($D$73:$D$312,"ช่างไฟฟ้า",AK$73:AK$312)/NETWORKDAYS(AK$21,AK$21+6,HOLIDAYS),1))</f>
        <v>0</v>
      </c>
      <c r="AL44" s="278" t="n">
        <f aca="false">IF(NETWORKDAYS(AL$21,AL$21+6,HOLIDAYS)=0,0,ROUND(SUMIF($D$73:$D$312,"ช่างไฟฟ้า",AL$73:AL$312)/NETWORKDAYS(AL$21,AL$21+6,HOLIDAYS),1))</f>
        <v>0</v>
      </c>
      <c r="AM44" s="278" t="n">
        <f aca="false">IF(NETWORKDAYS(AM$21,AM$21+6,HOLIDAYS)=0,0,ROUND(SUMIF($D$73:$D$312,"ช่างไฟฟ้า",AM$73:AM$312)/NETWORKDAYS(AM$21,AM$21+6,HOLIDAYS),1))</f>
        <v>0</v>
      </c>
      <c r="AN44" s="278" t="n">
        <f aca="false">IF(NETWORKDAYS(AN$21,AN$21+6,HOLIDAYS)=0,0,ROUND(SUMIF($D$73:$D$312,"ช่างไฟฟ้า",AN$73:AN$312)/NETWORKDAYS(AN$21,AN$21+6,HOLIDAYS),1))</f>
        <v>0</v>
      </c>
      <c r="AO44" s="278" t="n">
        <f aca="false">IF(NETWORKDAYS(AO$21,AO$21+6,HOLIDAYS)=0,0,ROUND(SUMIF($D$73:$D$312,"ช่างไฟฟ้า",AO$73:AO$312)/NETWORKDAYS(AO$21,AO$21+6,HOLIDAYS),1))</f>
        <v>0</v>
      </c>
      <c r="AP44" s="278" t="n">
        <f aca="false">IF(NETWORKDAYS(AP$21,AP$21+6,HOLIDAYS)=0,0,ROUND(SUMIF($D$73:$D$312,"ช่างไฟฟ้า",AP$73:AP$312)/NETWORKDAYS(AP$21,AP$21+6,HOLIDAYS),1))</f>
        <v>0</v>
      </c>
      <c r="AQ44" s="278" t="n">
        <f aca="false">IF(NETWORKDAYS(AQ$21,AQ$21+6,HOLIDAYS)=0,0,ROUND(SUMIF($D$73:$D$312,"ช่างไฟฟ้า",AQ$73:AQ$312)/NETWORKDAYS(AQ$21,AQ$21+6,HOLIDAYS),1))</f>
        <v>0</v>
      </c>
      <c r="AR44" s="278" t="n">
        <f aca="false">IF(NETWORKDAYS(AR$21,AR$21+6,HOLIDAYS)=0,0,ROUND(SUMIF($D$73:$D$312,"ช่างไฟฟ้า",AR$73:AR$312)/NETWORKDAYS(AR$21,AR$21+6,HOLIDAYS),1))</f>
        <v>0</v>
      </c>
    </row>
    <row r="45" customFormat="false" ht="15" hidden="false" customHeight="false" outlineLevel="0" collapsed="false">
      <c r="A45" s="246" t="s">
        <v>2343</v>
      </c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76" t="n">
        <f aca="false">MAX(O45:AR45)</f>
        <v>96</v>
      </c>
      <c r="O45" s="278" t="n">
        <f aca="false">IF(NETWORKDAYS(O$21,O$21+6,HOLIDAYS)=0,0,ROUND(SUMIF($D$73:$D$312,"ช่างโยธา",O$73:O$312)/NETWORKDAYS(O$21,O$21+6,HOLIDAYS),1))</f>
        <v>0</v>
      </c>
      <c r="P45" s="278" t="n">
        <f aca="false">IF(NETWORKDAYS(P$21,P$21+6,HOLIDAYS)=0,0,ROUND(SUMIF($D$73:$D$312,"ช่างโยธา",P$73:P$312)/NETWORKDAYS(P$21,P$21+6,HOLIDAYS),1))</f>
        <v>0</v>
      </c>
      <c r="Q45" s="278" t="n">
        <f aca="false">IF(NETWORKDAYS(Q$21,Q$21+6,HOLIDAYS)=0,0,ROUND(SUMIF($D$73:$D$312,"ช่างโยธา",Q$73:Q$312)/NETWORKDAYS(Q$21,Q$21+6,HOLIDAYS),1))</f>
        <v>96</v>
      </c>
      <c r="R45" s="278" t="n">
        <f aca="false">IF(NETWORKDAYS(R$21,R$21+6,HOLIDAYS)=0,0,ROUND(SUMIF($D$73:$D$312,"ช่างโยธา",R$73:R$312)/NETWORKDAYS(R$21,R$21+6,HOLIDAYS),1))</f>
        <v>0</v>
      </c>
      <c r="S45" s="278" t="n">
        <f aca="false">IF(NETWORKDAYS(S$21,S$21+6,HOLIDAYS)=0,0,ROUND(SUMIF($D$73:$D$312,"ช่างโยธา",S$73:S$312)/NETWORKDAYS(S$21,S$21+6,HOLIDAYS),1))</f>
        <v>0</v>
      </c>
      <c r="T45" s="278" t="n">
        <f aca="false">IF(NETWORKDAYS(T$21,T$21+6,HOLIDAYS)=0,0,ROUND(SUMIF($D$73:$D$312,"ช่างโยธา",T$73:T$312)/NETWORKDAYS(T$21,T$21+6,HOLIDAYS),1))</f>
        <v>0</v>
      </c>
      <c r="U45" s="278" t="n">
        <f aca="false">IF(NETWORKDAYS(U$21,U$21+6,HOLIDAYS)=0,0,ROUND(SUMIF($D$73:$D$312,"ช่างโยธา",U$73:U$312)/NETWORKDAYS(U$21,U$21+6,HOLIDAYS),1))</f>
        <v>0</v>
      </c>
      <c r="V45" s="278" t="n">
        <f aca="false">IF(NETWORKDAYS(V$21,V$21+6,HOLIDAYS)=0,0,ROUND(SUMIF($D$73:$D$312,"ช่างโยธา",V$73:V$312)/NETWORKDAYS(V$21,V$21+6,HOLIDAYS),1))</f>
        <v>0</v>
      </c>
      <c r="W45" s="278" t="n">
        <f aca="false">IF(NETWORKDAYS(W$21,W$21+6,HOLIDAYS)=0,0,ROUND(SUMIF($D$73:$D$312,"ช่างโยธา",W$73:W$312)/NETWORKDAYS(W$21,W$21+6,HOLIDAYS),1))</f>
        <v>0</v>
      </c>
      <c r="X45" s="278" t="n">
        <f aca="false">IF(NETWORKDAYS(X$21,X$21+6,HOLIDAYS)=0,0,ROUND(SUMIF($D$73:$D$312,"ช่างโยธา",X$73:X$312)/NETWORKDAYS(X$21,X$21+6,HOLIDAYS),1))</f>
        <v>0</v>
      </c>
      <c r="Y45" s="278" t="n">
        <f aca="false">IF(NETWORKDAYS(Y$21,Y$21+6,HOLIDAYS)=0,0,ROUND(SUMIF($D$73:$D$312,"ช่างโยธา",Y$73:Y$312)/NETWORKDAYS(Y$21,Y$21+6,HOLIDAYS),1))</f>
        <v>0</v>
      </c>
      <c r="Z45" s="278" t="n">
        <f aca="false">IF(NETWORKDAYS(Z$21,Z$21+6,HOLIDAYS)=0,0,ROUND(SUMIF($D$73:$D$312,"ช่างโยธา",Z$73:Z$312)/NETWORKDAYS(Z$21,Z$21+6,HOLIDAYS),1))</f>
        <v>0</v>
      </c>
      <c r="AA45" s="278" t="n">
        <f aca="false">IF(NETWORKDAYS(AA$21,AA$21+6,HOLIDAYS)=0,0,ROUND(SUMIF($D$73:$D$312,"ช่างโยธา",AA$73:AA$312)/NETWORKDAYS(AA$21,AA$21+6,HOLIDAYS),1))</f>
        <v>0</v>
      </c>
      <c r="AB45" s="278" t="n">
        <f aca="false">IF(NETWORKDAYS(AB$21,AB$21+6,HOLIDAYS)=0,0,ROUND(SUMIF($D$73:$D$312,"ช่างโยธา",AB$73:AB$312)/NETWORKDAYS(AB$21,AB$21+6,HOLIDAYS),1))</f>
        <v>0</v>
      </c>
      <c r="AC45" s="278" t="n">
        <f aca="false">IF(NETWORKDAYS(AC$21,AC$21+6,HOLIDAYS)=0,0,ROUND(SUMIF($D$73:$D$312,"ช่างโยธา",AC$73:AC$312)/NETWORKDAYS(AC$21,AC$21+6,HOLIDAYS),1))</f>
        <v>0</v>
      </c>
      <c r="AD45" s="278" t="n">
        <f aca="false">IF(NETWORKDAYS(AD$21,AD$21+6,HOLIDAYS)=0,0,ROUND(SUMIF($D$73:$D$312,"ช่างโยธา",AD$73:AD$312)/NETWORKDAYS(AD$21,AD$21+6,HOLIDAYS),1))</f>
        <v>0</v>
      </c>
      <c r="AE45" s="278" t="n">
        <f aca="false">IF(NETWORKDAYS(AE$21,AE$21+6,HOLIDAYS)=0,0,ROUND(SUMIF($D$73:$D$312,"ช่างโยธา",AE$73:AE$312)/NETWORKDAYS(AE$21,AE$21+6,HOLIDAYS),1))</f>
        <v>0</v>
      </c>
      <c r="AF45" s="278" t="n">
        <f aca="false">IF(NETWORKDAYS(AF$21,AF$21+6,HOLIDAYS)=0,0,ROUND(SUMIF($D$73:$D$312,"ช่างโยธา",AF$73:AF$312)/NETWORKDAYS(AF$21,AF$21+6,HOLIDAYS),1))</f>
        <v>0</v>
      </c>
      <c r="AG45" s="278" t="n">
        <f aca="false">IF(NETWORKDAYS(AG$21,AG$21+6,HOLIDAYS)=0,0,ROUND(SUMIF($D$73:$D$312,"ช่างโยธา",AG$73:AG$312)/NETWORKDAYS(AG$21,AG$21+6,HOLIDAYS),1))</f>
        <v>0</v>
      </c>
      <c r="AH45" s="278" t="n">
        <f aca="false">IF(NETWORKDAYS(AH$21,AH$21+6,HOLIDAYS)=0,0,ROUND(SUMIF($D$73:$D$312,"ช่างโยธา",AH$73:AH$312)/NETWORKDAYS(AH$21,AH$21+6,HOLIDAYS),1))</f>
        <v>0</v>
      </c>
      <c r="AI45" s="278" t="n">
        <f aca="false">IF(NETWORKDAYS(AI$21,AI$21+6,HOLIDAYS)=0,0,ROUND(SUMIF($D$73:$D$312,"ช่างโยธา",AI$73:AI$312)/NETWORKDAYS(AI$21,AI$21+6,HOLIDAYS),1))</f>
        <v>0</v>
      </c>
      <c r="AJ45" s="278" t="n">
        <f aca="false">IF(NETWORKDAYS(AJ$21,AJ$21+6,HOLIDAYS)=0,0,ROUND(SUMIF($D$73:$D$312,"ช่างโยธา",AJ$73:AJ$312)/NETWORKDAYS(AJ$21,AJ$21+6,HOLIDAYS),1))</f>
        <v>0</v>
      </c>
      <c r="AK45" s="278" t="n">
        <f aca="false">IF(NETWORKDAYS(AK$21,AK$21+6,HOLIDAYS)=0,0,ROUND(SUMIF($D$73:$D$312,"ช่างโยธา",AK$73:AK$312)/NETWORKDAYS(AK$21,AK$21+6,HOLIDAYS),1))</f>
        <v>0</v>
      </c>
      <c r="AL45" s="278" t="n">
        <f aca="false">IF(NETWORKDAYS(AL$21,AL$21+6,HOLIDAYS)=0,0,ROUND(SUMIF($D$73:$D$312,"ช่างโยธา",AL$73:AL$312)/NETWORKDAYS(AL$21,AL$21+6,HOLIDAYS),1))</f>
        <v>0</v>
      </c>
      <c r="AM45" s="278" t="n">
        <f aca="false">IF(NETWORKDAYS(AM$21,AM$21+6,HOLIDAYS)=0,0,ROUND(SUMIF($D$73:$D$312,"ช่างโยธา",AM$73:AM$312)/NETWORKDAYS(AM$21,AM$21+6,HOLIDAYS),1))</f>
        <v>0</v>
      </c>
      <c r="AN45" s="278" t="n">
        <f aca="false">IF(NETWORKDAYS(AN$21,AN$21+6,HOLIDAYS)=0,0,ROUND(SUMIF($D$73:$D$312,"ช่างโยธา",AN$73:AN$312)/NETWORKDAYS(AN$21,AN$21+6,HOLIDAYS),1))</f>
        <v>0</v>
      </c>
      <c r="AO45" s="278" t="n">
        <f aca="false">IF(NETWORKDAYS(AO$21,AO$21+6,HOLIDAYS)=0,0,ROUND(SUMIF($D$73:$D$312,"ช่างโยธา",AO$73:AO$312)/NETWORKDAYS(AO$21,AO$21+6,HOLIDAYS),1))</f>
        <v>0</v>
      </c>
      <c r="AP45" s="278" t="n">
        <f aca="false">IF(NETWORKDAYS(AP$21,AP$21+6,HOLIDAYS)=0,0,ROUND(SUMIF($D$73:$D$312,"ช่างโยธา",AP$73:AP$312)/NETWORKDAYS(AP$21,AP$21+6,HOLIDAYS),1))</f>
        <v>0</v>
      </c>
      <c r="AQ45" s="278" t="n">
        <f aca="false">IF(NETWORKDAYS(AQ$21,AQ$21+6,HOLIDAYS)=0,0,ROUND(SUMIF($D$73:$D$312,"ช่างโยธา",AQ$73:AQ$312)/NETWORKDAYS(AQ$21,AQ$21+6,HOLIDAYS),1))</f>
        <v>0</v>
      </c>
      <c r="AR45" s="278" t="n">
        <f aca="false">IF(NETWORKDAYS(AR$21,AR$21+6,HOLIDAYS)=0,0,ROUND(SUMIF($D$73:$D$312,"ช่างโยธา",AR$73:AR$312)/NETWORKDAYS(AR$21,AR$21+6,HOLIDAYS),1))</f>
        <v>0</v>
      </c>
    </row>
    <row r="46" customFormat="false" ht="15" hidden="false" customHeight="false" outlineLevel="0" collapsed="false">
      <c r="A46" s="246" t="s">
        <v>2344</v>
      </c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76" t="n">
        <f aca="false">MAX(O46:AR46)</f>
        <v>24</v>
      </c>
      <c r="O46" s="278" t="n">
        <f aca="false">IF(NETWORKDAYS(O$21,O$21+6,HOLIDAYS)=0,0,ROUND(SUMIF($D$73:$D$312,"ช่างไฟฟ้าแรงสูง",O$73:O$312)/NETWORKDAYS(O$21,O$21+6,HOLIDAYS),1))</f>
        <v>0</v>
      </c>
      <c r="P46" s="278" t="n">
        <f aca="false">IF(NETWORKDAYS(P$21,P$21+6,HOLIDAYS)=0,0,ROUND(SUMIF($D$73:$D$312,"ช่างไฟฟ้าแรงสูง",P$73:P$312)/NETWORKDAYS(P$21,P$21+6,HOLIDAYS),1))</f>
        <v>0</v>
      </c>
      <c r="Q46" s="278" t="n">
        <f aca="false">IF(NETWORKDAYS(Q$21,Q$21+6,HOLIDAYS)=0,0,ROUND(SUMIF($D$73:$D$312,"ช่างไฟฟ้าแรงสูง",Q$73:Q$312)/NETWORKDAYS(Q$21,Q$21+6,HOLIDAYS),1))</f>
        <v>24</v>
      </c>
      <c r="R46" s="278" t="n">
        <f aca="false">IF(NETWORKDAYS(R$21,R$21+6,HOLIDAYS)=0,0,ROUND(SUMIF($D$73:$D$312,"ช่างไฟฟ้าแรงสูง",R$73:R$312)/NETWORKDAYS(R$21,R$21+6,HOLIDAYS),1))</f>
        <v>0</v>
      </c>
      <c r="S46" s="278" t="n">
        <f aca="false">IF(NETWORKDAYS(S$21,S$21+6,HOLIDAYS)=0,0,ROUND(SUMIF($D$73:$D$312,"ช่างไฟฟ้าแรงสูง",S$73:S$312)/NETWORKDAYS(S$21,S$21+6,HOLIDAYS),1))</f>
        <v>0</v>
      </c>
      <c r="T46" s="278" t="n">
        <f aca="false">IF(NETWORKDAYS(T$21,T$21+6,HOLIDAYS)=0,0,ROUND(SUMIF($D$73:$D$312,"ช่างไฟฟ้าแรงสูง",T$73:T$312)/NETWORKDAYS(T$21,T$21+6,HOLIDAYS),1))</f>
        <v>0</v>
      </c>
      <c r="U46" s="278" t="n">
        <f aca="false">IF(NETWORKDAYS(U$21,U$21+6,HOLIDAYS)=0,0,ROUND(SUMIF($D$73:$D$312,"ช่างไฟฟ้าแรงสูง",U$73:U$312)/NETWORKDAYS(U$21,U$21+6,HOLIDAYS),1))</f>
        <v>0</v>
      </c>
      <c r="V46" s="278" t="n">
        <f aca="false">IF(NETWORKDAYS(V$21,V$21+6,HOLIDAYS)=0,0,ROUND(SUMIF($D$73:$D$312,"ช่างไฟฟ้าแรงสูง",V$73:V$312)/NETWORKDAYS(V$21,V$21+6,HOLIDAYS),1))</f>
        <v>0</v>
      </c>
      <c r="W46" s="278" t="n">
        <f aca="false">IF(NETWORKDAYS(W$21,W$21+6,HOLIDAYS)=0,0,ROUND(SUMIF($D$73:$D$312,"ช่างไฟฟ้าแรงสูง",W$73:W$312)/NETWORKDAYS(W$21,W$21+6,HOLIDAYS),1))</f>
        <v>0</v>
      </c>
      <c r="X46" s="278" t="n">
        <f aca="false">IF(NETWORKDAYS(X$21,X$21+6,HOLIDAYS)=0,0,ROUND(SUMIF($D$73:$D$312,"ช่างไฟฟ้าแรงสูง",X$73:X$312)/NETWORKDAYS(X$21,X$21+6,HOLIDAYS),1))</f>
        <v>0</v>
      </c>
      <c r="Y46" s="278" t="n">
        <f aca="false">IF(NETWORKDAYS(Y$21,Y$21+6,HOLIDAYS)=0,0,ROUND(SUMIF($D$73:$D$312,"ช่างไฟฟ้าแรงสูง",Y$73:Y$312)/NETWORKDAYS(Y$21,Y$21+6,HOLIDAYS),1))</f>
        <v>0</v>
      </c>
      <c r="Z46" s="278" t="n">
        <f aca="false">IF(NETWORKDAYS(Z$21,Z$21+6,HOLIDAYS)=0,0,ROUND(SUMIF($D$73:$D$312,"ช่างไฟฟ้าแรงสูง",Z$73:Z$312)/NETWORKDAYS(Z$21,Z$21+6,HOLIDAYS),1))</f>
        <v>0</v>
      </c>
      <c r="AA46" s="278" t="n">
        <f aca="false">IF(NETWORKDAYS(AA$21,AA$21+6,HOLIDAYS)=0,0,ROUND(SUMIF($D$73:$D$312,"ช่างไฟฟ้าแรงสูง",AA$73:AA$312)/NETWORKDAYS(AA$21,AA$21+6,HOLIDAYS),1))</f>
        <v>0</v>
      </c>
      <c r="AB46" s="278" t="n">
        <f aca="false">IF(NETWORKDAYS(AB$21,AB$21+6,HOLIDAYS)=0,0,ROUND(SUMIF($D$73:$D$312,"ช่างไฟฟ้าแรงสูง",AB$73:AB$312)/NETWORKDAYS(AB$21,AB$21+6,HOLIDAYS),1))</f>
        <v>0</v>
      </c>
      <c r="AC46" s="278" t="n">
        <f aca="false">IF(NETWORKDAYS(AC$21,AC$21+6,HOLIDAYS)=0,0,ROUND(SUMIF($D$73:$D$312,"ช่างไฟฟ้าแรงสูง",AC$73:AC$312)/NETWORKDAYS(AC$21,AC$21+6,HOLIDAYS),1))</f>
        <v>0</v>
      </c>
      <c r="AD46" s="278" t="n">
        <f aca="false">IF(NETWORKDAYS(AD$21,AD$21+6,HOLIDAYS)=0,0,ROUND(SUMIF($D$73:$D$312,"ช่างไฟฟ้าแรงสูง",AD$73:AD$312)/NETWORKDAYS(AD$21,AD$21+6,HOLIDAYS),1))</f>
        <v>0</v>
      </c>
      <c r="AE46" s="278" t="n">
        <f aca="false">IF(NETWORKDAYS(AE$21,AE$21+6,HOLIDAYS)=0,0,ROUND(SUMIF($D$73:$D$312,"ช่างไฟฟ้าแรงสูง",AE$73:AE$312)/NETWORKDAYS(AE$21,AE$21+6,HOLIDAYS),1))</f>
        <v>0</v>
      </c>
      <c r="AF46" s="278" t="n">
        <f aca="false">IF(NETWORKDAYS(AF$21,AF$21+6,HOLIDAYS)=0,0,ROUND(SUMIF($D$73:$D$312,"ช่างไฟฟ้าแรงสูง",AF$73:AF$312)/NETWORKDAYS(AF$21,AF$21+6,HOLIDAYS),1))</f>
        <v>0</v>
      </c>
      <c r="AG46" s="278" t="n">
        <f aca="false">IF(NETWORKDAYS(AG$21,AG$21+6,HOLIDAYS)=0,0,ROUND(SUMIF($D$73:$D$312,"ช่างไฟฟ้าแรงสูง",AG$73:AG$312)/NETWORKDAYS(AG$21,AG$21+6,HOLIDAYS),1))</f>
        <v>0</v>
      </c>
      <c r="AH46" s="278" t="n">
        <f aca="false">IF(NETWORKDAYS(AH$21,AH$21+6,HOLIDAYS)=0,0,ROUND(SUMIF($D$73:$D$312,"ช่างไฟฟ้าแรงสูง",AH$73:AH$312)/NETWORKDAYS(AH$21,AH$21+6,HOLIDAYS),1))</f>
        <v>0</v>
      </c>
      <c r="AI46" s="278" t="n">
        <f aca="false">IF(NETWORKDAYS(AI$21,AI$21+6,HOLIDAYS)=0,0,ROUND(SUMIF($D$73:$D$312,"ช่างไฟฟ้าแรงสูง",AI$73:AI$312)/NETWORKDAYS(AI$21,AI$21+6,HOLIDAYS),1))</f>
        <v>0</v>
      </c>
      <c r="AJ46" s="278" t="n">
        <f aca="false">IF(NETWORKDAYS(AJ$21,AJ$21+6,HOLIDAYS)=0,0,ROUND(SUMIF($D$73:$D$312,"ช่างไฟฟ้าแรงสูง",AJ$73:AJ$312)/NETWORKDAYS(AJ$21,AJ$21+6,HOLIDAYS),1))</f>
        <v>0</v>
      </c>
      <c r="AK46" s="278" t="n">
        <f aca="false">IF(NETWORKDAYS(AK$21,AK$21+6,HOLIDAYS)=0,0,ROUND(SUMIF($D$73:$D$312,"ช่างไฟฟ้าแรงสูง",AK$73:AK$312)/NETWORKDAYS(AK$21,AK$21+6,HOLIDAYS),1))</f>
        <v>0</v>
      </c>
      <c r="AL46" s="278" t="n">
        <f aca="false">IF(NETWORKDAYS(AL$21,AL$21+6,HOLIDAYS)=0,0,ROUND(SUMIF($D$73:$D$312,"ช่างไฟฟ้าแรงสูง",AL$73:AL$312)/NETWORKDAYS(AL$21,AL$21+6,HOLIDAYS),1))</f>
        <v>0</v>
      </c>
      <c r="AM46" s="278" t="n">
        <f aca="false">IF(NETWORKDAYS(AM$21,AM$21+6,HOLIDAYS)=0,0,ROUND(SUMIF($D$73:$D$312,"ช่างไฟฟ้าแรงสูง",AM$73:AM$312)/NETWORKDAYS(AM$21,AM$21+6,HOLIDAYS),1))</f>
        <v>0</v>
      </c>
      <c r="AN46" s="278" t="n">
        <f aca="false">IF(NETWORKDAYS(AN$21,AN$21+6,HOLIDAYS)=0,0,ROUND(SUMIF($D$73:$D$312,"ช่างไฟฟ้าแรงสูง",AN$73:AN$312)/NETWORKDAYS(AN$21,AN$21+6,HOLIDAYS),1))</f>
        <v>0</v>
      </c>
      <c r="AO46" s="278" t="n">
        <f aca="false">IF(NETWORKDAYS(AO$21,AO$21+6,HOLIDAYS)=0,0,ROUND(SUMIF($D$73:$D$312,"ช่างไฟฟ้าแรงสูง",AO$73:AO$312)/NETWORKDAYS(AO$21,AO$21+6,HOLIDAYS),1))</f>
        <v>0</v>
      </c>
      <c r="AP46" s="278" t="n">
        <f aca="false">IF(NETWORKDAYS(AP$21,AP$21+6,HOLIDAYS)=0,0,ROUND(SUMIF($D$73:$D$312,"ช่างไฟฟ้าแรงสูง",AP$73:AP$312)/NETWORKDAYS(AP$21,AP$21+6,HOLIDAYS),1))</f>
        <v>0</v>
      </c>
      <c r="AQ46" s="278" t="n">
        <f aca="false">IF(NETWORKDAYS(AQ$21,AQ$21+6,HOLIDAYS)=0,0,ROUND(SUMIF($D$73:$D$312,"ช่างไฟฟ้าแรงสูง",AQ$73:AQ$312)/NETWORKDAYS(AQ$21,AQ$21+6,HOLIDAYS),1))</f>
        <v>0</v>
      </c>
      <c r="AR46" s="278" t="n">
        <f aca="false">IF(NETWORKDAYS(AR$21,AR$21+6,HOLIDAYS)=0,0,ROUND(SUMIF($D$73:$D$312,"ช่างไฟฟ้าแรงสูง",AR$73:AR$312)/NETWORKDAYS(AR$21,AR$21+6,HOLIDAYS),1))</f>
        <v>0</v>
      </c>
    </row>
    <row r="47" customFormat="false" ht="15" hidden="false" customHeight="false" outlineLevel="0" collapsed="false">
      <c r="A47" s="246" t="s">
        <v>2345</v>
      </c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76" t="n">
        <f aca="false">MAX(O47:AR47)</f>
        <v>49.9</v>
      </c>
      <c r="O47" s="278" t="n">
        <f aca="false">IF(NETWORKDAYS(O$21,O$21+6,HOLIDAYS)=0,0,ROUND(SUMIF($D$73:$D$312,"ทีมทดสอบ",O$73:O$312)/NETWORKDAYS(O$21,O$21+6,HOLIDAYS),1))</f>
        <v>0</v>
      </c>
      <c r="P47" s="278" t="n">
        <f aca="false">IF(NETWORKDAYS(P$21,P$21+6,HOLIDAYS)=0,0,ROUND(SUMIF($D$73:$D$312,"ทีมทดสอบ",P$73:P$312)/NETWORKDAYS(P$21,P$21+6,HOLIDAYS),1))</f>
        <v>0</v>
      </c>
      <c r="Q47" s="278" t="n">
        <f aca="false">IF(NETWORKDAYS(Q$21,Q$21+6,HOLIDAYS)=0,0,ROUND(SUMIF($D$73:$D$312,"ทีมทดสอบ",Q$73:Q$312)/NETWORKDAYS(Q$21,Q$21+6,HOLIDAYS),1))</f>
        <v>0</v>
      </c>
      <c r="R47" s="278" t="n">
        <f aca="false">IF(NETWORKDAYS(R$21,R$21+6,HOLIDAYS)=0,0,ROUND(SUMIF($D$73:$D$312,"ทีมทดสอบ",R$73:R$312)/NETWORKDAYS(R$21,R$21+6,HOLIDAYS),1))</f>
        <v>0</v>
      </c>
      <c r="S47" s="278" t="n">
        <f aca="false">IF(NETWORKDAYS(S$21,S$21+6,HOLIDAYS)=0,0,ROUND(SUMIF($D$73:$D$312,"ทีมทดสอบ",S$73:S$312)/NETWORKDAYS(S$21,S$21+6,HOLIDAYS),1))</f>
        <v>49.9</v>
      </c>
      <c r="T47" s="278" t="n">
        <f aca="false">IF(NETWORKDAYS(T$21,T$21+6,HOLIDAYS)=0,0,ROUND(SUMIF($D$73:$D$312,"ทีมทดสอบ",T$73:T$312)/NETWORKDAYS(T$21,T$21+6,HOLIDAYS),1))</f>
        <v>0</v>
      </c>
      <c r="U47" s="278" t="n">
        <f aca="false">IF(NETWORKDAYS(U$21,U$21+6,HOLIDAYS)=0,0,ROUND(SUMIF($D$73:$D$312,"ทีมทดสอบ",U$73:U$312)/NETWORKDAYS(U$21,U$21+6,HOLIDAYS),1))</f>
        <v>0</v>
      </c>
      <c r="V47" s="278" t="n">
        <f aca="false">IF(NETWORKDAYS(V$21,V$21+6,HOLIDAYS)=0,0,ROUND(SUMIF($D$73:$D$312,"ทีมทดสอบ",V$73:V$312)/NETWORKDAYS(V$21,V$21+6,HOLIDAYS),1))</f>
        <v>0</v>
      </c>
      <c r="W47" s="278" t="n">
        <f aca="false">IF(NETWORKDAYS(W$21,W$21+6,HOLIDAYS)=0,0,ROUND(SUMIF($D$73:$D$312,"ทีมทดสอบ",W$73:W$312)/NETWORKDAYS(W$21,W$21+6,HOLIDAYS),1))</f>
        <v>0</v>
      </c>
      <c r="X47" s="278" t="n">
        <f aca="false">IF(NETWORKDAYS(X$21,X$21+6,HOLIDAYS)=0,0,ROUND(SUMIF($D$73:$D$312,"ทีมทดสอบ",X$73:X$312)/NETWORKDAYS(X$21,X$21+6,HOLIDAYS),1))</f>
        <v>0</v>
      </c>
      <c r="Y47" s="278" t="n">
        <f aca="false">IF(NETWORKDAYS(Y$21,Y$21+6,HOLIDAYS)=0,0,ROUND(SUMIF($D$73:$D$312,"ทีมทดสอบ",Y$73:Y$312)/NETWORKDAYS(Y$21,Y$21+6,HOLIDAYS),1))</f>
        <v>0</v>
      </c>
      <c r="Z47" s="278" t="n">
        <f aca="false">IF(NETWORKDAYS(Z$21,Z$21+6,HOLIDAYS)=0,0,ROUND(SUMIF($D$73:$D$312,"ทีมทดสอบ",Z$73:Z$312)/NETWORKDAYS(Z$21,Z$21+6,HOLIDAYS),1))</f>
        <v>0</v>
      </c>
      <c r="AA47" s="278" t="n">
        <f aca="false">IF(NETWORKDAYS(AA$21,AA$21+6,HOLIDAYS)=0,0,ROUND(SUMIF($D$73:$D$312,"ทีมทดสอบ",AA$73:AA$312)/NETWORKDAYS(AA$21,AA$21+6,HOLIDAYS),1))</f>
        <v>0</v>
      </c>
      <c r="AB47" s="278" t="n">
        <f aca="false">IF(NETWORKDAYS(AB$21,AB$21+6,HOLIDAYS)=0,0,ROUND(SUMIF($D$73:$D$312,"ทีมทดสอบ",AB$73:AB$312)/NETWORKDAYS(AB$21,AB$21+6,HOLIDAYS),1))</f>
        <v>0</v>
      </c>
      <c r="AC47" s="278" t="n">
        <f aca="false">IF(NETWORKDAYS(AC$21,AC$21+6,HOLIDAYS)=0,0,ROUND(SUMIF($D$73:$D$312,"ทีมทดสอบ",AC$73:AC$312)/NETWORKDAYS(AC$21,AC$21+6,HOLIDAYS),1))</f>
        <v>0</v>
      </c>
      <c r="AD47" s="278" t="n">
        <f aca="false">IF(NETWORKDAYS(AD$21,AD$21+6,HOLIDAYS)=0,0,ROUND(SUMIF($D$73:$D$312,"ทีมทดสอบ",AD$73:AD$312)/NETWORKDAYS(AD$21,AD$21+6,HOLIDAYS),1))</f>
        <v>0</v>
      </c>
      <c r="AE47" s="278" t="n">
        <f aca="false">IF(NETWORKDAYS(AE$21,AE$21+6,HOLIDAYS)=0,0,ROUND(SUMIF($D$73:$D$312,"ทีมทดสอบ",AE$73:AE$312)/NETWORKDAYS(AE$21,AE$21+6,HOLIDAYS),1))</f>
        <v>0</v>
      </c>
      <c r="AF47" s="278" t="n">
        <f aca="false">IF(NETWORKDAYS(AF$21,AF$21+6,HOLIDAYS)=0,0,ROUND(SUMIF($D$73:$D$312,"ทีมทดสอบ",AF$73:AF$312)/NETWORKDAYS(AF$21,AF$21+6,HOLIDAYS),1))</f>
        <v>0</v>
      </c>
      <c r="AG47" s="278" t="n">
        <f aca="false">IF(NETWORKDAYS(AG$21,AG$21+6,HOLIDAYS)=0,0,ROUND(SUMIF($D$73:$D$312,"ทีมทดสอบ",AG$73:AG$312)/NETWORKDAYS(AG$21,AG$21+6,HOLIDAYS),1))</f>
        <v>0</v>
      </c>
      <c r="AH47" s="278" t="n">
        <f aca="false">IF(NETWORKDAYS(AH$21,AH$21+6,HOLIDAYS)=0,0,ROUND(SUMIF($D$73:$D$312,"ทีมทดสอบ",AH$73:AH$312)/NETWORKDAYS(AH$21,AH$21+6,HOLIDAYS),1))</f>
        <v>0</v>
      </c>
      <c r="AI47" s="278" t="n">
        <f aca="false">IF(NETWORKDAYS(AI$21,AI$21+6,HOLIDAYS)=0,0,ROUND(SUMIF($D$73:$D$312,"ทีมทดสอบ",AI$73:AI$312)/NETWORKDAYS(AI$21,AI$21+6,HOLIDAYS),1))</f>
        <v>0</v>
      </c>
      <c r="AJ47" s="278" t="n">
        <f aca="false">IF(NETWORKDAYS(AJ$21,AJ$21+6,HOLIDAYS)=0,0,ROUND(SUMIF($D$73:$D$312,"ทีมทดสอบ",AJ$73:AJ$312)/NETWORKDAYS(AJ$21,AJ$21+6,HOLIDAYS),1))</f>
        <v>0</v>
      </c>
      <c r="AK47" s="278" t="n">
        <f aca="false">IF(NETWORKDAYS(AK$21,AK$21+6,HOLIDAYS)=0,0,ROUND(SUMIF($D$73:$D$312,"ทีมทดสอบ",AK$73:AK$312)/NETWORKDAYS(AK$21,AK$21+6,HOLIDAYS),1))</f>
        <v>0</v>
      </c>
      <c r="AL47" s="278" t="n">
        <f aca="false">IF(NETWORKDAYS(AL$21,AL$21+6,HOLIDAYS)=0,0,ROUND(SUMIF($D$73:$D$312,"ทีมทดสอบ",AL$73:AL$312)/NETWORKDAYS(AL$21,AL$21+6,HOLIDAYS),1))</f>
        <v>0</v>
      </c>
      <c r="AM47" s="278" t="n">
        <f aca="false">IF(NETWORKDAYS(AM$21,AM$21+6,HOLIDAYS)=0,0,ROUND(SUMIF($D$73:$D$312,"ทีมทดสอบ",AM$73:AM$312)/NETWORKDAYS(AM$21,AM$21+6,HOLIDAYS),1))</f>
        <v>0</v>
      </c>
      <c r="AN47" s="278" t="n">
        <f aca="false">IF(NETWORKDAYS(AN$21,AN$21+6,HOLIDAYS)=0,0,ROUND(SUMIF($D$73:$D$312,"ทีมทดสอบ",AN$73:AN$312)/NETWORKDAYS(AN$21,AN$21+6,HOLIDAYS),1))</f>
        <v>0</v>
      </c>
      <c r="AO47" s="278" t="n">
        <f aca="false">IF(NETWORKDAYS(AO$21,AO$21+6,HOLIDAYS)=0,0,ROUND(SUMIF($D$73:$D$312,"ทีมทดสอบ",AO$73:AO$312)/NETWORKDAYS(AO$21,AO$21+6,HOLIDAYS),1))</f>
        <v>0</v>
      </c>
      <c r="AP47" s="278" t="n">
        <f aca="false">IF(NETWORKDAYS(AP$21,AP$21+6,HOLIDAYS)=0,0,ROUND(SUMIF($D$73:$D$312,"ทีมทดสอบ",AP$73:AP$312)/NETWORKDAYS(AP$21,AP$21+6,HOLIDAYS),1))</f>
        <v>0</v>
      </c>
      <c r="AQ47" s="278" t="n">
        <f aca="false">IF(NETWORKDAYS(AQ$21,AQ$21+6,HOLIDAYS)=0,0,ROUND(SUMIF($D$73:$D$312,"ทีมทดสอบ",AQ$73:AQ$312)/NETWORKDAYS(AQ$21,AQ$21+6,HOLIDAYS),1))</f>
        <v>0</v>
      </c>
      <c r="AR47" s="278" t="n">
        <f aca="false">IF(NETWORKDAYS(AR$21,AR$21+6,HOLIDAYS)=0,0,ROUND(SUMIF($D$73:$D$312,"ทีมทดสอบ",AR$73:AR$312)/NETWORKDAYS(AR$21,AR$21+6,HOLIDAYS),1))</f>
        <v>0</v>
      </c>
    </row>
    <row r="48" customFormat="false" ht="15" hidden="false" customHeight="false" outlineLevel="0" collapsed="false">
      <c r="A48" s="246" t="s">
        <v>2346</v>
      </c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76" t="n">
        <f aca="false">MAX(O48:AR48)</f>
        <v>20</v>
      </c>
      <c r="O48" s="278" t="n">
        <f aca="false">IF(NETWORKDAYS(O$21,O$21+6,HOLIDAYS)=0,0,ROUND(SUMIF($D$73:$D$312,"คุมงาน",O$73:O$312)/NETWORKDAYS(O$21,O$21+6,HOLIDAYS),1))</f>
        <v>20</v>
      </c>
      <c r="P48" s="278" t="n">
        <f aca="false">IF(NETWORKDAYS(P$21,P$21+6,HOLIDAYS)=0,0,ROUND(SUMIF($D$73:$D$312,"คุมงาน",P$73:P$312)/NETWORKDAYS(P$21,P$21+6,HOLIDAYS),1))</f>
        <v>20</v>
      </c>
      <c r="Q48" s="278" t="n">
        <f aca="false">IF(NETWORKDAYS(Q$21,Q$21+6,HOLIDAYS)=0,0,ROUND(SUMIF($D$73:$D$312,"คุมงาน",Q$73:Q$312)/NETWORKDAYS(Q$21,Q$21+6,HOLIDAYS),1))</f>
        <v>20</v>
      </c>
      <c r="R48" s="278" t="n">
        <f aca="false">IF(NETWORKDAYS(R$21,R$21+6,HOLIDAYS)=0,0,ROUND(SUMIF($D$73:$D$312,"คุมงาน",R$73:R$312)/NETWORKDAYS(R$21,R$21+6,HOLIDAYS),1))</f>
        <v>0</v>
      </c>
      <c r="S48" s="278" t="n">
        <f aca="false">IF(NETWORKDAYS(S$21,S$21+6,HOLIDAYS)=0,0,ROUND(SUMIF($D$73:$D$312,"คุมงาน",S$73:S$312)/NETWORKDAYS(S$21,S$21+6,HOLIDAYS),1))</f>
        <v>20</v>
      </c>
      <c r="T48" s="278" t="n">
        <f aca="false">IF(NETWORKDAYS(T$21,T$21+6,HOLIDAYS)=0,0,ROUND(SUMIF($D$73:$D$312,"คุมงาน",T$73:T$312)/NETWORKDAYS(T$21,T$21+6,HOLIDAYS),1))</f>
        <v>0</v>
      </c>
      <c r="U48" s="278" t="n">
        <f aca="false">IF(NETWORKDAYS(U$21,U$21+6,HOLIDAYS)=0,0,ROUND(SUMIF($D$73:$D$312,"คุมงาน",U$73:U$312)/NETWORKDAYS(U$21,U$21+6,HOLIDAYS),1))</f>
        <v>0</v>
      </c>
      <c r="V48" s="278" t="n">
        <f aca="false">IF(NETWORKDAYS(V$21,V$21+6,HOLIDAYS)=0,0,ROUND(SUMIF($D$73:$D$312,"คุมงาน",V$73:V$312)/NETWORKDAYS(V$21,V$21+6,HOLIDAYS),1))</f>
        <v>0</v>
      </c>
      <c r="W48" s="278" t="n">
        <f aca="false">IF(NETWORKDAYS(W$21,W$21+6,HOLIDAYS)=0,0,ROUND(SUMIF($D$73:$D$312,"คุมงาน",W$73:W$312)/NETWORKDAYS(W$21,W$21+6,HOLIDAYS),1))</f>
        <v>0</v>
      </c>
      <c r="X48" s="278" t="n">
        <f aca="false">IF(NETWORKDAYS(X$21,X$21+6,HOLIDAYS)=0,0,ROUND(SUMIF($D$73:$D$312,"คุมงาน",X$73:X$312)/NETWORKDAYS(X$21,X$21+6,HOLIDAYS),1))</f>
        <v>0</v>
      </c>
      <c r="Y48" s="278" t="n">
        <f aca="false">IF(NETWORKDAYS(Y$21,Y$21+6,HOLIDAYS)=0,0,ROUND(SUMIF($D$73:$D$312,"คุมงาน",Y$73:Y$312)/NETWORKDAYS(Y$21,Y$21+6,HOLIDAYS),1))</f>
        <v>0</v>
      </c>
      <c r="Z48" s="278" t="n">
        <f aca="false">IF(NETWORKDAYS(Z$21,Z$21+6,HOLIDAYS)=0,0,ROUND(SUMIF($D$73:$D$312,"คุมงาน",Z$73:Z$312)/NETWORKDAYS(Z$21,Z$21+6,HOLIDAYS),1))</f>
        <v>0</v>
      </c>
      <c r="AA48" s="278" t="n">
        <f aca="false">IF(NETWORKDAYS(AA$21,AA$21+6,HOLIDAYS)=0,0,ROUND(SUMIF($D$73:$D$312,"คุมงาน",AA$73:AA$312)/NETWORKDAYS(AA$21,AA$21+6,HOLIDAYS),1))</f>
        <v>0</v>
      </c>
      <c r="AB48" s="278" t="n">
        <f aca="false">IF(NETWORKDAYS(AB$21,AB$21+6,HOLIDAYS)=0,0,ROUND(SUMIF($D$73:$D$312,"คุมงาน",AB$73:AB$312)/NETWORKDAYS(AB$21,AB$21+6,HOLIDAYS),1))</f>
        <v>0</v>
      </c>
      <c r="AC48" s="278" t="n">
        <f aca="false">IF(NETWORKDAYS(AC$21,AC$21+6,HOLIDAYS)=0,0,ROUND(SUMIF($D$73:$D$312,"คุมงาน",AC$73:AC$312)/NETWORKDAYS(AC$21,AC$21+6,HOLIDAYS),1))</f>
        <v>0</v>
      </c>
      <c r="AD48" s="278" t="n">
        <f aca="false">IF(NETWORKDAYS(AD$21,AD$21+6,HOLIDAYS)=0,0,ROUND(SUMIF($D$73:$D$312,"คุมงาน",AD$73:AD$312)/NETWORKDAYS(AD$21,AD$21+6,HOLIDAYS),1))</f>
        <v>0</v>
      </c>
      <c r="AE48" s="278" t="n">
        <f aca="false">IF(NETWORKDAYS(AE$21,AE$21+6,HOLIDAYS)=0,0,ROUND(SUMIF($D$73:$D$312,"คุมงาน",AE$73:AE$312)/NETWORKDAYS(AE$21,AE$21+6,HOLIDAYS),1))</f>
        <v>0</v>
      </c>
      <c r="AF48" s="278" t="n">
        <f aca="false">IF(NETWORKDAYS(AF$21,AF$21+6,HOLIDAYS)=0,0,ROUND(SUMIF($D$73:$D$312,"คุมงาน",AF$73:AF$312)/NETWORKDAYS(AF$21,AF$21+6,HOLIDAYS),1))</f>
        <v>0</v>
      </c>
      <c r="AG48" s="278" t="n">
        <f aca="false">IF(NETWORKDAYS(AG$21,AG$21+6,HOLIDAYS)=0,0,ROUND(SUMIF($D$73:$D$312,"คุมงาน",AG$73:AG$312)/NETWORKDAYS(AG$21,AG$21+6,HOLIDAYS),1))</f>
        <v>0</v>
      </c>
      <c r="AH48" s="278" t="n">
        <f aca="false">IF(NETWORKDAYS(AH$21,AH$21+6,HOLIDAYS)=0,0,ROUND(SUMIF($D$73:$D$312,"คุมงาน",AH$73:AH$312)/NETWORKDAYS(AH$21,AH$21+6,HOLIDAYS),1))</f>
        <v>0</v>
      </c>
      <c r="AI48" s="278" t="n">
        <f aca="false">IF(NETWORKDAYS(AI$21,AI$21+6,HOLIDAYS)=0,0,ROUND(SUMIF($D$73:$D$312,"คุมงาน",AI$73:AI$312)/NETWORKDAYS(AI$21,AI$21+6,HOLIDAYS),1))</f>
        <v>0</v>
      </c>
      <c r="AJ48" s="278" t="n">
        <f aca="false">IF(NETWORKDAYS(AJ$21,AJ$21+6,HOLIDAYS)=0,0,ROUND(SUMIF($D$73:$D$312,"คุมงาน",AJ$73:AJ$312)/NETWORKDAYS(AJ$21,AJ$21+6,HOLIDAYS),1))</f>
        <v>0</v>
      </c>
      <c r="AK48" s="278" t="n">
        <f aca="false">IF(NETWORKDAYS(AK$21,AK$21+6,HOLIDAYS)=0,0,ROUND(SUMIF($D$73:$D$312,"คุมงาน",AK$73:AK$312)/NETWORKDAYS(AK$21,AK$21+6,HOLIDAYS),1))</f>
        <v>0</v>
      </c>
      <c r="AL48" s="278" t="n">
        <f aca="false">IF(NETWORKDAYS(AL$21,AL$21+6,HOLIDAYS)=0,0,ROUND(SUMIF($D$73:$D$312,"คุมงาน",AL$73:AL$312)/NETWORKDAYS(AL$21,AL$21+6,HOLIDAYS),1))</f>
        <v>0</v>
      </c>
      <c r="AM48" s="278" t="n">
        <f aca="false">IF(NETWORKDAYS(AM$21,AM$21+6,HOLIDAYS)=0,0,ROUND(SUMIF($D$73:$D$312,"คุมงาน",AM$73:AM$312)/NETWORKDAYS(AM$21,AM$21+6,HOLIDAYS),1))</f>
        <v>0</v>
      </c>
      <c r="AN48" s="278" t="n">
        <f aca="false">IF(NETWORKDAYS(AN$21,AN$21+6,HOLIDAYS)=0,0,ROUND(SUMIF($D$73:$D$312,"คุมงาน",AN$73:AN$312)/NETWORKDAYS(AN$21,AN$21+6,HOLIDAYS),1))</f>
        <v>0</v>
      </c>
      <c r="AO48" s="278" t="n">
        <f aca="false">IF(NETWORKDAYS(AO$21,AO$21+6,HOLIDAYS)=0,0,ROUND(SUMIF($D$73:$D$312,"คุมงาน",AO$73:AO$312)/NETWORKDAYS(AO$21,AO$21+6,HOLIDAYS),1))</f>
        <v>0</v>
      </c>
      <c r="AP48" s="278" t="n">
        <f aca="false">IF(NETWORKDAYS(AP$21,AP$21+6,HOLIDAYS)=0,0,ROUND(SUMIF($D$73:$D$312,"คุมงาน",AP$73:AP$312)/NETWORKDAYS(AP$21,AP$21+6,HOLIDAYS),1))</f>
        <v>0</v>
      </c>
      <c r="AQ48" s="278" t="n">
        <f aca="false">IF(NETWORKDAYS(AQ$21,AQ$21+6,HOLIDAYS)=0,0,ROUND(SUMIF($D$73:$D$312,"คุมงาน",AQ$73:AQ$312)/NETWORKDAYS(AQ$21,AQ$21+6,HOLIDAYS),1))</f>
        <v>0</v>
      </c>
      <c r="AR48" s="278" t="n">
        <f aca="false">IF(NETWORKDAYS(AR$21,AR$21+6,HOLIDAYS)=0,0,ROUND(SUMIF($D$73:$D$312,"คุมงาน",AR$73:AR$312)/NETWORKDAYS(AR$21,AR$21+6,HOLIDAYS),1))</f>
        <v>0</v>
      </c>
    </row>
    <row r="49" customFormat="false" ht="15" hidden="false" customHeight="false" outlineLevel="0" collapsed="false">
      <c r="A49" s="279" t="s">
        <v>2347</v>
      </c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80" t="n">
        <f aca="false">MAX(O49:AR49)</f>
        <v>290</v>
      </c>
      <c r="O49" s="281" t="n">
        <f aca="false">SUMPRODUCT((O$73:O$312&gt;0)*$K$73:$K$312)</f>
        <v>62</v>
      </c>
      <c r="P49" s="281" t="n">
        <f aca="false">SUMPRODUCT((P$73:P$312&gt;0)*$K$73:$K$312)</f>
        <v>82</v>
      </c>
      <c r="Q49" s="281" t="n">
        <f aca="false">SUMPRODUCT((Q$73:Q$312&gt;0)*$K$73:$K$312)</f>
        <v>290</v>
      </c>
      <c r="R49" s="281" t="n">
        <f aca="false">SUMPRODUCT((R$73:R$312&gt;0)*$K$73:$K$312)</f>
        <v>0</v>
      </c>
      <c r="S49" s="281" t="n">
        <f aca="false">SUMPRODUCT((S$73:S$312&gt;0)*$K$73:$K$312)</f>
        <v>110</v>
      </c>
      <c r="T49" s="281" t="n">
        <f aca="false">SUMPRODUCT((T$73:T$312&gt;0)*$K$73:$K$312)</f>
        <v>0</v>
      </c>
      <c r="U49" s="281" t="n">
        <f aca="false">SUMPRODUCT((U$73:U$312&gt;0)*$K$73:$K$312)</f>
        <v>0</v>
      </c>
      <c r="V49" s="281" t="n">
        <f aca="false">SUMPRODUCT((V$73:V$312&gt;0)*$K$73:$K$312)</f>
        <v>0</v>
      </c>
      <c r="W49" s="281" t="n">
        <f aca="false">SUMPRODUCT((W$73:W$312&gt;0)*$K$73:$K$312)</f>
        <v>0</v>
      </c>
      <c r="X49" s="281" t="n">
        <f aca="false">SUMPRODUCT((X$73:X$312&gt;0)*$K$73:$K$312)</f>
        <v>0</v>
      </c>
      <c r="Y49" s="281" t="n">
        <f aca="false">SUMPRODUCT((Y$73:Y$312&gt;0)*$K$73:$K$312)</f>
        <v>0</v>
      </c>
      <c r="Z49" s="281" t="n">
        <f aca="false">SUMPRODUCT((Z$73:Z$312&gt;0)*$K$73:$K$312)</f>
        <v>0</v>
      </c>
      <c r="AA49" s="281" t="n">
        <f aca="false">SUMPRODUCT((AA$73:AA$312&gt;0)*$K$73:$K$312)</f>
        <v>0</v>
      </c>
      <c r="AB49" s="281" t="n">
        <f aca="false">SUMPRODUCT((AB$73:AB$312&gt;0)*$K$73:$K$312)</f>
        <v>0</v>
      </c>
      <c r="AC49" s="281" t="n">
        <f aca="false">SUMPRODUCT((AC$73:AC$312&gt;0)*$K$73:$K$312)</f>
        <v>0</v>
      </c>
      <c r="AD49" s="281" t="n">
        <f aca="false">SUMPRODUCT((AD$73:AD$312&gt;0)*$K$73:$K$312)</f>
        <v>0</v>
      </c>
      <c r="AE49" s="281" t="n">
        <f aca="false">SUMPRODUCT((AE$73:AE$312&gt;0)*$K$73:$K$312)</f>
        <v>0</v>
      </c>
      <c r="AF49" s="281" t="n">
        <f aca="false">SUMPRODUCT((AF$73:AF$312&gt;0)*$K$73:$K$312)</f>
        <v>0</v>
      </c>
      <c r="AG49" s="281" t="n">
        <f aca="false">SUMPRODUCT((AG$73:AG$312&gt;0)*$K$73:$K$312)</f>
        <v>0</v>
      </c>
      <c r="AH49" s="281" t="n">
        <f aca="false">SUMPRODUCT((AH$73:AH$312&gt;0)*$K$73:$K$312)</f>
        <v>0</v>
      </c>
      <c r="AI49" s="281" t="n">
        <f aca="false">SUMPRODUCT((AI$73:AI$312&gt;0)*$K$73:$K$312)</f>
        <v>0</v>
      </c>
      <c r="AJ49" s="281" t="n">
        <f aca="false">SUMPRODUCT((AJ$73:AJ$312&gt;0)*$K$73:$K$312)</f>
        <v>0</v>
      </c>
      <c r="AK49" s="281" t="n">
        <f aca="false">SUMPRODUCT((AK$73:AK$312&gt;0)*$K$73:$K$312)</f>
        <v>0</v>
      </c>
      <c r="AL49" s="281" t="n">
        <f aca="false">SUMPRODUCT((AL$73:AL$312&gt;0)*$K$73:$K$312)</f>
        <v>0</v>
      </c>
      <c r="AM49" s="281" t="n">
        <f aca="false">SUMPRODUCT((AM$73:AM$312&gt;0)*$K$73:$K$312)</f>
        <v>0</v>
      </c>
      <c r="AN49" s="281" t="n">
        <f aca="false">SUMPRODUCT((AN$73:AN$312&gt;0)*$K$73:$K$312)</f>
        <v>0</v>
      </c>
      <c r="AO49" s="281" t="n">
        <f aca="false">SUMPRODUCT((AO$73:AO$312&gt;0)*$K$73:$K$312)</f>
        <v>0</v>
      </c>
      <c r="AP49" s="281" t="n">
        <f aca="false">SUMPRODUCT((AP$73:AP$312&gt;0)*$K$73:$K$312)</f>
        <v>0</v>
      </c>
      <c r="AQ49" s="281" t="n">
        <f aca="false">SUMPRODUCT((AQ$73:AQ$312&gt;0)*$K$73:$K$312)</f>
        <v>0</v>
      </c>
      <c r="AR49" s="281" t="n">
        <f aca="false">SUMPRODUCT((AR$73:AR$312&gt;0)*$K$73:$K$312)</f>
        <v>0</v>
      </c>
    </row>
    <row r="50" customFormat="false" ht="15" hidden="false" customHeight="false" outlineLevel="0" collapsed="false">
      <c r="A50" s="72" t="s">
        <v>2348</v>
      </c>
    </row>
    <row r="71" customFormat="false" ht="15" hidden="false" customHeight="false" outlineLevel="0" collapsed="false">
      <c r="A71" s="272" t="s">
        <v>2349</v>
      </c>
    </row>
    <row r="72" customFormat="false" ht="35.05" hidden="false" customHeight="false" outlineLevel="0" collapsed="false">
      <c r="A72" s="151" t="s">
        <v>35</v>
      </c>
      <c r="B72" s="151" t="s">
        <v>36</v>
      </c>
      <c r="C72" s="151" t="s">
        <v>573</v>
      </c>
      <c r="D72" s="151" t="s">
        <v>2274</v>
      </c>
      <c r="E72" s="151" t="s">
        <v>2350</v>
      </c>
      <c r="F72" s="151" t="s">
        <v>2351</v>
      </c>
      <c r="G72" s="151" t="s">
        <v>2352</v>
      </c>
      <c r="H72" s="151" t="s">
        <v>2353</v>
      </c>
      <c r="I72" s="151" t="s">
        <v>2354</v>
      </c>
      <c r="J72" s="151" t="s">
        <v>2355</v>
      </c>
      <c r="K72" s="151" t="s">
        <v>2356</v>
      </c>
      <c r="L72" s="151" t="s">
        <v>2357</v>
      </c>
      <c r="M72" s="151" t="s">
        <v>34</v>
      </c>
      <c r="N72" s="152" t="s">
        <v>1478</v>
      </c>
      <c r="O72" s="275" t="n">
        <f aca="false">O21</f>
        <v>46328</v>
      </c>
      <c r="P72" s="275" t="n">
        <f aca="false">P21</f>
        <v>46335</v>
      </c>
      <c r="Q72" s="275" t="n">
        <f aca="false">Q21</f>
        <v>46342</v>
      </c>
      <c r="R72" s="275" t="n">
        <f aca="false">R21</f>
        <v>46349</v>
      </c>
      <c r="S72" s="275" t="n">
        <f aca="false">S21</f>
        <v>46356</v>
      </c>
      <c r="T72" s="275" t="n">
        <f aca="false">T21</f>
        <v>46363</v>
      </c>
      <c r="U72" s="275" t="n">
        <f aca="false">U21</f>
        <v>46370</v>
      </c>
      <c r="V72" s="275" t="n">
        <f aca="false">V21</f>
        <v>46377</v>
      </c>
      <c r="W72" s="275" t="n">
        <f aca="false">W21</f>
        <v>46384</v>
      </c>
      <c r="X72" s="275" t="n">
        <f aca="false">X21</f>
        <v>46391</v>
      </c>
      <c r="Y72" s="275" t="n">
        <f aca="false">Y21</f>
        <v>46398</v>
      </c>
      <c r="Z72" s="275" t="n">
        <f aca="false">Z21</f>
        <v>46405</v>
      </c>
      <c r="AA72" s="275" t="n">
        <f aca="false">AA21</f>
        <v>46412</v>
      </c>
      <c r="AB72" s="275" t="n">
        <f aca="false">AB21</f>
        <v>46419</v>
      </c>
      <c r="AC72" s="275" t="n">
        <f aca="false">AC21</f>
        <v>46426</v>
      </c>
      <c r="AD72" s="275" t="n">
        <f aca="false">AD21</f>
        <v>46433</v>
      </c>
      <c r="AE72" s="275" t="n">
        <f aca="false">AE21</f>
        <v>46440</v>
      </c>
      <c r="AF72" s="275" t="n">
        <f aca="false">AF21</f>
        <v>46447</v>
      </c>
      <c r="AG72" s="275" t="n">
        <f aca="false">AG21</f>
        <v>46454</v>
      </c>
      <c r="AH72" s="275" t="n">
        <f aca="false">AH21</f>
        <v>46461</v>
      </c>
      <c r="AI72" s="275" t="n">
        <f aca="false">AI21</f>
        <v>46468</v>
      </c>
      <c r="AJ72" s="275" t="n">
        <f aca="false">AJ21</f>
        <v>46475</v>
      </c>
      <c r="AK72" s="275" t="n">
        <f aca="false">AK21</f>
        <v>46482</v>
      </c>
      <c r="AL72" s="275" t="n">
        <f aca="false">AL21</f>
        <v>46489</v>
      </c>
      <c r="AM72" s="275" t="n">
        <f aca="false">AM21</f>
        <v>46496</v>
      </c>
      <c r="AN72" s="275" t="n">
        <f aca="false">AN21</f>
        <v>46503</v>
      </c>
      <c r="AO72" s="275" t="n">
        <f aca="false">AO21</f>
        <v>46510</v>
      </c>
      <c r="AP72" s="275" t="n">
        <f aca="false">AP21</f>
        <v>46517</v>
      </c>
      <c r="AQ72" s="275" t="n">
        <f aca="false">AQ21</f>
        <v>46524</v>
      </c>
      <c r="AR72" s="275" t="n">
        <f aca="false">AR21</f>
        <v>46531</v>
      </c>
    </row>
    <row r="73" customFormat="false" ht="15" hidden="false" customHeight="false" outlineLevel="1" collapsed="false">
      <c r="A73" s="282" t="s">
        <v>42</v>
      </c>
      <c r="B73" s="283" t="s">
        <v>44</v>
      </c>
      <c r="C73" s="284" t="s">
        <v>2358</v>
      </c>
      <c r="D73" s="284" t="s">
        <v>2280</v>
      </c>
      <c r="E73" s="285" t="n">
        <v>165.53</v>
      </c>
      <c r="F73" s="283" t="s">
        <v>2359</v>
      </c>
      <c r="G73" s="285" t="n">
        <f aca="false">$F$5*(E73/$G$5+$H$5)</f>
        <v>28.4848</v>
      </c>
      <c r="H73" s="286" t="n">
        <f aca="false">IF(ISNUMBER('P9-001'!$N$62),'P9-001'!$N$62,"")</f>
        <v>46328</v>
      </c>
      <c r="I73" s="286" t="n">
        <f aca="false">IF(ISNUMBER('P9-001'!$O$62),'P9-001'!$O$62,"")</f>
        <v>46341</v>
      </c>
      <c r="J73" s="287" t="n">
        <f aca="false">IF(OR(H73="",I73="",N73&gt;=1),0,MAX(1,NETWORKDAYS(MAX(H73,ASOF),MAX(I73,ASOF),HOLIDAYS)))</f>
        <v>10</v>
      </c>
      <c r="K73" s="287" t="n">
        <f aca="false">IF(L73=0,0,ROUNDUP(L73/$F$5,0))</f>
        <v>1</v>
      </c>
      <c r="L73" s="285" t="n">
        <f aca="false">IF(J73=0,0,G73*(1-N73)/J73)</f>
        <v>2.84848</v>
      </c>
      <c r="M73" s="283" t="s">
        <v>872</v>
      </c>
      <c r="N73" s="288" t="n">
        <f aca="false">IFERROR(MIN(1,'P9-001'!$V$62)+0,0)</f>
        <v>0</v>
      </c>
      <c r="O73" s="289" t="n">
        <f aca="false">IF($L73=0,0,$L73*MAX(0,NETWORKDAYS(MAX($H73,ASOF,O$72),MIN(MAX($I73,ASOF),O$72+6),HOLIDAYS)))</f>
        <v>14.2424</v>
      </c>
      <c r="P73" s="289" t="n">
        <f aca="false">IF($L73=0,0,$L73*MAX(0,NETWORKDAYS(MAX($H73,ASOF,P$72),MIN(MAX($I73,ASOF),P$72+6),HOLIDAYS)))</f>
        <v>14.2424</v>
      </c>
      <c r="Q73" s="289" t="n">
        <f aca="false">IF($L73=0,0,$L73*MAX(0,NETWORKDAYS(MAX($H73,ASOF,Q$72),MIN(MAX($I73,ASOF),Q$72+6),HOLIDAYS)))</f>
        <v>0</v>
      </c>
      <c r="R73" s="289" t="n">
        <f aca="false">IF($L73=0,0,$L73*MAX(0,NETWORKDAYS(MAX($H73,ASOF,R$72),MIN(MAX($I73,ASOF),R$72+6),HOLIDAYS)))</f>
        <v>0</v>
      </c>
      <c r="S73" s="289" t="n">
        <f aca="false">IF($L73=0,0,$L73*MAX(0,NETWORKDAYS(MAX($H73,ASOF,S$72),MIN(MAX($I73,ASOF),S$72+6),HOLIDAYS)))</f>
        <v>0</v>
      </c>
      <c r="T73" s="289" t="n">
        <f aca="false">IF($L73=0,0,$L73*MAX(0,NETWORKDAYS(MAX($H73,ASOF,T$72),MIN(MAX($I73,ASOF),T$72+6),HOLIDAYS)))</f>
        <v>0</v>
      </c>
      <c r="U73" s="289" t="n">
        <f aca="false">IF($L73=0,0,$L73*MAX(0,NETWORKDAYS(MAX($H73,ASOF,U$72),MIN(MAX($I73,ASOF),U$72+6),HOLIDAYS)))</f>
        <v>0</v>
      </c>
      <c r="V73" s="289" t="n">
        <f aca="false">IF($L73=0,0,$L73*MAX(0,NETWORKDAYS(MAX($H73,ASOF,V$72),MIN(MAX($I73,ASOF),V$72+6),HOLIDAYS)))</f>
        <v>0</v>
      </c>
      <c r="W73" s="289" t="n">
        <f aca="false">IF($L73=0,0,$L73*MAX(0,NETWORKDAYS(MAX($H73,ASOF,W$72),MIN(MAX($I73,ASOF),W$72+6),HOLIDAYS)))</f>
        <v>0</v>
      </c>
      <c r="X73" s="289" t="n">
        <f aca="false">IF($L73=0,0,$L73*MAX(0,NETWORKDAYS(MAX($H73,ASOF,X$72),MIN(MAX($I73,ASOF),X$72+6),HOLIDAYS)))</f>
        <v>0</v>
      </c>
      <c r="Y73" s="289" t="n">
        <f aca="false">IF($L73=0,0,$L73*MAX(0,NETWORKDAYS(MAX($H73,ASOF,Y$72),MIN(MAX($I73,ASOF),Y$72+6),HOLIDAYS)))</f>
        <v>0</v>
      </c>
      <c r="Z73" s="289" t="n">
        <f aca="false">IF($L73=0,0,$L73*MAX(0,NETWORKDAYS(MAX($H73,ASOF,Z$72),MIN(MAX($I73,ASOF),Z$72+6),HOLIDAYS)))</f>
        <v>0</v>
      </c>
      <c r="AA73" s="289" t="n">
        <f aca="false">IF($L73=0,0,$L73*MAX(0,NETWORKDAYS(MAX($H73,ASOF,AA$72),MIN(MAX($I73,ASOF),AA$72+6),HOLIDAYS)))</f>
        <v>0</v>
      </c>
      <c r="AB73" s="289" t="n">
        <f aca="false">IF($L73=0,0,$L73*MAX(0,NETWORKDAYS(MAX($H73,ASOF,AB$72),MIN(MAX($I73,ASOF),AB$72+6),HOLIDAYS)))</f>
        <v>0</v>
      </c>
      <c r="AC73" s="289" t="n">
        <f aca="false">IF($L73=0,0,$L73*MAX(0,NETWORKDAYS(MAX($H73,ASOF,AC$72),MIN(MAX($I73,ASOF),AC$72+6),HOLIDAYS)))</f>
        <v>0</v>
      </c>
      <c r="AD73" s="289" t="n">
        <f aca="false">IF($L73=0,0,$L73*MAX(0,NETWORKDAYS(MAX($H73,ASOF,AD$72),MIN(MAX($I73,ASOF),AD$72+6),HOLIDAYS)))</f>
        <v>0</v>
      </c>
      <c r="AE73" s="289" t="n">
        <f aca="false">IF($L73=0,0,$L73*MAX(0,NETWORKDAYS(MAX($H73,ASOF,AE$72),MIN(MAX($I73,ASOF),AE$72+6),HOLIDAYS)))</f>
        <v>0</v>
      </c>
      <c r="AF73" s="289" t="n">
        <f aca="false">IF($L73=0,0,$L73*MAX(0,NETWORKDAYS(MAX($H73,ASOF,AF$72),MIN(MAX($I73,ASOF),AF$72+6),HOLIDAYS)))</f>
        <v>0</v>
      </c>
      <c r="AG73" s="289" t="n">
        <f aca="false">IF($L73=0,0,$L73*MAX(0,NETWORKDAYS(MAX($H73,ASOF,AG$72),MIN(MAX($I73,ASOF),AG$72+6),HOLIDAYS)))</f>
        <v>0</v>
      </c>
      <c r="AH73" s="289" t="n">
        <f aca="false">IF($L73=0,0,$L73*MAX(0,NETWORKDAYS(MAX($H73,ASOF,AH$72),MIN(MAX($I73,ASOF),AH$72+6),HOLIDAYS)))</f>
        <v>0</v>
      </c>
      <c r="AI73" s="289" t="n">
        <f aca="false">IF($L73=0,0,$L73*MAX(0,NETWORKDAYS(MAX($H73,ASOF,AI$72),MIN(MAX($I73,ASOF),AI$72+6),HOLIDAYS)))</f>
        <v>0</v>
      </c>
      <c r="AJ73" s="289" t="n">
        <f aca="false">IF($L73=0,0,$L73*MAX(0,NETWORKDAYS(MAX($H73,ASOF,AJ$72),MIN(MAX($I73,ASOF),AJ$72+6),HOLIDAYS)))</f>
        <v>0</v>
      </c>
      <c r="AK73" s="289" t="n">
        <f aca="false">IF($L73=0,0,$L73*MAX(0,NETWORKDAYS(MAX($H73,ASOF,AK$72),MIN(MAX($I73,ASOF),AK$72+6),HOLIDAYS)))</f>
        <v>0</v>
      </c>
      <c r="AL73" s="289" t="n">
        <f aca="false">IF($L73=0,0,$L73*MAX(0,NETWORKDAYS(MAX($H73,ASOF,AL$72),MIN(MAX($I73,ASOF),AL$72+6),HOLIDAYS)))</f>
        <v>0</v>
      </c>
      <c r="AM73" s="289" t="n">
        <f aca="false">IF($L73=0,0,$L73*MAX(0,NETWORKDAYS(MAX($H73,ASOF,AM$72),MIN(MAX($I73,ASOF),AM$72+6),HOLIDAYS)))</f>
        <v>0</v>
      </c>
      <c r="AN73" s="289" t="n">
        <f aca="false">IF($L73=0,0,$L73*MAX(0,NETWORKDAYS(MAX($H73,ASOF,AN$72),MIN(MAX($I73,ASOF),AN$72+6),HOLIDAYS)))</f>
        <v>0</v>
      </c>
      <c r="AO73" s="289" t="n">
        <f aca="false">IF($L73=0,0,$L73*MAX(0,NETWORKDAYS(MAX($H73,ASOF,AO$72),MIN(MAX($I73,ASOF),AO$72+6),HOLIDAYS)))</f>
        <v>0</v>
      </c>
      <c r="AP73" s="289" t="n">
        <f aca="false">IF($L73=0,0,$L73*MAX(0,NETWORKDAYS(MAX($H73,ASOF,AP$72),MIN(MAX($I73,ASOF),AP$72+6),HOLIDAYS)))</f>
        <v>0</v>
      </c>
      <c r="AQ73" s="289" t="n">
        <f aca="false">IF($L73=0,0,$L73*MAX(0,NETWORKDAYS(MAX($H73,ASOF,AQ$72),MIN(MAX($I73,ASOF),AQ$72+6),HOLIDAYS)))</f>
        <v>0</v>
      </c>
      <c r="AR73" s="289" t="n">
        <f aca="false">IF($L73=0,0,$L73*MAX(0,NETWORKDAYS(MAX($H73,ASOF,AR$72),MIN(MAX($I73,ASOF),AR$72+6),HOLIDAYS)))</f>
        <v>0</v>
      </c>
    </row>
    <row r="74" customFormat="false" ht="15" hidden="false" customHeight="false" outlineLevel="1" collapsed="false">
      <c r="A74" s="282" t="s">
        <v>42</v>
      </c>
      <c r="B74" s="283" t="s">
        <v>44</v>
      </c>
      <c r="C74" s="284" t="s">
        <v>2360</v>
      </c>
      <c r="D74" s="284" t="s">
        <v>2284</v>
      </c>
      <c r="E74" s="285" t="n">
        <v>150.48</v>
      </c>
      <c r="F74" s="283" t="s">
        <v>527</v>
      </c>
      <c r="G74" s="285" t="n">
        <f aca="false">$F$6*(E74/$G$6+$H$6)</f>
        <v>14.286</v>
      </c>
      <c r="H74" s="286" t="n">
        <f aca="false">IF(ISNUMBER('P9-001'!$N$70),'P9-001'!$N$70,"")</f>
        <v>46343</v>
      </c>
      <c r="I74" s="286" t="n">
        <f aca="false">IF(ISNUMBER('P9-001'!$O$70),'P9-001'!$O$70,"")</f>
        <v>46346</v>
      </c>
      <c r="J74" s="287" t="n">
        <f aca="false">IF(OR(H74="",I74="",N74&gt;=1),0,MAX(1,NETWORKDAYS(MAX(H74,ASOF),MAX(I74,ASOF),HOLIDAYS)))</f>
        <v>4</v>
      </c>
      <c r="K74" s="287" t="n">
        <f aca="false">IF(L74=0,0,ROUNDUP(L74/$F$6,0))</f>
        <v>2</v>
      </c>
      <c r="L74" s="285" t="n">
        <f aca="false">IF(J74=0,0,G74*(1-N74)/J74)</f>
        <v>3.5715</v>
      </c>
      <c r="M74" s="283" t="s">
        <v>987</v>
      </c>
      <c r="N74" s="288" t="n">
        <f aca="false">IFERROR(MIN(1,'P9-001'!$V$70)+0,0)</f>
        <v>0</v>
      </c>
      <c r="O74" s="289" t="n">
        <f aca="false">IF($L74=0,0,$L74*MAX(0,NETWORKDAYS(MAX($H74,ASOF,O$72),MIN(MAX($I74,ASOF),O$72+6),HOLIDAYS)))</f>
        <v>0</v>
      </c>
      <c r="P74" s="289" t="n">
        <f aca="false">IF($L74=0,0,$L74*MAX(0,NETWORKDAYS(MAX($H74,ASOF,P$72),MIN(MAX($I74,ASOF),P$72+6),HOLIDAYS)))</f>
        <v>0</v>
      </c>
      <c r="Q74" s="289" t="n">
        <f aca="false">IF($L74=0,0,$L74*MAX(0,NETWORKDAYS(MAX($H74,ASOF,Q$72),MIN(MAX($I74,ASOF),Q$72+6),HOLIDAYS)))</f>
        <v>14.286</v>
      </c>
      <c r="R74" s="289" t="n">
        <f aca="false">IF($L74=0,0,$L74*MAX(0,NETWORKDAYS(MAX($H74,ASOF,R$72),MIN(MAX($I74,ASOF),R$72+6),HOLIDAYS)))</f>
        <v>0</v>
      </c>
      <c r="S74" s="289" t="n">
        <f aca="false">IF($L74=0,0,$L74*MAX(0,NETWORKDAYS(MAX($H74,ASOF,S$72),MIN(MAX($I74,ASOF),S$72+6),HOLIDAYS)))</f>
        <v>0</v>
      </c>
      <c r="T74" s="289" t="n">
        <f aca="false">IF($L74=0,0,$L74*MAX(0,NETWORKDAYS(MAX($H74,ASOF,T$72),MIN(MAX($I74,ASOF),T$72+6),HOLIDAYS)))</f>
        <v>0</v>
      </c>
      <c r="U74" s="289" t="n">
        <f aca="false">IF($L74=0,0,$L74*MAX(0,NETWORKDAYS(MAX($H74,ASOF,U$72),MIN(MAX($I74,ASOF),U$72+6),HOLIDAYS)))</f>
        <v>0</v>
      </c>
      <c r="V74" s="289" t="n">
        <f aca="false">IF($L74=0,0,$L74*MAX(0,NETWORKDAYS(MAX($H74,ASOF,V$72),MIN(MAX($I74,ASOF),V$72+6),HOLIDAYS)))</f>
        <v>0</v>
      </c>
      <c r="W74" s="289" t="n">
        <f aca="false">IF($L74=0,0,$L74*MAX(0,NETWORKDAYS(MAX($H74,ASOF,W$72),MIN(MAX($I74,ASOF),W$72+6),HOLIDAYS)))</f>
        <v>0</v>
      </c>
      <c r="X74" s="289" t="n">
        <f aca="false">IF($L74=0,0,$L74*MAX(0,NETWORKDAYS(MAX($H74,ASOF,X$72),MIN(MAX($I74,ASOF),X$72+6),HOLIDAYS)))</f>
        <v>0</v>
      </c>
      <c r="Y74" s="289" t="n">
        <f aca="false">IF($L74=0,0,$L74*MAX(0,NETWORKDAYS(MAX($H74,ASOF,Y$72),MIN(MAX($I74,ASOF),Y$72+6),HOLIDAYS)))</f>
        <v>0</v>
      </c>
      <c r="Z74" s="289" t="n">
        <f aca="false">IF($L74=0,0,$L74*MAX(0,NETWORKDAYS(MAX($H74,ASOF,Z$72),MIN(MAX($I74,ASOF),Z$72+6),HOLIDAYS)))</f>
        <v>0</v>
      </c>
      <c r="AA74" s="289" t="n">
        <f aca="false">IF($L74=0,0,$L74*MAX(0,NETWORKDAYS(MAX($H74,ASOF,AA$72),MIN(MAX($I74,ASOF),AA$72+6),HOLIDAYS)))</f>
        <v>0</v>
      </c>
      <c r="AB74" s="289" t="n">
        <f aca="false">IF($L74=0,0,$L74*MAX(0,NETWORKDAYS(MAX($H74,ASOF,AB$72),MIN(MAX($I74,ASOF),AB$72+6),HOLIDAYS)))</f>
        <v>0</v>
      </c>
      <c r="AC74" s="289" t="n">
        <f aca="false">IF($L74=0,0,$L74*MAX(0,NETWORKDAYS(MAX($H74,ASOF,AC$72),MIN(MAX($I74,ASOF),AC$72+6),HOLIDAYS)))</f>
        <v>0</v>
      </c>
      <c r="AD74" s="289" t="n">
        <f aca="false">IF($L74=0,0,$L74*MAX(0,NETWORKDAYS(MAX($H74,ASOF,AD$72),MIN(MAX($I74,ASOF),AD$72+6),HOLIDAYS)))</f>
        <v>0</v>
      </c>
      <c r="AE74" s="289" t="n">
        <f aca="false">IF($L74=0,0,$L74*MAX(0,NETWORKDAYS(MAX($H74,ASOF,AE$72),MIN(MAX($I74,ASOF),AE$72+6),HOLIDAYS)))</f>
        <v>0</v>
      </c>
      <c r="AF74" s="289" t="n">
        <f aca="false">IF($L74=0,0,$L74*MAX(0,NETWORKDAYS(MAX($H74,ASOF,AF$72),MIN(MAX($I74,ASOF),AF$72+6),HOLIDAYS)))</f>
        <v>0</v>
      </c>
      <c r="AG74" s="289" t="n">
        <f aca="false">IF($L74=0,0,$L74*MAX(0,NETWORKDAYS(MAX($H74,ASOF,AG$72),MIN(MAX($I74,ASOF),AG$72+6),HOLIDAYS)))</f>
        <v>0</v>
      </c>
      <c r="AH74" s="289" t="n">
        <f aca="false">IF($L74=0,0,$L74*MAX(0,NETWORKDAYS(MAX($H74,ASOF,AH$72),MIN(MAX($I74,ASOF),AH$72+6),HOLIDAYS)))</f>
        <v>0</v>
      </c>
      <c r="AI74" s="289" t="n">
        <f aca="false">IF($L74=0,0,$L74*MAX(0,NETWORKDAYS(MAX($H74,ASOF,AI$72),MIN(MAX($I74,ASOF),AI$72+6),HOLIDAYS)))</f>
        <v>0</v>
      </c>
      <c r="AJ74" s="289" t="n">
        <f aca="false">IF($L74=0,0,$L74*MAX(0,NETWORKDAYS(MAX($H74,ASOF,AJ$72),MIN(MAX($I74,ASOF),AJ$72+6),HOLIDAYS)))</f>
        <v>0</v>
      </c>
      <c r="AK74" s="289" t="n">
        <f aca="false">IF($L74=0,0,$L74*MAX(0,NETWORKDAYS(MAX($H74,ASOF,AK$72),MIN(MAX($I74,ASOF),AK$72+6),HOLIDAYS)))</f>
        <v>0</v>
      </c>
      <c r="AL74" s="289" t="n">
        <f aca="false">IF($L74=0,0,$L74*MAX(0,NETWORKDAYS(MAX($H74,ASOF,AL$72),MIN(MAX($I74,ASOF),AL$72+6),HOLIDAYS)))</f>
        <v>0</v>
      </c>
      <c r="AM74" s="289" t="n">
        <f aca="false">IF($L74=0,0,$L74*MAX(0,NETWORKDAYS(MAX($H74,ASOF,AM$72),MIN(MAX($I74,ASOF),AM$72+6),HOLIDAYS)))</f>
        <v>0</v>
      </c>
      <c r="AN74" s="289" t="n">
        <f aca="false">IF($L74=0,0,$L74*MAX(0,NETWORKDAYS(MAX($H74,ASOF,AN$72),MIN(MAX($I74,ASOF),AN$72+6),HOLIDAYS)))</f>
        <v>0</v>
      </c>
      <c r="AO74" s="289" t="n">
        <f aca="false">IF($L74=0,0,$L74*MAX(0,NETWORKDAYS(MAX($H74,ASOF,AO$72),MIN(MAX($I74,ASOF),AO$72+6),HOLIDAYS)))</f>
        <v>0</v>
      </c>
      <c r="AP74" s="289" t="n">
        <f aca="false">IF($L74=0,0,$L74*MAX(0,NETWORKDAYS(MAX($H74,ASOF,AP$72),MIN(MAX($I74,ASOF),AP$72+6),HOLIDAYS)))</f>
        <v>0</v>
      </c>
      <c r="AQ74" s="289" t="n">
        <f aca="false">IF($L74=0,0,$L74*MAX(0,NETWORKDAYS(MAX($H74,ASOF,AQ$72),MIN(MAX($I74,ASOF),AQ$72+6),HOLIDAYS)))</f>
        <v>0</v>
      </c>
      <c r="AR74" s="289" t="n">
        <f aca="false">IF($L74=0,0,$L74*MAX(0,NETWORKDAYS(MAX($H74,ASOF,AR$72),MIN(MAX($I74,ASOF),AR$72+6),HOLIDAYS)))</f>
        <v>0</v>
      </c>
    </row>
    <row r="75" customFormat="false" ht="15" hidden="false" customHeight="false" outlineLevel="1" collapsed="false">
      <c r="A75" s="282" t="s">
        <v>42</v>
      </c>
      <c r="B75" s="283" t="s">
        <v>44</v>
      </c>
      <c r="C75" s="284" t="s">
        <v>2361</v>
      </c>
      <c r="D75" s="284" t="s">
        <v>2280</v>
      </c>
      <c r="E75" s="285" t="n">
        <v>150.48</v>
      </c>
      <c r="F75" s="283" t="s">
        <v>527</v>
      </c>
      <c r="G75" s="285" t="n">
        <f aca="false">$F$7*(E75/$G$7+$H$7)</f>
        <v>19.1977142857143</v>
      </c>
      <c r="H75" s="286" t="n">
        <f aca="false">IF(ISNUMBER('P9-001'!$N$76),'P9-001'!$N$76,"")</f>
        <v>46342</v>
      </c>
      <c r="I75" s="286" t="n">
        <f aca="false">IF(ISNUMBER('P9-001'!$O$76),'P9-001'!$O$76,"")</f>
        <v>46347</v>
      </c>
      <c r="J75" s="287" t="n">
        <f aca="false">IF(OR(H75="",I75="",N75&gt;=1),0,MAX(1,NETWORKDAYS(MAX(H75,ASOF),MAX(I75,ASOF),HOLIDAYS)))</f>
        <v>5</v>
      </c>
      <c r="K75" s="287" t="n">
        <f aca="false">IF(L75=0,0,ROUNDUP(L75/$F$7,0))</f>
        <v>1</v>
      </c>
      <c r="L75" s="285" t="n">
        <f aca="false">IF(J75=0,0,G75*(1-N75)/J75)</f>
        <v>3.83954285714286</v>
      </c>
      <c r="M75" s="283" t="s">
        <v>1037</v>
      </c>
      <c r="N75" s="288" t="n">
        <f aca="false">IFERROR(MIN(1,'P9-001'!$V$76)+0,0)</f>
        <v>0</v>
      </c>
      <c r="O75" s="289" t="n">
        <f aca="false">IF($L75=0,0,$L75*MAX(0,NETWORKDAYS(MAX($H75,ASOF,O$72),MIN(MAX($I75,ASOF),O$72+6),HOLIDAYS)))</f>
        <v>0</v>
      </c>
      <c r="P75" s="289" t="n">
        <f aca="false">IF($L75=0,0,$L75*MAX(0,NETWORKDAYS(MAX($H75,ASOF,P$72),MIN(MAX($I75,ASOF),P$72+6),HOLIDAYS)))</f>
        <v>0</v>
      </c>
      <c r="Q75" s="289" t="n">
        <f aca="false">IF($L75=0,0,$L75*MAX(0,NETWORKDAYS(MAX($H75,ASOF,Q$72),MIN(MAX($I75,ASOF),Q$72+6),HOLIDAYS)))</f>
        <v>19.1977142857143</v>
      </c>
      <c r="R75" s="289" t="n">
        <f aca="false">IF($L75=0,0,$L75*MAX(0,NETWORKDAYS(MAX($H75,ASOF,R$72),MIN(MAX($I75,ASOF),R$72+6),HOLIDAYS)))</f>
        <v>0</v>
      </c>
      <c r="S75" s="289" t="n">
        <f aca="false">IF($L75=0,0,$L75*MAX(0,NETWORKDAYS(MAX($H75,ASOF,S$72),MIN(MAX($I75,ASOF),S$72+6),HOLIDAYS)))</f>
        <v>0</v>
      </c>
      <c r="T75" s="289" t="n">
        <f aca="false">IF($L75=0,0,$L75*MAX(0,NETWORKDAYS(MAX($H75,ASOF,T$72),MIN(MAX($I75,ASOF),T$72+6),HOLIDAYS)))</f>
        <v>0</v>
      </c>
      <c r="U75" s="289" t="n">
        <f aca="false">IF($L75=0,0,$L75*MAX(0,NETWORKDAYS(MAX($H75,ASOF,U$72),MIN(MAX($I75,ASOF),U$72+6),HOLIDAYS)))</f>
        <v>0</v>
      </c>
      <c r="V75" s="289" t="n">
        <f aca="false">IF($L75=0,0,$L75*MAX(0,NETWORKDAYS(MAX($H75,ASOF,V$72),MIN(MAX($I75,ASOF),V$72+6),HOLIDAYS)))</f>
        <v>0</v>
      </c>
      <c r="W75" s="289" t="n">
        <f aca="false">IF($L75=0,0,$L75*MAX(0,NETWORKDAYS(MAX($H75,ASOF,W$72),MIN(MAX($I75,ASOF),W$72+6),HOLIDAYS)))</f>
        <v>0</v>
      </c>
      <c r="X75" s="289" t="n">
        <f aca="false">IF($L75=0,0,$L75*MAX(0,NETWORKDAYS(MAX($H75,ASOF,X$72),MIN(MAX($I75,ASOF),X$72+6),HOLIDAYS)))</f>
        <v>0</v>
      </c>
      <c r="Y75" s="289" t="n">
        <f aca="false">IF($L75=0,0,$L75*MAX(0,NETWORKDAYS(MAX($H75,ASOF,Y$72),MIN(MAX($I75,ASOF),Y$72+6),HOLIDAYS)))</f>
        <v>0</v>
      </c>
      <c r="Z75" s="289" t="n">
        <f aca="false">IF($L75=0,0,$L75*MAX(0,NETWORKDAYS(MAX($H75,ASOF,Z$72),MIN(MAX($I75,ASOF),Z$72+6),HOLIDAYS)))</f>
        <v>0</v>
      </c>
      <c r="AA75" s="289" t="n">
        <f aca="false">IF($L75=0,0,$L75*MAX(0,NETWORKDAYS(MAX($H75,ASOF,AA$72),MIN(MAX($I75,ASOF),AA$72+6),HOLIDAYS)))</f>
        <v>0</v>
      </c>
      <c r="AB75" s="289" t="n">
        <f aca="false">IF($L75=0,0,$L75*MAX(0,NETWORKDAYS(MAX($H75,ASOF,AB$72),MIN(MAX($I75,ASOF),AB$72+6),HOLIDAYS)))</f>
        <v>0</v>
      </c>
      <c r="AC75" s="289" t="n">
        <f aca="false">IF($L75=0,0,$L75*MAX(0,NETWORKDAYS(MAX($H75,ASOF,AC$72),MIN(MAX($I75,ASOF),AC$72+6),HOLIDAYS)))</f>
        <v>0</v>
      </c>
      <c r="AD75" s="289" t="n">
        <f aca="false">IF($L75=0,0,$L75*MAX(0,NETWORKDAYS(MAX($H75,ASOF,AD$72),MIN(MAX($I75,ASOF),AD$72+6),HOLIDAYS)))</f>
        <v>0</v>
      </c>
      <c r="AE75" s="289" t="n">
        <f aca="false">IF($L75=0,0,$L75*MAX(0,NETWORKDAYS(MAX($H75,ASOF,AE$72),MIN(MAX($I75,ASOF),AE$72+6),HOLIDAYS)))</f>
        <v>0</v>
      </c>
      <c r="AF75" s="289" t="n">
        <f aca="false">IF($L75=0,0,$L75*MAX(0,NETWORKDAYS(MAX($H75,ASOF,AF$72),MIN(MAX($I75,ASOF),AF$72+6),HOLIDAYS)))</f>
        <v>0</v>
      </c>
      <c r="AG75" s="289" t="n">
        <f aca="false">IF($L75=0,0,$L75*MAX(0,NETWORKDAYS(MAX($H75,ASOF,AG$72),MIN(MAX($I75,ASOF),AG$72+6),HOLIDAYS)))</f>
        <v>0</v>
      </c>
      <c r="AH75" s="289" t="n">
        <f aca="false">IF($L75=0,0,$L75*MAX(0,NETWORKDAYS(MAX($H75,ASOF,AH$72),MIN(MAX($I75,ASOF),AH$72+6),HOLIDAYS)))</f>
        <v>0</v>
      </c>
      <c r="AI75" s="289" t="n">
        <f aca="false">IF($L75=0,0,$L75*MAX(0,NETWORKDAYS(MAX($H75,ASOF,AI$72),MIN(MAX($I75,ASOF),AI$72+6),HOLIDAYS)))</f>
        <v>0</v>
      </c>
      <c r="AJ75" s="289" t="n">
        <f aca="false">IF($L75=0,0,$L75*MAX(0,NETWORKDAYS(MAX($H75,ASOF,AJ$72),MIN(MAX($I75,ASOF),AJ$72+6),HOLIDAYS)))</f>
        <v>0</v>
      </c>
      <c r="AK75" s="289" t="n">
        <f aca="false">IF($L75=0,0,$L75*MAX(0,NETWORKDAYS(MAX($H75,ASOF,AK$72),MIN(MAX($I75,ASOF),AK$72+6),HOLIDAYS)))</f>
        <v>0</v>
      </c>
      <c r="AL75" s="289" t="n">
        <f aca="false">IF($L75=0,0,$L75*MAX(0,NETWORKDAYS(MAX($H75,ASOF,AL$72),MIN(MAX($I75,ASOF),AL$72+6),HOLIDAYS)))</f>
        <v>0</v>
      </c>
      <c r="AM75" s="289" t="n">
        <f aca="false">IF($L75=0,0,$L75*MAX(0,NETWORKDAYS(MAX($H75,ASOF,AM$72),MIN(MAX($I75,ASOF),AM$72+6),HOLIDAYS)))</f>
        <v>0</v>
      </c>
      <c r="AN75" s="289" t="n">
        <f aca="false">IF($L75=0,0,$L75*MAX(0,NETWORKDAYS(MAX($H75,ASOF,AN$72),MIN(MAX($I75,ASOF),AN$72+6),HOLIDAYS)))</f>
        <v>0</v>
      </c>
      <c r="AO75" s="289" t="n">
        <f aca="false">IF($L75=0,0,$L75*MAX(0,NETWORKDAYS(MAX($H75,ASOF,AO$72),MIN(MAX($I75,ASOF),AO$72+6),HOLIDAYS)))</f>
        <v>0</v>
      </c>
      <c r="AP75" s="289" t="n">
        <f aca="false">IF($L75=0,0,$L75*MAX(0,NETWORKDAYS(MAX($H75,ASOF,AP$72),MIN(MAX($I75,ASOF),AP$72+6),HOLIDAYS)))</f>
        <v>0</v>
      </c>
      <c r="AQ75" s="289" t="n">
        <f aca="false">IF($L75=0,0,$L75*MAX(0,NETWORKDAYS(MAX($H75,ASOF,AQ$72),MIN(MAX($I75,ASOF),AQ$72+6),HOLIDAYS)))</f>
        <v>0</v>
      </c>
      <c r="AR75" s="289" t="n">
        <f aca="false">IF($L75=0,0,$L75*MAX(0,NETWORKDAYS(MAX($H75,ASOF,AR$72),MIN(MAX($I75,ASOF),AR$72+6),HOLIDAYS)))</f>
        <v>0</v>
      </c>
    </row>
    <row r="76" customFormat="false" ht="15" hidden="false" customHeight="false" outlineLevel="1" collapsed="false">
      <c r="A76" s="282" t="s">
        <v>42</v>
      </c>
      <c r="B76" s="283" t="s">
        <v>44</v>
      </c>
      <c r="C76" s="284" t="s">
        <v>2362</v>
      </c>
      <c r="D76" s="284" t="s">
        <v>2284</v>
      </c>
      <c r="E76" s="285" t="n">
        <v>1</v>
      </c>
      <c r="F76" s="290" t="s">
        <v>35</v>
      </c>
      <c r="G76" s="285" t="n">
        <f aca="false">$F$8*$H$8</f>
        <v>2</v>
      </c>
      <c r="H76" s="286" t="n">
        <f aca="false">IF(ISNUMBER('P9-001'!$N$82),'P9-001'!$N$82,"")</f>
        <v>46345</v>
      </c>
      <c r="I76" s="286" t="n">
        <f aca="false">IF(ISNUMBER('P9-001'!$O$82),'P9-001'!$O$82,"")</f>
        <v>46347</v>
      </c>
      <c r="J76" s="287" t="n">
        <f aca="false">IF(OR(H76="",I76="",N76&gt;=1),0,MAX(1,NETWORKDAYS(MAX(H76,ASOF),MAX(I76,ASOF),HOLIDAYS)))</f>
        <v>2</v>
      </c>
      <c r="K76" s="287" t="n">
        <f aca="false">IF(L76=0,0,ROUNDUP(L76/$F$8,0))</f>
        <v>1</v>
      </c>
      <c r="L76" s="285" t="n">
        <f aca="false">IF(J76=0,0,G76*(1-N76)/J76)</f>
        <v>1</v>
      </c>
      <c r="M76" s="283" t="s">
        <v>1063</v>
      </c>
      <c r="N76" s="288" t="n">
        <f aca="false">IFERROR(MIN(1,'P9-001'!$V$82)+0,0)</f>
        <v>0</v>
      </c>
      <c r="O76" s="289" t="n">
        <f aca="false">IF($L76=0,0,$L76*MAX(0,NETWORKDAYS(MAX($H76,ASOF,O$72),MIN(MAX($I76,ASOF),O$72+6),HOLIDAYS)))</f>
        <v>0</v>
      </c>
      <c r="P76" s="289" t="n">
        <f aca="false">IF($L76=0,0,$L76*MAX(0,NETWORKDAYS(MAX($H76,ASOF,P$72),MIN(MAX($I76,ASOF),P$72+6),HOLIDAYS)))</f>
        <v>0</v>
      </c>
      <c r="Q76" s="289" t="n">
        <f aca="false">IF($L76=0,0,$L76*MAX(0,NETWORKDAYS(MAX($H76,ASOF,Q$72),MIN(MAX($I76,ASOF),Q$72+6),HOLIDAYS)))</f>
        <v>2</v>
      </c>
      <c r="R76" s="289" t="n">
        <f aca="false">IF($L76=0,0,$L76*MAX(0,NETWORKDAYS(MAX($H76,ASOF,R$72),MIN(MAX($I76,ASOF),R$72+6),HOLIDAYS)))</f>
        <v>0</v>
      </c>
      <c r="S76" s="289" t="n">
        <f aca="false">IF($L76=0,0,$L76*MAX(0,NETWORKDAYS(MAX($H76,ASOF,S$72),MIN(MAX($I76,ASOF),S$72+6),HOLIDAYS)))</f>
        <v>0</v>
      </c>
      <c r="T76" s="289" t="n">
        <f aca="false">IF($L76=0,0,$L76*MAX(0,NETWORKDAYS(MAX($H76,ASOF,T$72),MIN(MAX($I76,ASOF),T$72+6),HOLIDAYS)))</f>
        <v>0</v>
      </c>
      <c r="U76" s="289" t="n">
        <f aca="false">IF($L76=0,0,$L76*MAX(0,NETWORKDAYS(MAX($H76,ASOF,U$72),MIN(MAX($I76,ASOF),U$72+6),HOLIDAYS)))</f>
        <v>0</v>
      </c>
      <c r="V76" s="289" t="n">
        <f aca="false">IF($L76=0,0,$L76*MAX(0,NETWORKDAYS(MAX($H76,ASOF,V$72),MIN(MAX($I76,ASOF),V$72+6),HOLIDAYS)))</f>
        <v>0</v>
      </c>
      <c r="W76" s="289" t="n">
        <f aca="false">IF($L76=0,0,$L76*MAX(0,NETWORKDAYS(MAX($H76,ASOF,W$72),MIN(MAX($I76,ASOF),W$72+6),HOLIDAYS)))</f>
        <v>0</v>
      </c>
      <c r="X76" s="289" t="n">
        <f aca="false">IF($L76=0,0,$L76*MAX(0,NETWORKDAYS(MAX($H76,ASOF,X$72),MIN(MAX($I76,ASOF),X$72+6),HOLIDAYS)))</f>
        <v>0</v>
      </c>
      <c r="Y76" s="289" t="n">
        <f aca="false">IF($L76=0,0,$L76*MAX(0,NETWORKDAYS(MAX($H76,ASOF,Y$72),MIN(MAX($I76,ASOF),Y$72+6),HOLIDAYS)))</f>
        <v>0</v>
      </c>
      <c r="Z76" s="289" t="n">
        <f aca="false">IF($L76=0,0,$L76*MAX(0,NETWORKDAYS(MAX($H76,ASOF,Z$72),MIN(MAX($I76,ASOF),Z$72+6),HOLIDAYS)))</f>
        <v>0</v>
      </c>
      <c r="AA76" s="289" t="n">
        <f aca="false">IF($L76=0,0,$L76*MAX(0,NETWORKDAYS(MAX($H76,ASOF,AA$72),MIN(MAX($I76,ASOF),AA$72+6),HOLIDAYS)))</f>
        <v>0</v>
      </c>
      <c r="AB76" s="289" t="n">
        <f aca="false">IF($L76=0,0,$L76*MAX(0,NETWORKDAYS(MAX($H76,ASOF,AB$72),MIN(MAX($I76,ASOF),AB$72+6),HOLIDAYS)))</f>
        <v>0</v>
      </c>
      <c r="AC76" s="289" t="n">
        <f aca="false">IF($L76=0,0,$L76*MAX(0,NETWORKDAYS(MAX($H76,ASOF,AC$72),MIN(MAX($I76,ASOF),AC$72+6),HOLIDAYS)))</f>
        <v>0</v>
      </c>
      <c r="AD76" s="289" t="n">
        <f aca="false">IF($L76=0,0,$L76*MAX(0,NETWORKDAYS(MAX($H76,ASOF,AD$72),MIN(MAX($I76,ASOF),AD$72+6),HOLIDAYS)))</f>
        <v>0</v>
      </c>
      <c r="AE76" s="289" t="n">
        <f aca="false">IF($L76=0,0,$L76*MAX(0,NETWORKDAYS(MAX($H76,ASOF,AE$72),MIN(MAX($I76,ASOF),AE$72+6),HOLIDAYS)))</f>
        <v>0</v>
      </c>
      <c r="AF76" s="289" t="n">
        <f aca="false">IF($L76=0,0,$L76*MAX(0,NETWORKDAYS(MAX($H76,ASOF,AF$72),MIN(MAX($I76,ASOF),AF$72+6),HOLIDAYS)))</f>
        <v>0</v>
      </c>
      <c r="AG76" s="289" t="n">
        <f aca="false">IF($L76=0,0,$L76*MAX(0,NETWORKDAYS(MAX($H76,ASOF,AG$72),MIN(MAX($I76,ASOF),AG$72+6),HOLIDAYS)))</f>
        <v>0</v>
      </c>
      <c r="AH76" s="289" t="n">
        <f aca="false">IF($L76=0,0,$L76*MAX(0,NETWORKDAYS(MAX($H76,ASOF,AH$72),MIN(MAX($I76,ASOF),AH$72+6),HOLIDAYS)))</f>
        <v>0</v>
      </c>
      <c r="AI76" s="289" t="n">
        <f aca="false">IF($L76=0,0,$L76*MAX(0,NETWORKDAYS(MAX($H76,ASOF,AI$72),MIN(MAX($I76,ASOF),AI$72+6),HOLIDAYS)))</f>
        <v>0</v>
      </c>
      <c r="AJ76" s="289" t="n">
        <f aca="false">IF($L76=0,0,$L76*MAX(0,NETWORKDAYS(MAX($H76,ASOF,AJ$72),MIN(MAX($I76,ASOF),AJ$72+6),HOLIDAYS)))</f>
        <v>0</v>
      </c>
      <c r="AK76" s="289" t="n">
        <f aca="false">IF($L76=0,0,$L76*MAX(0,NETWORKDAYS(MAX($H76,ASOF,AK$72),MIN(MAX($I76,ASOF),AK$72+6),HOLIDAYS)))</f>
        <v>0</v>
      </c>
      <c r="AL76" s="289" t="n">
        <f aca="false">IF($L76=0,0,$L76*MAX(0,NETWORKDAYS(MAX($H76,ASOF,AL$72),MIN(MAX($I76,ASOF),AL$72+6),HOLIDAYS)))</f>
        <v>0</v>
      </c>
      <c r="AM76" s="289" t="n">
        <f aca="false">IF($L76=0,0,$L76*MAX(0,NETWORKDAYS(MAX($H76,ASOF,AM$72),MIN(MAX($I76,ASOF),AM$72+6),HOLIDAYS)))</f>
        <v>0</v>
      </c>
      <c r="AN76" s="289" t="n">
        <f aca="false">IF($L76=0,0,$L76*MAX(0,NETWORKDAYS(MAX($H76,ASOF,AN$72),MIN(MAX($I76,ASOF),AN$72+6),HOLIDAYS)))</f>
        <v>0</v>
      </c>
      <c r="AO76" s="289" t="n">
        <f aca="false">IF($L76=0,0,$L76*MAX(0,NETWORKDAYS(MAX($H76,ASOF,AO$72),MIN(MAX($I76,ASOF),AO$72+6),HOLIDAYS)))</f>
        <v>0</v>
      </c>
      <c r="AP76" s="289" t="n">
        <f aca="false">IF($L76=0,0,$L76*MAX(0,NETWORKDAYS(MAX($H76,ASOF,AP$72),MIN(MAX($I76,ASOF),AP$72+6),HOLIDAYS)))</f>
        <v>0</v>
      </c>
      <c r="AQ76" s="289" t="n">
        <f aca="false">IF($L76=0,0,$L76*MAX(0,NETWORKDAYS(MAX($H76,ASOF,AQ$72),MIN(MAX($I76,ASOF),AQ$72+6),HOLIDAYS)))</f>
        <v>0</v>
      </c>
      <c r="AR76" s="289" t="n">
        <f aca="false">IF($L76=0,0,$L76*MAX(0,NETWORKDAYS(MAX($H76,ASOF,AR$72),MIN(MAX($I76,ASOF),AR$72+6),HOLIDAYS)))</f>
        <v>0</v>
      </c>
    </row>
    <row r="77" customFormat="false" ht="15" hidden="false" customHeight="false" outlineLevel="1" collapsed="false">
      <c r="A77" s="282" t="s">
        <v>42</v>
      </c>
      <c r="B77" s="283" t="s">
        <v>44</v>
      </c>
      <c r="C77" s="284" t="s">
        <v>2363</v>
      </c>
      <c r="D77" s="284" t="s">
        <v>2290</v>
      </c>
      <c r="E77" s="285" t="n">
        <v>1</v>
      </c>
      <c r="F77" s="290" t="s">
        <v>35</v>
      </c>
      <c r="G77" s="285" t="n">
        <f aca="false">IF(IFERROR(INDEX(INVS_TYPE,MATCH("P9-001",INVS_ID,0)),"")="สร้างใหม่ (E09)",$F$9*$H$9,0)</f>
        <v>24</v>
      </c>
      <c r="H77" s="286" t="n">
        <f aca="false">IF(ISNUMBER('P9-001'!$N$85),'P9-001'!$N$85,"")</f>
        <v>46343</v>
      </c>
      <c r="I77" s="286" t="n">
        <f aca="false">IF(ISNUMBER('P9-001'!$O$85),'P9-001'!$O$85,"")</f>
        <v>46346</v>
      </c>
      <c r="J77" s="287" t="n">
        <f aca="false">IF(OR(H77="",I77="",N77&gt;=1),0,MAX(1,NETWORKDAYS(MAX(H77,ASOF),MAX(I77,ASOF),HOLIDAYS)))</f>
        <v>4</v>
      </c>
      <c r="K77" s="287" t="n">
        <f aca="false">IF(L77=0,0,ROUNDUP(L77/$F$9,0))</f>
        <v>2</v>
      </c>
      <c r="L77" s="285" t="n">
        <f aca="false">IF(J77=0,0,G77*(1-N77)/J77)</f>
        <v>6</v>
      </c>
      <c r="M77" s="283" t="s">
        <v>2288</v>
      </c>
      <c r="N77" s="288" t="n">
        <f aca="false">IFERROR(MIN(1,'P9-001'!$V$85)+0,0)</f>
        <v>0</v>
      </c>
      <c r="O77" s="289" t="n">
        <f aca="false">IF($L77=0,0,$L77*MAX(0,NETWORKDAYS(MAX($H77,ASOF,O$72),MIN(MAX($I77,ASOF),O$72+6),HOLIDAYS)))</f>
        <v>0</v>
      </c>
      <c r="P77" s="289" t="n">
        <f aca="false">IF($L77=0,0,$L77*MAX(0,NETWORKDAYS(MAX($H77,ASOF,P$72),MIN(MAX($I77,ASOF),P$72+6),HOLIDAYS)))</f>
        <v>0</v>
      </c>
      <c r="Q77" s="289" t="n">
        <f aca="false">IF($L77=0,0,$L77*MAX(0,NETWORKDAYS(MAX($H77,ASOF,Q$72),MIN(MAX($I77,ASOF),Q$72+6),HOLIDAYS)))</f>
        <v>24</v>
      </c>
      <c r="R77" s="289" t="n">
        <f aca="false">IF($L77=0,0,$L77*MAX(0,NETWORKDAYS(MAX($H77,ASOF,R$72),MIN(MAX($I77,ASOF),R$72+6),HOLIDAYS)))</f>
        <v>0</v>
      </c>
      <c r="S77" s="289" t="n">
        <f aca="false">IF($L77=0,0,$L77*MAX(0,NETWORKDAYS(MAX($H77,ASOF,S$72),MIN(MAX($I77,ASOF),S$72+6),HOLIDAYS)))</f>
        <v>0</v>
      </c>
      <c r="T77" s="289" t="n">
        <f aca="false">IF($L77=0,0,$L77*MAX(0,NETWORKDAYS(MAX($H77,ASOF,T$72),MIN(MAX($I77,ASOF),T$72+6),HOLIDAYS)))</f>
        <v>0</v>
      </c>
      <c r="U77" s="289" t="n">
        <f aca="false">IF($L77=0,0,$L77*MAX(0,NETWORKDAYS(MAX($H77,ASOF,U$72),MIN(MAX($I77,ASOF),U$72+6),HOLIDAYS)))</f>
        <v>0</v>
      </c>
      <c r="V77" s="289" t="n">
        <f aca="false">IF($L77=0,0,$L77*MAX(0,NETWORKDAYS(MAX($H77,ASOF,V$72),MIN(MAX($I77,ASOF),V$72+6),HOLIDAYS)))</f>
        <v>0</v>
      </c>
      <c r="W77" s="289" t="n">
        <f aca="false">IF($L77=0,0,$L77*MAX(0,NETWORKDAYS(MAX($H77,ASOF,W$72),MIN(MAX($I77,ASOF),W$72+6),HOLIDAYS)))</f>
        <v>0</v>
      </c>
      <c r="X77" s="289" t="n">
        <f aca="false">IF($L77=0,0,$L77*MAX(0,NETWORKDAYS(MAX($H77,ASOF,X$72),MIN(MAX($I77,ASOF),X$72+6),HOLIDAYS)))</f>
        <v>0</v>
      </c>
      <c r="Y77" s="289" t="n">
        <f aca="false">IF($L77=0,0,$L77*MAX(0,NETWORKDAYS(MAX($H77,ASOF,Y$72),MIN(MAX($I77,ASOF),Y$72+6),HOLIDAYS)))</f>
        <v>0</v>
      </c>
      <c r="Z77" s="289" t="n">
        <f aca="false">IF($L77=0,0,$L77*MAX(0,NETWORKDAYS(MAX($H77,ASOF,Z$72),MIN(MAX($I77,ASOF),Z$72+6),HOLIDAYS)))</f>
        <v>0</v>
      </c>
      <c r="AA77" s="289" t="n">
        <f aca="false">IF($L77=0,0,$L77*MAX(0,NETWORKDAYS(MAX($H77,ASOF,AA$72),MIN(MAX($I77,ASOF),AA$72+6),HOLIDAYS)))</f>
        <v>0</v>
      </c>
      <c r="AB77" s="289" t="n">
        <f aca="false">IF($L77=0,0,$L77*MAX(0,NETWORKDAYS(MAX($H77,ASOF,AB$72),MIN(MAX($I77,ASOF),AB$72+6),HOLIDAYS)))</f>
        <v>0</v>
      </c>
      <c r="AC77" s="289" t="n">
        <f aca="false">IF($L77=0,0,$L77*MAX(0,NETWORKDAYS(MAX($H77,ASOF,AC$72),MIN(MAX($I77,ASOF),AC$72+6),HOLIDAYS)))</f>
        <v>0</v>
      </c>
      <c r="AD77" s="289" t="n">
        <f aca="false">IF($L77=0,0,$L77*MAX(0,NETWORKDAYS(MAX($H77,ASOF,AD$72),MIN(MAX($I77,ASOF),AD$72+6),HOLIDAYS)))</f>
        <v>0</v>
      </c>
      <c r="AE77" s="289" t="n">
        <f aca="false">IF($L77=0,0,$L77*MAX(0,NETWORKDAYS(MAX($H77,ASOF,AE$72),MIN(MAX($I77,ASOF),AE$72+6),HOLIDAYS)))</f>
        <v>0</v>
      </c>
      <c r="AF77" s="289" t="n">
        <f aca="false">IF($L77=0,0,$L77*MAX(0,NETWORKDAYS(MAX($H77,ASOF,AF$72),MIN(MAX($I77,ASOF),AF$72+6),HOLIDAYS)))</f>
        <v>0</v>
      </c>
      <c r="AG77" s="289" t="n">
        <f aca="false">IF($L77=0,0,$L77*MAX(0,NETWORKDAYS(MAX($H77,ASOF,AG$72),MIN(MAX($I77,ASOF),AG$72+6),HOLIDAYS)))</f>
        <v>0</v>
      </c>
      <c r="AH77" s="289" t="n">
        <f aca="false">IF($L77=0,0,$L77*MAX(0,NETWORKDAYS(MAX($H77,ASOF,AH$72),MIN(MAX($I77,ASOF),AH$72+6),HOLIDAYS)))</f>
        <v>0</v>
      </c>
      <c r="AI77" s="289" t="n">
        <f aca="false">IF($L77=0,0,$L77*MAX(0,NETWORKDAYS(MAX($H77,ASOF,AI$72),MIN(MAX($I77,ASOF),AI$72+6),HOLIDAYS)))</f>
        <v>0</v>
      </c>
      <c r="AJ77" s="289" t="n">
        <f aca="false">IF($L77=0,0,$L77*MAX(0,NETWORKDAYS(MAX($H77,ASOF,AJ$72),MIN(MAX($I77,ASOF),AJ$72+6),HOLIDAYS)))</f>
        <v>0</v>
      </c>
      <c r="AK77" s="289" t="n">
        <f aca="false">IF($L77=0,0,$L77*MAX(0,NETWORKDAYS(MAX($H77,ASOF,AK$72),MIN(MAX($I77,ASOF),AK$72+6),HOLIDAYS)))</f>
        <v>0</v>
      </c>
      <c r="AL77" s="289" t="n">
        <f aca="false">IF($L77=0,0,$L77*MAX(0,NETWORKDAYS(MAX($H77,ASOF,AL$72),MIN(MAX($I77,ASOF),AL$72+6),HOLIDAYS)))</f>
        <v>0</v>
      </c>
      <c r="AM77" s="289" t="n">
        <f aca="false">IF($L77=0,0,$L77*MAX(0,NETWORKDAYS(MAX($H77,ASOF,AM$72),MIN(MAX($I77,ASOF),AM$72+6),HOLIDAYS)))</f>
        <v>0</v>
      </c>
      <c r="AN77" s="289" t="n">
        <f aca="false">IF($L77=0,0,$L77*MAX(0,NETWORKDAYS(MAX($H77,ASOF,AN$72),MIN(MAX($I77,ASOF),AN$72+6),HOLIDAYS)))</f>
        <v>0</v>
      </c>
      <c r="AO77" s="289" t="n">
        <f aca="false">IF($L77=0,0,$L77*MAX(0,NETWORKDAYS(MAX($H77,ASOF,AO$72),MIN(MAX($I77,ASOF),AO$72+6),HOLIDAYS)))</f>
        <v>0</v>
      </c>
      <c r="AP77" s="289" t="n">
        <f aca="false">IF($L77=0,0,$L77*MAX(0,NETWORKDAYS(MAX($H77,ASOF,AP$72),MIN(MAX($I77,ASOF),AP$72+6),HOLIDAYS)))</f>
        <v>0</v>
      </c>
      <c r="AQ77" s="289" t="n">
        <f aca="false">IF($L77=0,0,$L77*MAX(0,NETWORKDAYS(MAX($H77,ASOF,AQ$72),MIN(MAX($I77,ASOF),AQ$72+6),HOLIDAYS)))</f>
        <v>0</v>
      </c>
      <c r="AR77" s="289" t="n">
        <f aca="false">IF($L77=0,0,$L77*MAX(0,NETWORKDAYS(MAX($H77,ASOF,AR$72),MIN(MAX($I77,ASOF),AR$72+6),HOLIDAYS)))</f>
        <v>0</v>
      </c>
    </row>
    <row r="78" customFormat="false" ht="15" hidden="false" customHeight="false" outlineLevel="1" collapsed="false">
      <c r="A78" s="282" t="s">
        <v>42</v>
      </c>
      <c r="B78" s="283" t="s">
        <v>44</v>
      </c>
      <c r="C78" s="284" t="s">
        <v>2364</v>
      </c>
      <c r="D78" s="284" t="s">
        <v>2284</v>
      </c>
      <c r="E78" s="285" t="n">
        <f aca="false">IFERROR(INDEX(INVS_N,MATCH("P9-001",INVS_ID,0)),1)</f>
        <v>1</v>
      </c>
      <c r="F78" s="290" t="s">
        <v>2365</v>
      </c>
      <c r="G78" s="285" t="n">
        <f aca="false">$F$10*(E78/$G$10+$H$10)</f>
        <v>3</v>
      </c>
      <c r="H78" s="286" t="n">
        <f aca="false">IF(ISNUMBER('P9-001'!$N$85),'P9-001'!$N$85,"")</f>
        <v>46343</v>
      </c>
      <c r="I78" s="286" t="n">
        <f aca="false">IF(ISNUMBER('P9-001'!$O$85),'P9-001'!$O$85,"")</f>
        <v>46346</v>
      </c>
      <c r="J78" s="287" t="n">
        <f aca="false">IF(OR(H78="",I78="",N78&gt;=1),0,MAX(1,NETWORKDAYS(MAX(H78,ASOF),MAX(I78,ASOF),HOLIDAYS)))</f>
        <v>4</v>
      </c>
      <c r="K78" s="287" t="n">
        <f aca="false">IF(L78=0,0,ROUNDUP(L78/$F$10,0))</f>
        <v>1</v>
      </c>
      <c r="L78" s="285" t="n">
        <f aca="false">IF(J78=0,0,G78*(1-N78)/J78)</f>
        <v>0.75</v>
      </c>
      <c r="M78" s="283" t="s">
        <v>2293</v>
      </c>
      <c r="N78" s="288" t="n">
        <f aca="false">IFERROR(MIN(1,'P9-001'!$V$85)+0,0)</f>
        <v>0</v>
      </c>
      <c r="O78" s="289" t="n">
        <f aca="false">IF($L78=0,0,$L78*MAX(0,NETWORKDAYS(MAX($H78,ASOF,O$72),MIN(MAX($I78,ASOF),O$72+6),HOLIDAYS)))</f>
        <v>0</v>
      </c>
      <c r="P78" s="289" t="n">
        <f aca="false">IF($L78=0,0,$L78*MAX(0,NETWORKDAYS(MAX($H78,ASOF,P$72),MIN(MAX($I78,ASOF),P$72+6),HOLIDAYS)))</f>
        <v>0</v>
      </c>
      <c r="Q78" s="289" t="n">
        <f aca="false">IF($L78=0,0,$L78*MAX(0,NETWORKDAYS(MAX($H78,ASOF,Q$72),MIN(MAX($I78,ASOF),Q$72+6),HOLIDAYS)))</f>
        <v>3</v>
      </c>
      <c r="R78" s="289" t="n">
        <f aca="false">IF($L78=0,0,$L78*MAX(0,NETWORKDAYS(MAX($H78,ASOF,R$72),MIN(MAX($I78,ASOF),R$72+6),HOLIDAYS)))</f>
        <v>0</v>
      </c>
      <c r="S78" s="289" t="n">
        <f aca="false">IF($L78=0,0,$L78*MAX(0,NETWORKDAYS(MAX($H78,ASOF,S$72),MIN(MAX($I78,ASOF),S$72+6),HOLIDAYS)))</f>
        <v>0</v>
      </c>
      <c r="T78" s="289" t="n">
        <f aca="false">IF($L78=0,0,$L78*MAX(0,NETWORKDAYS(MAX($H78,ASOF,T$72),MIN(MAX($I78,ASOF),T$72+6),HOLIDAYS)))</f>
        <v>0</v>
      </c>
      <c r="U78" s="289" t="n">
        <f aca="false">IF($L78=0,0,$L78*MAX(0,NETWORKDAYS(MAX($H78,ASOF,U$72),MIN(MAX($I78,ASOF),U$72+6),HOLIDAYS)))</f>
        <v>0</v>
      </c>
      <c r="V78" s="289" t="n">
        <f aca="false">IF($L78=0,0,$L78*MAX(0,NETWORKDAYS(MAX($H78,ASOF,V$72),MIN(MAX($I78,ASOF),V$72+6),HOLIDAYS)))</f>
        <v>0</v>
      </c>
      <c r="W78" s="289" t="n">
        <f aca="false">IF($L78=0,0,$L78*MAX(0,NETWORKDAYS(MAX($H78,ASOF,W$72),MIN(MAX($I78,ASOF),W$72+6),HOLIDAYS)))</f>
        <v>0</v>
      </c>
      <c r="X78" s="289" t="n">
        <f aca="false">IF($L78=0,0,$L78*MAX(0,NETWORKDAYS(MAX($H78,ASOF,X$72),MIN(MAX($I78,ASOF),X$72+6),HOLIDAYS)))</f>
        <v>0</v>
      </c>
      <c r="Y78" s="289" t="n">
        <f aca="false">IF($L78=0,0,$L78*MAX(0,NETWORKDAYS(MAX($H78,ASOF,Y$72),MIN(MAX($I78,ASOF),Y$72+6),HOLIDAYS)))</f>
        <v>0</v>
      </c>
      <c r="Z78" s="289" t="n">
        <f aca="false">IF($L78=0,0,$L78*MAX(0,NETWORKDAYS(MAX($H78,ASOF,Z$72),MIN(MAX($I78,ASOF),Z$72+6),HOLIDAYS)))</f>
        <v>0</v>
      </c>
      <c r="AA78" s="289" t="n">
        <f aca="false">IF($L78=0,0,$L78*MAX(0,NETWORKDAYS(MAX($H78,ASOF,AA$72),MIN(MAX($I78,ASOF),AA$72+6),HOLIDAYS)))</f>
        <v>0</v>
      </c>
      <c r="AB78" s="289" t="n">
        <f aca="false">IF($L78=0,0,$L78*MAX(0,NETWORKDAYS(MAX($H78,ASOF,AB$72),MIN(MAX($I78,ASOF),AB$72+6),HOLIDAYS)))</f>
        <v>0</v>
      </c>
      <c r="AC78" s="289" t="n">
        <f aca="false">IF($L78=0,0,$L78*MAX(0,NETWORKDAYS(MAX($H78,ASOF,AC$72),MIN(MAX($I78,ASOF),AC$72+6),HOLIDAYS)))</f>
        <v>0</v>
      </c>
      <c r="AD78" s="289" t="n">
        <f aca="false">IF($L78=0,0,$L78*MAX(0,NETWORKDAYS(MAX($H78,ASOF,AD$72),MIN(MAX($I78,ASOF),AD$72+6),HOLIDAYS)))</f>
        <v>0</v>
      </c>
      <c r="AE78" s="289" t="n">
        <f aca="false">IF($L78=0,0,$L78*MAX(0,NETWORKDAYS(MAX($H78,ASOF,AE$72),MIN(MAX($I78,ASOF),AE$72+6),HOLIDAYS)))</f>
        <v>0</v>
      </c>
      <c r="AF78" s="289" t="n">
        <f aca="false">IF($L78=0,0,$L78*MAX(0,NETWORKDAYS(MAX($H78,ASOF,AF$72),MIN(MAX($I78,ASOF),AF$72+6),HOLIDAYS)))</f>
        <v>0</v>
      </c>
      <c r="AG78" s="289" t="n">
        <f aca="false">IF($L78=0,0,$L78*MAX(0,NETWORKDAYS(MAX($H78,ASOF,AG$72),MIN(MAX($I78,ASOF),AG$72+6),HOLIDAYS)))</f>
        <v>0</v>
      </c>
      <c r="AH78" s="289" t="n">
        <f aca="false">IF($L78=0,0,$L78*MAX(0,NETWORKDAYS(MAX($H78,ASOF,AH$72),MIN(MAX($I78,ASOF),AH$72+6),HOLIDAYS)))</f>
        <v>0</v>
      </c>
      <c r="AI78" s="289" t="n">
        <f aca="false">IF($L78=0,0,$L78*MAX(0,NETWORKDAYS(MAX($H78,ASOF,AI$72),MIN(MAX($I78,ASOF),AI$72+6),HOLIDAYS)))</f>
        <v>0</v>
      </c>
      <c r="AJ78" s="289" t="n">
        <f aca="false">IF($L78=0,0,$L78*MAX(0,NETWORKDAYS(MAX($H78,ASOF,AJ$72),MIN(MAX($I78,ASOF),AJ$72+6),HOLIDAYS)))</f>
        <v>0</v>
      </c>
      <c r="AK78" s="289" t="n">
        <f aca="false">IF($L78=0,0,$L78*MAX(0,NETWORKDAYS(MAX($H78,ASOF,AK$72),MIN(MAX($I78,ASOF),AK$72+6),HOLIDAYS)))</f>
        <v>0</v>
      </c>
      <c r="AL78" s="289" t="n">
        <f aca="false">IF($L78=0,0,$L78*MAX(0,NETWORKDAYS(MAX($H78,ASOF,AL$72),MIN(MAX($I78,ASOF),AL$72+6),HOLIDAYS)))</f>
        <v>0</v>
      </c>
      <c r="AM78" s="289" t="n">
        <f aca="false">IF($L78=0,0,$L78*MAX(0,NETWORKDAYS(MAX($H78,ASOF,AM$72),MIN(MAX($I78,ASOF),AM$72+6),HOLIDAYS)))</f>
        <v>0</v>
      </c>
      <c r="AN78" s="289" t="n">
        <f aca="false">IF($L78=0,0,$L78*MAX(0,NETWORKDAYS(MAX($H78,ASOF,AN$72),MIN(MAX($I78,ASOF),AN$72+6),HOLIDAYS)))</f>
        <v>0</v>
      </c>
      <c r="AO78" s="289" t="n">
        <f aca="false">IF($L78=0,0,$L78*MAX(0,NETWORKDAYS(MAX($H78,ASOF,AO$72),MIN(MAX($I78,ASOF),AO$72+6),HOLIDAYS)))</f>
        <v>0</v>
      </c>
      <c r="AP78" s="289" t="n">
        <f aca="false">IF($L78=0,0,$L78*MAX(0,NETWORKDAYS(MAX($H78,ASOF,AP$72),MIN(MAX($I78,ASOF),AP$72+6),HOLIDAYS)))</f>
        <v>0</v>
      </c>
      <c r="AQ78" s="289" t="n">
        <f aca="false">IF($L78=0,0,$L78*MAX(0,NETWORKDAYS(MAX($H78,ASOF,AQ$72),MIN(MAX($I78,ASOF),AQ$72+6),HOLIDAYS)))</f>
        <v>0</v>
      </c>
      <c r="AR78" s="289" t="n">
        <f aca="false">IF($L78=0,0,$L78*MAX(0,NETWORKDAYS(MAX($H78,ASOF,AR$72),MIN(MAX($I78,ASOF),AR$72+6),HOLIDAYS)))</f>
        <v>0</v>
      </c>
    </row>
    <row r="79" customFormat="false" ht="15" hidden="false" customHeight="false" outlineLevel="1" collapsed="false">
      <c r="A79" s="282" t="s">
        <v>42</v>
      </c>
      <c r="B79" s="283" t="s">
        <v>44</v>
      </c>
      <c r="C79" s="284" t="s">
        <v>2366</v>
      </c>
      <c r="D79" s="284" t="s">
        <v>2284</v>
      </c>
      <c r="E79" s="285" t="n">
        <v>1</v>
      </c>
      <c r="F79" s="290" t="s">
        <v>35</v>
      </c>
      <c r="G79" s="285" t="n">
        <f aca="false">$F$11*$H$11</f>
        <v>16</v>
      </c>
      <c r="H79" s="286" t="n">
        <f aca="false">IF(ISNUMBER('P9-001'!$N$90),'P9-001'!$N$90,"")</f>
        <v>46344</v>
      </c>
      <c r="I79" s="286" t="n">
        <f aca="false">IF(ISNUMBER('P9-001'!$O$90),'P9-001'!$O$90,"")</f>
        <v>46347</v>
      </c>
      <c r="J79" s="287" t="n">
        <f aca="false">IF(OR(H79="",I79="",N79&gt;=1),0,MAX(1,NETWORKDAYS(MAX(H79,ASOF),MAX(I79,ASOF),HOLIDAYS)))</f>
        <v>3</v>
      </c>
      <c r="K79" s="287" t="n">
        <f aca="false">IF(L79=0,0,ROUNDUP(L79/$F$11,0))</f>
        <v>2</v>
      </c>
      <c r="L79" s="285" t="n">
        <f aca="false">IF(J79=0,0,G79*(1-N79)/J79)</f>
        <v>5.33333333333333</v>
      </c>
      <c r="M79" s="283" t="s">
        <v>1113</v>
      </c>
      <c r="N79" s="288" t="n">
        <f aca="false">IFERROR(MIN(1,'P9-001'!$V$90)+0,0)</f>
        <v>0</v>
      </c>
      <c r="O79" s="289" t="n">
        <f aca="false">IF($L79=0,0,$L79*MAX(0,NETWORKDAYS(MAX($H79,ASOF,O$72),MIN(MAX($I79,ASOF),O$72+6),HOLIDAYS)))</f>
        <v>0</v>
      </c>
      <c r="P79" s="289" t="n">
        <f aca="false">IF($L79=0,0,$L79*MAX(0,NETWORKDAYS(MAX($H79,ASOF,P$72),MIN(MAX($I79,ASOF),P$72+6),HOLIDAYS)))</f>
        <v>0</v>
      </c>
      <c r="Q79" s="289" t="n">
        <f aca="false">IF($L79=0,0,$L79*MAX(0,NETWORKDAYS(MAX($H79,ASOF,Q$72),MIN(MAX($I79,ASOF),Q$72+6),HOLIDAYS)))</f>
        <v>16</v>
      </c>
      <c r="R79" s="289" t="n">
        <f aca="false">IF($L79=0,0,$L79*MAX(0,NETWORKDAYS(MAX($H79,ASOF,R$72),MIN(MAX($I79,ASOF),R$72+6),HOLIDAYS)))</f>
        <v>0</v>
      </c>
      <c r="S79" s="289" t="n">
        <f aca="false">IF($L79=0,0,$L79*MAX(0,NETWORKDAYS(MAX($H79,ASOF,S$72),MIN(MAX($I79,ASOF),S$72+6),HOLIDAYS)))</f>
        <v>0</v>
      </c>
      <c r="T79" s="289" t="n">
        <f aca="false">IF($L79=0,0,$L79*MAX(0,NETWORKDAYS(MAX($H79,ASOF,T$72),MIN(MAX($I79,ASOF),T$72+6),HOLIDAYS)))</f>
        <v>0</v>
      </c>
      <c r="U79" s="289" t="n">
        <f aca="false">IF($L79=0,0,$L79*MAX(0,NETWORKDAYS(MAX($H79,ASOF,U$72),MIN(MAX($I79,ASOF),U$72+6),HOLIDAYS)))</f>
        <v>0</v>
      </c>
      <c r="V79" s="289" t="n">
        <f aca="false">IF($L79=0,0,$L79*MAX(0,NETWORKDAYS(MAX($H79,ASOF,V$72),MIN(MAX($I79,ASOF),V$72+6),HOLIDAYS)))</f>
        <v>0</v>
      </c>
      <c r="W79" s="289" t="n">
        <f aca="false">IF($L79=0,0,$L79*MAX(0,NETWORKDAYS(MAX($H79,ASOF,W$72),MIN(MAX($I79,ASOF),W$72+6),HOLIDAYS)))</f>
        <v>0</v>
      </c>
      <c r="X79" s="289" t="n">
        <f aca="false">IF($L79=0,0,$L79*MAX(0,NETWORKDAYS(MAX($H79,ASOF,X$72),MIN(MAX($I79,ASOF),X$72+6),HOLIDAYS)))</f>
        <v>0</v>
      </c>
      <c r="Y79" s="289" t="n">
        <f aca="false">IF($L79=0,0,$L79*MAX(0,NETWORKDAYS(MAX($H79,ASOF,Y$72),MIN(MAX($I79,ASOF),Y$72+6),HOLIDAYS)))</f>
        <v>0</v>
      </c>
      <c r="Z79" s="289" t="n">
        <f aca="false">IF($L79=0,0,$L79*MAX(0,NETWORKDAYS(MAX($H79,ASOF,Z$72),MIN(MAX($I79,ASOF),Z$72+6),HOLIDAYS)))</f>
        <v>0</v>
      </c>
      <c r="AA79" s="289" t="n">
        <f aca="false">IF($L79=0,0,$L79*MAX(0,NETWORKDAYS(MAX($H79,ASOF,AA$72),MIN(MAX($I79,ASOF),AA$72+6),HOLIDAYS)))</f>
        <v>0</v>
      </c>
      <c r="AB79" s="289" t="n">
        <f aca="false">IF($L79=0,0,$L79*MAX(0,NETWORKDAYS(MAX($H79,ASOF,AB$72),MIN(MAX($I79,ASOF),AB$72+6),HOLIDAYS)))</f>
        <v>0</v>
      </c>
      <c r="AC79" s="289" t="n">
        <f aca="false">IF($L79=0,0,$L79*MAX(0,NETWORKDAYS(MAX($H79,ASOF,AC$72),MIN(MAX($I79,ASOF),AC$72+6),HOLIDAYS)))</f>
        <v>0</v>
      </c>
      <c r="AD79" s="289" t="n">
        <f aca="false">IF($L79=0,0,$L79*MAX(0,NETWORKDAYS(MAX($H79,ASOF,AD$72),MIN(MAX($I79,ASOF),AD$72+6),HOLIDAYS)))</f>
        <v>0</v>
      </c>
      <c r="AE79" s="289" t="n">
        <f aca="false">IF($L79=0,0,$L79*MAX(0,NETWORKDAYS(MAX($H79,ASOF,AE$72),MIN(MAX($I79,ASOF),AE$72+6),HOLIDAYS)))</f>
        <v>0</v>
      </c>
      <c r="AF79" s="289" t="n">
        <f aca="false">IF($L79=0,0,$L79*MAX(0,NETWORKDAYS(MAX($H79,ASOF,AF$72),MIN(MAX($I79,ASOF),AF$72+6),HOLIDAYS)))</f>
        <v>0</v>
      </c>
      <c r="AG79" s="289" t="n">
        <f aca="false">IF($L79=0,0,$L79*MAX(0,NETWORKDAYS(MAX($H79,ASOF,AG$72),MIN(MAX($I79,ASOF),AG$72+6),HOLIDAYS)))</f>
        <v>0</v>
      </c>
      <c r="AH79" s="289" t="n">
        <f aca="false">IF($L79=0,0,$L79*MAX(0,NETWORKDAYS(MAX($H79,ASOF,AH$72),MIN(MAX($I79,ASOF),AH$72+6),HOLIDAYS)))</f>
        <v>0</v>
      </c>
      <c r="AI79" s="289" t="n">
        <f aca="false">IF($L79=0,0,$L79*MAX(0,NETWORKDAYS(MAX($H79,ASOF,AI$72),MIN(MAX($I79,ASOF),AI$72+6),HOLIDAYS)))</f>
        <v>0</v>
      </c>
      <c r="AJ79" s="289" t="n">
        <f aca="false">IF($L79=0,0,$L79*MAX(0,NETWORKDAYS(MAX($H79,ASOF,AJ$72),MIN(MAX($I79,ASOF),AJ$72+6),HOLIDAYS)))</f>
        <v>0</v>
      </c>
      <c r="AK79" s="289" t="n">
        <f aca="false">IF($L79=0,0,$L79*MAX(0,NETWORKDAYS(MAX($H79,ASOF,AK$72),MIN(MAX($I79,ASOF),AK$72+6),HOLIDAYS)))</f>
        <v>0</v>
      </c>
      <c r="AL79" s="289" t="n">
        <f aca="false">IF($L79=0,0,$L79*MAX(0,NETWORKDAYS(MAX($H79,ASOF,AL$72),MIN(MAX($I79,ASOF),AL$72+6),HOLIDAYS)))</f>
        <v>0</v>
      </c>
      <c r="AM79" s="289" t="n">
        <f aca="false">IF($L79=0,0,$L79*MAX(0,NETWORKDAYS(MAX($H79,ASOF,AM$72),MIN(MAX($I79,ASOF),AM$72+6),HOLIDAYS)))</f>
        <v>0</v>
      </c>
      <c r="AN79" s="289" t="n">
        <f aca="false">IF($L79=0,0,$L79*MAX(0,NETWORKDAYS(MAX($H79,ASOF,AN$72),MIN(MAX($I79,ASOF),AN$72+6),HOLIDAYS)))</f>
        <v>0</v>
      </c>
      <c r="AO79" s="289" t="n">
        <f aca="false">IF($L79=0,0,$L79*MAX(0,NETWORKDAYS(MAX($H79,ASOF,AO$72),MIN(MAX($I79,ASOF),AO$72+6),HOLIDAYS)))</f>
        <v>0</v>
      </c>
      <c r="AP79" s="289" t="n">
        <f aca="false">IF($L79=0,0,$L79*MAX(0,NETWORKDAYS(MAX($H79,ASOF,AP$72),MIN(MAX($I79,ASOF),AP$72+6),HOLIDAYS)))</f>
        <v>0</v>
      </c>
      <c r="AQ79" s="289" t="n">
        <f aca="false">IF($L79=0,0,$L79*MAX(0,NETWORKDAYS(MAX($H79,ASOF,AQ$72),MIN(MAX($I79,ASOF),AQ$72+6),HOLIDAYS)))</f>
        <v>0</v>
      </c>
      <c r="AR79" s="289" t="n">
        <f aca="false">IF($L79=0,0,$L79*MAX(0,NETWORKDAYS(MAX($H79,ASOF,AR$72),MIN(MAX($I79,ASOF),AR$72+6),HOLIDAYS)))</f>
        <v>0</v>
      </c>
    </row>
    <row r="80" customFormat="false" ht="15" hidden="false" customHeight="false" outlineLevel="1" collapsed="false">
      <c r="A80" s="282" t="s">
        <v>42</v>
      </c>
      <c r="B80" s="283" t="s">
        <v>44</v>
      </c>
      <c r="C80" s="284" t="s">
        <v>2367</v>
      </c>
      <c r="D80" s="284" t="s">
        <v>2284</v>
      </c>
      <c r="E80" s="285" t="n">
        <v>1</v>
      </c>
      <c r="F80" s="290" t="s">
        <v>35</v>
      </c>
      <c r="G80" s="285" t="n">
        <f aca="false">$F$12*$H$12</f>
        <v>4</v>
      </c>
      <c r="H80" s="286" t="n">
        <f aca="false">IF(ISNUMBER('P9-001'!$N$96),'P9-001'!$N$96,"")</f>
        <v>46345</v>
      </c>
      <c r="I80" s="286" t="n">
        <f aca="false">IF(ISNUMBER('P9-001'!$O$96),'P9-001'!$O$96,"")</f>
        <v>46347</v>
      </c>
      <c r="J80" s="287" t="n">
        <f aca="false">IF(OR(H80="",I80="",N80&gt;=1),0,MAX(1,NETWORKDAYS(MAX(H80,ASOF),MAX(I80,ASOF),HOLIDAYS)))</f>
        <v>2</v>
      </c>
      <c r="K80" s="287" t="n">
        <f aca="false">IF(L80=0,0,ROUNDUP(L80/$F$12,0))</f>
        <v>1</v>
      </c>
      <c r="L80" s="285" t="n">
        <f aca="false">IF(J80=0,0,G80*(1-N80)/J80)</f>
        <v>2</v>
      </c>
      <c r="M80" s="283" t="s">
        <v>1147</v>
      </c>
      <c r="N80" s="288" t="n">
        <f aca="false">IFERROR(MIN(1,'P9-001'!$V$96)+0,0)</f>
        <v>0</v>
      </c>
      <c r="O80" s="289" t="n">
        <f aca="false">IF($L80=0,0,$L80*MAX(0,NETWORKDAYS(MAX($H80,ASOF,O$72),MIN(MAX($I80,ASOF),O$72+6),HOLIDAYS)))</f>
        <v>0</v>
      </c>
      <c r="P80" s="289" t="n">
        <f aca="false">IF($L80=0,0,$L80*MAX(0,NETWORKDAYS(MAX($H80,ASOF,P$72),MIN(MAX($I80,ASOF),P$72+6),HOLIDAYS)))</f>
        <v>0</v>
      </c>
      <c r="Q80" s="289" t="n">
        <f aca="false">IF($L80=0,0,$L80*MAX(0,NETWORKDAYS(MAX($H80,ASOF,Q$72),MIN(MAX($I80,ASOF),Q$72+6),HOLIDAYS)))</f>
        <v>4</v>
      </c>
      <c r="R80" s="289" t="n">
        <f aca="false">IF($L80=0,0,$L80*MAX(0,NETWORKDAYS(MAX($H80,ASOF,R$72),MIN(MAX($I80,ASOF),R$72+6),HOLIDAYS)))</f>
        <v>0</v>
      </c>
      <c r="S80" s="289" t="n">
        <f aca="false">IF($L80=0,0,$L80*MAX(0,NETWORKDAYS(MAX($H80,ASOF,S$72),MIN(MAX($I80,ASOF),S$72+6),HOLIDAYS)))</f>
        <v>0</v>
      </c>
      <c r="T80" s="289" t="n">
        <f aca="false">IF($L80=0,0,$L80*MAX(0,NETWORKDAYS(MAX($H80,ASOF,T$72),MIN(MAX($I80,ASOF),T$72+6),HOLIDAYS)))</f>
        <v>0</v>
      </c>
      <c r="U80" s="289" t="n">
        <f aca="false">IF($L80=0,0,$L80*MAX(0,NETWORKDAYS(MAX($H80,ASOF,U$72),MIN(MAX($I80,ASOF),U$72+6),HOLIDAYS)))</f>
        <v>0</v>
      </c>
      <c r="V80" s="289" t="n">
        <f aca="false">IF($L80=0,0,$L80*MAX(0,NETWORKDAYS(MAX($H80,ASOF,V$72),MIN(MAX($I80,ASOF),V$72+6),HOLIDAYS)))</f>
        <v>0</v>
      </c>
      <c r="W80" s="289" t="n">
        <f aca="false">IF($L80=0,0,$L80*MAX(0,NETWORKDAYS(MAX($H80,ASOF,W$72),MIN(MAX($I80,ASOF),W$72+6),HOLIDAYS)))</f>
        <v>0</v>
      </c>
      <c r="X80" s="289" t="n">
        <f aca="false">IF($L80=0,0,$L80*MAX(0,NETWORKDAYS(MAX($H80,ASOF,X$72),MIN(MAX($I80,ASOF),X$72+6),HOLIDAYS)))</f>
        <v>0</v>
      </c>
      <c r="Y80" s="289" t="n">
        <f aca="false">IF($L80=0,0,$L80*MAX(0,NETWORKDAYS(MAX($H80,ASOF,Y$72),MIN(MAX($I80,ASOF),Y$72+6),HOLIDAYS)))</f>
        <v>0</v>
      </c>
      <c r="Z80" s="289" t="n">
        <f aca="false">IF($L80=0,0,$L80*MAX(0,NETWORKDAYS(MAX($H80,ASOF,Z$72),MIN(MAX($I80,ASOF),Z$72+6),HOLIDAYS)))</f>
        <v>0</v>
      </c>
      <c r="AA80" s="289" t="n">
        <f aca="false">IF($L80=0,0,$L80*MAX(0,NETWORKDAYS(MAX($H80,ASOF,AA$72),MIN(MAX($I80,ASOF),AA$72+6),HOLIDAYS)))</f>
        <v>0</v>
      </c>
      <c r="AB80" s="289" t="n">
        <f aca="false">IF($L80=0,0,$L80*MAX(0,NETWORKDAYS(MAX($H80,ASOF,AB$72),MIN(MAX($I80,ASOF),AB$72+6),HOLIDAYS)))</f>
        <v>0</v>
      </c>
      <c r="AC80" s="289" t="n">
        <f aca="false">IF($L80=0,0,$L80*MAX(0,NETWORKDAYS(MAX($H80,ASOF,AC$72),MIN(MAX($I80,ASOF),AC$72+6),HOLIDAYS)))</f>
        <v>0</v>
      </c>
      <c r="AD80" s="289" t="n">
        <f aca="false">IF($L80=0,0,$L80*MAX(0,NETWORKDAYS(MAX($H80,ASOF,AD$72),MIN(MAX($I80,ASOF),AD$72+6),HOLIDAYS)))</f>
        <v>0</v>
      </c>
      <c r="AE80" s="289" t="n">
        <f aca="false">IF($L80=0,0,$L80*MAX(0,NETWORKDAYS(MAX($H80,ASOF,AE$72),MIN(MAX($I80,ASOF),AE$72+6),HOLIDAYS)))</f>
        <v>0</v>
      </c>
      <c r="AF80" s="289" t="n">
        <f aca="false">IF($L80=0,0,$L80*MAX(0,NETWORKDAYS(MAX($H80,ASOF,AF$72),MIN(MAX($I80,ASOF),AF$72+6),HOLIDAYS)))</f>
        <v>0</v>
      </c>
      <c r="AG80" s="289" t="n">
        <f aca="false">IF($L80=0,0,$L80*MAX(0,NETWORKDAYS(MAX($H80,ASOF,AG$72),MIN(MAX($I80,ASOF),AG$72+6),HOLIDAYS)))</f>
        <v>0</v>
      </c>
      <c r="AH80" s="289" t="n">
        <f aca="false">IF($L80=0,0,$L80*MAX(0,NETWORKDAYS(MAX($H80,ASOF,AH$72),MIN(MAX($I80,ASOF),AH$72+6),HOLIDAYS)))</f>
        <v>0</v>
      </c>
      <c r="AI80" s="289" t="n">
        <f aca="false">IF($L80=0,0,$L80*MAX(0,NETWORKDAYS(MAX($H80,ASOF,AI$72),MIN(MAX($I80,ASOF),AI$72+6),HOLIDAYS)))</f>
        <v>0</v>
      </c>
      <c r="AJ80" s="289" t="n">
        <f aca="false">IF($L80=0,0,$L80*MAX(0,NETWORKDAYS(MAX($H80,ASOF,AJ$72),MIN(MAX($I80,ASOF),AJ$72+6),HOLIDAYS)))</f>
        <v>0</v>
      </c>
      <c r="AK80" s="289" t="n">
        <f aca="false">IF($L80=0,0,$L80*MAX(0,NETWORKDAYS(MAX($H80,ASOF,AK$72),MIN(MAX($I80,ASOF),AK$72+6),HOLIDAYS)))</f>
        <v>0</v>
      </c>
      <c r="AL80" s="289" t="n">
        <f aca="false">IF($L80=0,0,$L80*MAX(0,NETWORKDAYS(MAX($H80,ASOF,AL$72),MIN(MAX($I80,ASOF),AL$72+6),HOLIDAYS)))</f>
        <v>0</v>
      </c>
      <c r="AM80" s="289" t="n">
        <f aca="false">IF($L80=0,0,$L80*MAX(0,NETWORKDAYS(MAX($H80,ASOF,AM$72),MIN(MAX($I80,ASOF),AM$72+6),HOLIDAYS)))</f>
        <v>0</v>
      </c>
      <c r="AN80" s="289" t="n">
        <f aca="false">IF($L80=0,0,$L80*MAX(0,NETWORKDAYS(MAX($H80,ASOF,AN$72),MIN(MAX($I80,ASOF),AN$72+6),HOLIDAYS)))</f>
        <v>0</v>
      </c>
      <c r="AO80" s="289" t="n">
        <f aca="false">IF($L80=0,0,$L80*MAX(0,NETWORKDAYS(MAX($H80,ASOF,AO$72),MIN(MAX($I80,ASOF),AO$72+6),HOLIDAYS)))</f>
        <v>0</v>
      </c>
      <c r="AP80" s="289" t="n">
        <f aca="false">IF($L80=0,0,$L80*MAX(0,NETWORKDAYS(MAX($H80,ASOF,AP$72),MIN(MAX($I80,ASOF),AP$72+6),HOLIDAYS)))</f>
        <v>0</v>
      </c>
      <c r="AQ80" s="289" t="n">
        <f aca="false">IF($L80=0,0,$L80*MAX(0,NETWORKDAYS(MAX($H80,ASOF,AQ$72),MIN(MAX($I80,ASOF),AQ$72+6),HOLIDAYS)))</f>
        <v>0</v>
      </c>
      <c r="AR80" s="289" t="n">
        <f aca="false">IF($L80=0,0,$L80*MAX(0,NETWORKDAYS(MAX($H80,ASOF,AR$72),MIN(MAX($I80,ASOF),AR$72+6),HOLIDAYS)))</f>
        <v>0</v>
      </c>
    </row>
    <row r="81" customFormat="false" ht="15" hidden="false" customHeight="false" outlineLevel="1" collapsed="false">
      <c r="A81" s="282" t="s">
        <v>42</v>
      </c>
      <c r="B81" s="283" t="s">
        <v>44</v>
      </c>
      <c r="C81" s="284" t="s">
        <v>2368</v>
      </c>
      <c r="D81" s="284" t="s">
        <v>2301</v>
      </c>
      <c r="E81" s="285" t="n">
        <v>1</v>
      </c>
      <c r="F81" s="290" t="s">
        <v>35</v>
      </c>
      <c r="G81" s="285" t="n">
        <f aca="false">$F$13*$H$13</f>
        <v>12</v>
      </c>
      <c r="H81" s="286" t="n">
        <f aca="false">IF(ISNUMBER('P9-001'!$N$100),'P9-001'!$N$100,"")</f>
        <v>46346</v>
      </c>
      <c r="I81" s="286" t="n">
        <f aca="false">IF(ISNUMBER('P9-001'!$O$100),'P9-001'!$O$100,"")</f>
        <v>46348</v>
      </c>
      <c r="J81" s="287" t="n">
        <f aca="false">IF(OR(H81="",I81="",N81&gt;=1),0,MAX(1,NETWORKDAYS(MAX(H81,ASOF),MAX(I81,ASOF),HOLIDAYS)))</f>
        <v>1</v>
      </c>
      <c r="K81" s="287" t="n">
        <f aca="false">IF(L81=0,0,ROUNDUP(L81/$F$13,0))</f>
        <v>3</v>
      </c>
      <c r="L81" s="285" t="n">
        <f aca="false">IF(J81=0,0,G81*(1-N81)/J81)</f>
        <v>12</v>
      </c>
      <c r="M81" s="283" t="s">
        <v>2299</v>
      </c>
      <c r="N81" s="288" t="n">
        <f aca="false">IFERROR(MIN(1,'P9-001'!$V$100)+0,0)</f>
        <v>0</v>
      </c>
      <c r="O81" s="289" t="n">
        <f aca="false">IF($L81=0,0,$L81*MAX(0,NETWORKDAYS(MAX($H81,ASOF,O$72),MIN(MAX($I81,ASOF),O$72+6),HOLIDAYS)))</f>
        <v>0</v>
      </c>
      <c r="P81" s="289" t="n">
        <f aca="false">IF($L81=0,0,$L81*MAX(0,NETWORKDAYS(MAX($H81,ASOF,P$72),MIN(MAX($I81,ASOF),P$72+6),HOLIDAYS)))</f>
        <v>0</v>
      </c>
      <c r="Q81" s="289" t="n">
        <f aca="false">IF($L81=0,0,$L81*MAX(0,NETWORKDAYS(MAX($H81,ASOF,Q$72),MIN(MAX($I81,ASOF),Q$72+6),HOLIDAYS)))</f>
        <v>12</v>
      </c>
      <c r="R81" s="289" t="n">
        <f aca="false">IF($L81=0,0,$L81*MAX(0,NETWORKDAYS(MAX($H81,ASOF,R$72),MIN(MAX($I81,ASOF),R$72+6),HOLIDAYS)))</f>
        <v>0</v>
      </c>
      <c r="S81" s="289" t="n">
        <f aca="false">IF($L81=0,0,$L81*MAX(0,NETWORKDAYS(MAX($H81,ASOF,S$72),MIN(MAX($I81,ASOF),S$72+6),HOLIDAYS)))</f>
        <v>0</v>
      </c>
      <c r="T81" s="289" t="n">
        <f aca="false">IF($L81=0,0,$L81*MAX(0,NETWORKDAYS(MAX($H81,ASOF,T$72),MIN(MAX($I81,ASOF),T$72+6),HOLIDAYS)))</f>
        <v>0</v>
      </c>
      <c r="U81" s="289" t="n">
        <f aca="false">IF($L81=0,0,$L81*MAX(0,NETWORKDAYS(MAX($H81,ASOF,U$72),MIN(MAX($I81,ASOF),U$72+6),HOLIDAYS)))</f>
        <v>0</v>
      </c>
      <c r="V81" s="289" t="n">
        <f aca="false">IF($L81=0,0,$L81*MAX(0,NETWORKDAYS(MAX($H81,ASOF,V$72),MIN(MAX($I81,ASOF),V$72+6),HOLIDAYS)))</f>
        <v>0</v>
      </c>
      <c r="W81" s="289" t="n">
        <f aca="false">IF($L81=0,0,$L81*MAX(0,NETWORKDAYS(MAX($H81,ASOF,W$72),MIN(MAX($I81,ASOF),W$72+6),HOLIDAYS)))</f>
        <v>0</v>
      </c>
      <c r="X81" s="289" t="n">
        <f aca="false">IF($L81=0,0,$L81*MAX(0,NETWORKDAYS(MAX($H81,ASOF,X$72),MIN(MAX($I81,ASOF),X$72+6),HOLIDAYS)))</f>
        <v>0</v>
      </c>
      <c r="Y81" s="289" t="n">
        <f aca="false">IF($L81=0,0,$L81*MAX(0,NETWORKDAYS(MAX($H81,ASOF,Y$72),MIN(MAX($I81,ASOF),Y$72+6),HOLIDAYS)))</f>
        <v>0</v>
      </c>
      <c r="Z81" s="289" t="n">
        <f aca="false">IF($L81=0,0,$L81*MAX(0,NETWORKDAYS(MAX($H81,ASOF,Z$72),MIN(MAX($I81,ASOF),Z$72+6),HOLIDAYS)))</f>
        <v>0</v>
      </c>
      <c r="AA81" s="289" t="n">
        <f aca="false">IF($L81=0,0,$L81*MAX(0,NETWORKDAYS(MAX($H81,ASOF,AA$72),MIN(MAX($I81,ASOF),AA$72+6),HOLIDAYS)))</f>
        <v>0</v>
      </c>
      <c r="AB81" s="289" t="n">
        <f aca="false">IF($L81=0,0,$L81*MAX(0,NETWORKDAYS(MAX($H81,ASOF,AB$72),MIN(MAX($I81,ASOF),AB$72+6),HOLIDAYS)))</f>
        <v>0</v>
      </c>
      <c r="AC81" s="289" t="n">
        <f aca="false">IF($L81=0,0,$L81*MAX(0,NETWORKDAYS(MAX($H81,ASOF,AC$72),MIN(MAX($I81,ASOF),AC$72+6),HOLIDAYS)))</f>
        <v>0</v>
      </c>
      <c r="AD81" s="289" t="n">
        <f aca="false">IF($L81=0,0,$L81*MAX(0,NETWORKDAYS(MAX($H81,ASOF,AD$72),MIN(MAX($I81,ASOF),AD$72+6),HOLIDAYS)))</f>
        <v>0</v>
      </c>
      <c r="AE81" s="289" t="n">
        <f aca="false">IF($L81=0,0,$L81*MAX(0,NETWORKDAYS(MAX($H81,ASOF,AE$72),MIN(MAX($I81,ASOF),AE$72+6),HOLIDAYS)))</f>
        <v>0</v>
      </c>
      <c r="AF81" s="289" t="n">
        <f aca="false">IF($L81=0,0,$L81*MAX(0,NETWORKDAYS(MAX($H81,ASOF,AF$72),MIN(MAX($I81,ASOF),AF$72+6),HOLIDAYS)))</f>
        <v>0</v>
      </c>
      <c r="AG81" s="289" t="n">
        <f aca="false">IF($L81=0,0,$L81*MAX(0,NETWORKDAYS(MAX($H81,ASOF,AG$72),MIN(MAX($I81,ASOF),AG$72+6),HOLIDAYS)))</f>
        <v>0</v>
      </c>
      <c r="AH81" s="289" t="n">
        <f aca="false">IF($L81=0,0,$L81*MAX(0,NETWORKDAYS(MAX($H81,ASOF,AH$72),MIN(MAX($I81,ASOF),AH$72+6),HOLIDAYS)))</f>
        <v>0</v>
      </c>
      <c r="AI81" s="289" t="n">
        <f aca="false">IF($L81=0,0,$L81*MAX(0,NETWORKDAYS(MAX($H81,ASOF,AI$72),MIN(MAX($I81,ASOF),AI$72+6),HOLIDAYS)))</f>
        <v>0</v>
      </c>
      <c r="AJ81" s="289" t="n">
        <f aca="false">IF($L81=0,0,$L81*MAX(0,NETWORKDAYS(MAX($H81,ASOF,AJ$72),MIN(MAX($I81,ASOF),AJ$72+6),HOLIDAYS)))</f>
        <v>0</v>
      </c>
      <c r="AK81" s="289" t="n">
        <f aca="false">IF($L81=0,0,$L81*MAX(0,NETWORKDAYS(MAX($H81,ASOF,AK$72),MIN(MAX($I81,ASOF),AK$72+6),HOLIDAYS)))</f>
        <v>0</v>
      </c>
      <c r="AL81" s="289" t="n">
        <f aca="false">IF($L81=0,0,$L81*MAX(0,NETWORKDAYS(MAX($H81,ASOF,AL$72),MIN(MAX($I81,ASOF),AL$72+6),HOLIDAYS)))</f>
        <v>0</v>
      </c>
      <c r="AM81" s="289" t="n">
        <f aca="false">IF($L81=0,0,$L81*MAX(0,NETWORKDAYS(MAX($H81,ASOF,AM$72),MIN(MAX($I81,ASOF),AM$72+6),HOLIDAYS)))</f>
        <v>0</v>
      </c>
      <c r="AN81" s="289" t="n">
        <f aca="false">IF($L81=0,0,$L81*MAX(0,NETWORKDAYS(MAX($H81,ASOF,AN$72),MIN(MAX($I81,ASOF),AN$72+6),HOLIDAYS)))</f>
        <v>0</v>
      </c>
      <c r="AO81" s="289" t="n">
        <f aca="false">IF($L81=0,0,$L81*MAX(0,NETWORKDAYS(MAX($H81,ASOF,AO$72),MIN(MAX($I81,ASOF),AO$72+6),HOLIDAYS)))</f>
        <v>0</v>
      </c>
      <c r="AP81" s="289" t="n">
        <f aca="false">IF($L81=0,0,$L81*MAX(0,NETWORKDAYS(MAX($H81,ASOF,AP$72),MIN(MAX($I81,ASOF),AP$72+6),HOLIDAYS)))</f>
        <v>0</v>
      </c>
      <c r="AQ81" s="289" t="n">
        <f aca="false">IF($L81=0,0,$L81*MAX(0,NETWORKDAYS(MAX($H81,ASOF,AQ$72),MIN(MAX($I81,ASOF),AQ$72+6),HOLIDAYS)))</f>
        <v>0</v>
      </c>
      <c r="AR81" s="289" t="n">
        <f aca="false">IF($L81=0,0,$L81*MAX(0,NETWORKDAYS(MAX($H81,ASOF,AR$72),MIN(MAX($I81,ASOF),AR$72+6),HOLIDAYS)))</f>
        <v>0</v>
      </c>
    </row>
    <row r="82" customFormat="false" ht="15" hidden="false" customHeight="false" outlineLevel="1" collapsed="false">
      <c r="A82" s="282" t="s">
        <v>42</v>
      </c>
      <c r="B82" s="283" t="s">
        <v>44</v>
      </c>
      <c r="C82" s="282" t="s">
        <v>1198</v>
      </c>
      <c r="D82" s="284" t="s">
        <v>2284</v>
      </c>
      <c r="E82" s="285" t="n">
        <v>1</v>
      </c>
      <c r="F82" s="290" t="s">
        <v>35</v>
      </c>
      <c r="G82" s="285" t="n">
        <f aca="false">$F$15*$H$15</f>
        <v>2</v>
      </c>
      <c r="H82" s="286" t="n">
        <f aca="false">IF(ISNUMBER('P9-001'!$N$107),'P9-001'!$N$107,"")</f>
        <v>46347</v>
      </c>
      <c r="I82" s="286" t="n">
        <f aca="false">IF(ISNUMBER('P9-001'!$O$107),'P9-001'!$O$107,"")</f>
        <v>46348</v>
      </c>
      <c r="J82" s="287" t="n">
        <f aca="false">IF(OR(H82="",I82="",N82&gt;=1),0,MAX(1,NETWORKDAYS(MAX(H82,ASOF),MAX(I82,ASOF),HOLIDAYS)))</f>
        <v>1</v>
      </c>
      <c r="K82" s="287" t="n">
        <f aca="false">IF(L82=0,0,ROUNDUP(L82/$F$15,0))</f>
        <v>1</v>
      </c>
      <c r="L82" s="285" t="n">
        <f aca="false">IF(J82=0,0,G82*(1-N82)/J82)</f>
        <v>2</v>
      </c>
      <c r="M82" s="283" t="s">
        <v>1192</v>
      </c>
      <c r="N82" s="288" t="n">
        <f aca="false">IFERROR(MIN(1,'P9-001'!$V$107)+0,0)</f>
        <v>0</v>
      </c>
      <c r="O82" s="289" t="n">
        <f aca="false">IF($L82=0,0,$L82*MAX(0,NETWORKDAYS(MAX($H82,ASOF,O$72),MIN(MAX($I82,ASOF),O$72+6),HOLIDAYS)))</f>
        <v>0</v>
      </c>
      <c r="P82" s="289" t="n">
        <f aca="false">IF($L82=0,0,$L82*MAX(0,NETWORKDAYS(MAX($H82,ASOF,P$72),MIN(MAX($I82,ASOF),P$72+6),HOLIDAYS)))</f>
        <v>0</v>
      </c>
      <c r="Q82" s="289" t="n">
        <f aca="false">IF($L82=0,0,$L82*MAX(0,NETWORKDAYS(MAX($H82,ASOF,Q$72),MIN(MAX($I82,ASOF),Q$72+6),HOLIDAYS)))</f>
        <v>0</v>
      </c>
      <c r="R82" s="289" t="n">
        <f aca="false">IF($L82=0,0,$L82*MAX(0,NETWORKDAYS(MAX($H82,ASOF,R$72),MIN(MAX($I82,ASOF),R$72+6),HOLIDAYS)))</f>
        <v>0</v>
      </c>
      <c r="S82" s="289" t="n">
        <f aca="false">IF($L82=0,0,$L82*MAX(0,NETWORKDAYS(MAX($H82,ASOF,S$72),MIN(MAX($I82,ASOF),S$72+6),HOLIDAYS)))</f>
        <v>0</v>
      </c>
      <c r="T82" s="289" t="n">
        <f aca="false">IF($L82=0,0,$L82*MAX(0,NETWORKDAYS(MAX($H82,ASOF,T$72),MIN(MAX($I82,ASOF),T$72+6),HOLIDAYS)))</f>
        <v>0</v>
      </c>
      <c r="U82" s="289" t="n">
        <f aca="false">IF($L82=0,0,$L82*MAX(0,NETWORKDAYS(MAX($H82,ASOF,U$72),MIN(MAX($I82,ASOF),U$72+6),HOLIDAYS)))</f>
        <v>0</v>
      </c>
      <c r="V82" s="289" t="n">
        <f aca="false">IF($L82=0,0,$L82*MAX(0,NETWORKDAYS(MAX($H82,ASOF,V$72),MIN(MAX($I82,ASOF),V$72+6),HOLIDAYS)))</f>
        <v>0</v>
      </c>
      <c r="W82" s="289" t="n">
        <f aca="false">IF($L82=0,0,$L82*MAX(0,NETWORKDAYS(MAX($H82,ASOF,W$72),MIN(MAX($I82,ASOF),W$72+6),HOLIDAYS)))</f>
        <v>0</v>
      </c>
      <c r="X82" s="289" t="n">
        <f aca="false">IF($L82=0,0,$L82*MAX(0,NETWORKDAYS(MAX($H82,ASOF,X$72),MIN(MAX($I82,ASOF),X$72+6),HOLIDAYS)))</f>
        <v>0</v>
      </c>
      <c r="Y82" s="289" t="n">
        <f aca="false">IF($L82=0,0,$L82*MAX(0,NETWORKDAYS(MAX($H82,ASOF,Y$72),MIN(MAX($I82,ASOF),Y$72+6),HOLIDAYS)))</f>
        <v>0</v>
      </c>
      <c r="Z82" s="289" t="n">
        <f aca="false">IF($L82=0,0,$L82*MAX(0,NETWORKDAYS(MAX($H82,ASOF,Z$72),MIN(MAX($I82,ASOF),Z$72+6),HOLIDAYS)))</f>
        <v>0</v>
      </c>
      <c r="AA82" s="289" t="n">
        <f aca="false">IF($L82=0,0,$L82*MAX(0,NETWORKDAYS(MAX($H82,ASOF,AA$72),MIN(MAX($I82,ASOF),AA$72+6),HOLIDAYS)))</f>
        <v>0</v>
      </c>
      <c r="AB82" s="289" t="n">
        <f aca="false">IF($L82=0,0,$L82*MAX(0,NETWORKDAYS(MAX($H82,ASOF,AB$72),MIN(MAX($I82,ASOF),AB$72+6),HOLIDAYS)))</f>
        <v>0</v>
      </c>
      <c r="AC82" s="289" t="n">
        <f aca="false">IF($L82=0,0,$L82*MAX(0,NETWORKDAYS(MAX($H82,ASOF,AC$72),MIN(MAX($I82,ASOF),AC$72+6),HOLIDAYS)))</f>
        <v>0</v>
      </c>
      <c r="AD82" s="289" t="n">
        <f aca="false">IF($L82=0,0,$L82*MAX(0,NETWORKDAYS(MAX($H82,ASOF,AD$72),MIN(MAX($I82,ASOF),AD$72+6),HOLIDAYS)))</f>
        <v>0</v>
      </c>
      <c r="AE82" s="289" t="n">
        <f aca="false">IF($L82=0,0,$L82*MAX(0,NETWORKDAYS(MAX($H82,ASOF,AE$72),MIN(MAX($I82,ASOF),AE$72+6),HOLIDAYS)))</f>
        <v>0</v>
      </c>
      <c r="AF82" s="289" t="n">
        <f aca="false">IF($L82=0,0,$L82*MAX(0,NETWORKDAYS(MAX($H82,ASOF,AF$72),MIN(MAX($I82,ASOF),AF$72+6),HOLIDAYS)))</f>
        <v>0</v>
      </c>
      <c r="AG82" s="289" t="n">
        <f aca="false">IF($L82=0,0,$L82*MAX(0,NETWORKDAYS(MAX($H82,ASOF,AG$72),MIN(MAX($I82,ASOF),AG$72+6),HOLIDAYS)))</f>
        <v>0</v>
      </c>
      <c r="AH82" s="289" t="n">
        <f aca="false">IF($L82=0,0,$L82*MAX(0,NETWORKDAYS(MAX($H82,ASOF,AH$72),MIN(MAX($I82,ASOF),AH$72+6),HOLIDAYS)))</f>
        <v>0</v>
      </c>
      <c r="AI82" s="289" t="n">
        <f aca="false">IF($L82=0,0,$L82*MAX(0,NETWORKDAYS(MAX($H82,ASOF,AI$72),MIN(MAX($I82,ASOF),AI$72+6),HOLIDAYS)))</f>
        <v>0</v>
      </c>
      <c r="AJ82" s="289" t="n">
        <f aca="false">IF($L82=0,0,$L82*MAX(0,NETWORKDAYS(MAX($H82,ASOF,AJ$72),MIN(MAX($I82,ASOF),AJ$72+6),HOLIDAYS)))</f>
        <v>0</v>
      </c>
      <c r="AK82" s="289" t="n">
        <f aca="false">IF($L82=0,0,$L82*MAX(0,NETWORKDAYS(MAX($H82,ASOF,AK$72),MIN(MAX($I82,ASOF),AK$72+6),HOLIDAYS)))</f>
        <v>0</v>
      </c>
      <c r="AL82" s="289" t="n">
        <f aca="false">IF($L82=0,0,$L82*MAX(0,NETWORKDAYS(MAX($H82,ASOF,AL$72),MIN(MAX($I82,ASOF),AL$72+6),HOLIDAYS)))</f>
        <v>0</v>
      </c>
      <c r="AM82" s="289" t="n">
        <f aca="false">IF($L82=0,0,$L82*MAX(0,NETWORKDAYS(MAX($H82,ASOF,AM$72),MIN(MAX($I82,ASOF),AM$72+6),HOLIDAYS)))</f>
        <v>0</v>
      </c>
      <c r="AN82" s="289" t="n">
        <f aca="false">IF($L82=0,0,$L82*MAX(0,NETWORKDAYS(MAX($H82,ASOF,AN$72),MIN(MAX($I82,ASOF),AN$72+6),HOLIDAYS)))</f>
        <v>0</v>
      </c>
      <c r="AO82" s="289" t="n">
        <f aca="false">IF($L82=0,0,$L82*MAX(0,NETWORKDAYS(MAX($H82,ASOF,AO$72),MIN(MAX($I82,ASOF),AO$72+6),HOLIDAYS)))</f>
        <v>0</v>
      </c>
      <c r="AP82" s="289" t="n">
        <f aca="false">IF($L82=0,0,$L82*MAX(0,NETWORKDAYS(MAX($H82,ASOF,AP$72),MIN(MAX($I82,ASOF),AP$72+6),HOLIDAYS)))</f>
        <v>0</v>
      </c>
      <c r="AQ82" s="289" t="n">
        <f aca="false">IF($L82=0,0,$L82*MAX(0,NETWORKDAYS(MAX($H82,ASOF,AQ$72),MIN(MAX($I82,ASOF),AQ$72+6),HOLIDAYS)))</f>
        <v>0</v>
      </c>
      <c r="AR82" s="289" t="n">
        <f aca="false">IF($L82=0,0,$L82*MAX(0,NETWORKDAYS(MAX($H82,ASOF,AR$72),MIN(MAX($I82,ASOF),AR$72+6),HOLIDAYS)))</f>
        <v>0</v>
      </c>
    </row>
    <row r="83" customFormat="false" ht="15" hidden="false" customHeight="false" outlineLevel="1" collapsed="false">
      <c r="A83" s="282" t="s">
        <v>42</v>
      </c>
      <c r="B83" s="283" t="s">
        <v>44</v>
      </c>
      <c r="C83" s="284" t="s">
        <v>2369</v>
      </c>
      <c r="D83" s="284" t="s">
        <v>2308</v>
      </c>
      <c r="E83" s="285" t="n">
        <v>150.48</v>
      </c>
      <c r="F83" s="283" t="s">
        <v>527</v>
      </c>
      <c r="G83" s="285" t="n">
        <f aca="false">$F$16*(E83/$G$16+$H$16)</f>
        <v>10.5144</v>
      </c>
      <c r="H83" s="286" t="n">
        <f aca="false">IF(ISNUMBER('P9-001'!$N$115),'P9-001'!$N$115,"")</f>
        <v>46359</v>
      </c>
      <c r="I83" s="286" t="n">
        <f aca="false">IF(ISNUMBER('P9-001'!$O$115),'P9-001'!$O$115,"")</f>
        <v>46359</v>
      </c>
      <c r="J83" s="287" t="n">
        <f aca="false">IF(OR(H83="",I83="",N83&gt;=1),0,MAX(1,NETWORKDAYS(MAX(H83,ASOF),MAX(I83,ASOF),HOLIDAYS)))</f>
        <v>1</v>
      </c>
      <c r="K83" s="287" t="n">
        <f aca="false">IF(L83=0,0,ROUNDUP(L83/$F$16,0))</f>
        <v>4</v>
      </c>
      <c r="L83" s="285" t="n">
        <f aca="false">IF(J83=0,0,G83*(1-N83)/J83)</f>
        <v>10.5144</v>
      </c>
      <c r="M83" s="283" t="s">
        <v>1205</v>
      </c>
      <c r="N83" s="288" t="n">
        <f aca="false">IFERROR(MIN(1,'P9-001'!$V$115)+0,0)</f>
        <v>0</v>
      </c>
      <c r="O83" s="289" t="n">
        <f aca="false">IF($L83=0,0,$L83*MAX(0,NETWORKDAYS(MAX($H83,ASOF,O$72),MIN(MAX($I83,ASOF),O$72+6),HOLIDAYS)))</f>
        <v>0</v>
      </c>
      <c r="P83" s="289" t="n">
        <f aca="false">IF($L83=0,0,$L83*MAX(0,NETWORKDAYS(MAX($H83,ASOF,P$72),MIN(MAX($I83,ASOF),P$72+6),HOLIDAYS)))</f>
        <v>0</v>
      </c>
      <c r="Q83" s="289" t="n">
        <f aca="false">IF($L83=0,0,$L83*MAX(0,NETWORKDAYS(MAX($H83,ASOF,Q$72),MIN(MAX($I83,ASOF),Q$72+6),HOLIDAYS)))</f>
        <v>0</v>
      </c>
      <c r="R83" s="289" t="n">
        <f aca="false">IF($L83=0,0,$L83*MAX(0,NETWORKDAYS(MAX($H83,ASOF,R$72),MIN(MAX($I83,ASOF),R$72+6),HOLIDAYS)))</f>
        <v>0</v>
      </c>
      <c r="S83" s="289" t="n">
        <f aca="false">IF($L83=0,0,$L83*MAX(0,NETWORKDAYS(MAX($H83,ASOF,S$72),MIN(MAX($I83,ASOF),S$72+6),HOLIDAYS)))</f>
        <v>10.5144</v>
      </c>
      <c r="T83" s="289" t="n">
        <f aca="false">IF($L83=0,0,$L83*MAX(0,NETWORKDAYS(MAX($H83,ASOF,T$72),MIN(MAX($I83,ASOF),T$72+6),HOLIDAYS)))</f>
        <v>0</v>
      </c>
      <c r="U83" s="289" t="n">
        <f aca="false">IF($L83=0,0,$L83*MAX(0,NETWORKDAYS(MAX($H83,ASOF,U$72),MIN(MAX($I83,ASOF),U$72+6),HOLIDAYS)))</f>
        <v>0</v>
      </c>
      <c r="V83" s="289" t="n">
        <f aca="false">IF($L83=0,0,$L83*MAX(0,NETWORKDAYS(MAX($H83,ASOF,V$72),MIN(MAX($I83,ASOF),V$72+6),HOLIDAYS)))</f>
        <v>0</v>
      </c>
      <c r="W83" s="289" t="n">
        <f aca="false">IF($L83=0,0,$L83*MAX(0,NETWORKDAYS(MAX($H83,ASOF,W$72),MIN(MAX($I83,ASOF),W$72+6),HOLIDAYS)))</f>
        <v>0</v>
      </c>
      <c r="X83" s="289" t="n">
        <f aca="false">IF($L83=0,0,$L83*MAX(0,NETWORKDAYS(MAX($H83,ASOF,X$72),MIN(MAX($I83,ASOF),X$72+6),HOLIDAYS)))</f>
        <v>0</v>
      </c>
      <c r="Y83" s="289" t="n">
        <f aca="false">IF($L83=0,0,$L83*MAX(0,NETWORKDAYS(MAX($H83,ASOF,Y$72),MIN(MAX($I83,ASOF),Y$72+6),HOLIDAYS)))</f>
        <v>0</v>
      </c>
      <c r="Z83" s="289" t="n">
        <f aca="false">IF($L83=0,0,$L83*MAX(0,NETWORKDAYS(MAX($H83,ASOF,Z$72),MIN(MAX($I83,ASOF),Z$72+6),HOLIDAYS)))</f>
        <v>0</v>
      </c>
      <c r="AA83" s="289" t="n">
        <f aca="false">IF($L83=0,0,$L83*MAX(0,NETWORKDAYS(MAX($H83,ASOF,AA$72),MIN(MAX($I83,ASOF),AA$72+6),HOLIDAYS)))</f>
        <v>0</v>
      </c>
      <c r="AB83" s="289" t="n">
        <f aca="false">IF($L83=0,0,$L83*MAX(0,NETWORKDAYS(MAX($H83,ASOF,AB$72),MIN(MAX($I83,ASOF),AB$72+6),HOLIDAYS)))</f>
        <v>0</v>
      </c>
      <c r="AC83" s="289" t="n">
        <f aca="false">IF($L83=0,0,$L83*MAX(0,NETWORKDAYS(MAX($H83,ASOF,AC$72),MIN(MAX($I83,ASOF),AC$72+6),HOLIDAYS)))</f>
        <v>0</v>
      </c>
      <c r="AD83" s="289" t="n">
        <f aca="false">IF($L83=0,0,$L83*MAX(0,NETWORKDAYS(MAX($H83,ASOF,AD$72),MIN(MAX($I83,ASOF),AD$72+6),HOLIDAYS)))</f>
        <v>0</v>
      </c>
      <c r="AE83" s="289" t="n">
        <f aca="false">IF($L83=0,0,$L83*MAX(0,NETWORKDAYS(MAX($H83,ASOF,AE$72),MIN(MAX($I83,ASOF),AE$72+6),HOLIDAYS)))</f>
        <v>0</v>
      </c>
      <c r="AF83" s="289" t="n">
        <f aca="false">IF($L83=0,0,$L83*MAX(0,NETWORKDAYS(MAX($H83,ASOF,AF$72),MIN(MAX($I83,ASOF),AF$72+6),HOLIDAYS)))</f>
        <v>0</v>
      </c>
      <c r="AG83" s="289" t="n">
        <f aca="false">IF($L83=0,0,$L83*MAX(0,NETWORKDAYS(MAX($H83,ASOF,AG$72),MIN(MAX($I83,ASOF),AG$72+6),HOLIDAYS)))</f>
        <v>0</v>
      </c>
      <c r="AH83" s="289" t="n">
        <f aca="false">IF($L83=0,0,$L83*MAX(0,NETWORKDAYS(MAX($H83,ASOF,AH$72),MIN(MAX($I83,ASOF),AH$72+6),HOLIDAYS)))</f>
        <v>0</v>
      </c>
      <c r="AI83" s="289" t="n">
        <f aca="false">IF($L83=0,0,$L83*MAX(0,NETWORKDAYS(MAX($H83,ASOF,AI$72),MIN(MAX($I83,ASOF),AI$72+6),HOLIDAYS)))</f>
        <v>0</v>
      </c>
      <c r="AJ83" s="289" t="n">
        <f aca="false">IF($L83=0,0,$L83*MAX(0,NETWORKDAYS(MAX($H83,ASOF,AJ$72),MIN(MAX($I83,ASOF),AJ$72+6),HOLIDAYS)))</f>
        <v>0</v>
      </c>
      <c r="AK83" s="289" t="n">
        <f aca="false">IF($L83=0,0,$L83*MAX(0,NETWORKDAYS(MAX($H83,ASOF,AK$72),MIN(MAX($I83,ASOF),AK$72+6),HOLIDAYS)))</f>
        <v>0</v>
      </c>
      <c r="AL83" s="289" t="n">
        <f aca="false">IF($L83=0,0,$L83*MAX(0,NETWORKDAYS(MAX($H83,ASOF,AL$72),MIN(MAX($I83,ASOF),AL$72+6),HOLIDAYS)))</f>
        <v>0</v>
      </c>
      <c r="AM83" s="289" t="n">
        <f aca="false">IF($L83=0,0,$L83*MAX(0,NETWORKDAYS(MAX($H83,ASOF,AM$72),MIN(MAX($I83,ASOF),AM$72+6),HOLIDAYS)))</f>
        <v>0</v>
      </c>
      <c r="AN83" s="289" t="n">
        <f aca="false">IF($L83=0,0,$L83*MAX(0,NETWORKDAYS(MAX($H83,ASOF,AN$72),MIN(MAX($I83,ASOF),AN$72+6),HOLIDAYS)))</f>
        <v>0</v>
      </c>
      <c r="AO83" s="289" t="n">
        <f aca="false">IF($L83=0,0,$L83*MAX(0,NETWORKDAYS(MAX($H83,ASOF,AO$72),MIN(MAX($I83,ASOF),AO$72+6),HOLIDAYS)))</f>
        <v>0</v>
      </c>
      <c r="AP83" s="289" t="n">
        <f aca="false">IF($L83=0,0,$L83*MAX(0,NETWORKDAYS(MAX($H83,ASOF,AP$72),MIN(MAX($I83,ASOF),AP$72+6),HOLIDAYS)))</f>
        <v>0</v>
      </c>
      <c r="AQ83" s="289" t="n">
        <f aca="false">IF($L83=0,0,$L83*MAX(0,NETWORKDAYS(MAX($H83,ASOF,AQ$72),MIN(MAX($I83,ASOF),AQ$72+6),HOLIDAYS)))</f>
        <v>0</v>
      </c>
      <c r="AR83" s="289" t="n">
        <f aca="false">IF($L83=0,0,$L83*MAX(0,NETWORKDAYS(MAX($H83,ASOF,AR$72),MIN(MAX($I83,ASOF),AR$72+6),HOLIDAYS)))</f>
        <v>0</v>
      </c>
    </row>
    <row r="84" customFormat="false" ht="15" hidden="false" customHeight="false" outlineLevel="1" collapsed="false">
      <c r="A84" s="282" t="s">
        <v>42</v>
      </c>
      <c r="B84" s="283" t="s">
        <v>44</v>
      </c>
      <c r="C84" s="284" t="s">
        <v>2370</v>
      </c>
      <c r="D84" s="284" t="s">
        <v>2313</v>
      </c>
      <c r="E84" s="285" t="n">
        <v>1</v>
      </c>
      <c r="F84" s="290" t="s">
        <v>35</v>
      </c>
      <c r="G84" s="285" t="n">
        <f aca="false">SUM(O84:AR84)</f>
        <v>20</v>
      </c>
      <c r="H84" s="286" t="n">
        <f aca="false">IF(ISNUMBER('P9-001'!$N$62),'P9-001'!$N$62,"")</f>
        <v>46328</v>
      </c>
      <c r="I84" s="286" t="n">
        <f aca="false">IF(ISNUMBER('P9-001'!$O$115),'P9-001'!$O$115,"")</f>
        <v>46359</v>
      </c>
      <c r="J84" s="287"/>
      <c r="K84" s="287" t="n">
        <f aca="false">IF(G84&gt;0,$F$17,0)</f>
        <v>1</v>
      </c>
      <c r="L84" s="285" t="n">
        <v>0</v>
      </c>
      <c r="M84" s="290" t="s">
        <v>2310</v>
      </c>
      <c r="N84" s="288" t="str">
        <f aca="false">""</f>
        <v/>
      </c>
      <c r="O84" s="289" t="n">
        <f aca="false">IF(SUMIFS(O$73:O$312,$A$73:$A$312,"P9-001",$M$73:$M$312,"&lt;&gt;คุม")&gt;0,$F$17*NETWORKDAYS(O$72,O$72+6,HOLIDAYS),0)</f>
        <v>5</v>
      </c>
      <c r="P84" s="289" t="n">
        <f aca="false">IF(SUMIFS(P$73:P$312,$A$73:$A$312,"P9-001",$M$73:$M$312,"&lt;&gt;คุม")&gt;0,$F$17*NETWORKDAYS(P$72,P$72+6,HOLIDAYS),0)</f>
        <v>5</v>
      </c>
      <c r="Q84" s="289" t="n">
        <f aca="false">IF(SUMIFS(Q$73:Q$312,$A$73:$A$312,"P9-001",$M$73:$M$312,"&lt;&gt;คุม")&gt;0,$F$17*NETWORKDAYS(Q$72,Q$72+6,HOLIDAYS),0)</f>
        <v>5</v>
      </c>
      <c r="R84" s="289" t="n">
        <f aca="false">IF(SUMIFS(R$73:R$312,$A$73:$A$312,"P9-001",$M$73:$M$312,"&lt;&gt;คุม")&gt;0,$F$17*NETWORKDAYS(R$72,R$72+6,HOLIDAYS),0)</f>
        <v>0</v>
      </c>
      <c r="S84" s="289" t="n">
        <f aca="false">IF(SUMIFS(S$73:S$312,$A$73:$A$312,"P9-001",$M$73:$M$312,"&lt;&gt;คุม")&gt;0,$F$17*NETWORKDAYS(S$72,S$72+6,HOLIDAYS),0)</f>
        <v>5</v>
      </c>
      <c r="T84" s="289" t="n">
        <f aca="false">IF(SUMIFS(T$73:T$312,$A$73:$A$312,"P9-001",$M$73:$M$312,"&lt;&gt;คุม")&gt;0,$F$17*NETWORKDAYS(T$72,T$72+6,HOLIDAYS),0)</f>
        <v>0</v>
      </c>
      <c r="U84" s="289" t="n">
        <f aca="false">IF(SUMIFS(U$73:U$312,$A$73:$A$312,"P9-001",$M$73:$M$312,"&lt;&gt;คุม")&gt;0,$F$17*NETWORKDAYS(U$72,U$72+6,HOLIDAYS),0)</f>
        <v>0</v>
      </c>
      <c r="V84" s="289" t="n">
        <f aca="false">IF(SUMIFS(V$73:V$312,$A$73:$A$312,"P9-001",$M$73:$M$312,"&lt;&gt;คุม")&gt;0,$F$17*NETWORKDAYS(V$72,V$72+6,HOLIDAYS),0)</f>
        <v>0</v>
      </c>
      <c r="W84" s="289" t="n">
        <f aca="false">IF(SUMIFS(W$73:W$312,$A$73:$A$312,"P9-001",$M$73:$M$312,"&lt;&gt;คุม")&gt;0,$F$17*NETWORKDAYS(W$72,W$72+6,HOLIDAYS),0)</f>
        <v>0</v>
      </c>
      <c r="X84" s="289" t="n">
        <f aca="false">IF(SUMIFS(X$73:X$312,$A$73:$A$312,"P9-001",$M$73:$M$312,"&lt;&gt;คุม")&gt;0,$F$17*NETWORKDAYS(X$72,X$72+6,HOLIDAYS),0)</f>
        <v>0</v>
      </c>
      <c r="Y84" s="289" t="n">
        <f aca="false">IF(SUMIFS(Y$73:Y$312,$A$73:$A$312,"P9-001",$M$73:$M$312,"&lt;&gt;คุม")&gt;0,$F$17*NETWORKDAYS(Y$72,Y$72+6,HOLIDAYS),0)</f>
        <v>0</v>
      </c>
      <c r="Z84" s="289" t="n">
        <f aca="false">IF(SUMIFS(Z$73:Z$312,$A$73:$A$312,"P9-001",$M$73:$M$312,"&lt;&gt;คุม")&gt;0,$F$17*NETWORKDAYS(Z$72,Z$72+6,HOLIDAYS),0)</f>
        <v>0</v>
      </c>
      <c r="AA84" s="289" t="n">
        <f aca="false">IF(SUMIFS(AA$73:AA$312,$A$73:$A$312,"P9-001",$M$73:$M$312,"&lt;&gt;คุม")&gt;0,$F$17*NETWORKDAYS(AA$72,AA$72+6,HOLIDAYS),0)</f>
        <v>0</v>
      </c>
      <c r="AB84" s="289" t="n">
        <f aca="false">IF(SUMIFS(AB$73:AB$312,$A$73:$A$312,"P9-001",$M$73:$M$312,"&lt;&gt;คุม")&gt;0,$F$17*NETWORKDAYS(AB$72,AB$72+6,HOLIDAYS),0)</f>
        <v>0</v>
      </c>
      <c r="AC84" s="289" t="n">
        <f aca="false">IF(SUMIFS(AC$73:AC$312,$A$73:$A$312,"P9-001",$M$73:$M$312,"&lt;&gt;คุม")&gt;0,$F$17*NETWORKDAYS(AC$72,AC$72+6,HOLIDAYS),0)</f>
        <v>0</v>
      </c>
      <c r="AD84" s="289" t="n">
        <f aca="false">IF(SUMIFS(AD$73:AD$312,$A$73:$A$312,"P9-001",$M$73:$M$312,"&lt;&gt;คุม")&gt;0,$F$17*NETWORKDAYS(AD$72,AD$72+6,HOLIDAYS),0)</f>
        <v>0</v>
      </c>
      <c r="AE84" s="289" t="n">
        <f aca="false">IF(SUMIFS(AE$73:AE$312,$A$73:$A$312,"P9-001",$M$73:$M$312,"&lt;&gt;คุม")&gt;0,$F$17*NETWORKDAYS(AE$72,AE$72+6,HOLIDAYS),0)</f>
        <v>0</v>
      </c>
      <c r="AF84" s="289" t="n">
        <f aca="false">IF(SUMIFS(AF$73:AF$312,$A$73:$A$312,"P9-001",$M$73:$M$312,"&lt;&gt;คุม")&gt;0,$F$17*NETWORKDAYS(AF$72,AF$72+6,HOLIDAYS),0)</f>
        <v>0</v>
      </c>
      <c r="AG84" s="289" t="n">
        <f aca="false">IF(SUMIFS(AG$73:AG$312,$A$73:$A$312,"P9-001",$M$73:$M$312,"&lt;&gt;คุม")&gt;0,$F$17*NETWORKDAYS(AG$72,AG$72+6,HOLIDAYS),0)</f>
        <v>0</v>
      </c>
      <c r="AH84" s="289" t="n">
        <f aca="false">IF(SUMIFS(AH$73:AH$312,$A$73:$A$312,"P9-001",$M$73:$M$312,"&lt;&gt;คุม")&gt;0,$F$17*NETWORKDAYS(AH$72,AH$72+6,HOLIDAYS),0)</f>
        <v>0</v>
      </c>
      <c r="AI84" s="289" t="n">
        <f aca="false">IF(SUMIFS(AI$73:AI$312,$A$73:$A$312,"P9-001",$M$73:$M$312,"&lt;&gt;คุม")&gt;0,$F$17*NETWORKDAYS(AI$72,AI$72+6,HOLIDAYS),0)</f>
        <v>0</v>
      </c>
      <c r="AJ84" s="289" t="n">
        <f aca="false">IF(SUMIFS(AJ$73:AJ$312,$A$73:$A$312,"P9-001",$M$73:$M$312,"&lt;&gt;คุม")&gt;0,$F$17*NETWORKDAYS(AJ$72,AJ$72+6,HOLIDAYS),0)</f>
        <v>0</v>
      </c>
      <c r="AK84" s="289" t="n">
        <f aca="false">IF(SUMIFS(AK$73:AK$312,$A$73:$A$312,"P9-001",$M$73:$M$312,"&lt;&gt;คุม")&gt;0,$F$17*NETWORKDAYS(AK$72,AK$72+6,HOLIDAYS),0)</f>
        <v>0</v>
      </c>
      <c r="AL84" s="289" t="n">
        <f aca="false">IF(SUMIFS(AL$73:AL$312,$A$73:$A$312,"P9-001",$M$73:$M$312,"&lt;&gt;คุม")&gt;0,$F$17*NETWORKDAYS(AL$72,AL$72+6,HOLIDAYS),0)</f>
        <v>0</v>
      </c>
      <c r="AM84" s="289" t="n">
        <f aca="false">IF(SUMIFS(AM$73:AM$312,$A$73:$A$312,"P9-001",$M$73:$M$312,"&lt;&gt;คุม")&gt;0,$F$17*NETWORKDAYS(AM$72,AM$72+6,HOLIDAYS),0)</f>
        <v>0</v>
      </c>
      <c r="AN84" s="289" t="n">
        <f aca="false">IF(SUMIFS(AN$73:AN$312,$A$73:$A$312,"P9-001",$M$73:$M$312,"&lt;&gt;คุม")&gt;0,$F$17*NETWORKDAYS(AN$72,AN$72+6,HOLIDAYS),0)</f>
        <v>0</v>
      </c>
      <c r="AO84" s="289" t="n">
        <f aca="false">IF(SUMIFS(AO$73:AO$312,$A$73:$A$312,"P9-001",$M$73:$M$312,"&lt;&gt;คุม")&gt;0,$F$17*NETWORKDAYS(AO$72,AO$72+6,HOLIDAYS),0)</f>
        <v>0</v>
      </c>
      <c r="AP84" s="289" t="n">
        <f aca="false">IF(SUMIFS(AP$73:AP$312,$A$73:$A$312,"P9-001",$M$73:$M$312,"&lt;&gt;คุม")&gt;0,$F$17*NETWORKDAYS(AP$72,AP$72+6,HOLIDAYS),0)</f>
        <v>0</v>
      </c>
      <c r="AQ84" s="289" t="n">
        <f aca="false">IF(SUMIFS(AQ$73:AQ$312,$A$73:$A$312,"P9-001",$M$73:$M$312,"&lt;&gt;คุม")&gt;0,$F$17*NETWORKDAYS(AQ$72,AQ$72+6,HOLIDAYS),0)</f>
        <v>0</v>
      </c>
      <c r="AR84" s="289" t="n">
        <f aca="false">IF(SUMIFS(AR$73:AR$312,$A$73:$A$312,"P9-001",$M$73:$M$312,"&lt;&gt;คุม")&gt;0,$F$17*NETWORKDAYS(AR$72,AR$72+6,HOLIDAYS),0)</f>
        <v>0</v>
      </c>
    </row>
    <row r="85" customFormat="false" ht="15" hidden="false" customHeight="false" outlineLevel="1" collapsed="false">
      <c r="A85" s="282" t="s">
        <v>46</v>
      </c>
      <c r="B85" s="283" t="s">
        <v>48</v>
      </c>
      <c r="C85" s="284" t="s">
        <v>2358</v>
      </c>
      <c r="D85" s="284" t="s">
        <v>2280</v>
      </c>
      <c r="E85" s="285" t="n">
        <v>308.48</v>
      </c>
      <c r="F85" s="283" t="s">
        <v>2359</v>
      </c>
      <c r="G85" s="285" t="n">
        <f aca="false">$F$5*(E85/$G$5+$H$5)</f>
        <v>51.3568</v>
      </c>
      <c r="H85" s="286" t="n">
        <f aca="false">IF(ISNUMBER('P9-002'!$N$62),'P9-002'!$N$62,"")</f>
        <v>46328</v>
      </c>
      <c r="I85" s="286" t="n">
        <f aca="false">IF(ISNUMBER('P9-002'!$O$62),'P9-002'!$O$62,"")</f>
        <v>46336</v>
      </c>
      <c r="J85" s="287" t="n">
        <f aca="false">IF(OR(H85="",I85="",N85&gt;=1),0,MAX(1,NETWORKDAYS(MAX(H85,ASOF),MAX(I85,ASOF),HOLIDAYS)))</f>
        <v>7</v>
      </c>
      <c r="K85" s="287" t="n">
        <f aca="false">IF(L85=0,0,ROUNDUP(L85/$F$5,0))</f>
        <v>2</v>
      </c>
      <c r="L85" s="285" t="n">
        <f aca="false">IF(J85=0,0,G85*(1-N85)/J85)</f>
        <v>7.33668571428571</v>
      </c>
      <c r="M85" s="283" t="s">
        <v>872</v>
      </c>
      <c r="N85" s="288" t="n">
        <f aca="false">IFERROR(MIN(1,'P9-002'!$V$62)+0,0)</f>
        <v>0</v>
      </c>
      <c r="O85" s="289" t="n">
        <f aca="false">IF($L85=0,0,$L85*MAX(0,NETWORKDAYS(MAX($H85,ASOF,O$72),MIN(MAX($I85,ASOF),O$72+6),HOLIDAYS)))</f>
        <v>36.6834285714286</v>
      </c>
      <c r="P85" s="289" t="n">
        <f aca="false">IF($L85=0,0,$L85*MAX(0,NETWORKDAYS(MAX($H85,ASOF,P$72),MIN(MAX($I85,ASOF),P$72+6),HOLIDAYS)))</f>
        <v>14.6733714285714</v>
      </c>
      <c r="Q85" s="289" t="n">
        <f aca="false">IF($L85=0,0,$L85*MAX(0,NETWORKDAYS(MAX($H85,ASOF,Q$72),MIN(MAX($I85,ASOF),Q$72+6),HOLIDAYS)))</f>
        <v>0</v>
      </c>
      <c r="R85" s="289" t="n">
        <f aca="false">IF($L85=0,0,$L85*MAX(0,NETWORKDAYS(MAX($H85,ASOF,R$72),MIN(MAX($I85,ASOF),R$72+6),HOLIDAYS)))</f>
        <v>0</v>
      </c>
      <c r="S85" s="289" t="n">
        <f aca="false">IF($L85=0,0,$L85*MAX(0,NETWORKDAYS(MAX($H85,ASOF,S$72),MIN(MAX($I85,ASOF),S$72+6),HOLIDAYS)))</f>
        <v>0</v>
      </c>
      <c r="T85" s="289" t="n">
        <f aca="false">IF($L85=0,0,$L85*MAX(0,NETWORKDAYS(MAX($H85,ASOF,T$72),MIN(MAX($I85,ASOF),T$72+6),HOLIDAYS)))</f>
        <v>0</v>
      </c>
      <c r="U85" s="289" t="n">
        <f aca="false">IF($L85=0,0,$L85*MAX(0,NETWORKDAYS(MAX($H85,ASOF,U$72),MIN(MAX($I85,ASOF),U$72+6),HOLIDAYS)))</f>
        <v>0</v>
      </c>
      <c r="V85" s="289" t="n">
        <f aca="false">IF($L85=0,0,$L85*MAX(0,NETWORKDAYS(MAX($H85,ASOF,V$72),MIN(MAX($I85,ASOF),V$72+6),HOLIDAYS)))</f>
        <v>0</v>
      </c>
      <c r="W85" s="289" t="n">
        <f aca="false">IF($L85=0,0,$L85*MAX(0,NETWORKDAYS(MAX($H85,ASOF,W$72),MIN(MAX($I85,ASOF),W$72+6),HOLIDAYS)))</f>
        <v>0</v>
      </c>
      <c r="X85" s="289" t="n">
        <f aca="false">IF($L85=0,0,$L85*MAX(0,NETWORKDAYS(MAX($H85,ASOF,X$72),MIN(MAX($I85,ASOF),X$72+6),HOLIDAYS)))</f>
        <v>0</v>
      </c>
      <c r="Y85" s="289" t="n">
        <f aca="false">IF($L85=0,0,$L85*MAX(0,NETWORKDAYS(MAX($H85,ASOF,Y$72),MIN(MAX($I85,ASOF),Y$72+6),HOLIDAYS)))</f>
        <v>0</v>
      </c>
      <c r="Z85" s="289" t="n">
        <f aca="false">IF($L85=0,0,$L85*MAX(0,NETWORKDAYS(MAX($H85,ASOF,Z$72),MIN(MAX($I85,ASOF),Z$72+6),HOLIDAYS)))</f>
        <v>0</v>
      </c>
      <c r="AA85" s="289" t="n">
        <f aca="false">IF($L85=0,0,$L85*MAX(0,NETWORKDAYS(MAX($H85,ASOF,AA$72),MIN(MAX($I85,ASOF),AA$72+6),HOLIDAYS)))</f>
        <v>0</v>
      </c>
      <c r="AB85" s="289" t="n">
        <f aca="false">IF($L85=0,0,$L85*MAX(0,NETWORKDAYS(MAX($H85,ASOF,AB$72),MIN(MAX($I85,ASOF),AB$72+6),HOLIDAYS)))</f>
        <v>0</v>
      </c>
      <c r="AC85" s="289" t="n">
        <f aca="false">IF($L85=0,0,$L85*MAX(0,NETWORKDAYS(MAX($H85,ASOF,AC$72),MIN(MAX($I85,ASOF),AC$72+6),HOLIDAYS)))</f>
        <v>0</v>
      </c>
      <c r="AD85" s="289" t="n">
        <f aca="false">IF($L85=0,0,$L85*MAX(0,NETWORKDAYS(MAX($H85,ASOF,AD$72),MIN(MAX($I85,ASOF),AD$72+6),HOLIDAYS)))</f>
        <v>0</v>
      </c>
      <c r="AE85" s="289" t="n">
        <f aca="false">IF($L85=0,0,$L85*MAX(0,NETWORKDAYS(MAX($H85,ASOF,AE$72),MIN(MAX($I85,ASOF),AE$72+6),HOLIDAYS)))</f>
        <v>0</v>
      </c>
      <c r="AF85" s="289" t="n">
        <f aca="false">IF($L85=0,0,$L85*MAX(0,NETWORKDAYS(MAX($H85,ASOF,AF$72),MIN(MAX($I85,ASOF),AF$72+6),HOLIDAYS)))</f>
        <v>0</v>
      </c>
      <c r="AG85" s="289" t="n">
        <f aca="false">IF($L85=0,0,$L85*MAX(0,NETWORKDAYS(MAX($H85,ASOF,AG$72),MIN(MAX($I85,ASOF),AG$72+6),HOLIDAYS)))</f>
        <v>0</v>
      </c>
      <c r="AH85" s="289" t="n">
        <f aca="false">IF($L85=0,0,$L85*MAX(0,NETWORKDAYS(MAX($H85,ASOF,AH$72),MIN(MAX($I85,ASOF),AH$72+6),HOLIDAYS)))</f>
        <v>0</v>
      </c>
      <c r="AI85" s="289" t="n">
        <f aca="false">IF($L85=0,0,$L85*MAX(0,NETWORKDAYS(MAX($H85,ASOF,AI$72),MIN(MAX($I85,ASOF),AI$72+6),HOLIDAYS)))</f>
        <v>0</v>
      </c>
      <c r="AJ85" s="289" t="n">
        <f aca="false">IF($L85=0,0,$L85*MAX(0,NETWORKDAYS(MAX($H85,ASOF,AJ$72),MIN(MAX($I85,ASOF),AJ$72+6),HOLIDAYS)))</f>
        <v>0</v>
      </c>
      <c r="AK85" s="289" t="n">
        <f aca="false">IF($L85=0,0,$L85*MAX(0,NETWORKDAYS(MAX($H85,ASOF,AK$72),MIN(MAX($I85,ASOF),AK$72+6),HOLIDAYS)))</f>
        <v>0</v>
      </c>
      <c r="AL85" s="289" t="n">
        <f aca="false">IF($L85=0,0,$L85*MAX(0,NETWORKDAYS(MAX($H85,ASOF,AL$72),MIN(MAX($I85,ASOF),AL$72+6),HOLIDAYS)))</f>
        <v>0</v>
      </c>
      <c r="AM85" s="289" t="n">
        <f aca="false">IF($L85=0,0,$L85*MAX(0,NETWORKDAYS(MAX($H85,ASOF,AM$72),MIN(MAX($I85,ASOF),AM$72+6),HOLIDAYS)))</f>
        <v>0</v>
      </c>
      <c r="AN85" s="289" t="n">
        <f aca="false">IF($L85=0,0,$L85*MAX(0,NETWORKDAYS(MAX($H85,ASOF,AN$72),MIN(MAX($I85,ASOF),AN$72+6),HOLIDAYS)))</f>
        <v>0</v>
      </c>
      <c r="AO85" s="289" t="n">
        <f aca="false">IF($L85=0,0,$L85*MAX(0,NETWORKDAYS(MAX($H85,ASOF,AO$72),MIN(MAX($I85,ASOF),AO$72+6),HOLIDAYS)))</f>
        <v>0</v>
      </c>
      <c r="AP85" s="289" t="n">
        <f aca="false">IF($L85=0,0,$L85*MAX(0,NETWORKDAYS(MAX($H85,ASOF,AP$72),MIN(MAX($I85,ASOF),AP$72+6),HOLIDAYS)))</f>
        <v>0</v>
      </c>
      <c r="AQ85" s="289" t="n">
        <f aca="false">IF($L85=0,0,$L85*MAX(0,NETWORKDAYS(MAX($H85,ASOF,AQ$72),MIN(MAX($I85,ASOF),AQ$72+6),HOLIDAYS)))</f>
        <v>0</v>
      </c>
      <c r="AR85" s="289" t="n">
        <f aca="false">IF($L85=0,0,$L85*MAX(0,NETWORKDAYS(MAX($H85,ASOF,AR$72),MIN(MAX($I85,ASOF),AR$72+6),HOLIDAYS)))</f>
        <v>0</v>
      </c>
    </row>
    <row r="86" customFormat="false" ht="15" hidden="false" customHeight="false" outlineLevel="1" collapsed="false">
      <c r="A86" s="282" t="s">
        <v>46</v>
      </c>
      <c r="B86" s="283" t="s">
        <v>48</v>
      </c>
      <c r="C86" s="284" t="s">
        <v>2360</v>
      </c>
      <c r="D86" s="284" t="s">
        <v>2284</v>
      </c>
      <c r="E86" s="285" t="n">
        <v>280.44</v>
      </c>
      <c r="F86" s="283" t="s">
        <v>527</v>
      </c>
      <c r="G86" s="285" t="n">
        <f aca="false">$F$6*(E86/$G$6+$H$6)</f>
        <v>24.033</v>
      </c>
      <c r="H86" s="286" t="n">
        <f aca="false">IF(ISNUMBER('P9-002'!$N$70),'P9-002'!$N$70,"")</f>
        <v>46343</v>
      </c>
      <c r="I86" s="286" t="n">
        <f aca="false">IF(ISNUMBER('P9-002'!$O$70),'P9-002'!$O$70,"")</f>
        <v>46346</v>
      </c>
      <c r="J86" s="287" t="n">
        <f aca="false">IF(OR(H86="",I86="",N86&gt;=1),0,MAX(1,NETWORKDAYS(MAX(H86,ASOF),MAX(I86,ASOF),HOLIDAYS)))</f>
        <v>4</v>
      </c>
      <c r="K86" s="287" t="n">
        <f aca="false">IF(L86=0,0,ROUNDUP(L86/$F$6,0))</f>
        <v>3</v>
      </c>
      <c r="L86" s="285" t="n">
        <f aca="false">IF(J86=0,0,G86*(1-N86)/J86)</f>
        <v>6.00825</v>
      </c>
      <c r="M86" s="283" t="s">
        <v>987</v>
      </c>
      <c r="N86" s="288" t="n">
        <f aca="false">IFERROR(MIN(1,'P9-002'!$V$70)+0,0)</f>
        <v>0</v>
      </c>
      <c r="O86" s="289" t="n">
        <f aca="false">IF($L86=0,0,$L86*MAX(0,NETWORKDAYS(MAX($H86,ASOF,O$72),MIN(MAX($I86,ASOF),O$72+6),HOLIDAYS)))</f>
        <v>0</v>
      </c>
      <c r="P86" s="289" t="n">
        <f aca="false">IF($L86=0,0,$L86*MAX(0,NETWORKDAYS(MAX($H86,ASOF,P$72),MIN(MAX($I86,ASOF),P$72+6),HOLIDAYS)))</f>
        <v>0</v>
      </c>
      <c r="Q86" s="289" t="n">
        <f aca="false">IF($L86=0,0,$L86*MAX(0,NETWORKDAYS(MAX($H86,ASOF,Q$72),MIN(MAX($I86,ASOF),Q$72+6),HOLIDAYS)))</f>
        <v>24.033</v>
      </c>
      <c r="R86" s="289" t="n">
        <f aca="false">IF($L86=0,0,$L86*MAX(0,NETWORKDAYS(MAX($H86,ASOF,R$72),MIN(MAX($I86,ASOF),R$72+6),HOLIDAYS)))</f>
        <v>0</v>
      </c>
      <c r="S86" s="289" t="n">
        <f aca="false">IF($L86=0,0,$L86*MAX(0,NETWORKDAYS(MAX($H86,ASOF,S$72),MIN(MAX($I86,ASOF),S$72+6),HOLIDAYS)))</f>
        <v>0</v>
      </c>
      <c r="T86" s="289" t="n">
        <f aca="false">IF($L86=0,0,$L86*MAX(0,NETWORKDAYS(MAX($H86,ASOF,T$72),MIN(MAX($I86,ASOF),T$72+6),HOLIDAYS)))</f>
        <v>0</v>
      </c>
      <c r="U86" s="289" t="n">
        <f aca="false">IF($L86=0,0,$L86*MAX(0,NETWORKDAYS(MAX($H86,ASOF,U$72),MIN(MAX($I86,ASOF),U$72+6),HOLIDAYS)))</f>
        <v>0</v>
      </c>
      <c r="V86" s="289" t="n">
        <f aca="false">IF($L86=0,0,$L86*MAX(0,NETWORKDAYS(MAX($H86,ASOF,V$72),MIN(MAX($I86,ASOF),V$72+6),HOLIDAYS)))</f>
        <v>0</v>
      </c>
      <c r="W86" s="289" t="n">
        <f aca="false">IF($L86=0,0,$L86*MAX(0,NETWORKDAYS(MAX($H86,ASOF,W$72),MIN(MAX($I86,ASOF),W$72+6),HOLIDAYS)))</f>
        <v>0</v>
      </c>
      <c r="X86" s="289" t="n">
        <f aca="false">IF($L86=0,0,$L86*MAX(0,NETWORKDAYS(MAX($H86,ASOF,X$72),MIN(MAX($I86,ASOF),X$72+6),HOLIDAYS)))</f>
        <v>0</v>
      </c>
      <c r="Y86" s="289" t="n">
        <f aca="false">IF($L86=0,0,$L86*MAX(0,NETWORKDAYS(MAX($H86,ASOF,Y$72),MIN(MAX($I86,ASOF),Y$72+6),HOLIDAYS)))</f>
        <v>0</v>
      </c>
      <c r="Z86" s="289" t="n">
        <f aca="false">IF($L86=0,0,$L86*MAX(0,NETWORKDAYS(MAX($H86,ASOF,Z$72),MIN(MAX($I86,ASOF),Z$72+6),HOLIDAYS)))</f>
        <v>0</v>
      </c>
      <c r="AA86" s="289" t="n">
        <f aca="false">IF($L86=0,0,$L86*MAX(0,NETWORKDAYS(MAX($H86,ASOF,AA$72),MIN(MAX($I86,ASOF),AA$72+6),HOLIDAYS)))</f>
        <v>0</v>
      </c>
      <c r="AB86" s="289" t="n">
        <f aca="false">IF($L86=0,0,$L86*MAX(0,NETWORKDAYS(MAX($H86,ASOF,AB$72),MIN(MAX($I86,ASOF),AB$72+6),HOLIDAYS)))</f>
        <v>0</v>
      </c>
      <c r="AC86" s="289" t="n">
        <f aca="false">IF($L86=0,0,$L86*MAX(0,NETWORKDAYS(MAX($H86,ASOF,AC$72),MIN(MAX($I86,ASOF),AC$72+6),HOLIDAYS)))</f>
        <v>0</v>
      </c>
      <c r="AD86" s="289" t="n">
        <f aca="false">IF($L86=0,0,$L86*MAX(0,NETWORKDAYS(MAX($H86,ASOF,AD$72),MIN(MAX($I86,ASOF),AD$72+6),HOLIDAYS)))</f>
        <v>0</v>
      </c>
      <c r="AE86" s="289" t="n">
        <f aca="false">IF($L86=0,0,$L86*MAX(0,NETWORKDAYS(MAX($H86,ASOF,AE$72),MIN(MAX($I86,ASOF),AE$72+6),HOLIDAYS)))</f>
        <v>0</v>
      </c>
      <c r="AF86" s="289" t="n">
        <f aca="false">IF($L86=0,0,$L86*MAX(0,NETWORKDAYS(MAX($H86,ASOF,AF$72),MIN(MAX($I86,ASOF),AF$72+6),HOLIDAYS)))</f>
        <v>0</v>
      </c>
      <c r="AG86" s="289" t="n">
        <f aca="false">IF($L86=0,0,$L86*MAX(0,NETWORKDAYS(MAX($H86,ASOF,AG$72),MIN(MAX($I86,ASOF),AG$72+6),HOLIDAYS)))</f>
        <v>0</v>
      </c>
      <c r="AH86" s="289" t="n">
        <f aca="false">IF($L86=0,0,$L86*MAX(0,NETWORKDAYS(MAX($H86,ASOF,AH$72),MIN(MAX($I86,ASOF),AH$72+6),HOLIDAYS)))</f>
        <v>0</v>
      </c>
      <c r="AI86" s="289" t="n">
        <f aca="false">IF($L86=0,0,$L86*MAX(0,NETWORKDAYS(MAX($H86,ASOF,AI$72),MIN(MAX($I86,ASOF),AI$72+6),HOLIDAYS)))</f>
        <v>0</v>
      </c>
      <c r="AJ86" s="289" t="n">
        <f aca="false">IF($L86=0,0,$L86*MAX(0,NETWORKDAYS(MAX($H86,ASOF,AJ$72),MIN(MAX($I86,ASOF),AJ$72+6),HOLIDAYS)))</f>
        <v>0</v>
      </c>
      <c r="AK86" s="289" t="n">
        <f aca="false">IF($L86=0,0,$L86*MAX(0,NETWORKDAYS(MAX($H86,ASOF,AK$72),MIN(MAX($I86,ASOF),AK$72+6),HOLIDAYS)))</f>
        <v>0</v>
      </c>
      <c r="AL86" s="289" t="n">
        <f aca="false">IF($L86=0,0,$L86*MAX(0,NETWORKDAYS(MAX($H86,ASOF,AL$72),MIN(MAX($I86,ASOF),AL$72+6),HOLIDAYS)))</f>
        <v>0</v>
      </c>
      <c r="AM86" s="289" t="n">
        <f aca="false">IF($L86=0,0,$L86*MAX(0,NETWORKDAYS(MAX($H86,ASOF,AM$72),MIN(MAX($I86,ASOF),AM$72+6),HOLIDAYS)))</f>
        <v>0</v>
      </c>
      <c r="AN86" s="289" t="n">
        <f aca="false">IF($L86=0,0,$L86*MAX(0,NETWORKDAYS(MAX($H86,ASOF,AN$72),MIN(MAX($I86,ASOF),AN$72+6),HOLIDAYS)))</f>
        <v>0</v>
      </c>
      <c r="AO86" s="289" t="n">
        <f aca="false">IF($L86=0,0,$L86*MAX(0,NETWORKDAYS(MAX($H86,ASOF,AO$72),MIN(MAX($I86,ASOF),AO$72+6),HOLIDAYS)))</f>
        <v>0</v>
      </c>
      <c r="AP86" s="289" t="n">
        <f aca="false">IF($L86=0,0,$L86*MAX(0,NETWORKDAYS(MAX($H86,ASOF,AP$72),MIN(MAX($I86,ASOF),AP$72+6),HOLIDAYS)))</f>
        <v>0</v>
      </c>
      <c r="AQ86" s="289" t="n">
        <f aca="false">IF($L86=0,0,$L86*MAX(0,NETWORKDAYS(MAX($H86,ASOF,AQ$72),MIN(MAX($I86,ASOF),AQ$72+6),HOLIDAYS)))</f>
        <v>0</v>
      </c>
      <c r="AR86" s="289" t="n">
        <f aca="false">IF($L86=0,0,$L86*MAX(0,NETWORKDAYS(MAX($H86,ASOF,AR$72),MIN(MAX($I86,ASOF),AR$72+6),HOLIDAYS)))</f>
        <v>0</v>
      </c>
    </row>
    <row r="87" customFormat="false" ht="15" hidden="false" customHeight="false" outlineLevel="1" collapsed="false">
      <c r="A87" s="282" t="s">
        <v>46</v>
      </c>
      <c r="B87" s="283" t="s">
        <v>48</v>
      </c>
      <c r="C87" s="284" t="s">
        <v>2361</v>
      </c>
      <c r="D87" s="284" t="s">
        <v>2280</v>
      </c>
      <c r="E87" s="285" t="n">
        <v>280.44</v>
      </c>
      <c r="F87" s="283" t="s">
        <v>527</v>
      </c>
      <c r="G87" s="285" t="n">
        <f aca="false">$F$7*(E87/$G$7+$H$7)</f>
        <v>34.0502857142857</v>
      </c>
      <c r="H87" s="286" t="n">
        <f aca="false">IF(ISNUMBER('P9-002'!$N$76),'P9-002'!$N$76,"")</f>
        <v>46337</v>
      </c>
      <c r="I87" s="286" t="n">
        <f aca="false">IF(ISNUMBER('P9-002'!$O$76),'P9-002'!$O$76,"")</f>
        <v>46347</v>
      </c>
      <c r="J87" s="287" t="n">
        <f aca="false">IF(OR(H87="",I87="",N87&gt;=1),0,MAX(1,NETWORKDAYS(MAX(H87,ASOF),MAX(I87,ASOF),HOLIDAYS)))</f>
        <v>8</v>
      </c>
      <c r="K87" s="287" t="n">
        <f aca="false">IF(L87=0,0,ROUNDUP(L87/$F$7,0))</f>
        <v>2</v>
      </c>
      <c r="L87" s="285" t="n">
        <f aca="false">IF(J87=0,0,G87*(1-N87)/J87)</f>
        <v>4.25628571428571</v>
      </c>
      <c r="M87" s="283" t="s">
        <v>1037</v>
      </c>
      <c r="N87" s="288" t="n">
        <f aca="false">IFERROR(MIN(1,'P9-002'!$V$76)+0,0)</f>
        <v>0</v>
      </c>
      <c r="O87" s="289" t="n">
        <f aca="false">IF($L87=0,0,$L87*MAX(0,NETWORKDAYS(MAX($H87,ASOF,O$72),MIN(MAX($I87,ASOF),O$72+6),HOLIDAYS)))</f>
        <v>0</v>
      </c>
      <c r="P87" s="289" t="n">
        <f aca="false">IF($L87=0,0,$L87*MAX(0,NETWORKDAYS(MAX($H87,ASOF,P$72),MIN(MAX($I87,ASOF),P$72+6),HOLIDAYS)))</f>
        <v>12.7688571428571</v>
      </c>
      <c r="Q87" s="289" t="n">
        <f aca="false">IF($L87=0,0,$L87*MAX(0,NETWORKDAYS(MAX($H87,ASOF,Q$72),MIN(MAX($I87,ASOF),Q$72+6),HOLIDAYS)))</f>
        <v>21.2814285714286</v>
      </c>
      <c r="R87" s="289" t="n">
        <f aca="false">IF($L87=0,0,$L87*MAX(0,NETWORKDAYS(MAX($H87,ASOF,R$72),MIN(MAX($I87,ASOF),R$72+6),HOLIDAYS)))</f>
        <v>0</v>
      </c>
      <c r="S87" s="289" t="n">
        <f aca="false">IF($L87=0,0,$L87*MAX(0,NETWORKDAYS(MAX($H87,ASOF,S$72),MIN(MAX($I87,ASOF),S$72+6),HOLIDAYS)))</f>
        <v>0</v>
      </c>
      <c r="T87" s="289" t="n">
        <f aca="false">IF($L87=0,0,$L87*MAX(0,NETWORKDAYS(MAX($H87,ASOF,T$72),MIN(MAX($I87,ASOF),T$72+6),HOLIDAYS)))</f>
        <v>0</v>
      </c>
      <c r="U87" s="289" t="n">
        <f aca="false">IF($L87=0,0,$L87*MAX(0,NETWORKDAYS(MAX($H87,ASOF,U$72),MIN(MAX($I87,ASOF),U$72+6),HOLIDAYS)))</f>
        <v>0</v>
      </c>
      <c r="V87" s="289" t="n">
        <f aca="false">IF($L87=0,0,$L87*MAX(0,NETWORKDAYS(MAX($H87,ASOF,V$72),MIN(MAX($I87,ASOF),V$72+6),HOLIDAYS)))</f>
        <v>0</v>
      </c>
      <c r="W87" s="289" t="n">
        <f aca="false">IF($L87=0,0,$L87*MAX(0,NETWORKDAYS(MAX($H87,ASOF,W$72),MIN(MAX($I87,ASOF),W$72+6),HOLIDAYS)))</f>
        <v>0</v>
      </c>
      <c r="X87" s="289" t="n">
        <f aca="false">IF($L87=0,0,$L87*MAX(0,NETWORKDAYS(MAX($H87,ASOF,X$72),MIN(MAX($I87,ASOF),X$72+6),HOLIDAYS)))</f>
        <v>0</v>
      </c>
      <c r="Y87" s="289" t="n">
        <f aca="false">IF($L87=0,0,$L87*MAX(0,NETWORKDAYS(MAX($H87,ASOF,Y$72),MIN(MAX($I87,ASOF),Y$72+6),HOLIDAYS)))</f>
        <v>0</v>
      </c>
      <c r="Z87" s="289" t="n">
        <f aca="false">IF($L87=0,0,$L87*MAX(0,NETWORKDAYS(MAX($H87,ASOF,Z$72),MIN(MAX($I87,ASOF),Z$72+6),HOLIDAYS)))</f>
        <v>0</v>
      </c>
      <c r="AA87" s="289" t="n">
        <f aca="false">IF($L87=0,0,$L87*MAX(0,NETWORKDAYS(MAX($H87,ASOF,AA$72),MIN(MAX($I87,ASOF),AA$72+6),HOLIDAYS)))</f>
        <v>0</v>
      </c>
      <c r="AB87" s="289" t="n">
        <f aca="false">IF($L87=0,0,$L87*MAX(0,NETWORKDAYS(MAX($H87,ASOF,AB$72),MIN(MAX($I87,ASOF),AB$72+6),HOLIDAYS)))</f>
        <v>0</v>
      </c>
      <c r="AC87" s="289" t="n">
        <f aca="false">IF($L87=0,0,$L87*MAX(0,NETWORKDAYS(MAX($H87,ASOF,AC$72),MIN(MAX($I87,ASOF),AC$72+6),HOLIDAYS)))</f>
        <v>0</v>
      </c>
      <c r="AD87" s="289" t="n">
        <f aca="false">IF($L87=0,0,$L87*MAX(0,NETWORKDAYS(MAX($H87,ASOF,AD$72),MIN(MAX($I87,ASOF),AD$72+6),HOLIDAYS)))</f>
        <v>0</v>
      </c>
      <c r="AE87" s="289" t="n">
        <f aca="false">IF($L87=0,0,$L87*MAX(0,NETWORKDAYS(MAX($H87,ASOF,AE$72),MIN(MAX($I87,ASOF),AE$72+6),HOLIDAYS)))</f>
        <v>0</v>
      </c>
      <c r="AF87" s="289" t="n">
        <f aca="false">IF($L87=0,0,$L87*MAX(0,NETWORKDAYS(MAX($H87,ASOF,AF$72),MIN(MAX($I87,ASOF),AF$72+6),HOLIDAYS)))</f>
        <v>0</v>
      </c>
      <c r="AG87" s="289" t="n">
        <f aca="false">IF($L87=0,0,$L87*MAX(0,NETWORKDAYS(MAX($H87,ASOF,AG$72),MIN(MAX($I87,ASOF),AG$72+6),HOLIDAYS)))</f>
        <v>0</v>
      </c>
      <c r="AH87" s="289" t="n">
        <f aca="false">IF($L87=0,0,$L87*MAX(0,NETWORKDAYS(MAX($H87,ASOF,AH$72),MIN(MAX($I87,ASOF),AH$72+6),HOLIDAYS)))</f>
        <v>0</v>
      </c>
      <c r="AI87" s="289" t="n">
        <f aca="false">IF($L87=0,0,$L87*MAX(0,NETWORKDAYS(MAX($H87,ASOF,AI$72),MIN(MAX($I87,ASOF),AI$72+6),HOLIDAYS)))</f>
        <v>0</v>
      </c>
      <c r="AJ87" s="289" t="n">
        <f aca="false">IF($L87=0,0,$L87*MAX(0,NETWORKDAYS(MAX($H87,ASOF,AJ$72),MIN(MAX($I87,ASOF),AJ$72+6),HOLIDAYS)))</f>
        <v>0</v>
      </c>
      <c r="AK87" s="289" t="n">
        <f aca="false">IF($L87=0,0,$L87*MAX(0,NETWORKDAYS(MAX($H87,ASOF,AK$72),MIN(MAX($I87,ASOF),AK$72+6),HOLIDAYS)))</f>
        <v>0</v>
      </c>
      <c r="AL87" s="289" t="n">
        <f aca="false">IF($L87=0,0,$L87*MAX(0,NETWORKDAYS(MAX($H87,ASOF,AL$72),MIN(MAX($I87,ASOF),AL$72+6),HOLIDAYS)))</f>
        <v>0</v>
      </c>
      <c r="AM87" s="289" t="n">
        <f aca="false">IF($L87=0,0,$L87*MAX(0,NETWORKDAYS(MAX($H87,ASOF,AM$72),MIN(MAX($I87,ASOF),AM$72+6),HOLIDAYS)))</f>
        <v>0</v>
      </c>
      <c r="AN87" s="289" t="n">
        <f aca="false">IF($L87=0,0,$L87*MAX(0,NETWORKDAYS(MAX($H87,ASOF,AN$72),MIN(MAX($I87,ASOF),AN$72+6),HOLIDAYS)))</f>
        <v>0</v>
      </c>
      <c r="AO87" s="289" t="n">
        <f aca="false">IF($L87=0,0,$L87*MAX(0,NETWORKDAYS(MAX($H87,ASOF,AO$72),MIN(MAX($I87,ASOF),AO$72+6),HOLIDAYS)))</f>
        <v>0</v>
      </c>
      <c r="AP87" s="289" t="n">
        <f aca="false">IF($L87=0,0,$L87*MAX(0,NETWORKDAYS(MAX($H87,ASOF,AP$72),MIN(MAX($I87,ASOF),AP$72+6),HOLIDAYS)))</f>
        <v>0</v>
      </c>
      <c r="AQ87" s="289" t="n">
        <f aca="false">IF($L87=0,0,$L87*MAX(0,NETWORKDAYS(MAX($H87,ASOF,AQ$72),MIN(MAX($I87,ASOF),AQ$72+6),HOLIDAYS)))</f>
        <v>0</v>
      </c>
      <c r="AR87" s="289" t="n">
        <f aca="false">IF($L87=0,0,$L87*MAX(0,NETWORKDAYS(MAX($H87,ASOF,AR$72),MIN(MAX($I87,ASOF),AR$72+6),HOLIDAYS)))</f>
        <v>0</v>
      </c>
    </row>
    <row r="88" customFormat="false" ht="15" hidden="false" customHeight="false" outlineLevel="1" collapsed="false">
      <c r="A88" s="282" t="s">
        <v>46</v>
      </c>
      <c r="B88" s="283" t="s">
        <v>48</v>
      </c>
      <c r="C88" s="284" t="s">
        <v>2362</v>
      </c>
      <c r="D88" s="284" t="s">
        <v>2284</v>
      </c>
      <c r="E88" s="285" t="n">
        <v>1</v>
      </c>
      <c r="F88" s="290" t="s">
        <v>35</v>
      </c>
      <c r="G88" s="285" t="n">
        <f aca="false">$F$8*$H$8</f>
        <v>2</v>
      </c>
      <c r="H88" s="286" t="n">
        <f aca="false">IF(ISNUMBER('P9-002'!$N$82),'P9-002'!$N$82,"")</f>
        <v>46345</v>
      </c>
      <c r="I88" s="286" t="n">
        <f aca="false">IF(ISNUMBER('P9-002'!$O$82),'P9-002'!$O$82,"")</f>
        <v>46347</v>
      </c>
      <c r="J88" s="287" t="n">
        <f aca="false">IF(OR(H88="",I88="",N88&gt;=1),0,MAX(1,NETWORKDAYS(MAX(H88,ASOF),MAX(I88,ASOF),HOLIDAYS)))</f>
        <v>2</v>
      </c>
      <c r="K88" s="287" t="n">
        <f aca="false">IF(L88=0,0,ROUNDUP(L88/$F$8,0))</f>
        <v>1</v>
      </c>
      <c r="L88" s="285" t="n">
        <f aca="false">IF(J88=0,0,G88*(1-N88)/J88)</f>
        <v>1</v>
      </c>
      <c r="M88" s="283" t="s">
        <v>1063</v>
      </c>
      <c r="N88" s="288" t="n">
        <f aca="false">IFERROR(MIN(1,'P9-002'!$V$82)+0,0)</f>
        <v>0</v>
      </c>
      <c r="O88" s="289" t="n">
        <f aca="false">IF($L88=0,0,$L88*MAX(0,NETWORKDAYS(MAX($H88,ASOF,O$72),MIN(MAX($I88,ASOF),O$72+6),HOLIDAYS)))</f>
        <v>0</v>
      </c>
      <c r="P88" s="289" t="n">
        <f aca="false">IF($L88=0,0,$L88*MAX(0,NETWORKDAYS(MAX($H88,ASOF,P$72),MIN(MAX($I88,ASOF),P$72+6),HOLIDAYS)))</f>
        <v>0</v>
      </c>
      <c r="Q88" s="289" t="n">
        <f aca="false">IF($L88=0,0,$L88*MAX(0,NETWORKDAYS(MAX($H88,ASOF,Q$72),MIN(MAX($I88,ASOF),Q$72+6),HOLIDAYS)))</f>
        <v>2</v>
      </c>
      <c r="R88" s="289" t="n">
        <f aca="false">IF($L88=0,0,$L88*MAX(0,NETWORKDAYS(MAX($H88,ASOF,R$72),MIN(MAX($I88,ASOF),R$72+6),HOLIDAYS)))</f>
        <v>0</v>
      </c>
      <c r="S88" s="289" t="n">
        <f aca="false">IF($L88=0,0,$L88*MAX(0,NETWORKDAYS(MAX($H88,ASOF,S$72),MIN(MAX($I88,ASOF),S$72+6),HOLIDAYS)))</f>
        <v>0</v>
      </c>
      <c r="T88" s="289" t="n">
        <f aca="false">IF($L88=0,0,$L88*MAX(0,NETWORKDAYS(MAX($H88,ASOF,T$72),MIN(MAX($I88,ASOF),T$72+6),HOLIDAYS)))</f>
        <v>0</v>
      </c>
      <c r="U88" s="289" t="n">
        <f aca="false">IF($L88=0,0,$L88*MAX(0,NETWORKDAYS(MAX($H88,ASOF,U$72),MIN(MAX($I88,ASOF),U$72+6),HOLIDAYS)))</f>
        <v>0</v>
      </c>
      <c r="V88" s="289" t="n">
        <f aca="false">IF($L88=0,0,$L88*MAX(0,NETWORKDAYS(MAX($H88,ASOF,V$72),MIN(MAX($I88,ASOF),V$72+6),HOLIDAYS)))</f>
        <v>0</v>
      </c>
      <c r="W88" s="289" t="n">
        <f aca="false">IF($L88=0,0,$L88*MAX(0,NETWORKDAYS(MAX($H88,ASOF,W$72),MIN(MAX($I88,ASOF),W$72+6),HOLIDAYS)))</f>
        <v>0</v>
      </c>
      <c r="X88" s="289" t="n">
        <f aca="false">IF($L88=0,0,$L88*MAX(0,NETWORKDAYS(MAX($H88,ASOF,X$72),MIN(MAX($I88,ASOF),X$72+6),HOLIDAYS)))</f>
        <v>0</v>
      </c>
      <c r="Y88" s="289" t="n">
        <f aca="false">IF($L88=0,0,$L88*MAX(0,NETWORKDAYS(MAX($H88,ASOF,Y$72),MIN(MAX($I88,ASOF),Y$72+6),HOLIDAYS)))</f>
        <v>0</v>
      </c>
      <c r="Z88" s="289" t="n">
        <f aca="false">IF($L88=0,0,$L88*MAX(0,NETWORKDAYS(MAX($H88,ASOF,Z$72),MIN(MAX($I88,ASOF),Z$72+6),HOLIDAYS)))</f>
        <v>0</v>
      </c>
      <c r="AA88" s="289" t="n">
        <f aca="false">IF($L88=0,0,$L88*MAX(0,NETWORKDAYS(MAX($H88,ASOF,AA$72),MIN(MAX($I88,ASOF),AA$72+6),HOLIDAYS)))</f>
        <v>0</v>
      </c>
      <c r="AB88" s="289" t="n">
        <f aca="false">IF($L88=0,0,$L88*MAX(0,NETWORKDAYS(MAX($H88,ASOF,AB$72),MIN(MAX($I88,ASOF),AB$72+6),HOLIDAYS)))</f>
        <v>0</v>
      </c>
      <c r="AC88" s="289" t="n">
        <f aca="false">IF($L88=0,0,$L88*MAX(0,NETWORKDAYS(MAX($H88,ASOF,AC$72),MIN(MAX($I88,ASOF),AC$72+6),HOLIDAYS)))</f>
        <v>0</v>
      </c>
      <c r="AD88" s="289" t="n">
        <f aca="false">IF($L88=0,0,$L88*MAX(0,NETWORKDAYS(MAX($H88,ASOF,AD$72),MIN(MAX($I88,ASOF),AD$72+6),HOLIDAYS)))</f>
        <v>0</v>
      </c>
      <c r="AE88" s="289" t="n">
        <f aca="false">IF($L88=0,0,$L88*MAX(0,NETWORKDAYS(MAX($H88,ASOF,AE$72),MIN(MAX($I88,ASOF),AE$72+6),HOLIDAYS)))</f>
        <v>0</v>
      </c>
      <c r="AF88" s="289" t="n">
        <f aca="false">IF($L88=0,0,$L88*MAX(0,NETWORKDAYS(MAX($H88,ASOF,AF$72),MIN(MAX($I88,ASOF),AF$72+6),HOLIDAYS)))</f>
        <v>0</v>
      </c>
      <c r="AG88" s="289" t="n">
        <f aca="false">IF($L88=0,0,$L88*MAX(0,NETWORKDAYS(MAX($H88,ASOF,AG$72),MIN(MAX($I88,ASOF),AG$72+6),HOLIDAYS)))</f>
        <v>0</v>
      </c>
      <c r="AH88" s="289" t="n">
        <f aca="false">IF($L88=0,0,$L88*MAX(0,NETWORKDAYS(MAX($H88,ASOF,AH$72),MIN(MAX($I88,ASOF),AH$72+6),HOLIDAYS)))</f>
        <v>0</v>
      </c>
      <c r="AI88" s="289" t="n">
        <f aca="false">IF($L88=0,0,$L88*MAX(0,NETWORKDAYS(MAX($H88,ASOF,AI$72),MIN(MAX($I88,ASOF),AI$72+6),HOLIDAYS)))</f>
        <v>0</v>
      </c>
      <c r="AJ88" s="289" t="n">
        <f aca="false">IF($L88=0,0,$L88*MAX(0,NETWORKDAYS(MAX($H88,ASOF,AJ$72),MIN(MAX($I88,ASOF),AJ$72+6),HOLIDAYS)))</f>
        <v>0</v>
      </c>
      <c r="AK88" s="289" t="n">
        <f aca="false">IF($L88=0,0,$L88*MAX(0,NETWORKDAYS(MAX($H88,ASOF,AK$72),MIN(MAX($I88,ASOF),AK$72+6),HOLIDAYS)))</f>
        <v>0</v>
      </c>
      <c r="AL88" s="289" t="n">
        <f aca="false">IF($L88=0,0,$L88*MAX(0,NETWORKDAYS(MAX($H88,ASOF,AL$72),MIN(MAX($I88,ASOF),AL$72+6),HOLIDAYS)))</f>
        <v>0</v>
      </c>
      <c r="AM88" s="289" t="n">
        <f aca="false">IF($L88=0,0,$L88*MAX(0,NETWORKDAYS(MAX($H88,ASOF,AM$72),MIN(MAX($I88,ASOF),AM$72+6),HOLIDAYS)))</f>
        <v>0</v>
      </c>
      <c r="AN88" s="289" t="n">
        <f aca="false">IF($L88=0,0,$L88*MAX(0,NETWORKDAYS(MAX($H88,ASOF,AN$72),MIN(MAX($I88,ASOF),AN$72+6),HOLIDAYS)))</f>
        <v>0</v>
      </c>
      <c r="AO88" s="289" t="n">
        <f aca="false">IF($L88=0,0,$L88*MAX(0,NETWORKDAYS(MAX($H88,ASOF,AO$72),MIN(MAX($I88,ASOF),AO$72+6),HOLIDAYS)))</f>
        <v>0</v>
      </c>
      <c r="AP88" s="289" t="n">
        <f aca="false">IF($L88=0,0,$L88*MAX(0,NETWORKDAYS(MAX($H88,ASOF,AP$72),MIN(MAX($I88,ASOF),AP$72+6),HOLIDAYS)))</f>
        <v>0</v>
      </c>
      <c r="AQ88" s="289" t="n">
        <f aca="false">IF($L88=0,0,$L88*MAX(0,NETWORKDAYS(MAX($H88,ASOF,AQ$72),MIN(MAX($I88,ASOF),AQ$72+6),HOLIDAYS)))</f>
        <v>0</v>
      </c>
      <c r="AR88" s="289" t="n">
        <f aca="false">IF($L88=0,0,$L88*MAX(0,NETWORKDAYS(MAX($H88,ASOF,AR$72),MIN(MAX($I88,ASOF),AR$72+6),HOLIDAYS)))</f>
        <v>0</v>
      </c>
    </row>
    <row r="89" customFormat="false" ht="15" hidden="false" customHeight="false" outlineLevel="1" collapsed="false">
      <c r="A89" s="282" t="s">
        <v>46</v>
      </c>
      <c r="B89" s="283" t="s">
        <v>48</v>
      </c>
      <c r="C89" s="284" t="s">
        <v>2363</v>
      </c>
      <c r="D89" s="284" t="s">
        <v>2290</v>
      </c>
      <c r="E89" s="285" t="n">
        <v>1</v>
      </c>
      <c r="F89" s="290" t="s">
        <v>35</v>
      </c>
      <c r="G89" s="285" t="n">
        <f aca="false">IF(IFERROR(INDEX(INVS_TYPE,MATCH("P9-002",INVS_ID,0)),"")="สร้างใหม่ (E09)",$F$9*$H$9,0)</f>
        <v>24</v>
      </c>
      <c r="H89" s="286" t="n">
        <f aca="false">IF(ISNUMBER('P9-002'!$N$85),'P9-002'!$N$85,"")</f>
        <v>46343</v>
      </c>
      <c r="I89" s="286" t="n">
        <f aca="false">IF(ISNUMBER('P9-002'!$O$85),'P9-002'!$O$85,"")</f>
        <v>46346</v>
      </c>
      <c r="J89" s="287" t="n">
        <f aca="false">IF(OR(H89="",I89="",N89&gt;=1),0,MAX(1,NETWORKDAYS(MAX(H89,ASOF),MAX(I89,ASOF),HOLIDAYS)))</f>
        <v>4</v>
      </c>
      <c r="K89" s="287" t="n">
        <f aca="false">IF(L89=0,0,ROUNDUP(L89/$F$9,0))</f>
        <v>2</v>
      </c>
      <c r="L89" s="285" t="n">
        <f aca="false">IF(J89=0,0,G89*(1-N89)/J89)</f>
        <v>6</v>
      </c>
      <c r="M89" s="283" t="s">
        <v>2288</v>
      </c>
      <c r="N89" s="288" t="n">
        <f aca="false">IFERROR(MIN(1,'P9-002'!$V$85)+0,0)</f>
        <v>0</v>
      </c>
      <c r="O89" s="289" t="n">
        <f aca="false">IF($L89=0,0,$L89*MAX(0,NETWORKDAYS(MAX($H89,ASOF,O$72),MIN(MAX($I89,ASOF),O$72+6),HOLIDAYS)))</f>
        <v>0</v>
      </c>
      <c r="P89" s="289" t="n">
        <f aca="false">IF($L89=0,0,$L89*MAX(0,NETWORKDAYS(MAX($H89,ASOF,P$72),MIN(MAX($I89,ASOF),P$72+6),HOLIDAYS)))</f>
        <v>0</v>
      </c>
      <c r="Q89" s="289" t="n">
        <f aca="false">IF($L89=0,0,$L89*MAX(0,NETWORKDAYS(MAX($H89,ASOF,Q$72),MIN(MAX($I89,ASOF),Q$72+6),HOLIDAYS)))</f>
        <v>24</v>
      </c>
      <c r="R89" s="289" t="n">
        <f aca="false">IF($L89=0,0,$L89*MAX(0,NETWORKDAYS(MAX($H89,ASOF,R$72),MIN(MAX($I89,ASOF),R$72+6),HOLIDAYS)))</f>
        <v>0</v>
      </c>
      <c r="S89" s="289" t="n">
        <f aca="false">IF($L89=0,0,$L89*MAX(0,NETWORKDAYS(MAX($H89,ASOF,S$72),MIN(MAX($I89,ASOF),S$72+6),HOLIDAYS)))</f>
        <v>0</v>
      </c>
      <c r="T89" s="289" t="n">
        <f aca="false">IF($L89=0,0,$L89*MAX(0,NETWORKDAYS(MAX($H89,ASOF,T$72),MIN(MAX($I89,ASOF),T$72+6),HOLIDAYS)))</f>
        <v>0</v>
      </c>
      <c r="U89" s="289" t="n">
        <f aca="false">IF($L89=0,0,$L89*MAX(0,NETWORKDAYS(MAX($H89,ASOF,U$72),MIN(MAX($I89,ASOF),U$72+6),HOLIDAYS)))</f>
        <v>0</v>
      </c>
      <c r="V89" s="289" t="n">
        <f aca="false">IF($L89=0,0,$L89*MAX(0,NETWORKDAYS(MAX($H89,ASOF,V$72),MIN(MAX($I89,ASOF),V$72+6),HOLIDAYS)))</f>
        <v>0</v>
      </c>
      <c r="W89" s="289" t="n">
        <f aca="false">IF($L89=0,0,$L89*MAX(0,NETWORKDAYS(MAX($H89,ASOF,W$72),MIN(MAX($I89,ASOF),W$72+6),HOLIDAYS)))</f>
        <v>0</v>
      </c>
      <c r="X89" s="289" t="n">
        <f aca="false">IF($L89=0,0,$L89*MAX(0,NETWORKDAYS(MAX($H89,ASOF,X$72),MIN(MAX($I89,ASOF),X$72+6),HOLIDAYS)))</f>
        <v>0</v>
      </c>
      <c r="Y89" s="289" t="n">
        <f aca="false">IF($L89=0,0,$L89*MAX(0,NETWORKDAYS(MAX($H89,ASOF,Y$72),MIN(MAX($I89,ASOF),Y$72+6),HOLIDAYS)))</f>
        <v>0</v>
      </c>
      <c r="Z89" s="289" t="n">
        <f aca="false">IF($L89=0,0,$L89*MAX(0,NETWORKDAYS(MAX($H89,ASOF,Z$72),MIN(MAX($I89,ASOF),Z$72+6),HOLIDAYS)))</f>
        <v>0</v>
      </c>
      <c r="AA89" s="289" t="n">
        <f aca="false">IF($L89=0,0,$L89*MAX(0,NETWORKDAYS(MAX($H89,ASOF,AA$72),MIN(MAX($I89,ASOF),AA$72+6),HOLIDAYS)))</f>
        <v>0</v>
      </c>
      <c r="AB89" s="289" t="n">
        <f aca="false">IF($L89=0,0,$L89*MAX(0,NETWORKDAYS(MAX($H89,ASOF,AB$72),MIN(MAX($I89,ASOF),AB$72+6),HOLIDAYS)))</f>
        <v>0</v>
      </c>
      <c r="AC89" s="289" t="n">
        <f aca="false">IF($L89=0,0,$L89*MAX(0,NETWORKDAYS(MAX($H89,ASOF,AC$72),MIN(MAX($I89,ASOF),AC$72+6),HOLIDAYS)))</f>
        <v>0</v>
      </c>
      <c r="AD89" s="289" t="n">
        <f aca="false">IF($L89=0,0,$L89*MAX(0,NETWORKDAYS(MAX($H89,ASOF,AD$72),MIN(MAX($I89,ASOF),AD$72+6),HOLIDAYS)))</f>
        <v>0</v>
      </c>
      <c r="AE89" s="289" t="n">
        <f aca="false">IF($L89=0,0,$L89*MAX(0,NETWORKDAYS(MAX($H89,ASOF,AE$72),MIN(MAX($I89,ASOF),AE$72+6),HOLIDAYS)))</f>
        <v>0</v>
      </c>
      <c r="AF89" s="289" t="n">
        <f aca="false">IF($L89=0,0,$L89*MAX(0,NETWORKDAYS(MAX($H89,ASOF,AF$72),MIN(MAX($I89,ASOF),AF$72+6),HOLIDAYS)))</f>
        <v>0</v>
      </c>
      <c r="AG89" s="289" t="n">
        <f aca="false">IF($L89=0,0,$L89*MAX(0,NETWORKDAYS(MAX($H89,ASOF,AG$72),MIN(MAX($I89,ASOF),AG$72+6),HOLIDAYS)))</f>
        <v>0</v>
      </c>
      <c r="AH89" s="289" t="n">
        <f aca="false">IF($L89=0,0,$L89*MAX(0,NETWORKDAYS(MAX($H89,ASOF,AH$72),MIN(MAX($I89,ASOF),AH$72+6),HOLIDAYS)))</f>
        <v>0</v>
      </c>
      <c r="AI89" s="289" t="n">
        <f aca="false">IF($L89=0,0,$L89*MAX(0,NETWORKDAYS(MAX($H89,ASOF,AI$72),MIN(MAX($I89,ASOF),AI$72+6),HOLIDAYS)))</f>
        <v>0</v>
      </c>
      <c r="AJ89" s="289" t="n">
        <f aca="false">IF($L89=0,0,$L89*MAX(0,NETWORKDAYS(MAX($H89,ASOF,AJ$72),MIN(MAX($I89,ASOF),AJ$72+6),HOLIDAYS)))</f>
        <v>0</v>
      </c>
      <c r="AK89" s="289" t="n">
        <f aca="false">IF($L89=0,0,$L89*MAX(0,NETWORKDAYS(MAX($H89,ASOF,AK$72),MIN(MAX($I89,ASOF),AK$72+6),HOLIDAYS)))</f>
        <v>0</v>
      </c>
      <c r="AL89" s="289" t="n">
        <f aca="false">IF($L89=0,0,$L89*MAX(0,NETWORKDAYS(MAX($H89,ASOF,AL$72),MIN(MAX($I89,ASOF),AL$72+6),HOLIDAYS)))</f>
        <v>0</v>
      </c>
      <c r="AM89" s="289" t="n">
        <f aca="false">IF($L89=0,0,$L89*MAX(0,NETWORKDAYS(MAX($H89,ASOF,AM$72),MIN(MAX($I89,ASOF),AM$72+6),HOLIDAYS)))</f>
        <v>0</v>
      </c>
      <c r="AN89" s="289" t="n">
        <f aca="false">IF($L89=0,0,$L89*MAX(0,NETWORKDAYS(MAX($H89,ASOF,AN$72),MIN(MAX($I89,ASOF),AN$72+6),HOLIDAYS)))</f>
        <v>0</v>
      </c>
      <c r="AO89" s="289" t="n">
        <f aca="false">IF($L89=0,0,$L89*MAX(0,NETWORKDAYS(MAX($H89,ASOF,AO$72),MIN(MAX($I89,ASOF),AO$72+6),HOLIDAYS)))</f>
        <v>0</v>
      </c>
      <c r="AP89" s="289" t="n">
        <f aca="false">IF($L89=0,0,$L89*MAX(0,NETWORKDAYS(MAX($H89,ASOF,AP$72),MIN(MAX($I89,ASOF),AP$72+6),HOLIDAYS)))</f>
        <v>0</v>
      </c>
      <c r="AQ89" s="289" t="n">
        <f aca="false">IF($L89=0,0,$L89*MAX(0,NETWORKDAYS(MAX($H89,ASOF,AQ$72),MIN(MAX($I89,ASOF),AQ$72+6),HOLIDAYS)))</f>
        <v>0</v>
      </c>
      <c r="AR89" s="289" t="n">
        <f aca="false">IF($L89=0,0,$L89*MAX(0,NETWORKDAYS(MAX($H89,ASOF,AR$72),MIN(MAX($I89,ASOF),AR$72+6),HOLIDAYS)))</f>
        <v>0</v>
      </c>
    </row>
    <row r="90" customFormat="false" ht="15" hidden="false" customHeight="false" outlineLevel="1" collapsed="false">
      <c r="A90" s="282" t="s">
        <v>46</v>
      </c>
      <c r="B90" s="283" t="s">
        <v>48</v>
      </c>
      <c r="C90" s="284" t="s">
        <v>2364</v>
      </c>
      <c r="D90" s="284" t="s">
        <v>2284</v>
      </c>
      <c r="E90" s="285" t="n">
        <f aca="false">IFERROR(INDEX(INVS_N,MATCH("P9-002",INVS_ID,0)),2)</f>
        <v>2</v>
      </c>
      <c r="F90" s="290" t="s">
        <v>2365</v>
      </c>
      <c r="G90" s="285" t="n">
        <f aca="false">$F$10*(E90/$G$10+$H$10)</f>
        <v>4.5</v>
      </c>
      <c r="H90" s="286" t="n">
        <f aca="false">IF(ISNUMBER('P9-002'!$N$85),'P9-002'!$N$85,"")</f>
        <v>46343</v>
      </c>
      <c r="I90" s="286" t="n">
        <f aca="false">IF(ISNUMBER('P9-002'!$O$85),'P9-002'!$O$85,"")</f>
        <v>46346</v>
      </c>
      <c r="J90" s="287" t="n">
        <f aca="false">IF(OR(H90="",I90="",N90&gt;=1),0,MAX(1,NETWORKDAYS(MAX(H90,ASOF),MAX(I90,ASOF),HOLIDAYS)))</f>
        <v>4</v>
      </c>
      <c r="K90" s="287" t="n">
        <f aca="false">IF(L90=0,0,ROUNDUP(L90/$F$10,0))</f>
        <v>1</v>
      </c>
      <c r="L90" s="285" t="n">
        <f aca="false">IF(J90=0,0,G90*(1-N90)/J90)</f>
        <v>1.125</v>
      </c>
      <c r="M90" s="283" t="s">
        <v>2293</v>
      </c>
      <c r="N90" s="288" t="n">
        <f aca="false">IFERROR(MIN(1,'P9-002'!$V$85)+0,0)</f>
        <v>0</v>
      </c>
      <c r="O90" s="289" t="n">
        <f aca="false">IF($L90=0,0,$L90*MAX(0,NETWORKDAYS(MAX($H90,ASOF,O$72),MIN(MAX($I90,ASOF),O$72+6),HOLIDAYS)))</f>
        <v>0</v>
      </c>
      <c r="P90" s="289" t="n">
        <f aca="false">IF($L90=0,0,$L90*MAX(0,NETWORKDAYS(MAX($H90,ASOF,P$72),MIN(MAX($I90,ASOF),P$72+6),HOLIDAYS)))</f>
        <v>0</v>
      </c>
      <c r="Q90" s="289" t="n">
        <f aca="false">IF($L90=0,0,$L90*MAX(0,NETWORKDAYS(MAX($H90,ASOF,Q$72),MIN(MAX($I90,ASOF),Q$72+6),HOLIDAYS)))</f>
        <v>4.5</v>
      </c>
      <c r="R90" s="289" t="n">
        <f aca="false">IF($L90=0,0,$L90*MAX(0,NETWORKDAYS(MAX($H90,ASOF,R$72),MIN(MAX($I90,ASOF),R$72+6),HOLIDAYS)))</f>
        <v>0</v>
      </c>
      <c r="S90" s="289" t="n">
        <f aca="false">IF($L90=0,0,$L90*MAX(0,NETWORKDAYS(MAX($H90,ASOF,S$72),MIN(MAX($I90,ASOF),S$72+6),HOLIDAYS)))</f>
        <v>0</v>
      </c>
      <c r="T90" s="289" t="n">
        <f aca="false">IF($L90=0,0,$L90*MAX(0,NETWORKDAYS(MAX($H90,ASOF,T$72),MIN(MAX($I90,ASOF),T$72+6),HOLIDAYS)))</f>
        <v>0</v>
      </c>
      <c r="U90" s="289" t="n">
        <f aca="false">IF($L90=0,0,$L90*MAX(0,NETWORKDAYS(MAX($H90,ASOF,U$72),MIN(MAX($I90,ASOF),U$72+6),HOLIDAYS)))</f>
        <v>0</v>
      </c>
      <c r="V90" s="289" t="n">
        <f aca="false">IF($L90=0,0,$L90*MAX(0,NETWORKDAYS(MAX($H90,ASOF,V$72),MIN(MAX($I90,ASOF),V$72+6),HOLIDAYS)))</f>
        <v>0</v>
      </c>
      <c r="W90" s="289" t="n">
        <f aca="false">IF($L90=0,0,$L90*MAX(0,NETWORKDAYS(MAX($H90,ASOF,W$72),MIN(MAX($I90,ASOF),W$72+6),HOLIDAYS)))</f>
        <v>0</v>
      </c>
      <c r="X90" s="289" t="n">
        <f aca="false">IF($L90=0,0,$L90*MAX(0,NETWORKDAYS(MAX($H90,ASOF,X$72),MIN(MAX($I90,ASOF),X$72+6),HOLIDAYS)))</f>
        <v>0</v>
      </c>
      <c r="Y90" s="289" t="n">
        <f aca="false">IF($L90=0,0,$L90*MAX(0,NETWORKDAYS(MAX($H90,ASOF,Y$72),MIN(MAX($I90,ASOF),Y$72+6),HOLIDAYS)))</f>
        <v>0</v>
      </c>
      <c r="Z90" s="289" t="n">
        <f aca="false">IF($L90=0,0,$L90*MAX(0,NETWORKDAYS(MAX($H90,ASOF,Z$72),MIN(MAX($I90,ASOF),Z$72+6),HOLIDAYS)))</f>
        <v>0</v>
      </c>
      <c r="AA90" s="289" t="n">
        <f aca="false">IF($L90=0,0,$L90*MAX(0,NETWORKDAYS(MAX($H90,ASOF,AA$72),MIN(MAX($I90,ASOF),AA$72+6),HOLIDAYS)))</f>
        <v>0</v>
      </c>
      <c r="AB90" s="289" t="n">
        <f aca="false">IF($L90=0,0,$L90*MAX(0,NETWORKDAYS(MAX($H90,ASOF,AB$72),MIN(MAX($I90,ASOF),AB$72+6),HOLIDAYS)))</f>
        <v>0</v>
      </c>
      <c r="AC90" s="289" t="n">
        <f aca="false">IF($L90=0,0,$L90*MAX(0,NETWORKDAYS(MAX($H90,ASOF,AC$72),MIN(MAX($I90,ASOF),AC$72+6),HOLIDAYS)))</f>
        <v>0</v>
      </c>
      <c r="AD90" s="289" t="n">
        <f aca="false">IF($L90=0,0,$L90*MAX(0,NETWORKDAYS(MAX($H90,ASOF,AD$72),MIN(MAX($I90,ASOF),AD$72+6),HOLIDAYS)))</f>
        <v>0</v>
      </c>
      <c r="AE90" s="289" t="n">
        <f aca="false">IF($L90=0,0,$L90*MAX(0,NETWORKDAYS(MAX($H90,ASOF,AE$72),MIN(MAX($I90,ASOF),AE$72+6),HOLIDAYS)))</f>
        <v>0</v>
      </c>
      <c r="AF90" s="289" t="n">
        <f aca="false">IF($L90=0,0,$L90*MAX(0,NETWORKDAYS(MAX($H90,ASOF,AF$72),MIN(MAX($I90,ASOF),AF$72+6),HOLIDAYS)))</f>
        <v>0</v>
      </c>
      <c r="AG90" s="289" t="n">
        <f aca="false">IF($L90=0,0,$L90*MAX(0,NETWORKDAYS(MAX($H90,ASOF,AG$72),MIN(MAX($I90,ASOF),AG$72+6),HOLIDAYS)))</f>
        <v>0</v>
      </c>
      <c r="AH90" s="289" t="n">
        <f aca="false">IF($L90=0,0,$L90*MAX(0,NETWORKDAYS(MAX($H90,ASOF,AH$72),MIN(MAX($I90,ASOF),AH$72+6),HOLIDAYS)))</f>
        <v>0</v>
      </c>
      <c r="AI90" s="289" t="n">
        <f aca="false">IF($L90=0,0,$L90*MAX(0,NETWORKDAYS(MAX($H90,ASOF,AI$72),MIN(MAX($I90,ASOF),AI$72+6),HOLIDAYS)))</f>
        <v>0</v>
      </c>
      <c r="AJ90" s="289" t="n">
        <f aca="false">IF($L90=0,0,$L90*MAX(0,NETWORKDAYS(MAX($H90,ASOF,AJ$72),MIN(MAX($I90,ASOF),AJ$72+6),HOLIDAYS)))</f>
        <v>0</v>
      </c>
      <c r="AK90" s="289" t="n">
        <f aca="false">IF($L90=0,0,$L90*MAX(0,NETWORKDAYS(MAX($H90,ASOF,AK$72),MIN(MAX($I90,ASOF),AK$72+6),HOLIDAYS)))</f>
        <v>0</v>
      </c>
      <c r="AL90" s="289" t="n">
        <f aca="false">IF($L90=0,0,$L90*MAX(0,NETWORKDAYS(MAX($H90,ASOF,AL$72),MIN(MAX($I90,ASOF),AL$72+6),HOLIDAYS)))</f>
        <v>0</v>
      </c>
      <c r="AM90" s="289" t="n">
        <f aca="false">IF($L90=0,0,$L90*MAX(0,NETWORKDAYS(MAX($H90,ASOF,AM$72),MIN(MAX($I90,ASOF),AM$72+6),HOLIDAYS)))</f>
        <v>0</v>
      </c>
      <c r="AN90" s="289" t="n">
        <f aca="false">IF($L90=0,0,$L90*MAX(0,NETWORKDAYS(MAX($H90,ASOF,AN$72),MIN(MAX($I90,ASOF),AN$72+6),HOLIDAYS)))</f>
        <v>0</v>
      </c>
      <c r="AO90" s="289" t="n">
        <f aca="false">IF($L90=0,0,$L90*MAX(0,NETWORKDAYS(MAX($H90,ASOF,AO$72),MIN(MAX($I90,ASOF),AO$72+6),HOLIDAYS)))</f>
        <v>0</v>
      </c>
      <c r="AP90" s="289" t="n">
        <f aca="false">IF($L90=0,0,$L90*MAX(0,NETWORKDAYS(MAX($H90,ASOF,AP$72),MIN(MAX($I90,ASOF),AP$72+6),HOLIDAYS)))</f>
        <v>0</v>
      </c>
      <c r="AQ90" s="289" t="n">
        <f aca="false">IF($L90=0,0,$L90*MAX(0,NETWORKDAYS(MAX($H90,ASOF,AQ$72),MIN(MAX($I90,ASOF),AQ$72+6),HOLIDAYS)))</f>
        <v>0</v>
      </c>
      <c r="AR90" s="289" t="n">
        <f aca="false">IF($L90=0,0,$L90*MAX(0,NETWORKDAYS(MAX($H90,ASOF,AR$72),MIN(MAX($I90,ASOF),AR$72+6),HOLIDAYS)))</f>
        <v>0</v>
      </c>
    </row>
    <row r="91" customFormat="false" ht="15" hidden="false" customHeight="false" outlineLevel="1" collapsed="false">
      <c r="A91" s="282" t="s">
        <v>46</v>
      </c>
      <c r="B91" s="283" t="s">
        <v>48</v>
      </c>
      <c r="C91" s="284" t="s">
        <v>2366</v>
      </c>
      <c r="D91" s="284" t="s">
        <v>2284</v>
      </c>
      <c r="E91" s="285" t="n">
        <v>1</v>
      </c>
      <c r="F91" s="290" t="s">
        <v>35</v>
      </c>
      <c r="G91" s="285" t="n">
        <f aca="false">$F$11*$H$11</f>
        <v>16</v>
      </c>
      <c r="H91" s="286" t="n">
        <f aca="false">IF(ISNUMBER('P9-002'!$N$90),'P9-002'!$N$90,"")</f>
        <v>46344</v>
      </c>
      <c r="I91" s="286" t="n">
        <f aca="false">IF(ISNUMBER('P9-002'!$O$90),'P9-002'!$O$90,"")</f>
        <v>46347</v>
      </c>
      <c r="J91" s="287" t="n">
        <f aca="false">IF(OR(H91="",I91="",N91&gt;=1),0,MAX(1,NETWORKDAYS(MAX(H91,ASOF),MAX(I91,ASOF),HOLIDAYS)))</f>
        <v>3</v>
      </c>
      <c r="K91" s="287" t="n">
        <f aca="false">IF(L91=0,0,ROUNDUP(L91/$F$11,0))</f>
        <v>2</v>
      </c>
      <c r="L91" s="285" t="n">
        <f aca="false">IF(J91=0,0,G91*(1-N91)/J91)</f>
        <v>5.33333333333333</v>
      </c>
      <c r="M91" s="283" t="s">
        <v>1113</v>
      </c>
      <c r="N91" s="288" t="n">
        <f aca="false">IFERROR(MIN(1,'P9-002'!$V$90)+0,0)</f>
        <v>0</v>
      </c>
      <c r="O91" s="289" t="n">
        <f aca="false">IF($L91=0,0,$L91*MAX(0,NETWORKDAYS(MAX($H91,ASOF,O$72),MIN(MAX($I91,ASOF),O$72+6),HOLIDAYS)))</f>
        <v>0</v>
      </c>
      <c r="P91" s="289" t="n">
        <f aca="false">IF($L91=0,0,$L91*MAX(0,NETWORKDAYS(MAX($H91,ASOF,P$72),MIN(MAX($I91,ASOF),P$72+6),HOLIDAYS)))</f>
        <v>0</v>
      </c>
      <c r="Q91" s="289" t="n">
        <f aca="false">IF($L91=0,0,$L91*MAX(0,NETWORKDAYS(MAX($H91,ASOF,Q$72),MIN(MAX($I91,ASOF),Q$72+6),HOLIDAYS)))</f>
        <v>16</v>
      </c>
      <c r="R91" s="289" t="n">
        <f aca="false">IF($L91=0,0,$L91*MAX(0,NETWORKDAYS(MAX($H91,ASOF,R$72),MIN(MAX($I91,ASOF),R$72+6),HOLIDAYS)))</f>
        <v>0</v>
      </c>
      <c r="S91" s="289" t="n">
        <f aca="false">IF($L91=0,0,$L91*MAX(0,NETWORKDAYS(MAX($H91,ASOF,S$72),MIN(MAX($I91,ASOF),S$72+6),HOLIDAYS)))</f>
        <v>0</v>
      </c>
      <c r="T91" s="289" t="n">
        <f aca="false">IF($L91=0,0,$L91*MAX(0,NETWORKDAYS(MAX($H91,ASOF,T$72),MIN(MAX($I91,ASOF),T$72+6),HOLIDAYS)))</f>
        <v>0</v>
      </c>
      <c r="U91" s="289" t="n">
        <f aca="false">IF($L91=0,0,$L91*MAX(0,NETWORKDAYS(MAX($H91,ASOF,U$72),MIN(MAX($I91,ASOF),U$72+6),HOLIDAYS)))</f>
        <v>0</v>
      </c>
      <c r="V91" s="289" t="n">
        <f aca="false">IF($L91=0,0,$L91*MAX(0,NETWORKDAYS(MAX($H91,ASOF,V$72),MIN(MAX($I91,ASOF),V$72+6),HOLIDAYS)))</f>
        <v>0</v>
      </c>
      <c r="W91" s="289" t="n">
        <f aca="false">IF($L91=0,0,$L91*MAX(0,NETWORKDAYS(MAX($H91,ASOF,W$72),MIN(MAX($I91,ASOF),W$72+6),HOLIDAYS)))</f>
        <v>0</v>
      </c>
      <c r="X91" s="289" t="n">
        <f aca="false">IF($L91=0,0,$L91*MAX(0,NETWORKDAYS(MAX($H91,ASOF,X$72),MIN(MAX($I91,ASOF),X$72+6),HOLIDAYS)))</f>
        <v>0</v>
      </c>
      <c r="Y91" s="289" t="n">
        <f aca="false">IF($L91=0,0,$L91*MAX(0,NETWORKDAYS(MAX($H91,ASOF,Y$72),MIN(MAX($I91,ASOF),Y$72+6),HOLIDAYS)))</f>
        <v>0</v>
      </c>
      <c r="Z91" s="289" t="n">
        <f aca="false">IF($L91=0,0,$L91*MAX(0,NETWORKDAYS(MAX($H91,ASOF,Z$72),MIN(MAX($I91,ASOF),Z$72+6),HOLIDAYS)))</f>
        <v>0</v>
      </c>
      <c r="AA91" s="289" t="n">
        <f aca="false">IF($L91=0,0,$L91*MAX(0,NETWORKDAYS(MAX($H91,ASOF,AA$72),MIN(MAX($I91,ASOF),AA$72+6),HOLIDAYS)))</f>
        <v>0</v>
      </c>
      <c r="AB91" s="289" t="n">
        <f aca="false">IF($L91=0,0,$L91*MAX(0,NETWORKDAYS(MAX($H91,ASOF,AB$72),MIN(MAX($I91,ASOF),AB$72+6),HOLIDAYS)))</f>
        <v>0</v>
      </c>
      <c r="AC91" s="289" t="n">
        <f aca="false">IF($L91=0,0,$L91*MAX(0,NETWORKDAYS(MAX($H91,ASOF,AC$72),MIN(MAX($I91,ASOF),AC$72+6),HOLIDAYS)))</f>
        <v>0</v>
      </c>
      <c r="AD91" s="289" t="n">
        <f aca="false">IF($L91=0,0,$L91*MAX(0,NETWORKDAYS(MAX($H91,ASOF,AD$72),MIN(MAX($I91,ASOF),AD$72+6),HOLIDAYS)))</f>
        <v>0</v>
      </c>
      <c r="AE91" s="289" t="n">
        <f aca="false">IF($L91=0,0,$L91*MAX(0,NETWORKDAYS(MAX($H91,ASOF,AE$72),MIN(MAX($I91,ASOF),AE$72+6),HOLIDAYS)))</f>
        <v>0</v>
      </c>
      <c r="AF91" s="289" t="n">
        <f aca="false">IF($L91=0,0,$L91*MAX(0,NETWORKDAYS(MAX($H91,ASOF,AF$72),MIN(MAX($I91,ASOF),AF$72+6),HOLIDAYS)))</f>
        <v>0</v>
      </c>
      <c r="AG91" s="289" t="n">
        <f aca="false">IF($L91=0,0,$L91*MAX(0,NETWORKDAYS(MAX($H91,ASOF,AG$72),MIN(MAX($I91,ASOF),AG$72+6),HOLIDAYS)))</f>
        <v>0</v>
      </c>
      <c r="AH91" s="289" t="n">
        <f aca="false">IF($L91=0,0,$L91*MAX(0,NETWORKDAYS(MAX($H91,ASOF,AH$72),MIN(MAX($I91,ASOF),AH$72+6),HOLIDAYS)))</f>
        <v>0</v>
      </c>
      <c r="AI91" s="289" t="n">
        <f aca="false">IF($L91=0,0,$L91*MAX(0,NETWORKDAYS(MAX($H91,ASOF,AI$72),MIN(MAX($I91,ASOF),AI$72+6),HOLIDAYS)))</f>
        <v>0</v>
      </c>
      <c r="AJ91" s="289" t="n">
        <f aca="false">IF($L91=0,0,$L91*MAX(0,NETWORKDAYS(MAX($H91,ASOF,AJ$72),MIN(MAX($I91,ASOF),AJ$72+6),HOLIDAYS)))</f>
        <v>0</v>
      </c>
      <c r="AK91" s="289" t="n">
        <f aca="false">IF($L91=0,0,$L91*MAX(0,NETWORKDAYS(MAX($H91,ASOF,AK$72),MIN(MAX($I91,ASOF),AK$72+6),HOLIDAYS)))</f>
        <v>0</v>
      </c>
      <c r="AL91" s="289" t="n">
        <f aca="false">IF($L91=0,0,$L91*MAX(0,NETWORKDAYS(MAX($H91,ASOF,AL$72),MIN(MAX($I91,ASOF),AL$72+6),HOLIDAYS)))</f>
        <v>0</v>
      </c>
      <c r="AM91" s="289" t="n">
        <f aca="false">IF($L91=0,0,$L91*MAX(0,NETWORKDAYS(MAX($H91,ASOF,AM$72),MIN(MAX($I91,ASOF),AM$72+6),HOLIDAYS)))</f>
        <v>0</v>
      </c>
      <c r="AN91" s="289" t="n">
        <f aca="false">IF($L91=0,0,$L91*MAX(0,NETWORKDAYS(MAX($H91,ASOF,AN$72),MIN(MAX($I91,ASOF),AN$72+6),HOLIDAYS)))</f>
        <v>0</v>
      </c>
      <c r="AO91" s="289" t="n">
        <f aca="false">IF($L91=0,0,$L91*MAX(0,NETWORKDAYS(MAX($H91,ASOF,AO$72),MIN(MAX($I91,ASOF),AO$72+6),HOLIDAYS)))</f>
        <v>0</v>
      </c>
      <c r="AP91" s="289" t="n">
        <f aca="false">IF($L91=0,0,$L91*MAX(0,NETWORKDAYS(MAX($H91,ASOF,AP$72),MIN(MAX($I91,ASOF),AP$72+6),HOLIDAYS)))</f>
        <v>0</v>
      </c>
      <c r="AQ91" s="289" t="n">
        <f aca="false">IF($L91=0,0,$L91*MAX(0,NETWORKDAYS(MAX($H91,ASOF,AQ$72),MIN(MAX($I91,ASOF),AQ$72+6),HOLIDAYS)))</f>
        <v>0</v>
      </c>
      <c r="AR91" s="289" t="n">
        <f aca="false">IF($L91=0,0,$L91*MAX(0,NETWORKDAYS(MAX($H91,ASOF,AR$72),MIN(MAX($I91,ASOF),AR$72+6),HOLIDAYS)))</f>
        <v>0</v>
      </c>
    </row>
    <row r="92" customFormat="false" ht="15" hidden="false" customHeight="false" outlineLevel="1" collapsed="false">
      <c r="A92" s="282" t="s">
        <v>46</v>
      </c>
      <c r="B92" s="283" t="s">
        <v>48</v>
      </c>
      <c r="C92" s="284" t="s">
        <v>2367</v>
      </c>
      <c r="D92" s="284" t="s">
        <v>2284</v>
      </c>
      <c r="E92" s="285" t="n">
        <v>1</v>
      </c>
      <c r="F92" s="290" t="s">
        <v>35</v>
      </c>
      <c r="G92" s="285" t="n">
        <f aca="false">$F$12*$H$12</f>
        <v>4</v>
      </c>
      <c r="H92" s="286" t="n">
        <f aca="false">IF(ISNUMBER('P9-002'!$N$96),'P9-002'!$N$96,"")</f>
        <v>46345</v>
      </c>
      <c r="I92" s="286" t="n">
        <f aca="false">IF(ISNUMBER('P9-002'!$O$96),'P9-002'!$O$96,"")</f>
        <v>46347</v>
      </c>
      <c r="J92" s="287" t="n">
        <f aca="false">IF(OR(H92="",I92="",N92&gt;=1),0,MAX(1,NETWORKDAYS(MAX(H92,ASOF),MAX(I92,ASOF),HOLIDAYS)))</f>
        <v>2</v>
      </c>
      <c r="K92" s="287" t="n">
        <f aca="false">IF(L92=0,0,ROUNDUP(L92/$F$12,0))</f>
        <v>1</v>
      </c>
      <c r="L92" s="285" t="n">
        <f aca="false">IF(J92=0,0,G92*(1-N92)/J92)</f>
        <v>2</v>
      </c>
      <c r="M92" s="283" t="s">
        <v>1147</v>
      </c>
      <c r="N92" s="288" t="n">
        <f aca="false">IFERROR(MIN(1,'P9-002'!$V$96)+0,0)</f>
        <v>0</v>
      </c>
      <c r="O92" s="289" t="n">
        <f aca="false">IF($L92=0,0,$L92*MAX(0,NETWORKDAYS(MAX($H92,ASOF,O$72),MIN(MAX($I92,ASOF),O$72+6),HOLIDAYS)))</f>
        <v>0</v>
      </c>
      <c r="P92" s="289" t="n">
        <f aca="false">IF($L92=0,0,$L92*MAX(0,NETWORKDAYS(MAX($H92,ASOF,P$72),MIN(MAX($I92,ASOF),P$72+6),HOLIDAYS)))</f>
        <v>0</v>
      </c>
      <c r="Q92" s="289" t="n">
        <f aca="false">IF($L92=0,0,$L92*MAX(0,NETWORKDAYS(MAX($H92,ASOF,Q$72),MIN(MAX($I92,ASOF),Q$72+6),HOLIDAYS)))</f>
        <v>4</v>
      </c>
      <c r="R92" s="289" t="n">
        <f aca="false">IF($L92=0,0,$L92*MAX(0,NETWORKDAYS(MAX($H92,ASOF,R$72),MIN(MAX($I92,ASOF),R$72+6),HOLIDAYS)))</f>
        <v>0</v>
      </c>
      <c r="S92" s="289" t="n">
        <f aca="false">IF($L92=0,0,$L92*MAX(0,NETWORKDAYS(MAX($H92,ASOF,S$72),MIN(MAX($I92,ASOF),S$72+6),HOLIDAYS)))</f>
        <v>0</v>
      </c>
      <c r="T92" s="289" t="n">
        <f aca="false">IF($L92=0,0,$L92*MAX(0,NETWORKDAYS(MAX($H92,ASOF,T$72),MIN(MAX($I92,ASOF),T$72+6),HOLIDAYS)))</f>
        <v>0</v>
      </c>
      <c r="U92" s="289" t="n">
        <f aca="false">IF($L92=0,0,$L92*MAX(0,NETWORKDAYS(MAX($H92,ASOF,U$72),MIN(MAX($I92,ASOF),U$72+6),HOLIDAYS)))</f>
        <v>0</v>
      </c>
      <c r="V92" s="289" t="n">
        <f aca="false">IF($L92=0,0,$L92*MAX(0,NETWORKDAYS(MAX($H92,ASOF,V$72),MIN(MAX($I92,ASOF),V$72+6),HOLIDAYS)))</f>
        <v>0</v>
      </c>
      <c r="W92" s="289" t="n">
        <f aca="false">IF($L92=0,0,$L92*MAX(0,NETWORKDAYS(MAX($H92,ASOF,W$72),MIN(MAX($I92,ASOF),W$72+6),HOLIDAYS)))</f>
        <v>0</v>
      </c>
      <c r="X92" s="289" t="n">
        <f aca="false">IF($L92=0,0,$L92*MAX(0,NETWORKDAYS(MAX($H92,ASOF,X$72),MIN(MAX($I92,ASOF),X$72+6),HOLIDAYS)))</f>
        <v>0</v>
      </c>
      <c r="Y92" s="289" t="n">
        <f aca="false">IF($L92=0,0,$L92*MAX(0,NETWORKDAYS(MAX($H92,ASOF,Y$72),MIN(MAX($I92,ASOF),Y$72+6),HOLIDAYS)))</f>
        <v>0</v>
      </c>
      <c r="Z92" s="289" t="n">
        <f aca="false">IF($L92=0,0,$L92*MAX(0,NETWORKDAYS(MAX($H92,ASOF,Z$72),MIN(MAX($I92,ASOF),Z$72+6),HOLIDAYS)))</f>
        <v>0</v>
      </c>
      <c r="AA92" s="289" t="n">
        <f aca="false">IF($L92=0,0,$L92*MAX(0,NETWORKDAYS(MAX($H92,ASOF,AA$72),MIN(MAX($I92,ASOF),AA$72+6),HOLIDAYS)))</f>
        <v>0</v>
      </c>
      <c r="AB92" s="289" t="n">
        <f aca="false">IF($L92=0,0,$L92*MAX(0,NETWORKDAYS(MAX($H92,ASOF,AB$72),MIN(MAX($I92,ASOF),AB$72+6),HOLIDAYS)))</f>
        <v>0</v>
      </c>
      <c r="AC92" s="289" t="n">
        <f aca="false">IF($L92=0,0,$L92*MAX(0,NETWORKDAYS(MAX($H92,ASOF,AC$72),MIN(MAX($I92,ASOF),AC$72+6),HOLIDAYS)))</f>
        <v>0</v>
      </c>
      <c r="AD92" s="289" t="n">
        <f aca="false">IF($L92=0,0,$L92*MAX(0,NETWORKDAYS(MAX($H92,ASOF,AD$72),MIN(MAX($I92,ASOF),AD$72+6),HOLIDAYS)))</f>
        <v>0</v>
      </c>
      <c r="AE92" s="289" t="n">
        <f aca="false">IF($L92=0,0,$L92*MAX(0,NETWORKDAYS(MAX($H92,ASOF,AE$72),MIN(MAX($I92,ASOF),AE$72+6),HOLIDAYS)))</f>
        <v>0</v>
      </c>
      <c r="AF92" s="289" t="n">
        <f aca="false">IF($L92=0,0,$L92*MAX(0,NETWORKDAYS(MAX($H92,ASOF,AF$72),MIN(MAX($I92,ASOF),AF$72+6),HOLIDAYS)))</f>
        <v>0</v>
      </c>
      <c r="AG92" s="289" t="n">
        <f aca="false">IF($L92=0,0,$L92*MAX(0,NETWORKDAYS(MAX($H92,ASOF,AG$72),MIN(MAX($I92,ASOF),AG$72+6),HOLIDAYS)))</f>
        <v>0</v>
      </c>
      <c r="AH92" s="289" t="n">
        <f aca="false">IF($L92=0,0,$L92*MAX(0,NETWORKDAYS(MAX($H92,ASOF,AH$72),MIN(MAX($I92,ASOF),AH$72+6),HOLIDAYS)))</f>
        <v>0</v>
      </c>
      <c r="AI92" s="289" t="n">
        <f aca="false">IF($L92=0,0,$L92*MAX(0,NETWORKDAYS(MAX($H92,ASOF,AI$72),MIN(MAX($I92,ASOF),AI$72+6),HOLIDAYS)))</f>
        <v>0</v>
      </c>
      <c r="AJ92" s="289" t="n">
        <f aca="false">IF($L92=0,0,$L92*MAX(0,NETWORKDAYS(MAX($H92,ASOF,AJ$72),MIN(MAX($I92,ASOF),AJ$72+6),HOLIDAYS)))</f>
        <v>0</v>
      </c>
      <c r="AK92" s="289" t="n">
        <f aca="false">IF($L92=0,0,$L92*MAX(0,NETWORKDAYS(MAX($H92,ASOF,AK$72),MIN(MAX($I92,ASOF),AK$72+6),HOLIDAYS)))</f>
        <v>0</v>
      </c>
      <c r="AL92" s="289" t="n">
        <f aca="false">IF($L92=0,0,$L92*MAX(0,NETWORKDAYS(MAX($H92,ASOF,AL$72),MIN(MAX($I92,ASOF),AL$72+6),HOLIDAYS)))</f>
        <v>0</v>
      </c>
      <c r="AM92" s="289" t="n">
        <f aca="false">IF($L92=0,0,$L92*MAX(0,NETWORKDAYS(MAX($H92,ASOF,AM$72),MIN(MAX($I92,ASOF),AM$72+6),HOLIDAYS)))</f>
        <v>0</v>
      </c>
      <c r="AN92" s="289" t="n">
        <f aca="false">IF($L92=0,0,$L92*MAX(0,NETWORKDAYS(MAX($H92,ASOF,AN$72),MIN(MAX($I92,ASOF),AN$72+6),HOLIDAYS)))</f>
        <v>0</v>
      </c>
      <c r="AO92" s="289" t="n">
        <f aca="false">IF($L92=0,0,$L92*MAX(0,NETWORKDAYS(MAX($H92,ASOF,AO$72),MIN(MAX($I92,ASOF),AO$72+6),HOLIDAYS)))</f>
        <v>0</v>
      </c>
      <c r="AP92" s="289" t="n">
        <f aca="false">IF($L92=0,0,$L92*MAX(0,NETWORKDAYS(MAX($H92,ASOF,AP$72),MIN(MAX($I92,ASOF),AP$72+6),HOLIDAYS)))</f>
        <v>0</v>
      </c>
      <c r="AQ92" s="289" t="n">
        <f aca="false">IF($L92=0,0,$L92*MAX(0,NETWORKDAYS(MAX($H92,ASOF,AQ$72),MIN(MAX($I92,ASOF),AQ$72+6),HOLIDAYS)))</f>
        <v>0</v>
      </c>
      <c r="AR92" s="289" t="n">
        <f aca="false">IF($L92=0,0,$L92*MAX(0,NETWORKDAYS(MAX($H92,ASOF,AR$72),MIN(MAX($I92,ASOF),AR$72+6),HOLIDAYS)))</f>
        <v>0</v>
      </c>
    </row>
    <row r="93" customFormat="false" ht="15" hidden="false" customHeight="false" outlineLevel="1" collapsed="false">
      <c r="A93" s="282" t="s">
        <v>46</v>
      </c>
      <c r="B93" s="283" t="s">
        <v>48</v>
      </c>
      <c r="C93" s="284" t="s">
        <v>2368</v>
      </c>
      <c r="D93" s="284" t="s">
        <v>2301</v>
      </c>
      <c r="E93" s="285" t="n">
        <v>1</v>
      </c>
      <c r="F93" s="290" t="s">
        <v>35</v>
      </c>
      <c r="G93" s="285" t="n">
        <f aca="false">$F$13*$H$13</f>
        <v>12</v>
      </c>
      <c r="H93" s="286" t="n">
        <f aca="false">IF(ISNUMBER('P9-002'!$N$100),'P9-002'!$N$100,"")</f>
        <v>46346</v>
      </c>
      <c r="I93" s="286" t="n">
        <f aca="false">IF(ISNUMBER('P9-002'!$O$100),'P9-002'!$O$100,"")</f>
        <v>46348</v>
      </c>
      <c r="J93" s="287" t="n">
        <f aca="false">IF(OR(H93="",I93="",N93&gt;=1),0,MAX(1,NETWORKDAYS(MAX(H93,ASOF),MAX(I93,ASOF),HOLIDAYS)))</f>
        <v>1</v>
      </c>
      <c r="K93" s="287" t="n">
        <f aca="false">IF(L93=0,0,ROUNDUP(L93/$F$13,0))</f>
        <v>3</v>
      </c>
      <c r="L93" s="285" t="n">
        <f aca="false">IF(J93=0,0,G93*(1-N93)/J93)</f>
        <v>12</v>
      </c>
      <c r="M93" s="283" t="s">
        <v>2299</v>
      </c>
      <c r="N93" s="288" t="n">
        <f aca="false">IFERROR(MIN(1,'P9-002'!$V$100)+0,0)</f>
        <v>0</v>
      </c>
      <c r="O93" s="289" t="n">
        <f aca="false">IF($L93=0,0,$L93*MAX(0,NETWORKDAYS(MAX($H93,ASOF,O$72),MIN(MAX($I93,ASOF),O$72+6),HOLIDAYS)))</f>
        <v>0</v>
      </c>
      <c r="P93" s="289" t="n">
        <f aca="false">IF($L93=0,0,$L93*MAX(0,NETWORKDAYS(MAX($H93,ASOF,P$72),MIN(MAX($I93,ASOF),P$72+6),HOLIDAYS)))</f>
        <v>0</v>
      </c>
      <c r="Q93" s="289" t="n">
        <f aca="false">IF($L93=0,0,$L93*MAX(0,NETWORKDAYS(MAX($H93,ASOF,Q$72),MIN(MAX($I93,ASOF),Q$72+6),HOLIDAYS)))</f>
        <v>12</v>
      </c>
      <c r="R93" s="289" t="n">
        <f aca="false">IF($L93=0,0,$L93*MAX(0,NETWORKDAYS(MAX($H93,ASOF,R$72),MIN(MAX($I93,ASOF),R$72+6),HOLIDAYS)))</f>
        <v>0</v>
      </c>
      <c r="S93" s="289" t="n">
        <f aca="false">IF($L93=0,0,$L93*MAX(0,NETWORKDAYS(MAX($H93,ASOF,S$72),MIN(MAX($I93,ASOF),S$72+6),HOLIDAYS)))</f>
        <v>0</v>
      </c>
      <c r="T93" s="289" t="n">
        <f aca="false">IF($L93=0,0,$L93*MAX(0,NETWORKDAYS(MAX($H93,ASOF,T$72),MIN(MAX($I93,ASOF),T$72+6),HOLIDAYS)))</f>
        <v>0</v>
      </c>
      <c r="U93" s="289" t="n">
        <f aca="false">IF($L93=0,0,$L93*MAX(0,NETWORKDAYS(MAX($H93,ASOF,U$72),MIN(MAX($I93,ASOF),U$72+6),HOLIDAYS)))</f>
        <v>0</v>
      </c>
      <c r="V93" s="289" t="n">
        <f aca="false">IF($L93=0,0,$L93*MAX(0,NETWORKDAYS(MAX($H93,ASOF,V$72),MIN(MAX($I93,ASOF),V$72+6),HOLIDAYS)))</f>
        <v>0</v>
      </c>
      <c r="W93" s="289" t="n">
        <f aca="false">IF($L93=0,0,$L93*MAX(0,NETWORKDAYS(MAX($H93,ASOF,W$72),MIN(MAX($I93,ASOF),W$72+6),HOLIDAYS)))</f>
        <v>0</v>
      </c>
      <c r="X93" s="289" t="n">
        <f aca="false">IF($L93=0,0,$L93*MAX(0,NETWORKDAYS(MAX($H93,ASOF,X$72),MIN(MAX($I93,ASOF),X$72+6),HOLIDAYS)))</f>
        <v>0</v>
      </c>
      <c r="Y93" s="289" t="n">
        <f aca="false">IF($L93=0,0,$L93*MAX(0,NETWORKDAYS(MAX($H93,ASOF,Y$72),MIN(MAX($I93,ASOF),Y$72+6),HOLIDAYS)))</f>
        <v>0</v>
      </c>
      <c r="Z93" s="289" t="n">
        <f aca="false">IF($L93=0,0,$L93*MAX(0,NETWORKDAYS(MAX($H93,ASOF,Z$72),MIN(MAX($I93,ASOF),Z$72+6),HOLIDAYS)))</f>
        <v>0</v>
      </c>
      <c r="AA93" s="289" t="n">
        <f aca="false">IF($L93=0,0,$L93*MAX(0,NETWORKDAYS(MAX($H93,ASOF,AA$72),MIN(MAX($I93,ASOF),AA$72+6),HOLIDAYS)))</f>
        <v>0</v>
      </c>
      <c r="AB93" s="289" t="n">
        <f aca="false">IF($L93=0,0,$L93*MAX(0,NETWORKDAYS(MAX($H93,ASOF,AB$72),MIN(MAX($I93,ASOF),AB$72+6),HOLIDAYS)))</f>
        <v>0</v>
      </c>
      <c r="AC93" s="289" t="n">
        <f aca="false">IF($L93=0,0,$L93*MAX(0,NETWORKDAYS(MAX($H93,ASOF,AC$72),MIN(MAX($I93,ASOF),AC$72+6),HOLIDAYS)))</f>
        <v>0</v>
      </c>
      <c r="AD93" s="289" t="n">
        <f aca="false">IF($L93=0,0,$L93*MAX(0,NETWORKDAYS(MAX($H93,ASOF,AD$72),MIN(MAX($I93,ASOF),AD$72+6),HOLIDAYS)))</f>
        <v>0</v>
      </c>
      <c r="AE93" s="289" t="n">
        <f aca="false">IF($L93=0,0,$L93*MAX(0,NETWORKDAYS(MAX($H93,ASOF,AE$72),MIN(MAX($I93,ASOF),AE$72+6),HOLIDAYS)))</f>
        <v>0</v>
      </c>
      <c r="AF93" s="289" t="n">
        <f aca="false">IF($L93=0,0,$L93*MAX(0,NETWORKDAYS(MAX($H93,ASOF,AF$72),MIN(MAX($I93,ASOF),AF$72+6),HOLIDAYS)))</f>
        <v>0</v>
      </c>
      <c r="AG93" s="289" t="n">
        <f aca="false">IF($L93=0,0,$L93*MAX(0,NETWORKDAYS(MAX($H93,ASOF,AG$72),MIN(MAX($I93,ASOF),AG$72+6),HOLIDAYS)))</f>
        <v>0</v>
      </c>
      <c r="AH93" s="289" t="n">
        <f aca="false">IF($L93=0,0,$L93*MAX(0,NETWORKDAYS(MAX($H93,ASOF,AH$72),MIN(MAX($I93,ASOF),AH$72+6),HOLIDAYS)))</f>
        <v>0</v>
      </c>
      <c r="AI93" s="289" t="n">
        <f aca="false">IF($L93=0,0,$L93*MAX(0,NETWORKDAYS(MAX($H93,ASOF,AI$72),MIN(MAX($I93,ASOF),AI$72+6),HOLIDAYS)))</f>
        <v>0</v>
      </c>
      <c r="AJ93" s="289" t="n">
        <f aca="false">IF($L93=0,0,$L93*MAX(0,NETWORKDAYS(MAX($H93,ASOF,AJ$72),MIN(MAX($I93,ASOF),AJ$72+6),HOLIDAYS)))</f>
        <v>0</v>
      </c>
      <c r="AK93" s="289" t="n">
        <f aca="false">IF($L93=0,0,$L93*MAX(0,NETWORKDAYS(MAX($H93,ASOF,AK$72),MIN(MAX($I93,ASOF),AK$72+6),HOLIDAYS)))</f>
        <v>0</v>
      </c>
      <c r="AL93" s="289" t="n">
        <f aca="false">IF($L93=0,0,$L93*MAX(0,NETWORKDAYS(MAX($H93,ASOF,AL$72),MIN(MAX($I93,ASOF),AL$72+6),HOLIDAYS)))</f>
        <v>0</v>
      </c>
      <c r="AM93" s="289" t="n">
        <f aca="false">IF($L93=0,0,$L93*MAX(0,NETWORKDAYS(MAX($H93,ASOF,AM$72),MIN(MAX($I93,ASOF),AM$72+6),HOLIDAYS)))</f>
        <v>0</v>
      </c>
      <c r="AN93" s="289" t="n">
        <f aca="false">IF($L93=0,0,$L93*MAX(0,NETWORKDAYS(MAX($H93,ASOF,AN$72),MIN(MAX($I93,ASOF),AN$72+6),HOLIDAYS)))</f>
        <v>0</v>
      </c>
      <c r="AO93" s="289" t="n">
        <f aca="false">IF($L93=0,0,$L93*MAX(0,NETWORKDAYS(MAX($H93,ASOF,AO$72),MIN(MAX($I93,ASOF),AO$72+6),HOLIDAYS)))</f>
        <v>0</v>
      </c>
      <c r="AP93" s="289" t="n">
        <f aca="false">IF($L93=0,0,$L93*MAX(0,NETWORKDAYS(MAX($H93,ASOF,AP$72),MIN(MAX($I93,ASOF),AP$72+6),HOLIDAYS)))</f>
        <v>0</v>
      </c>
      <c r="AQ93" s="289" t="n">
        <f aca="false">IF($L93=0,0,$L93*MAX(0,NETWORKDAYS(MAX($H93,ASOF,AQ$72),MIN(MAX($I93,ASOF),AQ$72+6),HOLIDAYS)))</f>
        <v>0</v>
      </c>
      <c r="AR93" s="289" t="n">
        <f aca="false">IF($L93=0,0,$L93*MAX(0,NETWORKDAYS(MAX($H93,ASOF,AR$72),MIN(MAX($I93,ASOF),AR$72+6),HOLIDAYS)))</f>
        <v>0</v>
      </c>
    </row>
    <row r="94" customFormat="false" ht="15" hidden="false" customHeight="false" outlineLevel="1" collapsed="false">
      <c r="A94" s="282" t="s">
        <v>46</v>
      </c>
      <c r="B94" s="283" t="s">
        <v>48</v>
      </c>
      <c r="C94" s="282" t="s">
        <v>1198</v>
      </c>
      <c r="D94" s="284" t="s">
        <v>2284</v>
      </c>
      <c r="E94" s="285" t="n">
        <v>1</v>
      </c>
      <c r="F94" s="290" t="s">
        <v>35</v>
      </c>
      <c r="G94" s="285" t="n">
        <f aca="false">$F$15*$H$15</f>
        <v>2</v>
      </c>
      <c r="H94" s="286" t="n">
        <f aca="false">IF(ISNUMBER('P9-002'!$N$107),'P9-002'!$N$107,"")</f>
        <v>46347</v>
      </c>
      <c r="I94" s="286" t="n">
        <f aca="false">IF(ISNUMBER('P9-002'!$O$107),'P9-002'!$O$107,"")</f>
        <v>46348</v>
      </c>
      <c r="J94" s="287" t="n">
        <f aca="false">IF(OR(H94="",I94="",N94&gt;=1),0,MAX(1,NETWORKDAYS(MAX(H94,ASOF),MAX(I94,ASOF),HOLIDAYS)))</f>
        <v>1</v>
      </c>
      <c r="K94" s="287" t="n">
        <f aca="false">IF(L94=0,0,ROUNDUP(L94/$F$15,0))</f>
        <v>1</v>
      </c>
      <c r="L94" s="285" t="n">
        <f aca="false">IF(J94=0,0,G94*(1-N94)/J94)</f>
        <v>2</v>
      </c>
      <c r="M94" s="283" t="s">
        <v>1192</v>
      </c>
      <c r="N94" s="288" t="n">
        <f aca="false">IFERROR(MIN(1,'P9-002'!$V$107)+0,0)</f>
        <v>0</v>
      </c>
      <c r="O94" s="289" t="n">
        <f aca="false">IF($L94=0,0,$L94*MAX(0,NETWORKDAYS(MAX($H94,ASOF,O$72),MIN(MAX($I94,ASOF),O$72+6),HOLIDAYS)))</f>
        <v>0</v>
      </c>
      <c r="P94" s="289" t="n">
        <f aca="false">IF($L94=0,0,$L94*MAX(0,NETWORKDAYS(MAX($H94,ASOF,P$72),MIN(MAX($I94,ASOF),P$72+6),HOLIDAYS)))</f>
        <v>0</v>
      </c>
      <c r="Q94" s="289" t="n">
        <f aca="false">IF($L94=0,0,$L94*MAX(0,NETWORKDAYS(MAX($H94,ASOF,Q$72),MIN(MAX($I94,ASOF),Q$72+6),HOLIDAYS)))</f>
        <v>0</v>
      </c>
      <c r="R94" s="289" t="n">
        <f aca="false">IF($L94=0,0,$L94*MAX(0,NETWORKDAYS(MAX($H94,ASOF,R$72),MIN(MAX($I94,ASOF),R$72+6),HOLIDAYS)))</f>
        <v>0</v>
      </c>
      <c r="S94" s="289" t="n">
        <f aca="false">IF($L94=0,0,$L94*MAX(0,NETWORKDAYS(MAX($H94,ASOF,S$72),MIN(MAX($I94,ASOF),S$72+6),HOLIDAYS)))</f>
        <v>0</v>
      </c>
      <c r="T94" s="289" t="n">
        <f aca="false">IF($L94=0,0,$L94*MAX(0,NETWORKDAYS(MAX($H94,ASOF,T$72),MIN(MAX($I94,ASOF),T$72+6),HOLIDAYS)))</f>
        <v>0</v>
      </c>
      <c r="U94" s="289" t="n">
        <f aca="false">IF($L94=0,0,$L94*MAX(0,NETWORKDAYS(MAX($H94,ASOF,U$72),MIN(MAX($I94,ASOF),U$72+6),HOLIDAYS)))</f>
        <v>0</v>
      </c>
      <c r="V94" s="289" t="n">
        <f aca="false">IF($L94=0,0,$L94*MAX(0,NETWORKDAYS(MAX($H94,ASOF,V$72),MIN(MAX($I94,ASOF),V$72+6),HOLIDAYS)))</f>
        <v>0</v>
      </c>
      <c r="W94" s="289" t="n">
        <f aca="false">IF($L94=0,0,$L94*MAX(0,NETWORKDAYS(MAX($H94,ASOF,W$72),MIN(MAX($I94,ASOF),W$72+6),HOLIDAYS)))</f>
        <v>0</v>
      </c>
      <c r="X94" s="289" t="n">
        <f aca="false">IF($L94=0,0,$L94*MAX(0,NETWORKDAYS(MAX($H94,ASOF,X$72),MIN(MAX($I94,ASOF),X$72+6),HOLIDAYS)))</f>
        <v>0</v>
      </c>
      <c r="Y94" s="289" t="n">
        <f aca="false">IF($L94=0,0,$L94*MAX(0,NETWORKDAYS(MAX($H94,ASOF,Y$72),MIN(MAX($I94,ASOF),Y$72+6),HOLIDAYS)))</f>
        <v>0</v>
      </c>
      <c r="Z94" s="289" t="n">
        <f aca="false">IF($L94=0,0,$L94*MAX(0,NETWORKDAYS(MAX($H94,ASOF,Z$72),MIN(MAX($I94,ASOF),Z$72+6),HOLIDAYS)))</f>
        <v>0</v>
      </c>
      <c r="AA94" s="289" t="n">
        <f aca="false">IF($L94=0,0,$L94*MAX(0,NETWORKDAYS(MAX($H94,ASOF,AA$72),MIN(MAX($I94,ASOF),AA$72+6),HOLIDAYS)))</f>
        <v>0</v>
      </c>
      <c r="AB94" s="289" t="n">
        <f aca="false">IF($L94=0,0,$L94*MAX(0,NETWORKDAYS(MAX($H94,ASOF,AB$72),MIN(MAX($I94,ASOF),AB$72+6),HOLIDAYS)))</f>
        <v>0</v>
      </c>
      <c r="AC94" s="289" t="n">
        <f aca="false">IF($L94=0,0,$L94*MAX(0,NETWORKDAYS(MAX($H94,ASOF,AC$72),MIN(MAX($I94,ASOF),AC$72+6),HOLIDAYS)))</f>
        <v>0</v>
      </c>
      <c r="AD94" s="289" t="n">
        <f aca="false">IF($L94=0,0,$L94*MAX(0,NETWORKDAYS(MAX($H94,ASOF,AD$72),MIN(MAX($I94,ASOF),AD$72+6),HOLIDAYS)))</f>
        <v>0</v>
      </c>
      <c r="AE94" s="289" t="n">
        <f aca="false">IF($L94=0,0,$L94*MAX(0,NETWORKDAYS(MAX($H94,ASOF,AE$72),MIN(MAX($I94,ASOF),AE$72+6),HOLIDAYS)))</f>
        <v>0</v>
      </c>
      <c r="AF94" s="289" t="n">
        <f aca="false">IF($L94=0,0,$L94*MAX(0,NETWORKDAYS(MAX($H94,ASOF,AF$72),MIN(MAX($I94,ASOF),AF$72+6),HOLIDAYS)))</f>
        <v>0</v>
      </c>
      <c r="AG94" s="289" t="n">
        <f aca="false">IF($L94=0,0,$L94*MAX(0,NETWORKDAYS(MAX($H94,ASOF,AG$72),MIN(MAX($I94,ASOF),AG$72+6),HOLIDAYS)))</f>
        <v>0</v>
      </c>
      <c r="AH94" s="289" t="n">
        <f aca="false">IF($L94=0,0,$L94*MAX(0,NETWORKDAYS(MAX($H94,ASOF,AH$72),MIN(MAX($I94,ASOF),AH$72+6),HOLIDAYS)))</f>
        <v>0</v>
      </c>
      <c r="AI94" s="289" t="n">
        <f aca="false">IF($L94=0,0,$L94*MAX(0,NETWORKDAYS(MAX($H94,ASOF,AI$72),MIN(MAX($I94,ASOF),AI$72+6),HOLIDAYS)))</f>
        <v>0</v>
      </c>
      <c r="AJ94" s="289" t="n">
        <f aca="false">IF($L94=0,0,$L94*MAX(0,NETWORKDAYS(MAX($H94,ASOF,AJ$72),MIN(MAX($I94,ASOF),AJ$72+6),HOLIDAYS)))</f>
        <v>0</v>
      </c>
      <c r="AK94" s="289" t="n">
        <f aca="false">IF($L94=0,0,$L94*MAX(0,NETWORKDAYS(MAX($H94,ASOF,AK$72),MIN(MAX($I94,ASOF),AK$72+6),HOLIDAYS)))</f>
        <v>0</v>
      </c>
      <c r="AL94" s="289" t="n">
        <f aca="false">IF($L94=0,0,$L94*MAX(0,NETWORKDAYS(MAX($H94,ASOF,AL$72),MIN(MAX($I94,ASOF),AL$72+6),HOLIDAYS)))</f>
        <v>0</v>
      </c>
      <c r="AM94" s="289" t="n">
        <f aca="false">IF($L94=0,0,$L94*MAX(0,NETWORKDAYS(MAX($H94,ASOF,AM$72),MIN(MAX($I94,ASOF),AM$72+6),HOLIDAYS)))</f>
        <v>0</v>
      </c>
      <c r="AN94" s="289" t="n">
        <f aca="false">IF($L94=0,0,$L94*MAX(0,NETWORKDAYS(MAX($H94,ASOF,AN$72),MIN(MAX($I94,ASOF),AN$72+6),HOLIDAYS)))</f>
        <v>0</v>
      </c>
      <c r="AO94" s="289" t="n">
        <f aca="false">IF($L94=0,0,$L94*MAX(0,NETWORKDAYS(MAX($H94,ASOF,AO$72),MIN(MAX($I94,ASOF),AO$72+6),HOLIDAYS)))</f>
        <v>0</v>
      </c>
      <c r="AP94" s="289" t="n">
        <f aca="false">IF($L94=0,0,$L94*MAX(0,NETWORKDAYS(MAX($H94,ASOF,AP$72),MIN(MAX($I94,ASOF),AP$72+6),HOLIDAYS)))</f>
        <v>0</v>
      </c>
      <c r="AQ94" s="289" t="n">
        <f aca="false">IF($L94=0,0,$L94*MAX(0,NETWORKDAYS(MAX($H94,ASOF,AQ$72),MIN(MAX($I94,ASOF),AQ$72+6),HOLIDAYS)))</f>
        <v>0</v>
      </c>
      <c r="AR94" s="289" t="n">
        <f aca="false">IF($L94=0,0,$L94*MAX(0,NETWORKDAYS(MAX($H94,ASOF,AR$72),MIN(MAX($I94,ASOF),AR$72+6),HOLIDAYS)))</f>
        <v>0</v>
      </c>
    </row>
    <row r="95" customFormat="false" ht="15" hidden="false" customHeight="false" outlineLevel="1" collapsed="false">
      <c r="A95" s="282" t="s">
        <v>46</v>
      </c>
      <c r="B95" s="283" t="s">
        <v>48</v>
      </c>
      <c r="C95" s="284" t="s">
        <v>2369</v>
      </c>
      <c r="D95" s="284" t="s">
        <v>2308</v>
      </c>
      <c r="E95" s="285" t="n">
        <v>280.44</v>
      </c>
      <c r="F95" s="283" t="s">
        <v>527</v>
      </c>
      <c r="G95" s="285" t="n">
        <f aca="false">$F$16*(E95/$G$16+$H$16)</f>
        <v>14.4132</v>
      </c>
      <c r="H95" s="286" t="n">
        <f aca="false">IF(ISNUMBER('P9-002'!$N$115),'P9-002'!$N$115,"")</f>
        <v>46359</v>
      </c>
      <c r="I95" s="286" t="n">
        <f aca="false">IF(ISNUMBER('P9-002'!$O$115),'P9-002'!$O$115,"")</f>
        <v>46359</v>
      </c>
      <c r="J95" s="287" t="n">
        <f aca="false">IF(OR(H95="",I95="",N95&gt;=1),0,MAX(1,NETWORKDAYS(MAX(H95,ASOF),MAX(I95,ASOF),HOLIDAYS)))</f>
        <v>1</v>
      </c>
      <c r="K95" s="287" t="n">
        <f aca="false">IF(L95=0,0,ROUNDUP(L95/$F$16,0))</f>
        <v>5</v>
      </c>
      <c r="L95" s="285" t="n">
        <f aca="false">IF(J95=0,0,G95*(1-N95)/J95)</f>
        <v>14.4132</v>
      </c>
      <c r="M95" s="283" t="s">
        <v>1205</v>
      </c>
      <c r="N95" s="288" t="n">
        <f aca="false">IFERROR(MIN(1,'P9-002'!$V$115)+0,0)</f>
        <v>0</v>
      </c>
      <c r="O95" s="289" t="n">
        <f aca="false">IF($L95=0,0,$L95*MAX(0,NETWORKDAYS(MAX($H95,ASOF,O$72),MIN(MAX($I95,ASOF),O$72+6),HOLIDAYS)))</f>
        <v>0</v>
      </c>
      <c r="P95" s="289" t="n">
        <f aca="false">IF($L95=0,0,$L95*MAX(0,NETWORKDAYS(MAX($H95,ASOF,P$72),MIN(MAX($I95,ASOF),P$72+6),HOLIDAYS)))</f>
        <v>0</v>
      </c>
      <c r="Q95" s="289" t="n">
        <f aca="false">IF($L95=0,0,$L95*MAX(0,NETWORKDAYS(MAX($H95,ASOF,Q$72),MIN(MAX($I95,ASOF),Q$72+6),HOLIDAYS)))</f>
        <v>0</v>
      </c>
      <c r="R95" s="289" t="n">
        <f aca="false">IF($L95=0,0,$L95*MAX(0,NETWORKDAYS(MAX($H95,ASOF,R$72),MIN(MAX($I95,ASOF),R$72+6),HOLIDAYS)))</f>
        <v>0</v>
      </c>
      <c r="S95" s="289" t="n">
        <f aca="false">IF($L95=0,0,$L95*MAX(0,NETWORKDAYS(MAX($H95,ASOF,S$72),MIN(MAX($I95,ASOF),S$72+6),HOLIDAYS)))</f>
        <v>14.4132</v>
      </c>
      <c r="T95" s="289" t="n">
        <f aca="false">IF($L95=0,0,$L95*MAX(0,NETWORKDAYS(MAX($H95,ASOF,T$72),MIN(MAX($I95,ASOF),T$72+6),HOLIDAYS)))</f>
        <v>0</v>
      </c>
      <c r="U95" s="289" t="n">
        <f aca="false">IF($L95=0,0,$L95*MAX(0,NETWORKDAYS(MAX($H95,ASOF,U$72),MIN(MAX($I95,ASOF),U$72+6),HOLIDAYS)))</f>
        <v>0</v>
      </c>
      <c r="V95" s="289" t="n">
        <f aca="false">IF($L95=0,0,$L95*MAX(0,NETWORKDAYS(MAX($H95,ASOF,V$72),MIN(MAX($I95,ASOF),V$72+6),HOLIDAYS)))</f>
        <v>0</v>
      </c>
      <c r="W95" s="289" t="n">
        <f aca="false">IF($L95=0,0,$L95*MAX(0,NETWORKDAYS(MAX($H95,ASOF,W$72),MIN(MAX($I95,ASOF),W$72+6),HOLIDAYS)))</f>
        <v>0</v>
      </c>
      <c r="X95" s="289" t="n">
        <f aca="false">IF($L95=0,0,$L95*MAX(0,NETWORKDAYS(MAX($H95,ASOF,X$72),MIN(MAX($I95,ASOF),X$72+6),HOLIDAYS)))</f>
        <v>0</v>
      </c>
      <c r="Y95" s="289" t="n">
        <f aca="false">IF($L95=0,0,$L95*MAX(0,NETWORKDAYS(MAX($H95,ASOF,Y$72),MIN(MAX($I95,ASOF),Y$72+6),HOLIDAYS)))</f>
        <v>0</v>
      </c>
      <c r="Z95" s="289" t="n">
        <f aca="false">IF($L95=0,0,$L95*MAX(0,NETWORKDAYS(MAX($H95,ASOF,Z$72),MIN(MAX($I95,ASOF),Z$72+6),HOLIDAYS)))</f>
        <v>0</v>
      </c>
      <c r="AA95" s="289" t="n">
        <f aca="false">IF($L95=0,0,$L95*MAX(0,NETWORKDAYS(MAX($H95,ASOF,AA$72),MIN(MAX($I95,ASOF),AA$72+6),HOLIDAYS)))</f>
        <v>0</v>
      </c>
      <c r="AB95" s="289" t="n">
        <f aca="false">IF($L95=0,0,$L95*MAX(0,NETWORKDAYS(MAX($H95,ASOF,AB$72),MIN(MAX($I95,ASOF),AB$72+6),HOLIDAYS)))</f>
        <v>0</v>
      </c>
      <c r="AC95" s="289" t="n">
        <f aca="false">IF($L95=0,0,$L95*MAX(0,NETWORKDAYS(MAX($H95,ASOF,AC$72),MIN(MAX($I95,ASOF),AC$72+6),HOLIDAYS)))</f>
        <v>0</v>
      </c>
      <c r="AD95" s="289" t="n">
        <f aca="false">IF($L95=0,0,$L95*MAX(0,NETWORKDAYS(MAX($H95,ASOF,AD$72),MIN(MAX($I95,ASOF),AD$72+6),HOLIDAYS)))</f>
        <v>0</v>
      </c>
      <c r="AE95" s="289" t="n">
        <f aca="false">IF($L95=0,0,$L95*MAX(0,NETWORKDAYS(MAX($H95,ASOF,AE$72),MIN(MAX($I95,ASOF),AE$72+6),HOLIDAYS)))</f>
        <v>0</v>
      </c>
      <c r="AF95" s="289" t="n">
        <f aca="false">IF($L95=0,0,$L95*MAX(0,NETWORKDAYS(MAX($H95,ASOF,AF$72),MIN(MAX($I95,ASOF),AF$72+6),HOLIDAYS)))</f>
        <v>0</v>
      </c>
      <c r="AG95" s="289" t="n">
        <f aca="false">IF($L95=0,0,$L95*MAX(0,NETWORKDAYS(MAX($H95,ASOF,AG$72),MIN(MAX($I95,ASOF),AG$72+6),HOLIDAYS)))</f>
        <v>0</v>
      </c>
      <c r="AH95" s="289" t="n">
        <f aca="false">IF($L95=0,0,$L95*MAX(0,NETWORKDAYS(MAX($H95,ASOF,AH$72),MIN(MAX($I95,ASOF),AH$72+6),HOLIDAYS)))</f>
        <v>0</v>
      </c>
      <c r="AI95" s="289" t="n">
        <f aca="false">IF($L95=0,0,$L95*MAX(0,NETWORKDAYS(MAX($H95,ASOF,AI$72),MIN(MAX($I95,ASOF),AI$72+6),HOLIDAYS)))</f>
        <v>0</v>
      </c>
      <c r="AJ95" s="289" t="n">
        <f aca="false">IF($L95=0,0,$L95*MAX(0,NETWORKDAYS(MAX($H95,ASOF,AJ$72),MIN(MAX($I95,ASOF),AJ$72+6),HOLIDAYS)))</f>
        <v>0</v>
      </c>
      <c r="AK95" s="289" t="n">
        <f aca="false">IF($L95=0,0,$L95*MAX(0,NETWORKDAYS(MAX($H95,ASOF,AK$72),MIN(MAX($I95,ASOF),AK$72+6),HOLIDAYS)))</f>
        <v>0</v>
      </c>
      <c r="AL95" s="289" t="n">
        <f aca="false">IF($L95=0,0,$L95*MAX(0,NETWORKDAYS(MAX($H95,ASOF,AL$72),MIN(MAX($I95,ASOF),AL$72+6),HOLIDAYS)))</f>
        <v>0</v>
      </c>
      <c r="AM95" s="289" t="n">
        <f aca="false">IF($L95=0,0,$L95*MAX(0,NETWORKDAYS(MAX($H95,ASOF,AM$72),MIN(MAX($I95,ASOF),AM$72+6),HOLIDAYS)))</f>
        <v>0</v>
      </c>
      <c r="AN95" s="289" t="n">
        <f aca="false">IF($L95=0,0,$L95*MAX(0,NETWORKDAYS(MAX($H95,ASOF,AN$72),MIN(MAX($I95,ASOF),AN$72+6),HOLIDAYS)))</f>
        <v>0</v>
      </c>
      <c r="AO95" s="289" t="n">
        <f aca="false">IF($L95=0,0,$L95*MAX(0,NETWORKDAYS(MAX($H95,ASOF,AO$72),MIN(MAX($I95,ASOF),AO$72+6),HOLIDAYS)))</f>
        <v>0</v>
      </c>
      <c r="AP95" s="289" t="n">
        <f aca="false">IF($L95=0,0,$L95*MAX(0,NETWORKDAYS(MAX($H95,ASOF,AP$72),MIN(MAX($I95,ASOF),AP$72+6),HOLIDAYS)))</f>
        <v>0</v>
      </c>
      <c r="AQ95" s="289" t="n">
        <f aca="false">IF($L95=0,0,$L95*MAX(0,NETWORKDAYS(MAX($H95,ASOF,AQ$72),MIN(MAX($I95,ASOF),AQ$72+6),HOLIDAYS)))</f>
        <v>0</v>
      </c>
      <c r="AR95" s="289" t="n">
        <f aca="false">IF($L95=0,0,$L95*MAX(0,NETWORKDAYS(MAX($H95,ASOF,AR$72),MIN(MAX($I95,ASOF),AR$72+6),HOLIDAYS)))</f>
        <v>0</v>
      </c>
    </row>
    <row r="96" customFormat="false" ht="15" hidden="false" customHeight="false" outlineLevel="1" collapsed="false">
      <c r="A96" s="282" t="s">
        <v>46</v>
      </c>
      <c r="B96" s="283" t="s">
        <v>48</v>
      </c>
      <c r="C96" s="284" t="s">
        <v>2370</v>
      </c>
      <c r="D96" s="284" t="s">
        <v>2313</v>
      </c>
      <c r="E96" s="285" t="n">
        <v>1</v>
      </c>
      <c r="F96" s="290" t="s">
        <v>35</v>
      </c>
      <c r="G96" s="285" t="n">
        <f aca="false">SUM(O96:AR96)</f>
        <v>20</v>
      </c>
      <c r="H96" s="286" t="n">
        <f aca="false">IF(ISNUMBER('P9-002'!$N$62),'P9-002'!$N$62,"")</f>
        <v>46328</v>
      </c>
      <c r="I96" s="286" t="n">
        <f aca="false">IF(ISNUMBER('P9-002'!$O$115),'P9-002'!$O$115,"")</f>
        <v>46359</v>
      </c>
      <c r="J96" s="287"/>
      <c r="K96" s="287" t="n">
        <f aca="false">IF(G96&gt;0,$F$17,0)</f>
        <v>1</v>
      </c>
      <c r="L96" s="285" t="n">
        <v>0</v>
      </c>
      <c r="M96" s="290" t="s">
        <v>2310</v>
      </c>
      <c r="N96" s="288" t="str">
        <f aca="false">""</f>
        <v/>
      </c>
      <c r="O96" s="289" t="n">
        <f aca="false">IF(SUMIFS(O$73:O$312,$A$73:$A$312,"P9-002",$M$73:$M$312,"&lt;&gt;คุม")&gt;0,$F$17*NETWORKDAYS(O$72,O$72+6,HOLIDAYS),0)</f>
        <v>5</v>
      </c>
      <c r="P96" s="289" t="n">
        <f aca="false">IF(SUMIFS(P$73:P$312,$A$73:$A$312,"P9-002",$M$73:$M$312,"&lt;&gt;คุม")&gt;0,$F$17*NETWORKDAYS(P$72,P$72+6,HOLIDAYS),0)</f>
        <v>5</v>
      </c>
      <c r="Q96" s="289" t="n">
        <f aca="false">IF(SUMIFS(Q$73:Q$312,$A$73:$A$312,"P9-002",$M$73:$M$312,"&lt;&gt;คุม")&gt;0,$F$17*NETWORKDAYS(Q$72,Q$72+6,HOLIDAYS),0)</f>
        <v>5</v>
      </c>
      <c r="R96" s="289" t="n">
        <f aca="false">IF(SUMIFS(R$73:R$312,$A$73:$A$312,"P9-002",$M$73:$M$312,"&lt;&gt;คุม")&gt;0,$F$17*NETWORKDAYS(R$72,R$72+6,HOLIDAYS),0)</f>
        <v>0</v>
      </c>
      <c r="S96" s="289" t="n">
        <f aca="false">IF(SUMIFS(S$73:S$312,$A$73:$A$312,"P9-002",$M$73:$M$312,"&lt;&gt;คุม")&gt;0,$F$17*NETWORKDAYS(S$72,S$72+6,HOLIDAYS),0)</f>
        <v>5</v>
      </c>
      <c r="T96" s="289" t="n">
        <f aca="false">IF(SUMIFS(T$73:T$312,$A$73:$A$312,"P9-002",$M$73:$M$312,"&lt;&gt;คุม")&gt;0,$F$17*NETWORKDAYS(T$72,T$72+6,HOLIDAYS),0)</f>
        <v>0</v>
      </c>
      <c r="U96" s="289" t="n">
        <f aca="false">IF(SUMIFS(U$73:U$312,$A$73:$A$312,"P9-002",$M$73:$M$312,"&lt;&gt;คุม")&gt;0,$F$17*NETWORKDAYS(U$72,U$72+6,HOLIDAYS),0)</f>
        <v>0</v>
      </c>
      <c r="V96" s="289" t="n">
        <f aca="false">IF(SUMIFS(V$73:V$312,$A$73:$A$312,"P9-002",$M$73:$M$312,"&lt;&gt;คุม")&gt;0,$F$17*NETWORKDAYS(V$72,V$72+6,HOLIDAYS),0)</f>
        <v>0</v>
      </c>
      <c r="W96" s="289" t="n">
        <f aca="false">IF(SUMIFS(W$73:W$312,$A$73:$A$312,"P9-002",$M$73:$M$312,"&lt;&gt;คุม")&gt;0,$F$17*NETWORKDAYS(W$72,W$72+6,HOLIDAYS),0)</f>
        <v>0</v>
      </c>
      <c r="X96" s="289" t="n">
        <f aca="false">IF(SUMIFS(X$73:X$312,$A$73:$A$312,"P9-002",$M$73:$M$312,"&lt;&gt;คุม")&gt;0,$F$17*NETWORKDAYS(X$72,X$72+6,HOLIDAYS),0)</f>
        <v>0</v>
      </c>
      <c r="Y96" s="289" t="n">
        <f aca="false">IF(SUMIFS(Y$73:Y$312,$A$73:$A$312,"P9-002",$M$73:$M$312,"&lt;&gt;คุม")&gt;0,$F$17*NETWORKDAYS(Y$72,Y$72+6,HOLIDAYS),0)</f>
        <v>0</v>
      </c>
      <c r="Z96" s="289" t="n">
        <f aca="false">IF(SUMIFS(Z$73:Z$312,$A$73:$A$312,"P9-002",$M$73:$M$312,"&lt;&gt;คุม")&gt;0,$F$17*NETWORKDAYS(Z$72,Z$72+6,HOLIDAYS),0)</f>
        <v>0</v>
      </c>
      <c r="AA96" s="289" t="n">
        <f aca="false">IF(SUMIFS(AA$73:AA$312,$A$73:$A$312,"P9-002",$M$73:$M$312,"&lt;&gt;คุม")&gt;0,$F$17*NETWORKDAYS(AA$72,AA$72+6,HOLIDAYS),0)</f>
        <v>0</v>
      </c>
      <c r="AB96" s="289" t="n">
        <f aca="false">IF(SUMIFS(AB$73:AB$312,$A$73:$A$312,"P9-002",$M$73:$M$312,"&lt;&gt;คุม")&gt;0,$F$17*NETWORKDAYS(AB$72,AB$72+6,HOLIDAYS),0)</f>
        <v>0</v>
      </c>
      <c r="AC96" s="289" t="n">
        <f aca="false">IF(SUMIFS(AC$73:AC$312,$A$73:$A$312,"P9-002",$M$73:$M$312,"&lt;&gt;คุม")&gt;0,$F$17*NETWORKDAYS(AC$72,AC$72+6,HOLIDAYS),0)</f>
        <v>0</v>
      </c>
      <c r="AD96" s="289" t="n">
        <f aca="false">IF(SUMIFS(AD$73:AD$312,$A$73:$A$312,"P9-002",$M$73:$M$312,"&lt;&gt;คุม")&gt;0,$F$17*NETWORKDAYS(AD$72,AD$72+6,HOLIDAYS),0)</f>
        <v>0</v>
      </c>
      <c r="AE96" s="289" t="n">
        <f aca="false">IF(SUMIFS(AE$73:AE$312,$A$73:$A$312,"P9-002",$M$73:$M$312,"&lt;&gt;คุม")&gt;0,$F$17*NETWORKDAYS(AE$72,AE$72+6,HOLIDAYS),0)</f>
        <v>0</v>
      </c>
      <c r="AF96" s="289" t="n">
        <f aca="false">IF(SUMIFS(AF$73:AF$312,$A$73:$A$312,"P9-002",$M$73:$M$312,"&lt;&gt;คุม")&gt;0,$F$17*NETWORKDAYS(AF$72,AF$72+6,HOLIDAYS),0)</f>
        <v>0</v>
      </c>
      <c r="AG96" s="289" t="n">
        <f aca="false">IF(SUMIFS(AG$73:AG$312,$A$73:$A$312,"P9-002",$M$73:$M$312,"&lt;&gt;คุม")&gt;0,$F$17*NETWORKDAYS(AG$72,AG$72+6,HOLIDAYS),0)</f>
        <v>0</v>
      </c>
      <c r="AH96" s="289" t="n">
        <f aca="false">IF(SUMIFS(AH$73:AH$312,$A$73:$A$312,"P9-002",$M$73:$M$312,"&lt;&gt;คุม")&gt;0,$F$17*NETWORKDAYS(AH$72,AH$72+6,HOLIDAYS),0)</f>
        <v>0</v>
      </c>
      <c r="AI96" s="289" t="n">
        <f aca="false">IF(SUMIFS(AI$73:AI$312,$A$73:$A$312,"P9-002",$M$73:$M$312,"&lt;&gt;คุม")&gt;0,$F$17*NETWORKDAYS(AI$72,AI$72+6,HOLIDAYS),0)</f>
        <v>0</v>
      </c>
      <c r="AJ96" s="289" t="n">
        <f aca="false">IF(SUMIFS(AJ$73:AJ$312,$A$73:$A$312,"P9-002",$M$73:$M$312,"&lt;&gt;คุม")&gt;0,$F$17*NETWORKDAYS(AJ$72,AJ$72+6,HOLIDAYS),0)</f>
        <v>0</v>
      </c>
      <c r="AK96" s="289" t="n">
        <f aca="false">IF(SUMIFS(AK$73:AK$312,$A$73:$A$312,"P9-002",$M$73:$M$312,"&lt;&gt;คุม")&gt;0,$F$17*NETWORKDAYS(AK$72,AK$72+6,HOLIDAYS),0)</f>
        <v>0</v>
      </c>
      <c r="AL96" s="289" t="n">
        <f aca="false">IF(SUMIFS(AL$73:AL$312,$A$73:$A$312,"P9-002",$M$73:$M$312,"&lt;&gt;คุม")&gt;0,$F$17*NETWORKDAYS(AL$72,AL$72+6,HOLIDAYS),0)</f>
        <v>0</v>
      </c>
      <c r="AM96" s="289" t="n">
        <f aca="false">IF(SUMIFS(AM$73:AM$312,$A$73:$A$312,"P9-002",$M$73:$M$312,"&lt;&gt;คุม")&gt;0,$F$17*NETWORKDAYS(AM$72,AM$72+6,HOLIDAYS),0)</f>
        <v>0</v>
      </c>
      <c r="AN96" s="289" t="n">
        <f aca="false">IF(SUMIFS(AN$73:AN$312,$A$73:$A$312,"P9-002",$M$73:$M$312,"&lt;&gt;คุม")&gt;0,$F$17*NETWORKDAYS(AN$72,AN$72+6,HOLIDAYS),0)</f>
        <v>0</v>
      </c>
      <c r="AO96" s="289" t="n">
        <f aca="false">IF(SUMIFS(AO$73:AO$312,$A$73:$A$312,"P9-002",$M$73:$M$312,"&lt;&gt;คุม")&gt;0,$F$17*NETWORKDAYS(AO$72,AO$72+6,HOLIDAYS),0)</f>
        <v>0</v>
      </c>
      <c r="AP96" s="289" t="n">
        <f aca="false">IF(SUMIFS(AP$73:AP$312,$A$73:$A$312,"P9-002",$M$73:$M$312,"&lt;&gt;คุม")&gt;0,$F$17*NETWORKDAYS(AP$72,AP$72+6,HOLIDAYS),0)</f>
        <v>0</v>
      </c>
      <c r="AQ96" s="289" t="n">
        <f aca="false">IF(SUMIFS(AQ$73:AQ$312,$A$73:$A$312,"P9-002",$M$73:$M$312,"&lt;&gt;คุม")&gt;0,$F$17*NETWORKDAYS(AQ$72,AQ$72+6,HOLIDAYS),0)</f>
        <v>0</v>
      </c>
      <c r="AR96" s="289" t="n">
        <f aca="false">IF(SUMIFS(AR$73:AR$312,$A$73:$A$312,"P9-002",$M$73:$M$312,"&lt;&gt;คุม")&gt;0,$F$17*NETWORKDAYS(AR$72,AR$72+6,HOLIDAYS),0)</f>
        <v>0</v>
      </c>
    </row>
    <row r="97" customFormat="false" ht="15" hidden="false" customHeight="false" outlineLevel="1" collapsed="false">
      <c r="A97" s="282" t="s">
        <v>50</v>
      </c>
      <c r="B97" s="283" t="s">
        <v>52</v>
      </c>
      <c r="C97" s="284" t="s">
        <v>2358</v>
      </c>
      <c r="D97" s="284" t="s">
        <v>2280</v>
      </c>
      <c r="E97" s="285" t="n">
        <v>165.53</v>
      </c>
      <c r="F97" s="283" t="s">
        <v>2359</v>
      </c>
      <c r="G97" s="285" t="n">
        <f aca="false">$F$5*(E97/$G$5+$H$5)</f>
        <v>28.4848</v>
      </c>
      <c r="H97" s="286" t="n">
        <f aca="false">IF(ISNUMBER('P9-003'!$N$62),'P9-003'!$N$62,"")</f>
        <v>46328</v>
      </c>
      <c r="I97" s="286" t="n">
        <f aca="false">IF(ISNUMBER('P9-003'!$O$62),'P9-003'!$O$62,"")</f>
        <v>46341</v>
      </c>
      <c r="J97" s="287" t="n">
        <f aca="false">IF(OR(H97="",I97="",N97&gt;=1),0,MAX(1,NETWORKDAYS(MAX(H97,ASOF),MAX(I97,ASOF),HOLIDAYS)))</f>
        <v>10</v>
      </c>
      <c r="K97" s="287" t="n">
        <f aca="false">IF(L97=0,0,ROUNDUP(L97/$F$5,0))</f>
        <v>1</v>
      </c>
      <c r="L97" s="285" t="n">
        <f aca="false">IF(J97=0,0,G97*(1-N97)/J97)</f>
        <v>2.84848</v>
      </c>
      <c r="M97" s="283" t="s">
        <v>872</v>
      </c>
      <c r="N97" s="288" t="n">
        <f aca="false">IFERROR(MIN(1,'P9-003'!$V$62)+0,0)</f>
        <v>0</v>
      </c>
      <c r="O97" s="289" t="n">
        <f aca="false">IF($L97=0,0,$L97*MAX(0,NETWORKDAYS(MAX($H97,ASOF,O$72),MIN(MAX($I97,ASOF),O$72+6),HOLIDAYS)))</f>
        <v>14.2424</v>
      </c>
      <c r="P97" s="289" t="n">
        <f aca="false">IF($L97=0,0,$L97*MAX(0,NETWORKDAYS(MAX($H97,ASOF,P$72),MIN(MAX($I97,ASOF),P$72+6),HOLIDAYS)))</f>
        <v>14.2424</v>
      </c>
      <c r="Q97" s="289" t="n">
        <f aca="false">IF($L97=0,0,$L97*MAX(0,NETWORKDAYS(MAX($H97,ASOF,Q$72),MIN(MAX($I97,ASOF),Q$72+6),HOLIDAYS)))</f>
        <v>0</v>
      </c>
      <c r="R97" s="289" t="n">
        <f aca="false">IF($L97=0,0,$L97*MAX(0,NETWORKDAYS(MAX($H97,ASOF,R$72),MIN(MAX($I97,ASOF),R$72+6),HOLIDAYS)))</f>
        <v>0</v>
      </c>
      <c r="S97" s="289" t="n">
        <f aca="false">IF($L97=0,0,$L97*MAX(0,NETWORKDAYS(MAX($H97,ASOF,S$72),MIN(MAX($I97,ASOF),S$72+6),HOLIDAYS)))</f>
        <v>0</v>
      </c>
      <c r="T97" s="289" t="n">
        <f aca="false">IF($L97=0,0,$L97*MAX(0,NETWORKDAYS(MAX($H97,ASOF,T$72),MIN(MAX($I97,ASOF),T$72+6),HOLIDAYS)))</f>
        <v>0</v>
      </c>
      <c r="U97" s="289" t="n">
        <f aca="false">IF($L97=0,0,$L97*MAX(0,NETWORKDAYS(MAX($H97,ASOF,U$72),MIN(MAX($I97,ASOF),U$72+6),HOLIDAYS)))</f>
        <v>0</v>
      </c>
      <c r="V97" s="289" t="n">
        <f aca="false">IF($L97=0,0,$L97*MAX(0,NETWORKDAYS(MAX($H97,ASOF,V$72),MIN(MAX($I97,ASOF),V$72+6),HOLIDAYS)))</f>
        <v>0</v>
      </c>
      <c r="W97" s="289" t="n">
        <f aca="false">IF($L97=0,0,$L97*MAX(0,NETWORKDAYS(MAX($H97,ASOF,W$72),MIN(MAX($I97,ASOF),W$72+6),HOLIDAYS)))</f>
        <v>0</v>
      </c>
      <c r="X97" s="289" t="n">
        <f aca="false">IF($L97=0,0,$L97*MAX(0,NETWORKDAYS(MAX($H97,ASOF,X$72),MIN(MAX($I97,ASOF),X$72+6),HOLIDAYS)))</f>
        <v>0</v>
      </c>
      <c r="Y97" s="289" t="n">
        <f aca="false">IF($L97=0,0,$L97*MAX(0,NETWORKDAYS(MAX($H97,ASOF,Y$72),MIN(MAX($I97,ASOF),Y$72+6),HOLIDAYS)))</f>
        <v>0</v>
      </c>
      <c r="Z97" s="289" t="n">
        <f aca="false">IF($L97=0,0,$L97*MAX(0,NETWORKDAYS(MAX($H97,ASOF,Z$72),MIN(MAX($I97,ASOF),Z$72+6),HOLIDAYS)))</f>
        <v>0</v>
      </c>
      <c r="AA97" s="289" t="n">
        <f aca="false">IF($L97=0,0,$L97*MAX(0,NETWORKDAYS(MAX($H97,ASOF,AA$72),MIN(MAX($I97,ASOF),AA$72+6),HOLIDAYS)))</f>
        <v>0</v>
      </c>
      <c r="AB97" s="289" t="n">
        <f aca="false">IF($L97=0,0,$L97*MAX(0,NETWORKDAYS(MAX($H97,ASOF,AB$72),MIN(MAX($I97,ASOF),AB$72+6),HOLIDAYS)))</f>
        <v>0</v>
      </c>
      <c r="AC97" s="289" t="n">
        <f aca="false">IF($L97=0,0,$L97*MAX(0,NETWORKDAYS(MAX($H97,ASOF,AC$72),MIN(MAX($I97,ASOF),AC$72+6),HOLIDAYS)))</f>
        <v>0</v>
      </c>
      <c r="AD97" s="289" t="n">
        <f aca="false">IF($L97=0,0,$L97*MAX(0,NETWORKDAYS(MAX($H97,ASOF,AD$72),MIN(MAX($I97,ASOF),AD$72+6),HOLIDAYS)))</f>
        <v>0</v>
      </c>
      <c r="AE97" s="289" t="n">
        <f aca="false">IF($L97=0,0,$L97*MAX(0,NETWORKDAYS(MAX($H97,ASOF,AE$72),MIN(MAX($I97,ASOF),AE$72+6),HOLIDAYS)))</f>
        <v>0</v>
      </c>
      <c r="AF97" s="289" t="n">
        <f aca="false">IF($L97=0,0,$L97*MAX(0,NETWORKDAYS(MAX($H97,ASOF,AF$72),MIN(MAX($I97,ASOF),AF$72+6),HOLIDAYS)))</f>
        <v>0</v>
      </c>
      <c r="AG97" s="289" t="n">
        <f aca="false">IF($L97=0,0,$L97*MAX(0,NETWORKDAYS(MAX($H97,ASOF,AG$72),MIN(MAX($I97,ASOF),AG$72+6),HOLIDAYS)))</f>
        <v>0</v>
      </c>
      <c r="AH97" s="289" t="n">
        <f aca="false">IF($L97=0,0,$L97*MAX(0,NETWORKDAYS(MAX($H97,ASOF,AH$72),MIN(MAX($I97,ASOF),AH$72+6),HOLIDAYS)))</f>
        <v>0</v>
      </c>
      <c r="AI97" s="289" t="n">
        <f aca="false">IF($L97=0,0,$L97*MAX(0,NETWORKDAYS(MAX($H97,ASOF,AI$72),MIN(MAX($I97,ASOF),AI$72+6),HOLIDAYS)))</f>
        <v>0</v>
      </c>
      <c r="AJ97" s="289" t="n">
        <f aca="false">IF($L97=0,0,$L97*MAX(0,NETWORKDAYS(MAX($H97,ASOF,AJ$72),MIN(MAX($I97,ASOF),AJ$72+6),HOLIDAYS)))</f>
        <v>0</v>
      </c>
      <c r="AK97" s="289" t="n">
        <f aca="false">IF($L97=0,0,$L97*MAX(0,NETWORKDAYS(MAX($H97,ASOF,AK$72),MIN(MAX($I97,ASOF),AK$72+6),HOLIDAYS)))</f>
        <v>0</v>
      </c>
      <c r="AL97" s="289" t="n">
        <f aca="false">IF($L97=0,0,$L97*MAX(0,NETWORKDAYS(MAX($H97,ASOF,AL$72),MIN(MAX($I97,ASOF),AL$72+6),HOLIDAYS)))</f>
        <v>0</v>
      </c>
      <c r="AM97" s="289" t="n">
        <f aca="false">IF($L97=0,0,$L97*MAX(0,NETWORKDAYS(MAX($H97,ASOF,AM$72),MIN(MAX($I97,ASOF),AM$72+6),HOLIDAYS)))</f>
        <v>0</v>
      </c>
      <c r="AN97" s="289" t="n">
        <f aca="false">IF($L97=0,0,$L97*MAX(0,NETWORKDAYS(MAX($H97,ASOF,AN$72),MIN(MAX($I97,ASOF),AN$72+6),HOLIDAYS)))</f>
        <v>0</v>
      </c>
      <c r="AO97" s="289" t="n">
        <f aca="false">IF($L97=0,0,$L97*MAX(0,NETWORKDAYS(MAX($H97,ASOF,AO$72),MIN(MAX($I97,ASOF),AO$72+6),HOLIDAYS)))</f>
        <v>0</v>
      </c>
      <c r="AP97" s="289" t="n">
        <f aca="false">IF($L97=0,0,$L97*MAX(0,NETWORKDAYS(MAX($H97,ASOF,AP$72),MIN(MAX($I97,ASOF),AP$72+6),HOLIDAYS)))</f>
        <v>0</v>
      </c>
      <c r="AQ97" s="289" t="n">
        <f aca="false">IF($L97=0,0,$L97*MAX(0,NETWORKDAYS(MAX($H97,ASOF,AQ$72),MIN(MAX($I97,ASOF),AQ$72+6),HOLIDAYS)))</f>
        <v>0</v>
      </c>
      <c r="AR97" s="289" t="n">
        <f aca="false">IF($L97=0,0,$L97*MAX(0,NETWORKDAYS(MAX($H97,ASOF,AR$72),MIN(MAX($I97,ASOF),AR$72+6),HOLIDAYS)))</f>
        <v>0</v>
      </c>
    </row>
    <row r="98" customFormat="false" ht="15" hidden="false" customHeight="false" outlineLevel="1" collapsed="false">
      <c r="A98" s="282" t="s">
        <v>50</v>
      </c>
      <c r="B98" s="283" t="s">
        <v>52</v>
      </c>
      <c r="C98" s="284" t="s">
        <v>2360</v>
      </c>
      <c r="D98" s="284" t="s">
        <v>2284</v>
      </c>
      <c r="E98" s="285" t="n">
        <v>150.48</v>
      </c>
      <c r="F98" s="283" t="s">
        <v>527</v>
      </c>
      <c r="G98" s="285" t="n">
        <f aca="false">$F$6*(E98/$G$6+$H$6)</f>
        <v>14.286</v>
      </c>
      <c r="H98" s="286" t="n">
        <f aca="false">IF(ISNUMBER('P9-003'!$N$70),'P9-003'!$N$70,"")</f>
        <v>46343</v>
      </c>
      <c r="I98" s="286" t="n">
        <f aca="false">IF(ISNUMBER('P9-003'!$O$70),'P9-003'!$O$70,"")</f>
        <v>46346</v>
      </c>
      <c r="J98" s="287" t="n">
        <f aca="false">IF(OR(H98="",I98="",N98&gt;=1),0,MAX(1,NETWORKDAYS(MAX(H98,ASOF),MAX(I98,ASOF),HOLIDAYS)))</f>
        <v>4</v>
      </c>
      <c r="K98" s="287" t="n">
        <f aca="false">IF(L98=0,0,ROUNDUP(L98/$F$6,0))</f>
        <v>2</v>
      </c>
      <c r="L98" s="285" t="n">
        <f aca="false">IF(J98=0,0,G98*(1-N98)/J98)</f>
        <v>3.5715</v>
      </c>
      <c r="M98" s="283" t="s">
        <v>987</v>
      </c>
      <c r="N98" s="288" t="n">
        <f aca="false">IFERROR(MIN(1,'P9-003'!$V$70)+0,0)</f>
        <v>0</v>
      </c>
      <c r="O98" s="289" t="n">
        <f aca="false">IF($L98=0,0,$L98*MAX(0,NETWORKDAYS(MAX($H98,ASOF,O$72),MIN(MAX($I98,ASOF),O$72+6),HOLIDAYS)))</f>
        <v>0</v>
      </c>
      <c r="P98" s="289" t="n">
        <f aca="false">IF($L98=0,0,$L98*MAX(0,NETWORKDAYS(MAX($H98,ASOF,P$72),MIN(MAX($I98,ASOF),P$72+6),HOLIDAYS)))</f>
        <v>0</v>
      </c>
      <c r="Q98" s="289" t="n">
        <f aca="false">IF($L98=0,0,$L98*MAX(0,NETWORKDAYS(MAX($H98,ASOF,Q$72),MIN(MAX($I98,ASOF),Q$72+6),HOLIDAYS)))</f>
        <v>14.286</v>
      </c>
      <c r="R98" s="289" t="n">
        <f aca="false">IF($L98=0,0,$L98*MAX(0,NETWORKDAYS(MAX($H98,ASOF,R$72),MIN(MAX($I98,ASOF),R$72+6),HOLIDAYS)))</f>
        <v>0</v>
      </c>
      <c r="S98" s="289" t="n">
        <f aca="false">IF($L98=0,0,$L98*MAX(0,NETWORKDAYS(MAX($H98,ASOF,S$72),MIN(MAX($I98,ASOF),S$72+6),HOLIDAYS)))</f>
        <v>0</v>
      </c>
      <c r="T98" s="289" t="n">
        <f aca="false">IF($L98=0,0,$L98*MAX(0,NETWORKDAYS(MAX($H98,ASOF,T$72),MIN(MAX($I98,ASOF),T$72+6),HOLIDAYS)))</f>
        <v>0</v>
      </c>
      <c r="U98" s="289" t="n">
        <f aca="false">IF($L98=0,0,$L98*MAX(0,NETWORKDAYS(MAX($H98,ASOF,U$72),MIN(MAX($I98,ASOF),U$72+6),HOLIDAYS)))</f>
        <v>0</v>
      </c>
      <c r="V98" s="289" t="n">
        <f aca="false">IF($L98=0,0,$L98*MAX(0,NETWORKDAYS(MAX($H98,ASOF,V$72),MIN(MAX($I98,ASOF),V$72+6),HOLIDAYS)))</f>
        <v>0</v>
      </c>
      <c r="W98" s="289" t="n">
        <f aca="false">IF($L98=0,0,$L98*MAX(0,NETWORKDAYS(MAX($H98,ASOF,W$72),MIN(MAX($I98,ASOF),W$72+6),HOLIDAYS)))</f>
        <v>0</v>
      </c>
      <c r="X98" s="289" t="n">
        <f aca="false">IF($L98=0,0,$L98*MAX(0,NETWORKDAYS(MAX($H98,ASOF,X$72),MIN(MAX($I98,ASOF),X$72+6),HOLIDAYS)))</f>
        <v>0</v>
      </c>
      <c r="Y98" s="289" t="n">
        <f aca="false">IF($L98=0,0,$L98*MAX(0,NETWORKDAYS(MAX($H98,ASOF,Y$72),MIN(MAX($I98,ASOF),Y$72+6),HOLIDAYS)))</f>
        <v>0</v>
      </c>
      <c r="Z98" s="289" t="n">
        <f aca="false">IF($L98=0,0,$L98*MAX(0,NETWORKDAYS(MAX($H98,ASOF,Z$72),MIN(MAX($I98,ASOF),Z$72+6),HOLIDAYS)))</f>
        <v>0</v>
      </c>
      <c r="AA98" s="289" t="n">
        <f aca="false">IF($L98=0,0,$L98*MAX(0,NETWORKDAYS(MAX($H98,ASOF,AA$72),MIN(MAX($I98,ASOF),AA$72+6),HOLIDAYS)))</f>
        <v>0</v>
      </c>
      <c r="AB98" s="289" t="n">
        <f aca="false">IF($L98=0,0,$L98*MAX(0,NETWORKDAYS(MAX($H98,ASOF,AB$72),MIN(MAX($I98,ASOF),AB$72+6),HOLIDAYS)))</f>
        <v>0</v>
      </c>
      <c r="AC98" s="289" t="n">
        <f aca="false">IF($L98=0,0,$L98*MAX(0,NETWORKDAYS(MAX($H98,ASOF,AC$72),MIN(MAX($I98,ASOF),AC$72+6),HOLIDAYS)))</f>
        <v>0</v>
      </c>
      <c r="AD98" s="289" t="n">
        <f aca="false">IF($L98=0,0,$L98*MAX(0,NETWORKDAYS(MAX($H98,ASOF,AD$72),MIN(MAX($I98,ASOF),AD$72+6),HOLIDAYS)))</f>
        <v>0</v>
      </c>
      <c r="AE98" s="289" t="n">
        <f aca="false">IF($L98=0,0,$L98*MAX(0,NETWORKDAYS(MAX($H98,ASOF,AE$72),MIN(MAX($I98,ASOF),AE$72+6),HOLIDAYS)))</f>
        <v>0</v>
      </c>
      <c r="AF98" s="289" t="n">
        <f aca="false">IF($L98=0,0,$L98*MAX(0,NETWORKDAYS(MAX($H98,ASOF,AF$72),MIN(MAX($I98,ASOF),AF$72+6),HOLIDAYS)))</f>
        <v>0</v>
      </c>
      <c r="AG98" s="289" t="n">
        <f aca="false">IF($L98=0,0,$L98*MAX(0,NETWORKDAYS(MAX($H98,ASOF,AG$72),MIN(MAX($I98,ASOF),AG$72+6),HOLIDAYS)))</f>
        <v>0</v>
      </c>
      <c r="AH98" s="289" t="n">
        <f aca="false">IF($L98=0,0,$L98*MAX(0,NETWORKDAYS(MAX($H98,ASOF,AH$72),MIN(MAX($I98,ASOF),AH$72+6),HOLIDAYS)))</f>
        <v>0</v>
      </c>
      <c r="AI98" s="289" t="n">
        <f aca="false">IF($L98=0,0,$L98*MAX(0,NETWORKDAYS(MAX($H98,ASOF,AI$72),MIN(MAX($I98,ASOF),AI$72+6),HOLIDAYS)))</f>
        <v>0</v>
      </c>
      <c r="AJ98" s="289" t="n">
        <f aca="false">IF($L98=0,0,$L98*MAX(0,NETWORKDAYS(MAX($H98,ASOF,AJ$72),MIN(MAX($I98,ASOF),AJ$72+6),HOLIDAYS)))</f>
        <v>0</v>
      </c>
      <c r="AK98" s="289" t="n">
        <f aca="false">IF($L98=0,0,$L98*MAX(0,NETWORKDAYS(MAX($H98,ASOF,AK$72),MIN(MAX($I98,ASOF),AK$72+6),HOLIDAYS)))</f>
        <v>0</v>
      </c>
      <c r="AL98" s="289" t="n">
        <f aca="false">IF($L98=0,0,$L98*MAX(0,NETWORKDAYS(MAX($H98,ASOF,AL$72),MIN(MAX($I98,ASOF),AL$72+6),HOLIDAYS)))</f>
        <v>0</v>
      </c>
      <c r="AM98" s="289" t="n">
        <f aca="false">IF($L98=0,0,$L98*MAX(0,NETWORKDAYS(MAX($H98,ASOF,AM$72),MIN(MAX($I98,ASOF),AM$72+6),HOLIDAYS)))</f>
        <v>0</v>
      </c>
      <c r="AN98" s="289" t="n">
        <f aca="false">IF($L98=0,0,$L98*MAX(0,NETWORKDAYS(MAX($H98,ASOF,AN$72),MIN(MAX($I98,ASOF),AN$72+6),HOLIDAYS)))</f>
        <v>0</v>
      </c>
      <c r="AO98" s="289" t="n">
        <f aca="false">IF($L98=0,0,$L98*MAX(0,NETWORKDAYS(MAX($H98,ASOF,AO$72),MIN(MAX($I98,ASOF),AO$72+6),HOLIDAYS)))</f>
        <v>0</v>
      </c>
      <c r="AP98" s="289" t="n">
        <f aca="false">IF($L98=0,0,$L98*MAX(0,NETWORKDAYS(MAX($H98,ASOF,AP$72),MIN(MAX($I98,ASOF),AP$72+6),HOLIDAYS)))</f>
        <v>0</v>
      </c>
      <c r="AQ98" s="289" t="n">
        <f aca="false">IF($L98=0,0,$L98*MAX(0,NETWORKDAYS(MAX($H98,ASOF,AQ$72),MIN(MAX($I98,ASOF),AQ$72+6),HOLIDAYS)))</f>
        <v>0</v>
      </c>
      <c r="AR98" s="289" t="n">
        <f aca="false">IF($L98=0,0,$L98*MAX(0,NETWORKDAYS(MAX($H98,ASOF,AR$72),MIN(MAX($I98,ASOF),AR$72+6),HOLIDAYS)))</f>
        <v>0</v>
      </c>
    </row>
    <row r="99" customFormat="false" ht="15" hidden="false" customHeight="false" outlineLevel="1" collapsed="false">
      <c r="A99" s="282" t="s">
        <v>50</v>
      </c>
      <c r="B99" s="283" t="s">
        <v>52</v>
      </c>
      <c r="C99" s="284" t="s">
        <v>2361</v>
      </c>
      <c r="D99" s="284" t="s">
        <v>2280</v>
      </c>
      <c r="E99" s="285" t="n">
        <v>150.48</v>
      </c>
      <c r="F99" s="283" t="s">
        <v>527</v>
      </c>
      <c r="G99" s="285" t="n">
        <f aca="false">$F$7*(E99/$G$7+$H$7)</f>
        <v>19.1977142857143</v>
      </c>
      <c r="H99" s="286" t="n">
        <f aca="false">IF(ISNUMBER('P9-003'!$N$76),'P9-003'!$N$76,"")</f>
        <v>46342</v>
      </c>
      <c r="I99" s="286" t="n">
        <f aca="false">IF(ISNUMBER('P9-003'!$O$76),'P9-003'!$O$76,"")</f>
        <v>46347</v>
      </c>
      <c r="J99" s="287" t="n">
        <f aca="false">IF(OR(H99="",I99="",N99&gt;=1),0,MAX(1,NETWORKDAYS(MAX(H99,ASOF),MAX(I99,ASOF),HOLIDAYS)))</f>
        <v>5</v>
      </c>
      <c r="K99" s="287" t="n">
        <f aca="false">IF(L99=0,0,ROUNDUP(L99/$F$7,0))</f>
        <v>1</v>
      </c>
      <c r="L99" s="285" t="n">
        <f aca="false">IF(J99=0,0,G99*(1-N99)/J99)</f>
        <v>3.83954285714286</v>
      </c>
      <c r="M99" s="283" t="s">
        <v>1037</v>
      </c>
      <c r="N99" s="288" t="n">
        <f aca="false">IFERROR(MIN(1,'P9-003'!$V$76)+0,0)</f>
        <v>0</v>
      </c>
      <c r="O99" s="289" t="n">
        <f aca="false">IF($L99=0,0,$L99*MAX(0,NETWORKDAYS(MAX($H99,ASOF,O$72),MIN(MAX($I99,ASOF),O$72+6),HOLIDAYS)))</f>
        <v>0</v>
      </c>
      <c r="P99" s="289" t="n">
        <f aca="false">IF($L99=0,0,$L99*MAX(0,NETWORKDAYS(MAX($H99,ASOF,P$72),MIN(MAX($I99,ASOF),P$72+6),HOLIDAYS)))</f>
        <v>0</v>
      </c>
      <c r="Q99" s="289" t="n">
        <f aca="false">IF($L99=0,0,$L99*MAX(0,NETWORKDAYS(MAX($H99,ASOF,Q$72),MIN(MAX($I99,ASOF),Q$72+6),HOLIDAYS)))</f>
        <v>19.1977142857143</v>
      </c>
      <c r="R99" s="289" t="n">
        <f aca="false">IF($L99=0,0,$L99*MAX(0,NETWORKDAYS(MAX($H99,ASOF,R$72),MIN(MAX($I99,ASOF),R$72+6),HOLIDAYS)))</f>
        <v>0</v>
      </c>
      <c r="S99" s="289" t="n">
        <f aca="false">IF($L99=0,0,$L99*MAX(0,NETWORKDAYS(MAX($H99,ASOF,S$72),MIN(MAX($I99,ASOF),S$72+6),HOLIDAYS)))</f>
        <v>0</v>
      </c>
      <c r="T99" s="289" t="n">
        <f aca="false">IF($L99=0,0,$L99*MAX(0,NETWORKDAYS(MAX($H99,ASOF,T$72),MIN(MAX($I99,ASOF),T$72+6),HOLIDAYS)))</f>
        <v>0</v>
      </c>
      <c r="U99" s="289" t="n">
        <f aca="false">IF($L99=0,0,$L99*MAX(0,NETWORKDAYS(MAX($H99,ASOF,U$72),MIN(MAX($I99,ASOF),U$72+6),HOLIDAYS)))</f>
        <v>0</v>
      </c>
      <c r="V99" s="289" t="n">
        <f aca="false">IF($L99=0,0,$L99*MAX(0,NETWORKDAYS(MAX($H99,ASOF,V$72),MIN(MAX($I99,ASOF),V$72+6),HOLIDAYS)))</f>
        <v>0</v>
      </c>
      <c r="W99" s="289" t="n">
        <f aca="false">IF($L99=0,0,$L99*MAX(0,NETWORKDAYS(MAX($H99,ASOF,W$72),MIN(MAX($I99,ASOF),W$72+6),HOLIDAYS)))</f>
        <v>0</v>
      </c>
      <c r="X99" s="289" t="n">
        <f aca="false">IF($L99=0,0,$L99*MAX(0,NETWORKDAYS(MAX($H99,ASOF,X$72),MIN(MAX($I99,ASOF),X$72+6),HOLIDAYS)))</f>
        <v>0</v>
      </c>
      <c r="Y99" s="289" t="n">
        <f aca="false">IF($L99=0,0,$L99*MAX(0,NETWORKDAYS(MAX($H99,ASOF,Y$72),MIN(MAX($I99,ASOF),Y$72+6),HOLIDAYS)))</f>
        <v>0</v>
      </c>
      <c r="Z99" s="289" t="n">
        <f aca="false">IF($L99=0,0,$L99*MAX(0,NETWORKDAYS(MAX($H99,ASOF,Z$72),MIN(MAX($I99,ASOF),Z$72+6),HOLIDAYS)))</f>
        <v>0</v>
      </c>
      <c r="AA99" s="289" t="n">
        <f aca="false">IF($L99=0,0,$L99*MAX(0,NETWORKDAYS(MAX($H99,ASOF,AA$72),MIN(MAX($I99,ASOF),AA$72+6),HOLIDAYS)))</f>
        <v>0</v>
      </c>
      <c r="AB99" s="289" t="n">
        <f aca="false">IF($L99=0,0,$L99*MAX(0,NETWORKDAYS(MAX($H99,ASOF,AB$72),MIN(MAX($I99,ASOF),AB$72+6),HOLIDAYS)))</f>
        <v>0</v>
      </c>
      <c r="AC99" s="289" t="n">
        <f aca="false">IF($L99=0,0,$L99*MAX(0,NETWORKDAYS(MAX($H99,ASOF,AC$72),MIN(MAX($I99,ASOF),AC$72+6),HOLIDAYS)))</f>
        <v>0</v>
      </c>
      <c r="AD99" s="289" t="n">
        <f aca="false">IF($L99=0,0,$L99*MAX(0,NETWORKDAYS(MAX($H99,ASOF,AD$72),MIN(MAX($I99,ASOF),AD$72+6),HOLIDAYS)))</f>
        <v>0</v>
      </c>
      <c r="AE99" s="289" t="n">
        <f aca="false">IF($L99=0,0,$L99*MAX(0,NETWORKDAYS(MAX($H99,ASOF,AE$72),MIN(MAX($I99,ASOF),AE$72+6),HOLIDAYS)))</f>
        <v>0</v>
      </c>
      <c r="AF99" s="289" t="n">
        <f aca="false">IF($L99=0,0,$L99*MAX(0,NETWORKDAYS(MAX($H99,ASOF,AF$72),MIN(MAX($I99,ASOF),AF$72+6),HOLIDAYS)))</f>
        <v>0</v>
      </c>
      <c r="AG99" s="289" t="n">
        <f aca="false">IF($L99=0,0,$L99*MAX(0,NETWORKDAYS(MAX($H99,ASOF,AG$72),MIN(MAX($I99,ASOF),AG$72+6),HOLIDAYS)))</f>
        <v>0</v>
      </c>
      <c r="AH99" s="289" t="n">
        <f aca="false">IF($L99=0,0,$L99*MAX(0,NETWORKDAYS(MAX($H99,ASOF,AH$72),MIN(MAX($I99,ASOF),AH$72+6),HOLIDAYS)))</f>
        <v>0</v>
      </c>
      <c r="AI99" s="289" t="n">
        <f aca="false">IF($L99=0,0,$L99*MAX(0,NETWORKDAYS(MAX($H99,ASOF,AI$72),MIN(MAX($I99,ASOF),AI$72+6),HOLIDAYS)))</f>
        <v>0</v>
      </c>
      <c r="AJ99" s="289" t="n">
        <f aca="false">IF($L99=0,0,$L99*MAX(0,NETWORKDAYS(MAX($H99,ASOF,AJ$72),MIN(MAX($I99,ASOF),AJ$72+6),HOLIDAYS)))</f>
        <v>0</v>
      </c>
      <c r="AK99" s="289" t="n">
        <f aca="false">IF($L99=0,0,$L99*MAX(0,NETWORKDAYS(MAX($H99,ASOF,AK$72),MIN(MAX($I99,ASOF),AK$72+6),HOLIDAYS)))</f>
        <v>0</v>
      </c>
      <c r="AL99" s="289" t="n">
        <f aca="false">IF($L99=0,0,$L99*MAX(0,NETWORKDAYS(MAX($H99,ASOF,AL$72),MIN(MAX($I99,ASOF),AL$72+6),HOLIDAYS)))</f>
        <v>0</v>
      </c>
      <c r="AM99" s="289" t="n">
        <f aca="false">IF($L99=0,0,$L99*MAX(0,NETWORKDAYS(MAX($H99,ASOF,AM$72),MIN(MAX($I99,ASOF),AM$72+6),HOLIDAYS)))</f>
        <v>0</v>
      </c>
      <c r="AN99" s="289" t="n">
        <f aca="false">IF($L99=0,0,$L99*MAX(0,NETWORKDAYS(MAX($H99,ASOF,AN$72),MIN(MAX($I99,ASOF),AN$72+6),HOLIDAYS)))</f>
        <v>0</v>
      </c>
      <c r="AO99" s="289" t="n">
        <f aca="false">IF($L99=0,0,$L99*MAX(0,NETWORKDAYS(MAX($H99,ASOF,AO$72),MIN(MAX($I99,ASOF),AO$72+6),HOLIDAYS)))</f>
        <v>0</v>
      </c>
      <c r="AP99" s="289" t="n">
        <f aca="false">IF($L99=0,0,$L99*MAX(0,NETWORKDAYS(MAX($H99,ASOF,AP$72),MIN(MAX($I99,ASOF),AP$72+6),HOLIDAYS)))</f>
        <v>0</v>
      </c>
      <c r="AQ99" s="289" t="n">
        <f aca="false">IF($L99=0,0,$L99*MAX(0,NETWORKDAYS(MAX($H99,ASOF,AQ$72),MIN(MAX($I99,ASOF),AQ$72+6),HOLIDAYS)))</f>
        <v>0</v>
      </c>
      <c r="AR99" s="289" t="n">
        <f aca="false">IF($L99=0,0,$L99*MAX(0,NETWORKDAYS(MAX($H99,ASOF,AR$72),MIN(MAX($I99,ASOF),AR$72+6),HOLIDAYS)))</f>
        <v>0</v>
      </c>
    </row>
    <row r="100" customFormat="false" ht="15" hidden="false" customHeight="false" outlineLevel="1" collapsed="false">
      <c r="A100" s="282" t="s">
        <v>50</v>
      </c>
      <c r="B100" s="283" t="s">
        <v>52</v>
      </c>
      <c r="C100" s="284" t="s">
        <v>2362</v>
      </c>
      <c r="D100" s="284" t="s">
        <v>2284</v>
      </c>
      <c r="E100" s="285" t="n">
        <v>1</v>
      </c>
      <c r="F100" s="290" t="s">
        <v>35</v>
      </c>
      <c r="G100" s="285" t="n">
        <f aca="false">$F$8*$H$8</f>
        <v>2</v>
      </c>
      <c r="H100" s="286" t="n">
        <f aca="false">IF(ISNUMBER('P9-003'!$N$82),'P9-003'!$N$82,"")</f>
        <v>46345</v>
      </c>
      <c r="I100" s="286" t="n">
        <f aca="false">IF(ISNUMBER('P9-003'!$O$82),'P9-003'!$O$82,"")</f>
        <v>46347</v>
      </c>
      <c r="J100" s="287" t="n">
        <f aca="false">IF(OR(H100="",I100="",N100&gt;=1),0,MAX(1,NETWORKDAYS(MAX(H100,ASOF),MAX(I100,ASOF),HOLIDAYS)))</f>
        <v>2</v>
      </c>
      <c r="K100" s="287" t="n">
        <f aca="false">IF(L100=0,0,ROUNDUP(L100/$F$8,0))</f>
        <v>1</v>
      </c>
      <c r="L100" s="285" t="n">
        <f aca="false">IF(J100=0,0,G100*(1-N100)/J100)</f>
        <v>1</v>
      </c>
      <c r="M100" s="283" t="s">
        <v>1063</v>
      </c>
      <c r="N100" s="288" t="n">
        <f aca="false">IFERROR(MIN(1,'P9-003'!$V$82)+0,0)</f>
        <v>0</v>
      </c>
      <c r="O100" s="289" t="n">
        <f aca="false">IF($L100=0,0,$L100*MAX(0,NETWORKDAYS(MAX($H100,ASOF,O$72),MIN(MAX($I100,ASOF),O$72+6),HOLIDAYS)))</f>
        <v>0</v>
      </c>
      <c r="P100" s="289" t="n">
        <f aca="false">IF($L100=0,0,$L100*MAX(0,NETWORKDAYS(MAX($H100,ASOF,P$72),MIN(MAX($I100,ASOF),P$72+6),HOLIDAYS)))</f>
        <v>0</v>
      </c>
      <c r="Q100" s="289" t="n">
        <f aca="false">IF($L100=0,0,$L100*MAX(0,NETWORKDAYS(MAX($H100,ASOF,Q$72),MIN(MAX($I100,ASOF),Q$72+6),HOLIDAYS)))</f>
        <v>2</v>
      </c>
      <c r="R100" s="289" t="n">
        <f aca="false">IF($L100=0,0,$L100*MAX(0,NETWORKDAYS(MAX($H100,ASOF,R$72),MIN(MAX($I100,ASOF),R$72+6),HOLIDAYS)))</f>
        <v>0</v>
      </c>
      <c r="S100" s="289" t="n">
        <f aca="false">IF($L100=0,0,$L100*MAX(0,NETWORKDAYS(MAX($H100,ASOF,S$72),MIN(MAX($I100,ASOF),S$72+6),HOLIDAYS)))</f>
        <v>0</v>
      </c>
      <c r="T100" s="289" t="n">
        <f aca="false">IF($L100=0,0,$L100*MAX(0,NETWORKDAYS(MAX($H100,ASOF,T$72),MIN(MAX($I100,ASOF),T$72+6),HOLIDAYS)))</f>
        <v>0</v>
      </c>
      <c r="U100" s="289" t="n">
        <f aca="false">IF($L100=0,0,$L100*MAX(0,NETWORKDAYS(MAX($H100,ASOF,U$72),MIN(MAX($I100,ASOF),U$72+6),HOLIDAYS)))</f>
        <v>0</v>
      </c>
      <c r="V100" s="289" t="n">
        <f aca="false">IF($L100=0,0,$L100*MAX(0,NETWORKDAYS(MAX($H100,ASOF,V$72),MIN(MAX($I100,ASOF),V$72+6),HOLIDAYS)))</f>
        <v>0</v>
      </c>
      <c r="W100" s="289" t="n">
        <f aca="false">IF($L100=0,0,$L100*MAX(0,NETWORKDAYS(MAX($H100,ASOF,W$72),MIN(MAX($I100,ASOF),W$72+6),HOLIDAYS)))</f>
        <v>0</v>
      </c>
      <c r="X100" s="289" t="n">
        <f aca="false">IF($L100=0,0,$L100*MAX(0,NETWORKDAYS(MAX($H100,ASOF,X$72),MIN(MAX($I100,ASOF),X$72+6),HOLIDAYS)))</f>
        <v>0</v>
      </c>
      <c r="Y100" s="289" t="n">
        <f aca="false">IF($L100=0,0,$L100*MAX(0,NETWORKDAYS(MAX($H100,ASOF,Y$72),MIN(MAX($I100,ASOF),Y$72+6),HOLIDAYS)))</f>
        <v>0</v>
      </c>
      <c r="Z100" s="289" t="n">
        <f aca="false">IF($L100=0,0,$L100*MAX(0,NETWORKDAYS(MAX($H100,ASOF,Z$72),MIN(MAX($I100,ASOF),Z$72+6),HOLIDAYS)))</f>
        <v>0</v>
      </c>
      <c r="AA100" s="289" t="n">
        <f aca="false">IF($L100=0,0,$L100*MAX(0,NETWORKDAYS(MAX($H100,ASOF,AA$72),MIN(MAX($I100,ASOF),AA$72+6),HOLIDAYS)))</f>
        <v>0</v>
      </c>
      <c r="AB100" s="289" t="n">
        <f aca="false">IF($L100=0,0,$L100*MAX(0,NETWORKDAYS(MAX($H100,ASOF,AB$72),MIN(MAX($I100,ASOF),AB$72+6),HOLIDAYS)))</f>
        <v>0</v>
      </c>
      <c r="AC100" s="289" t="n">
        <f aca="false">IF($L100=0,0,$L100*MAX(0,NETWORKDAYS(MAX($H100,ASOF,AC$72),MIN(MAX($I100,ASOF),AC$72+6),HOLIDAYS)))</f>
        <v>0</v>
      </c>
      <c r="AD100" s="289" t="n">
        <f aca="false">IF($L100=0,0,$L100*MAX(0,NETWORKDAYS(MAX($H100,ASOF,AD$72),MIN(MAX($I100,ASOF),AD$72+6),HOLIDAYS)))</f>
        <v>0</v>
      </c>
      <c r="AE100" s="289" t="n">
        <f aca="false">IF($L100=0,0,$L100*MAX(0,NETWORKDAYS(MAX($H100,ASOF,AE$72),MIN(MAX($I100,ASOF),AE$72+6),HOLIDAYS)))</f>
        <v>0</v>
      </c>
      <c r="AF100" s="289" t="n">
        <f aca="false">IF($L100=0,0,$L100*MAX(0,NETWORKDAYS(MAX($H100,ASOF,AF$72),MIN(MAX($I100,ASOF),AF$72+6),HOLIDAYS)))</f>
        <v>0</v>
      </c>
      <c r="AG100" s="289" t="n">
        <f aca="false">IF($L100=0,0,$L100*MAX(0,NETWORKDAYS(MAX($H100,ASOF,AG$72),MIN(MAX($I100,ASOF),AG$72+6),HOLIDAYS)))</f>
        <v>0</v>
      </c>
      <c r="AH100" s="289" t="n">
        <f aca="false">IF($L100=0,0,$L100*MAX(0,NETWORKDAYS(MAX($H100,ASOF,AH$72),MIN(MAX($I100,ASOF),AH$72+6),HOLIDAYS)))</f>
        <v>0</v>
      </c>
      <c r="AI100" s="289" t="n">
        <f aca="false">IF($L100=0,0,$L100*MAX(0,NETWORKDAYS(MAX($H100,ASOF,AI$72),MIN(MAX($I100,ASOF),AI$72+6),HOLIDAYS)))</f>
        <v>0</v>
      </c>
      <c r="AJ100" s="289" t="n">
        <f aca="false">IF($L100=0,0,$L100*MAX(0,NETWORKDAYS(MAX($H100,ASOF,AJ$72),MIN(MAX($I100,ASOF),AJ$72+6),HOLIDAYS)))</f>
        <v>0</v>
      </c>
      <c r="AK100" s="289" t="n">
        <f aca="false">IF($L100=0,0,$L100*MAX(0,NETWORKDAYS(MAX($H100,ASOF,AK$72),MIN(MAX($I100,ASOF),AK$72+6),HOLIDAYS)))</f>
        <v>0</v>
      </c>
      <c r="AL100" s="289" t="n">
        <f aca="false">IF($L100=0,0,$L100*MAX(0,NETWORKDAYS(MAX($H100,ASOF,AL$72),MIN(MAX($I100,ASOF),AL$72+6),HOLIDAYS)))</f>
        <v>0</v>
      </c>
      <c r="AM100" s="289" t="n">
        <f aca="false">IF($L100=0,0,$L100*MAX(0,NETWORKDAYS(MAX($H100,ASOF,AM$72),MIN(MAX($I100,ASOF),AM$72+6),HOLIDAYS)))</f>
        <v>0</v>
      </c>
      <c r="AN100" s="289" t="n">
        <f aca="false">IF($L100=0,0,$L100*MAX(0,NETWORKDAYS(MAX($H100,ASOF,AN$72),MIN(MAX($I100,ASOF),AN$72+6),HOLIDAYS)))</f>
        <v>0</v>
      </c>
      <c r="AO100" s="289" t="n">
        <f aca="false">IF($L100=0,0,$L100*MAX(0,NETWORKDAYS(MAX($H100,ASOF,AO$72),MIN(MAX($I100,ASOF),AO$72+6),HOLIDAYS)))</f>
        <v>0</v>
      </c>
      <c r="AP100" s="289" t="n">
        <f aca="false">IF($L100=0,0,$L100*MAX(0,NETWORKDAYS(MAX($H100,ASOF,AP$72),MIN(MAX($I100,ASOF),AP$72+6),HOLIDAYS)))</f>
        <v>0</v>
      </c>
      <c r="AQ100" s="289" t="n">
        <f aca="false">IF($L100=0,0,$L100*MAX(0,NETWORKDAYS(MAX($H100,ASOF,AQ$72),MIN(MAX($I100,ASOF),AQ$72+6),HOLIDAYS)))</f>
        <v>0</v>
      </c>
      <c r="AR100" s="289" t="n">
        <f aca="false">IF($L100=0,0,$L100*MAX(0,NETWORKDAYS(MAX($H100,ASOF,AR$72),MIN(MAX($I100,ASOF),AR$72+6),HOLIDAYS)))</f>
        <v>0</v>
      </c>
    </row>
    <row r="101" customFormat="false" ht="15" hidden="false" customHeight="false" outlineLevel="1" collapsed="false">
      <c r="A101" s="282" t="s">
        <v>50</v>
      </c>
      <c r="B101" s="283" t="s">
        <v>52</v>
      </c>
      <c r="C101" s="284" t="s">
        <v>2363</v>
      </c>
      <c r="D101" s="284" t="s">
        <v>2290</v>
      </c>
      <c r="E101" s="285" t="n">
        <v>1</v>
      </c>
      <c r="F101" s="290" t="s">
        <v>35</v>
      </c>
      <c r="G101" s="285" t="n">
        <f aca="false">IF(IFERROR(INDEX(INVS_TYPE,MATCH("P9-003",INVS_ID,0)),"")="สร้างใหม่ (E09)",$F$9*$H$9,0)</f>
        <v>24</v>
      </c>
      <c r="H101" s="286" t="n">
        <f aca="false">IF(ISNUMBER('P9-003'!$N$85),'P9-003'!$N$85,"")</f>
        <v>46343</v>
      </c>
      <c r="I101" s="286" t="n">
        <f aca="false">IF(ISNUMBER('P9-003'!$O$85),'P9-003'!$O$85,"")</f>
        <v>46346</v>
      </c>
      <c r="J101" s="287" t="n">
        <f aca="false">IF(OR(H101="",I101="",N101&gt;=1),0,MAX(1,NETWORKDAYS(MAX(H101,ASOF),MAX(I101,ASOF),HOLIDAYS)))</f>
        <v>4</v>
      </c>
      <c r="K101" s="287" t="n">
        <f aca="false">IF(L101=0,0,ROUNDUP(L101/$F$9,0))</f>
        <v>2</v>
      </c>
      <c r="L101" s="285" t="n">
        <f aca="false">IF(J101=0,0,G101*(1-N101)/J101)</f>
        <v>6</v>
      </c>
      <c r="M101" s="283" t="s">
        <v>2288</v>
      </c>
      <c r="N101" s="288" t="n">
        <f aca="false">IFERROR(MIN(1,'P9-003'!$V$85)+0,0)</f>
        <v>0</v>
      </c>
      <c r="O101" s="289" t="n">
        <f aca="false">IF($L101=0,0,$L101*MAX(0,NETWORKDAYS(MAX($H101,ASOF,O$72),MIN(MAX($I101,ASOF),O$72+6),HOLIDAYS)))</f>
        <v>0</v>
      </c>
      <c r="P101" s="289" t="n">
        <f aca="false">IF($L101=0,0,$L101*MAX(0,NETWORKDAYS(MAX($H101,ASOF,P$72),MIN(MAX($I101,ASOF),P$72+6),HOLIDAYS)))</f>
        <v>0</v>
      </c>
      <c r="Q101" s="289" t="n">
        <f aca="false">IF($L101=0,0,$L101*MAX(0,NETWORKDAYS(MAX($H101,ASOF,Q$72),MIN(MAX($I101,ASOF),Q$72+6),HOLIDAYS)))</f>
        <v>24</v>
      </c>
      <c r="R101" s="289" t="n">
        <f aca="false">IF($L101=0,0,$L101*MAX(0,NETWORKDAYS(MAX($H101,ASOF,R$72),MIN(MAX($I101,ASOF),R$72+6),HOLIDAYS)))</f>
        <v>0</v>
      </c>
      <c r="S101" s="289" t="n">
        <f aca="false">IF($L101=0,0,$L101*MAX(0,NETWORKDAYS(MAX($H101,ASOF,S$72),MIN(MAX($I101,ASOF),S$72+6),HOLIDAYS)))</f>
        <v>0</v>
      </c>
      <c r="T101" s="289" t="n">
        <f aca="false">IF($L101=0,0,$L101*MAX(0,NETWORKDAYS(MAX($H101,ASOF,T$72),MIN(MAX($I101,ASOF),T$72+6),HOLIDAYS)))</f>
        <v>0</v>
      </c>
      <c r="U101" s="289" t="n">
        <f aca="false">IF($L101=0,0,$L101*MAX(0,NETWORKDAYS(MAX($H101,ASOF,U$72),MIN(MAX($I101,ASOF),U$72+6),HOLIDAYS)))</f>
        <v>0</v>
      </c>
      <c r="V101" s="289" t="n">
        <f aca="false">IF($L101=0,0,$L101*MAX(0,NETWORKDAYS(MAX($H101,ASOF,V$72),MIN(MAX($I101,ASOF),V$72+6),HOLIDAYS)))</f>
        <v>0</v>
      </c>
      <c r="W101" s="289" t="n">
        <f aca="false">IF($L101=0,0,$L101*MAX(0,NETWORKDAYS(MAX($H101,ASOF,W$72),MIN(MAX($I101,ASOF),W$72+6),HOLIDAYS)))</f>
        <v>0</v>
      </c>
      <c r="X101" s="289" t="n">
        <f aca="false">IF($L101=0,0,$L101*MAX(0,NETWORKDAYS(MAX($H101,ASOF,X$72),MIN(MAX($I101,ASOF),X$72+6),HOLIDAYS)))</f>
        <v>0</v>
      </c>
      <c r="Y101" s="289" t="n">
        <f aca="false">IF($L101=0,0,$L101*MAX(0,NETWORKDAYS(MAX($H101,ASOF,Y$72),MIN(MAX($I101,ASOF),Y$72+6),HOLIDAYS)))</f>
        <v>0</v>
      </c>
      <c r="Z101" s="289" t="n">
        <f aca="false">IF($L101=0,0,$L101*MAX(0,NETWORKDAYS(MAX($H101,ASOF,Z$72),MIN(MAX($I101,ASOF),Z$72+6),HOLIDAYS)))</f>
        <v>0</v>
      </c>
      <c r="AA101" s="289" t="n">
        <f aca="false">IF($L101=0,0,$L101*MAX(0,NETWORKDAYS(MAX($H101,ASOF,AA$72),MIN(MAX($I101,ASOF),AA$72+6),HOLIDAYS)))</f>
        <v>0</v>
      </c>
      <c r="AB101" s="289" t="n">
        <f aca="false">IF($L101=0,0,$L101*MAX(0,NETWORKDAYS(MAX($H101,ASOF,AB$72),MIN(MAX($I101,ASOF),AB$72+6),HOLIDAYS)))</f>
        <v>0</v>
      </c>
      <c r="AC101" s="289" t="n">
        <f aca="false">IF($L101=0,0,$L101*MAX(0,NETWORKDAYS(MAX($H101,ASOF,AC$72),MIN(MAX($I101,ASOF),AC$72+6),HOLIDAYS)))</f>
        <v>0</v>
      </c>
      <c r="AD101" s="289" t="n">
        <f aca="false">IF($L101=0,0,$L101*MAX(0,NETWORKDAYS(MAX($H101,ASOF,AD$72),MIN(MAX($I101,ASOF),AD$72+6),HOLIDAYS)))</f>
        <v>0</v>
      </c>
      <c r="AE101" s="289" t="n">
        <f aca="false">IF($L101=0,0,$L101*MAX(0,NETWORKDAYS(MAX($H101,ASOF,AE$72),MIN(MAX($I101,ASOF),AE$72+6),HOLIDAYS)))</f>
        <v>0</v>
      </c>
      <c r="AF101" s="289" t="n">
        <f aca="false">IF($L101=0,0,$L101*MAX(0,NETWORKDAYS(MAX($H101,ASOF,AF$72),MIN(MAX($I101,ASOF),AF$72+6),HOLIDAYS)))</f>
        <v>0</v>
      </c>
      <c r="AG101" s="289" t="n">
        <f aca="false">IF($L101=0,0,$L101*MAX(0,NETWORKDAYS(MAX($H101,ASOF,AG$72),MIN(MAX($I101,ASOF),AG$72+6),HOLIDAYS)))</f>
        <v>0</v>
      </c>
      <c r="AH101" s="289" t="n">
        <f aca="false">IF($L101=0,0,$L101*MAX(0,NETWORKDAYS(MAX($H101,ASOF,AH$72),MIN(MAX($I101,ASOF),AH$72+6),HOLIDAYS)))</f>
        <v>0</v>
      </c>
      <c r="AI101" s="289" t="n">
        <f aca="false">IF($L101=0,0,$L101*MAX(0,NETWORKDAYS(MAX($H101,ASOF,AI$72),MIN(MAX($I101,ASOF),AI$72+6),HOLIDAYS)))</f>
        <v>0</v>
      </c>
      <c r="AJ101" s="289" t="n">
        <f aca="false">IF($L101=0,0,$L101*MAX(0,NETWORKDAYS(MAX($H101,ASOF,AJ$72),MIN(MAX($I101,ASOF),AJ$72+6),HOLIDAYS)))</f>
        <v>0</v>
      </c>
      <c r="AK101" s="289" t="n">
        <f aca="false">IF($L101=0,0,$L101*MAX(0,NETWORKDAYS(MAX($H101,ASOF,AK$72),MIN(MAX($I101,ASOF),AK$72+6),HOLIDAYS)))</f>
        <v>0</v>
      </c>
      <c r="AL101" s="289" t="n">
        <f aca="false">IF($L101=0,0,$L101*MAX(0,NETWORKDAYS(MAX($H101,ASOF,AL$72),MIN(MAX($I101,ASOF),AL$72+6),HOLIDAYS)))</f>
        <v>0</v>
      </c>
      <c r="AM101" s="289" t="n">
        <f aca="false">IF($L101=0,0,$L101*MAX(0,NETWORKDAYS(MAX($H101,ASOF,AM$72),MIN(MAX($I101,ASOF),AM$72+6),HOLIDAYS)))</f>
        <v>0</v>
      </c>
      <c r="AN101" s="289" t="n">
        <f aca="false">IF($L101=0,0,$L101*MAX(0,NETWORKDAYS(MAX($H101,ASOF,AN$72),MIN(MAX($I101,ASOF),AN$72+6),HOLIDAYS)))</f>
        <v>0</v>
      </c>
      <c r="AO101" s="289" t="n">
        <f aca="false">IF($L101=0,0,$L101*MAX(0,NETWORKDAYS(MAX($H101,ASOF,AO$72),MIN(MAX($I101,ASOF),AO$72+6),HOLIDAYS)))</f>
        <v>0</v>
      </c>
      <c r="AP101" s="289" t="n">
        <f aca="false">IF($L101=0,0,$L101*MAX(0,NETWORKDAYS(MAX($H101,ASOF,AP$72),MIN(MAX($I101,ASOF),AP$72+6),HOLIDAYS)))</f>
        <v>0</v>
      </c>
      <c r="AQ101" s="289" t="n">
        <f aca="false">IF($L101=0,0,$L101*MAX(0,NETWORKDAYS(MAX($H101,ASOF,AQ$72),MIN(MAX($I101,ASOF),AQ$72+6),HOLIDAYS)))</f>
        <v>0</v>
      </c>
      <c r="AR101" s="289" t="n">
        <f aca="false">IF($L101=0,0,$L101*MAX(0,NETWORKDAYS(MAX($H101,ASOF,AR$72),MIN(MAX($I101,ASOF),AR$72+6),HOLIDAYS)))</f>
        <v>0</v>
      </c>
    </row>
    <row r="102" customFormat="false" ht="15" hidden="false" customHeight="false" outlineLevel="1" collapsed="false">
      <c r="A102" s="282" t="s">
        <v>50</v>
      </c>
      <c r="B102" s="283" t="s">
        <v>52</v>
      </c>
      <c r="C102" s="284" t="s">
        <v>2364</v>
      </c>
      <c r="D102" s="284" t="s">
        <v>2284</v>
      </c>
      <c r="E102" s="285" t="n">
        <f aca="false">IFERROR(INDEX(INVS_N,MATCH("P9-003",INVS_ID,0)),1)</f>
        <v>1</v>
      </c>
      <c r="F102" s="290" t="s">
        <v>2365</v>
      </c>
      <c r="G102" s="285" t="n">
        <f aca="false">$F$10*(E102/$G$10+$H$10)</f>
        <v>3</v>
      </c>
      <c r="H102" s="286" t="n">
        <f aca="false">IF(ISNUMBER('P9-003'!$N$85),'P9-003'!$N$85,"")</f>
        <v>46343</v>
      </c>
      <c r="I102" s="286" t="n">
        <f aca="false">IF(ISNUMBER('P9-003'!$O$85),'P9-003'!$O$85,"")</f>
        <v>46346</v>
      </c>
      <c r="J102" s="287" t="n">
        <f aca="false">IF(OR(H102="",I102="",N102&gt;=1),0,MAX(1,NETWORKDAYS(MAX(H102,ASOF),MAX(I102,ASOF),HOLIDAYS)))</f>
        <v>4</v>
      </c>
      <c r="K102" s="287" t="n">
        <f aca="false">IF(L102=0,0,ROUNDUP(L102/$F$10,0))</f>
        <v>1</v>
      </c>
      <c r="L102" s="285" t="n">
        <f aca="false">IF(J102=0,0,G102*(1-N102)/J102)</f>
        <v>0.75</v>
      </c>
      <c r="M102" s="283" t="s">
        <v>2293</v>
      </c>
      <c r="N102" s="288" t="n">
        <f aca="false">IFERROR(MIN(1,'P9-003'!$V$85)+0,0)</f>
        <v>0</v>
      </c>
      <c r="O102" s="289" t="n">
        <f aca="false">IF($L102=0,0,$L102*MAX(0,NETWORKDAYS(MAX($H102,ASOF,O$72),MIN(MAX($I102,ASOF),O$72+6),HOLIDAYS)))</f>
        <v>0</v>
      </c>
      <c r="P102" s="289" t="n">
        <f aca="false">IF($L102=0,0,$L102*MAX(0,NETWORKDAYS(MAX($H102,ASOF,P$72),MIN(MAX($I102,ASOF),P$72+6),HOLIDAYS)))</f>
        <v>0</v>
      </c>
      <c r="Q102" s="289" t="n">
        <f aca="false">IF($L102=0,0,$L102*MAX(0,NETWORKDAYS(MAX($H102,ASOF,Q$72),MIN(MAX($I102,ASOF),Q$72+6),HOLIDAYS)))</f>
        <v>3</v>
      </c>
      <c r="R102" s="289" t="n">
        <f aca="false">IF($L102=0,0,$L102*MAX(0,NETWORKDAYS(MAX($H102,ASOF,R$72),MIN(MAX($I102,ASOF),R$72+6),HOLIDAYS)))</f>
        <v>0</v>
      </c>
      <c r="S102" s="289" t="n">
        <f aca="false">IF($L102=0,0,$L102*MAX(0,NETWORKDAYS(MAX($H102,ASOF,S$72),MIN(MAX($I102,ASOF),S$72+6),HOLIDAYS)))</f>
        <v>0</v>
      </c>
      <c r="T102" s="289" t="n">
        <f aca="false">IF($L102=0,0,$L102*MAX(0,NETWORKDAYS(MAX($H102,ASOF,T$72),MIN(MAX($I102,ASOF),T$72+6),HOLIDAYS)))</f>
        <v>0</v>
      </c>
      <c r="U102" s="289" t="n">
        <f aca="false">IF($L102=0,0,$L102*MAX(0,NETWORKDAYS(MAX($H102,ASOF,U$72),MIN(MAX($I102,ASOF),U$72+6),HOLIDAYS)))</f>
        <v>0</v>
      </c>
      <c r="V102" s="289" t="n">
        <f aca="false">IF($L102=0,0,$L102*MAX(0,NETWORKDAYS(MAX($H102,ASOF,V$72),MIN(MAX($I102,ASOF),V$72+6),HOLIDAYS)))</f>
        <v>0</v>
      </c>
      <c r="W102" s="289" t="n">
        <f aca="false">IF($L102=0,0,$L102*MAX(0,NETWORKDAYS(MAX($H102,ASOF,W$72),MIN(MAX($I102,ASOF),W$72+6),HOLIDAYS)))</f>
        <v>0</v>
      </c>
      <c r="X102" s="289" t="n">
        <f aca="false">IF($L102=0,0,$L102*MAX(0,NETWORKDAYS(MAX($H102,ASOF,X$72),MIN(MAX($I102,ASOF),X$72+6),HOLIDAYS)))</f>
        <v>0</v>
      </c>
      <c r="Y102" s="289" t="n">
        <f aca="false">IF($L102=0,0,$L102*MAX(0,NETWORKDAYS(MAX($H102,ASOF,Y$72),MIN(MAX($I102,ASOF),Y$72+6),HOLIDAYS)))</f>
        <v>0</v>
      </c>
      <c r="Z102" s="289" t="n">
        <f aca="false">IF($L102=0,0,$L102*MAX(0,NETWORKDAYS(MAX($H102,ASOF,Z$72),MIN(MAX($I102,ASOF),Z$72+6),HOLIDAYS)))</f>
        <v>0</v>
      </c>
      <c r="AA102" s="289" t="n">
        <f aca="false">IF($L102=0,0,$L102*MAX(0,NETWORKDAYS(MAX($H102,ASOF,AA$72),MIN(MAX($I102,ASOF),AA$72+6),HOLIDAYS)))</f>
        <v>0</v>
      </c>
      <c r="AB102" s="289" t="n">
        <f aca="false">IF($L102=0,0,$L102*MAX(0,NETWORKDAYS(MAX($H102,ASOF,AB$72),MIN(MAX($I102,ASOF),AB$72+6),HOLIDAYS)))</f>
        <v>0</v>
      </c>
      <c r="AC102" s="289" t="n">
        <f aca="false">IF($L102=0,0,$L102*MAX(0,NETWORKDAYS(MAX($H102,ASOF,AC$72),MIN(MAX($I102,ASOF),AC$72+6),HOLIDAYS)))</f>
        <v>0</v>
      </c>
      <c r="AD102" s="289" t="n">
        <f aca="false">IF($L102=0,0,$L102*MAX(0,NETWORKDAYS(MAX($H102,ASOF,AD$72),MIN(MAX($I102,ASOF),AD$72+6),HOLIDAYS)))</f>
        <v>0</v>
      </c>
      <c r="AE102" s="289" t="n">
        <f aca="false">IF($L102=0,0,$L102*MAX(0,NETWORKDAYS(MAX($H102,ASOF,AE$72),MIN(MAX($I102,ASOF),AE$72+6),HOLIDAYS)))</f>
        <v>0</v>
      </c>
      <c r="AF102" s="289" t="n">
        <f aca="false">IF($L102=0,0,$L102*MAX(0,NETWORKDAYS(MAX($H102,ASOF,AF$72),MIN(MAX($I102,ASOF),AF$72+6),HOLIDAYS)))</f>
        <v>0</v>
      </c>
      <c r="AG102" s="289" t="n">
        <f aca="false">IF($L102=0,0,$L102*MAX(0,NETWORKDAYS(MAX($H102,ASOF,AG$72),MIN(MAX($I102,ASOF),AG$72+6),HOLIDAYS)))</f>
        <v>0</v>
      </c>
      <c r="AH102" s="289" t="n">
        <f aca="false">IF($L102=0,0,$L102*MAX(0,NETWORKDAYS(MAX($H102,ASOF,AH$72),MIN(MAX($I102,ASOF),AH$72+6),HOLIDAYS)))</f>
        <v>0</v>
      </c>
      <c r="AI102" s="289" t="n">
        <f aca="false">IF($L102=0,0,$L102*MAX(0,NETWORKDAYS(MAX($H102,ASOF,AI$72),MIN(MAX($I102,ASOF),AI$72+6),HOLIDAYS)))</f>
        <v>0</v>
      </c>
      <c r="AJ102" s="289" t="n">
        <f aca="false">IF($L102=0,0,$L102*MAX(0,NETWORKDAYS(MAX($H102,ASOF,AJ$72),MIN(MAX($I102,ASOF),AJ$72+6),HOLIDAYS)))</f>
        <v>0</v>
      </c>
      <c r="AK102" s="289" t="n">
        <f aca="false">IF($L102=0,0,$L102*MAX(0,NETWORKDAYS(MAX($H102,ASOF,AK$72),MIN(MAX($I102,ASOF),AK$72+6),HOLIDAYS)))</f>
        <v>0</v>
      </c>
      <c r="AL102" s="289" t="n">
        <f aca="false">IF($L102=0,0,$L102*MAX(0,NETWORKDAYS(MAX($H102,ASOF,AL$72),MIN(MAX($I102,ASOF),AL$72+6),HOLIDAYS)))</f>
        <v>0</v>
      </c>
      <c r="AM102" s="289" t="n">
        <f aca="false">IF($L102=0,0,$L102*MAX(0,NETWORKDAYS(MAX($H102,ASOF,AM$72),MIN(MAX($I102,ASOF),AM$72+6),HOLIDAYS)))</f>
        <v>0</v>
      </c>
      <c r="AN102" s="289" t="n">
        <f aca="false">IF($L102=0,0,$L102*MAX(0,NETWORKDAYS(MAX($H102,ASOF,AN$72),MIN(MAX($I102,ASOF),AN$72+6),HOLIDAYS)))</f>
        <v>0</v>
      </c>
      <c r="AO102" s="289" t="n">
        <f aca="false">IF($L102=0,0,$L102*MAX(0,NETWORKDAYS(MAX($H102,ASOF,AO$72),MIN(MAX($I102,ASOF),AO$72+6),HOLIDAYS)))</f>
        <v>0</v>
      </c>
      <c r="AP102" s="289" t="n">
        <f aca="false">IF($L102=0,0,$L102*MAX(0,NETWORKDAYS(MAX($H102,ASOF,AP$72),MIN(MAX($I102,ASOF),AP$72+6),HOLIDAYS)))</f>
        <v>0</v>
      </c>
      <c r="AQ102" s="289" t="n">
        <f aca="false">IF($L102=0,0,$L102*MAX(0,NETWORKDAYS(MAX($H102,ASOF,AQ$72),MIN(MAX($I102,ASOF),AQ$72+6),HOLIDAYS)))</f>
        <v>0</v>
      </c>
      <c r="AR102" s="289" t="n">
        <f aca="false">IF($L102=0,0,$L102*MAX(0,NETWORKDAYS(MAX($H102,ASOF,AR$72),MIN(MAX($I102,ASOF),AR$72+6),HOLIDAYS)))</f>
        <v>0</v>
      </c>
    </row>
    <row r="103" customFormat="false" ht="15" hidden="false" customHeight="false" outlineLevel="1" collapsed="false">
      <c r="A103" s="282" t="s">
        <v>50</v>
      </c>
      <c r="B103" s="283" t="s">
        <v>52</v>
      </c>
      <c r="C103" s="284" t="s">
        <v>2366</v>
      </c>
      <c r="D103" s="284" t="s">
        <v>2284</v>
      </c>
      <c r="E103" s="285" t="n">
        <v>1</v>
      </c>
      <c r="F103" s="290" t="s">
        <v>35</v>
      </c>
      <c r="G103" s="285" t="n">
        <f aca="false">$F$11*$H$11</f>
        <v>16</v>
      </c>
      <c r="H103" s="286" t="n">
        <f aca="false">IF(ISNUMBER('P9-003'!$N$90),'P9-003'!$N$90,"")</f>
        <v>46344</v>
      </c>
      <c r="I103" s="286" t="n">
        <f aca="false">IF(ISNUMBER('P9-003'!$O$90),'P9-003'!$O$90,"")</f>
        <v>46347</v>
      </c>
      <c r="J103" s="287" t="n">
        <f aca="false">IF(OR(H103="",I103="",N103&gt;=1),0,MAX(1,NETWORKDAYS(MAX(H103,ASOF),MAX(I103,ASOF),HOLIDAYS)))</f>
        <v>3</v>
      </c>
      <c r="K103" s="287" t="n">
        <f aca="false">IF(L103=0,0,ROUNDUP(L103/$F$11,0))</f>
        <v>2</v>
      </c>
      <c r="L103" s="285" t="n">
        <f aca="false">IF(J103=0,0,G103*(1-N103)/J103)</f>
        <v>5.33333333333333</v>
      </c>
      <c r="M103" s="283" t="s">
        <v>1113</v>
      </c>
      <c r="N103" s="288" t="n">
        <f aca="false">IFERROR(MIN(1,'P9-003'!$V$90)+0,0)</f>
        <v>0</v>
      </c>
      <c r="O103" s="289" t="n">
        <f aca="false">IF($L103=0,0,$L103*MAX(0,NETWORKDAYS(MAX($H103,ASOF,O$72),MIN(MAX($I103,ASOF),O$72+6),HOLIDAYS)))</f>
        <v>0</v>
      </c>
      <c r="P103" s="289" t="n">
        <f aca="false">IF($L103=0,0,$L103*MAX(0,NETWORKDAYS(MAX($H103,ASOF,P$72),MIN(MAX($I103,ASOF),P$72+6),HOLIDAYS)))</f>
        <v>0</v>
      </c>
      <c r="Q103" s="289" t="n">
        <f aca="false">IF($L103=0,0,$L103*MAX(0,NETWORKDAYS(MAX($H103,ASOF,Q$72),MIN(MAX($I103,ASOF),Q$72+6),HOLIDAYS)))</f>
        <v>16</v>
      </c>
      <c r="R103" s="289" t="n">
        <f aca="false">IF($L103=0,0,$L103*MAX(0,NETWORKDAYS(MAX($H103,ASOF,R$72),MIN(MAX($I103,ASOF),R$72+6),HOLIDAYS)))</f>
        <v>0</v>
      </c>
      <c r="S103" s="289" t="n">
        <f aca="false">IF($L103=0,0,$L103*MAX(0,NETWORKDAYS(MAX($H103,ASOF,S$72),MIN(MAX($I103,ASOF),S$72+6),HOLIDAYS)))</f>
        <v>0</v>
      </c>
      <c r="T103" s="289" t="n">
        <f aca="false">IF($L103=0,0,$L103*MAX(0,NETWORKDAYS(MAX($H103,ASOF,T$72),MIN(MAX($I103,ASOF),T$72+6),HOLIDAYS)))</f>
        <v>0</v>
      </c>
      <c r="U103" s="289" t="n">
        <f aca="false">IF($L103=0,0,$L103*MAX(0,NETWORKDAYS(MAX($H103,ASOF,U$72),MIN(MAX($I103,ASOF),U$72+6),HOLIDAYS)))</f>
        <v>0</v>
      </c>
      <c r="V103" s="289" t="n">
        <f aca="false">IF($L103=0,0,$L103*MAX(0,NETWORKDAYS(MAX($H103,ASOF,V$72),MIN(MAX($I103,ASOF),V$72+6),HOLIDAYS)))</f>
        <v>0</v>
      </c>
      <c r="W103" s="289" t="n">
        <f aca="false">IF($L103=0,0,$L103*MAX(0,NETWORKDAYS(MAX($H103,ASOF,W$72),MIN(MAX($I103,ASOF),W$72+6),HOLIDAYS)))</f>
        <v>0</v>
      </c>
      <c r="X103" s="289" t="n">
        <f aca="false">IF($L103=0,0,$L103*MAX(0,NETWORKDAYS(MAX($H103,ASOF,X$72),MIN(MAX($I103,ASOF),X$72+6),HOLIDAYS)))</f>
        <v>0</v>
      </c>
      <c r="Y103" s="289" t="n">
        <f aca="false">IF($L103=0,0,$L103*MAX(0,NETWORKDAYS(MAX($H103,ASOF,Y$72),MIN(MAX($I103,ASOF),Y$72+6),HOLIDAYS)))</f>
        <v>0</v>
      </c>
      <c r="Z103" s="289" t="n">
        <f aca="false">IF($L103=0,0,$L103*MAX(0,NETWORKDAYS(MAX($H103,ASOF,Z$72),MIN(MAX($I103,ASOF),Z$72+6),HOLIDAYS)))</f>
        <v>0</v>
      </c>
      <c r="AA103" s="289" t="n">
        <f aca="false">IF($L103=0,0,$L103*MAX(0,NETWORKDAYS(MAX($H103,ASOF,AA$72),MIN(MAX($I103,ASOF),AA$72+6),HOLIDAYS)))</f>
        <v>0</v>
      </c>
      <c r="AB103" s="289" t="n">
        <f aca="false">IF($L103=0,0,$L103*MAX(0,NETWORKDAYS(MAX($H103,ASOF,AB$72),MIN(MAX($I103,ASOF),AB$72+6),HOLIDAYS)))</f>
        <v>0</v>
      </c>
      <c r="AC103" s="289" t="n">
        <f aca="false">IF($L103=0,0,$L103*MAX(0,NETWORKDAYS(MAX($H103,ASOF,AC$72),MIN(MAX($I103,ASOF),AC$72+6),HOLIDAYS)))</f>
        <v>0</v>
      </c>
      <c r="AD103" s="289" t="n">
        <f aca="false">IF($L103=0,0,$L103*MAX(0,NETWORKDAYS(MAX($H103,ASOF,AD$72),MIN(MAX($I103,ASOF),AD$72+6),HOLIDAYS)))</f>
        <v>0</v>
      </c>
      <c r="AE103" s="289" t="n">
        <f aca="false">IF($L103=0,0,$L103*MAX(0,NETWORKDAYS(MAX($H103,ASOF,AE$72),MIN(MAX($I103,ASOF),AE$72+6),HOLIDAYS)))</f>
        <v>0</v>
      </c>
      <c r="AF103" s="289" t="n">
        <f aca="false">IF($L103=0,0,$L103*MAX(0,NETWORKDAYS(MAX($H103,ASOF,AF$72),MIN(MAX($I103,ASOF),AF$72+6),HOLIDAYS)))</f>
        <v>0</v>
      </c>
      <c r="AG103" s="289" t="n">
        <f aca="false">IF($L103=0,0,$L103*MAX(0,NETWORKDAYS(MAX($H103,ASOF,AG$72),MIN(MAX($I103,ASOF),AG$72+6),HOLIDAYS)))</f>
        <v>0</v>
      </c>
      <c r="AH103" s="289" t="n">
        <f aca="false">IF($L103=0,0,$L103*MAX(0,NETWORKDAYS(MAX($H103,ASOF,AH$72),MIN(MAX($I103,ASOF),AH$72+6),HOLIDAYS)))</f>
        <v>0</v>
      </c>
      <c r="AI103" s="289" t="n">
        <f aca="false">IF($L103=0,0,$L103*MAX(0,NETWORKDAYS(MAX($H103,ASOF,AI$72),MIN(MAX($I103,ASOF),AI$72+6),HOLIDAYS)))</f>
        <v>0</v>
      </c>
      <c r="AJ103" s="289" t="n">
        <f aca="false">IF($L103=0,0,$L103*MAX(0,NETWORKDAYS(MAX($H103,ASOF,AJ$72),MIN(MAX($I103,ASOF),AJ$72+6),HOLIDAYS)))</f>
        <v>0</v>
      </c>
      <c r="AK103" s="289" t="n">
        <f aca="false">IF($L103=0,0,$L103*MAX(0,NETWORKDAYS(MAX($H103,ASOF,AK$72),MIN(MAX($I103,ASOF),AK$72+6),HOLIDAYS)))</f>
        <v>0</v>
      </c>
      <c r="AL103" s="289" t="n">
        <f aca="false">IF($L103=0,0,$L103*MAX(0,NETWORKDAYS(MAX($H103,ASOF,AL$72),MIN(MAX($I103,ASOF),AL$72+6),HOLIDAYS)))</f>
        <v>0</v>
      </c>
      <c r="AM103" s="289" t="n">
        <f aca="false">IF($L103=0,0,$L103*MAX(0,NETWORKDAYS(MAX($H103,ASOF,AM$72),MIN(MAX($I103,ASOF),AM$72+6),HOLIDAYS)))</f>
        <v>0</v>
      </c>
      <c r="AN103" s="289" t="n">
        <f aca="false">IF($L103=0,0,$L103*MAX(0,NETWORKDAYS(MAX($H103,ASOF,AN$72),MIN(MAX($I103,ASOF),AN$72+6),HOLIDAYS)))</f>
        <v>0</v>
      </c>
      <c r="AO103" s="289" t="n">
        <f aca="false">IF($L103=0,0,$L103*MAX(0,NETWORKDAYS(MAX($H103,ASOF,AO$72),MIN(MAX($I103,ASOF),AO$72+6),HOLIDAYS)))</f>
        <v>0</v>
      </c>
      <c r="AP103" s="289" t="n">
        <f aca="false">IF($L103=0,0,$L103*MAX(0,NETWORKDAYS(MAX($H103,ASOF,AP$72),MIN(MAX($I103,ASOF),AP$72+6),HOLIDAYS)))</f>
        <v>0</v>
      </c>
      <c r="AQ103" s="289" t="n">
        <f aca="false">IF($L103=0,0,$L103*MAX(0,NETWORKDAYS(MAX($H103,ASOF,AQ$72),MIN(MAX($I103,ASOF),AQ$72+6),HOLIDAYS)))</f>
        <v>0</v>
      </c>
      <c r="AR103" s="289" t="n">
        <f aca="false">IF($L103=0,0,$L103*MAX(0,NETWORKDAYS(MAX($H103,ASOF,AR$72),MIN(MAX($I103,ASOF),AR$72+6),HOLIDAYS)))</f>
        <v>0</v>
      </c>
    </row>
    <row r="104" customFormat="false" ht="15" hidden="false" customHeight="false" outlineLevel="1" collapsed="false">
      <c r="A104" s="282" t="s">
        <v>50</v>
      </c>
      <c r="B104" s="283" t="s">
        <v>52</v>
      </c>
      <c r="C104" s="284" t="s">
        <v>2367</v>
      </c>
      <c r="D104" s="284" t="s">
        <v>2284</v>
      </c>
      <c r="E104" s="285" t="n">
        <v>1</v>
      </c>
      <c r="F104" s="290" t="s">
        <v>35</v>
      </c>
      <c r="G104" s="285" t="n">
        <f aca="false">$F$12*$H$12</f>
        <v>4</v>
      </c>
      <c r="H104" s="286" t="n">
        <f aca="false">IF(ISNUMBER('P9-003'!$N$96),'P9-003'!$N$96,"")</f>
        <v>46345</v>
      </c>
      <c r="I104" s="286" t="n">
        <f aca="false">IF(ISNUMBER('P9-003'!$O$96),'P9-003'!$O$96,"")</f>
        <v>46347</v>
      </c>
      <c r="J104" s="287" t="n">
        <f aca="false">IF(OR(H104="",I104="",N104&gt;=1),0,MAX(1,NETWORKDAYS(MAX(H104,ASOF),MAX(I104,ASOF),HOLIDAYS)))</f>
        <v>2</v>
      </c>
      <c r="K104" s="287" t="n">
        <f aca="false">IF(L104=0,0,ROUNDUP(L104/$F$12,0))</f>
        <v>1</v>
      </c>
      <c r="L104" s="285" t="n">
        <f aca="false">IF(J104=0,0,G104*(1-N104)/J104)</f>
        <v>2</v>
      </c>
      <c r="M104" s="283" t="s">
        <v>1147</v>
      </c>
      <c r="N104" s="288" t="n">
        <f aca="false">IFERROR(MIN(1,'P9-003'!$V$96)+0,0)</f>
        <v>0</v>
      </c>
      <c r="O104" s="289" t="n">
        <f aca="false">IF($L104=0,0,$L104*MAX(0,NETWORKDAYS(MAX($H104,ASOF,O$72),MIN(MAX($I104,ASOF),O$72+6),HOLIDAYS)))</f>
        <v>0</v>
      </c>
      <c r="P104" s="289" t="n">
        <f aca="false">IF($L104=0,0,$L104*MAX(0,NETWORKDAYS(MAX($H104,ASOF,P$72),MIN(MAX($I104,ASOF),P$72+6),HOLIDAYS)))</f>
        <v>0</v>
      </c>
      <c r="Q104" s="289" t="n">
        <f aca="false">IF($L104=0,0,$L104*MAX(0,NETWORKDAYS(MAX($H104,ASOF,Q$72),MIN(MAX($I104,ASOF),Q$72+6),HOLIDAYS)))</f>
        <v>4</v>
      </c>
      <c r="R104" s="289" t="n">
        <f aca="false">IF($L104=0,0,$L104*MAX(0,NETWORKDAYS(MAX($H104,ASOF,R$72),MIN(MAX($I104,ASOF),R$72+6),HOLIDAYS)))</f>
        <v>0</v>
      </c>
      <c r="S104" s="289" t="n">
        <f aca="false">IF($L104=0,0,$L104*MAX(0,NETWORKDAYS(MAX($H104,ASOF,S$72),MIN(MAX($I104,ASOF),S$72+6),HOLIDAYS)))</f>
        <v>0</v>
      </c>
      <c r="T104" s="289" t="n">
        <f aca="false">IF($L104=0,0,$L104*MAX(0,NETWORKDAYS(MAX($H104,ASOF,T$72),MIN(MAX($I104,ASOF),T$72+6),HOLIDAYS)))</f>
        <v>0</v>
      </c>
      <c r="U104" s="289" t="n">
        <f aca="false">IF($L104=0,0,$L104*MAX(0,NETWORKDAYS(MAX($H104,ASOF,U$72),MIN(MAX($I104,ASOF),U$72+6),HOLIDAYS)))</f>
        <v>0</v>
      </c>
      <c r="V104" s="289" t="n">
        <f aca="false">IF($L104=0,0,$L104*MAX(0,NETWORKDAYS(MAX($H104,ASOF,V$72),MIN(MAX($I104,ASOF),V$72+6),HOLIDAYS)))</f>
        <v>0</v>
      </c>
      <c r="W104" s="289" t="n">
        <f aca="false">IF($L104=0,0,$L104*MAX(0,NETWORKDAYS(MAX($H104,ASOF,W$72),MIN(MAX($I104,ASOF),W$72+6),HOLIDAYS)))</f>
        <v>0</v>
      </c>
      <c r="X104" s="289" t="n">
        <f aca="false">IF($L104=0,0,$L104*MAX(0,NETWORKDAYS(MAX($H104,ASOF,X$72),MIN(MAX($I104,ASOF),X$72+6),HOLIDAYS)))</f>
        <v>0</v>
      </c>
      <c r="Y104" s="289" t="n">
        <f aca="false">IF($L104=0,0,$L104*MAX(0,NETWORKDAYS(MAX($H104,ASOF,Y$72),MIN(MAX($I104,ASOF),Y$72+6),HOLIDAYS)))</f>
        <v>0</v>
      </c>
      <c r="Z104" s="289" t="n">
        <f aca="false">IF($L104=0,0,$L104*MAX(0,NETWORKDAYS(MAX($H104,ASOF,Z$72),MIN(MAX($I104,ASOF),Z$72+6),HOLIDAYS)))</f>
        <v>0</v>
      </c>
      <c r="AA104" s="289" t="n">
        <f aca="false">IF($L104=0,0,$L104*MAX(0,NETWORKDAYS(MAX($H104,ASOF,AA$72),MIN(MAX($I104,ASOF),AA$72+6),HOLIDAYS)))</f>
        <v>0</v>
      </c>
      <c r="AB104" s="289" t="n">
        <f aca="false">IF($L104=0,0,$L104*MAX(0,NETWORKDAYS(MAX($H104,ASOF,AB$72),MIN(MAX($I104,ASOF),AB$72+6),HOLIDAYS)))</f>
        <v>0</v>
      </c>
      <c r="AC104" s="289" t="n">
        <f aca="false">IF($L104=0,0,$L104*MAX(0,NETWORKDAYS(MAX($H104,ASOF,AC$72),MIN(MAX($I104,ASOF),AC$72+6),HOLIDAYS)))</f>
        <v>0</v>
      </c>
      <c r="AD104" s="289" t="n">
        <f aca="false">IF($L104=0,0,$L104*MAX(0,NETWORKDAYS(MAX($H104,ASOF,AD$72),MIN(MAX($I104,ASOF),AD$72+6),HOLIDAYS)))</f>
        <v>0</v>
      </c>
      <c r="AE104" s="289" t="n">
        <f aca="false">IF($L104=0,0,$L104*MAX(0,NETWORKDAYS(MAX($H104,ASOF,AE$72),MIN(MAX($I104,ASOF),AE$72+6),HOLIDAYS)))</f>
        <v>0</v>
      </c>
      <c r="AF104" s="289" t="n">
        <f aca="false">IF($L104=0,0,$L104*MAX(0,NETWORKDAYS(MAX($H104,ASOF,AF$72),MIN(MAX($I104,ASOF),AF$72+6),HOLIDAYS)))</f>
        <v>0</v>
      </c>
      <c r="AG104" s="289" t="n">
        <f aca="false">IF($L104=0,0,$L104*MAX(0,NETWORKDAYS(MAX($H104,ASOF,AG$72),MIN(MAX($I104,ASOF),AG$72+6),HOLIDAYS)))</f>
        <v>0</v>
      </c>
      <c r="AH104" s="289" t="n">
        <f aca="false">IF($L104=0,0,$L104*MAX(0,NETWORKDAYS(MAX($H104,ASOF,AH$72),MIN(MAX($I104,ASOF),AH$72+6),HOLIDAYS)))</f>
        <v>0</v>
      </c>
      <c r="AI104" s="289" t="n">
        <f aca="false">IF($L104=0,0,$L104*MAX(0,NETWORKDAYS(MAX($H104,ASOF,AI$72),MIN(MAX($I104,ASOF),AI$72+6),HOLIDAYS)))</f>
        <v>0</v>
      </c>
      <c r="AJ104" s="289" t="n">
        <f aca="false">IF($L104=0,0,$L104*MAX(0,NETWORKDAYS(MAX($H104,ASOF,AJ$72),MIN(MAX($I104,ASOF),AJ$72+6),HOLIDAYS)))</f>
        <v>0</v>
      </c>
      <c r="AK104" s="289" t="n">
        <f aca="false">IF($L104=0,0,$L104*MAX(0,NETWORKDAYS(MAX($H104,ASOF,AK$72),MIN(MAX($I104,ASOF),AK$72+6),HOLIDAYS)))</f>
        <v>0</v>
      </c>
      <c r="AL104" s="289" t="n">
        <f aca="false">IF($L104=0,0,$L104*MAX(0,NETWORKDAYS(MAX($H104,ASOF,AL$72),MIN(MAX($I104,ASOF),AL$72+6),HOLIDAYS)))</f>
        <v>0</v>
      </c>
      <c r="AM104" s="289" t="n">
        <f aca="false">IF($L104=0,0,$L104*MAX(0,NETWORKDAYS(MAX($H104,ASOF,AM$72),MIN(MAX($I104,ASOF),AM$72+6),HOLIDAYS)))</f>
        <v>0</v>
      </c>
      <c r="AN104" s="289" t="n">
        <f aca="false">IF($L104=0,0,$L104*MAX(0,NETWORKDAYS(MAX($H104,ASOF,AN$72),MIN(MAX($I104,ASOF),AN$72+6),HOLIDAYS)))</f>
        <v>0</v>
      </c>
      <c r="AO104" s="289" t="n">
        <f aca="false">IF($L104=0,0,$L104*MAX(0,NETWORKDAYS(MAX($H104,ASOF,AO$72),MIN(MAX($I104,ASOF),AO$72+6),HOLIDAYS)))</f>
        <v>0</v>
      </c>
      <c r="AP104" s="289" t="n">
        <f aca="false">IF($L104=0,0,$L104*MAX(0,NETWORKDAYS(MAX($H104,ASOF,AP$72),MIN(MAX($I104,ASOF),AP$72+6),HOLIDAYS)))</f>
        <v>0</v>
      </c>
      <c r="AQ104" s="289" t="n">
        <f aca="false">IF($L104=0,0,$L104*MAX(0,NETWORKDAYS(MAX($H104,ASOF,AQ$72),MIN(MAX($I104,ASOF),AQ$72+6),HOLIDAYS)))</f>
        <v>0</v>
      </c>
      <c r="AR104" s="289" t="n">
        <f aca="false">IF($L104=0,0,$L104*MAX(0,NETWORKDAYS(MAX($H104,ASOF,AR$72),MIN(MAX($I104,ASOF),AR$72+6),HOLIDAYS)))</f>
        <v>0</v>
      </c>
    </row>
    <row r="105" customFormat="false" ht="15" hidden="false" customHeight="false" outlineLevel="1" collapsed="false">
      <c r="A105" s="282" t="s">
        <v>50</v>
      </c>
      <c r="B105" s="283" t="s">
        <v>52</v>
      </c>
      <c r="C105" s="284" t="s">
        <v>2371</v>
      </c>
      <c r="D105" s="284" t="s">
        <v>2284</v>
      </c>
      <c r="E105" s="285" t="n">
        <v>1</v>
      </c>
      <c r="F105" s="290" t="s">
        <v>35</v>
      </c>
      <c r="G105" s="285" t="n">
        <f aca="false">$F$14*$H$14</f>
        <v>3</v>
      </c>
      <c r="H105" s="286" t="n">
        <f aca="false">IF(ISNUMBER('P9-003'!$N$100),'P9-003'!$N$100,"")</f>
        <v>46346</v>
      </c>
      <c r="I105" s="286" t="n">
        <f aca="false">IF(ISNUMBER('P9-003'!$O$100),'P9-003'!$O$100,"")</f>
        <v>46348</v>
      </c>
      <c r="J105" s="287" t="n">
        <f aca="false">IF(OR(H105="",I105="",N105&gt;=1),0,MAX(1,NETWORKDAYS(MAX(H105,ASOF),MAX(I105,ASOF),HOLIDAYS)))</f>
        <v>1</v>
      </c>
      <c r="K105" s="287" t="n">
        <f aca="false">IF(L105=0,0,ROUNDUP(L105/$F$14,0))</f>
        <v>2</v>
      </c>
      <c r="L105" s="285" t="n">
        <f aca="false">IF(J105=0,0,G105*(1-N105)/J105)</f>
        <v>3</v>
      </c>
      <c r="M105" s="283" t="s">
        <v>2304</v>
      </c>
      <c r="N105" s="288" t="n">
        <f aca="false">IFERROR(MIN(1,'P9-003'!$V$100)+0,0)</f>
        <v>0</v>
      </c>
      <c r="O105" s="289" t="n">
        <f aca="false">IF($L105=0,0,$L105*MAX(0,NETWORKDAYS(MAX($H105,ASOF,O$72),MIN(MAX($I105,ASOF),O$72+6),HOLIDAYS)))</f>
        <v>0</v>
      </c>
      <c r="P105" s="289" t="n">
        <f aca="false">IF($L105=0,0,$L105*MAX(0,NETWORKDAYS(MAX($H105,ASOF,P$72),MIN(MAX($I105,ASOF),P$72+6),HOLIDAYS)))</f>
        <v>0</v>
      </c>
      <c r="Q105" s="289" t="n">
        <f aca="false">IF($L105=0,0,$L105*MAX(0,NETWORKDAYS(MAX($H105,ASOF,Q$72),MIN(MAX($I105,ASOF),Q$72+6),HOLIDAYS)))</f>
        <v>3</v>
      </c>
      <c r="R105" s="289" t="n">
        <f aca="false">IF($L105=0,0,$L105*MAX(0,NETWORKDAYS(MAX($H105,ASOF,R$72),MIN(MAX($I105,ASOF),R$72+6),HOLIDAYS)))</f>
        <v>0</v>
      </c>
      <c r="S105" s="289" t="n">
        <f aca="false">IF($L105=0,0,$L105*MAX(0,NETWORKDAYS(MAX($H105,ASOF,S$72),MIN(MAX($I105,ASOF),S$72+6),HOLIDAYS)))</f>
        <v>0</v>
      </c>
      <c r="T105" s="289" t="n">
        <f aca="false">IF($L105=0,0,$L105*MAX(0,NETWORKDAYS(MAX($H105,ASOF,T$72),MIN(MAX($I105,ASOF),T$72+6),HOLIDAYS)))</f>
        <v>0</v>
      </c>
      <c r="U105" s="289" t="n">
        <f aca="false">IF($L105=0,0,$L105*MAX(0,NETWORKDAYS(MAX($H105,ASOF,U$72),MIN(MAX($I105,ASOF),U$72+6),HOLIDAYS)))</f>
        <v>0</v>
      </c>
      <c r="V105" s="289" t="n">
        <f aca="false">IF($L105=0,0,$L105*MAX(0,NETWORKDAYS(MAX($H105,ASOF,V$72),MIN(MAX($I105,ASOF),V$72+6),HOLIDAYS)))</f>
        <v>0</v>
      </c>
      <c r="W105" s="289" t="n">
        <f aca="false">IF($L105=0,0,$L105*MAX(0,NETWORKDAYS(MAX($H105,ASOF,W$72),MIN(MAX($I105,ASOF),W$72+6),HOLIDAYS)))</f>
        <v>0</v>
      </c>
      <c r="X105" s="289" t="n">
        <f aca="false">IF($L105=0,0,$L105*MAX(0,NETWORKDAYS(MAX($H105,ASOF,X$72),MIN(MAX($I105,ASOF),X$72+6),HOLIDAYS)))</f>
        <v>0</v>
      </c>
      <c r="Y105" s="289" t="n">
        <f aca="false">IF($L105=0,0,$L105*MAX(0,NETWORKDAYS(MAX($H105,ASOF,Y$72),MIN(MAX($I105,ASOF),Y$72+6),HOLIDAYS)))</f>
        <v>0</v>
      </c>
      <c r="Z105" s="289" t="n">
        <f aca="false">IF($L105=0,0,$L105*MAX(0,NETWORKDAYS(MAX($H105,ASOF,Z$72),MIN(MAX($I105,ASOF),Z$72+6),HOLIDAYS)))</f>
        <v>0</v>
      </c>
      <c r="AA105" s="289" t="n">
        <f aca="false">IF($L105=0,0,$L105*MAX(0,NETWORKDAYS(MAX($H105,ASOF,AA$72),MIN(MAX($I105,ASOF),AA$72+6),HOLIDAYS)))</f>
        <v>0</v>
      </c>
      <c r="AB105" s="289" t="n">
        <f aca="false">IF($L105=0,0,$L105*MAX(0,NETWORKDAYS(MAX($H105,ASOF,AB$72),MIN(MAX($I105,ASOF),AB$72+6),HOLIDAYS)))</f>
        <v>0</v>
      </c>
      <c r="AC105" s="289" t="n">
        <f aca="false">IF($L105=0,0,$L105*MAX(0,NETWORKDAYS(MAX($H105,ASOF,AC$72),MIN(MAX($I105,ASOF),AC$72+6),HOLIDAYS)))</f>
        <v>0</v>
      </c>
      <c r="AD105" s="289" t="n">
        <f aca="false">IF($L105=0,0,$L105*MAX(0,NETWORKDAYS(MAX($H105,ASOF,AD$72),MIN(MAX($I105,ASOF),AD$72+6),HOLIDAYS)))</f>
        <v>0</v>
      </c>
      <c r="AE105" s="289" t="n">
        <f aca="false">IF($L105=0,0,$L105*MAX(0,NETWORKDAYS(MAX($H105,ASOF,AE$72),MIN(MAX($I105,ASOF),AE$72+6),HOLIDAYS)))</f>
        <v>0</v>
      </c>
      <c r="AF105" s="289" t="n">
        <f aca="false">IF($L105=0,0,$L105*MAX(0,NETWORKDAYS(MAX($H105,ASOF,AF$72),MIN(MAX($I105,ASOF),AF$72+6),HOLIDAYS)))</f>
        <v>0</v>
      </c>
      <c r="AG105" s="289" t="n">
        <f aca="false">IF($L105=0,0,$L105*MAX(0,NETWORKDAYS(MAX($H105,ASOF,AG$72),MIN(MAX($I105,ASOF),AG$72+6),HOLIDAYS)))</f>
        <v>0</v>
      </c>
      <c r="AH105" s="289" t="n">
        <f aca="false">IF($L105=0,0,$L105*MAX(0,NETWORKDAYS(MAX($H105,ASOF,AH$72),MIN(MAX($I105,ASOF),AH$72+6),HOLIDAYS)))</f>
        <v>0</v>
      </c>
      <c r="AI105" s="289" t="n">
        <f aca="false">IF($L105=0,0,$L105*MAX(0,NETWORKDAYS(MAX($H105,ASOF,AI$72),MIN(MAX($I105,ASOF),AI$72+6),HOLIDAYS)))</f>
        <v>0</v>
      </c>
      <c r="AJ105" s="289" t="n">
        <f aca="false">IF($L105=0,0,$L105*MAX(0,NETWORKDAYS(MAX($H105,ASOF,AJ$72),MIN(MAX($I105,ASOF),AJ$72+6),HOLIDAYS)))</f>
        <v>0</v>
      </c>
      <c r="AK105" s="289" t="n">
        <f aca="false">IF($L105=0,0,$L105*MAX(0,NETWORKDAYS(MAX($H105,ASOF,AK$72),MIN(MAX($I105,ASOF),AK$72+6),HOLIDAYS)))</f>
        <v>0</v>
      </c>
      <c r="AL105" s="289" t="n">
        <f aca="false">IF($L105=0,0,$L105*MAX(0,NETWORKDAYS(MAX($H105,ASOF,AL$72),MIN(MAX($I105,ASOF),AL$72+6),HOLIDAYS)))</f>
        <v>0</v>
      </c>
      <c r="AM105" s="289" t="n">
        <f aca="false">IF($L105=0,0,$L105*MAX(0,NETWORKDAYS(MAX($H105,ASOF,AM$72),MIN(MAX($I105,ASOF),AM$72+6),HOLIDAYS)))</f>
        <v>0</v>
      </c>
      <c r="AN105" s="289" t="n">
        <f aca="false">IF($L105=0,0,$L105*MAX(0,NETWORKDAYS(MAX($H105,ASOF,AN$72),MIN(MAX($I105,ASOF),AN$72+6),HOLIDAYS)))</f>
        <v>0</v>
      </c>
      <c r="AO105" s="289" t="n">
        <f aca="false">IF($L105=0,0,$L105*MAX(0,NETWORKDAYS(MAX($H105,ASOF,AO$72),MIN(MAX($I105,ASOF),AO$72+6),HOLIDAYS)))</f>
        <v>0</v>
      </c>
      <c r="AP105" s="289" t="n">
        <f aca="false">IF($L105=0,0,$L105*MAX(0,NETWORKDAYS(MAX($H105,ASOF,AP$72),MIN(MAX($I105,ASOF),AP$72+6),HOLIDAYS)))</f>
        <v>0</v>
      </c>
      <c r="AQ105" s="289" t="n">
        <f aca="false">IF($L105=0,0,$L105*MAX(0,NETWORKDAYS(MAX($H105,ASOF,AQ$72),MIN(MAX($I105,ASOF),AQ$72+6),HOLIDAYS)))</f>
        <v>0</v>
      </c>
      <c r="AR105" s="289" t="n">
        <f aca="false">IF($L105=0,0,$L105*MAX(0,NETWORKDAYS(MAX($H105,ASOF,AR$72),MIN(MAX($I105,ASOF),AR$72+6),HOLIDAYS)))</f>
        <v>0</v>
      </c>
    </row>
    <row r="106" customFormat="false" ht="15" hidden="false" customHeight="false" outlineLevel="1" collapsed="false">
      <c r="A106" s="282" t="s">
        <v>50</v>
      </c>
      <c r="B106" s="283" t="s">
        <v>52</v>
      </c>
      <c r="C106" s="282" t="s">
        <v>1198</v>
      </c>
      <c r="D106" s="284" t="s">
        <v>2284</v>
      </c>
      <c r="E106" s="285" t="n">
        <v>1</v>
      </c>
      <c r="F106" s="290" t="s">
        <v>35</v>
      </c>
      <c r="G106" s="285" t="n">
        <f aca="false">$F$15*$H$15</f>
        <v>2</v>
      </c>
      <c r="H106" s="286" t="n">
        <f aca="false">IF(ISNUMBER('P9-003'!$N$107),'P9-003'!$N$107,"")</f>
        <v>46347</v>
      </c>
      <c r="I106" s="286" t="n">
        <f aca="false">IF(ISNUMBER('P9-003'!$O$107),'P9-003'!$O$107,"")</f>
        <v>46348</v>
      </c>
      <c r="J106" s="287" t="n">
        <f aca="false">IF(OR(H106="",I106="",N106&gt;=1),0,MAX(1,NETWORKDAYS(MAX(H106,ASOF),MAX(I106,ASOF),HOLIDAYS)))</f>
        <v>1</v>
      </c>
      <c r="K106" s="287" t="n">
        <f aca="false">IF(L106=0,0,ROUNDUP(L106/$F$15,0))</f>
        <v>1</v>
      </c>
      <c r="L106" s="285" t="n">
        <f aca="false">IF(J106=0,0,G106*(1-N106)/J106)</f>
        <v>2</v>
      </c>
      <c r="M106" s="283" t="s">
        <v>1192</v>
      </c>
      <c r="N106" s="288" t="n">
        <f aca="false">IFERROR(MIN(1,'P9-003'!$V$107)+0,0)</f>
        <v>0</v>
      </c>
      <c r="O106" s="289" t="n">
        <f aca="false">IF($L106=0,0,$L106*MAX(0,NETWORKDAYS(MAX($H106,ASOF,O$72),MIN(MAX($I106,ASOF),O$72+6),HOLIDAYS)))</f>
        <v>0</v>
      </c>
      <c r="P106" s="289" t="n">
        <f aca="false">IF($L106=0,0,$L106*MAX(0,NETWORKDAYS(MAX($H106,ASOF,P$72),MIN(MAX($I106,ASOF),P$72+6),HOLIDAYS)))</f>
        <v>0</v>
      </c>
      <c r="Q106" s="289" t="n">
        <f aca="false">IF($L106=0,0,$L106*MAX(0,NETWORKDAYS(MAX($H106,ASOF,Q$72),MIN(MAX($I106,ASOF),Q$72+6),HOLIDAYS)))</f>
        <v>0</v>
      </c>
      <c r="R106" s="289" t="n">
        <f aca="false">IF($L106=0,0,$L106*MAX(0,NETWORKDAYS(MAX($H106,ASOF,R$72),MIN(MAX($I106,ASOF),R$72+6),HOLIDAYS)))</f>
        <v>0</v>
      </c>
      <c r="S106" s="289" t="n">
        <f aca="false">IF($L106=0,0,$L106*MAX(0,NETWORKDAYS(MAX($H106,ASOF,S$72),MIN(MAX($I106,ASOF),S$72+6),HOLIDAYS)))</f>
        <v>0</v>
      </c>
      <c r="T106" s="289" t="n">
        <f aca="false">IF($L106=0,0,$L106*MAX(0,NETWORKDAYS(MAX($H106,ASOF,T$72),MIN(MAX($I106,ASOF),T$72+6),HOLIDAYS)))</f>
        <v>0</v>
      </c>
      <c r="U106" s="289" t="n">
        <f aca="false">IF($L106=0,0,$L106*MAX(0,NETWORKDAYS(MAX($H106,ASOF,U$72),MIN(MAX($I106,ASOF),U$72+6),HOLIDAYS)))</f>
        <v>0</v>
      </c>
      <c r="V106" s="289" t="n">
        <f aca="false">IF($L106=0,0,$L106*MAX(0,NETWORKDAYS(MAX($H106,ASOF,V$72),MIN(MAX($I106,ASOF),V$72+6),HOLIDAYS)))</f>
        <v>0</v>
      </c>
      <c r="W106" s="289" t="n">
        <f aca="false">IF($L106=0,0,$L106*MAX(0,NETWORKDAYS(MAX($H106,ASOF,W$72),MIN(MAX($I106,ASOF),W$72+6),HOLIDAYS)))</f>
        <v>0</v>
      </c>
      <c r="X106" s="289" t="n">
        <f aca="false">IF($L106=0,0,$L106*MAX(0,NETWORKDAYS(MAX($H106,ASOF,X$72),MIN(MAX($I106,ASOF),X$72+6),HOLIDAYS)))</f>
        <v>0</v>
      </c>
      <c r="Y106" s="289" t="n">
        <f aca="false">IF($L106=0,0,$L106*MAX(0,NETWORKDAYS(MAX($H106,ASOF,Y$72),MIN(MAX($I106,ASOF),Y$72+6),HOLIDAYS)))</f>
        <v>0</v>
      </c>
      <c r="Z106" s="289" t="n">
        <f aca="false">IF($L106=0,0,$L106*MAX(0,NETWORKDAYS(MAX($H106,ASOF,Z$72),MIN(MAX($I106,ASOF),Z$72+6),HOLIDAYS)))</f>
        <v>0</v>
      </c>
      <c r="AA106" s="289" t="n">
        <f aca="false">IF($L106=0,0,$L106*MAX(0,NETWORKDAYS(MAX($H106,ASOF,AA$72),MIN(MAX($I106,ASOF),AA$72+6),HOLIDAYS)))</f>
        <v>0</v>
      </c>
      <c r="AB106" s="289" t="n">
        <f aca="false">IF($L106=0,0,$L106*MAX(0,NETWORKDAYS(MAX($H106,ASOF,AB$72),MIN(MAX($I106,ASOF),AB$72+6),HOLIDAYS)))</f>
        <v>0</v>
      </c>
      <c r="AC106" s="289" t="n">
        <f aca="false">IF($L106=0,0,$L106*MAX(0,NETWORKDAYS(MAX($H106,ASOF,AC$72),MIN(MAX($I106,ASOF),AC$72+6),HOLIDAYS)))</f>
        <v>0</v>
      </c>
      <c r="AD106" s="289" t="n">
        <f aca="false">IF($L106=0,0,$L106*MAX(0,NETWORKDAYS(MAX($H106,ASOF,AD$72),MIN(MAX($I106,ASOF),AD$72+6),HOLIDAYS)))</f>
        <v>0</v>
      </c>
      <c r="AE106" s="289" t="n">
        <f aca="false">IF($L106=0,0,$L106*MAX(0,NETWORKDAYS(MAX($H106,ASOF,AE$72),MIN(MAX($I106,ASOF),AE$72+6),HOLIDAYS)))</f>
        <v>0</v>
      </c>
      <c r="AF106" s="289" t="n">
        <f aca="false">IF($L106=0,0,$L106*MAX(0,NETWORKDAYS(MAX($H106,ASOF,AF$72),MIN(MAX($I106,ASOF),AF$72+6),HOLIDAYS)))</f>
        <v>0</v>
      </c>
      <c r="AG106" s="289" t="n">
        <f aca="false">IF($L106=0,0,$L106*MAX(0,NETWORKDAYS(MAX($H106,ASOF,AG$72),MIN(MAX($I106,ASOF),AG$72+6),HOLIDAYS)))</f>
        <v>0</v>
      </c>
      <c r="AH106" s="289" t="n">
        <f aca="false">IF($L106=0,0,$L106*MAX(0,NETWORKDAYS(MAX($H106,ASOF,AH$72),MIN(MAX($I106,ASOF),AH$72+6),HOLIDAYS)))</f>
        <v>0</v>
      </c>
      <c r="AI106" s="289" t="n">
        <f aca="false">IF($L106=0,0,$L106*MAX(0,NETWORKDAYS(MAX($H106,ASOF,AI$72),MIN(MAX($I106,ASOF),AI$72+6),HOLIDAYS)))</f>
        <v>0</v>
      </c>
      <c r="AJ106" s="289" t="n">
        <f aca="false">IF($L106=0,0,$L106*MAX(0,NETWORKDAYS(MAX($H106,ASOF,AJ$72),MIN(MAX($I106,ASOF),AJ$72+6),HOLIDAYS)))</f>
        <v>0</v>
      </c>
      <c r="AK106" s="289" t="n">
        <f aca="false">IF($L106=0,0,$L106*MAX(0,NETWORKDAYS(MAX($H106,ASOF,AK$72),MIN(MAX($I106,ASOF),AK$72+6),HOLIDAYS)))</f>
        <v>0</v>
      </c>
      <c r="AL106" s="289" t="n">
        <f aca="false">IF($L106=0,0,$L106*MAX(0,NETWORKDAYS(MAX($H106,ASOF,AL$72),MIN(MAX($I106,ASOF),AL$72+6),HOLIDAYS)))</f>
        <v>0</v>
      </c>
      <c r="AM106" s="289" t="n">
        <f aca="false">IF($L106=0,0,$L106*MAX(0,NETWORKDAYS(MAX($H106,ASOF,AM$72),MIN(MAX($I106,ASOF),AM$72+6),HOLIDAYS)))</f>
        <v>0</v>
      </c>
      <c r="AN106" s="289" t="n">
        <f aca="false">IF($L106=0,0,$L106*MAX(0,NETWORKDAYS(MAX($H106,ASOF,AN$72),MIN(MAX($I106,ASOF),AN$72+6),HOLIDAYS)))</f>
        <v>0</v>
      </c>
      <c r="AO106" s="289" t="n">
        <f aca="false">IF($L106=0,0,$L106*MAX(0,NETWORKDAYS(MAX($H106,ASOF,AO$72),MIN(MAX($I106,ASOF),AO$72+6),HOLIDAYS)))</f>
        <v>0</v>
      </c>
      <c r="AP106" s="289" t="n">
        <f aca="false">IF($L106=0,0,$L106*MAX(0,NETWORKDAYS(MAX($H106,ASOF,AP$72),MIN(MAX($I106,ASOF),AP$72+6),HOLIDAYS)))</f>
        <v>0</v>
      </c>
      <c r="AQ106" s="289" t="n">
        <f aca="false">IF($L106=0,0,$L106*MAX(0,NETWORKDAYS(MAX($H106,ASOF,AQ$72),MIN(MAX($I106,ASOF),AQ$72+6),HOLIDAYS)))</f>
        <v>0</v>
      </c>
      <c r="AR106" s="289" t="n">
        <f aca="false">IF($L106=0,0,$L106*MAX(0,NETWORKDAYS(MAX($H106,ASOF,AR$72),MIN(MAX($I106,ASOF),AR$72+6),HOLIDAYS)))</f>
        <v>0</v>
      </c>
    </row>
    <row r="107" customFormat="false" ht="15" hidden="false" customHeight="false" outlineLevel="1" collapsed="false">
      <c r="A107" s="282" t="s">
        <v>50</v>
      </c>
      <c r="B107" s="283" t="s">
        <v>52</v>
      </c>
      <c r="C107" s="284" t="s">
        <v>2369</v>
      </c>
      <c r="D107" s="284" t="s">
        <v>2308</v>
      </c>
      <c r="E107" s="285" t="n">
        <v>150.48</v>
      </c>
      <c r="F107" s="283" t="s">
        <v>527</v>
      </c>
      <c r="G107" s="285" t="n">
        <f aca="false">$F$16*(E107/$G$16+$H$16)</f>
        <v>10.5144</v>
      </c>
      <c r="H107" s="286" t="n">
        <f aca="false">IF(ISNUMBER('P9-003'!$N$115),'P9-003'!$N$115,"")</f>
        <v>46359</v>
      </c>
      <c r="I107" s="286" t="n">
        <f aca="false">IF(ISNUMBER('P9-003'!$O$115),'P9-003'!$O$115,"")</f>
        <v>46359</v>
      </c>
      <c r="J107" s="287" t="n">
        <f aca="false">IF(OR(H107="",I107="",N107&gt;=1),0,MAX(1,NETWORKDAYS(MAX(H107,ASOF),MAX(I107,ASOF),HOLIDAYS)))</f>
        <v>1</v>
      </c>
      <c r="K107" s="287" t="n">
        <f aca="false">IF(L107=0,0,ROUNDUP(L107/$F$16,0))</f>
        <v>4</v>
      </c>
      <c r="L107" s="285" t="n">
        <f aca="false">IF(J107=0,0,G107*(1-N107)/J107)</f>
        <v>10.5144</v>
      </c>
      <c r="M107" s="283" t="s">
        <v>1205</v>
      </c>
      <c r="N107" s="288" t="n">
        <f aca="false">IFERROR(MIN(1,'P9-003'!$V$115)+0,0)</f>
        <v>0</v>
      </c>
      <c r="O107" s="289" t="n">
        <f aca="false">IF($L107=0,0,$L107*MAX(0,NETWORKDAYS(MAX($H107,ASOF,O$72),MIN(MAX($I107,ASOF),O$72+6),HOLIDAYS)))</f>
        <v>0</v>
      </c>
      <c r="P107" s="289" t="n">
        <f aca="false">IF($L107=0,0,$L107*MAX(0,NETWORKDAYS(MAX($H107,ASOF,P$72),MIN(MAX($I107,ASOF),P$72+6),HOLIDAYS)))</f>
        <v>0</v>
      </c>
      <c r="Q107" s="289" t="n">
        <f aca="false">IF($L107=0,0,$L107*MAX(0,NETWORKDAYS(MAX($H107,ASOF,Q$72),MIN(MAX($I107,ASOF),Q$72+6),HOLIDAYS)))</f>
        <v>0</v>
      </c>
      <c r="R107" s="289" t="n">
        <f aca="false">IF($L107=0,0,$L107*MAX(0,NETWORKDAYS(MAX($H107,ASOF,R$72),MIN(MAX($I107,ASOF),R$72+6),HOLIDAYS)))</f>
        <v>0</v>
      </c>
      <c r="S107" s="289" t="n">
        <f aca="false">IF($L107=0,0,$L107*MAX(0,NETWORKDAYS(MAX($H107,ASOF,S$72),MIN(MAX($I107,ASOF),S$72+6),HOLIDAYS)))</f>
        <v>10.5144</v>
      </c>
      <c r="T107" s="289" t="n">
        <f aca="false">IF($L107=0,0,$L107*MAX(0,NETWORKDAYS(MAX($H107,ASOF,T$72),MIN(MAX($I107,ASOF),T$72+6),HOLIDAYS)))</f>
        <v>0</v>
      </c>
      <c r="U107" s="289" t="n">
        <f aca="false">IF($L107=0,0,$L107*MAX(0,NETWORKDAYS(MAX($H107,ASOF,U$72),MIN(MAX($I107,ASOF),U$72+6),HOLIDAYS)))</f>
        <v>0</v>
      </c>
      <c r="V107" s="289" t="n">
        <f aca="false">IF($L107=0,0,$L107*MAX(0,NETWORKDAYS(MAX($H107,ASOF,V$72),MIN(MAX($I107,ASOF),V$72+6),HOLIDAYS)))</f>
        <v>0</v>
      </c>
      <c r="W107" s="289" t="n">
        <f aca="false">IF($L107=0,0,$L107*MAX(0,NETWORKDAYS(MAX($H107,ASOF,W$72),MIN(MAX($I107,ASOF),W$72+6),HOLIDAYS)))</f>
        <v>0</v>
      </c>
      <c r="X107" s="289" t="n">
        <f aca="false">IF($L107=0,0,$L107*MAX(0,NETWORKDAYS(MAX($H107,ASOF,X$72),MIN(MAX($I107,ASOF),X$72+6),HOLIDAYS)))</f>
        <v>0</v>
      </c>
      <c r="Y107" s="289" t="n">
        <f aca="false">IF($L107=0,0,$L107*MAX(0,NETWORKDAYS(MAX($H107,ASOF,Y$72),MIN(MAX($I107,ASOF),Y$72+6),HOLIDAYS)))</f>
        <v>0</v>
      </c>
      <c r="Z107" s="289" t="n">
        <f aca="false">IF($L107=0,0,$L107*MAX(0,NETWORKDAYS(MAX($H107,ASOF,Z$72),MIN(MAX($I107,ASOF),Z$72+6),HOLIDAYS)))</f>
        <v>0</v>
      </c>
      <c r="AA107" s="289" t="n">
        <f aca="false">IF($L107=0,0,$L107*MAX(0,NETWORKDAYS(MAX($H107,ASOF,AA$72),MIN(MAX($I107,ASOF),AA$72+6),HOLIDAYS)))</f>
        <v>0</v>
      </c>
      <c r="AB107" s="289" t="n">
        <f aca="false">IF($L107=0,0,$L107*MAX(0,NETWORKDAYS(MAX($H107,ASOF,AB$72),MIN(MAX($I107,ASOF),AB$72+6),HOLIDAYS)))</f>
        <v>0</v>
      </c>
      <c r="AC107" s="289" t="n">
        <f aca="false">IF($L107=0,0,$L107*MAX(0,NETWORKDAYS(MAX($H107,ASOF,AC$72),MIN(MAX($I107,ASOF),AC$72+6),HOLIDAYS)))</f>
        <v>0</v>
      </c>
      <c r="AD107" s="289" t="n">
        <f aca="false">IF($L107=0,0,$L107*MAX(0,NETWORKDAYS(MAX($H107,ASOF,AD$72),MIN(MAX($I107,ASOF),AD$72+6),HOLIDAYS)))</f>
        <v>0</v>
      </c>
      <c r="AE107" s="289" t="n">
        <f aca="false">IF($L107=0,0,$L107*MAX(0,NETWORKDAYS(MAX($H107,ASOF,AE$72),MIN(MAX($I107,ASOF),AE$72+6),HOLIDAYS)))</f>
        <v>0</v>
      </c>
      <c r="AF107" s="289" t="n">
        <f aca="false">IF($L107=0,0,$L107*MAX(0,NETWORKDAYS(MAX($H107,ASOF,AF$72),MIN(MAX($I107,ASOF),AF$72+6),HOLIDAYS)))</f>
        <v>0</v>
      </c>
      <c r="AG107" s="289" t="n">
        <f aca="false">IF($L107=0,0,$L107*MAX(0,NETWORKDAYS(MAX($H107,ASOF,AG$72),MIN(MAX($I107,ASOF),AG$72+6),HOLIDAYS)))</f>
        <v>0</v>
      </c>
      <c r="AH107" s="289" t="n">
        <f aca="false">IF($L107=0,0,$L107*MAX(0,NETWORKDAYS(MAX($H107,ASOF,AH$72),MIN(MAX($I107,ASOF),AH$72+6),HOLIDAYS)))</f>
        <v>0</v>
      </c>
      <c r="AI107" s="289" t="n">
        <f aca="false">IF($L107=0,0,$L107*MAX(0,NETWORKDAYS(MAX($H107,ASOF,AI$72),MIN(MAX($I107,ASOF),AI$72+6),HOLIDAYS)))</f>
        <v>0</v>
      </c>
      <c r="AJ107" s="289" t="n">
        <f aca="false">IF($L107=0,0,$L107*MAX(0,NETWORKDAYS(MAX($H107,ASOF,AJ$72),MIN(MAX($I107,ASOF),AJ$72+6),HOLIDAYS)))</f>
        <v>0</v>
      </c>
      <c r="AK107" s="289" t="n">
        <f aca="false">IF($L107=0,0,$L107*MAX(0,NETWORKDAYS(MAX($H107,ASOF,AK$72),MIN(MAX($I107,ASOF),AK$72+6),HOLIDAYS)))</f>
        <v>0</v>
      </c>
      <c r="AL107" s="289" t="n">
        <f aca="false">IF($L107=0,0,$L107*MAX(0,NETWORKDAYS(MAX($H107,ASOF,AL$72),MIN(MAX($I107,ASOF),AL$72+6),HOLIDAYS)))</f>
        <v>0</v>
      </c>
      <c r="AM107" s="289" t="n">
        <f aca="false">IF($L107=0,0,$L107*MAX(0,NETWORKDAYS(MAX($H107,ASOF,AM$72),MIN(MAX($I107,ASOF),AM$72+6),HOLIDAYS)))</f>
        <v>0</v>
      </c>
      <c r="AN107" s="289" t="n">
        <f aca="false">IF($L107=0,0,$L107*MAX(0,NETWORKDAYS(MAX($H107,ASOF,AN$72),MIN(MAX($I107,ASOF),AN$72+6),HOLIDAYS)))</f>
        <v>0</v>
      </c>
      <c r="AO107" s="289" t="n">
        <f aca="false">IF($L107=0,0,$L107*MAX(0,NETWORKDAYS(MAX($H107,ASOF,AO$72),MIN(MAX($I107,ASOF),AO$72+6),HOLIDAYS)))</f>
        <v>0</v>
      </c>
      <c r="AP107" s="289" t="n">
        <f aca="false">IF($L107=0,0,$L107*MAX(0,NETWORKDAYS(MAX($H107,ASOF,AP$72),MIN(MAX($I107,ASOF),AP$72+6),HOLIDAYS)))</f>
        <v>0</v>
      </c>
      <c r="AQ107" s="289" t="n">
        <f aca="false">IF($L107=0,0,$L107*MAX(0,NETWORKDAYS(MAX($H107,ASOF,AQ$72),MIN(MAX($I107,ASOF),AQ$72+6),HOLIDAYS)))</f>
        <v>0</v>
      </c>
      <c r="AR107" s="289" t="n">
        <f aca="false">IF($L107=0,0,$L107*MAX(0,NETWORKDAYS(MAX($H107,ASOF,AR$72),MIN(MAX($I107,ASOF),AR$72+6),HOLIDAYS)))</f>
        <v>0</v>
      </c>
    </row>
    <row r="108" customFormat="false" ht="15" hidden="false" customHeight="false" outlineLevel="1" collapsed="false">
      <c r="A108" s="282" t="s">
        <v>50</v>
      </c>
      <c r="B108" s="283" t="s">
        <v>52</v>
      </c>
      <c r="C108" s="284" t="s">
        <v>2370</v>
      </c>
      <c r="D108" s="284" t="s">
        <v>2313</v>
      </c>
      <c r="E108" s="285" t="n">
        <v>1</v>
      </c>
      <c r="F108" s="290" t="s">
        <v>35</v>
      </c>
      <c r="G108" s="285" t="n">
        <f aca="false">SUM(O108:AR108)</f>
        <v>20</v>
      </c>
      <c r="H108" s="286" t="n">
        <f aca="false">IF(ISNUMBER('P9-003'!$N$62),'P9-003'!$N$62,"")</f>
        <v>46328</v>
      </c>
      <c r="I108" s="286" t="n">
        <f aca="false">IF(ISNUMBER('P9-003'!$O$115),'P9-003'!$O$115,"")</f>
        <v>46359</v>
      </c>
      <c r="J108" s="287"/>
      <c r="K108" s="287" t="n">
        <f aca="false">IF(G108&gt;0,$F$17,0)</f>
        <v>1</v>
      </c>
      <c r="L108" s="285" t="n">
        <v>0</v>
      </c>
      <c r="M108" s="290" t="s">
        <v>2310</v>
      </c>
      <c r="N108" s="288" t="str">
        <f aca="false">""</f>
        <v/>
      </c>
      <c r="O108" s="289" t="n">
        <f aca="false">IF(SUMIFS(O$73:O$312,$A$73:$A$312,"P9-003",$M$73:$M$312,"&lt;&gt;คุม")&gt;0,$F$17*NETWORKDAYS(O$72,O$72+6,HOLIDAYS),0)</f>
        <v>5</v>
      </c>
      <c r="P108" s="289" t="n">
        <f aca="false">IF(SUMIFS(P$73:P$312,$A$73:$A$312,"P9-003",$M$73:$M$312,"&lt;&gt;คุม")&gt;0,$F$17*NETWORKDAYS(P$72,P$72+6,HOLIDAYS),0)</f>
        <v>5</v>
      </c>
      <c r="Q108" s="289" t="n">
        <f aca="false">IF(SUMIFS(Q$73:Q$312,$A$73:$A$312,"P9-003",$M$73:$M$312,"&lt;&gt;คุม")&gt;0,$F$17*NETWORKDAYS(Q$72,Q$72+6,HOLIDAYS),0)</f>
        <v>5</v>
      </c>
      <c r="R108" s="289" t="n">
        <f aca="false">IF(SUMIFS(R$73:R$312,$A$73:$A$312,"P9-003",$M$73:$M$312,"&lt;&gt;คุม")&gt;0,$F$17*NETWORKDAYS(R$72,R$72+6,HOLIDAYS),0)</f>
        <v>0</v>
      </c>
      <c r="S108" s="289" t="n">
        <f aca="false">IF(SUMIFS(S$73:S$312,$A$73:$A$312,"P9-003",$M$73:$M$312,"&lt;&gt;คุม")&gt;0,$F$17*NETWORKDAYS(S$72,S$72+6,HOLIDAYS),0)</f>
        <v>5</v>
      </c>
      <c r="T108" s="289" t="n">
        <f aca="false">IF(SUMIFS(T$73:T$312,$A$73:$A$312,"P9-003",$M$73:$M$312,"&lt;&gt;คุม")&gt;0,$F$17*NETWORKDAYS(T$72,T$72+6,HOLIDAYS),0)</f>
        <v>0</v>
      </c>
      <c r="U108" s="289" t="n">
        <f aca="false">IF(SUMIFS(U$73:U$312,$A$73:$A$312,"P9-003",$M$73:$M$312,"&lt;&gt;คุม")&gt;0,$F$17*NETWORKDAYS(U$72,U$72+6,HOLIDAYS),0)</f>
        <v>0</v>
      </c>
      <c r="V108" s="289" t="n">
        <f aca="false">IF(SUMIFS(V$73:V$312,$A$73:$A$312,"P9-003",$M$73:$M$312,"&lt;&gt;คุม")&gt;0,$F$17*NETWORKDAYS(V$72,V$72+6,HOLIDAYS),0)</f>
        <v>0</v>
      </c>
      <c r="W108" s="289" t="n">
        <f aca="false">IF(SUMIFS(W$73:W$312,$A$73:$A$312,"P9-003",$M$73:$M$312,"&lt;&gt;คุม")&gt;0,$F$17*NETWORKDAYS(W$72,W$72+6,HOLIDAYS),0)</f>
        <v>0</v>
      </c>
      <c r="X108" s="289" t="n">
        <f aca="false">IF(SUMIFS(X$73:X$312,$A$73:$A$312,"P9-003",$M$73:$M$312,"&lt;&gt;คุม")&gt;0,$F$17*NETWORKDAYS(X$72,X$72+6,HOLIDAYS),0)</f>
        <v>0</v>
      </c>
      <c r="Y108" s="289" t="n">
        <f aca="false">IF(SUMIFS(Y$73:Y$312,$A$73:$A$312,"P9-003",$M$73:$M$312,"&lt;&gt;คุม")&gt;0,$F$17*NETWORKDAYS(Y$72,Y$72+6,HOLIDAYS),0)</f>
        <v>0</v>
      </c>
      <c r="Z108" s="289" t="n">
        <f aca="false">IF(SUMIFS(Z$73:Z$312,$A$73:$A$312,"P9-003",$M$73:$M$312,"&lt;&gt;คุม")&gt;0,$F$17*NETWORKDAYS(Z$72,Z$72+6,HOLIDAYS),0)</f>
        <v>0</v>
      </c>
      <c r="AA108" s="289" t="n">
        <f aca="false">IF(SUMIFS(AA$73:AA$312,$A$73:$A$312,"P9-003",$M$73:$M$312,"&lt;&gt;คุม")&gt;0,$F$17*NETWORKDAYS(AA$72,AA$72+6,HOLIDAYS),0)</f>
        <v>0</v>
      </c>
      <c r="AB108" s="289" t="n">
        <f aca="false">IF(SUMIFS(AB$73:AB$312,$A$73:$A$312,"P9-003",$M$73:$M$312,"&lt;&gt;คุม")&gt;0,$F$17*NETWORKDAYS(AB$72,AB$72+6,HOLIDAYS),0)</f>
        <v>0</v>
      </c>
      <c r="AC108" s="289" t="n">
        <f aca="false">IF(SUMIFS(AC$73:AC$312,$A$73:$A$312,"P9-003",$M$73:$M$312,"&lt;&gt;คุม")&gt;0,$F$17*NETWORKDAYS(AC$72,AC$72+6,HOLIDAYS),0)</f>
        <v>0</v>
      </c>
      <c r="AD108" s="289" t="n">
        <f aca="false">IF(SUMIFS(AD$73:AD$312,$A$73:$A$312,"P9-003",$M$73:$M$312,"&lt;&gt;คุม")&gt;0,$F$17*NETWORKDAYS(AD$72,AD$72+6,HOLIDAYS),0)</f>
        <v>0</v>
      </c>
      <c r="AE108" s="289" t="n">
        <f aca="false">IF(SUMIFS(AE$73:AE$312,$A$73:$A$312,"P9-003",$M$73:$M$312,"&lt;&gt;คุม")&gt;0,$F$17*NETWORKDAYS(AE$72,AE$72+6,HOLIDAYS),0)</f>
        <v>0</v>
      </c>
      <c r="AF108" s="289" t="n">
        <f aca="false">IF(SUMIFS(AF$73:AF$312,$A$73:$A$312,"P9-003",$M$73:$M$312,"&lt;&gt;คุม")&gt;0,$F$17*NETWORKDAYS(AF$72,AF$72+6,HOLIDAYS),0)</f>
        <v>0</v>
      </c>
      <c r="AG108" s="289" t="n">
        <f aca="false">IF(SUMIFS(AG$73:AG$312,$A$73:$A$312,"P9-003",$M$73:$M$312,"&lt;&gt;คุม")&gt;0,$F$17*NETWORKDAYS(AG$72,AG$72+6,HOLIDAYS),0)</f>
        <v>0</v>
      </c>
      <c r="AH108" s="289" t="n">
        <f aca="false">IF(SUMIFS(AH$73:AH$312,$A$73:$A$312,"P9-003",$M$73:$M$312,"&lt;&gt;คุม")&gt;0,$F$17*NETWORKDAYS(AH$72,AH$72+6,HOLIDAYS),0)</f>
        <v>0</v>
      </c>
      <c r="AI108" s="289" t="n">
        <f aca="false">IF(SUMIFS(AI$73:AI$312,$A$73:$A$312,"P9-003",$M$73:$M$312,"&lt;&gt;คุม")&gt;0,$F$17*NETWORKDAYS(AI$72,AI$72+6,HOLIDAYS),0)</f>
        <v>0</v>
      </c>
      <c r="AJ108" s="289" t="n">
        <f aca="false">IF(SUMIFS(AJ$73:AJ$312,$A$73:$A$312,"P9-003",$M$73:$M$312,"&lt;&gt;คุม")&gt;0,$F$17*NETWORKDAYS(AJ$72,AJ$72+6,HOLIDAYS),0)</f>
        <v>0</v>
      </c>
      <c r="AK108" s="289" t="n">
        <f aca="false">IF(SUMIFS(AK$73:AK$312,$A$73:$A$312,"P9-003",$M$73:$M$312,"&lt;&gt;คุม")&gt;0,$F$17*NETWORKDAYS(AK$72,AK$72+6,HOLIDAYS),0)</f>
        <v>0</v>
      </c>
      <c r="AL108" s="289" t="n">
        <f aca="false">IF(SUMIFS(AL$73:AL$312,$A$73:$A$312,"P9-003",$M$73:$M$312,"&lt;&gt;คุม")&gt;0,$F$17*NETWORKDAYS(AL$72,AL$72+6,HOLIDAYS),0)</f>
        <v>0</v>
      </c>
      <c r="AM108" s="289" t="n">
        <f aca="false">IF(SUMIFS(AM$73:AM$312,$A$73:$A$312,"P9-003",$M$73:$M$312,"&lt;&gt;คุม")&gt;0,$F$17*NETWORKDAYS(AM$72,AM$72+6,HOLIDAYS),0)</f>
        <v>0</v>
      </c>
      <c r="AN108" s="289" t="n">
        <f aca="false">IF(SUMIFS(AN$73:AN$312,$A$73:$A$312,"P9-003",$M$73:$M$312,"&lt;&gt;คุม")&gt;0,$F$17*NETWORKDAYS(AN$72,AN$72+6,HOLIDAYS),0)</f>
        <v>0</v>
      </c>
      <c r="AO108" s="289" t="n">
        <f aca="false">IF(SUMIFS(AO$73:AO$312,$A$73:$A$312,"P9-003",$M$73:$M$312,"&lt;&gt;คุม")&gt;0,$F$17*NETWORKDAYS(AO$72,AO$72+6,HOLIDAYS),0)</f>
        <v>0</v>
      </c>
      <c r="AP108" s="289" t="n">
        <f aca="false">IF(SUMIFS(AP$73:AP$312,$A$73:$A$312,"P9-003",$M$73:$M$312,"&lt;&gt;คุม")&gt;0,$F$17*NETWORKDAYS(AP$72,AP$72+6,HOLIDAYS),0)</f>
        <v>0</v>
      </c>
      <c r="AQ108" s="289" t="n">
        <f aca="false">IF(SUMIFS(AQ$73:AQ$312,$A$73:$A$312,"P9-003",$M$73:$M$312,"&lt;&gt;คุม")&gt;0,$F$17*NETWORKDAYS(AQ$72,AQ$72+6,HOLIDAYS),0)</f>
        <v>0</v>
      </c>
      <c r="AR108" s="289" t="n">
        <f aca="false">IF(SUMIFS(AR$73:AR$312,$A$73:$A$312,"P9-003",$M$73:$M$312,"&lt;&gt;คุม")&gt;0,$F$17*NETWORKDAYS(AR$72,AR$72+6,HOLIDAYS),0)</f>
        <v>0</v>
      </c>
    </row>
    <row r="109" customFormat="false" ht="15" hidden="false" customHeight="false" outlineLevel="1" collapsed="false">
      <c r="A109" s="282" t="s">
        <v>54</v>
      </c>
      <c r="B109" s="283" t="s">
        <v>56</v>
      </c>
      <c r="C109" s="284" t="s">
        <v>2358</v>
      </c>
      <c r="D109" s="284" t="s">
        <v>2280</v>
      </c>
      <c r="E109" s="285" t="n">
        <v>308.48</v>
      </c>
      <c r="F109" s="283" t="s">
        <v>2359</v>
      </c>
      <c r="G109" s="285" t="n">
        <f aca="false">$F$5*(E109/$G$5+$H$5)</f>
        <v>51.3568</v>
      </c>
      <c r="H109" s="286" t="n">
        <f aca="false">IF(ISNUMBER('P9-004'!$N$62),'P9-004'!$N$62,"")</f>
        <v>46328</v>
      </c>
      <c r="I109" s="286" t="n">
        <f aca="false">IF(ISNUMBER('P9-004'!$O$62),'P9-004'!$O$62,"")</f>
        <v>46336</v>
      </c>
      <c r="J109" s="287" t="n">
        <f aca="false">IF(OR(H109="",I109="",N109&gt;=1),0,MAX(1,NETWORKDAYS(MAX(H109,ASOF),MAX(I109,ASOF),HOLIDAYS)))</f>
        <v>7</v>
      </c>
      <c r="K109" s="287" t="n">
        <f aca="false">IF(L109=0,0,ROUNDUP(L109/$F$5,0))</f>
        <v>2</v>
      </c>
      <c r="L109" s="285" t="n">
        <f aca="false">IF(J109=0,0,G109*(1-N109)/J109)</f>
        <v>7.33668571428571</v>
      </c>
      <c r="M109" s="283" t="s">
        <v>872</v>
      </c>
      <c r="N109" s="288" t="n">
        <f aca="false">IFERROR(MIN(1,'P9-004'!$V$62)+0,0)</f>
        <v>0</v>
      </c>
      <c r="O109" s="289" t="n">
        <f aca="false">IF($L109=0,0,$L109*MAX(0,NETWORKDAYS(MAX($H109,ASOF,O$72),MIN(MAX($I109,ASOF),O$72+6),HOLIDAYS)))</f>
        <v>36.6834285714286</v>
      </c>
      <c r="P109" s="289" t="n">
        <f aca="false">IF($L109=0,0,$L109*MAX(0,NETWORKDAYS(MAX($H109,ASOF,P$72),MIN(MAX($I109,ASOF),P$72+6),HOLIDAYS)))</f>
        <v>14.6733714285714</v>
      </c>
      <c r="Q109" s="289" t="n">
        <f aca="false">IF($L109=0,0,$L109*MAX(0,NETWORKDAYS(MAX($H109,ASOF,Q$72),MIN(MAX($I109,ASOF),Q$72+6),HOLIDAYS)))</f>
        <v>0</v>
      </c>
      <c r="R109" s="289" t="n">
        <f aca="false">IF($L109=0,0,$L109*MAX(0,NETWORKDAYS(MAX($H109,ASOF,R$72),MIN(MAX($I109,ASOF),R$72+6),HOLIDAYS)))</f>
        <v>0</v>
      </c>
      <c r="S109" s="289" t="n">
        <f aca="false">IF($L109=0,0,$L109*MAX(0,NETWORKDAYS(MAX($H109,ASOF,S$72),MIN(MAX($I109,ASOF),S$72+6),HOLIDAYS)))</f>
        <v>0</v>
      </c>
      <c r="T109" s="289" t="n">
        <f aca="false">IF($L109=0,0,$L109*MAX(0,NETWORKDAYS(MAX($H109,ASOF,T$72),MIN(MAX($I109,ASOF),T$72+6),HOLIDAYS)))</f>
        <v>0</v>
      </c>
      <c r="U109" s="289" t="n">
        <f aca="false">IF($L109=0,0,$L109*MAX(0,NETWORKDAYS(MAX($H109,ASOF,U$72),MIN(MAX($I109,ASOF),U$72+6),HOLIDAYS)))</f>
        <v>0</v>
      </c>
      <c r="V109" s="289" t="n">
        <f aca="false">IF($L109=0,0,$L109*MAX(0,NETWORKDAYS(MAX($H109,ASOF,V$72),MIN(MAX($I109,ASOF),V$72+6),HOLIDAYS)))</f>
        <v>0</v>
      </c>
      <c r="W109" s="289" t="n">
        <f aca="false">IF($L109=0,0,$L109*MAX(0,NETWORKDAYS(MAX($H109,ASOF,W$72),MIN(MAX($I109,ASOF),W$72+6),HOLIDAYS)))</f>
        <v>0</v>
      </c>
      <c r="X109" s="289" t="n">
        <f aca="false">IF($L109=0,0,$L109*MAX(0,NETWORKDAYS(MAX($H109,ASOF,X$72),MIN(MAX($I109,ASOF),X$72+6),HOLIDAYS)))</f>
        <v>0</v>
      </c>
      <c r="Y109" s="289" t="n">
        <f aca="false">IF($L109=0,0,$L109*MAX(0,NETWORKDAYS(MAX($H109,ASOF,Y$72),MIN(MAX($I109,ASOF),Y$72+6),HOLIDAYS)))</f>
        <v>0</v>
      </c>
      <c r="Z109" s="289" t="n">
        <f aca="false">IF($L109=0,0,$L109*MAX(0,NETWORKDAYS(MAX($H109,ASOF,Z$72),MIN(MAX($I109,ASOF),Z$72+6),HOLIDAYS)))</f>
        <v>0</v>
      </c>
      <c r="AA109" s="289" t="n">
        <f aca="false">IF($L109=0,0,$L109*MAX(0,NETWORKDAYS(MAX($H109,ASOF,AA$72),MIN(MAX($I109,ASOF),AA$72+6),HOLIDAYS)))</f>
        <v>0</v>
      </c>
      <c r="AB109" s="289" t="n">
        <f aca="false">IF($L109=0,0,$L109*MAX(0,NETWORKDAYS(MAX($H109,ASOF,AB$72),MIN(MAX($I109,ASOF),AB$72+6),HOLIDAYS)))</f>
        <v>0</v>
      </c>
      <c r="AC109" s="289" t="n">
        <f aca="false">IF($L109=0,0,$L109*MAX(0,NETWORKDAYS(MAX($H109,ASOF,AC$72),MIN(MAX($I109,ASOF),AC$72+6),HOLIDAYS)))</f>
        <v>0</v>
      </c>
      <c r="AD109" s="289" t="n">
        <f aca="false">IF($L109=0,0,$L109*MAX(0,NETWORKDAYS(MAX($H109,ASOF,AD$72),MIN(MAX($I109,ASOF),AD$72+6),HOLIDAYS)))</f>
        <v>0</v>
      </c>
      <c r="AE109" s="289" t="n">
        <f aca="false">IF($L109=0,0,$L109*MAX(0,NETWORKDAYS(MAX($H109,ASOF,AE$72),MIN(MAX($I109,ASOF),AE$72+6),HOLIDAYS)))</f>
        <v>0</v>
      </c>
      <c r="AF109" s="289" t="n">
        <f aca="false">IF($L109=0,0,$L109*MAX(0,NETWORKDAYS(MAX($H109,ASOF,AF$72),MIN(MAX($I109,ASOF),AF$72+6),HOLIDAYS)))</f>
        <v>0</v>
      </c>
      <c r="AG109" s="289" t="n">
        <f aca="false">IF($L109=0,0,$L109*MAX(0,NETWORKDAYS(MAX($H109,ASOF,AG$72),MIN(MAX($I109,ASOF),AG$72+6),HOLIDAYS)))</f>
        <v>0</v>
      </c>
      <c r="AH109" s="289" t="n">
        <f aca="false">IF($L109=0,0,$L109*MAX(0,NETWORKDAYS(MAX($H109,ASOF,AH$72),MIN(MAX($I109,ASOF),AH$72+6),HOLIDAYS)))</f>
        <v>0</v>
      </c>
      <c r="AI109" s="289" t="n">
        <f aca="false">IF($L109=0,0,$L109*MAX(0,NETWORKDAYS(MAX($H109,ASOF,AI$72),MIN(MAX($I109,ASOF),AI$72+6),HOLIDAYS)))</f>
        <v>0</v>
      </c>
      <c r="AJ109" s="289" t="n">
        <f aca="false">IF($L109=0,0,$L109*MAX(0,NETWORKDAYS(MAX($H109,ASOF,AJ$72),MIN(MAX($I109,ASOF),AJ$72+6),HOLIDAYS)))</f>
        <v>0</v>
      </c>
      <c r="AK109" s="289" t="n">
        <f aca="false">IF($L109=0,0,$L109*MAX(0,NETWORKDAYS(MAX($H109,ASOF,AK$72),MIN(MAX($I109,ASOF),AK$72+6),HOLIDAYS)))</f>
        <v>0</v>
      </c>
      <c r="AL109" s="289" t="n">
        <f aca="false">IF($L109=0,0,$L109*MAX(0,NETWORKDAYS(MAX($H109,ASOF,AL$72),MIN(MAX($I109,ASOF),AL$72+6),HOLIDAYS)))</f>
        <v>0</v>
      </c>
      <c r="AM109" s="289" t="n">
        <f aca="false">IF($L109=0,0,$L109*MAX(0,NETWORKDAYS(MAX($H109,ASOF,AM$72),MIN(MAX($I109,ASOF),AM$72+6),HOLIDAYS)))</f>
        <v>0</v>
      </c>
      <c r="AN109" s="289" t="n">
        <f aca="false">IF($L109=0,0,$L109*MAX(0,NETWORKDAYS(MAX($H109,ASOF,AN$72),MIN(MAX($I109,ASOF),AN$72+6),HOLIDAYS)))</f>
        <v>0</v>
      </c>
      <c r="AO109" s="289" t="n">
        <f aca="false">IF($L109=0,0,$L109*MAX(0,NETWORKDAYS(MAX($H109,ASOF,AO$72),MIN(MAX($I109,ASOF),AO$72+6),HOLIDAYS)))</f>
        <v>0</v>
      </c>
      <c r="AP109" s="289" t="n">
        <f aca="false">IF($L109=0,0,$L109*MAX(0,NETWORKDAYS(MAX($H109,ASOF,AP$72),MIN(MAX($I109,ASOF),AP$72+6),HOLIDAYS)))</f>
        <v>0</v>
      </c>
      <c r="AQ109" s="289" t="n">
        <f aca="false">IF($L109=0,0,$L109*MAX(0,NETWORKDAYS(MAX($H109,ASOF,AQ$72),MIN(MAX($I109,ASOF),AQ$72+6),HOLIDAYS)))</f>
        <v>0</v>
      </c>
      <c r="AR109" s="289" t="n">
        <f aca="false">IF($L109=0,0,$L109*MAX(0,NETWORKDAYS(MAX($H109,ASOF,AR$72),MIN(MAX($I109,ASOF),AR$72+6),HOLIDAYS)))</f>
        <v>0</v>
      </c>
    </row>
    <row r="110" customFormat="false" ht="15" hidden="false" customHeight="false" outlineLevel="1" collapsed="false">
      <c r="A110" s="282" t="s">
        <v>54</v>
      </c>
      <c r="B110" s="283" t="s">
        <v>56</v>
      </c>
      <c r="C110" s="284" t="s">
        <v>2360</v>
      </c>
      <c r="D110" s="284" t="s">
        <v>2284</v>
      </c>
      <c r="E110" s="285" t="n">
        <v>280.44</v>
      </c>
      <c r="F110" s="283" t="s">
        <v>527</v>
      </c>
      <c r="G110" s="285" t="n">
        <f aca="false">$F$6*(E110/$G$6+$H$6)</f>
        <v>24.033</v>
      </c>
      <c r="H110" s="286" t="n">
        <f aca="false">IF(ISNUMBER('P9-004'!$N$70),'P9-004'!$N$70,"")</f>
        <v>46343</v>
      </c>
      <c r="I110" s="286" t="n">
        <f aca="false">IF(ISNUMBER('P9-004'!$O$70),'P9-004'!$O$70,"")</f>
        <v>46346</v>
      </c>
      <c r="J110" s="287" t="n">
        <f aca="false">IF(OR(H110="",I110="",N110&gt;=1),0,MAX(1,NETWORKDAYS(MAX(H110,ASOF),MAX(I110,ASOF),HOLIDAYS)))</f>
        <v>4</v>
      </c>
      <c r="K110" s="287" t="n">
        <f aca="false">IF(L110=0,0,ROUNDUP(L110/$F$6,0))</f>
        <v>3</v>
      </c>
      <c r="L110" s="285" t="n">
        <f aca="false">IF(J110=0,0,G110*(1-N110)/J110)</f>
        <v>6.00825</v>
      </c>
      <c r="M110" s="283" t="s">
        <v>987</v>
      </c>
      <c r="N110" s="288" t="n">
        <f aca="false">IFERROR(MIN(1,'P9-004'!$V$70)+0,0)</f>
        <v>0</v>
      </c>
      <c r="O110" s="289" t="n">
        <f aca="false">IF($L110=0,0,$L110*MAX(0,NETWORKDAYS(MAX($H110,ASOF,O$72),MIN(MAX($I110,ASOF),O$72+6),HOLIDAYS)))</f>
        <v>0</v>
      </c>
      <c r="P110" s="289" t="n">
        <f aca="false">IF($L110=0,0,$L110*MAX(0,NETWORKDAYS(MAX($H110,ASOF,P$72),MIN(MAX($I110,ASOF),P$72+6),HOLIDAYS)))</f>
        <v>0</v>
      </c>
      <c r="Q110" s="289" t="n">
        <f aca="false">IF($L110=0,0,$L110*MAX(0,NETWORKDAYS(MAX($H110,ASOF,Q$72),MIN(MAX($I110,ASOF),Q$72+6),HOLIDAYS)))</f>
        <v>24.033</v>
      </c>
      <c r="R110" s="289" t="n">
        <f aca="false">IF($L110=0,0,$L110*MAX(0,NETWORKDAYS(MAX($H110,ASOF,R$72),MIN(MAX($I110,ASOF),R$72+6),HOLIDAYS)))</f>
        <v>0</v>
      </c>
      <c r="S110" s="289" t="n">
        <f aca="false">IF($L110=0,0,$L110*MAX(0,NETWORKDAYS(MAX($H110,ASOF,S$72),MIN(MAX($I110,ASOF),S$72+6),HOLIDAYS)))</f>
        <v>0</v>
      </c>
      <c r="T110" s="289" t="n">
        <f aca="false">IF($L110=0,0,$L110*MAX(0,NETWORKDAYS(MAX($H110,ASOF,T$72),MIN(MAX($I110,ASOF),T$72+6),HOLIDAYS)))</f>
        <v>0</v>
      </c>
      <c r="U110" s="289" t="n">
        <f aca="false">IF($L110=0,0,$L110*MAX(0,NETWORKDAYS(MAX($H110,ASOF,U$72),MIN(MAX($I110,ASOF),U$72+6),HOLIDAYS)))</f>
        <v>0</v>
      </c>
      <c r="V110" s="289" t="n">
        <f aca="false">IF($L110=0,0,$L110*MAX(0,NETWORKDAYS(MAX($H110,ASOF,V$72),MIN(MAX($I110,ASOF),V$72+6),HOLIDAYS)))</f>
        <v>0</v>
      </c>
      <c r="W110" s="289" t="n">
        <f aca="false">IF($L110=0,0,$L110*MAX(0,NETWORKDAYS(MAX($H110,ASOF,W$72),MIN(MAX($I110,ASOF),W$72+6),HOLIDAYS)))</f>
        <v>0</v>
      </c>
      <c r="X110" s="289" t="n">
        <f aca="false">IF($L110=0,0,$L110*MAX(0,NETWORKDAYS(MAX($H110,ASOF,X$72),MIN(MAX($I110,ASOF),X$72+6),HOLIDAYS)))</f>
        <v>0</v>
      </c>
      <c r="Y110" s="289" t="n">
        <f aca="false">IF($L110=0,0,$L110*MAX(0,NETWORKDAYS(MAX($H110,ASOF,Y$72),MIN(MAX($I110,ASOF),Y$72+6),HOLIDAYS)))</f>
        <v>0</v>
      </c>
      <c r="Z110" s="289" t="n">
        <f aca="false">IF($L110=0,0,$L110*MAX(0,NETWORKDAYS(MAX($H110,ASOF,Z$72),MIN(MAX($I110,ASOF),Z$72+6),HOLIDAYS)))</f>
        <v>0</v>
      </c>
      <c r="AA110" s="289" t="n">
        <f aca="false">IF($L110=0,0,$L110*MAX(0,NETWORKDAYS(MAX($H110,ASOF,AA$72),MIN(MAX($I110,ASOF),AA$72+6),HOLIDAYS)))</f>
        <v>0</v>
      </c>
      <c r="AB110" s="289" t="n">
        <f aca="false">IF($L110=0,0,$L110*MAX(0,NETWORKDAYS(MAX($H110,ASOF,AB$72),MIN(MAX($I110,ASOF),AB$72+6),HOLIDAYS)))</f>
        <v>0</v>
      </c>
      <c r="AC110" s="289" t="n">
        <f aca="false">IF($L110=0,0,$L110*MAX(0,NETWORKDAYS(MAX($H110,ASOF,AC$72),MIN(MAX($I110,ASOF),AC$72+6),HOLIDAYS)))</f>
        <v>0</v>
      </c>
      <c r="AD110" s="289" t="n">
        <f aca="false">IF($L110=0,0,$L110*MAX(0,NETWORKDAYS(MAX($H110,ASOF,AD$72),MIN(MAX($I110,ASOF),AD$72+6),HOLIDAYS)))</f>
        <v>0</v>
      </c>
      <c r="AE110" s="289" t="n">
        <f aca="false">IF($L110=0,0,$L110*MAX(0,NETWORKDAYS(MAX($H110,ASOF,AE$72),MIN(MAX($I110,ASOF),AE$72+6),HOLIDAYS)))</f>
        <v>0</v>
      </c>
      <c r="AF110" s="289" t="n">
        <f aca="false">IF($L110=0,0,$L110*MAX(0,NETWORKDAYS(MAX($H110,ASOF,AF$72),MIN(MAX($I110,ASOF),AF$72+6),HOLIDAYS)))</f>
        <v>0</v>
      </c>
      <c r="AG110" s="289" t="n">
        <f aca="false">IF($L110=0,0,$L110*MAX(0,NETWORKDAYS(MAX($H110,ASOF,AG$72),MIN(MAX($I110,ASOF),AG$72+6),HOLIDAYS)))</f>
        <v>0</v>
      </c>
      <c r="AH110" s="289" t="n">
        <f aca="false">IF($L110=0,0,$L110*MAX(0,NETWORKDAYS(MAX($H110,ASOF,AH$72),MIN(MAX($I110,ASOF),AH$72+6),HOLIDAYS)))</f>
        <v>0</v>
      </c>
      <c r="AI110" s="289" t="n">
        <f aca="false">IF($L110=0,0,$L110*MAX(0,NETWORKDAYS(MAX($H110,ASOF,AI$72),MIN(MAX($I110,ASOF),AI$72+6),HOLIDAYS)))</f>
        <v>0</v>
      </c>
      <c r="AJ110" s="289" t="n">
        <f aca="false">IF($L110=0,0,$L110*MAX(0,NETWORKDAYS(MAX($H110,ASOF,AJ$72),MIN(MAX($I110,ASOF),AJ$72+6),HOLIDAYS)))</f>
        <v>0</v>
      </c>
      <c r="AK110" s="289" t="n">
        <f aca="false">IF($L110=0,0,$L110*MAX(0,NETWORKDAYS(MAX($H110,ASOF,AK$72),MIN(MAX($I110,ASOF),AK$72+6),HOLIDAYS)))</f>
        <v>0</v>
      </c>
      <c r="AL110" s="289" t="n">
        <f aca="false">IF($L110=0,0,$L110*MAX(0,NETWORKDAYS(MAX($H110,ASOF,AL$72),MIN(MAX($I110,ASOF),AL$72+6),HOLIDAYS)))</f>
        <v>0</v>
      </c>
      <c r="AM110" s="289" t="n">
        <f aca="false">IF($L110=0,0,$L110*MAX(0,NETWORKDAYS(MAX($H110,ASOF,AM$72),MIN(MAX($I110,ASOF),AM$72+6),HOLIDAYS)))</f>
        <v>0</v>
      </c>
      <c r="AN110" s="289" t="n">
        <f aca="false">IF($L110=0,0,$L110*MAX(0,NETWORKDAYS(MAX($H110,ASOF,AN$72),MIN(MAX($I110,ASOF),AN$72+6),HOLIDAYS)))</f>
        <v>0</v>
      </c>
      <c r="AO110" s="289" t="n">
        <f aca="false">IF($L110=0,0,$L110*MAX(0,NETWORKDAYS(MAX($H110,ASOF,AO$72),MIN(MAX($I110,ASOF),AO$72+6),HOLIDAYS)))</f>
        <v>0</v>
      </c>
      <c r="AP110" s="289" t="n">
        <f aca="false">IF($L110=0,0,$L110*MAX(0,NETWORKDAYS(MAX($H110,ASOF,AP$72),MIN(MAX($I110,ASOF),AP$72+6),HOLIDAYS)))</f>
        <v>0</v>
      </c>
      <c r="AQ110" s="289" t="n">
        <f aca="false">IF($L110=0,0,$L110*MAX(0,NETWORKDAYS(MAX($H110,ASOF,AQ$72),MIN(MAX($I110,ASOF),AQ$72+6),HOLIDAYS)))</f>
        <v>0</v>
      </c>
      <c r="AR110" s="289" t="n">
        <f aca="false">IF($L110=0,0,$L110*MAX(0,NETWORKDAYS(MAX($H110,ASOF,AR$72),MIN(MAX($I110,ASOF),AR$72+6),HOLIDAYS)))</f>
        <v>0</v>
      </c>
    </row>
    <row r="111" customFormat="false" ht="15" hidden="false" customHeight="false" outlineLevel="1" collapsed="false">
      <c r="A111" s="282" t="s">
        <v>54</v>
      </c>
      <c r="B111" s="283" t="s">
        <v>56</v>
      </c>
      <c r="C111" s="284" t="s">
        <v>2361</v>
      </c>
      <c r="D111" s="284" t="s">
        <v>2280</v>
      </c>
      <c r="E111" s="285" t="n">
        <v>280.44</v>
      </c>
      <c r="F111" s="283" t="s">
        <v>527</v>
      </c>
      <c r="G111" s="285" t="n">
        <f aca="false">$F$7*(E111/$G$7+$H$7)</f>
        <v>34.0502857142857</v>
      </c>
      <c r="H111" s="286" t="n">
        <f aca="false">IF(ISNUMBER('P9-004'!$N$76),'P9-004'!$N$76,"")</f>
        <v>46337</v>
      </c>
      <c r="I111" s="286" t="n">
        <f aca="false">IF(ISNUMBER('P9-004'!$O$76),'P9-004'!$O$76,"")</f>
        <v>46347</v>
      </c>
      <c r="J111" s="287" t="n">
        <f aca="false">IF(OR(H111="",I111="",N111&gt;=1),0,MAX(1,NETWORKDAYS(MAX(H111,ASOF),MAX(I111,ASOF),HOLIDAYS)))</f>
        <v>8</v>
      </c>
      <c r="K111" s="287" t="n">
        <f aca="false">IF(L111=0,0,ROUNDUP(L111/$F$7,0))</f>
        <v>2</v>
      </c>
      <c r="L111" s="285" t="n">
        <f aca="false">IF(J111=0,0,G111*(1-N111)/J111)</f>
        <v>4.25628571428571</v>
      </c>
      <c r="M111" s="283" t="s">
        <v>1037</v>
      </c>
      <c r="N111" s="288" t="n">
        <f aca="false">IFERROR(MIN(1,'P9-004'!$V$76)+0,0)</f>
        <v>0</v>
      </c>
      <c r="O111" s="289" t="n">
        <f aca="false">IF($L111=0,0,$L111*MAX(0,NETWORKDAYS(MAX($H111,ASOF,O$72),MIN(MAX($I111,ASOF),O$72+6),HOLIDAYS)))</f>
        <v>0</v>
      </c>
      <c r="P111" s="289" t="n">
        <f aca="false">IF($L111=0,0,$L111*MAX(0,NETWORKDAYS(MAX($H111,ASOF,P$72),MIN(MAX($I111,ASOF),P$72+6),HOLIDAYS)))</f>
        <v>12.7688571428571</v>
      </c>
      <c r="Q111" s="289" t="n">
        <f aca="false">IF($L111=0,0,$L111*MAX(0,NETWORKDAYS(MAX($H111,ASOF,Q$72),MIN(MAX($I111,ASOF),Q$72+6),HOLIDAYS)))</f>
        <v>21.2814285714286</v>
      </c>
      <c r="R111" s="289" t="n">
        <f aca="false">IF($L111=0,0,$L111*MAX(0,NETWORKDAYS(MAX($H111,ASOF,R$72),MIN(MAX($I111,ASOF),R$72+6),HOLIDAYS)))</f>
        <v>0</v>
      </c>
      <c r="S111" s="289" t="n">
        <f aca="false">IF($L111=0,0,$L111*MAX(0,NETWORKDAYS(MAX($H111,ASOF,S$72),MIN(MAX($I111,ASOF),S$72+6),HOLIDAYS)))</f>
        <v>0</v>
      </c>
      <c r="T111" s="289" t="n">
        <f aca="false">IF($L111=0,0,$L111*MAX(0,NETWORKDAYS(MAX($H111,ASOF,T$72),MIN(MAX($I111,ASOF),T$72+6),HOLIDAYS)))</f>
        <v>0</v>
      </c>
      <c r="U111" s="289" t="n">
        <f aca="false">IF($L111=0,0,$L111*MAX(0,NETWORKDAYS(MAX($H111,ASOF,U$72),MIN(MAX($I111,ASOF),U$72+6),HOLIDAYS)))</f>
        <v>0</v>
      </c>
      <c r="V111" s="289" t="n">
        <f aca="false">IF($L111=0,0,$L111*MAX(0,NETWORKDAYS(MAX($H111,ASOF,V$72),MIN(MAX($I111,ASOF),V$72+6),HOLIDAYS)))</f>
        <v>0</v>
      </c>
      <c r="W111" s="289" t="n">
        <f aca="false">IF($L111=0,0,$L111*MAX(0,NETWORKDAYS(MAX($H111,ASOF,W$72),MIN(MAX($I111,ASOF),W$72+6),HOLIDAYS)))</f>
        <v>0</v>
      </c>
      <c r="X111" s="289" t="n">
        <f aca="false">IF($L111=0,0,$L111*MAX(0,NETWORKDAYS(MAX($H111,ASOF,X$72),MIN(MAX($I111,ASOF),X$72+6),HOLIDAYS)))</f>
        <v>0</v>
      </c>
      <c r="Y111" s="289" t="n">
        <f aca="false">IF($L111=0,0,$L111*MAX(0,NETWORKDAYS(MAX($H111,ASOF,Y$72),MIN(MAX($I111,ASOF),Y$72+6),HOLIDAYS)))</f>
        <v>0</v>
      </c>
      <c r="Z111" s="289" t="n">
        <f aca="false">IF($L111=0,0,$L111*MAX(0,NETWORKDAYS(MAX($H111,ASOF,Z$72),MIN(MAX($I111,ASOF),Z$72+6),HOLIDAYS)))</f>
        <v>0</v>
      </c>
      <c r="AA111" s="289" t="n">
        <f aca="false">IF($L111=0,0,$L111*MAX(0,NETWORKDAYS(MAX($H111,ASOF,AA$72),MIN(MAX($I111,ASOF),AA$72+6),HOLIDAYS)))</f>
        <v>0</v>
      </c>
      <c r="AB111" s="289" t="n">
        <f aca="false">IF($L111=0,0,$L111*MAX(0,NETWORKDAYS(MAX($H111,ASOF,AB$72),MIN(MAX($I111,ASOF),AB$72+6),HOLIDAYS)))</f>
        <v>0</v>
      </c>
      <c r="AC111" s="289" t="n">
        <f aca="false">IF($L111=0,0,$L111*MAX(0,NETWORKDAYS(MAX($H111,ASOF,AC$72),MIN(MAX($I111,ASOF),AC$72+6),HOLIDAYS)))</f>
        <v>0</v>
      </c>
      <c r="AD111" s="289" t="n">
        <f aca="false">IF($L111=0,0,$L111*MAX(0,NETWORKDAYS(MAX($H111,ASOF,AD$72),MIN(MAX($I111,ASOF),AD$72+6),HOLIDAYS)))</f>
        <v>0</v>
      </c>
      <c r="AE111" s="289" t="n">
        <f aca="false">IF($L111=0,0,$L111*MAX(0,NETWORKDAYS(MAX($H111,ASOF,AE$72),MIN(MAX($I111,ASOF),AE$72+6),HOLIDAYS)))</f>
        <v>0</v>
      </c>
      <c r="AF111" s="289" t="n">
        <f aca="false">IF($L111=0,0,$L111*MAX(0,NETWORKDAYS(MAX($H111,ASOF,AF$72),MIN(MAX($I111,ASOF),AF$72+6),HOLIDAYS)))</f>
        <v>0</v>
      </c>
      <c r="AG111" s="289" t="n">
        <f aca="false">IF($L111=0,0,$L111*MAX(0,NETWORKDAYS(MAX($H111,ASOF,AG$72),MIN(MAX($I111,ASOF),AG$72+6),HOLIDAYS)))</f>
        <v>0</v>
      </c>
      <c r="AH111" s="289" t="n">
        <f aca="false">IF($L111=0,0,$L111*MAX(0,NETWORKDAYS(MAX($H111,ASOF,AH$72),MIN(MAX($I111,ASOF),AH$72+6),HOLIDAYS)))</f>
        <v>0</v>
      </c>
      <c r="AI111" s="289" t="n">
        <f aca="false">IF($L111=0,0,$L111*MAX(0,NETWORKDAYS(MAX($H111,ASOF,AI$72),MIN(MAX($I111,ASOF),AI$72+6),HOLIDAYS)))</f>
        <v>0</v>
      </c>
      <c r="AJ111" s="289" t="n">
        <f aca="false">IF($L111=0,0,$L111*MAX(0,NETWORKDAYS(MAX($H111,ASOF,AJ$72),MIN(MAX($I111,ASOF),AJ$72+6),HOLIDAYS)))</f>
        <v>0</v>
      </c>
      <c r="AK111" s="289" t="n">
        <f aca="false">IF($L111=0,0,$L111*MAX(0,NETWORKDAYS(MAX($H111,ASOF,AK$72),MIN(MAX($I111,ASOF),AK$72+6),HOLIDAYS)))</f>
        <v>0</v>
      </c>
      <c r="AL111" s="289" t="n">
        <f aca="false">IF($L111=0,0,$L111*MAX(0,NETWORKDAYS(MAX($H111,ASOF,AL$72),MIN(MAX($I111,ASOF),AL$72+6),HOLIDAYS)))</f>
        <v>0</v>
      </c>
      <c r="AM111" s="289" t="n">
        <f aca="false">IF($L111=0,0,$L111*MAX(0,NETWORKDAYS(MAX($H111,ASOF,AM$72),MIN(MAX($I111,ASOF),AM$72+6),HOLIDAYS)))</f>
        <v>0</v>
      </c>
      <c r="AN111" s="289" t="n">
        <f aca="false">IF($L111=0,0,$L111*MAX(0,NETWORKDAYS(MAX($H111,ASOF,AN$72),MIN(MAX($I111,ASOF),AN$72+6),HOLIDAYS)))</f>
        <v>0</v>
      </c>
      <c r="AO111" s="289" t="n">
        <f aca="false">IF($L111=0,0,$L111*MAX(0,NETWORKDAYS(MAX($H111,ASOF,AO$72),MIN(MAX($I111,ASOF),AO$72+6),HOLIDAYS)))</f>
        <v>0</v>
      </c>
      <c r="AP111" s="289" t="n">
        <f aca="false">IF($L111=0,0,$L111*MAX(0,NETWORKDAYS(MAX($H111,ASOF,AP$72),MIN(MAX($I111,ASOF),AP$72+6),HOLIDAYS)))</f>
        <v>0</v>
      </c>
      <c r="AQ111" s="289" t="n">
        <f aca="false">IF($L111=0,0,$L111*MAX(0,NETWORKDAYS(MAX($H111,ASOF,AQ$72),MIN(MAX($I111,ASOF),AQ$72+6),HOLIDAYS)))</f>
        <v>0</v>
      </c>
      <c r="AR111" s="289" t="n">
        <f aca="false">IF($L111=0,0,$L111*MAX(0,NETWORKDAYS(MAX($H111,ASOF,AR$72),MIN(MAX($I111,ASOF),AR$72+6),HOLIDAYS)))</f>
        <v>0</v>
      </c>
    </row>
    <row r="112" customFormat="false" ht="15" hidden="false" customHeight="false" outlineLevel="1" collapsed="false">
      <c r="A112" s="282" t="s">
        <v>54</v>
      </c>
      <c r="B112" s="283" t="s">
        <v>56</v>
      </c>
      <c r="C112" s="284" t="s">
        <v>2362</v>
      </c>
      <c r="D112" s="284" t="s">
        <v>2284</v>
      </c>
      <c r="E112" s="285" t="n">
        <v>1</v>
      </c>
      <c r="F112" s="290" t="s">
        <v>35</v>
      </c>
      <c r="G112" s="285" t="n">
        <f aca="false">$F$8*$H$8</f>
        <v>2</v>
      </c>
      <c r="H112" s="286" t="n">
        <f aca="false">IF(ISNUMBER('P9-004'!$N$82),'P9-004'!$N$82,"")</f>
        <v>46345</v>
      </c>
      <c r="I112" s="286" t="n">
        <f aca="false">IF(ISNUMBER('P9-004'!$O$82),'P9-004'!$O$82,"")</f>
        <v>46347</v>
      </c>
      <c r="J112" s="287" t="n">
        <f aca="false">IF(OR(H112="",I112="",N112&gt;=1),0,MAX(1,NETWORKDAYS(MAX(H112,ASOF),MAX(I112,ASOF),HOLIDAYS)))</f>
        <v>2</v>
      </c>
      <c r="K112" s="287" t="n">
        <f aca="false">IF(L112=0,0,ROUNDUP(L112/$F$8,0))</f>
        <v>1</v>
      </c>
      <c r="L112" s="285" t="n">
        <f aca="false">IF(J112=0,0,G112*(1-N112)/J112)</f>
        <v>1</v>
      </c>
      <c r="M112" s="283" t="s">
        <v>1063</v>
      </c>
      <c r="N112" s="288" t="n">
        <f aca="false">IFERROR(MIN(1,'P9-004'!$V$82)+0,0)</f>
        <v>0</v>
      </c>
      <c r="O112" s="289" t="n">
        <f aca="false">IF($L112=0,0,$L112*MAX(0,NETWORKDAYS(MAX($H112,ASOF,O$72),MIN(MAX($I112,ASOF),O$72+6),HOLIDAYS)))</f>
        <v>0</v>
      </c>
      <c r="P112" s="289" t="n">
        <f aca="false">IF($L112=0,0,$L112*MAX(0,NETWORKDAYS(MAX($H112,ASOF,P$72),MIN(MAX($I112,ASOF),P$72+6),HOLIDAYS)))</f>
        <v>0</v>
      </c>
      <c r="Q112" s="289" t="n">
        <f aca="false">IF($L112=0,0,$L112*MAX(0,NETWORKDAYS(MAX($H112,ASOF,Q$72),MIN(MAX($I112,ASOF),Q$72+6),HOLIDAYS)))</f>
        <v>2</v>
      </c>
      <c r="R112" s="289" t="n">
        <f aca="false">IF($L112=0,0,$L112*MAX(0,NETWORKDAYS(MAX($H112,ASOF,R$72),MIN(MAX($I112,ASOF),R$72+6),HOLIDAYS)))</f>
        <v>0</v>
      </c>
      <c r="S112" s="289" t="n">
        <f aca="false">IF($L112=0,0,$L112*MAX(0,NETWORKDAYS(MAX($H112,ASOF,S$72),MIN(MAX($I112,ASOF),S$72+6),HOLIDAYS)))</f>
        <v>0</v>
      </c>
      <c r="T112" s="289" t="n">
        <f aca="false">IF($L112=0,0,$L112*MAX(0,NETWORKDAYS(MAX($H112,ASOF,T$72),MIN(MAX($I112,ASOF),T$72+6),HOLIDAYS)))</f>
        <v>0</v>
      </c>
      <c r="U112" s="289" t="n">
        <f aca="false">IF($L112=0,0,$L112*MAX(0,NETWORKDAYS(MAX($H112,ASOF,U$72),MIN(MAX($I112,ASOF),U$72+6),HOLIDAYS)))</f>
        <v>0</v>
      </c>
      <c r="V112" s="289" t="n">
        <f aca="false">IF($L112=0,0,$L112*MAX(0,NETWORKDAYS(MAX($H112,ASOF,V$72),MIN(MAX($I112,ASOF),V$72+6),HOLIDAYS)))</f>
        <v>0</v>
      </c>
      <c r="W112" s="289" t="n">
        <f aca="false">IF($L112=0,0,$L112*MAX(0,NETWORKDAYS(MAX($H112,ASOF,W$72),MIN(MAX($I112,ASOF),W$72+6),HOLIDAYS)))</f>
        <v>0</v>
      </c>
      <c r="X112" s="289" t="n">
        <f aca="false">IF($L112=0,0,$L112*MAX(0,NETWORKDAYS(MAX($H112,ASOF,X$72),MIN(MAX($I112,ASOF),X$72+6),HOLIDAYS)))</f>
        <v>0</v>
      </c>
      <c r="Y112" s="289" t="n">
        <f aca="false">IF($L112=0,0,$L112*MAX(0,NETWORKDAYS(MAX($H112,ASOF,Y$72),MIN(MAX($I112,ASOF),Y$72+6),HOLIDAYS)))</f>
        <v>0</v>
      </c>
      <c r="Z112" s="289" t="n">
        <f aca="false">IF($L112=0,0,$L112*MAX(0,NETWORKDAYS(MAX($H112,ASOF,Z$72),MIN(MAX($I112,ASOF),Z$72+6),HOLIDAYS)))</f>
        <v>0</v>
      </c>
      <c r="AA112" s="289" t="n">
        <f aca="false">IF($L112=0,0,$L112*MAX(0,NETWORKDAYS(MAX($H112,ASOF,AA$72),MIN(MAX($I112,ASOF),AA$72+6),HOLIDAYS)))</f>
        <v>0</v>
      </c>
      <c r="AB112" s="289" t="n">
        <f aca="false">IF($L112=0,0,$L112*MAX(0,NETWORKDAYS(MAX($H112,ASOF,AB$72),MIN(MAX($I112,ASOF),AB$72+6),HOLIDAYS)))</f>
        <v>0</v>
      </c>
      <c r="AC112" s="289" t="n">
        <f aca="false">IF($L112=0,0,$L112*MAX(0,NETWORKDAYS(MAX($H112,ASOF,AC$72),MIN(MAX($I112,ASOF),AC$72+6),HOLIDAYS)))</f>
        <v>0</v>
      </c>
      <c r="AD112" s="289" t="n">
        <f aca="false">IF($L112=0,0,$L112*MAX(0,NETWORKDAYS(MAX($H112,ASOF,AD$72),MIN(MAX($I112,ASOF),AD$72+6),HOLIDAYS)))</f>
        <v>0</v>
      </c>
      <c r="AE112" s="289" t="n">
        <f aca="false">IF($L112=0,0,$L112*MAX(0,NETWORKDAYS(MAX($H112,ASOF,AE$72),MIN(MAX($I112,ASOF),AE$72+6),HOLIDAYS)))</f>
        <v>0</v>
      </c>
      <c r="AF112" s="289" t="n">
        <f aca="false">IF($L112=0,0,$L112*MAX(0,NETWORKDAYS(MAX($H112,ASOF,AF$72),MIN(MAX($I112,ASOF),AF$72+6),HOLIDAYS)))</f>
        <v>0</v>
      </c>
      <c r="AG112" s="289" t="n">
        <f aca="false">IF($L112=0,0,$L112*MAX(0,NETWORKDAYS(MAX($H112,ASOF,AG$72),MIN(MAX($I112,ASOF),AG$72+6),HOLIDAYS)))</f>
        <v>0</v>
      </c>
      <c r="AH112" s="289" t="n">
        <f aca="false">IF($L112=0,0,$L112*MAX(0,NETWORKDAYS(MAX($H112,ASOF,AH$72),MIN(MAX($I112,ASOF),AH$72+6),HOLIDAYS)))</f>
        <v>0</v>
      </c>
      <c r="AI112" s="289" t="n">
        <f aca="false">IF($L112=0,0,$L112*MAX(0,NETWORKDAYS(MAX($H112,ASOF,AI$72),MIN(MAX($I112,ASOF),AI$72+6),HOLIDAYS)))</f>
        <v>0</v>
      </c>
      <c r="AJ112" s="289" t="n">
        <f aca="false">IF($L112=0,0,$L112*MAX(0,NETWORKDAYS(MAX($H112,ASOF,AJ$72),MIN(MAX($I112,ASOF),AJ$72+6),HOLIDAYS)))</f>
        <v>0</v>
      </c>
      <c r="AK112" s="289" t="n">
        <f aca="false">IF($L112=0,0,$L112*MAX(0,NETWORKDAYS(MAX($H112,ASOF,AK$72),MIN(MAX($I112,ASOF),AK$72+6),HOLIDAYS)))</f>
        <v>0</v>
      </c>
      <c r="AL112" s="289" t="n">
        <f aca="false">IF($L112=0,0,$L112*MAX(0,NETWORKDAYS(MAX($H112,ASOF,AL$72),MIN(MAX($I112,ASOF),AL$72+6),HOLIDAYS)))</f>
        <v>0</v>
      </c>
      <c r="AM112" s="289" t="n">
        <f aca="false">IF($L112=0,0,$L112*MAX(0,NETWORKDAYS(MAX($H112,ASOF,AM$72),MIN(MAX($I112,ASOF),AM$72+6),HOLIDAYS)))</f>
        <v>0</v>
      </c>
      <c r="AN112" s="289" t="n">
        <f aca="false">IF($L112=0,0,$L112*MAX(0,NETWORKDAYS(MAX($H112,ASOF,AN$72),MIN(MAX($I112,ASOF),AN$72+6),HOLIDAYS)))</f>
        <v>0</v>
      </c>
      <c r="AO112" s="289" t="n">
        <f aca="false">IF($L112=0,0,$L112*MAX(0,NETWORKDAYS(MAX($H112,ASOF,AO$72),MIN(MAX($I112,ASOF),AO$72+6),HOLIDAYS)))</f>
        <v>0</v>
      </c>
      <c r="AP112" s="289" t="n">
        <f aca="false">IF($L112=0,0,$L112*MAX(0,NETWORKDAYS(MAX($H112,ASOF,AP$72),MIN(MAX($I112,ASOF),AP$72+6),HOLIDAYS)))</f>
        <v>0</v>
      </c>
      <c r="AQ112" s="289" t="n">
        <f aca="false">IF($L112=0,0,$L112*MAX(0,NETWORKDAYS(MAX($H112,ASOF,AQ$72),MIN(MAX($I112,ASOF),AQ$72+6),HOLIDAYS)))</f>
        <v>0</v>
      </c>
      <c r="AR112" s="289" t="n">
        <f aca="false">IF($L112=0,0,$L112*MAX(0,NETWORKDAYS(MAX($H112,ASOF,AR$72),MIN(MAX($I112,ASOF),AR$72+6),HOLIDAYS)))</f>
        <v>0</v>
      </c>
    </row>
    <row r="113" customFormat="false" ht="15" hidden="false" customHeight="false" outlineLevel="1" collapsed="false">
      <c r="A113" s="282" t="s">
        <v>54</v>
      </c>
      <c r="B113" s="283" t="s">
        <v>56</v>
      </c>
      <c r="C113" s="284" t="s">
        <v>2363</v>
      </c>
      <c r="D113" s="284" t="s">
        <v>2290</v>
      </c>
      <c r="E113" s="285" t="n">
        <v>1</v>
      </c>
      <c r="F113" s="290" t="s">
        <v>35</v>
      </c>
      <c r="G113" s="285" t="n">
        <f aca="false">IF(IFERROR(INDEX(INVS_TYPE,MATCH("P9-004",INVS_ID,0)),"")="สร้างใหม่ (E09)",$F$9*$H$9,0)</f>
        <v>24</v>
      </c>
      <c r="H113" s="286" t="n">
        <f aca="false">IF(ISNUMBER('P9-004'!$N$85),'P9-004'!$N$85,"")</f>
        <v>46343</v>
      </c>
      <c r="I113" s="286" t="n">
        <f aca="false">IF(ISNUMBER('P9-004'!$O$85),'P9-004'!$O$85,"")</f>
        <v>46346</v>
      </c>
      <c r="J113" s="287" t="n">
        <f aca="false">IF(OR(H113="",I113="",N113&gt;=1),0,MAX(1,NETWORKDAYS(MAX(H113,ASOF),MAX(I113,ASOF),HOLIDAYS)))</f>
        <v>4</v>
      </c>
      <c r="K113" s="287" t="n">
        <f aca="false">IF(L113=0,0,ROUNDUP(L113/$F$9,0))</f>
        <v>2</v>
      </c>
      <c r="L113" s="285" t="n">
        <f aca="false">IF(J113=0,0,G113*(1-N113)/J113)</f>
        <v>6</v>
      </c>
      <c r="M113" s="283" t="s">
        <v>2288</v>
      </c>
      <c r="N113" s="288" t="n">
        <f aca="false">IFERROR(MIN(1,'P9-004'!$V$85)+0,0)</f>
        <v>0</v>
      </c>
      <c r="O113" s="289" t="n">
        <f aca="false">IF($L113=0,0,$L113*MAX(0,NETWORKDAYS(MAX($H113,ASOF,O$72),MIN(MAX($I113,ASOF),O$72+6),HOLIDAYS)))</f>
        <v>0</v>
      </c>
      <c r="P113" s="289" t="n">
        <f aca="false">IF($L113=0,0,$L113*MAX(0,NETWORKDAYS(MAX($H113,ASOF,P$72),MIN(MAX($I113,ASOF),P$72+6),HOLIDAYS)))</f>
        <v>0</v>
      </c>
      <c r="Q113" s="289" t="n">
        <f aca="false">IF($L113=0,0,$L113*MAX(0,NETWORKDAYS(MAX($H113,ASOF,Q$72),MIN(MAX($I113,ASOF),Q$72+6),HOLIDAYS)))</f>
        <v>24</v>
      </c>
      <c r="R113" s="289" t="n">
        <f aca="false">IF($L113=0,0,$L113*MAX(0,NETWORKDAYS(MAX($H113,ASOF,R$72),MIN(MAX($I113,ASOF),R$72+6),HOLIDAYS)))</f>
        <v>0</v>
      </c>
      <c r="S113" s="289" t="n">
        <f aca="false">IF($L113=0,0,$L113*MAX(0,NETWORKDAYS(MAX($H113,ASOF,S$72),MIN(MAX($I113,ASOF),S$72+6),HOLIDAYS)))</f>
        <v>0</v>
      </c>
      <c r="T113" s="289" t="n">
        <f aca="false">IF($L113=0,0,$L113*MAX(0,NETWORKDAYS(MAX($H113,ASOF,T$72),MIN(MAX($I113,ASOF),T$72+6),HOLIDAYS)))</f>
        <v>0</v>
      </c>
      <c r="U113" s="289" t="n">
        <f aca="false">IF($L113=0,0,$L113*MAX(0,NETWORKDAYS(MAX($H113,ASOF,U$72),MIN(MAX($I113,ASOF),U$72+6),HOLIDAYS)))</f>
        <v>0</v>
      </c>
      <c r="V113" s="289" t="n">
        <f aca="false">IF($L113=0,0,$L113*MAX(0,NETWORKDAYS(MAX($H113,ASOF,V$72),MIN(MAX($I113,ASOF),V$72+6),HOLIDAYS)))</f>
        <v>0</v>
      </c>
      <c r="W113" s="289" t="n">
        <f aca="false">IF($L113=0,0,$L113*MAX(0,NETWORKDAYS(MAX($H113,ASOF,W$72),MIN(MAX($I113,ASOF),W$72+6),HOLIDAYS)))</f>
        <v>0</v>
      </c>
      <c r="X113" s="289" t="n">
        <f aca="false">IF($L113=0,0,$L113*MAX(0,NETWORKDAYS(MAX($H113,ASOF,X$72),MIN(MAX($I113,ASOF),X$72+6),HOLIDAYS)))</f>
        <v>0</v>
      </c>
      <c r="Y113" s="289" t="n">
        <f aca="false">IF($L113=0,0,$L113*MAX(0,NETWORKDAYS(MAX($H113,ASOF,Y$72),MIN(MAX($I113,ASOF),Y$72+6),HOLIDAYS)))</f>
        <v>0</v>
      </c>
      <c r="Z113" s="289" t="n">
        <f aca="false">IF($L113=0,0,$L113*MAX(0,NETWORKDAYS(MAX($H113,ASOF,Z$72),MIN(MAX($I113,ASOF),Z$72+6),HOLIDAYS)))</f>
        <v>0</v>
      </c>
      <c r="AA113" s="289" t="n">
        <f aca="false">IF($L113=0,0,$L113*MAX(0,NETWORKDAYS(MAX($H113,ASOF,AA$72),MIN(MAX($I113,ASOF),AA$72+6),HOLIDAYS)))</f>
        <v>0</v>
      </c>
      <c r="AB113" s="289" t="n">
        <f aca="false">IF($L113=0,0,$L113*MAX(0,NETWORKDAYS(MAX($H113,ASOF,AB$72),MIN(MAX($I113,ASOF),AB$72+6),HOLIDAYS)))</f>
        <v>0</v>
      </c>
      <c r="AC113" s="289" t="n">
        <f aca="false">IF($L113=0,0,$L113*MAX(0,NETWORKDAYS(MAX($H113,ASOF,AC$72),MIN(MAX($I113,ASOF),AC$72+6),HOLIDAYS)))</f>
        <v>0</v>
      </c>
      <c r="AD113" s="289" t="n">
        <f aca="false">IF($L113=0,0,$L113*MAX(0,NETWORKDAYS(MAX($H113,ASOF,AD$72),MIN(MAX($I113,ASOF),AD$72+6),HOLIDAYS)))</f>
        <v>0</v>
      </c>
      <c r="AE113" s="289" t="n">
        <f aca="false">IF($L113=0,0,$L113*MAX(0,NETWORKDAYS(MAX($H113,ASOF,AE$72),MIN(MAX($I113,ASOF),AE$72+6),HOLIDAYS)))</f>
        <v>0</v>
      </c>
      <c r="AF113" s="289" t="n">
        <f aca="false">IF($L113=0,0,$L113*MAX(0,NETWORKDAYS(MAX($H113,ASOF,AF$72),MIN(MAX($I113,ASOF),AF$72+6),HOLIDAYS)))</f>
        <v>0</v>
      </c>
      <c r="AG113" s="289" t="n">
        <f aca="false">IF($L113=0,0,$L113*MAX(0,NETWORKDAYS(MAX($H113,ASOF,AG$72),MIN(MAX($I113,ASOF),AG$72+6),HOLIDAYS)))</f>
        <v>0</v>
      </c>
      <c r="AH113" s="289" t="n">
        <f aca="false">IF($L113=0,0,$L113*MAX(0,NETWORKDAYS(MAX($H113,ASOF,AH$72),MIN(MAX($I113,ASOF),AH$72+6),HOLIDAYS)))</f>
        <v>0</v>
      </c>
      <c r="AI113" s="289" t="n">
        <f aca="false">IF($L113=0,0,$L113*MAX(0,NETWORKDAYS(MAX($H113,ASOF,AI$72),MIN(MAX($I113,ASOF),AI$72+6),HOLIDAYS)))</f>
        <v>0</v>
      </c>
      <c r="AJ113" s="289" t="n">
        <f aca="false">IF($L113=0,0,$L113*MAX(0,NETWORKDAYS(MAX($H113,ASOF,AJ$72),MIN(MAX($I113,ASOF),AJ$72+6),HOLIDAYS)))</f>
        <v>0</v>
      </c>
      <c r="AK113" s="289" t="n">
        <f aca="false">IF($L113=0,0,$L113*MAX(0,NETWORKDAYS(MAX($H113,ASOF,AK$72),MIN(MAX($I113,ASOF),AK$72+6),HOLIDAYS)))</f>
        <v>0</v>
      </c>
      <c r="AL113" s="289" t="n">
        <f aca="false">IF($L113=0,0,$L113*MAX(0,NETWORKDAYS(MAX($H113,ASOF,AL$72),MIN(MAX($I113,ASOF),AL$72+6),HOLIDAYS)))</f>
        <v>0</v>
      </c>
      <c r="AM113" s="289" t="n">
        <f aca="false">IF($L113=0,0,$L113*MAX(0,NETWORKDAYS(MAX($H113,ASOF,AM$72),MIN(MAX($I113,ASOF),AM$72+6),HOLIDAYS)))</f>
        <v>0</v>
      </c>
      <c r="AN113" s="289" t="n">
        <f aca="false">IF($L113=0,0,$L113*MAX(0,NETWORKDAYS(MAX($H113,ASOF,AN$72),MIN(MAX($I113,ASOF),AN$72+6),HOLIDAYS)))</f>
        <v>0</v>
      </c>
      <c r="AO113" s="289" t="n">
        <f aca="false">IF($L113=0,0,$L113*MAX(0,NETWORKDAYS(MAX($H113,ASOF,AO$72),MIN(MAX($I113,ASOF),AO$72+6),HOLIDAYS)))</f>
        <v>0</v>
      </c>
      <c r="AP113" s="289" t="n">
        <f aca="false">IF($L113=0,0,$L113*MAX(0,NETWORKDAYS(MAX($H113,ASOF,AP$72),MIN(MAX($I113,ASOF),AP$72+6),HOLIDAYS)))</f>
        <v>0</v>
      </c>
      <c r="AQ113" s="289" t="n">
        <f aca="false">IF($L113=0,0,$L113*MAX(0,NETWORKDAYS(MAX($H113,ASOF,AQ$72),MIN(MAX($I113,ASOF),AQ$72+6),HOLIDAYS)))</f>
        <v>0</v>
      </c>
      <c r="AR113" s="289" t="n">
        <f aca="false">IF($L113=0,0,$L113*MAX(0,NETWORKDAYS(MAX($H113,ASOF,AR$72),MIN(MAX($I113,ASOF),AR$72+6),HOLIDAYS)))</f>
        <v>0</v>
      </c>
    </row>
    <row r="114" customFormat="false" ht="15" hidden="false" customHeight="false" outlineLevel="1" collapsed="false">
      <c r="A114" s="282" t="s">
        <v>54</v>
      </c>
      <c r="B114" s="283" t="s">
        <v>56</v>
      </c>
      <c r="C114" s="284" t="s">
        <v>2364</v>
      </c>
      <c r="D114" s="284" t="s">
        <v>2284</v>
      </c>
      <c r="E114" s="285" t="n">
        <f aca="false">IFERROR(INDEX(INVS_N,MATCH("P9-004",INVS_ID,0)),2)</f>
        <v>2</v>
      </c>
      <c r="F114" s="290" t="s">
        <v>2365</v>
      </c>
      <c r="G114" s="285" t="n">
        <f aca="false">$F$10*(E114/$G$10+$H$10)</f>
        <v>4.5</v>
      </c>
      <c r="H114" s="286" t="n">
        <f aca="false">IF(ISNUMBER('P9-004'!$N$85),'P9-004'!$N$85,"")</f>
        <v>46343</v>
      </c>
      <c r="I114" s="286" t="n">
        <f aca="false">IF(ISNUMBER('P9-004'!$O$85),'P9-004'!$O$85,"")</f>
        <v>46346</v>
      </c>
      <c r="J114" s="287" t="n">
        <f aca="false">IF(OR(H114="",I114="",N114&gt;=1),0,MAX(1,NETWORKDAYS(MAX(H114,ASOF),MAX(I114,ASOF),HOLIDAYS)))</f>
        <v>4</v>
      </c>
      <c r="K114" s="287" t="n">
        <f aca="false">IF(L114=0,0,ROUNDUP(L114/$F$10,0))</f>
        <v>1</v>
      </c>
      <c r="L114" s="285" t="n">
        <f aca="false">IF(J114=0,0,G114*(1-N114)/J114)</f>
        <v>1.125</v>
      </c>
      <c r="M114" s="283" t="s">
        <v>2293</v>
      </c>
      <c r="N114" s="288" t="n">
        <f aca="false">IFERROR(MIN(1,'P9-004'!$V$85)+0,0)</f>
        <v>0</v>
      </c>
      <c r="O114" s="289" t="n">
        <f aca="false">IF($L114=0,0,$L114*MAX(0,NETWORKDAYS(MAX($H114,ASOF,O$72),MIN(MAX($I114,ASOF),O$72+6),HOLIDAYS)))</f>
        <v>0</v>
      </c>
      <c r="P114" s="289" t="n">
        <f aca="false">IF($L114=0,0,$L114*MAX(0,NETWORKDAYS(MAX($H114,ASOF,P$72),MIN(MAX($I114,ASOF),P$72+6),HOLIDAYS)))</f>
        <v>0</v>
      </c>
      <c r="Q114" s="289" t="n">
        <f aca="false">IF($L114=0,0,$L114*MAX(0,NETWORKDAYS(MAX($H114,ASOF,Q$72),MIN(MAX($I114,ASOF),Q$72+6),HOLIDAYS)))</f>
        <v>4.5</v>
      </c>
      <c r="R114" s="289" t="n">
        <f aca="false">IF($L114=0,0,$L114*MAX(0,NETWORKDAYS(MAX($H114,ASOF,R$72),MIN(MAX($I114,ASOF),R$72+6),HOLIDAYS)))</f>
        <v>0</v>
      </c>
      <c r="S114" s="289" t="n">
        <f aca="false">IF($L114=0,0,$L114*MAX(0,NETWORKDAYS(MAX($H114,ASOF,S$72),MIN(MAX($I114,ASOF),S$72+6),HOLIDAYS)))</f>
        <v>0</v>
      </c>
      <c r="T114" s="289" t="n">
        <f aca="false">IF($L114=0,0,$L114*MAX(0,NETWORKDAYS(MAX($H114,ASOF,T$72),MIN(MAX($I114,ASOF),T$72+6),HOLIDAYS)))</f>
        <v>0</v>
      </c>
      <c r="U114" s="289" t="n">
        <f aca="false">IF($L114=0,0,$L114*MAX(0,NETWORKDAYS(MAX($H114,ASOF,U$72),MIN(MAX($I114,ASOF),U$72+6),HOLIDAYS)))</f>
        <v>0</v>
      </c>
      <c r="V114" s="289" t="n">
        <f aca="false">IF($L114=0,0,$L114*MAX(0,NETWORKDAYS(MAX($H114,ASOF,V$72),MIN(MAX($I114,ASOF),V$72+6),HOLIDAYS)))</f>
        <v>0</v>
      </c>
      <c r="W114" s="289" t="n">
        <f aca="false">IF($L114=0,0,$L114*MAX(0,NETWORKDAYS(MAX($H114,ASOF,W$72),MIN(MAX($I114,ASOF),W$72+6),HOLIDAYS)))</f>
        <v>0</v>
      </c>
      <c r="X114" s="289" t="n">
        <f aca="false">IF($L114=0,0,$L114*MAX(0,NETWORKDAYS(MAX($H114,ASOF,X$72),MIN(MAX($I114,ASOF),X$72+6),HOLIDAYS)))</f>
        <v>0</v>
      </c>
      <c r="Y114" s="289" t="n">
        <f aca="false">IF($L114=0,0,$L114*MAX(0,NETWORKDAYS(MAX($H114,ASOF,Y$72),MIN(MAX($I114,ASOF),Y$72+6),HOLIDAYS)))</f>
        <v>0</v>
      </c>
      <c r="Z114" s="289" t="n">
        <f aca="false">IF($L114=0,0,$L114*MAX(0,NETWORKDAYS(MAX($H114,ASOF,Z$72),MIN(MAX($I114,ASOF),Z$72+6),HOLIDAYS)))</f>
        <v>0</v>
      </c>
      <c r="AA114" s="289" t="n">
        <f aca="false">IF($L114=0,0,$L114*MAX(0,NETWORKDAYS(MAX($H114,ASOF,AA$72),MIN(MAX($I114,ASOF),AA$72+6),HOLIDAYS)))</f>
        <v>0</v>
      </c>
      <c r="AB114" s="289" t="n">
        <f aca="false">IF($L114=0,0,$L114*MAX(0,NETWORKDAYS(MAX($H114,ASOF,AB$72),MIN(MAX($I114,ASOF),AB$72+6),HOLIDAYS)))</f>
        <v>0</v>
      </c>
      <c r="AC114" s="289" t="n">
        <f aca="false">IF($L114=0,0,$L114*MAX(0,NETWORKDAYS(MAX($H114,ASOF,AC$72),MIN(MAX($I114,ASOF),AC$72+6),HOLIDAYS)))</f>
        <v>0</v>
      </c>
      <c r="AD114" s="289" t="n">
        <f aca="false">IF($L114=0,0,$L114*MAX(0,NETWORKDAYS(MAX($H114,ASOF,AD$72),MIN(MAX($I114,ASOF),AD$72+6),HOLIDAYS)))</f>
        <v>0</v>
      </c>
      <c r="AE114" s="289" t="n">
        <f aca="false">IF($L114=0,0,$L114*MAX(0,NETWORKDAYS(MAX($H114,ASOF,AE$72),MIN(MAX($I114,ASOF),AE$72+6),HOLIDAYS)))</f>
        <v>0</v>
      </c>
      <c r="AF114" s="289" t="n">
        <f aca="false">IF($L114=0,0,$L114*MAX(0,NETWORKDAYS(MAX($H114,ASOF,AF$72),MIN(MAX($I114,ASOF),AF$72+6),HOLIDAYS)))</f>
        <v>0</v>
      </c>
      <c r="AG114" s="289" t="n">
        <f aca="false">IF($L114=0,0,$L114*MAX(0,NETWORKDAYS(MAX($H114,ASOF,AG$72),MIN(MAX($I114,ASOF),AG$72+6),HOLIDAYS)))</f>
        <v>0</v>
      </c>
      <c r="AH114" s="289" t="n">
        <f aca="false">IF($L114=0,0,$L114*MAX(0,NETWORKDAYS(MAX($H114,ASOF,AH$72),MIN(MAX($I114,ASOF),AH$72+6),HOLIDAYS)))</f>
        <v>0</v>
      </c>
      <c r="AI114" s="289" t="n">
        <f aca="false">IF($L114=0,0,$L114*MAX(0,NETWORKDAYS(MAX($H114,ASOF,AI$72),MIN(MAX($I114,ASOF),AI$72+6),HOLIDAYS)))</f>
        <v>0</v>
      </c>
      <c r="AJ114" s="289" t="n">
        <f aca="false">IF($L114=0,0,$L114*MAX(0,NETWORKDAYS(MAX($H114,ASOF,AJ$72),MIN(MAX($I114,ASOF),AJ$72+6),HOLIDAYS)))</f>
        <v>0</v>
      </c>
      <c r="AK114" s="289" t="n">
        <f aca="false">IF($L114=0,0,$L114*MAX(0,NETWORKDAYS(MAX($H114,ASOF,AK$72),MIN(MAX($I114,ASOF),AK$72+6),HOLIDAYS)))</f>
        <v>0</v>
      </c>
      <c r="AL114" s="289" t="n">
        <f aca="false">IF($L114=0,0,$L114*MAX(0,NETWORKDAYS(MAX($H114,ASOF,AL$72),MIN(MAX($I114,ASOF),AL$72+6),HOLIDAYS)))</f>
        <v>0</v>
      </c>
      <c r="AM114" s="289" t="n">
        <f aca="false">IF($L114=0,0,$L114*MAX(0,NETWORKDAYS(MAX($H114,ASOF,AM$72),MIN(MAX($I114,ASOF),AM$72+6),HOLIDAYS)))</f>
        <v>0</v>
      </c>
      <c r="AN114" s="289" t="n">
        <f aca="false">IF($L114=0,0,$L114*MAX(0,NETWORKDAYS(MAX($H114,ASOF,AN$72),MIN(MAX($I114,ASOF),AN$72+6),HOLIDAYS)))</f>
        <v>0</v>
      </c>
      <c r="AO114" s="289" t="n">
        <f aca="false">IF($L114=0,0,$L114*MAX(0,NETWORKDAYS(MAX($H114,ASOF,AO$72),MIN(MAX($I114,ASOF),AO$72+6),HOLIDAYS)))</f>
        <v>0</v>
      </c>
      <c r="AP114" s="289" t="n">
        <f aca="false">IF($L114=0,0,$L114*MAX(0,NETWORKDAYS(MAX($H114,ASOF,AP$72),MIN(MAX($I114,ASOF),AP$72+6),HOLIDAYS)))</f>
        <v>0</v>
      </c>
      <c r="AQ114" s="289" t="n">
        <f aca="false">IF($L114=0,0,$L114*MAX(0,NETWORKDAYS(MAX($H114,ASOF,AQ$72),MIN(MAX($I114,ASOF),AQ$72+6),HOLIDAYS)))</f>
        <v>0</v>
      </c>
      <c r="AR114" s="289" t="n">
        <f aca="false">IF($L114=0,0,$L114*MAX(0,NETWORKDAYS(MAX($H114,ASOF,AR$72),MIN(MAX($I114,ASOF),AR$72+6),HOLIDAYS)))</f>
        <v>0</v>
      </c>
    </row>
    <row r="115" customFormat="false" ht="15" hidden="false" customHeight="false" outlineLevel="1" collapsed="false">
      <c r="A115" s="282" t="s">
        <v>54</v>
      </c>
      <c r="B115" s="283" t="s">
        <v>56</v>
      </c>
      <c r="C115" s="284" t="s">
        <v>2366</v>
      </c>
      <c r="D115" s="284" t="s">
        <v>2284</v>
      </c>
      <c r="E115" s="285" t="n">
        <v>1</v>
      </c>
      <c r="F115" s="290" t="s">
        <v>35</v>
      </c>
      <c r="G115" s="285" t="n">
        <f aca="false">$F$11*$H$11</f>
        <v>16</v>
      </c>
      <c r="H115" s="286" t="n">
        <f aca="false">IF(ISNUMBER('P9-004'!$N$90),'P9-004'!$N$90,"")</f>
        <v>46344</v>
      </c>
      <c r="I115" s="286" t="n">
        <f aca="false">IF(ISNUMBER('P9-004'!$O$90),'P9-004'!$O$90,"")</f>
        <v>46347</v>
      </c>
      <c r="J115" s="287" t="n">
        <f aca="false">IF(OR(H115="",I115="",N115&gt;=1),0,MAX(1,NETWORKDAYS(MAX(H115,ASOF),MAX(I115,ASOF),HOLIDAYS)))</f>
        <v>3</v>
      </c>
      <c r="K115" s="287" t="n">
        <f aca="false">IF(L115=0,0,ROUNDUP(L115/$F$11,0))</f>
        <v>2</v>
      </c>
      <c r="L115" s="285" t="n">
        <f aca="false">IF(J115=0,0,G115*(1-N115)/J115)</f>
        <v>5.33333333333333</v>
      </c>
      <c r="M115" s="283" t="s">
        <v>1113</v>
      </c>
      <c r="N115" s="288" t="n">
        <f aca="false">IFERROR(MIN(1,'P9-004'!$V$90)+0,0)</f>
        <v>0</v>
      </c>
      <c r="O115" s="289" t="n">
        <f aca="false">IF($L115=0,0,$L115*MAX(0,NETWORKDAYS(MAX($H115,ASOF,O$72),MIN(MAX($I115,ASOF),O$72+6),HOLIDAYS)))</f>
        <v>0</v>
      </c>
      <c r="P115" s="289" t="n">
        <f aca="false">IF($L115=0,0,$L115*MAX(0,NETWORKDAYS(MAX($H115,ASOF,P$72),MIN(MAX($I115,ASOF),P$72+6),HOLIDAYS)))</f>
        <v>0</v>
      </c>
      <c r="Q115" s="289" t="n">
        <f aca="false">IF($L115=0,0,$L115*MAX(0,NETWORKDAYS(MAX($H115,ASOF,Q$72),MIN(MAX($I115,ASOF),Q$72+6),HOLIDAYS)))</f>
        <v>16</v>
      </c>
      <c r="R115" s="289" t="n">
        <f aca="false">IF($L115=0,0,$L115*MAX(0,NETWORKDAYS(MAX($H115,ASOF,R$72),MIN(MAX($I115,ASOF),R$72+6),HOLIDAYS)))</f>
        <v>0</v>
      </c>
      <c r="S115" s="289" t="n">
        <f aca="false">IF($L115=0,0,$L115*MAX(0,NETWORKDAYS(MAX($H115,ASOF,S$72),MIN(MAX($I115,ASOF),S$72+6),HOLIDAYS)))</f>
        <v>0</v>
      </c>
      <c r="T115" s="289" t="n">
        <f aca="false">IF($L115=0,0,$L115*MAX(0,NETWORKDAYS(MAX($H115,ASOF,T$72),MIN(MAX($I115,ASOF),T$72+6),HOLIDAYS)))</f>
        <v>0</v>
      </c>
      <c r="U115" s="289" t="n">
        <f aca="false">IF($L115=0,0,$L115*MAX(0,NETWORKDAYS(MAX($H115,ASOF,U$72),MIN(MAX($I115,ASOF),U$72+6),HOLIDAYS)))</f>
        <v>0</v>
      </c>
      <c r="V115" s="289" t="n">
        <f aca="false">IF($L115=0,0,$L115*MAX(0,NETWORKDAYS(MAX($H115,ASOF,V$72),MIN(MAX($I115,ASOF),V$72+6),HOLIDAYS)))</f>
        <v>0</v>
      </c>
      <c r="W115" s="289" t="n">
        <f aca="false">IF($L115=0,0,$L115*MAX(0,NETWORKDAYS(MAX($H115,ASOF,W$72),MIN(MAX($I115,ASOF),W$72+6),HOLIDAYS)))</f>
        <v>0</v>
      </c>
      <c r="X115" s="289" t="n">
        <f aca="false">IF($L115=0,0,$L115*MAX(0,NETWORKDAYS(MAX($H115,ASOF,X$72),MIN(MAX($I115,ASOF),X$72+6),HOLIDAYS)))</f>
        <v>0</v>
      </c>
      <c r="Y115" s="289" t="n">
        <f aca="false">IF($L115=0,0,$L115*MAX(0,NETWORKDAYS(MAX($H115,ASOF,Y$72),MIN(MAX($I115,ASOF),Y$72+6),HOLIDAYS)))</f>
        <v>0</v>
      </c>
      <c r="Z115" s="289" t="n">
        <f aca="false">IF($L115=0,0,$L115*MAX(0,NETWORKDAYS(MAX($H115,ASOF,Z$72),MIN(MAX($I115,ASOF),Z$72+6),HOLIDAYS)))</f>
        <v>0</v>
      </c>
      <c r="AA115" s="289" t="n">
        <f aca="false">IF($L115=0,0,$L115*MAX(0,NETWORKDAYS(MAX($H115,ASOF,AA$72),MIN(MAX($I115,ASOF),AA$72+6),HOLIDAYS)))</f>
        <v>0</v>
      </c>
      <c r="AB115" s="289" t="n">
        <f aca="false">IF($L115=0,0,$L115*MAX(0,NETWORKDAYS(MAX($H115,ASOF,AB$72),MIN(MAX($I115,ASOF),AB$72+6),HOLIDAYS)))</f>
        <v>0</v>
      </c>
      <c r="AC115" s="289" t="n">
        <f aca="false">IF($L115=0,0,$L115*MAX(0,NETWORKDAYS(MAX($H115,ASOF,AC$72),MIN(MAX($I115,ASOF),AC$72+6),HOLIDAYS)))</f>
        <v>0</v>
      </c>
      <c r="AD115" s="289" t="n">
        <f aca="false">IF($L115=0,0,$L115*MAX(0,NETWORKDAYS(MAX($H115,ASOF,AD$72),MIN(MAX($I115,ASOF),AD$72+6),HOLIDAYS)))</f>
        <v>0</v>
      </c>
      <c r="AE115" s="289" t="n">
        <f aca="false">IF($L115=0,0,$L115*MAX(0,NETWORKDAYS(MAX($H115,ASOF,AE$72),MIN(MAX($I115,ASOF),AE$72+6),HOLIDAYS)))</f>
        <v>0</v>
      </c>
      <c r="AF115" s="289" t="n">
        <f aca="false">IF($L115=0,0,$L115*MAX(0,NETWORKDAYS(MAX($H115,ASOF,AF$72),MIN(MAX($I115,ASOF),AF$72+6),HOLIDAYS)))</f>
        <v>0</v>
      </c>
      <c r="AG115" s="289" t="n">
        <f aca="false">IF($L115=0,0,$L115*MAX(0,NETWORKDAYS(MAX($H115,ASOF,AG$72),MIN(MAX($I115,ASOF),AG$72+6),HOLIDAYS)))</f>
        <v>0</v>
      </c>
      <c r="AH115" s="289" t="n">
        <f aca="false">IF($L115=0,0,$L115*MAX(0,NETWORKDAYS(MAX($H115,ASOF,AH$72),MIN(MAX($I115,ASOF),AH$72+6),HOLIDAYS)))</f>
        <v>0</v>
      </c>
      <c r="AI115" s="289" t="n">
        <f aca="false">IF($L115=0,0,$L115*MAX(0,NETWORKDAYS(MAX($H115,ASOF,AI$72),MIN(MAX($I115,ASOF),AI$72+6),HOLIDAYS)))</f>
        <v>0</v>
      </c>
      <c r="AJ115" s="289" t="n">
        <f aca="false">IF($L115=0,0,$L115*MAX(0,NETWORKDAYS(MAX($H115,ASOF,AJ$72),MIN(MAX($I115,ASOF),AJ$72+6),HOLIDAYS)))</f>
        <v>0</v>
      </c>
      <c r="AK115" s="289" t="n">
        <f aca="false">IF($L115=0,0,$L115*MAX(0,NETWORKDAYS(MAX($H115,ASOF,AK$72),MIN(MAX($I115,ASOF),AK$72+6),HOLIDAYS)))</f>
        <v>0</v>
      </c>
      <c r="AL115" s="289" t="n">
        <f aca="false">IF($L115=0,0,$L115*MAX(0,NETWORKDAYS(MAX($H115,ASOF,AL$72),MIN(MAX($I115,ASOF),AL$72+6),HOLIDAYS)))</f>
        <v>0</v>
      </c>
      <c r="AM115" s="289" t="n">
        <f aca="false">IF($L115=0,0,$L115*MAX(0,NETWORKDAYS(MAX($H115,ASOF,AM$72),MIN(MAX($I115,ASOF),AM$72+6),HOLIDAYS)))</f>
        <v>0</v>
      </c>
      <c r="AN115" s="289" t="n">
        <f aca="false">IF($L115=0,0,$L115*MAX(0,NETWORKDAYS(MAX($H115,ASOF,AN$72),MIN(MAX($I115,ASOF),AN$72+6),HOLIDAYS)))</f>
        <v>0</v>
      </c>
      <c r="AO115" s="289" t="n">
        <f aca="false">IF($L115=0,0,$L115*MAX(0,NETWORKDAYS(MAX($H115,ASOF,AO$72),MIN(MAX($I115,ASOF),AO$72+6),HOLIDAYS)))</f>
        <v>0</v>
      </c>
      <c r="AP115" s="289" t="n">
        <f aca="false">IF($L115=0,0,$L115*MAX(0,NETWORKDAYS(MAX($H115,ASOF,AP$72),MIN(MAX($I115,ASOF),AP$72+6),HOLIDAYS)))</f>
        <v>0</v>
      </c>
      <c r="AQ115" s="289" t="n">
        <f aca="false">IF($L115=0,0,$L115*MAX(0,NETWORKDAYS(MAX($H115,ASOF,AQ$72),MIN(MAX($I115,ASOF),AQ$72+6),HOLIDAYS)))</f>
        <v>0</v>
      </c>
      <c r="AR115" s="289" t="n">
        <f aca="false">IF($L115=0,0,$L115*MAX(0,NETWORKDAYS(MAX($H115,ASOF,AR$72),MIN(MAX($I115,ASOF),AR$72+6),HOLIDAYS)))</f>
        <v>0</v>
      </c>
    </row>
    <row r="116" customFormat="false" ht="15" hidden="false" customHeight="false" outlineLevel="1" collapsed="false">
      <c r="A116" s="282" t="s">
        <v>54</v>
      </c>
      <c r="B116" s="283" t="s">
        <v>56</v>
      </c>
      <c r="C116" s="284" t="s">
        <v>2367</v>
      </c>
      <c r="D116" s="284" t="s">
        <v>2284</v>
      </c>
      <c r="E116" s="285" t="n">
        <v>1</v>
      </c>
      <c r="F116" s="290" t="s">
        <v>35</v>
      </c>
      <c r="G116" s="285" t="n">
        <f aca="false">$F$12*$H$12</f>
        <v>4</v>
      </c>
      <c r="H116" s="286" t="n">
        <f aca="false">IF(ISNUMBER('P9-004'!$N$96),'P9-004'!$N$96,"")</f>
        <v>46345</v>
      </c>
      <c r="I116" s="286" t="n">
        <f aca="false">IF(ISNUMBER('P9-004'!$O$96),'P9-004'!$O$96,"")</f>
        <v>46347</v>
      </c>
      <c r="J116" s="287" t="n">
        <f aca="false">IF(OR(H116="",I116="",N116&gt;=1),0,MAX(1,NETWORKDAYS(MAX(H116,ASOF),MAX(I116,ASOF),HOLIDAYS)))</f>
        <v>2</v>
      </c>
      <c r="K116" s="287" t="n">
        <f aca="false">IF(L116=0,0,ROUNDUP(L116/$F$12,0))</f>
        <v>1</v>
      </c>
      <c r="L116" s="285" t="n">
        <f aca="false">IF(J116=0,0,G116*(1-N116)/J116)</f>
        <v>2</v>
      </c>
      <c r="M116" s="283" t="s">
        <v>1147</v>
      </c>
      <c r="N116" s="288" t="n">
        <f aca="false">IFERROR(MIN(1,'P9-004'!$V$96)+0,0)</f>
        <v>0</v>
      </c>
      <c r="O116" s="289" t="n">
        <f aca="false">IF($L116=0,0,$L116*MAX(0,NETWORKDAYS(MAX($H116,ASOF,O$72),MIN(MAX($I116,ASOF),O$72+6),HOLIDAYS)))</f>
        <v>0</v>
      </c>
      <c r="P116" s="289" t="n">
        <f aca="false">IF($L116=0,0,$L116*MAX(0,NETWORKDAYS(MAX($H116,ASOF,P$72),MIN(MAX($I116,ASOF),P$72+6),HOLIDAYS)))</f>
        <v>0</v>
      </c>
      <c r="Q116" s="289" t="n">
        <f aca="false">IF($L116=0,0,$L116*MAX(0,NETWORKDAYS(MAX($H116,ASOF,Q$72),MIN(MAX($I116,ASOF),Q$72+6),HOLIDAYS)))</f>
        <v>4</v>
      </c>
      <c r="R116" s="289" t="n">
        <f aca="false">IF($L116=0,0,$L116*MAX(0,NETWORKDAYS(MAX($H116,ASOF,R$72),MIN(MAX($I116,ASOF),R$72+6),HOLIDAYS)))</f>
        <v>0</v>
      </c>
      <c r="S116" s="289" t="n">
        <f aca="false">IF($L116=0,0,$L116*MAX(0,NETWORKDAYS(MAX($H116,ASOF,S$72),MIN(MAX($I116,ASOF),S$72+6),HOLIDAYS)))</f>
        <v>0</v>
      </c>
      <c r="T116" s="289" t="n">
        <f aca="false">IF($L116=0,0,$L116*MAX(0,NETWORKDAYS(MAX($H116,ASOF,T$72),MIN(MAX($I116,ASOF),T$72+6),HOLIDAYS)))</f>
        <v>0</v>
      </c>
      <c r="U116" s="289" t="n">
        <f aca="false">IF($L116=0,0,$L116*MAX(0,NETWORKDAYS(MAX($H116,ASOF,U$72),MIN(MAX($I116,ASOF),U$72+6),HOLIDAYS)))</f>
        <v>0</v>
      </c>
      <c r="V116" s="289" t="n">
        <f aca="false">IF($L116=0,0,$L116*MAX(0,NETWORKDAYS(MAX($H116,ASOF,V$72),MIN(MAX($I116,ASOF),V$72+6),HOLIDAYS)))</f>
        <v>0</v>
      </c>
      <c r="W116" s="289" t="n">
        <f aca="false">IF($L116=0,0,$L116*MAX(0,NETWORKDAYS(MAX($H116,ASOF,W$72),MIN(MAX($I116,ASOF),W$72+6),HOLIDAYS)))</f>
        <v>0</v>
      </c>
      <c r="X116" s="289" t="n">
        <f aca="false">IF($L116=0,0,$L116*MAX(0,NETWORKDAYS(MAX($H116,ASOF,X$72),MIN(MAX($I116,ASOF),X$72+6),HOLIDAYS)))</f>
        <v>0</v>
      </c>
      <c r="Y116" s="289" t="n">
        <f aca="false">IF($L116=0,0,$L116*MAX(0,NETWORKDAYS(MAX($H116,ASOF,Y$72),MIN(MAX($I116,ASOF),Y$72+6),HOLIDAYS)))</f>
        <v>0</v>
      </c>
      <c r="Z116" s="289" t="n">
        <f aca="false">IF($L116=0,0,$L116*MAX(0,NETWORKDAYS(MAX($H116,ASOF,Z$72),MIN(MAX($I116,ASOF),Z$72+6),HOLIDAYS)))</f>
        <v>0</v>
      </c>
      <c r="AA116" s="289" t="n">
        <f aca="false">IF($L116=0,0,$L116*MAX(0,NETWORKDAYS(MAX($H116,ASOF,AA$72),MIN(MAX($I116,ASOF),AA$72+6),HOLIDAYS)))</f>
        <v>0</v>
      </c>
      <c r="AB116" s="289" t="n">
        <f aca="false">IF($L116=0,0,$L116*MAX(0,NETWORKDAYS(MAX($H116,ASOF,AB$72),MIN(MAX($I116,ASOF),AB$72+6),HOLIDAYS)))</f>
        <v>0</v>
      </c>
      <c r="AC116" s="289" t="n">
        <f aca="false">IF($L116=0,0,$L116*MAX(0,NETWORKDAYS(MAX($H116,ASOF,AC$72),MIN(MAX($I116,ASOF),AC$72+6),HOLIDAYS)))</f>
        <v>0</v>
      </c>
      <c r="AD116" s="289" t="n">
        <f aca="false">IF($L116=0,0,$L116*MAX(0,NETWORKDAYS(MAX($H116,ASOF,AD$72),MIN(MAX($I116,ASOF),AD$72+6),HOLIDAYS)))</f>
        <v>0</v>
      </c>
      <c r="AE116" s="289" t="n">
        <f aca="false">IF($L116=0,0,$L116*MAX(0,NETWORKDAYS(MAX($H116,ASOF,AE$72),MIN(MAX($I116,ASOF),AE$72+6),HOLIDAYS)))</f>
        <v>0</v>
      </c>
      <c r="AF116" s="289" t="n">
        <f aca="false">IF($L116=0,0,$L116*MAX(0,NETWORKDAYS(MAX($H116,ASOF,AF$72),MIN(MAX($I116,ASOF),AF$72+6),HOLIDAYS)))</f>
        <v>0</v>
      </c>
      <c r="AG116" s="289" t="n">
        <f aca="false">IF($L116=0,0,$L116*MAX(0,NETWORKDAYS(MAX($H116,ASOF,AG$72),MIN(MAX($I116,ASOF),AG$72+6),HOLIDAYS)))</f>
        <v>0</v>
      </c>
      <c r="AH116" s="289" t="n">
        <f aca="false">IF($L116=0,0,$L116*MAX(0,NETWORKDAYS(MAX($H116,ASOF,AH$72),MIN(MAX($I116,ASOF),AH$72+6),HOLIDAYS)))</f>
        <v>0</v>
      </c>
      <c r="AI116" s="289" t="n">
        <f aca="false">IF($L116=0,0,$L116*MAX(0,NETWORKDAYS(MAX($H116,ASOF,AI$72),MIN(MAX($I116,ASOF),AI$72+6),HOLIDAYS)))</f>
        <v>0</v>
      </c>
      <c r="AJ116" s="289" t="n">
        <f aca="false">IF($L116=0,0,$L116*MAX(0,NETWORKDAYS(MAX($H116,ASOF,AJ$72),MIN(MAX($I116,ASOF),AJ$72+6),HOLIDAYS)))</f>
        <v>0</v>
      </c>
      <c r="AK116" s="289" t="n">
        <f aca="false">IF($L116=0,0,$L116*MAX(0,NETWORKDAYS(MAX($H116,ASOF,AK$72),MIN(MAX($I116,ASOF),AK$72+6),HOLIDAYS)))</f>
        <v>0</v>
      </c>
      <c r="AL116" s="289" t="n">
        <f aca="false">IF($L116=0,0,$L116*MAX(0,NETWORKDAYS(MAX($H116,ASOF,AL$72),MIN(MAX($I116,ASOF),AL$72+6),HOLIDAYS)))</f>
        <v>0</v>
      </c>
      <c r="AM116" s="289" t="n">
        <f aca="false">IF($L116=0,0,$L116*MAX(0,NETWORKDAYS(MAX($H116,ASOF,AM$72),MIN(MAX($I116,ASOF),AM$72+6),HOLIDAYS)))</f>
        <v>0</v>
      </c>
      <c r="AN116" s="289" t="n">
        <f aca="false">IF($L116=0,0,$L116*MAX(0,NETWORKDAYS(MAX($H116,ASOF,AN$72),MIN(MAX($I116,ASOF),AN$72+6),HOLIDAYS)))</f>
        <v>0</v>
      </c>
      <c r="AO116" s="289" t="n">
        <f aca="false">IF($L116=0,0,$L116*MAX(0,NETWORKDAYS(MAX($H116,ASOF,AO$72),MIN(MAX($I116,ASOF),AO$72+6),HOLIDAYS)))</f>
        <v>0</v>
      </c>
      <c r="AP116" s="289" t="n">
        <f aca="false">IF($L116=0,0,$L116*MAX(0,NETWORKDAYS(MAX($H116,ASOF,AP$72),MIN(MAX($I116,ASOF),AP$72+6),HOLIDAYS)))</f>
        <v>0</v>
      </c>
      <c r="AQ116" s="289" t="n">
        <f aca="false">IF($L116=0,0,$L116*MAX(0,NETWORKDAYS(MAX($H116,ASOF,AQ$72),MIN(MAX($I116,ASOF),AQ$72+6),HOLIDAYS)))</f>
        <v>0</v>
      </c>
      <c r="AR116" s="289" t="n">
        <f aca="false">IF($L116=0,0,$L116*MAX(0,NETWORKDAYS(MAX($H116,ASOF,AR$72),MIN(MAX($I116,ASOF),AR$72+6),HOLIDAYS)))</f>
        <v>0</v>
      </c>
    </row>
    <row r="117" customFormat="false" ht="15" hidden="false" customHeight="false" outlineLevel="1" collapsed="false">
      <c r="A117" s="282" t="s">
        <v>54</v>
      </c>
      <c r="B117" s="283" t="s">
        <v>56</v>
      </c>
      <c r="C117" s="284" t="s">
        <v>2371</v>
      </c>
      <c r="D117" s="284" t="s">
        <v>2284</v>
      </c>
      <c r="E117" s="285" t="n">
        <v>1</v>
      </c>
      <c r="F117" s="290" t="s">
        <v>35</v>
      </c>
      <c r="G117" s="285" t="n">
        <f aca="false">$F$14*$H$14</f>
        <v>3</v>
      </c>
      <c r="H117" s="286" t="n">
        <f aca="false">IF(ISNUMBER('P9-004'!$N$100),'P9-004'!$N$100,"")</f>
        <v>46346</v>
      </c>
      <c r="I117" s="286" t="n">
        <f aca="false">IF(ISNUMBER('P9-004'!$O$100),'P9-004'!$O$100,"")</f>
        <v>46348</v>
      </c>
      <c r="J117" s="287" t="n">
        <f aca="false">IF(OR(H117="",I117="",N117&gt;=1),0,MAX(1,NETWORKDAYS(MAX(H117,ASOF),MAX(I117,ASOF),HOLIDAYS)))</f>
        <v>1</v>
      </c>
      <c r="K117" s="287" t="n">
        <f aca="false">IF(L117=0,0,ROUNDUP(L117/$F$14,0))</f>
        <v>2</v>
      </c>
      <c r="L117" s="285" t="n">
        <f aca="false">IF(J117=0,0,G117*(1-N117)/J117)</f>
        <v>3</v>
      </c>
      <c r="M117" s="283" t="s">
        <v>2304</v>
      </c>
      <c r="N117" s="288" t="n">
        <f aca="false">IFERROR(MIN(1,'P9-004'!$V$100)+0,0)</f>
        <v>0</v>
      </c>
      <c r="O117" s="289" t="n">
        <f aca="false">IF($L117=0,0,$L117*MAX(0,NETWORKDAYS(MAX($H117,ASOF,O$72),MIN(MAX($I117,ASOF),O$72+6),HOLIDAYS)))</f>
        <v>0</v>
      </c>
      <c r="P117" s="289" t="n">
        <f aca="false">IF($L117=0,0,$L117*MAX(0,NETWORKDAYS(MAX($H117,ASOF,P$72),MIN(MAX($I117,ASOF),P$72+6),HOLIDAYS)))</f>
        <v>0</v>
      </c>
      <c r="Q117" s="289" t="n">
        <f aca="false">IF($L117=0,0,$L117*MAX(0,NETWORKDAYS(MAX($H117,ASOF,Q$72),MIN(MAX($I117,ASOF),Q$72+6),HOLIDAYS)))</f>
        <v>3</v>
      </c>
      <c r="R117" s="289" t="n">
        <f aca="false">IF($L117=0,0,$L117*MAX(0,NETWORKDAYS(MAX($H117,ASOF,R$72),MIN(MAX($I117,ASOF),R$72+6),HOLIDAYS)))</f>
        <v>0</v>
      </c>
      <c r="S117" s="289" t="n">
        <f aca="false">IF($L117=0,0,$L117*MAX(0,NETWORKDAYS(MAX($H117,ASOF,S$72),MIN(MAX($I117,ASOF),S$72+6),HOLIDAYS)))</f>
        <v>0</v>
      </c>
      <c r="T117" s="289" t="n">
        <f aca="false">IF($L117=0,0,$L117*MAX(0,NETWORKDAYS(MAX($H117,ASOF,T$72),MIN(MAX($I117,ASOF),T$72+6),HOLIDAYS)))</f>
        <v>0</v>
      </c>
      <c r="U117" s="289" t="n">
        <f aca="false">IF($L117=0,0,$L117*MAX(0,NETWORKDAYS(MAX($H117,ASOF,U$72),MIN(MAX($I117,ASOF),U$72+6),HOLIDAYS)))</f>
        <v>0</v>
      </c>
      <c r="V117" s="289" t="n">
        <f aca="false">IF($L117=0,0,$L117*MAX(0,NETWORKDAYS(MAX($H117,ASOF,V$72),MIN(MAX($I117,ASOF),V$72+6),HOLIDAYS)))</f>
        <v>0</v>
      </c>
      <c r="W117" s="289" t="n">
        <f aca="false">IF($L117=0,0,$L117*MAX(0,NETWORKDAYS(MAX($H117,ASOF,W$72),MIN(MAX($I117,ASOF),W$72+6),HOLIDAYS)))</f>
        <v>0</v>
      </c>
      <c r="X117" s="289" t="n">
        <f aca="false">IF($L117=0,0,$L117*MAX(0,NETWORKDAYS(MAX($H117,ASOF,X$72),MIN(MAX($I117,ASOF),X$72+6),HOLIDAYS)))</f>
        <v>0</v>
      </c>
      <c r="Y117" s="289" t="n">
        <f aca="false">IF($L117=0,0,$L117*MAX(0,NETWORKDAYS(MAX($H117,ASOF,Y$72),MIN(MAX($I117,ASOF),Y$72+6),HOLIDAYS)))</f>
        <v>0</v>
      </c>
      <c r="Z117" s="289" t="n">
        <f aca="false">IF($L117=0,0,$L117*MAX(0,NETWORKDAYS(MAX($H117,ASOF,Z$72),MIN(MAX($I117,ASOF),Z$72+6),HOLIDAYS)))</f>
        <v>0</v>
      </c>
      <c r="AA117" s="289" t="n">
        <f aca="false">IF($L117=0,0,$L117*MAX(0,NETWORKDAYS(MAX($H117,ASOF,AA$72),MIN(MAX($I117,ASOF),AA$72+6),HOLIDAYS)))</f>
        <v>0</v>
      </c>
      <c r="AB117" s="289" t="n">
        <f aca="false">IF($L117=0,0,$L117*MAX(0,NETWORKDAYS(MAX($H117,ASOF,AB$72),MIN(MAX($I117,ASOF),AB$72+6),HOLIDAYS)))</f>
        <v>0</v>
      </c>
      <c r="AC117" s="289" t="n">
        <f aca="false">IF($L117=0,0,$L117*MAX(0,NETWORKDAYS(MAX($H117,ASOF,AC$72),MIN(MAX($I117,ASOF),AC$72+6),HOLIDAYS)))</f>
        <v>0</v>
      </c>
      <c r="AD117" s="289" t="n">
        <f aca="false">IF($L117=0,0,$L117*MAX(0,NETWORKDAYS(MAX($H117,ASOF,AD$72),MIN(MAX($I117,ASOF),AD$72+6),HOLIDAYS)))</f>
        <v>0</v>
      </c>
      <c r="AE117" s="289" t="n">
        <f aca="false">IF($L117=0,0,$L117*MAX(0,NETWORKDAYS(MAX($H117,ASOF,AE$72),MIN(MAX($I117,ASOF),AE$72+6),HOLIDAYS)))</f>
        <v>0</v>
      </c>
      <c r="AF117" s="289" t="n">
        <f aca="false">IF($L117=0,0,$L117*MAX(0,NETWORKDAYS(MAX($H117,ASOF,AF$72),MIN(MAX($I117,ASOF),AF$72+6),HOLIDAYS)))</f>
        <v>0</v>
      </c>
      <c r="AG117" s="289" t="n">
        <f aca="false">IF($L117=0,0,$L117*MAX(0,NETWORKDAYS(MAX($H117,ASOF,AG$72),MIN(MAX($I117,ASOF),AG$72+6),HOLIDAYS)))</f>
        <v>0</v>
      </c>
      <c r="AH117" s="289" t="n">
        <f aca="false">IF($L117=0,0,$L117*MAX(0,NETWORKDAYS(MAX($H117,ASOF,AH$72),MIN(MAX($I117,ASOF),AH$72+6),HOLIDAYS)))</f>
        <v>0</v>
      </c>
      <c r="AI117" s="289" t="n">
        <f aca="false">IF($L117=0,0,$L117*MAX(0,NETWORKDAYS(MAX($H117,ASOF,AI$72),MIN(MAX($I117,ASOF),AI$72+6),HOLIDAYS)))</f>
        <v>0</v>
      </c>
      <c r="AJ117" s="289" t="n">
        <f aca="false">IF($L117=0,0,$L117*MAX(0,NETWORKDAYS(MAX($H117,ASOF,AJ$72),MIN(MAX($I117,ASOF),AJ$72+6),HOLIDAYS)))</f>
        <v>0</v>
      </c>
      <c r="AK117" s="289" t="n">
        <f aca="false">IF($L117=0,0,$L117*MAX(0,NETWORKDAYS(MAX($H117,ASOF,AK$72),MIN(MAX($I117,ASOF),AK$72+6),HOLIDAYS)))</f>
        <v>0</v>
      </c>
      <c r="AL117" s="289" t="n">
        <f aca="false">IF($L117=0,0,$L117*MAX(0,NETWORKDAYS(MAX($H117,ASOF,AL$72),MIN(MAX($I117,ASOF),AL$72+6),HOLIDAYS)))</f>
        <v>0</v>
      </c>
      <c r="AM117" s="289" t="n">
        <f aca="false">IF($L117=0,0,$L117*MAX(0,NETWORKDAYS(MAX($H117,ASOF,AM$72),MIN(MAX($I117,ASOF),AM$72+6),HOLIDAYS)))</f>
        <v>0</v>
      </c>
      <c r="AN117" s="289" t="n">
        <f aca="false">IF($L117=0,0,$L117*MAX(0,NETWORKDAYS(MAX($H117,ASOF,AN$72),MIN(MAX($I117,ASOF),AN$72+6),HOLIDAYS)))</f>
        <v>0</v>
      </c>
      <c r="AO117" s="289" t="n">
        <f aca="false">IF($L117=0,0,$L117*MAX(0,NETWORKDAYS(MAX($H117,ASOF,AO$72),MIN(MAX($I117,ASOF),AO$72+6),HOLIDAYS)))</f>
        <v>0</v>
      </c>
      <c r="AP117" s="289" t="n">
        <f aca="false">IF($L117=0,0,$L117*MAX(0,NETWORKDAYS(MAX($H117,ASOF,AP$72),MIN(MAX($I117,ASOF),AP$72+6),HOLIDAYS)))</f>
        <v>0</v>
      </c>
      <c r="AQ117" s="289" t="n">
        <f aca="false">IF($L117=0,0,$L117*MAX(0,NETWORKDAYS(MAX($H117,ASOF,AQ$72),MIN(MAX($I117,ASOF),AQ$72+6),HOLIDAYS)))</f>
        <v>0</v>
      </c>
      <c r="AR117" s="289" t="n">
        <f aca="false">IF($L117=0,0,$L117*MAX(0,NETWORKDAYS(MAX($H117,ASOF,AR$72),MIN(MAX($I117,ASOF),AR$72+6),HOLIDAYS)))</f>
        <v>0</v>
      </c>
    </row>
    <row r="118" customFormat="false" ht="15" hidden="false" customHeight="false" outlineLevel="1" collapsed="false">
      <c r="A118" s="282" t="s">
        <v>54</v>
      </c>
      <c r="B118" s="283" t="s">
        <v>56</v>
      </c>
      <c r="C118" s="282" t="s">
        <v>1198</v>
      </c>
      <c r="D118" s="284" t="s">
        <v>2284</v>
      </c>
      <c r="E118" s="285" t="n">
        <v>1</v>
      </c>
      <c r="F118" s="290" t="s">
        <v>35</v>
      </c>
      <c r="G118" s="285" t="n">
        <f aca="false">$F$15*$H$15</f>
        <v>2</v>
      </c>
      <c r="H118" s="286" t="n">
        <f aca="false">IF(ISNUMBER('P9-004'!$N$107),'P9-004'!$N$107,"")</f>
        <v>46347</v>
      </c>
      <c r="I118" s="286" t="n">
        <f aca="false">IF(ISNUMBER('P9-004'!$O$107),'P9-004'!$O$107,"")</f>
        <v>46348</v>
      </c>
      <c r="J118" s="287" t="n">
        <f aca="false">IF(OR(H118="",I118="",N118&gt;=1),0,MAX(1,NETWORKDAYS(MAX(H118,ASOF),MAX(I118,ASOF),HOLIDAYS)))</f>
        <v>1</v>
      </c>
      <c r="K118" s="287" t="n">
        <f aca="false">IF(L118=0,0,ROUNDUP(L118/$F$15,0))</f>
        <v>1</v>
      </c>
      <c r="L118" s="285" t="n">
        <f aca="false">IF(J118=0,0,G118*(1-N118)/J118)</f>
        <v>2</v>
      </c>
      <c r="M118" s="283" t="s">
        <v>1192</v>
      </c>
      <c r="N118" s="288" t="n">
        <f aca="false">IFERROR(MIN(1,'P9-004'!$V$107)+0,0)</f>
        <v>0</v>
      </c>
      <c r="O118" s="289" t="n">
        <f aca="false">IF($L118=0,0,$L118*MAX(0,NETWORKDAYS(MAX($H118,ASOF,O$72),MIN(MAX($I118,ASOF),O$72+6),HOLIDAYS)))</f>
        <v>0</v>
      </c>
      <c r="P118" s="289" t="n">
        <f aca="false">IF($L118=0,0,$L118*MAX(0,NETWORKDAYS(MAX($H118,ASOF,P$72),MIN(MAX($I118,ASOF),P$72+6),HOLIDAYS)))</f>
        <v>0</v>
      </c>
      <c r="Q118" s="289" t="n">
        <f aca="false">IF($L118=0,0,$L118*MAX(0,NETWORKDAYS(MAX($H118,ASOF,Q$72),MIN(MAX($I118,ASOF),Q$72+6),HOLIDAYS)))</f>
        <v>0</v>
      </c>
      <c r="R118" s="289" t="n">
        <f aca="false">IF($L118=0,0,$L118*MAX(0,NETWORKDAYS(MAX($H118,ASOF,R$72),MIN(MAX($I118,ASOF),R$72+6),HOLIDAYS)))</f>
        <v>0</v>
      </c>
      <c r="S118" s="289" t="n">
        <f aca="false">IF($L118=0,0,$L118*MAX(0,NETWORKDAYS(MAX($H118,ASOF,S$72),MIN(MAX($I118,ASOF),S$72+6),HOLIDAYS)))</f>
        <v>0</v>
      </c>
      <c r="T118" s="289" t="n">
        <f aca="false">IF($L118=0,0,$L118*MAX(0,NETWORKDAYS(MAX($H118,ASOF,T$72),MIN(MAX($I118,ASOF),T$72+6),HOLIDAYS)))</f>
        <v>0</v>
      </c>
      <c r="U118" s="289" t="n">
        <f aca="false">IF($L118=0,0,$L118*MAX(0,NETWORKDAYS(MAX($H118,ASOF,U$72),MIN(MAX($I118,ASOF),U$72+6),HOLIDAYS)))</f>
        <v>0</v>
      </c>
      <c r="V118" s="289" t="n">
        <f aca="false">IF($L118=0,0,$L118*MAX(0,NETWORKDAYS(MAX($H118,ASOF,V$72),MIN(MAX($I118,ASOF),V$72+6),HOLIDAYS)))</f>
        <v>0</v>
      </c>
      <c r="W118" s="289" t="n">
        <f aca="false">IF($L118=0,0,$L118*MAX(0,NETWORKDAYS(MAX($H118,ASOF,W$72),MIN(MAX($I118,ASOF),W$72+6),HOLIDAYS)))</f>
        <v>0</v>
      </c>
      <c r="X118" s="289" t="n">
        <f aca="false">IF($L118=0,0,$L118*MAX(0,NETWORKDAYS(MAX($H118,ASOF,X$72),MIN(MAX($I118,ASOF),X$72+6),HOLIDAYS)))</f>
        <v>0</v>
      </c>
      <c r="Y118" s="289" t="n">
        <f aca="false">IF($L118=0,0,$L118*MAX(0,NETWORKDAYS(MAX($H118,ASOF,Y$72),MIN(MAX($I118,ASOF),Y$72+6),HOLIDAYS)))</f>
        <v>0</v>
      </c>
      <c r="Z118" s="289" t="n">
        <f aca="false">IF($L118=0,0,$L118*MAX(0,NETWORKDAYS(MAX($H118,ASOF,Z$72),MIN(MAX($I118,ASOF),Z$72+6),HOLIDAYS)))</f>
        <v>0</v>
      </c>
      <c r="AA118" s="289" t="n">
        <f aca="false">IF($L118=0,0,$L118*MAX(0,NETWORKDAYS(MAX($H118,ASOF,AA$72),MIN(MAX($I118,ASOF),AA$72+6),HOLIDAYS)))</f>
        <v>0</v>
      </c>
      <c r="AB118" s="289" t="n">
        <f aca="false">IF($L118=0,0,$L118*MAX(0,NETWORKDAYS(MAX($H118,ASOF,AB$72),MIN(MAX($I118,ASOF),AB$72+6),HOLIDAYS)))</f>
        <v>0</v>
      </c>
      <c r="AC118" s="289" t="n">
        <f aca="false">IF($L118=0,0,$L118*MAX(0,NETWORKDAYS(MAX($H118,ASOF,AC$72),MIN(MAX($I118,ASOF),AC$72+6),HOLIDAYS)))</f>
        <v>0</v>
      </c>
      <c r="AD118" s="289" t="n">
        <f aca="false">IF($L118=0,0,$L118*MAX(0,NETWORKDAYS(MAX($H118,ASOF,AD$72),MIN(MAX($I118,ASOF),AD$72+6),HOLIDAYS)))</f>
        <v>0</v>
      </c>
      <c r="AE118" s="289" t="n">
        <f aca="false">IF($L118=0,0,$L118*MAX(0,NETWORKDAYS(MAX($H118,ASOF,AE$72),MIN(MAX($I118,ASOF),AE$72+6),HOLIDAYS)))</f>
        <v>0</v>
      </c>
      <c r="AF118" s="289" t="n">
        <f aca="false">IF($L118=0,0,$L118*MAX(0,NETWORKDAYS(MAX($H118,ASOF,AF$72),MIN(MAX($I118,ASOF),AF$72+6),HOLIDAYS)))</f>
        <v>0</v>
      </c>
      <c r="AG118" s="289" t="n">
        <f aca="false">IF($L118=0,0,$L118*MAX(0,NETWORKDAYS(MAX($H118,ASOF,AG$72),MIN(MAX($I118,ASOF),AG$72+6),HOLIDAYS)))</f>
        <v>0</v>
      </c>
      <c r="AH118" s="289" t="n">
        <f aca="false">IF($L118=0,0,$L118*MAX(0,NETWORKDAYS(MAX($H118,ASOF,AH$72),MIN(MAX($I118,ASOF),AH$72+6),HOLIDAYS)))</f>
        <v>0</v>
      </c>
      <c r="AI118" s="289" t="n">
        <f aca="false">IF($L118=0,0,$L118*MAX(0,NETWORKDAYS(MAX($H118,ASOF,AI$72),MIN(MAX($I118,ASOF),AI$72+6),HOLIDAYS)))</f>
        <v>0</v>
      </c>
      <c r="AJ118" s="289" t="n">
        <f aca="false">IF($L118=0,0,$L118*MAX(0,NETWORKDAYS(MAX($H118,ASOF,AJ$72),MIN(MAX($I118,ASOF),AJ$72+6),HOLIDAYS)))</f>
        <v>0</v>
      </c>
      <c r="AK118" s="289" t="n">
        <f aca="false">IF($L118=0,0,$L118*MAX(0,NETWORKDAYS(MAX($H118,ASOF,AK$72),MIN(MAX($I118,ASOF),AK$72+6),HOLIDAYS)))</f>
        <v>0</v>
      </c>
      <c r="AL118" s="289" t="n">
        <f aca="false">IF($L118=0,0,$L118*MAX(0,NETWORKDAYS(MAX($H118,ASOF,AL$72),MIN(MAX($I118,ASOF),AL$72+6),HOLIDAYS)))</f>
        <v>0</v>
      </c>
      <c r="AM118" s="289" t="n">
        <f aca="false">IF($L118=0,0,$L118*MAX(0,NETWORKDAYS(MAX($H118,ASOF,AM$72),MIN(MAX($I118,ASOF),AM$72+6),HOLIDAYS)))</f>
        <v>0</v>
      </c>
      <c r="AN118" s="289" t="n">
        <f aca="false">IF($L118=0,0,$L118*MAX(0,NETWORKDAYS(MAX($H118,ASOF,AN$72),MIN(MAX($I118,ASOF),AN$72+6),HOLIDAYS)))</f>
        <v>0</v>
      </c>
      <c r="AO118" s="289" t="n">
        <f aca="false">IF($L118=0,0,$L118*MAX(0,NETWORKDAYS(MAX($H118,ASOF,AO$72),MIN(MAX($I118,ASOF),AO$72+6),HOLIDAYS)))</f>
        <v>0</v>
      </c>
      <c r="AP118" s="289" t="n">
        <f aca="false">IF($L118=0,0,$L118*MAX(0,NETWORKDAYS(MAX($H118,ASOF,AP$72),MIN(MAX($I118,ASOF),AP$72+6),HOLIDAYS)))</f>
        <v>0</v>
      </c>
      <c r="AQ118" s="289" t="n">
        <f aca="false">IF($L118=0,0,$L118*MAX(0,NETWORKDAYS(MAX($H118,ASOF,AQ$72),MIN(MAX($I118,ASOF),AQ$72+6),HOLIDAYS)))</f>
        <v>0</v>
      </c>
      <c r="AR118" s="289" t="n">
        <f aca="false">IF($L118=0,0,$L118*MAX(0,NETWORKDAYS(MAX($H118,ASOF,AR$72),MIN(MAX($I118,ASOF),AR$72+6),HOLIDAYS)))</f>
        <v>0</v>
      </c>
    </row>
    <row r="119" customFormat="false" ht="15" hidden="false" customHeight="false" outlineLevel="1" collapsed="false">
      <c r="A119" s="282" t="s">
        <v>54</v>
      </c>
      <c r="B119" s="283" t="s">
        <v>56</v>
      </c>
      <c r="C119" s="284" t="s">
        <v>2369</v>
      </c>
      <c r="D119" s="284" t="s">
        <v>2308</v>
      </c>
      <c r="E119" s="285" t="n">
        <v>280.44</v>
      </c>
      <c r="F119" s="283" t="s">
        <v>527</v>
      </c>
      <c r="G119" s="285" t="n">
        <f aca="false">$F$16*(E119/$G$16+$H$16)</f>
        <v>14.4132</v>
      </c>
      <c r="H119" s="286" t="n">
        <f aca="false">IF(ISNUMBER('P9-004'!$N$115),'P9-004'!$N$115,"")</f>
        <v>46359</v>
      </c>
      <c r="I119" s="286" t="n">
        <f aca="false">IF(ISNUMBER('P9-004'!$O$115),'P9-004'!$O$115,"")</f>
        <v>46359</v>
      </c>
      <c r="J119" s="287" t="n">
        <f aca="false">IF(OR(H119="",I119="",N119&gt;=1),0,MAX(1,NETWORKDAYS(MAX(H119,ASOF),MAX(I119,ASOF),HOLIDAYS)))</f>
        <v>1</v>
      </c>
      <c r="K119" s="287" t="n">
        <f aca="false">IF(L119=0,0,ROUNDUP(L119/$F$16,0))</f>
        <v>5</v>
      </c>
      <c r="L119" s="285" t="n">
        <f aca="false">IF(J119=0,0,G119*(1-N119)/J119)</f>
        <v>14.4132</v>
      </c>
      <c r="M119" s="283" t="s">
        <v>1205</v>
      </c>
      <c r="N119" s="288" t="n">
        <f aca="false">IFERROR(MIN(1,'P9-004'!$V$115)+0,0)</f>
        <v>0</v>
      </c>
      <c r="O119" s="289" t="n">
        <f aca="false">IF($L119=0,0,$L119*MAX(0,NETWORKDAYS(MAX($H119,ASOF,O$72),MIN(MAX($I119,ASOF),O$72+6),HOLIDAYS)))</f>
        <v>0</v>
      </c>
      <c r="P119" s="289" t="n">
        <f aca="false">IF($L119=0,0,$L119*MAX(0,NETWORKDAYS(MAX($H119,ASOF,P$72),MIN(MAX($I119,ASOF),P$72+6),HOLIDAYS)))</f>
        <v>0</v>
      </c>
      <c r="Q119" s="289" t="n">
        <f aca="false">IF($L119=0,0,$L119*MAX(0,NETWORKDAYS(MAX($H119,ASOF,Q$72),MIN(MAX($I119,ASOF),Q$72+6),HOLIDAYS)))</f>
        <v>0</v>
      </c>
      <c r="R119" s="289" t="n">
        <f aca="false">IF($L119=0,0,$L119*MAX(0,NETWORKDAYS(MAX($H119,ASOF,R$72),MIN(MAX($I119,ASOF),R$72+6),HOLIDAYS)))</f>
        <v>0</v>
      </c>
      <c r="S119" s="289" t="n">
        <f aca="false">IF($L119=0,0,$L119*MAX(0,NETWORKDAYS(MAX($H119,ASOF,S$72),MIN(MAX($I119,ASOF),S$72+6),HOLIDAYS)))</f>
        <v>14.4132</v>
      </c>
      <c r="T119" s="289" t="n">
        <f aca="false">IF($L119=0,0,$L119*MAX(0,NETWORKDAYS(MAX($H119,ASOF,T$72),MIN(MAX($I119,ASOF),T$72+6),HOLIDAYS)))</f>
        <v>0</v>
      </c>
      <c r="U119" s="289" t="n">
        <f aca="false">IF($L119=0,0,$L119*MAX(0,NETWORKDAYS(MAX($H119,ASOF,U$72),MIN(MAX($I119,ASOF),U$72+6),HOLIDAYS)))</f>
        <v>0</v>
      </c>
      <c r="V119" s="289" t="n">
        <f aca="false">IF($L119=0,0,$L119*MAX(0,NETWORKDAYS(MAX($H119,ASOF,V$72),MIN(MAX($I119,ASOF),V$72+6),HOLIDAYS)))</f>
        <v>0</v>
      </c>
      <c r="W119" s="289" t="n">
        <f aca="false">IF($L119=0,0,$L119*MAX(0,NETWORKDAYS(MAX($H119,ASOF,W$72),MIN(MAX($I119,ASOF),W$72+6),HOLIDAYS)))</f>
        <v>0</v>
      </c>
      <c r="X119" s="289" t="n">
        <f aca="false">IF($L119=0,0,$L119*MAX(0,NETWORKDAYS(MAX($H119,ASOF,X$72),MIN(MAX($I119,ASOF),X$72+6),HOLIDAYS)))</f>
        <v>0</v>
      </c>
      <c r="Y119" s="289" t="n">
        <f aca="false">IF($L119=0,0,$L119*MAX(0,NETWORKDAYS(MAX($H119,ASOF,Y$72),MIN(MAX($I119,ASOF),Y$72+6),HOLIDAYS)))</f>
        <v>0</v>
      </c>
      <c r="Z119" s="289" t="n">
        <f aca="false">IF($L119=0,0,$L119*MAX(0,NETWORKDAYS(MAX($H119,ASOF,Z$72),MIN(MAX($I119,ASOF),Z$72+6),HOLIDAYS)))</f>
        <v>0</v>
      </c>
      <c r="AA119" s="289" t="n">
        <f aca="false">IF($L119=0,0,$L119*MAX(0,NETWORKDAYS(MAX($H119,ASOF,AA$72),MIN(MAX($I119,ASOF),AA$72+6),HOLIDAYS)))</f>
        <v>0</v>
      </c>
      <c r="AB119" s="289" t="n">
        <f aca="false">IF($L119=0,0,$L119*MAX(0,NETWORKDAYS(MAX($H119,ASOF,AB$72),MIN(MAX($I119,ASOF),AB$72+6),HOLIDAYS)))</f>
        <v>0</v>
      </c>
      <c r="AC119" s="289" t="n">
        <f aca="false">IF($L119=0,0,$L119*MAX(0,NETWORKDAYS(MAX($H119,ASOF,AC$72),MIN(MAX($I119,ASOF),AC$72+6),HOLIDAYS)))</f>
        <v>0</v>
      </c>
      <c r="AD119" s="289" t="n">
        <f aca="false">IF($L119=0,0,$L119*MAX(0,NETWORKDAYS(MAX($H119,ASOF,AD$72),MIN(MAX($I119,ASOF),AD$72+6),HOLIDAYS)))</f>
        <v>0</v>
      </c>
      <c r="AE119" s="289" t="n">
        <f aca="false">IF($L119=0,0,$L119*MAX(0,NETWORKDAYS(MAX($H119,ASOF,AE$72),MIN(MAX($I119,ASOF),AE$72+6),HOLIDAYS)))</f>
        <v>0</v>
      </c>
      <c r="AF119" s="289" t="n">
        <f aca="false">IF($L119=0,0,$L119*MAX(0,NETWORKDAYS(MAX($H119,ASOF,AF$72),MIN(MAX($I119,ASOF),AF$72+6),HOLIDAYS)))</f>
        <v>0</v>
      </c>
      <c r="AG119" s="289" t="n">
        <f aca="false">IF($L119=0,0,$L119*MAX(0,NETWORKDAYS(MAX($H119,ASOF,AG$72),MIN(MAX($I119,ASOF),AG$72+6),HOLIDAYS)))</f>
        <v>0</v>
      </c>
      <c r="AH119" s="289" t="n">
        <f aca="false">IF($L119=0,0,$L119*MAX(0,NETWORKDAYS(MAX($H119,ASOF,AH$72),MIN(MAX($I119,ASOF),AH$72+6),HOLIDAYS)))</f>
        <v>0</v>
      </c>
      <c r="AI119" s="289" t="n">
        <f aca="false">IF($L119=0,0,$L119*MAX(0,NETWORKDAYS(MAX($H119,ASOF,AI$72),MIN(MAX($I119,ASOF),AI$72+6),HOLIDAYS)))</f>
        <v>0</v>
      </c>
      <c r="AJ119" s="289" t="n">
        <f aca="false">IF($L119=0,0,$L119*MAX(0,NETWORKDAYS(MAX($H119,ASOF,AJ$72),MIN(MAX($I119,ASOF),AJ$72+6),HOLIDAYS)))</f>
        <v>0</v>
      </c>
      <c r="AK119" s="289" t="n">
        <f aca="false">IF($L119=0,0,$L119*MAX(0,NETWORKDAYS(MAX($H119,ASOF,AK$72),MIN(MAX($I119,ASOF),AK$72+6),HOLIDAYS)))</f>
        <v>0</v>
      </c>
      <c r="AL119" s="289" t="n">
        <f aca="false">IF($L119=0,0,$L119*MAX(0,NETWORKDAYS(MAX($H119,ASOF,AL$72),MIN(MAX($I119,ASOF),AL$72+6),HOLIDAYS)))</f>
        <v>0</v>
      </c>
      <c r="AM119" s="289" t="n">
        <f aca="false">IF($L119=0,0,$L119*MAX(0,NETWORKDAYS(MAX($H119,ASOF,AM$72),MIN(MAX($I119,ASOF),AM$72+6),HOLIDAYS)))</f>
        <v>0</v>
      </c>
      <c r="AN119" s="289" t="n">
        <f aca="false">IF($L119=0,0,$L119*MAX(0,NETWORKDAYS(MAX($H119,ASOF,AN$72),MIN(MAX($I119,ASOF),AN$72+6),HOLIDAYS)))</f>
        <v>0</v>
      </c>
      <c r="AO119" s="289" t="n">
        <f aca="false">IF($L119=0,0,$L119*MAX(0,NETWORKDAYS(MAX($H119,ASOF,AO$72),MIN(MAX($I119,ASOF),AO$72+6),HOLIDAYS)))</f>
        <v>0</v>
      </c>
      <c r="AP119" s="289" t="n">
        <f aca="false">IF($L119=0,0,$L119*MAX(0,NETWORKDAYS(MAX($H119,ASOF,AP$72),MIN(MAX($I119,ASOF),AP$72+6),HOLIDAYS)))</f>
        <v>0</v>
      </c>
      <c r="AQ119" s="289" t="n">
        <f aca="false">IF($L119=0,0,$L119*MAX(0,NETWORKDAYS(MAX($H119,ASOF,AQ$72),MIN(MAX($I119,ASOF),AQ$72+6),HOLIDAYS)))</f>
        <v>0</v>
      </c>
      <c r="AR119" s="289" t="n">
        <f aca="false">IF($L119=0,0,$L119*MAX(0,NETWORKDAYS(MAX($H119,ASOF,AR$72),MIN(MAX($I119,ASOF),AR$72+6),HOLIDAYS)))</f>
        <v>0</v>
      </c>
    </row>
    <row r="120" customFormat="false" ht="15" hidden="false" customHeight="false" outlineLevel="1" collapsed="false">
      <c r="A120" s="282" t="s">
        <v>54</v>
      </c>
      <c r="B120" s="283" t="s">
        <v>56</v>
      </c>
      <c r="C120" s="284" t="s">
        <v>2370</v>
      </c>
      <c r="D120" s="284" t="s">
        <v>2313</v>
      </c>
      <c r="E120" s="285" t="n">
        <v>1</v>
      </c>
      <c r="F120" s="290" t="s">
        <v>35</v>
      </c>
      <c r="G120" s="285" t="n">
        <f aca="false">SUM(O120:AR120)</f>
        <v>20</v>
      </c>
      <c r="H120" s="286" t="n">
        <f aca="false">IF(ISNUMBER('P9-004'!$N$62),'P9-004'!$N$62,"")</f>
        <v>46328</v>
      </c>
      <c r="I120" s="286" t="n">
        <f aca="false">IF(ISNUMBER('P9-004'!$O$115),'P9-004'!$O$115,"")</f>
        <v>46359</v>
      </c>
      <c r="J120" s="287"/>
      <c r="K120" s="287" t="n">
        <f aca="false">IF(G120&gt;0,$F$17,0)</f>
        <v>1</v>
      </c>
      <c r="L120" s="285" t="n">
        <v>0</v>
      </c>
      <c r="M120" s="290" t="s">
        <v>2310</v>
      </c>
      <c r="N120" s="288" t="str">
        <f aca="false">""</f>
        <v/>
      </c>
      <c r="O120" s="289" t="n">
        <f aca="false">IF(SUMIFS(O$73:O$312,$A$73:$A$312,"P9-004",$M$73:$M$312,"&lt;&gt;คุม")&gt;0,$F$17*NETWORKDAYS(O$72,O$72+6,HOLIDAYS),0)</f>
        <v>5</v>
      </c>
      <c r="P120" s="289" t="n">
        <f aca="false">IF(SUMIFS(P$73:P$312,$A$73:$A$312,"P9-004",$M$73:$M$312,"&lt;&gt;คุม")&gt;0,$F$17*NETWORKDAYS(P$72,P$72+6,HOLIDAYS),0)</f>
        <v>5</v>
      </c>
      <c r="Q120" s="289" t="n">
        <f aca="false">IF(SUMIFS(Q$73:Q$312,$A$73:$A$312,"P9-004",$M$73:$M$312,"&lt;&gt;คุม")&gt;0,$F$17*NETWORKDAYS(Q$72,Q$72+6,HOLIDAYS),0)</f>
        <v>5</v>
      </c>
      <c r="R120" s="289" t="n">
        <f aca="false">IF(SUMIFS(R$73:R$312,$A$73:$A$312,"P9-004",$M$73:$M$312,"&lt;&gt;คุม")&gt;0,$F$17*NETWORKDAYS(R$72,R$72+6,HOLIDAYS),0)</f>
        <v>0</v>
      </c>
      <c r="S120" s="289" t="n">
        <f aca="false">IF(SUMIFS(S$73:S$312,$A$73:$A$312,"P9-004",$M$73:$M$312,"&lt;&gt;คุม")&gt;0,$F$17*NETWORKDAYS(S$72,S$72+6,HOLIDAYS),0)</f>
        <v>5</v>
      </c>
      <c r="T120" s="289" t="n">
        <f aca="false">IF(SUMIFS(T$73:T$312,$A$73:$A$312,"P9-004",$M$73:$M$312,"&lt;&gt;คุม")&gt;0,$F$17*NETWORKDAYS(T$72,T$72+6,HOLIDAYS),0)</f>
        <v>0</v>
      </c>
      <c r="U120" s="289" t="n">
        <f aca="false">IF(SUMIFS(U$73:U$312,$A$73:$A$312,"P9-004",$M$73:$M$312,"&lt;&gt;คุม")&gt;0,$F$17*NETWORKDAYS(U$72,U$72+6,HOLIDAYS),0)</f>
        <v>0</v>
      </c>
      <c r="V120" s="289" t="n">
        <f aca="false">IF(SUMIFS(V$73:V$312,$A$73:$A$312,"P9-004",$M$73:$M$312,"&lt;&gt;คุม")&gt;0,$F$17*NETWORKDAYS(V$72,V$72+6,HOLIDAYS),0)</f>
        <v>0</v>
      </c>
      <c r="W120" s="289" t="n">
        <f aca="false">IF(SUMIFS(W$73:W$312,$A$73:$A$312,"P9-004",$M$73:$M$312,"&lt;&gt;คุม")&gt;0,$F$17*NETWORKDAYS(W$72,W$72+6,HOLIDAYS),0)</f>
        <v>0</v>
      </c>
      <c r="X120" s="289" t="n">
        <f aca="false">IF(SUMIFS(X$73:X$312,$A$73:$A$312,"P9-004",$M$73:$M$312,"&lt;&gt;คุม")&gt;0,$F$17*NETWORKDAYS(X$72,X$72+6,HOLIDAYS),0)</f>
        <v>0</v>
      </c>
      <c r="Y120" s="289" t="n">
        <f aca="false">IF(SUMIFS(Y$73:Y$312,$A$73:$A$312,"P9-004",$M$73:$M$312,"&lt;&gt;คุม")&gt;0,$F$17*NETWORKDAYS(Y$72,Y$72+6,HOLIDAYS),0)</f>
        <v>0</v>
      </c>
      <c r="Z120" s="289" t="n">
        <f aca="false">IF(SUMIFS(Z$73:Z$312,$A$73:$A$312,"P9-004",$M$73:$M$312,"&lt;&gt;คุม")&gt;0,$F$17*NETWORKDAYS(Z$72,Z$72+6,HOLIDAYS),0)</f>
        <v>0</v>
      </c>
      <c r="AA120" s="289" t="n">
        <f aca="false">IF(SUMIFS(AA$73:AA$312,$A$73:$A$312,"P9-004",$M$73:$M$312,"&lt;&gt;คุม")&gt;0,$F$17*NETWORKDAYS(AA$72,AA$72+6,HOLIDAYS),0)</f>
        <v>0</v>
      </c>
      <c r="AB120" s="289" t="n">
        <f aca="false">IF(SUMIFS(AB$73:AB$312,$A$73:$A$312,"P9-004",$M$73:$M$312,"&lt;&gt;คุม")&gt;0,$F$17*NETWORKDAYS(AB$72,AB$72+6,HOLIDAYS),0)</f>
        <v>0</v>
      </c>
      <c r="AC120" s="289" t="n">
        <f aca="false">IF(SUMIFS(AC$73:AC$312,$A$73:$A$312,"P9-004",$M$73:$M$312,"&lt;&gt;คุม")&gt;0,$F$17*NETWORKDAYS(AC$72,AC$72+6,HOLIDAYS),0)</f>
        <v>0</v>
      </c>
      <c r="AD120" s="289" t="n">
        <f aca="false">IF(SUMIFS(AD$73:AD$312,$A$73:$A$312,"P9-004",$M$73:$M$312,"&lt;&gt;คุม")&gt;0,$F$17*NETWORKDAYS(AD$72,AD$72+6,HOLIDAYS),0)</f>
        <v>0</v>
      </c>
      <c r="AE120" s="289" t="n">
        <f aca="false">IF(SUMIFS(AE$73:AE$312,$A$73:$A$312,"P9-004",$M$73:$M$312,"&lt;&gt;คุม")&gt;0,$F$17*NETWORKDAYS(AE$72,AE$72+6,HOLIDAYS),0)</f>
        <v>0</v>
      </c>
      <c r="AF120" s="289" t="n">
        <f aca="false">IF(SUMIFS(AF$73:AF$312,$A$73:$A$312,"P9-004",$M$73:$M$312,"&lt;&gt;คุม")&gt;0,$F$17*NETWORKDAYS(AF$72,AF$72+6,HOLIDAYS),0)</f>
        <v>0</v>
      </c>
      <c r="AG120" s="289" t="n">
        <f aca="false">IF(SUMIFS(AG$73:AG$312,$A$73:$A$312,"P9-004",$M$73:$M$312,"&lt;&gt;คุม")&gt;0,$F$17*NETWORKDAYS(AG$72,AG$72+6,HOLIDAYS),0)</f>
        <v>0</v>
      </c>
      <c r="AH120" s="289" t="n">
        <f aca="false">IF(SUMIFS(AH$73:AH$312,$A$73:$A$312,"P9-004",$M$73:$M$312,"&lt;&gt;คุม")&gt;0,$F$17*NETWORKDAYS(AH$72,AH$72+6,HOLIDAYS),0)</f>
        <v>0</v>
      </c>
      <c r="AI120" s="289" t="n">
        <f aca="false">IF(SUMIFS(AI$73:AI$312,$A$73:$A$312,"P9-004",$M$73:$M$312,"&lt;&gt;คุม")&gt;0,$F$17*NETWORKDAYS(AI$72,AI$72+6,HOLIDAYS),0)</f>
        <v>0</v>
      </c>
      <c r="AJ120" s="289" t="n">
        <f aca="false">IF(SUMIFS(AJ$73:AJ$312,$A$73:$A$312,"P9-004",$M$73:$M$312,"&lt;&gt;คุม")&gt;0,$F$17*NETWORKDAYS(AJ$72,AJ$72+6,HOLIDAYS),0)</f>
        <v>0</v>
      </c>
      <c r="AK120" s="289" t="n">
        <f aca="false">IF(SUMIFS(AK$73:AK$312,$A$73:$A$312,"P9-004",$M$73:$M$312,"&lt;&gt;คุม")&gt;0,$F$17*NETWORKDAYS(AK$72,AK$72+6,HOLIDAYS),0)</f>
        <v>0</v>
      </c>
      <c r="AL120" s="289" t="n">
        <f aca="false">IF(SUMIFS(AL$73:AL$312,$A$73:$A$312,"P9-004",$M$73:$M$312,"&lt;&gt;คุม")&gt;0,$F$17*NETWORKDAYS(AL$72,AL$72+6,HOLIDAYS),0)</f>
        <v>0</v>
      </c>
      <c r="AM120" s="289" t="n">
        <f aca="false">IF(SUMIFS(AM$73:AM$312,$A$73:$A$312,"P9-004",$M$73:$M$312,"&lt;&gt;คุม")&gt;0,$F$17*NETWORKDAYS(AM$72,AM$72+6,HOLIDAYS),0)</f>
        <v>0</v>
      </c>
      <c r="AN120" s="289" t="n">
        <f aca="false">IF(SUMIFS(AN$73:AN$312,$A$73:$A$312,"P9-004",$M$73:$M$312,"&lt;&gt;คุม")&gt;0,$F$17*NETWORKDAYS(AN$72,AN$72+6,HOLIDAYS),0)</f>
        <v>0</v>
      </c>
      <c r="AO120" s="289" t="n">
        <f aca="false">IF(SUMIFS(AO$73:AO$312,$A$73:$A$312,"P9-004",$M$73:$M$312,"&lt;&gt;คุม")&gt;0,$F$17*NETWORKDAYS(AO$72,AO$72+6,HOLIDAYS),0)</f>
        <v>0</v>
      </c>
      <c r="AP120" s="289" t="n">
        <f aca="false">IF(SUMIFS(AP$73:AP$312,$A$73:$A$312,"P9-004",$M$73:$M$312,"&lt;&gt;คุม")&gt;0,$F$17*NETWORKDAYS(AP$72,AP$72+6,HOLIDAYS),0)</f>
        <v>0</v>
      </c>
      <c r="AQ120" s="289" t="n">
        <f aca="false">IF(SUMIFS(AQ$73:AQ$312,$A$73:$A$312,"P9-004",$M$73:$M$312,"&lt;&gt;คุม")&gt;0,$F$17*NETWORKDAYS(AQ$72,AQ$72+6,HOLIDAYS),0)</f>
        <v>0</v>
      </c>
      <c r="AR120" s="289" t="n">
        <f aca="false">IF(SUMIFS(AR$73:AR$312,$A$73:$A$312,"P9-004",$M$73:$M$312,"&lt;&gt;คุม")&gt;0,$F$17*NETWORKDAYS(AR$72,AR$72+6,HOLIDAYS),0)</f>
        <v>0</v>
      </c>
    </row>
    <row r="121" customFormat="false" ht="15" hidden="false" customHeight="false" outlineLevel="1" collapsed="false">
      <c r="A121" s="282" t="s">
        <v>58</v>
      </c>
      <c r="B121" s="283" t="s">
        <v>60</v>
      </c>
      <c r="C121" s="284" t="s">
        <v>2358</v>
      </c>
      <c r="D121" s="284" t="s">
        <v>2280</v>
      </c>
      <c r="E121" s="285" t="n">
        <v>135.43</v>
      </c>
      <c r="F121" s="283" t="s">
        <v>2359</v>
      </c>
      <c r="G121" s="285" t="n">
        <f aca="false">$F$5*(E121/$G$5+$H$5)</f>
        <v>23.6688</v>
      </c>
      <c r="H121" s="286" t="n">
        <f aca="false">IF(ISNUMBER('P9-005'!$N$62),'P9-005'!$N$62,"")</f>
        <v>46328</v>
      </c>
      <c r="I121" s="286" t="n">
        <f aca="false">IF(ISNUMBER('P9-005'!$O$62),'P9-005'!$O$62,"")</f>
        <v>46341</v>
      </c>
      <c r="J121" s="287" t="n">
        <f aca="false">IF(OR(H121="",I121="",N121&gt;=1),0,MAX(1,NETWORKDAYS(MAX(H121,ASOF),MAX(I121,ASOF),HOLIDAYS)))</f>
        <v>10</v>
      </c>
      <c r="K121" s="287" t="n">
        <f aca="false">IF(L121=0,0,ROUNDUP(L121/$F$5,0))</f>
        <v>1</v>
      </c>
      <c r="L121" s="285" t="n">
        <f aca="false">IF(J121=0,0,G121*(1-N121)/J121)</f>
        <v>2.36688</v>
      </c>
      <c r="M121" s="283" t="s">
        <v>872</v>
      </c>
      <c r="N121" s="288" t="n">
        <f aca="false">IFERROR(MIN(1,'P9-005'!$V$62)+0,0)</f>
        <v>0</v>
      </c>
      <c r="O121" s="289" t="n">
        <f aca="false">IF($L121=0,0,$L121*MAX(0,NETWORKDAYS(MAX($H121,ASOF,O$72),MIN(MAX($I121,ASOF),O$72+6),HOLIDAYS)))</f>
        <v>11.8344</v>
      </c>
      <c r="P121" s="289" t="n">
        <f aca="false">IF($L121=0,0,$L121*MAX(0,NETWORKDAYS(MAX($H121,ASOF,P$72),MIN(MAX($I121,ASOF),P$72+6),HOLIDAYS)))</f>
        <v>11.8344</v>
      </c>
      <c r="Q121" s="289" t="n">
        <f aca="false">IF($L121=0,0,$L121*MAX(0,NETWORKDAYS(MAX($H121,ASOF,Q$72),MIN(MAX($I121,ASOF),Q$72+6),HOLIDAYS)))</f>
        <v>0</v>
      </c>
      <c r="R121" s="289" t="n">
        <f aca="false">IF($L121=0,0,$L121*MAX(0,NETWORKDAYS(MAX($H121,ASOF,R$72),MIN(MAX($I121,ASOF),R$72+6),HOLIDAYS)))</f>
        <v>0</v>
      </c>
      <c r="S121" s="289" t="n">
        <f aca="false">IF($L121=0,0,$L121*MAX(0,NETWORKDAYS(MAX($H121,ASOF,S$72),MIN(MAX($I121,ASOF),S$72+6),HOLIDAYS)))</f>
        <v>0</v>
      </c>
      <c r="T121" s="289" t="n">
        <f aca="false">IF($L121=0,0,$L121*MAX(0,NETWORKDAYS(MAX($H121,ASOF,T$72),MIN(MAX($I121,ASOF),T$72+6),HOLIDAYS)))</f>
        <v>0</v>
      </c>
      <c r="U121" s="289" t="n">
        <f aca="false">IF($L121=0,0,$L121*MAX(0,NETWORKDAYS(MAX($H121,ASOF,U$72),MIN(MAX($I121,ASOF),U$72+6),HOLIDAYS)))</f>
        <v>0</v>
      </c>
      <c r="V121" s="289" t="n">
        <f aca="false">IF($L121=0,0,$L121*MAX(0,NETWORKDAYS(MAX($H121,ASOF,V$72),MIN(MAX($I121,ASOF),V$72+6),HOLIDAYS)))</f>
        <v>0</v>
      </c>
      <c r="W121" s="289" t="n">
        <f aca="false">IF($L121=0,0,$L121*MAX(0,NETWORKDAYS(MAX($H121,ASOF,W$72),MIN(MAX($I121,ASOF),W$72+6),HOLIDAYS)))</f>
        <v>0</v>
      </c>
      <c r="X121" s="289" t="n">
        <f aca="false">IF($L121=0,0,$L121*MAX(0,NETWORKDAYS(MAX($H121,ASOF,X$72),MIN(MAX($I121,ASOF),X$72+6),HOLIDAYS)))</f>
        <v>0</v>
      </c>
      <c r="Y121" s="289" t="n">
        <f aca="false">IF($L121=0,0,$L121*MAX(0,NETWORKDAYS(MAX($H121,ASOF,Y$72),MIN(MAX($I121,ASOF),Y$72+6),HOLIDAYS)))</f>
        <v>0</v>
      </c>
      <c r="Z121" s="289" t="n">
        <f aca="false">IF($L121=0,0,$L121*MAX(0,NETWORKDAYS(MAX($H121,ASOF,Z$72),MIN(MAX($I121,ASOF),Z$72+6),HOLIDAYS)))</f>
        <v>0</v>
      </c>
      <c r="AA121" s="289" t="n">
        <f aca="false">IF($L121=0,0,$L121*MAX(0,NETWORKDAYS(MAX($H121,ASOF,AA$72),MIN(MAX($I121,ASOF),AA$72+6),HOLIDAYS)))</f>
        <v>0</v>
      </c>
      <c r="AB121" s="289" t="n">
        <f aca="false">IF($L121=0,0,$L121*MAX(0,NETWORKDAYS(MAX($H121,ASOF,AB$72),MIN(MAX($I121,ASOF),AB$72+6),HOLIDAYS)))</f>
        <v>0</v>
      </c>
      <c r="AC121" s="289" t="n">
        <f aca="false">IF($L121=0,0,$L121*MAX(0,NETWORKDAYS(MAX($H121,ASOF,AC$72),MIN(MAX($I121,ASOF),AC$72+6),HOLIDAYS)))</f>
        <v>0</v>
      </c>
      <c r="AD121" s="289" t="n">
        <f aca="false">IF($L121=0,0,$L121*MAX(0,NETWORKDAYS(MAX($H121,ASOF,AD$72),MIN(MAX($I121,ASOF),AD$72+6),HOLIDAYS)))</f>
        <v>0</v>
      </c>
      <c r="AE121" s="289" t="n">
        <f aca="false">IF($L121=0,0,$L121*MAX(0,NETWORKDAYS(MAX($H121,ASOF,AE$72),MIN(MAX($I121,ASOF),AE$72+6),HOLIDAYS)))</f>
        <v>0</v>
      </c>
      <c r="AF121" s="289" t="n">
        <f aca="false">IF($L121=0,0,$L121*MAX(0,NETWORKDAYS(MAX($H121,ASOF,AF$72),MIN(MAX($I121,ASOF),AF$72+6),HOLIDAYS)))</f>
        <v>0</v>
      </c>
      <c r="AG121" s="289" t="n">
        <f aca="false">IF($L121=0,0,$L121*MAX(0,NETWORKDAYS(MAX($H121,ASOF,AG$72),MIN(MAX($I121,ASOF),AG$72+6),HOLIDAYS)))</f>
        <v>0</v>
      </c>
      <c r="AH121" s="289" t="n">
        <f aca="false">IF($L121=0,0,$L121*MAX(0,NETWORKDAYS(MAX($H121,ASOF,AH$72),MIN(MAX($I121,ASOF),AH$72+6),HOLIDAYS)))</f>
        <v>0</v>
      </c>
      <c r="AI121" s="289" t="n">
        <f aca="false">IF($L121=0,0,$L121*MAX(0,NETWORKDAYS(MAX($H121,ASOF,AI$72),MIN(MAX($I121,ASOF),AI$72+6),HOLIDAYS)))</f>
        <v>0</v>
      </c>
      <c r="AJ121" s="289" t="n">
        <f aca="false">IF($L121=0,0,$L121*MAX(0,NETWORKDAYS(MAX($H121,ASOF,AJ$72),MIN(MAX($I121,ASOF),AJ$72+6),HOLIDAYS)))</f>
        <v>0</v>
      </c>
      <c r="AK121" s="289" t="n">
        <f aca="false">IF($L121=0,0,$L121*MAX(0,NETWORKDAYS(MAX($H121,ASOF,AK$72),MIN(MAX($I121,ASOF),AK$72+6),HOLIDAYS)))</f>
        <v>0</v>
      </c>
      <c r="AL121" s="289" t="n">
        <f aca="false">IF($L121=0,0,$L121*MAX(0,NETWORKDAYS(MAX($H121,ASOF,AL$72),MIN(MAX($I121,ASOF),AL$72+6),HOLIDAYS)))</f>
        <v>0</v>
      </c>
      <c r="AM121" s="289" t="n">
        <f aca="false">IF($L121=0,0,$L121*MAX(0,NETWORKDAYS(MAX($H121,ASOF,AM$72),MIN(MAX($I121,ASOF),AM$72+6),HOLIDAYS)))</f>
        <v>0</v>
      </c>
      <c r="AN121" s="289" t="n">
        <f aca="false">IF($L121=0,0,$L121*MAX(0,NETWORKDAYS(MAX($H121,ASOF,AN$72),MIN(MAX($I121,ASOF),AN$72+6),HOLIDAYS)))</f>
        <v>0</v>
      </c>
      <c r="AO121" s="289" t="n">
        <f aca="false">IF($L121=0,0,$L121*MAX(0,NETWORKDAYS(MAX($H121,ASOF,AO$72),MIN(MAX($I121,ASOF),AO$72+6),HOLIDAYS)))</f>
        <v>0</v>
      </c>
      <c r="AP121" s="289" t="n">
        <f aca="false">IF($L121=0,0,$L121*MAX(0,NETWORKDAYS(MAX($H121,ASOF,AP$72),MIN(MAX($I121,ASOF),AP$72+6),HOLIDAYS)))</f>
        <v>0</v>
      </c>
      <c r="AQ121" s="289" t="n">
        <f aca="false">IF($L121=0,0,$L121*MAX(0,NETWORKDAYS(MAX($H121,ASOF,AQ$72),MIN(MAX($I121,ASOF),AQ$72+6),HOLIDAYS)))</f>
        <v>0</v>
      </c>
      <c r="AR121" s="289" t="n">
        <f aca="false">IF($L121=0,0,$L121*MAX(0,NETWORKDAYS(MAX($H121,ASOF,AR$72),MIN(MAX($I121,ASOF),AR$72+6),HOLIDAYS)))</f>
        <v>0</v>
      </c>
    </row>
    <row r="122" customFormat="false" ht="15" hidden="false" customHeight="false" outlineLevel="1" collapsed="false">
      <c r="A122" s="282" t="s">
        <v>58</v>
      </c>
      <c r="B122" s="283" t="s">
        <v>60</v>
      </c>
      <c r="C122" s="284" t="s">
        <v>2360</v>
      </c>
      <c r="D122" s="284" t="s">
        <v>2284</v>
      </c>
      <c r="E122" s="285" t="n">
        <v>150.48</v>
      </c>
      <c r="F122" s="283" t="s">
        <v>527</v>
      </c>
      <c r="G122" s="285" t="n">
        <f aca="false">$F$6*(E122/$G$6+$H$6)</f>
        <v>14.286</v>
      </c>
      <c r="H122" s="286" t="n">
        <f aca="false">IF(ISNUMBER('P9-005'!$N$70),'P9-005'!$N$70,"")</f>
        <v>46343</v>
      </c>
      <c r="I122" s="286" t="n">
        <f aca="false">IF(ISNUMBER('P9-005'!$O$70),'P9-005'!$O$70,"")</f>
        <v>46346</v>
      </c>
      <c r="J122" s="287" t="n">
        <f aca="false">IF(OR(H122="",I122="",N122&gt;=1),0,MAX(1,NETWORKDAYS(MAX(H122,ASOF),MAX(I122,ASOF),HOLIDAYS)))</f>
        <v>4</v>
      </c>
      <c r="K122" s="287" t="n">
        <f aca="false">IF(L122=0,0,ROUNDUP(L122/$F$6,0))</f>
        <v>2</v>
      </c>
      <c r="L122" s="285" t="n">
        <f aca="false">IF(J122=0,0,G122*(1-N122)/J122)</f>
        <v>3.5715</v>
      </c>
      <c r="M122" s="283" t="s">
        <v>987</v>
      </c>
      <c r="N122" s="288" t="n">
        <f aca="false">IFERROR(MIN(1,'P9-005'!$V$70)+0,0)</f>
        <v>0</v>
      </c>
      <c r="O122" s="289" t="n">
        <f aca="false">IF($L122=0,0,$L122*MAX(0,NETWORKDAYS(MAX($H122,ASOF,O$72),MIN(MAX($I122,ASOF),O$72+6),HOLIDAYS)))</f>
        <v>0</v>
      </c>
      <c r="P122" s="289" t="n">
        <f aca="false">IF($L122=0,0,$L122*MAX(0,NETWORKDAYS(MAX($H122,ASOF,P$72),MIN(MAX($I122,ASOF),P$72+6),HOLIDAYS)))</f>
        <v>0</v>
      </c>
      <c r="Q122" s="289" t="n">
        <f aca="false">IF($L122=0,0,$L122*MAX(0,NETWORKDAYS(MAX($H122,ASOF,Q$72),MIN(MAX($I122,ASOF),Q$72+6),HOLIDAYS)))</f>
        <v>14.286</v>
      </c>
      <c r="R122" s="289" t="n">
        <f aca="false">IF($L122=0,0,$L122*MAX(0,NETWORKDAYS(MAX($H122,ASOF,R$72),MIN(MAX($I122,ASOF),R$72+6),HOLIDAYS)))</f>
        <v>0</v>
      </c>
      <c r="S122" s="289" t="n">
        <f aca="false">IF($L122=0,0,$L122*MAX(0,NETWORKDAYS(MAX($H122,ASOF,S$72),MIN(MAX($I122,ASOF),S$72+6),HOLIDAYS)))</f>
        <v>0</v>
      </c>
      <c r="T122" s="289" t="n">
        <f aca="false">IF($L122=0,0,$L122*MAX(0,NETWORKDAYS(MAX($H122,ASOF,T$72),MIN(MAX($I122,ASOF),T$72+6),HOLIDAYS)))</f>
        <v>0</v>
      </c>
      <c r="U122" s="289" t="n">
        <f aca="false">IF($L122=0,0,$L122*MAX(0,NETWORKDAYS(MAX($H122,ASOF,U$72),MIN(MAX($I122,ASOF),U$72+6),HOLIDAYS)))</f>
        <v>0</v>
      </c>
      <c r="V122" s="289" t="n">
        <f aca="false">IF($L122=0,0,$L122*MAX(0,NETWORKDAYS(MAX($H122,ASOF,V$72),MIN(MAX($I122,ASOF),V$72+6),HOLIDAYS)))</f>
        <v>0</v>
      </c>
      <c r="W122" s="289" t="n">
        <f aca="false">IF($L122=0,0,$L122*MAX(0,NETWORKDAYS(MAX($H122,ASOF,W$72),MIN(MAX($I122,ASOF),W$72+6),HOLIDAYS)))</f>
        <v>0</v>
      </c>
      <c r="X122" s="289" t="n">
        <f aca="false">IF($L122=0,0,$L122*MAX(0,NETWORKDAYS(MAX($H122,ASOF,X$72),MIN(MAX($I122,ASOF),X$72+6),HOLIDAYS)))</f>
        <v>0</v>
      </c>
      <c r="Y122" s="289" t="n">
        <f aca="false">IF($L122=0,0,$L122*MAX(0,NETWORKDAYS(MAX($H122,ASOF,Y$72),MIN(MAX($I122,ASOF),Y$72+6),HOLIDAYS)))</f>
        <v>0</v>
      </c>
      <c r="Z122" s="289" t="n">
        <f aca="false">IF($L122=0,0,$L122*MAX(0,NETWORKDAYS(MAX($H122,ASOF,Z$72),MIN(MAX($I122,ASOF),Z$72+6),HOLIDAYS)))</f>
        <v>0</v>
      </c>
      <c r="AA122" s="289" t="n">
        <f aca="false">IF($L122=0,0,$L122*MAX(0,NETWORKDAYS(MAX($H122,ASOF,AA$72),MIN(MAX($I122,ASOF),AA$72+6),HOLIDAYS)))</f>
        <v>0</v>
      </c>
      <c r="AB122" s="289" t="n">
        <f aca="false">IF($L122=0,0,$L122*MAX(0,NETWORKDAYS(MAX($H122,ASOF,AB$72),MIN(MAX($I122,ASOF),AB$72+6),HOLIDAYS)))</f>
        <v>0</v>
      </c>
      <c r="AC122" s="289" t="n">
        <f aca="false">IF($L122=0,0,$L122*MAX(0,NETWORKDAYS(MAX($H122,ASOF,AC$72),MIN(MAX($I122,ASOF),AC$72+6),HOLIDAYS)))</f>
        <v>0</v>
      </c>
      <c r="AD122" s="289" t="n">
        <f aca="false">IF($L122=0,0,$L122*MAX(0,NETWORKDAYS(MAX($H122,ASOF,AD$72),MIN(MAX($I122,ASOF),AD$72+6),HOLIDAYS)))</f>
        <v>0</v>
      </c>
      <c r="AE122" s="289" t="n">
        <f aca="false">IF($L122=0,0,$L122*MAX(0,NETWORKDAYS(MAX($H122,ASOF,AE$72),MIN(MAX($I122,ASOF),AE$72+6),HOLIDAYS)))</f>
        <v>0</v>
      </c>
      <c r="AF122" s="289" t="n">
        <f aca="false">IF($L122=0,0,$L122*MAX(0,NETWORKDAYS(MAX($H122,ASOF,AF$72),MIN(MAX($I122,ASOF),AF$72+6),HOLIDAYS)))</f>
        <v>0</v>
      </c>
      <c r="AG122" s="289" t="n">
        <f aca="false">IF($L122=0,0,$L122*MAX(0,NETWORKDAYS(MAX($H122,ASOF,AG$72),MIN(MAX($I122,ASOF),AG$72+6),HOLIDAYS)))</f>
        <v>0</v>
      </c>
      <c r="AH122" s="289" t="n">
        <f aca="false">IF($L122=0,0,$L122*MAX(0,NETWORKDAYS(MAX($H122,ASOF,AH$72),MIN(MAX($I122,ASOF),AH$72+6),HOLIDAYS)))</f>
        <v>0</v>
      </c>
      <c r="AI122" s="289" t="n">
        <f aca="false">IF($L122=0,0,$L122*MAX(0,NETWORKDAYS(MAX($H122,ASOF,AI$72),MIN(MAX($I122,ASOF),AI$72+6),HOLIDAYS)))</f>
        <v>0</v>
      </c>
      <c r="AJ122" s="289" t="n">
        <f aca="false">IF($L122=0,0,$L122*MAX(0,NETWORKDAYS(MAX($H122,ASOF,AJ$72),MIN(MAX($I122,ASOF),AJ$72+6),HOLIDAYS)))</f>
        <v>0</v>
      </c>
      <c r="AK122" s="289" t="n">
        <f aca="false">IF($L122=0,0,$L122*MAX(0,NETWORKDAYS(MAX($H122,ASOF,AK$72),MIN(MAX($I122,ASOF),AK$72+6),HOLIDAYS)))</f>
        <v>0</v>
      </c>
      <c r="AL122" s="289" t="n">
        <f aca="false">IF($L122=0,0,$L122*MAX(0,NETWORKDAYS(MAX($H122,ASOF,AL$72),MIN(MAX($I122,ASOF),AL$72+6),HOLIDAYS)))</f>
        <v>0</v>
      </c>
      <c r="AM122" s="289" t="n">
        <f aca="false">IF($L122=0,0,$L122*MAX(0,NETWORKDAYS(MAX($H122,ASOF,AM$72),MIN(MAX($I122,ASOF),AM$72+6),HOLIDAYS)))</f>
        <v>0</v>
      </c>
      <c r="AN122" s="289" t="n">
        <f aca="false">IF($L122=0,0,$L122*MAX(0,NETWORKDAYS(MAX($H122,ASOF,AN$72),MIN(MAX($I122,ASOF),AN$72+6),HOLIDAYS)))</f>
        <v>0</v>
      </c>
      <c r="AO122" s="289" t="n">
        <f aca="false">IF($L122=0,0,$L122*MAX(0,NETWORKDAYS(MAX($H122,ASOF,AO$72),MIN(MAX($I122,ASOF),AO$72+6),HOLIDAYS)))</f>
        <v>0</v>
      </c>
      <c r="AP122" s="289" t="n">
        <f aca="false">IF($L122=0,0,$L122*MAX(0,NETWORKDAYS(MAX($H122,ASOF,AP$72),MIN(MAX($I122,ASOF),AP$72+6),HOLIDAYS)))</f>
        <v>0</v>
      </c>
      <c r="AQ122" s="289" t="n">
        <f aca="false">IF($L122=0,0,$L122*MAX(0,NETWORKDAYS(MAX($H122,ASOF,AQ$72),MIN(MAX($I122,ASOF),AQ$72+6),HOLIDAYS)))</f>
        <v>0</v>
      </c>
      <c r="AR122" s="289" t="n">
        <f aca="false">IF($L122=0,0,$L122*MAX(0,NETWORKDAYS(MAX($H122,ASOF,AR$72),MIN(MAX($I122,ASOF),AR$72+6),HOLIDAYS)))</f>
        <v>0</v>
      </c>
    </row>
    <row r="123" customFormat="false" ht="15" hidden="false" customHeight="false" outlineLevel="1" collapsed="false">
      <c r="A123" s="282" t="s">
        <v>58</v>
      </c>
      <c r="B123" s="283" t="s">
        <v>60</v>
      </c>
      <c r="C123" s="284" t="s">
        <v>2361</v>
      </c>
      <c r="D123" s="284" t="s">
        <v>2280</v>
      </c>
      <c r="E123" s="285" t="n">
        <v>150.48</v>
      </c>
      <c r="F123" s="283" t="s">
        <v>527</v>
      </c>
      <c r="G123" s="285" t="n">
        <f aca="false">$F$7*(E123/$G$7+$H$7)</f>
        <v>19.1977142857143</v>
      </c>
      <c r="H123" s="286" t="n">
        <f aca="false">IF(ISNUMBER('P9-005'!$N$76),'P9-005'!$N$76,"")</f>
        <v>46342</v>
      </c>
      <c r="I123" s="286" t="n">
        <f aca="false">IF(ISNUMBER('P9-005'!$O$76),'P9-005'!$O$76,"")</f>
        <v>46347</v>
      </c>
      <c r="J123" s="287" t="n">
        <f aca="false">IF(OR(H123="",I123="",N123&gt;=1),0,MAX(1,NETWORKDAYS(MAX(H123,ASOF),MAX(I123,ASOF),HOLIDAYS)))</f>
        <v>5</v>
      </c>
      <c r="K123" s="287" t="n">
        <f aca="false">IF(L123=0,0,ROUNDUP(L123/$F$7,0))</f>
        <v>1</v>
      </c>
      <c r="L123" s="285" t="n">
        <f aca="false">IF(J123=0,0,G123*(1-N123)/J123)</f>
        <v>3.83954285714286</v>
      </c>
      <c r="M123" s="283" t="s">
        <v>1037</v>
      </c>
      <c r="N123" s="288" t="n">
        <f aca="false">IFERROR(MIN(1,'P9-005'!$V$76)+0,0)</f>
        <v>0</v>
      </c>
      <c r="O123" s="289" t="n">
        <f aca="false">IF($L123=0,0,$L123*MAX(0,NETWORKDAYS(MAX($H123,ASOF,O$72),MIN(MAX($I123,ASOF),O$72+6),HOLIDAYS)))</f>
        <v>0</v>
      </c>
      <c r="P123" s="289" t="n">
        <f aca="false">IF($L123=0,0,$L123*MAX(0,NETWORKDAYS(MAX($H123,ASOF,P$72),MIN(MAX($I123,ASOF),P$72+6),HOLIDAYS)))</f>
        <v>0</v>
      </c>
      <c r="Q123" s="289" t="n">
        <f aca="false">IF($L123=0,0,$L123*MAX(0,NETWORKDAYS(MAX($H123,ASOF,Q$72),MIN(MAX($I123,ASOF),Q$72+6),HOLIDAYS)))</f>
        <v>19.1977142857143</v>
      </c>
      <c r="R123" s="289" t="n">
        <f aca="false">IF($L123=0,0,$L123*MAX(0,NETWORKDAYS(MAX($H123,ASOF,R$72),MIN(MAX($I123,ASOF),R$72+6),HOLIDAYS)))</f>
        <v>0</v>
      </c>
      <c r="S123" s="289" t="n">
        <f aca="false">IF($L123=0,0,$L123*MAX(0,NETWORKDAYS(MAX($H123,ASOF,S$72),MIN(MAX($I123,ASOF),S$72+6),HOLIDAYS)))</f>
        <v>0</v>
      </c>
      <c r="T123" s="289" t="n">
        <f aca="false">IF($L123=0,0,$L123*MAX(0,NETWORKDAYS(MAX($H123,ASOF,T$72),MIN(MAX($I123,ASOF),T$72+6),HOLIDAYS)))</f>
        <v>0</v>
      </c>
      <c r="U123" s="289" t="n">
        <f aca="false">IF($L123=0,0,$L123*MAX(0,NETWORKDAYS(MAX($H123,ASOF,U$72),MIN(MAX($I123,ASOF),U$72+6),HOLIDAYS)))</f>
        <v>0</v>
      </c>
      <c r="V123" s="289" t="n">
        <f aca="false">IF($L123=0,0,$L123*MAX(0,NETWORKDAYS(MAX($H123,ASOF,V$72),MIN(MAX($I123,ASOF),V$72+6),HOLIDAYS)))</f>
        <v>0</v>
      </c>
      <c r="W123" s="289" t="n">
        <f aca="false">IF($L123=0,0,$L123*MAX(0,NETWORKDAYS(MAX($H123,ASOF,W$72),MIN(MAX($I123,ASOF),W$72+6),HOLIDAYS)))</f>
        <v>0</v>
      </c>
      <c r="X123" s="289" t="n">
        <f aca="false">IF($L123=0,0,$L123*MAX(0,NETWORKDAYS(MAX($H123,ASOF,X$72),MIN(MAX($I123,ASOF),X$72+6),HOLIDAYS)))</f>
        <v>0</v>
      </c>
      <c r="Y123" s="289" t="n">
        <f aca="false">IF($L123=0,0,$L123*MAX(0,NETWORKDAYS(MAX($H123,ASOF,Y$72),MIN(MAX($I123,ASOF),Y$72+6),HOLIDAYS)))</f>
        <v>0</v>
      </c>
      <c r="Z123" s="289" t="n">
        <f aca="false">IF($L123=0,0,$L123*MAX(0,NETWORKDAYS(MAX($H123,ASOF,Z$72),MIN(MAX($I123,ASOF),Z$72+6),HOLIDAYS)))</f>
        <v>0</v>
      </c>
      <c r="AA123" s="289" t="n">
        <f aca="false">IF($L123=0,0,$L123*MAX(0,NETWORKDAYS(MAX($H123,ASOF,AA$72),MIN(MAX($I123,ASOF),AA$72+6),HOLIDAYS)))</f>
        <v>0</v>
      </c>
      <c r="AB123" s="289" t="n">
        <f aca="false">IF($L123=0,0,$L123*MAX(0,NETWORKDAYS(MAX($H123,ASOF,AB$72),MIN(MAX($I123,ASOF),AB$72+6),HOLIDAYS)))</f>
        <v>0</v>
      </c>
      <c r="AC123" s="289" t="n">
        <f aca="false">IF($L123=0,0,$L123*MAX(0,NETWORKDAYS(MAX($H123,ASOF,AC$72),MIN(MAX($I123,ASOF),AC$72+6),HOLIDAYS)))</f>
        <v>0</v>
      </c>
      <c r="AD123" s="289" t="n">
        <f aca="false">IF($L123=0,0,$L123*MAX(0,NETWORKDAYS(MAX($H123,ASOF,AD$72),MIN(MAX($I123,ASOF),AD$72+6),HOLIDAYS)))</f>
        <v>0</v>
      </c>
      <c r="AE123" s="289" t="n">
        <f aca="false">IF($L123=0,0,$L123*MAX(0,NETWORKDAYS(MAX($H123,ASOF,AE$72),MIN(MAX($I123,ASOF),AE$72+6),HOLIDAYS)))</f>
        <v>0</v>
      </c>
      <c r="AF123" s="289" t="n">
        <f aca="false">IF($L123=0,0,$L123*MAX(0,NETWORKDAYS(MAX($H123,ASOF,AF$72),MIN(MAX($I123,ASOF),AF$72+6),HOLIDAYS)))</f>
        <v>0</v>
      </c>
      <c r="AG123" s="289" t="n">
        <f aca="false">IF($L123=0,0,$L123*MAX(0,NETWORKDAYS(MAX($H123,ASOF,AG$72),MIN(MAX($I123,ASOF),AG$72+6),HOLIDAYS)))</f>
        <v>0</v>
      </c>
      <c r="AH123" s="289" t="n">
        <f aca="false">IF($L123=0,0,$L123*MAX(0,NETWORKDAYS(MAX($H123,ASOF,AH$72),MIN(MAX($I123,ASOF),AH$72+6),HOLIDAYS)))</f>
        <v>0</v>
      </c>
      <c r="AI123" s="289" t="n">
        <f aca="false">IF($L123=0,0,$L123*MAX(0,NETWORKDAYS(MAX($H123,ASOF,AI$72),MIN(MAX($I123,ASOF),AI$72+6),HOLIDAYS)))</f>
        <v>0</v>
      </c>
      <c r="AJ123" s="289" t="n">
        <f aca="false">IF($L123=0,0,$L123*MAX(0,NETWORKDAYS(MAX($H123,ASOF,AJ$72),MIN(MAX($I123,ASOF),AJ$72+6),HOLIDAYS)))</f>
        <v>0</v>
      </c>
      <c r="AK123" s="289" t="n">
        <f aca="false">IF($L123=0,0,$L123*MAX(0,NETWORKDAYS(MAX($H123,ASOF,AK$72),MIN(MAX($I123,ASOF),AK$72+6),HOLIDAYS)))</f>
        <v>0</v>
      </c>
      <c r="AL123" s="289" t="n">
        <f aca="false">IF($L123=0,0,$L123*MAX(0,NETWORKDAYS(MAX($H123,ASOF,AL$72),MIN(MAX($I123,ASOF),AL$72+6),HOLIDAYS)))</f>
        <v>0</v>
      </c>
      <c r="AM123" s="289" t="n">
        <f aca="false">IF($L123=0,0,$L123*MAX(0,NETWORKDAYS(MAX($H123,ASOF,AM$72),MIN(MAX($I123,ASOF),AM$72+6),HOLIDAYS)))</f>
        <v>0</v>
      </c>
      <c r="AN123" s="289" t="n">
        <f aca="false">IF($L123=0,0,$L123*MAX(0,NETWORKDAYS(MAX($H123,ASOF,AN$72),MIN(MAX($I123,ASOF),AN$72+6),HOLIDAYS)))</f>
        <v>0</v>
      </c>
      <c r="AO123" s="289" t="n">
        <f aca="false">IF($L123=0,0,$L123*MAX(0,NETWORKDAYS(MAX($H123,ASOF,AO$72),MIN(MAX($I123,ASOF),AO$72+6),HOLIDAYS)))</f>
        <v>0</v>
      </c>
      <c r="AP123" s="289" t="n">
        <f aca="false">IF($L123=0,0,$L123*MAX(0,NETWORKDAYS(MAX($H123,ASOF,AP$72),MIN(MAX($I123,ASOF),AP$72+6),HOLIDAYS)))</f>
        <v>0</v>
      </c>
      <c r="AQ123" s="289" t="n">
        <f aca="false">IF($L123=0,0,$L123*MAX(0,NETWORKDAYS(MAX($H123,ASOF,AQ$72),MIN(MAX($I123,ASOF),AQ$72+6),HOLIDAYS)))</f>
        <v>0</v>
      </c>
      <c r="AR123" s="289" t="n">
        <f aca="false">IF($L123=0,0,$L123*MAX(0,NETWORKDAYS(MAX($H123,ASOF,AR$72),MIN(MAX($I123,ASOF),AR$72+6),HOLIDAYS)))</f>
        <v>0</v>
      </c>
    </row>
    <row r="124" customFormat="false" ht="15" hidden="false" customHeight="false" outlineLevel="1" collapsed="false">
      <c r="A124" s="282" t="s">
        <v>58</v>
      </c>
      <c r="B124" s="283" t="s">
        <v>60</v>
      </c>
      <c r="C124" s="284" t="s">
        <v>2362</v>
      </c>
      <c r="D124" s="284" t="s">
        <v>2284</v>
      </c>
      <c r="E124" s="285" t="n">
        <v>1</v>
      </c>
      <c r="F124" s="290" t="s">
        <v>35</v>
      </c>
      <c r="G124" s="285" t="n">
        <f aca="false">$F$8*$H$8</f>
        <v>2</v>
      </c>
      <c r="H124" s="286" t="n">
        <f aca="false">IF(ISNUMBER('P9-005'!$N$82),'P9-005'!$N$82,"")</f>
        <v>46345</v>
      </c>
      <c r="I124" s="286" t="n">
        <f aca="false">IF(ISNUMBER('P9-005'!$O$82),'P9-005'!$O$82,"")</f>
        <v>46347</v>
      </c>
      <c r="J124" s="287" t="n">
        <f aca="false">IF(OR(H124="",I124="",N124&gt;=1),0,MAX(1,NETWORKDAYS(MAX(H124,ASOF),MAX(I124,ASOF),HOLIDAYS)))</f>
        <v>2</v>
      </c>
      <c r="K124" s="287" t="n">
        <f aca="false">IF(L124=0,0,ROUNDUP(L124/$F$8,0))</f>
        <v>1</v>
      </c>
      <c r="L124" s="285" t="n">
        <f aca="false">IF(J124=0,0,G124*(1-N124)/J124)</f>
        <v>1</v>
      </c>
      <c r="M124" s="283" t="s">
        <v>1063</v>
      </c>
      <c r="N124" s="288" t="n">
        <f aca="false">IFERROR(MIN(1,'P9-005'!$V$82)+0,0)</f>
        <v>0</v>
      </c>
      <c r="O124" s="289" t="n">
        <f aca="false">IF($L124=0,0,$L124*MAX(0,NETWORKDAYS(MAX($H124,ASOF,O$72),MIN(MAX($I124,ASOF),O$72+6),HOLIDAYS)))</f>
        <v>0</v>
      </c>
      <c r="P124" s="289" t="n">
        <f aca="false">IF($L124=0,0,$L124*MAX(0,NETWORKDAYS(MAX($H124,ASOF,P$72),MIN(MAX($I124,ASOF),P$72+6),HOLIDAYS)))</f>
        <v>0</v>
      </c>
      <c r="Q124" s="289" t="n">
        <f aca="false">IF($L124=0,0,$L124*MAX(0,NETWORKDAYS(MAX($H124,ASOF,Q$72),MIN(MAX($I124,ASOF),Q$72+6),HOLIDAYS)))</f>
        <v>2</v>
      </c>
      <c r="R124" s="289" t="n">
        <f aca="false">IF($L124=0,0,$L124*MAX(0,NETWORKDAYS(MAX($H124,ASOF,R$72),MIN(MAX($I124,ASOF),R$72+6),HOLIDAYS)))</f>
        <v>0</v>
      </c>
      <c r="S124" s="289" t="n">
        <f aca="false">IF($L124=0,0,$L124*MAX(0,NETWORKDAYS(MAX($H124,ASOF,S$72),MIN(MAX($I124,ASOF),S$72+6),HOLIDAYS)))</f>
        <v>0</v>
      </c>
      <c r="T124" s="289" t="n">
        <f aca="false">IF($L124=0,0,$L124*MAX(0,NETWORKDAYS(MAX($H124,ASOF,T$72),MIN(MAX($I124,ASOF),T$72+6),HOLIDAYS)))</f>
        <v>0</v>
      </c>
      <c r="U124" s="289" t="n">
        <f aca="false">IF($L124=0,0,$L124*MAX(0,NETWORKDAYS(MAX($H124,ASOF,U$72),MIN(MAX($I124,ASOF),U$72+6),HOLIDAYS)))</f>
        <v>0</v>
      </c>
      <c r="V124" s="289" t="n">
        <f aca="false">IF($L124=0,0,$L124*MAX(0,NETWORKDAYS(MAX($H124,ASOF,V$72),MIN(MAX($I124,ASOF),V$72+6),HOLIDAYS)))</f>
        <v>0</v>
      </c>
      <c r="W124" s="289" t="n">
        <f aca="false">IF($L124=0,0,$L124*MAX(0,NETWORKDAYS(MAX($H124,ASOF,W$72),MIN(MAX($I124,ASOF),W$72+6),HOLIDAYS)))</f>
        <v>0</v>
      </c>
      <c r="X124" s="289" t="n">
        <f aca="false">IF($L124=0,0,$L124*MAX(0,NETWORKDAYS(MAX($H124,ASOF,X$72),MIN(MAX($I124,ASOF),X$72+6),HOLIDAYS)))</f>
        <v>0</v>
      </c>
      <c r="Y124" s="289" t="n">
        <f aca="false">IF($L124=0,0,$L124*MAX(0,NETWORKDAYS(MAX($H124,ASOF,Y$72),MIN(MAX($I124,ASOF),Y$72+6),HOLIDAYS)))</f>
        <v>0</v>
      </c>
      <c r="Z124" s="289" t="n">
        <f aca="false">IF($L124=0,0,$L124*MAX(0,NETWORKDAYS(MAX($H124,ASOF,Z$72),MIN(MAX($I124,ASOF),Z$72+6),HOLIDAYS)))</f>
        <v>0</v>
      </c>
      <c r="AA124" s="289" t="n">
        <f aca="false">IF($L124=0,0,$L124*MAX(0,NETWORKDAYS(MAX($H124,ASOF,AA$72),MIN(MAX($I124,ASOF),AA$72+6),HOLIDAYS)))</f>
        <v>0</v>
      </c>
      <c r="AB124" s="289" t="n">
        <f aca="false">IF($L124=0,0,$L124*MAX(0,NETWORKDAYS(MAX($H124,ASOF,AB$72),MIN(MAX($I124,ASOF),AB$72+6),HOLIDAYS)))</f>
        <v>0</v>
      </c>
      <c r="AC124" s="289" t="n">
        <f aca="false">IF($L124=0,0,$L124*MAX(0,NETWORKDAYS(MAX($H124,ASOF,AC$72),MIN(MAX($I124,ASOF),AC$72+6),HOLIDAYS)))</f>
        <v>0</v>
      </c>
      <c r="AD124" s="289" t="n">
        <f aca="false">IF($L124=0,0,$L124*MAX(0,NETWORKDAYS(MAX($H124,ASOF,AD$72),MIN(MAX($I124,ASOF),AD$72+6),HOLIDAYS)))</f>
        <v>0</v>
      </c>
      <c r="AE124" s="289" t="n">
        <f aca="false">IF($L124=0,0,$L124*MAX(0,NETWORKDAYS(MAX($H124,ASOF,AE$72),MIN(MAX($I124,ASOF),AE$72+6),HOLIDAYS)))</f>
        <v>0</v>
      </c>
      <c r="AF124" s="289" t="n">
        <f aca="false">IF($L124=0,0,$L124*MAX(0,NETWORKDAYS(MAX($H124,ASOF,AF$72),MIN(MAX($I124,ASOF),AF$72+6),HOLIDAYS)))</f>
        <v>0</v>
      </c>
      <c r="AG124" s="289" t="n">
        <f aca="false">IF($L124=0,0,$L124*MAX(0,NETWORKDAYS(MAX($H124,ASOF,AG$72),MIN(MAX($I124,ASOF),AG$72+6),HOLIDAYS)))</f>
        <v>0</v>
      </c>
      <c r="AH124" s="289" t="n">
        <f aca="false">IF($L124=0,0,$L124*MAX(0,NETWORKDAYS(MAX($H124,ASOF,AH$72),MIN(MAX($I124,ASOF),AH$72+6),HOLIDAYS)))</f>
        <v>0</v>
      </c>
      <c r="AI124" s="289" t="n">
        <f aca="false">IF($L124=0,0,$L124*MAX(0,NETWORKDAYS(MAX($H124,ASOF,AI$72),MIN(MAX($I124,ASOF),AI$72+6),HOLIDAYS)))</f>
        <v>0</v>
      </c>
      <c r="AJ124" s="289" t="n">
        <f aca="false">IF($L124=0,0,$L124*MAX(0,NETWORKDAYS(MAX($H124,ASOF,AJ$72),MIN(MAX($I124,ASOF),AJ$72+6),HOLIDAYS)))</f>
        <v>0</v>
      </c>
      <c r="AK124" s="289" t="n">
        <f aca="false">IF($L124=0,0,$L124*MAX(0,NETWORKDAYS(MAX($H124,ASOF,AK$72),MIN(MAX($I124,ASOF),AK$72+6),HOLIDAYS)))</f>
        <v>0</v>
      </c>
      <c r="AL124" s="289" t="n">
        <f aca="false">IF($L124=0,0,$L124*MAX(0,NETWORKDAYS(MAX($H124,ASOF,AL$72),MIN(MAX($I124,ASOF),AL$72+6),HOLIDAYS)))</f>
        <v>0</v>
      </c>
      <c r="AM124" s="289" t="n">
        <f aca="false">IF($L124=0,0,$L124*MAX(0,NETWORKDAYS(MAX($H124,ASOF,AM$72),MIN(MAX($I124,ASOF),AM$72+6),HOLIDAYS)))</f>
        <v>0</v>
      </c>
      <c r="AN124" s="289" t="n">
        <f aca="false">IF($L124=0,0,$L124*MAX(0,NETWORKDAYS(MAX($H124,ASOF,AN$72),MIN(MAX($I124,ASOF),AN$72+6),HOLIDAYS)))</f>
        <v>0</v>
      </c>
      <c r="AO124" s="289" t="n">
        <f aca="false">IF($L124=0,0,$L124*MAX(0,NETWORKDAYS(MAX($H124,ASOF,AO$72),MIN(MAX($I124,ASOF),AO$72+6),HOLIDAYS)))</f>
        <v>0</v>
      </c>
      <c r="AP124" s="289" t="n">
        <f aca="false">IF($L124=0,0,$L124*MAX(0,NETWORKDAYS(MAX($H124,ASOF,AP$72),MIN(MAX($I124,ASOF),AP$72+6),HOLIDAYS)))</f>
        <v>0</v>
      </c>
      <c r="AQ124" s="289" t="n">
        <f aca="false">IF($L124=0,0,$L124*MAX(0,NETWORKDAYS(MAX($H124,ASOF,AQ$72),MIN(MAX($I124,ASOF),AQ$72+6),HOLIDAYS)))</f>
        <v>0</v>
      </c>
      <c r="AR124" s="289" t="n">
        <f aca="false">IF($L124=0,0,$L124*MAX(0,NETWORKDAYS(MAX($H124,ASOF,AR$72),MIN(MAX($I124,ASOF),AR$72+6),HOLIDAYS)))</f>
        <v>0</v>
      </c>
    </row>
    <row r="125" customFormat="false" ht="15" hidden="false" customHeight="false" outlineLevel="1" collapsed="false">
      <c r="A125" s="282" t="s">
        <v>58</v>
      </c>
      <c r="B125" s="283" t="s">
        <v>60</v>
      </c>
      <c r="C125" s="284" t="s">
        <v>2363</v>
      </c>
      <c r="D125" s="284" t="s">
        <v>2290</v>
      </c>
      <c r="E125" s="285" t="n">
        <v>1</v>
      </c>
      <c r="F125" s="290" t="s">
        <v>35</v>
      </c>
      <c r="G125" s="285" t="n">
        <f aca="false">IF(IFERROR(INDEX(INVS_TYPE,MATCH("P9-005",INVS_ID,0)),"")="สร้างใหม่ (E09)",$F$9*$H$9,0)</f>
        <v>24</v>
      </c>
      <c r="H125" s="286" t="n">
        <f aca="false">IF(ISNUMBER('P9-005'!$N$85),'P9-005'!$N$85,"")</f>
        <v>46343</v>
      </c>
      <c r="I125" s="286" t="n">
        <f aca="false">IF(ISNUMBER('P9-005'!$O$85),'P9-005'!$O$85,"")</f>
        <v>46346</v>
      </c>
      <c r="J125" s="287" t="n">
        <f aca="false">IF(OR(H125="",I125="",N125&gt;=1),0,MAX(1,NETWORKDAYS(MAX(H125,ASOF),MAX(I125,ASOF),HOLIDAYS)))</f>
        <v>4</v>
      </c>
      <c r="K125" s="287" t="n">
        <f aca="false">IF(L125=0,0,ROUNDUP(L125/$F$9,0))</f>
        <v>2</v>
      </c>
      <c r="L125" s="285" t="n">
        <f aca="false">IF(J125=0,0,G125*(1-N125)/J125)</f>
        <v>6</v>
      </c>
      <c r="M125" s="283" t="s">
        <v>2288</v>
      </c>
      <c r="N125" s="288" t="n">
        <f aca="false">IFERROR(MIN(1,'P9-005'!$V$85)+0,0)</f>
        <v>0</v>
      </c>
      <c r="O125" s="289" t="n">
        <f aca="false">IF($L125=0,0,$L125*MAX(0,NETWORKDAYS(MAX($H125,ASOF,O$72),MIN(MAX($I125,ASOF),O$72+6),HOLIDAYS)))</f>
        <v>0</v>
      </c>
      <c r="P125" s="289" t="n">
        <f aca="false">IF($L125=0,0,$L125*MAX(0,NETWORKDAYS(MAX($H125,ASOF,P$72),MIN(MAX($I125,ASOF),P$72+6),HOLIDAYS)))</f>
        <v>0</v>
      </c>
      <c r="Q125" s="289" t="n">
        <f aca="false">IF($L125=0,0,$L125*MAX(0,NETWORKDAYS(MAX($H125,ASOF,Q$72),MIN(MAX($I125,ASOF),Q$72+6),HOLIDAYS)))</f>
        <v>24</v>
      </c>
      <c r="R125" s="289" t="n">
        <f aca="false">IF($L125=0,0,$L125*MAX(0,NETWORKDAYS(MAX($H125,ASOF,R$72),MIN(MAX($I125,ASOF),R$72+6),HOLIDAYS)))</f>
        <v>0</v>
      </c>
      <c r="S125" s="289" t="n">
        <f aca="false">IF($L125=0,0,$L125*MAX(0,NETWORKDAYS(MAX($H125,ASOF,S$72),MIN(MAX($I125,ASOF),S$72+6),HOLIDAYS)))</f>
        <v>0</v>
      </c>
      <c r="T125" s="289" t="n">
        <f aca="false">IF($L125=0,0,$L125*MAX(0,NETWORKDAYS(MAX($H125,ASOF,T$72),MIN(MAX($I125,ASOF),T$72+6),HOLIDAYS)))</f>
        <v>0</v>
      </c>
      <c r="U125" s="289" t="n">
        <f aca="false">IF($L125=0,0,$L125*MAX(0,NETWORKDAYS(MAX($H125,ASOF,U$72),MIN(MAX($I125,ASOF),U$72+6),HOLIDAYS)))</f>
        <v>0</v>
      </c>
      <c r="V125" s="289" t="n">
        <f aca="false">IF($L125=0,0,$L125*MAX(0,NETWORKDAYS(MAX($H125,ASOF,V$72),MIN(MAX($I125,ASOF),V$72+6),HOLIDAYS)))</f>
        <v>0</v>
      </c>
      <c r="W125" s="289" t="n">
        <f aca="false">IF($L125=0,0,$L125*MAX(0,NETWORKDAYS(MAX($H125,ASOF,W$72),MIN(MAX($I125,ASOF),W$72+6),HOLIDAYS)))</f>
        <v>0</v>
      </c>
      <c r="X125" s="289" t="n">
        <f aca="false">IF($L125=0,0,$L125*MAX(0,NETWORKDAYS(MAX($H125,ASOF,X$72),MIN(MAX($I125,ASOF),X$72+6),HOLIDAYS)))</f>
        <v>0</v>
      </c>
      <c r="Y125" s="289" t="n">
        <f aca="false">IF($L125=0,0,$L125*MAX(0,NETWORKDAYS(MAX($H125,ASOF,Y$72),MIN(MAX($I125,ASOF),Y$72+6),HOLIDAYS)))</f>
        <v>0</v>
      </c>
      <c r="Z125" s="289" t="n">
        <f aca="false">IF($L125=0,0,$L125*MAX(0,NETWORKDAYS(MAX($H125,ASOF,Z$72),MIN(MAX($I125,ASOF),Z$72+6),HOLIDAYS)))</f>
        <v>0</v>
      </c>
      <c r="AA125" s="289" t="n">
        <f aca="false">IF($L125=0,0,$L125*MAX(0,NETWORKDAYS(MAX($H125,ASOF,AA$72),MIN(MAX($I125,ASOF),AA$72+6),HOLIDAYS)))</f>
        <v>0</v>
      </c>
      <c r="AB125" s="289" t="n">
        <f aca="false">IF($L125=0,0,$L125*MAX(0,NETWORKDAYS(MAX($H125,ASOF,AB$72),MIN(MAX($I125,ASOF),AB$72+6),HOLIDAYS)))</f>
        <v>0</v>
      </c>
      <c r="AC125" s="289" t="n">
        <f aca="false">IF($L125=0,0,$L125*MAX(0,NETWORKDAYS(MAX($H125,ASOF,AC$72),MIN(MAX($I125,ASOF),AC$72+6),HOLIDAYS)))</f>
        <v>0</v>
      </c>
      <c r="AD125" s="289" t="n">
        <f aca="false">IF($L125=0,0,$L125*MAX(0,NETWORKDAYS(MAX($H125,ASOF,AD$72),MIN(MAX($I125,ASOF),AD$72+6),HOLIDAYS)))</f>
        <v>0</v>
      </c>
      <c r="AE125" s="289" t="n">
        <f aca="false">IF($L125=0,0,$L125*MAX(0,NETWORKDAYS(MAX($H125,ASOF,AE$72),MIN(MAX($I125,ASOF),AE$72+6),HOLIDAYS)))</f>
        <v>0</v>
      </c>
      <c r="AF125" s="289" t="n">
        <f aca="false">IF($L125=0,0,$L125*MAX(0,NETWORKDAYS(MAX($H125,ASOF,AF$72),MIN(MAX($I125,ASOF),AF$72+6),HOLIDAYS)))</f>
        <v>0</v>
      </c>
      <c r="AG125" s="289" t="n">
        <f aca="false">IF($L125=0,0,$L125*MAX(0,NETWORKDAYS(MAX($H125,ASOF,AG$72),MIN(MAX($I125,ASOF),AG$72+6),HOLIDAYS)))</f>
        <v>0</v>
      </c>
      <c r="AH125" s="289" t="n">
        <f aca="false">IF($L125=0,0,$L125*MAX(0,NETWORKDAYS(MAX($H125,ASOF,AH$72),MIN(MAX($I125,ASOF),AH$72+6),HOLIDAYS)))</f>
        <v>0</v>
      </c>
      <c r="AI125" s="289" t="n">
        <f aca="false">IF($L125=0,0,$L125*MAX(0,NETWORKDAYS(MAX($H125,ASOF,AI$72),MIN(MAX($I125,ASOF),AI$72+6),HOLIDAYS)))</f>
        <v>0</v>
      </c>
      <c r="AJ125" s="289" t="n">
        <f aca="false">IF($L125=0,0,$L125*MAX(0,NETWORKDAYS(MAX($H125,ASOF,AJ$72),MIN(MAX($I125,ASOF),AJ$72+6),HOLIDAYS)))</f>
        <v>0</v>
      </c>
      <c r="AK125" s="289" t="n">
        <f aca="false">IF($L125=0,0,$L125*MAX(0,NETWORKDAYS(MAX($H125,ASOF,AK$72),MIN(MAX($I125,ASOF),AK$72+6),HOLIDAYS)))</f>
        <v>0</v>
      </c>
      <c r="AL125" s="289" t="n">
        <f aca="false">IF($L125=0,0,$L125*MAX(0,NETWORKDAYS(MAX($H125,ASOF,AL$72),MIN(MAX($I125,ASOF),AL$72+6),HOLIDAYS)))</f>
        <v>0</v>
      </c>
      <c r="AM125" s="289" t="n">
        <f aca="false">IF($L125=0,0,$L125*MAX(0,NETWORKDAYS(MAX($H125,ASOF,AM$72),MIN(MAX($I125,ASOF),AM$72+6),HOLIDAYS)))</f>
        <v>0</v>
      </c>
      <c r="AN125" s="289" t="n">
        <f aca="false">IF($L125=0,0,$L125*MAX(0,NETWORKDAYS(MAX($H125,ASOF,AN$72),MIN(MAX($I125,ASOF),AN$72+6),HOLIDAYS)))</f>
        <v>0</v>
      </c>
      <c r="AO125" s="289" t="n">
        <f aca="false">IF($L125=0,0,$L125*MAX(0,NETWORKDAYS(MAX($H125,ASOF,AO$72),MIN(MAX($I125,ASOF),AO$72+6),HOLIDAYS)))</f>
        <v>0</v>
      </c>
      <c r="AP125" s="289" t="n">
        <f aca="false">IF($L125=0,0,$L125*MAX(0,NETWORKDAYS(MAX($H125,ASOF,AP$72),MIN(MAX($I125,ASOF),AP$72+6),HOLIDAYS)))</f>
        <v>0</v>
      </c>
      <c r="AQ125" s="289" t="n">
        <f aca="false">IF($L125=0,0,$L125*MAX(0,NETWORKDAYS(MAX($H125,ASOF,AQ$72),MIN(MAX($I125,ASOF),AQ$72+6),HOLIDAYS)))</f>
        <v>0</v>
      </c>
      <c r="AR125" s="289" t="n">
        <f aca="false">IF($L125=0,0,$L125*MAX(0,NETWORKDAYS(MAX($H125,ASOF,AR$72),MIN(MAX($I125,ASOF),AR$72+6),HOLIDAYS)))</f>
        <v>0</v>
      </c>
    </row>
    <row r="126" customFormat="false" ht="15" hidden="false" customHeight="false" outlineLevel="1" collapsed="false">
      <c r="A126" s="282" t="s">
        <v>58</v>
      </c>
      <c r="B126" s="283" t="s">
        <v>60</v>
      </c>
      <c r="C126" s="284" t="s">
        <v>2364</v>
      </c>
      <c r="D126" s="284" t="s">
        <v>2284</v>
      </c>
      <c r="E126" s="285" t="n">
        <f aca="false">IFERROR(INDEX(INVS_N,MATCH("P9-005",INVS_ID,0)),1)</f>
        <v>1</v>
      </c>
      <c r="F126" s="290" t="s">
        <v>2365</v>
      </c>
      <c r="G126" s="285" t="n">
        <f aca="false">$F$10*(E126/$G$10+$H$10)</f>
        <v>3</v>
      </c>
      <c r="H126" s="286" t="n">
        <f aca="false">IF(ISNUMBER('P9-005'!$N$85),'P9-005'!$N$85,"")</f>
        <v>46343</v>
      </c>
      <c r="I126" s="286" t="n">
        <f aca="false">IF(ISNUMBER('P9-005'!$O$85),'P9-005'!$O$85,"")</f>
        <v>46346</v>
      </c>
      <c r="J126" s="287" t="n">
        <f aca="false">IF(OR(H126="",I126="",N126&gt;=1),0,MAX(1,NETWORKDAYS(MAX(H126,ASOF),MAX(I126,ASOF),HOLIDAYS)))</f>
        <v>4</v>
      </c>
      <c r="K126" s="287" t="n">
        <f aca="false">IF(L126=0,0,ROUNDUP(L126/$F$10,0))</f>
        <v>1</v>
      </c>
      <c r="L126" s="285" t="n">
        <f aca="false">IF(J126=0,0,G126*(1-N126)/J126)</f>
        <v>0.75</v>
      </c>
      <c r="M126" s="283" t="s">
        <v>2293</v>
      </c>
      <c r="N126" s="288" t="n">
        <f aca="false">IFERROR(MIN(1,'P9-005'!$V$85)+0,0)</f>
        <v>0</v>
      </c>
      <c r="O126" s="289" t="n">
        <f aca="false">IF($L126=0,0,$L126*MAX(0,NETWORKDAYS(MAX($H126,ASOF,O$72),MIN(MAX($I126,ASOF),O$72+6),HOLIDAYS)))</f>
        <v>0</v>
      </c>
      <c r="P126" s="289" t="n">
        <f aca="false">IF($L126=0,0,$L126*MAX(0,NETWORKDAYS(MAX($H126,ASOF,P$72),MIN(MAX($I126,ASOF),P$72+6),HOLIDAYS)))</f>
        <v>0</v>
      </c>
      <c r="Q126" s="289" t="n">
        <f aca="false">IF($L126=0,0,$L126*MAX(0,NETWORKDAYS(MAX($H126,ASOF,Q$72),MIN(MAX($I126,ASOF),Q$72+6),HOLIDAYS)))</f>
        <v>3</v>
      </c>
      <c r="R126" s="289" t="n">
        <f aca="false">IF($L126=0,0,$L126*MAX(0,NETWORKDAYS(MAX($H126,ASOF,R$72),MIN(MAX($I126,ASOF),R$72+6),HOLIDAYS)))</f>
        <v>0</v>
      </c>
      <c r="S126" s="289" t="n">
        <f aca="false">IF($L126=0,0,$L126*MAX(0,NETWORKDAYS(MAX($H126,ASOF,S$72),MIN(MAX($I126,ASOF),S$72+6),HOLIDAYS)))</f>
        <v>0</v>
      </c>
      <c r="T126" s="289" t="n">
        <f aca="false">IF($L126=0,0,$L126*MAX(0,NETWORKDAYS(MAX($H126,ASOF,T$72),MIN(MAX($I126,ASOF),T$72+6),HOLIDAYS)))</f>
        <v>0</v>
      </c>
      <c r="U126" s="289" t="n">
        <f aca="false">IF($L126=0,0,$L126*MAX(0,NETWORKDAYS(MAX($H126,ASOF,U$72),MIN(MAX($I126,ASOF),U$72+6),HOLIDAYS)))</f>
        <v>0</v>
      </c>
      <c r="V126" s="289" t="n">
        <f aca="false">IF($L126=0,0,$L126*MAX(0,NETWORKDAYS(MAX($H126,ASOF,V$72),MIN(MAX($I126,ASOF),V$72+6),HOLIDAYS)))</f>
        <v>0</v>
      </c>
      <c r="W126" s="289" t="n">
        <f aca="false">IF($L126=0,0,$L126*MAX(0,NETWORKDAYS(MAX($H126,ASOF,W$72),MIN(MAX($I126,ASOF),W$72+6),HOLIDAYS)))</f>
        <v>0</v>
      </c>
      <c r="X126" s="289" t="n">
        <f aca="false">IF($L126=0,0,$L126*MAX(0,NETWORKDAYS(MAX($H126,ASOF,X$72),MIN(MAX($I126,ASOF),X$72+6),HOLIDAYS)))</f>
        <v>0</v>
      </c>
      <c r="Y126" s="289" t="n">
        <f aca="false">IF($L126=0,0,$L126*MAX(0,NETWORKDAYS(MAX($H126,ASOF,Y$72),MIN(MAX($I126,ASOF),Y$72+6),HOLIDAYS)))</f>
        <v>0</v>
      </c>
      <c r="Z126" s="289" t="n">
        <f aca="false">IF($L126=0,0,$L126*MAX(0,NETWORKDAYS(MAX($H126,ASOF,Z$72),MIN(MAX($I126,ASOF),Z$72+6),HOLIDAYS)))</f>
        <v>0</v>
      </c>
      <c r="AA126" s="289" t="n">
        <f aca="false">IF($L126=0,0,$L126*MAX(0,NETWORKDAYS(MAX($H126,ASOF,AA$72),MIN(MAX($I126,ASOF),AA$72+6),HOLIDAYS)))</f>
        <v>0</v>
      </c>
      <c r="AB126" s="289" t="n">
        <f aca="false">IF($L126=0,0,$L126*MAX(0,NETWORKDAYS(MAX($H126,ASOF,AB$72),MIN(MAX($I126,ASOF),AB$72+6),HOLIDAYS)))</f>
        <v>0</v>
      </c>
      <c r="AC126" s="289" t="n">
        <f aca="false">IF($L126=0,0,$L126*MAX(0,NETWORKDAYS(MAX($H126,ASOF,AC$72),MIN(MAX($I126,ASOF),AC$72+6),HOLIDAYS)))</f>
        <v>0</v>
      </c>
      <c r="AD126" s="289" t="n">
        <f aca="false">IF($L126=0,0,$L126*MAX(0,NETWORKDAYS(MAX($H126,ASOF,AD$72),MIN(MAX($I126,ASOF),AD$72+6),HOLIDAYS)))</f>
        <v>0</v>
      </c>
      <c r="AE126" s="289" t="n">
        <f aca="false">IF($L126=0,0,$L126*MAX(0,NETWORKDAYS(MAX($H126,ASOF,AE$72),MIN(MAX($I126,ASOF),AE$72+6),HOLIDAYS)))</f>
        <v>0</v>
      </c>
      <c r="AF126" s="289" t="n">
        <f aca="false">IF($L126=0,0,$L126*MAX(0,NETWORKDAYS(MAX($H126,ASOF,AF$72),MIN(MAX($I126,ASOF),AF$72+6),HOLIDAYS)))</f>
        <v>0</v>
      </c>
      <c r="AG126" s="289" t="n">
        <f aca="false">IF($L126=0,0,$L126*MAX(0,NETWORKDAYS(MAX($H126,ASOF,AG$72),MIN(MAX($I126,ASOF),AG$72+6),HOLIDAYS)))</f>
        <v>0</v>
      </c>
      <c r="AH126" s="289" t="n">
        <f aca="false">IF($L126=0,0,$L126*MAX(0,NETWORKDAYS(MAX($H126,ASOF,AH$72),MIN(MAX($I126,ASOF),AH$72+6),HOLIDAYS)))</f>
        <v>0</v>
      </c>
      <c r="AI126" s="289" t="n">
        <f aca="false">IF($L126=0,0,$L126*MAX(0,NETWORKDAYS(MAX($H126,ASOF,AI$72),MIN(MAX($I126,ASOF),AI$72+6),HOLIDAYS)))</f>
        <v>0</v>
      </c>
      <c r="AJ126" s="289" t="n">
        <f aca="false">IF($L126=0,0,$L126*MAX(0,NETWORKDAYS(MAX($H126,ASOF,AJ$72),MIN(MAX($I126,ASOF),AJ$72+6),HOLIDAYS)))</f>
        <v>0</v>
      </c>
      <c r="AK126" s="289" t="n">
        <f aca="false">IF($L126=0,0,$L126*MAX(0,NETWORKDAYS(MAX($H126,ASOF,AK$72),MIN(MAX($I126,ASOF),AK$72+6),HOLIDAYS)))</f>
        <v>0</v>
      </c>
      <c r="AL126" s="289" t="n">
        <f aca="false">IF($L126=0,0,$L126*MAX(0,NETWORKDAYS(MAX($H126,ASOF,AL$72),MIN(MAX($I126,ASOF),AL$72+6),HOLIDAYS)))</f>
        <v>0</v>
      </c>
      <c r="AM126" s="289" t="n">
        <f aca="false">IF($L126=0,0,$L126*MAX(0,NETWORKDAYS(MAX($H126,ASOF,AM$72),MIN(MAX($I126,ASOF),AM$72+6),HOLIDAYS)))</f>
        <v>0</v>
      </c>
      <c r="AN126" s="289" t="n">
        <f aca="false">IF($L126=0,0,$L126*MAX(0,NETWORKDAYS(MAX($H126,ASOF,AN$72),MIN(MAX($I126,ASOF),AN$72+6),HOLIDAYS)))</f>
        <v>0</v>
      </c>
      <c r="AO126" s="289" t="n">
        <f aca="false">IF($L126=0,0,$L126*MAX(0,NETWORKDAYS(MAX($H126,ASOF,AO$72),MIN(MAX($I126,ASOF),AO$72+6),HOLIDAYS)))</f>
        <v>0</v>
      </c>
      <c r="AP126" s="289" t="n">
        <f aca="false">IF($L126=0,0,$L126*MAX(0,NETWORKDAYS(MAX($H126,ASOF,AP$72),MIN(MAX($I126,ASOF),AP$72+6),HOLIDAYS)))</f>
        <v>0</v>
      </c>
      <c r="AQ126" s="289" t="n">
        <f aca="false">IF($L126=0,0,$L126*MAX(0,NETWORKDAYS(MAX($H126,ASOF,AQ$72),MIN(MAX($I126,ASOF),AQ$72+6),HOLIDAYS)))</f>
        <v>0</v>
      </c>
      <c r="AR126" s="289" t="n">
        <f aca="false">IF($L126=0,0,$L126*MAX(0,NETWORKDAYS(MAX($H126,ASOF,AR$72),MIN(MAX($I126,ASOF),AR$72+6),HOLIDAYS)))</f>
        <v>0</v>
      </c>
    </row>
    <row r="127" customFormat="false" ht="15" hidden="false" customHeight="false" outlineLevel="1" collapsed="false">
      <c r="A127" s="282" t="s">
        <v>58</v>
      </c>
      <c r="B127" s="283" t="s">
        <v>60</v>
      </c>
      <c r="C127" s="284" t="s">
        <v>2366</v>
      </c>
      <c r="D127" s="284" t="s">
        <v>2284</v>
      </c>
      <c r="E127" s="285" t="n">
        <v>1</v>
      </c>
      <c r="F127" s="290" t="s">
        <v>35</v>
      </c>
      <c r="G127" s="285" t="n">
        <f aca="false">$F$11*$H$11</f>
        <v>16</v>
      </c>
      <c r="H127" s="286" t="n">
        <f aca="false">IF(ISNUMBER('P9-005'!$N$90),'P9-005'!$N$90,"")</f>
        <v>46344</v>
      </c>
      <c r="I127" s="286" t="n">
        <f aca="false">IF(ISNUMBER('P9-005'!$O$90),'P9-005'!$O$90,"")</f>
        <v>46347</v>
      </c>
      <c r="J127" s="287" t="n">
        <f aca="false">IF(OR(H127="",I127="",N127&gt;=1),0,MAX(1,NETWORKDAYS(MAX(H127,ASOF),MAX(I127,ASOF),HOLIDAYS)))</f>
        <v>3</v>
      </c>
      <c r="K127" s="287" t="n">
        <f aca="false">IF(L127=0,0,ROUNDUP(L127/$F$11,0))</f>
        <v>2</v>
      </c>
      <c r="L127" s="285" t="n">
        <f aca="false">IF(J127=0,0,G127*(1-N127)/J127)</f>
        <v>5.33333333333333</v>
      </c>
      <c r="M127" s="283" t="s">
        <v>1113</v>
      </c>
      <c r="N127" s="288" t="n">
        <f aca="false">IFERROR(MIN(1,'P9-005'!$V$90)+0,0)</f>
        <v>0</v>
      </c>
      <c r="O127" s="289" t="n">
        <f aca="false">IF($L127=0,0,$L127*MAX(0,NETWORKDAYS(MAX($H127,ASOF,O$72),MIN(MAX($I127,ASOF),O$72+6),HOLIDAYS)))</f>
        <v>0</v>
      </c>
      <c r="P127" s="289" t="n">
        <f aca="false">IF($L127=0,0,$L127*MAX(0,NETWORKDAYS(MAX($H127,ASOF,P$72),MIN(MAX($I127,ASOF),P$72+6),HOLIDAYS)))</f>
        <v>0</v>
      </c>
      <c r="Q127" s="289" t="n">
        <f aca="false">IF($L127=0,0,$L127*MAX(0,NETWORKDAYS(MAX($H127,ASOF,Q$72),MIN(MAX($I127,ASOF),Q$72+6),HOLIDAYS)))</f>
        <v>16</v>
      </c>
      <c r="R127" s="289" t="n">
        <f aca="false">IF($L127=0,0,$L127*MAX(0,NETWORKDAYS(MAX($H127,ASOF,R$72),MIN(MAX($I127,ASOF),R$72+6),HOLIDAYS)))</f>
        <v>0</v>
      </c>
      <c r="S127" s="289" t="n">
        <f aca="false">IF($L127=0,0,$L127*MAX(0,NETWORKDAYS(MAX($H127,ASOF,S$72),MIN(MAX($I127,ASOF),S$72+6),HOLIDAYS)))</f>
        <v>0</v>
      </c>
      <c r="T127" s="289" t="n">
        <f aca="false">IF($L127=0,0,$L127*MAX(0,NETWORKDAYS(MAX($H127,ASOF,T$72),MIN(MAX($I127,ASOF),T$72+6),HOLIDAYS)))</f>
        <v>0</v>
      </c>
      <c r="U127" s="289" t="n">
        <f aca="false">IF($L127=0,0,$L127*MAX(0,NETWORKDAYS(MAX($H127,ASOF,U$72),MIN(MAX($I127,ASOF),U$72+6),HOLIDAYS)))</f>
        <v>0</v>
      </c>
      <c r="V127" s="289" t="n">
        <f aca="false">IF($L127=0,0,$L127*MAX(0,NETWORKDAYS(MAX($H127,ASOF,V$72),MIN(MAX($I127,ASOF),V$72+6),HOLIDAYS)))</f>
        <v>0</v>
      </c>
      <c r="W127" s="289" t="n">
        <f aca="false">IF($L127=0,0,$L127*MAX(0,NETWORKDAYS(MAX($H127,ASOF,W$72),MIN(MAX($I127,ASOF),W$72+6),HOLIDAYS)))</f>
        <v>0</v>
      </c>
      <c r="X127" s="289" t="n">
        <f aca="false">IF($L127=0,0,$L127*MAX(0,NETWORKDAYS(MAX($H127,ASOF,X$72),MIN(MAX($I127,ASOF),X$72+6),HOLIDAYS)))</f>
        <v>0</v>
      </c>
      <c r="Y127" s="289" t="n">
        <f aca="false">IF($L127=0,0,$L127*MAX(0,NETWORKDAYS(MAX($H127,ASOF,Y$72),MIN(MAX($I127,ASOF),Y$72+6),HOLIDAYS)))</f>
        <v>0</v>
      </c>
      <c r="Z127" s="289" t="n">
        <f aca="false">IF($L127=0,0,$L127*MAX(0,NETWORKDAYS(MAX($H127,ASOF,Z$72),MIN(MAX($I127,ASOF),Z$72+6),HOLIDAYS)))</f>
        <v>0</v>
      </c>
      <c r="AA127" s="289" t="n">
        <f aca="false">IF($L127=0,0,$L127*MAX(0,NETWORKDAYS(MAX($H127,ASOF,AA$72),MIN(MAX($I127,ASOF),AA$72+6),HOLIDAYS)))</f>
        <v>0</v>
      </c>
      <c r="AB127" s="289" t="n">
        <f aca="false">IF($L127=0,0,$L127*MAX(0,NETWORKDAYS(MAX($H127,ASOF,AB$72),MIN(MAX($I127,ASOF),AB$72+6),HOLIDAYS)))</f>
        <v>0</v>
      </c>
      <c r="AC127" s="289" t="n">
        <f aca="false">IF($L127=0,0,$L127*MAX(0,NETWORKDAYS(MAX($H127,ASOF,AC$72),MIN(MAX($I127,ASOF),AC$72+6),HOLIDAYS)))</f>
        <v>0</v>
      </c>
      <c r="AD127" s="289" t="n">
        <f aca="false">IF($L127=0,0,$L127*MAX(0,NETWORKDAYS(MAX($H127,ASOF,AD$72),MIN(MAX($I127,ASOF),AD$72+6),HOLIDAYS)))</f>
        <v>0</v>
      </c>
      <c r="AE127" s="289" t="n">
        <f aca="false">IF($L127=0,0,$L127*MAX(0,NETWORKDAYS(MAX($H127,ASOF,AE$72),MIN(MAX($I127,ASOF),AE$72+6),HOLIDAYS)))</f>
        <v>0</v>
      </c>
      <c r="AF127" s="289" t="n">
        <f aca="false">IF($L127=0,0,$L127*MAX(0,NETWORKDAYS(MAX($H127,ASOF,AF$72),MIN(MAX($I127,ASOF),AF$72+6),HOLIDAYS)))</f>
        <v>0</v>
      </c>
      <c r="AG127" s="289" t="n">
        <f aca="false">IF($L127=0,0,$L127*MAX(0,NETWORKDAYS(MAX($H127,ASOF,AG$72),MIN(MAX($I127,ASOF),AG$72+6),HOLIDAYS)))</f>
        <v>0</v>
      </c>
      <c r="AH127" s="289" t="n">
        <f aca="false">IF($L127=0,0,$L127*MAX(0,NETWORKDAYS(MAX($H127,ASOF,AH$72),MIN(MAX($I127,ASOF),AH$72+6),HOLIDAYS)))</f>
        <v>0</v>
      </c>
      <c r="AI127" s="289" t="n">
        <f aca="false">IF($L127=0,0,$L127*MAX(0,NETWORKDAYS(MAX($H127,ASOF,AI$72),MIN(MAX($I127,ASOF),AI$72+6),HOLIDAYS)))</f>
        <v>0</v>
      </c>
      <c r="AJ127" s="289" t="n">
        <f aca="false">IF($L127=0,0,$L127*MAX(0,NETWORKDAYS(MAX($H127,ASOF,AJ$72),MIN(MAX($I127,ASOF),AJ$72+6),HOLIDAYS)))</f>
        <v>0</v>
      </c>
      <c r="AK127" s="289" t="n">
        <f aca="false">IF($L127=0,0,$L127*MAX(0,NETWORKDAYS(MAX($H127,ASOF,AK$72),MIN(MAX($I127,ASOF),AK$72+6),HOLIDAYS)))</f>
        <v>0</v>
      </c>
      <c r="AL127" s="289" t="n">
        <f aca="false">IF($L127=0,0,$L127*MAX(0,NETWORKDAYS(MAX($H127,ASOF,AL$72),MIN(MAX($I127,ASOF),AL$72+6),HOLIDAYS)))</f>
        <v>0</v>
      </c>
      <c r="AM127" s="289" t="n">
        <f aca="false">IF($L127=0,0,$L127*MAX(0,NETWORKDAYS(MAX($H127,ASOF,AM$72),MIN(MAX($I127,ASOF),AM$72+6),HOLIDAYS)))</f>
        <v>0</v>
      </c>
      <c r="AN127" s="289" t="n">
        <f aca="false">IF($L127=0,0,$L127*MAX(0,NETWORKDAYS(MAX($H127,ASOF,AN$72),MIN(MAX($I127,ASOF),AN$72+6),HOLIDAYS)))</f>
        <v>0</v>
      </c>
      <c r="AO127" s="289" t="n">
        <f aca="false">IF($L127=0,0,$L127*MAX(0,NETWORKDAYS(MAX($H127,ASOF,AO$72),MIN(MAX($I127,ASOF),AO$72+6),HOLIDAYS)))</f>
        <v>0</v>
      </c>
      <c r="AP127" s="289" t="n">
        <f aca="false">IF($L127=0,0,$L127*MAX(0,NETWORKDAYS(MAX($H127,ASOF,AP$72),MIN(MAX($I127,ASOF),AP$72+6),HOLIDAYS)))</f>
        <v>0</v>
      </c>
      <c r="AQ127" s="289" t="n">
        <f aca="false">IF($L127=0,0,$L127*MAX(0,NETWORKDAYS(MAX($H127,ASOF,AQ$72),MIN(MAX($I127,ASOF),AQ$72+6),HOLIDAYS)))</f>
        <v>0</v>
      </c>
      <c r="AR127" s="289" t="n">
        <f aca="false">IF($L127=0,0,$L127*MAX(0,NETWORKDAYS(MAX($H127,ASOF,AR$72),MIN(MAX($I127,ASOF),AR$72+6),HOLIDAYS)))</f>
        <v>0</v>
      </c>
    </row>
    <row r="128" customFormat="false" ht="15" hidden="false" customHeight="false" outlineLevel="1" collapsed="false">
      <c r="A128" s="282" t="s">
        <v>58</v>
      </c>
      <c r="B128" s="283" t="s">
        <v>60</v>
      </c>
      <c r="C128" s="284" t="s">
        <v>2367</v>
      </c>
      <c r="D128" s="284" t="s">
        <v>2284</v>
      </c>
      <c r="E128" s="285" t="n">
        <v>1</v>
      </c>
      <c r="F128" s="290" t="s">
        <v>35</v>
      </c>
      <c r="G128" s="285" t="n">
        <f aca="false">$F$12*$H$12</f>
        <v>4</v>
      </c>
      <c r="H128" s="286" t="n">
        <f aca="false">IF(ISNUMBER('P9-005'!$N$96),'P9-005'!$N$96,"")</f>
        <v>46345</v>
      </c>
      <c r="I128" s="286" t="n">
        <f aca="false">IF(ISNUMBER('P9-005'!$O$96),'P9-005'!$O$96,"")</f>
        <v>46347</v>
      </c>
      <c r="J128" s="287" t="n">
        <f aca="false">IF(OR(H128="",I128="",N128&gt;=1),0,MAX(1,NETWORKDAYS(MAX(H128,ASOF),MAX(I128,ASOF),HOLIDAYS)))</f>
        <v>2</v>
      </c>
      <c r="K128" s="287" t="n">
        <f aca="false">IF(L128=0,0,ROUNDUP(L128/$F$12,0))</f>
        <v>1</v>
      </c>
      <c r="L128" s="285" t="n">
        <f aca="false">IF(J128=0,0,G128*(1-N128)/J128)</f>
        <v>2</v>
      </c>
      <c r="M128" s="283" t="s">
        <v>1147</v>
      </c>
      <c r="N128" s="288" t="n">
        <f aca="false">IFERROR(MIN(1,'P9-005'!$V$96)+0,0)</f>
        <v>0</v>
      </c>
      <c r="O128" s="289" t="n">
        <f aca="false">IF($L128=0,0,$L128*MAX(0,NETWORKDAYS(MAX($H128,ASOF,O$72),MIN(MAX($I128,ASOF),O$72+6),HOLIDAYS)))</f>
        <v>0</v>
      </c>
      <c r="P128" s="289" t="n">
        <f aca="false">IF($L128=0,0,$L128*MAX(0,NETWORKDAYS(MAX($H128,ASOF,P$72),MIN(MAX($I128,ASOF),P$72+6),HOLIDAYS)))</f>
        <v>0</v>
      </c>
      <c r="Q128" s="289" t="n">
        <f aca="false">IF($L128=0,0,$L128*MAX(0,NETWORKDAYS(MAX($H128,ASOF,Q$72),MIN(MAX($I128,ASOF),Q$72+6),HOLIDAYS)))</f>
        <v>4</v>
      </c>
      <c r="R128" s="289" t="n">
        <f aca="false">IF($L128=0,0,$L128*MAX(0,NETWORKDAYS(MAX($H128,ASOF,R$72),MIN(MAX($I128,ASOF),R$72+6),HOLIDAYS)))</f>
        <v>0</v>
      </c>
      <c r="S128" s="289" t="n">
        <f aca="false">IF($L128=0,0,$L128*MAX(0,NETWORKDAYS(MAX($H128,ASOF,S$72),MIN(MAX($I128,ASOF),S$72+6),HOLIDAYS)))</f>
        <v>0</v>
      </c>
      <c r="T128" s="289" t="n">
        <f aca="false">IF($L128=0,0,$L128*MAX(0,NETWORKDAYS(MAX($H128,ASOF,T$72),MIN(MAX($I128,ASOF),T$72+6),HOLIDAYS)))</f>
        <v>0</v>
      </c>
      <c r="U128" s="289" t="n">
        <f aca="false">IF($L128=0,0,$L128*MAX(0,NETWORKDAYS(MAX($H128,ASOF,U$72),MIN(MAX($I128,ASOF),U$72+6),HOLIDAYS)))</f>
        <v>0</v>
      </c>
      <c r="V128" s="289" t="n">
        <f aca="false">IF($L128=0,0,$L128*MAX(0,NETWORKDAYS(MAX($H128,ASOF,V$72),MIN(MAX($I128,ASOF),V$72+6),HOLIDAYS)))</f>
        <v>0</v>
      </c>
      <c r="W128" s="289" t="n">
        <f aca="false">IF($L128=0,0,$L128*MAX(0,NETWORKDAYS(MAX($H128,ASOF,W$72),MIN(MAX($I128,ASOF),W$72+6),HOLIDAYS)))</f>
        <v>0</v>
      </c>
      <c r="X128" s="289" t="n">
        <f aca="false">IF($L128=0,0,$L128*MAX(0,NETWORKDAYS(MAX($H128,ASOF,X$72),MIN(MAX($I128,ASOF),X$72+6),HOLIDAYS)))</f>
        <v>0</v>
      </c>
      <c r="Y128" s="289" t="n">
        <f aca="false">IF($L128=0,0,$L128*MAX(0,NETWORKDAYS(MAX($H128,ASOF,Y$72),MIN(MAX($I128,ASOF),Y$72+6),HOLIDAYS)))</f>
        <v>0</v>
      </c>
      <c r="Z128" s="289" t="n">
        <f aca="false">IF($L128=0,0,$L128*MAX(0,NETWORKDAYS(MAX($H128,ASOF,Z$72),MIN(MAX($I128,ASOF),Z$72+6),HOLIDAYS)))</f>
        <v>0</v>
      </c>
      <c r="AA128" s="289" t="n">
        <f aca="false">IF($L128=0,0,$L128*MAX(0,NETWORKDAYS(MAX($H128,ASOF,AA$72),MIN(MAX($I128,ASOF),AA$72+6),HOLIDAYS)))</f>
        <v>0</v>
      </c>
      <c r="AB128" s="289" t="n">
        <f aca="false">IF($L128=0,0,$L128*MAX(0,NETWORKDAYS(MAX($H128,ASOF,AB$72),MIN(MAX($I128,ASOF),AB$72+6),HOLIDAYS)))</f>
        <v>0</v>
      </c>
      <c r="AC128" s="289" t="n">
        <f aca="false">IF($L128=0,0,$L128*MAX(0,NETWORKDAYS(MAX($H128,ASOF,AC$72),MIN(MAX($I128,ASOF),AC$72+6),HOLIDAYS)))</f>
        <v>0</v>
      </c>
      <c r="AD128" s="289" t="n">
        <f aca="false">IF($L128=0,0,$L128*MAX(0,NETWORKDAYS(MAX($H128,ASOF,AD$72),MIN(MAX($I128,ASOF),AD$72+6),HOLIDAYS)))</f>
        <v>0</v>
      </c>
      <c r="AE128" s="289" t="n">
        <f aca="false">IF($L128=0,0,$L128*MAX(0,NETWORKDAYS(MAX($H128,ASOF,AE$72),MIN(MAX($I128,ASOF),AE$72+6),HOLIDAYS)))</f>
        <v>0</v>
      </c>
      <c r="AF128" s="289" t="n">
        <f aca="false">IF($L128=0,0,$L128*MAX(0,NETWORKDAYS(MAX($H128,ASOF,AF$72),MIN(MAX($I128,ASOF),AF$72+6),HOLIDAYS)))</f>
        <v>0</v>
      </c>
      <c r="AG128" s="289" t="n">
        <f aca="false">IF($L128=0,0,$L128*MAX(0,NETWORKDAYS(MAX($H128,ASOF,AG$72),MIN(MAX($I128,ASOF),AG$72+6),HOLIDAYS)))</f>
        <v>0</v>
      </c>
      <c r="AH128" s="289" t="n">
        <f aca="false">IF($L128=0,0,$L128*MAX(0,NETWORKDAYS(MAX($H128,ASOF,AH$72),MIN(MAX($I128,ASOF),AH$72+6),HOLIDAYS)))</f>
        <v>0</v>
      </c>
      <c r="AI128" s="289" t="n">
        <f aca="false">IF($L128=0,0,$L128*MAX(0,NETWORKDAYS(MAX($H128,ASOF,AI$72),MIN(MAX($I128,ASOF),AI$72+6),HOLIDAYS)))</f>
        <v>0</v>
      </c>
      <c r="AJ128" s="289" t="n">
        <f aca="false">IF($L128=0,0,$L128*MAX(0,NETWORKDAYS(MAX($H128,ASOF,AJ$72),MIN(MAX($I128,ASOF),AJ$72+6),HOLIDAYS)))</f>
        <v>0</v>
      </c>
      <c r="AK128" s="289" t="n">
        <f aca="false">IF($L128=0,0,$L128*MAX(0,NETWORKDAYS(MAX($H128,ASOF,AK$72),MIN(MAX($I128,ASOF),AK$72+6),HOLIDAYS)))</f>
        <v>0</v>
      </c>
      <c r="AL128" s="289" t="n">
        <f aca="false">IF($L128=0,0,$L128*MAX(0,NETWORKDAYS(MAX($H128,ASOF,AL$72),MIN(MAX($I128,ASOF),AL$72+6),HOLIDAYS)))</f>
        <v>0</v>
      </c>
      <c r="AM128" s="289" t="n">
        <f aca="false">IF($L128=0,0,$L128*MAX(0,NETWORKDAYS(MAX($H128,ASOF,AM$72),MIN(MAX($I128,ASOF),AM$72+6),HOLIDAYS)))</f>
        <v>0</v>
      </c>
      <c r="AN128" s="289" t="n">
        <f aca="false">IF($L128=0,0,$L128*MAX(0,NETWORKDAYS(MAX($H128,ASOF,AN$72),MIN(MAX($I128,ASOF),AN$72+6),HOLIDAYS)))</f>
        <v>0</v>
      </c>
      <c r="AO128" s="289" t="n">
        <f aca="false">IF($L128=0,0,$L128*MAX(0,NETWORKDAYS(MAX($H128,ASOF,AO$72),MIN(MAX($I128,ASOF),AO$72+6),HOLIDAYS)))</f>
        <v>0</v>
      </c>
      <c r="AP128" s="289" t="n">
        <f aca="false">IF($L128=0,0,$L128*MAX(0,NETWORKDAYS(MAX($H128,ASOF,AP$72),MIN(MAX($I128,ASOF),AP$72+6),HOLIDAYS)))</f>
        <v>0</v>
      </c>
      <c r="AQ128" s="289" t="n">
        <f aca="false">IF($L128=0,0,$L128*MAX(0,NETWORKDAYS(MAX($H128,ASOF,AQ$72),MIN(MAX($I128,ASOF),AQ$72+6),HOLIDAYS)))</f>
        <v>0</v>
      </c>
      <c r="AR128" s="289" t="n">
        <f aca="false">IF($L128=0,0,$L128*MAX(0,NETWORKDAYS(MAX($H128,ASOF,AR$72),MIN(MAX($I128,ASOF),AR$72+6),HOLIDAYS)))</f>
        <v>0</v>
      </c>
    </row>
    <row r="129" customFormat="false" ht="15" hidden="false" customHeight="false" outlineLevel="1" collapsed="false">
      <c r="A129" s="282" t="s">
        <v>58</v>
      </c>
      <c r="B129" s="283" t="s">
        <v>60</v>
      </c>
      <c r="C129" s="284" t="s">
        <v>2368</v>
      </c>
      <c r="D129" s="284" t="s">
        <v>2301</v>
      </c>
      <c r="E129" s="285" t="n">
        <v>1</v>
      </c>
      <c r="F129" s="290" t="s">
        <v>35</v>
      </c>
      <c r="G129" s="285" t="n">
        <f aca="false">$F$13*$H$13</f>
        <v>12</v>
      </c>
      <c r="H129" s="286" t="n">
        <f aca="false">IF(ISNUMBER('P9-005'!$N$100),'P9-005'!$N$100,"")</f>
        <v>46346</v>
      </c>
      <c r="I129" s="286" t="n">
        <f aca="false">IF(ISNUMBER('P9-005'!$O$100),'P9-005'!$O$100,"")</f>
        <v>46348</v>
      </c>
      <c r="J129" s="287" t="n">
        <f aca="false">IF(OR(H129="",I129="",N129&gt;=1),0,MAX(1,NETWORKDAYS(MAX(H129,ASOF),MAX(I129,ASOF),HOLIDAYS)))</f>
        <v>1</v>
      </c>
      <c r="K129" s="287" t="n">
        <f aca="false">IF(L129=0,0,ROUNDUP(L129/$F$13,0))</f>
        <v>3</v>
      </c>
      <c r="L129" s="285" t="n">
        <f aca="false">IF(J129=0,0,G129*(1-N129)/J129)</f>
        <v>12</v>
      </c>
      <c r="M129" s="283" t="s">
        <v>2299</v>
      </c>
      <c r="N129" s="288" t="n">
        <f aca="false">IFERROR(MIN(1,'P9-005'!$V$100)+0,0)</f>
        <v>0</v>
      </c>
      <c r="O129" s="289" t="n">
        <f aca="false">IF($L129=0,0,$L129*MAX(0,NETWORKDAYS(MAX($H129,ASOF,O$72),MIN(MAX($I129,ASOF),O$72+6),HOLIDAYS)))</f>
        <v>0</v>
      </c>
      <c r="P129" s="289" t="n">
        <f aca="false">IF($L129=0,0,$L129*MAX(0,NETWORKDAYS(MAX($H129,ASOF,P$72),MIN(MAX($I129,ASOF),P$72+6),HOLIDAYS)))</f>
        <v>0</v>
      </c>
      <c r="Q129" s="289" t="n">
        <f aca="false">IF($L129=0,0,$L129*MAX(0,NETWORKDAYS(MAX($H129,ASOF,Q$72),MIN(MAX($I129,ASOF),Q$72+6),HOLIDAYS)))</f>
        <v>12</v>
      </c>
      <c r="R129" s="289" t="n">
        <f aca="false">IF($L129=0,0,$L129*MAX(0,NETWORKDAYS(MAX($H129,ASOF,R$72),MIN(MAX($I129,ASOF),R$72+6),HOLIDAYS)))</f>
        <v>0</v>
      </c>
      <c r="S129" s="289" t="n">
        <f aca="false">IF($L129=0,0,$L129*MAX(0,NETWORKDAYS(MAX($H129,ASOF,S$72),MIN(MAX($I129,ASOF),S$72+6),HOLIDAYS)))</f>
        <v>0</v>
      </c>
      <c r="T129" s="289" t="n">
        <f aca="false">IF($L129=0,0,$L129*MAX(0,NETWORKDAYS(MAX($H129,ASOF,T$72),MIN(MAX($I129,ASOF),T$72+6),HOLIDAYS)))</f>
        <v>0</v>
      </c>
      <c r="U129" s="289" t="n">
        <f aca="false">IF($L129=0,0,$L129*MAX(0,NETWORKDAYS(MAX($H129,ASOF,U$72),MIN(MAX($I129,ASOF),U$72+6),HOLIDAYS)))</f>
        <v>0</v>
      </c>
      <c r="V129" s="289" t="n">
        <f aca="false">IF($L129=0,0,$L129*MAX(0,NETWORKDAYS(MAX($H129,ASOF,V$72),MIN(MAX($I129,ASOF),V$72+6),HOLIDAYS)))</f>
        <v>0</v>
      </c>
      <c r="W129" s="289" t="n">
        <f aca="false">IF($L129=0,0,$L129*MAX(0,NETWORKDAYS(MAX($H129,ASOF,W$72),MIN(MAX($I129,ASOF),W$72+6),HOLIDAYS)))</f>
        <v>0</v>
      </c>
      <c r="X129" s="289" t="n">
        <f aca="false">IF($L129=0,0,$L129*MAX(0,NETWORKDAYS(MAX($H129,ASOF,X$72),MIN(MAX($I129,ASOF),X$72+6),HOLIDAYS)))</f>
        <v>0</v>
      </c>
      <c r="Y129" s="289" t="n">
        <f aca="false">IF($L129=0,0,$L129*MAX(0,NETWORKDAYS(MAX($H129,ASOF,Y$72),MIN(MAX($I129,ASOF),Y$72+6),HOLIDAYS)))</f>
        <v>0</v>
      </c>
      <c r="Z129" s="289" t="n">
        <f aca="false">IF($L129=0,0,$L129*MAX(0,NETWORKDAYS(MAX($H129,ASOF,Z$72),MIN(MAX($I129,ASOF),Z$72+6),HOLIDAYS)))</f>
        <v>0</v>
      </c>
      <c r="AA129" s="289" t="n">
        <f aca="false">IF($L129=0,0,$L129*MAX(0,NETWORKDAYS(MAX($H129,ASOF,AA$72),MIN(MAX($I129,ASOF),AA$72+6),HOLIDAYS)))</f>
        <v>0</v>
      </c>
      <c r="AB129" s="289" t="n">
        <f aca="false">IF($L129=0,0,$L129*MAX(0,NETWORKDAYS(MAX($H129,ASOF,AB$72),MIN(MAX($I129,ASOF),AB$72+6),HOLIDAYS)))</f>
        <v>0</v>
      </c>
      <c r="AC129" s="289" t="n">
        <f aca="false">IF($L129=0,0,$L129*MAX(0,NETWORKDAYS(MAX($H129,ASOF,AC$72),MIN(MAX($I129,ASOF),AC$72+6),HOLIDAYS)))</f>
        <v>0</v>
      </c>
      <c r="AD129" s="289" t="n">
        <f aca="false">IF($L129=0,0,$L129*MAX(0,NETWORKDAYS(MAX($H129,ASOF,AD$72),MIN(MAX($I129,ASOF),AD$72+6),HOLIDAYS)))</f>
        <v>0</v>
      </c>
      <c r="AE129" s="289" t="n">
        <f aca="false">IF($L129=0,0,$L129*MAX(0,NETWORKDAYS(MAX($H129,ASOF,AE$72),MIN(MAX($I129,ASOF),AE$72+6),HOLIDAYS)))</f>
        <v>0</v>
      </c>
      <c r="AF129" s="289" t="n">
        <f aca="false">IF($L129=0,0,$L129*MAX(0,NETWORKDAYS(MAX($H129,ASOF,AF$72),MIN(MAX($I129,ASOF),AF$72+6),HOLIDAYS)))</f>
        <v>0</v>
      </c>
      <c r="AG129" s="289" t="n">
        <f aca="false">IF($L129=0,0,$L129*MAX(0,NETWORKDAYS(MAX($H129,ASOF,AG$72),MIN(MAX($I129,ASOF),AG$72+6),HOLIDAYS)))</f>
        <v>0</v>
      </c>
      <c r="AH129" s="289" t="n">
        <f aca="false">IF($L129=0,0,$L129*MAX(0,NETWORKDAYS(MAX($H129,ASOF,AH$72),MIN(MAX($I129,ASOF),AH$72+6),HOLIDAYS)))</f>
        <v>0</v>
      </c>
      <c r="AI129" s="289" t="n">
        <f aca="false">IF($L129=0,0,$L129*MAX(0,NETWORKDAYS(MAX($H129,ASOF,AI$72),MIN(MAX($I129,ASOF),AI$72+6),HOLIDAYS)))</f>
        <v>0</v>
      </c>
      <c r="AJ129" s="289" t="n">
        <f aca="false">IF($L129=0,0,$L129*MAX(0,NETWORKDAYS(MAX($H129,ASOF,AJ$72),MIN(MAX($I129,ASOF),AJ$72+6),HOLIDAYS)))</f>
        <v>0</v>
      </c>
      <c r="AK129" s="289" t="n">
        <f aca="false">IF($L129=0,0,$L129*MAX(0,NETWORKDAYS(MAX($H129,ASOF,AK$72),MIN(MAX($I129,ASOF),AK$72+6),HOLIDAYS)))</f>
        <v>0</v>
      </c>
      <c r="AL129" s="289" t="n">
        <f aca="false">IF($L129=0,0,$L129*MAX(0,NETWORKDAYS(MAX($H129,ASOF,AL$72),MIN(MAX($I129,ASOF),AL$72+6),HOLIDAYS)))</f>
        <v>0</v>
      </c>
      <c r="AM129" s="289" t="n">
        <f aca="false">IF($L129=0,0,$L129*MAX(0,NETWORKDAYS(MAX($H129,ASOF,AM$72),MIN(MAX($I129,ASOF),AM$72+6),HOLIDAYS)))</f>
        <v>0</v>
      </c>
      <c r="AN129" s="289" t="n">
        <f aca="false">IF($L129=0,0,$L129*MAX(0,NETWORKDAYS(MAX($H129,ASOF,AN$72),MIN(MAX($I129,ASOF),AN$72+6),HOLIDAYS)))</f>
        <v>0</v>
      </c>
      <c r="AO129" s="289" t="n">
        <f aca="false">IF($L129=0,0,$L129*MAX(0,NETWORKDAYS(MAX($H129,ASOF,AO$72),MIN(MAX($I129,ASOF),AO$72+6),HOLIDAYS)))</f>
        <v>0</v>
      </c>
      <c r="AP129" s="289" t="n">
        <f aca="false">IF($L129=0,0,$L129*MAX(0,NETWORKDAYS(MAX($H129,ASOF,AP$72),MIN(MAX($I129,ASOF),AP$72+6),HOLIDAYS)))</f>
        <v>0</v>
      </c>
      <c r="AQ129" s="289" t="n">
        <f aca="false">IF($L129=0,0,$L129*MAX(0,NETWORKDAYS(MAX($H129,ASOF,AQ$72),MIN(MAX($I129,ASOF),AQ$72+6),HOLIDAYS)))</f>
        <v>0</v>
      </c>
      <c r="AR129" s="289" t="n">
        <f aca="false">IF($L129=0,0,$L129*MAX(0,NETWORKDAYS(MAX($H129,ASOF,AR$72),MIN(MAX($I129,ASOF),AR$72+6),HOLIDAYS)))</f>
        <v>0</v>
      </c>
    </row>
    <row r="130" customFormat="false" ht="15" hidden="false" customHeight="false" outlineLevel="1" collapsed="false">
      <c r="A130" s="282" t="s">
        <v>58</v>
      </c>
      <c r="B130" s="283" t="s">
        <v>60</v>
      </c>
      <c r="C130" s="282" t="s">
        <v>1198</v>
      </c>
      <c r="D130" s="284" t="s">
        <v>2284</v>
      </c>
      <c r="E130" s="285" t="n">
        <v>1</v>
      </c>
      <c r="F130" s="290" t="s">
        <v>35</v>
      </c>
      <c r="G130" s="285" t="n">
        <f aca="false">$F$15*$H$15</f>
        <v>2</v>
      </c>
      <c r="H130" s="286" t="n">
        <f aca="false">IF(ISNUMBER('P9-005'!$N$107),'P9-005'!$N$107,"")</f>
        <v>46347</v>
      </c>
      <c r="I130" s="286" t="n">
        <f aca="false">IF(ISNUMBER('P9-005'!$O$107),'P9-005'!$O$107,"")</f>
        <v>46348</v>
      </c>
      <c r="J130" s="287" t="n">
        <f aca="false">IF(OR(H130="",I130="",N130&gt;=1),0,MAX(1,NETWORKDAYS(MAX(H130,ASOF),MAX(I130,ASOF),HOLIDAYS)))</f>
        <v>1</v>
      </c>
      <c r="K130" s="287" t="n">
        <f aca="false">IF(L130=0,0,ROUNDUP(L130/$F$15,0))</f>
        <v>1</v>
      </c>
      <c r="L130" s="285" t="n">
        <f aca="false">IF(J130=0,0,G130*(1-N130)/J130)</f>
        <v>2</v>
      </c>
      <c r="M130" s="283" t="s">
        <v>1192</v>
      </c>
      <c r="N130" s="288" t="n">
        <f aca="false">IFERROR(MIN(1,'P9-005'!$V$107)+0,0)</f>
        <v>0</v>
      </c>
      <c r="O130" s="289" t="n">
        <f aca="false">IF($L130=0,0,$L130*MAX(0,NETWORKDAYS(MAX($H130,ASOF,O$72),MIN(MAX($I130,ASOF),O$72+6),HOLIDAYS)))</f>
        <v>0</v>
      </c>
      <c r="P130" s="289" t="n">
        <f aca="false">IF($L130=0,0,$L130*MAX(0,NETWORKDAYS(MAX($H130,ASOF,P$72),MIN(MAX($I130,ASOF),P$72+6),HOLIDAYS)))</f>
        <v>0</v>
      </c>
      <c r="Q130" s="289" t="n">
        <f aca="false">IF($L130=0,0,$L130*MAX(0,NETWORKDAYS(MAX($H130,ASOF,Q$72),MIN(MAX($I130,ASOF),Q$72+6),HOLIDAYS)))</f>
        <v>0</v>
      </c>
      <c r="R130" s="289" t="n">
        <f aca="false">IF($L130=0,0,$L130*MAX(0,NETWORKDAYS(MAX($H130,ASOF,R$72),MIN(MAX($I130,ASOF),R$72+6),HOLIDAYS)))</f>
        <v>0</v>
      </c>
      <c r="S130" s="289" t="n">
        <f aca="false">IF($L130=0,0,$L130*MAX(0,NETWORKDAYS(MAX($H130,ASOF,S$72),MIN(MAX($I130,ASOF),S$72+6),HOLIDAYS)))</f>
        <v>0</v>
      </c>
      <c r="T130" s="289" t="n">
        <f aca="false">IF($L130=0,0,$L130*MAX(0,NETWORKDAYS(MAX($H130,ASOF,T$72),MIN(MAX($I130,ASOF),T$72+6),HOLIDAYS)))</f>
        <v>0</v>
      </c>
      <c r="U130" s="289" t="n">
        <f aca="false">IF($L130=0,0,$L130*MAX(0,NETWORKDAYS(MAX($H130,ASOF,U$72),MIN(MAX($I130,ASOF),U$72+6),HOLIDAYS)))</f>
        <v>0</v>
      </c>
      <c r="V130" s="289" t="n">
        <f aca="false">IF($L130=0,0,$L130*MAX(0,NETWORKDAYS(MAX($H130,ASOF,V$72),MIN(MAX($I130,ASOF),V$72+6),HOLIDAYS)))</f>
        <v>0</v>
      </c>
      <c r="W130" s="289" t="n">
        <f aca="false">IF($L130=0,0,$L130*MAX(0,NETWORKDAYS(MAX($H130,ASOF,W$72),MIN(MAX($I130,ASOF),W$72+6),HOLIDAYS)))</f>
        <v>0</v>
      </c>
      <c r="X130" s="289" t="n">
        <f aca="false">IF($L130=0,0,$L130*MAX(0,NETWORKDAYS(MAX($H130,ASOF,X$72),MIN(MAX($I130,ASOF),X$72+6),HOLIDAYS)))</f>
        <v>0</v>
      </c>
      <c r="Y130" s="289" t="n">
        <f aca="false">IF($L130=0,0,$L130*MAX(0,NETWORKDAYS(MAX($H130,ASOF,Y$72),MIN(MAX($I130,ASOF),Y$72+6),HOLIDAYS)))</f>
        <v>0</v>
      </c>
      <c r="Z130" s="289" t="n">
        <f aca="false">IF($L130=0,0,$L130*MAX(0,NETWORKDAYS(MAX($H130,ASOF,Z$72),MIN(MAX($I130,ASOF),Z$72+6),HOLIDAYS)))</f>
        <v>0</v>
      </c>
      <c r="AA130" s="289" t="n">
        <f aca="false">IF($L130=0,0,$L130*MAX(0,NETWORKDAYS(MAX($H130,ASOF,AA$72),MIN(MAX($I130,ASOF),AA$72+6),HOLIDAYS)))</f>
        <v>0</v>
      </c>
      <c r="AB130" s="289" t="n">
        <f aca="false">IF($L130=0,0,$L130*MAX(0,NETWORKDAYS(MAX($H130,ASOF,AB$72),MIN(MAX($I130,ASOF),AB$72+6),HOLIDAYS)))</f>
        <v>0</v>
      </c>
      <c r="AC130" s="289" t="n">
        <f aca="false">IF($L130=0,0,$L130*MAX(0,NETWORKDAYS(MAX($H130,ASOF,AC$72),MIN(MAX($I130,ASOF),AC$72+6),HOLIDAYS)))</f>
        <v>0</v>
      </c>
      <c r="AD130" s="289" t="n">
        <f aca="false">IF($L130=0,0,$L130*MAX(0,NETWORKDAYS(MAX($H130,ASOF,AD$72),MIN(MAX($I130,ASOF),AD$72+6),HOLIDAYS)))</f>
        <v>0</v>
      </c>
      <c r="AE130" s="289" t="n">
        <f aca="false">IF($L130=0,0,$L130*MAX(0,NETWORKDAYS(MAX($H130,ASOF,AE$72),MIN(MAX($I130,ASOF),AE$72+6),HOLIDAYS)))</f>
        <v>0</v>
      </c>
      <c r="AF130" s="289" t="n">
        <f aca="false">IF($L130=0,0,$L130*MAX(0,NETWORKDAYS(MAX($H130,ASOF,AF$72),MIN(MAX($I130,ASOF),AF$72+6),HOLIDAYS)))</f>
        <v>0</v>
      </c>
      <c r="AG130" s="289" t="n">
        <f aca="false">IF($L130=0,0,$L130*MAX(0,NETWORKDAYS(MAX($H130,ASOF,AG$72),MIN(MAX($I130,ASOF),AG$72+6),HOLIDAYS)))</f>
        <v>0</v>
      </c>
      <c r="AH130" s="289" t="n">
        <f aca="false">IF($L130=0,0,$L130*MAX(0,NETWORKDAYS(MAX($H130,ASOF,AH$72),MIN(MAX($I130,ASOF),AH$72+6),HOLIDAYS)))</f>
        <v>0</v>
      </c>
      <c r="AI130" s="289" t="n">
        <f aca="false">IF($L130=0,0,$L130*MAX(0,NETWORKDAYS(MAX($H130,ASOF,AI$72),MIN(MAX($I130,ASOF),AI$72+6),HOLIDAYS)))</f>
        <v>0</v>
      </c>
      <c r="AJ130" s="289" t="n">
        <f aca="false">IF($L130=0,0,$L130*MAX(0,NETWORKDAYS(MAX($H130,ASOF,AJ$72),MIN(MAX($I130,ASOF),AJ$72+6),HOLIDAYS)))</f>
        <v>0</v>
      </c>
      <c r="AK130" s="289" t="n">
        <f aca="false">IF($L130=0,0,$L130*MAX(0,NETWORKDAYS(MAX($H130,ASOF,AK$72),MIN(MAX($I130,ASOF),AK$72+6),HOLIDAYS)))</f>
        <v>0</v>
      </c>
      <c r="AL130" s="289" t="n">
        <f aca="false">IF($L130=0,0,$L130*MAX(0,NETWORKDAYS(MAX($H130,ASOF,AL$72),MIN(MAX($I130,ASOF),AL$72+6),HOLIDAYS)))</f>
        <v>0</v>
      </c>
      <c r="AM130" s="289" t="n">
        <f aca="false">IF($L130=0,0,$L130*MAX(0,NETWORKDAYS(MAX($H130,ASOF,AM$72),MIN(MAX($I130,ASOF),AM$72+6),HOLIDAYS)))</f>
        <v>0</v>
      </c>
      <c r="AN130" s="289" t="n">
        <f aca="false">IF($L130=0,0,$L130*MAX(0,NETWORKDAYS(MAX($H130,ASOF,AN$72),MIN(MAX($I130,ASOF),AN$72+6),HOLIDAYS)))</f>
        <v>0</v>
      </c>
      <c r="AO130" s="289" t="n">
        <f aca="false">IF($L130=0,0,$L130*MAX(0,NETWORKDAYS(MAX($H130,ASOF,AO$72),MIN(MAX($I130,ASOF),AO$72+6),HOLIDAYS)))</f>
        <v>0</v>
      </c>
      <c r="AP130" s="289" t="n">
        <f aca="false">IF($L130=0,0,$L130*MAX(0,NETWORKDAYS(MAX($H130,ASOF,AP$72),MIN(MAX($I130,ASOF),AP$72+6),HOLIDAYS)))</f>
        <v>0</v>
      </c>
      <c r="AQ130" s="289" t="n">
        <f aca="false">IF($L130=0,0,$L130*MAX(0,NETWORKDAYS(MAX($H130,ASOF,AQ$72),MIN(MAX($I130,ASOF),AQ$72+6),HOLIDAYS)))</f>
        <v>0</v>
      </c>
      <c r="AR130" s="289" t="n">
        <f aca="false">IF($L130=0,0,$L130*MAX(0,NETWORKDAYS(MAX($H130,ASOF,AR$72),MIN(MAX($I130,ASOF),AR$72+6),HOLIDAYS)))</f>
        <v>0</v>
      </c>
    </row>
    <row r="131" customFormat="false" ht="15" hidden="false" customHeight="false" outlineLevel="1" collapsed="false">
      <c r="A131" s="282" t="s">
        <v>58</v>
      </c>
      <c r="B131" s="283" t="s">
        <v>60</v>
      </c>
      <c r="C131" s="284" t="s">
        <v>2369</v>
      </c>
      <c r="D131" s="284" t="s">
        <v>2308</v>
      </c>
      <c r="E131" s="285" t="n">
        <v>150.48</v>
      </c>
      <c r="F131" s="283" t="s">
        <v>527</v>
      </c>
      <c r="G131" s="285" t="n">
        <f aca="false">$F$16*(E131/$G$16+$H$16)</f>
        <v>10.5144</v>
      </c>
      <c r="H131" s="286" t="n">
        <f aca="false">IF(ISNUMBER('P9-005'!$N$115),'P9-005'!$N$115,"")</f>
        <v>46359</v>
      </c>
      <c r="I131" s="286" t="n">
        <f aca="false">IF(ISNUMBER('P9-005'!$O$115),'P9-005'!$O$115,"")</f>
        <v>46359</v>
      </c>
      <c r="J131" s="287" t="n">
        <f aca="false">IF(OR(H131="",I131="",N131&gt;=1),0,MAX(1,NETWORKDAYS(MAX(H131,ASOF),MAX(I131,ASOF),HOLIDAYS)))</f>
        <v>1</v>
      </c>
      <c r="K131" s="287" t="n">
        <f aca="false">IF(L131=0,0,ROUNDUP(L131/$F$16,0))</f>
        <v>4</v>
      </c>
      <c r="L131" s="285" t="n">
        <f aca="false">IF(J131=0,0,G131*(1-N131)/J131)</f>
        <v>10.5144</v>
      </c>
      <c r="M131" s="283" t="s">
        <v>1205</v>
      </c>
      <c r="N131" s="288" t="n">
        <f aca="false">IFERROR(MIN(1,'P9-005'!$V$115)+0,0)</f>
        <v>0</v>
      </c>
      <c r="O131" s="289" t="n">
        <f aca="false">IF($L131=0,0,$L131*MAX(0,NETWORKDAYS(MAX($H131,ASOF,O$72),MIN(MAX($I131,ASOF),O$72+6),HOLIDAYS)))</f>
        <v>0</v>
      </c>
      <c r="P131" s="289" t="n">
        <f aca="false">IF($L131=0,0,$L131*MAX(0,NETWORKDAYS(MAX($H131,ASOF,P$72),MIN(MAX($I131,ASOF),P$72+6),HOLIDAYS)))</f>
        <v>0</v>
      </c>
      <c r="Q131" s="289" t="n">
        <f aca="false">IF($L131=0,0,$L131*MAX(0,NETWORKDAYS(MAX($H131,ASOF,Q$72),MIN(MAX($I131,ASOF),Q$72+6),HOLIDAYS)))</f>
        <v>0</v>
      </c>
      <c r="R131" s="289" t="n">
        <f aca="false">IF($L131=0,0,$L131*MAX(0,NETWORKDAYS(MAX($H131,ASOF,R$72),MIN(MAX($I131,ASOF),R$72+6),HOLIDAYS)))</f>
        <v>0</v>
      </c>
      <c r="S131" s="289" t="n">
        <f aca="false">IF($L131=0,0,$L131*MAX(0,NETWORKDAYS(MAX($H131,ASOF,S$72),MIN(MAX($I131,ASOF),S$72+6),HOLIDAYS)))</f>
        <v>10.5144</v>
      </c>
      <c r="T131" s="289" t="n">
        <f aca="false">IF($L131=0,0,$L131*MAX(0,NETWORKDAYS(MAX($H131,ASOF,T$72),MIN(MAX($I131,ASOF),T$72+6),HOLIDAYS)))</f>
        <v>0</v>
      </c>
      <c r="U131" s="289" t="n">
        <f aca="false">IF($L131=0,0,$L131*MAX(0,NETWORKDAYS(MAX($H131,ASOF,U$72),MIN(MAX($I131,ASOF),U$72+6),HOLIDAYS)))</f>
        <v>0</v>
      </c>
      <c r="V131" s="289" t="n">
        <f aca="false">IF($L131=0,0,$L131*MAX(0,NETWORKDAYS(MAX($H131,ASOF,V$72),MIN(MAX($I131,ASOF),V$72+6),HOLIDAYS)))</f>
        <v>0</v>
      </c>
      <c r="W131" s="289" t="n">
        <f aca="false">IF($L131=0,0,$L131*MAX(0,NETWORKDAYS(MAX($H131,ASOF,W$72),MIN(MAX($I131,ASOF),W$72+6),HOLIDAYS)))</f>
        <v>0</v>
      </c>
      <c r="X131" s="289" t="n">
        <f aca="false">IF($L131=0,0,$L131*MAX(0,NETWORKDAYS(MAX($H131,ASOF,X$72),MIN(MAX($I131,ASOF),X$72+6),HOLIDAYS)))</f>
        <v>0</v>
      </c>
      <c r="Y131" s="289" t="n">
        <f aca="false">IF($L131=0,0,$L131*MAX(0,NETWORKDAYS(MAX($H131,ASOF,Y$72),MIN(MAX($I131,ASOF),Y$72+6),HOLIDAYS)))</f>
        <v>0</v>
      </c>
      <c r="Z131" s="289" t="n">
        <f aca="false">IF($L131=0,0,$L131*MAX(0,NETWORKDAYS(MAX($H131,ASOF,Z$72),MIN(MAX($I131,ASOF),Z$72+6),HOLIDAYS)))</f>
        <v>0</v>
      </c>
      <c r="AA131" s="289" t="n">
        <f aca="false">IF($L131=0,0,$L131*MAX(0,NETWORKDAYS(MAX($H131,ASOF,AA$72),MIN(MAX($I131,ASOF),AA$72+6),HOLIDAYS)))</f>
        <v>0</v>
      </c>
      <c r="AB131" s="289" t="n">
        <f aca="false">IF($L131=0,0,$L131*MAX(0,NETWORKDAYS(MAX($H131,ASOF,AB$72),MIN(MAX($I131,ASOF),AB$72+6),HOLIDAYS)))</f>
        <v>0</v>
      </c>
      <c r="AC131" s="289" t="n">
        <f aca="false">IF($L131=0,0,$L131*MAX(0,NETWORKDAYS(MAX($H131,ASOF,AC$72),MIN(MAX($I131,ASOF),AC$72+6),HOLIDAYS)))</f>
        <v>0</v>
      </c>
      <c r="AD131" s="289" t="n">
        <f aca="false">IF($L131=0,0,$L131*MAX(0,NETWORKDAYS(MAX($H131,ASOF,AD$72),MIN(MAX($I131,ASOF),AD$72+6),HOLIDAYS)))</f>
        <v>0</v>
      </c>
      <c r="AE131" s="289" t="n">
        <f aca="false">IF($L131=0,0,$L131*MAX(0,NETWORKDAYS(MAX($H131,ASOF,AE$72),MIN(MAX($I131,ASOF),AE$72+6),HOLIDAYS)))</f>
        <v>0</v>
      </c>
      <c r="AF131" s="289" t="n">
        <f aca="false">IF($L131=0,0,$L131*MAX(0,NETWORKDAYS(MAX($H131,ASOF,AF$72),MIN(MAX($I131,ASOF),AF$72+6),HOLIDAYS)))</f>
        <v>0</v>
      </c>
      <c r="AG131" s="289" t="n">
        <f aca="false">IF($L131=0,0,$L131*MAX(0,NETWORKDAYS(MAX($H131,ASOF,AG$72),MIN(MAX($I131,ASOF),AG$72+6),HOLIDAYS)))</f>
        <v>0</v>
      </c>
      <c r="AH131" s="289" t="n">
        <f aca="false">IF($L131=0,0,$L131*MAX(0,NETWORKDAYS(MAX($H131,ASOF,AH$72),MIN(MAX($I131,ASOF),AH$72+6),HOLIDAYS)))</f>
        <v>0</v>
      </c>
      <c r="AI131" s="289" t="n">
        <f aca="false">IF($L131=0,0,$L131*MAX(0,NETWORKDAYS(MAX($H131,ASOF,AI$72),MIN(MAX($I131,ASOF),AI$72+6),HOLIDAYS)))</f>
        <v>0</v>
      </c>
      <c r="AJ131" s="289" t="n">
        <f aca="false">IF($L131=0,0,$L131*MAX(0,NETWORKDAYS(MAX($H131,ASOF,AJ$72),MIN(MAX($I131,ASOF),AJ$72+6),HOLIDAYS)))</f>
        <v>0</v>
      </c>
      <c r="AK131" s="289" t="n">
        <f aca="false">IF($L131=0,0,$L131*MAX(0,NETWORKDAYS(MAX($H131,ASOF,AK$72),MIN(MAX($I131,ASOF),AK$72+6),HOLIDAYS)))</f>
        <v>0</v>
      </c>
      <c r="AL131" s="289" t="n">
        <f aca="false">IF($L131=0,0,$L131*MAX(0,NETWORKDAYS(MAX($H131,ASOF,AL$72),MIN(MAX($I131,ASOF),AL$72+6),HOLIDAYS)))</f>
        <v>0</v>
      </c>
      <c r="AM131" s="289" t="n">
        <f aca="false">IF($L131=0,0,$L131*MAX(0,NETWORKDAYS(MAX($H131,ASOF,AM$72),MIN(MAX($I131,ASOF),AM$72+6),HOLIDAYS)))</f>
        <v>0</v>
      </c>
      <c r="AN131" s="289" t="n">
        <f aca="false">IF($L131=0,0,$L131*MAX(0,NETWORKDAYS(MAX($H131,ASOF,AN$72),MIN(MAX($I131,ASOF),AN$72+6),HOLIDAYS)))</f>
        <v>0</v>
      </c>
      <c r="AO131" s="289" t="n">
        <f aca="false">IF($L131=0,0,$L131*MAX(0,NETWORKDAYS(MAX($H131,ASOF,AO$72),MIN(MAX($I131,ASOF),AO$72+6),HOLIDAYS)))</f>
        <v>0</v>
      </c>
      <c r="AP131" s="289" t="n">
        <f aca="false">IF($L131=0,0,$L131*MAX(0,NETWORKDAYS(MAX($H131,ASOF,AP$72),MIN(MAX($I131,ASOF),AP$72+6),HOLIDAYS)))</f>
        <v>0</v>
      </c>
      <c r="AQ131" s="289" t="n">
        <f aca="false">IF($L131=0,0,$L131*MAX(0,NETWORKDAYS(MAX($H131,ASOF,AQ$72),MIN(MAX($I131,ASOF),AQ$72+6),HOLIDAYS)))</f>
        <v>0</v>
      </c>
      <c r="AR131" s="289" t="n">
        <f aca="false">IF($L131=0,0,$L131*MAX(0,NETWORKDAYS(MAX($H131,ASOF,AR$72),MIN(MAX($I131,ASOF),AR$72+6),HOLIDAYS)))</f>
        <v>0</v>
      </c>
    </row>
    <row r="132" customFormat="false" ht="15" hidden="false" customHeight="false" outlineLevel="1" collapsed="false">
      <c r="A132" s="282" t="s">
        <v>58</v>
      </c>
      <c r="B132" s="283" t="s">
        <v>60</v>
      </c>
      <c r="C132" s="284" t="s">
        <v>2370</v>
      </c>
      <c r="D132" s="284" t="s">
        <v>2313</v>
      </c>
      <c r="E132" s="285" t="n">
        <v>1</v>
      </c>
      <c r="F132" s="290" t="s">
        <v>35</v>
      </c>
      <c r="G132" s="285" t="n">
        <f aca="false">SUM(O132:AR132)</f>
        <v>20</v>
      </c>
      <c r="H132" s="286" t="n">
        <f aca="false">IF(ISNUMBER('P9-005'!$N$62),'P9-005'!$N$62,"")</f>
        <v>46328</v>
      </c>
      <c r="I132" s="286" t="n">
        <f aca="false">IF(ISNUMBER('P9-005'!$O$115),'P9-005'!$O$115,"")</f>
        <v>46359</v>
      </c>
      <c r="J132" s="287"/>
      <c r="K132" s="287" t="n">
        <f aca="false">IF(G132&gt;0,$F$17,0)</f>
        <v>1</v>
      </c>
      <c r="L132" s="285" t="n">
        <v>0</v>
      </c>
      <c r="M132" s="290" t="s">
        <v>2310</v>
      </c>
      <c r="N132" s="288" t="str">
        <f aca="false">""</f>
        <v/>
      </c>
      <c r="O132" s="289" t="n">
        <f aca="false">IF(SUMIFS(O$73:O$312,$A$73:$A$312,"P9-005",$M$73:$M$312,"&lt;&gt;คุม")&gt;0,$F$17*NETWORKDAYS(O$72,O$72+6,HOLIDAYS),0)</f>
        <v>5</v>
      </c>
      <c r="P132" s="289" t="n">
        <f aca="false">IF(SUMIFS(P$73:P$312,$A$73:$A$312,"P9-005",$M$73:$M$312,"&lt;&gt;คุม")&gt;0,$F$17*NETWORKDAYS(P$72,P$72+6,HOLIDAYS),0)</f>
        <v>5</v>
      </c>
      <c r="Q132" s="289" t="n">
        <f aca="false">IF(SUMIFS(Q$73:Q$312,$A$73:$A$312,"P9-005",$M$73:$M$312,"&lt;&gt;คุม")&gt;0,$F$17*NETWORKDAYS(Q$72,Q$72+6,HOLIDAYS),0)</f>
        <v>5</v>
      </c>
      <c r="R132" s="289" t="n">
        <f aca="false">IF(SUMIFS(R$73:R$312,$A$73:$A$312,"P9-005",$M$73:$M$312,"&lt;&gt;คุม")&gt;0,$F$17*NETWORKDAYS(R$72,R$72+6,HOLIDAYS),0)</f>
        <v>0</v>
      </c>
      <c r="S132" s="289" t="n">
        <f aca="false">IF(SUMIFS(S$73:S$312,$A$73:$A$312,"P9-005",$M$73:$M$312,"&lt;&gt;คุม")&gt;0,$F$17*NETWORKDAYS(S$72,S$72+6,HOLIDAYS),0)</f>
        <v>5</v>
      </c>
      <c r="T132" s="289" t="n">
        <f aca="false">IF(SUMIFS(T$73:T$312,$A$73:$A$312,"P9-005",$M$73:$M$312,"&lt;&gt;คุม")&gt;0,$F$17*NETWORKDAYS(T$72,T$72+6,HOLIDAYS),0)</f>
        <v>0</v>
      </c>
      <c r="U132" s="289" t="n">
        <f aca="false">IF(SUMIFS(U$73:U$312,$A$73:$A$312,"P9-005",$M$73:$M$312,"&lt;&gt;คุม")&gt;0,$F$17*NETWORKDAYS(U$72,U$72+6,HOLIDAYS),0)</f>
        <v>0</v>
      </c>
      <c r="V132" s="289" t="n">
        <f aca="false">IF(SUMIFS(V$73:V$312,$A$73:$A$312,"P9-005",$M$73:$M$312,"&lt;&gt;คุม")&gt;0,$F$17*NETWORKDAYS(V$72,V$72+6,HOLIDAYS),0)</f>
        <v>0</v>
      </c>
      <c r="W132" s="289" t="n">
        <f aca="false">IF(SUMIFS(W$73:W$312,$A$73:$A$312,"P9-005",$M$73:$M$312,"&lt;&gt;คุม")&gt;0,$F$17*NETWORKDAYS(W$72,W$72+6,HOLIDAYS),0)</f>
        <v>0</v>
      </c>
      <c r="X132" s="289" t="n">
        <f aca="false">IF(SUMIFS(X$73:X$312,$A$73:$A$312,"P9-005",$M$73:$M$312,"&lt;&gt;คุม")&gt;0,$F$17*NETWORKDAYS(X$72,X$72+6,HOLIDAYS),0)</f>
        <v>0</v>
      </c>
      <c r="Y132" s="289" t="n">
        <f aca="false">IF(SUMIFS(Y$73:Y$312,$A$73:$A$312,"P9-005",$M$73:$M$312,"&lt;&gt;คุม")&gt;0,$F$17*NETWORKDAYS(Y$72,Y$72+6,HOLIDAYS),0)</f>
        <v>0</v>
      </c>
      <c r="Z132" s="289" t="n">
        <f aca="false">IF(SUMIFS(Z$73:Z$312,$A$73:$A$312,"P9-005",$M$73:$M$312,"&lt;&gt;คุม")&gt;0,$F$17*NETWORKDAYS(Z$72,Z$72+6,HOLIDAYS),0)</f>
        <v>0</v>
      </c>
      <c r="AA132" s="289" t="n">
        <f aca="false">IF(SUMIFS(AA$73:AA$312,$A$73:$A$312,"P9-005",$M$73:$M$312,"&lt;&gt;คุม")&gt;0,$F$17*NETWORKDAYS(AA$72,AA$72+6,HOLIDAYS),0)</f>
        <v>0</v>
      </c>
      <c r="AB132" s="289" t="n">
        <f aca="false">IF(SUMIFS(AB$73:AB$312,$A$73:$A$312,"P9-005",$M$73:$M$312,"&lt;&gt;คุม")&gt;0,$F$17*NETWORKDAYS(AB$72,AB$72+6,HOLIDAYS),0)</f>
        <v>0</v>
      </c>
      <c r="AC132" s="289" t="n">
        <f aca="false">IF(SUMIFS(AC$73:AC$312,$A$73:$A$312,"P9-005",$M$73:$M$312,"&lt;&gt;คุม")&gt;0,$F$17*NETWORKDAYS(AC$72,AC$72+6,HOLIDAYS),0)</f>
        <v>0</v>
      </c>
      <c r="AD132" s="289" t="n">
        <f aca="false">IF(SUMIFS(AD$73:AD$312,$A$73:$A$312,"P9-005",$M$73:$M$312,"&lt;&gt;คุม")&gt;0,$F$17*NETWORKDAYS(AD$72,AD$72+6,HOLIDAYS),0)</f>
        <v>0</v>
      </c>
      <c r="AE132" s="289" t="n">
        <f aca="false">IF(SUMIFS(AE$73:AE$312,$A$73:$A$312,"P9-005",$M$73:$M$312,"&lt;&gt;คุม")&gt;0,$F$17*NETWORKDAYS(AE$72,AE$72+6,HOLIDAYS),0)</f>
        <v>0</v>
      </c>
      <c r="AF132" s="289" t="n">
        <f aca="false">IF(SUMIFS(AF$73:AF$312,$A$73:$A$312,"P9-005",$M$73:$M$312,"&lt;&gt;คุม")&gt;0,$F$17*NETWORKDAYS(AF$72,AF$72+6,HOLIDAYS),0)</f>
        <v>0</v>
      </c>
      <c r="AG132" s="289" t="n">
        <f aca="false">IF(SUMIFS(AG$73:AG$312,$A$73:$A$312,"P9-005",$M$73:$M$312,"&lt;&gt;คุม")&gt;0,$F$17*NETWORKDAYS(AG$72,AG$72+6,HOLIDAYS),0)</f>
        <v>0</v>
      </c>
      <c r="AH132" s="289" t="n">
        <f aca="false">IF(SUMIFS(AH$73:AH$312,$A$73:$A$312,"P9-005",$M$73:$M$312,"&lt;&gt;คุม")&gt;0,$F$17*NETWORKDAYS(AH$72,AH$72+6,HOLIDAYS),0)</f>
        <v>0</v>
      </c>
      <c r="AI132" s="289" t="n">
        <f aca="false">IF(SUMIFS(AI$73:AI$312,$A$73:$A$312,"P9-005",$M$73:$M$312,"&lt;&gt;คุม")&gt;0,$F$17*NETWORKDAYS(AI$72,AI$72+6,HOLIDAYS),0)</f>
        <v>0</v>
      </c>
      <c r="AJ132" s="289" t="n">
        <f aca="false">IF(SUMIFS(AJ$73:AJ$312,$A$73:$A$312,"P9-005",$M$73:$M$312,"&lt;&gt;คุม")&gt;0,$F$17*NETWORKDAYS(AJ$72,AJ$72+6,HOLIDAYS),0)</f>
        <v>0</v>
      </c>
      <c r="AK132" s="289" t="n">
        <f aca="false">IF(SUMIFS(AK$73:AK$312,$A$73:$A$312,"P9-005",$M$73:$M$312,"&lt;&gt;คุม")&gt;0,$F$17*NETWORKDAYS(AK$72,AK$72+6,HOLIDAYS),0)</f>
        <v>0</v>
      </c>
      <c r="AL132" s="289" t="n">
        <f aca="false">IF(SUMIFS(AL$73:AL$312,$A$73:$A$312,"P9-005",$M$73:$M$312,"&lt;&gt;คุม")&gt;0,$F$17*NETWORKDAYS(AL$72,AL$72+6,HOLIDAYS),0)</f>
        <v>0</v>
      </c>
      <c r="AM132" s="289" t="n">
        <f aca="false">IF(SUMIFS(AM$73:AM$312,$A$73:$A$312,"P9-005",$M$73:$M$312,"&lt;&gt;คุม")&gt;0,$F$17*NETWORKDAYS(AM$72,AM$72+6,HOLIDAYS),0)</f>
        <v>0</v>
      </c>
      <c r="AN132" s="289" t="n">
        <f aca="false">IF(SUMIFS(AN$73:AN$312,$A$73:$A$312,"P9-005",$M$73:$M$312,"&lt;&gt;คุม")&gt;0,$F$17*NETWORKDAYS(AN$72,AN$72+6,HOLIDAYS),0)</f>
        <v>0</v>
      </c>
      <c r="AO132" s="289" t="n">
        <f aca="false">IF(SUMIFS(AO$73:AO$312,$A$73:$A$312,"P9-005",$M$73:$M$312,"&lt;&gt;คุม")&gt;0,$F$17*NETWORKDAYS(AO$72,AO$72+6,HOLIDAYS),0)</f>
        <v>0</v>
      </c>
      <c r="AP132" s="289" t="n">
        <f aca="false">IF(SUMIFS(AP$73:AP$312,$A$73:$A$312,"P9-005",$M$73:$M$312,"&lt;&gt;คุม")&gt;0,$F$17*NETWORKDAYS(AP$72,AP$72+6,HOLIDAYS),0)</f>
        <v>0</v>
      </c>
      <c r="AQ132" s="289" t="n">
        <f aca="false">IF(SUMIFS(AQ$73:AQ$312,$A$73:$A$312,"P9-005",$M$73:$M$312,"&lt;&gt;คุม")&gt;0,$F$17*NETWORKDAYS(AQ$72,AQ$72+6,HOLIDAYS),0)</f>
        <v>0</v>
      </c>
      <c r="AR132" s="289" t="n">
        <f aca="false">IF(SUMIFS(AR$73:AR$312,$A$73:$A$312,"P9-005",$M$73:$M$312,"&lt;&gt;คุม")&gt;0,$F$17*NETWORKDAYS(AR$72,AR$72+6,HOLIDAYS),0)</f>
        <v>0</v>
      </c>
    </row>
    <row r="133" customFormat="false" ht="15" hidden="false" customHeight="false" outlineLevel="1" collapsed="false">
      <c r="A133" s="282" t="s">
        <v>62</v>
      </c>
      <c r="B133" s="283" t="s">
        <v>64</v>
      </c>
      <c r="C133" s="284" t="s">
        <v>2358</v>
      </c>
      <c r="D133" s="284" t="s">
        <v>2280</v>
      </c>
      <c r="E133" s="285" t="n">
        <v>252.4</v>
      </c>
      <c r="F133" s="283" t="s">
        <v>2359</v>
      </c>
      <c r="G133" s="285" t="n">
        <f aca="false">$F$5*(E133/$G$5+$H$5)</f>
        <v>42.384</v>
      </c>
      <c r="H133" s="286" t="n">
        <f aca="false">IF(ISNUMBER('P9-006'!$N$62),'P9-006'!$N$62,"")</f>
        <v>46328</v>
      </c>
      <c r="I133" s="286" t="n">
        <f aca="false">IF(ISNUMBER('P9-006'!$O$62),'P9-006'!$O$62,"")</f>
        <v>46336</v>
      </c>
      <c r="J133" s="287" t="n">
        <f aca="false">IF(OR(H133="",I133="",N133&gt;=1),0,MAX(1,NETWORKDAYS(MAX(H133,ASOF),MAX(I133,ASOF),HOLIDAYS)))</f>
        <v>7</v>
      </c>
      <c r="K133" s="287" t="n">
        <f aca="false">IF(L133=0,0,ROUNDUP(L133/$F$5,0))</f>
        <v>2</v>
      </c>
      <c r="L133" s="285" t="n">
        <f aca="false">IF(J133=0,0,G133*(1-N133)/J133)</f>
        <v>6.05485714285714</v>
      </c>
      <c r="M133" s="283" t="s">
        <v>872</v>
      </c>
      <c r="N133" s="288" t="n">
        <f aca="false">IFERROR(MIN(1,'P9-006'!$V$62)+0,0)</f>
        <v>0</v>
      </c>
      <c r="O133" s="289" t="n">
        <f aca="false">IF($L133=0,0,$L133*MAX(0,NETWORKDAYS(MAX($H133,ASOF,O$72),MIN(MAX($I133,ASOF),O$72+6),HOLIDAYS)))</f>
        <v>30.2742857142857</v>
      </c>
      <c r="P133" s="289" t="n">
        <f aca="false">IF($L133=0,0,$L133*MAX(0,NETWORKDAYS(MAX($H133,ASOF,P$72),MIN(MAX($I133,ASOF),P$72+6),HOLIDAYS)))</f>
        <v>12.1097142857143</v>
      </c>
      <c r="Q133" s="289" t="n">
        <f aca="false">IF($L133=0,0,$L133*MAX(0,NETWORKDAYS(MAX($H133,ASOF,Q$72),MIN(MAX($I133,ASOF),Q$72+6),HOLIDAYS)))</f>
        <v>0</v>
      </c>
      <c r="R133" s="289" t="n">
        <f aca="false">IF($L133=0,0,$L133*MAX(0,NETWORKDAYS(MAX($H133,ASOF,R$72),MIN(MAX($I133,ASOF),R$72+6),HOLIDAYS)))</f>
        <v>0</v>
      </c>
      <c r="S133" s="289" t="n">
        <f aca="false">IF($L133=0,0,$L133*MAX(0,NETWORKDAYS(MAX($H133,ASOF,S$72),MIN(MAX($I133,ASOF),S$72+6),HOLIDAYS)))</f>
        <v>0</v>
      </c>
      <c r="T133" s="289" t="n">
        <f aca="false">IF($L133=0,0,$L133*MAX(0,NETWORKDAYS(MAX($H133,ASOF,T$72),MIN(MAX($I133,ASOF),T$72+6),HOLIDAYS)))</f>
        <v>0</v>
      </c>
      <c r="U133" s="289" t="n">
        <f aca="false">IF($L133=0,0,$L133*MAX(0,NETWORKDAYS(MAX($H133,ASOF,U$72),MIN(MAX($I133,ASOF),U$72+6),HOLIDAYS)))</f>
        <v>0</v>
      </c>
      <c r="V133" s="289" t="n">
        <f aca="false">IF($L133=0,0,$L133*MAX(0,NETWORKDAYS(MAX($H133,ASOF,V$72),MIN(MAX($I133,ASOF),V$72+6),HOLIDAYS)))</f>
        <v>0</v>
      </c>
      <c r="W133" s="289" t="n">
        <f aca="false">IF($L133=0,0,$L133*MAX(0,NETWORKDAYS(MAX($H133,ASOF,W$72),MIN(MAX($I133,ASOF),W$72+6),HOLIDAYS)))</f>
        <v>0</v>
      </c>
      <c r="X133" s="289" t="n">
        <f aca="false">IF($L133=0,0,$L133*MAX(0,NETWORKDAYS(MAX($H133,ASOF,X$72),MIN(MAX($I133,ASOF),X$72+6),HOLIDAYS)))</f>
        <v>0</v>
      </c>
      <c r="Y133" s="289" t="n">
        <f aca="false">IF($L133=0,0,$L133*MAX(0,NETWORKDAYS(MAX($H133,ASOF,Y$72),MIN(MAX($I133,ASOF),Y$72+6),HOLIDAYS)))</f>
        <v>0</v>
      </c>
      <c r="Z133" s="289" t="n">
        <f aca="false">IF($L133=0,0,$L133*MAX(0,NETWORKDAYS(MAX($H133,ASOF,Z$72),MIN(MAX($I133,ASOF),Z$72+6),HOLIDAYS)))</f>
        <v>0</v>
      </c>
      <c r="AA133" s="289" t="n">
        <f aca="false">IF($L133=0,0,$L133*MAX(0,NETWORKDAYS(MAX($H133,ASOF,AA$72),MIN(MAX($I133,ASOF),AA$72+6),HOLIDAYS)))</f>
        <v>0</v>
      </c>
      <c r="AB133" s="289" t="n">
        <f aca="false">IF($L133=0,0,$L133*MAX(0,NETWORKDAYS(MAX($H133,ASOF,AB$72),MIN(MAX($I133,ASOF),AB$72+6),HOLIDAYS)))</f>
        <v>0</v>
      </c>
      <c r="AC133" s="289" t="n">
        <f aca="false">IF($L133=0,0,$L133*MAX(0,NETWORKDAYS(MAX($H133,ASOF,AC$72),MIN(MAX($I133,ASOF),AC$72+6),HOLIDAYS)))</f>
        <v>0</v>
      </c>
      <c r="AD133" s="289" t="n">
        <f aca="false">IF($L133=0,0,$L133*MAX(0,NETWORKDAYS(MAX($H133,ASOF,AD$72),MIN(MAX($I133,ASOF),AD$72+6),HOLIDAYS)))</f>
        <v>0</v>
      </c>
      <c r="AE133" s="289" t="n">
        <f aca="false">IF($L133=0,0,$L133*MAX(0,NETWORKDAYS(MAX($H133,ASOF,AE$72),MIN(MAX($I133,ASOF),AE$72+6),HOLIDAYS)))</f>
        <v>0</v>
      </c>
      <c r="AF133" s="289" t="n">
        <f aca="false">IF($L133=0,0,$L133*MAX(0,NETWORKDAYS(MAX($H133,ASOF,AF$72),MIN(MAX($I133,ASOF),AF$72+6),HOLIDAYS)))</f>
        <v>0</v>
      </c>
      <c r="AG133" s="289" t="n">
        <f aca="false">IF($L133=0,0,$L133*MAX(0,NETWORKDAYS(MAX($H133,ASOF,AG$72),MIN(MAX($I133,ASOF),AG$72+6),HOLIDAYS)))</f>
        <v>0</v>
      </c>
      <c r="AH133" s="289" t="n">
        <f aca="false">IF($L133=0,0,$L133*MAX(0,NETWORKDAYS(MAX($H133,ASOF,AH$72),MIN(MAX($I133,ASOF),AH$72+6),HOLIDAYS)))</f>
        <v>0</v>
      </c>
      <c r="AI133" s="289" t="n">
        <f aca="false">IF($L133=0,0,$L133*MAX(0,NETWORKDAYS(MAX($H133,ASOF,AI$72),MIN(MAX($I133,ASOF),AI$72+6),HOLIDAYS)))</f>
        <v>0</v>
      </c>
      <c r="AJ133" s="289" t="n">
        <f aca="false">IF($L133=0,0,$L133*MAX(0,NETWORKDAYS(MAX($H133,ASOF,AJ$72),MIN(MAX($I133,ASOF),AJ$72+6),HOLIDAYS)))</f>
        <v>0</v>
      </c>
      <c r="AK133" s="289" t="n">
        <f aca="false">IF($L133=0,0,$L133*MAX(0,NETWORKDAYS(MAX($H133,ASOF,AK$72),MIN(MAX($I133,ASOF),AK$72+6),HOLIDAYS)))</f>
        <v>0</v>
      </c>
      <c r="AL133" s="289" t="n">
        <f aca="false">IF($L133=0,0,$L133*MAX(0,NETWORKDAYS(MAX($H133,ASOF,AL$72),MIN(MAX($I133,ASOF),AL$72+6),HOLIDAYS)))</f>
        <v>0</v>
      </c>
      <c r="AM133" s="289" t="n">
        <f aca="false">IF($L133=0,0,$L133*MAX(0,NETWORKDAYS(MAX($H133,ASOF,AM$72),MIN(MAX($I133,ASOF),AM$72+6),HOLIDAYS)))</f>
        <v>0</v>
      </c>
      <c r="AN133" s="289" t="n">
        <f aca="false">IF($L133=0,0,$L133*MAX(0,NETWORKDAYS(MAX($H133,ASOF,AN$72),MIN(MAX($I133,ASOF),AN$72+6),HOLIDAYS)))</f>
        <v>0</v>
      </c>
      <c r="AO133" s="289" t="n">
        <f aca="false">IF($L133=0,0,$L133*MAX(0,NETWORKDAYS(MAX($H133,ASOF,AO$72),MIN(MAX($I133,ASOF),AO$72+6),HOLIDAYS)))</f>
        <v>0</v>
      </c>
      <c r="AP133" s="289" t="n">
        <f aca="false">IF($L133=0,0,$L133*MAX(0,NETWORKDAYS(MAX($H133,ASOF,AP$72),MIN(MAX($I133,ASOF),AP$72+6),HOLIDAYS)))</f>
        <v>0</v>
      </c>
      <c r="AQ133" s="289" t="n">
        <f aca="false">IF($L133=0,0,$L133*MAX(0,NETWORKDAYS(MAX($H133,ASOF,AQ$72),MIN(MAX($I133,ASOF),AQ$72+6),HOLIDAYS)))</f>
        <v>0</v>
      </c>
      <c r="AR133" s="289" t="n">
        <f aca="false">IF($L133=0,0,$L133*MAX(0,NETWORKDAYS(MAX($H133,ASOF,AR$72),MIN(MAX($I133,ASOF),AR$72+6),HOLIDAYS)))</f>
        <v>0</v>
      </c>
    </row>
    <row r="134" customFormat="false" ht="15" hidden="false" customHeight="false" outlineLevel="1" collapsed="false">
      <c r="A134" s="282" t="s">
        <v>62</v>
      </c>
      <c r="B134" s="283" t="s">
        <v>64</v>
      </c>
      <c r="C134" s="284" t="s">
        <v>2360</v>
      </c>
      <c r="D134" s="284" t="s">
        <v>2284</v>
      </c>
      <c r="E134" s="285" t="n">
        <v>280.44</v>
      </c>
      <c r="F134" s="283" t="s">
        <v>527</v>
      </c>
      <c r="G134" s="285" t="n">
        <f aca="false">$F$6*(E134/$G$6+$H$6)</f>
        <v>24.033</v>
      </c>
      <c r="H134" s="286" t="n">
        <f aca="false">IF(ISNUMBER('P9-006'!$N$70),'P9-006'!$N$70,"")</f>
        <v>46343</v>
      </c>
      <c r="I134" s="286" t="n">
        <f aca="false">IF(ISNUMBER('P9-006'!$O$70),'P9-006'!$O$70,"")</f>
        <v>46346</v>
      </c>
      <c r="J134" s="287" t="n">
        <f aca="false">IF(OR(H134="",I134="",N134&gt;=1),0,MAX(1,NETWORKDAYS(MAX(H134,ASOF),MAX(I134,ASOF),HOLIDAYS)))</f>
        <v>4</v>
      </c>
      <c r="K134" s="287" t="n">
        <f aca="false">IF(L134=0,0,ROUNDUP(L134/$F$6,0))</f>
        <v>3</v>
      </c>
      <c r="L134" s="285" t="n">
        <f aca="false">IF(J134=0,0,G134*(1-N134)/J134)</f>
        <v>6.00825</v>
      </c>
      <c r="M134" s="283" t="s">
        <v>987</v>
      </c>
      <c r="N134" s="288" t="n">
        <f aca="false">IFERROR(MIN(1,'P9-006'!$V$70)+0,0)</f>
        <v>0</v>
      </c>
      <c r="O134" s="289" t="n">
        <f aca="false">IF($L134=0,0,$L134*MAX(0,NETWORKDAYS(MAX($H134,ASOF,O$72),MIN(MAX($I134,ASOF),O$72+6),HOLIDAYS)))</f>
        <v>0</v>
      </c>
      <c r="P134" s="289" t="n">
        <f aca="false">IF($L134=0,0,$L134*MAX(0,NETWORKDAYS(MAX($H134,ASOF,P$72),MIN(MAX($I134,ASOF),P$72+6),HOLIDAYS)))</f>
        <v>0</v>
      </c>
      <c r="Q134" s="289" t="n">
        <f aca="false">IF($L134=0,0,$L134*MAX(0,NETWORKDAYS(MAX($H134,ASOF,Q$72),MIN(MAX($I134,ASOF),Q$72+6),HOLIDAYS)))</f>
        <v>24.033</v>
      </c>
      <c r="R134" s="289" t="n">
        <f aca="false">IF($L134=0,0,$L134*MAX(0,NETWORKDAYS(MAX($H134,ASOF,R$72),MIN(MAX($I134,ASOF),R$72+6),HOLIDAYS)))</f>
        <v>0</v>
      </c>
      <c r="S134" s="289" t="n">
        <f aca="false">IF($L134=0,0,$L134*MAX(0,NETWORKDAYS(MAX($H134,ASOF,S$72),MIN(MAX($I134,ASOF),S$72+6),HOLIDAYS)))</f>
        <v>0</v>
      </c>
      <c r="T134" s="289" t="n">
        <f aca="false">IF($L134=0,0,$L134*MAX(0,NETWORKDAYS(MAX($H134,ASOF,T$72),MIN(MAX($I134,ASOF),T$72+6),HOLIDAYS)))</f>
        <v>0</v>
      </c>
      <c r="U134" s="289" t="n">
        <f aca="false">IF($L134=0,0,$L134*MAX(0,NETWORKDAYS(MAX($H134,ASOF,U$72),MIN(MAX($I134,ASOF),U$72+6),HOLIDAYS)))</f>
        <v>0</v>
      </c>
      <c r="V134" s="289" t="n">
        <f aca="false">IF($L134=0,0,$L134*MAX(0,NETWORKDAYS(MAX($H134,ASOF,V$72),MIN(MAX($I134,ASOF),V$72+6),HOLIDAYS)))</f>
        <v>0</v>
      </c>
      <c r="W134" s="289" t="n">
        <f aca="false">IF($L134=0,0,$L134*MAX(0,NETWORKDAYS(MAX($H134,ASOF,W$72),MIN(MAX($I134,ASOF),W$72+6),HOLIDAYS)))</f>
        <v>0</v>
      </c>
      <c r="X134" s="289" t="n">
        <f aca="false">IF($L134=0,0,$L134*MAX(0,NETWORKDAYS(MAX($H134,ASOF,X$72),MIN(MAX($I134,ASOF),X$72+6),HOLIDAYS)))</f>
        <v>0</v>
      </c>
      <c r="Y134" s="289" t="n">
        <f aca="false">IF($L134=0,0,$L134*MAX(0,NETWORKDAYS(MAX($H134,ASOF,Y$72),MIN(MAX($I134,ASOF),Y$72+6),HOLIDAYS)))</f>
        <v>0</v>
      </c>
      <c r="Z134" s="289" t="n">
        <f aca="false">IF($L134=0,0,$L134*MAX(0,NETWORKDAYS(MAX($H134,ASOF,Z$72),MIN(MAX($I134,ASOF),Z$72+6),HOLIDAYS)))</f>
        <v>0</v>
      </c>
      <c r="AA134" s="289" t="n">
        <f aca="false">IF($L134=0,0,$L134*MAX(0,NETWORKDAYS(MAX($H134,ASOF,AA$72),MIN(MAX($I134,ASOF),AA$72+6),HOLIDAYS)))</f>
        <v>0</v>
      </c>
      <c r="AB134" s="289" t="n">
        <f aca="false">IF($L134=0,0,$L134*MAX(0,NETWORKDAYS(MAX($H134,ASOF,AB$72),MIN(MAX($I134,ASOF),AB$72+6),HOLIDAYS)))</f>
        <v>0</v>
      </c>
      <c r="AC134" s="289" t="n">
        <f aca="false">IF($L134=0,0,$L134*MAX(0,NETWORKDAYS(MAX($H134,ASOF,AC$72),MIN(MAX($I134,ASOF),AC$72+6),HOLIDAYS)))</f>
        <v>0</v>
      </c>
      <c r="AD134" s="289" t="n">
        <f aca="false">IF($L134=0,0,$L134*MAX(0,NETWORKDAYS(MAX($H134,ASOF,AD$72),MIN(MAX($I134,ASOF),AD$72+6),HOLIDAYS)))</f>
        <v>0</v>
      </c>
      <c r="AE134" s="289" t="n">
        <f aca="false">IF($L134=0,0,$L134*MAX(0,NETWORKDAYS(MAX($H134,ASOF,AE$72),MIN(MAX($I134,ASOF),AE$72+6),HOLIDAYS)))</f>
        <v>0</v>
      </c>
      <c r="AF134" s="289" t="n">
        <f aca="false">IF($L134=0,0,$L134*MAX(0,NETWORKDAYS(MAX($H134,ASOF,AF$72),MIN(MAX($I134,ASOF),AF$72+6),HOLIDAYS)))</f>
        <v>0</v>
      </c>
      <c r="AG134" s="289" t="n">
        <f aca="false">IF($L134=0,0,$L134*MAX(0,NETWORKDAYS(MAX($H134,ASOF,AG$72),MIN(MAX($I134,ASOF),AG$72+6),HOLIDAYS)))</f>
        <v>0</v>
      </c>
      <c r="AH134" s="289" t="n">
        <f aca="false">IF($L134=0,0,$L134*MAX(0,NETWORKDAYS(MAX($H134,ASOF,AH$72),MIN(MAX($I134,ASOF),AH$72+6),HOLIDAYS)))</f>
        <v>0</v>
      </c>
      <c r="AI134" s="289" t="n">
        <f aca="false">IF($L134=0,0,$L134*MAX(0,NETWORKDAYS(MAX($H134,ASOF,AI$72),MIN(MAX($I134,ASOF),AI$72+6),HOLIDAYS)))</f>
        <v>0</v>
      </c>
      <c r="AJ134" s="289" t="n">
        <f aca="false">IF($L134=0,0,$L134*MAX(0,NETWORKDAYS(MAX($H134,ASOF,AJ$72),MIN(MAX($I134,ASOF),AJ$72+6),HOLIDAYS)))</f>
        <v>0</v>
      </c>
      <c r="AK134" s="289" t="n">
        <f aca="false">IF($L134=0,0,$L134*MAX(0,NETWORKDAYS(MAX($H134,ASOF,AK$72),MIN(MAX($I134,ASOF),AK$72+6),HOLIDAYS)))</f>
        <v>0</v>
      </c>
      <c r="AL134" s="289" t="n">
        <f aca="false">IF($L134=0,0,$L134*MAX(0,NETWORKDAYS(MAX($H134,ASOF,AL$72),MIN(MAX($I134,ASOF),AL$72+6),HOLIDAYS)))</f>
        <v>0</v>
      </c>
      <c r="AM134" s="289" t="n">
        <f aca="false">IF($L134=0,0,$L134*MAX(0,NETWORKDAYS(MAX($H134,ASOF,AM$72),MIN(MAX($I134,ASOF),AM$72+6),HOLIDAYS)))</f>
        <v>0</v>
      </c>
      <c r="AN134" s="289" t="n">
        <f aca="false">IF($L134=0,0,$L134*MAX(0,NETWORKDAYS(MAX($H134,ASOF,AN$72),MIN(MAX($I134,ASOF),AN$72+6),HOLIDAYS)))</f>
        <v>0</v>
      </c>
      <c r="AO134" s="289" t="n">
        <f aca="false">IF($L134=0,0,$L134*MAX(0,NETWORKDAYS(MAX($H134,ASOF,AO$72),MIN(MAX($I134,ASOF),AO$72+6),HOLIDAYS)))</f>
        <v>0</v>
      </c>
      <c r="AP134" s="289" t="n">
        <f aca="false">IF($L134=0,0,$L134*MAX(0,NETWORKDAYS(MAX($H134,ASOF,AP$72),MIN(MAX($I134,ASOF),AP$72+6),HOLIDAYS)))</f>
        <v>0</v>
      </c>
      <c r="AQ134" s="289" t="n">
        <f aca="false">IF($L134=0,0,$L134*MAX(0,NETWORKDAYS(MAX($H134,ASOF,AQ$72),MIN(MAX($I134,ASOF),AQ$72+6),HOLIDAYS)))</f>
        <v>0</v>
      </c>
      <c r="AR134" s="289" t="n">
        <f aca="false">IF($L134=0,0,$L134*MAX(0,NETWORKDAYS(MAX($H134,ASOF,AR$72),MIN(MAX($I134,ASOF),AR$72+6),HOLIDAYS)))</f>
        <v>0</v>
      </c>
    </row>
    <row r="135" customFormat="false" ht="15" hidden="false" customHeight="false" outlineLevel="1" collapsed="false">
      <c r="A135" s="282" t="s">
        <v>62</v>
      </c>
      <c r="B135" s="283" t="s">
        <v>64</v>
      </c>
      <c r="C135" s="284" t="s">
        <v>2361</v>
      </c>
      <c r="D135" s="284" t="s">
        <v>2280</v>
      </c>
      <c r="E135" s="285" t="n">
        <v>280.44</v>
      </c>
      <c r="F135" s="283" t="s">
        <v>527</v>
      </c>
      <c r="G135" s="285" t="n">
        <f aca="false">$F$7*(E135/$G$7+$H$7)</f>
        <v>34.0502857142857</v>
      </c>
      <c r="H135" s="286" t="n">
        <f aca="false">IF(ISNUMBER('P9-006'!$N$76),'P9-006'!$N$76,"")</f>
        <v>46337</v>
      </c>
      <c r="I135" s="286" t="n">
        <f aca="false">IF(ISNUMBER('P9-006'!$O$76),'P9-006'!$O$76,"")</f>
        <v>46347</v>
      </c>
      <c r="J135" s="287" t="n">
        <f aca="false">IF(OR(H135="",I135="",N135&gt;=1),0,MAX(1,NETWORKDAYS(MAX(H135,ASOF),MAX(I135,ASOF),HOLIDAYS)))</f>
        <v>8</v>
      </c>
      <c r="K135" s="287" t="n">
        <f aca="false">IF(L135=0,0,ROUNDUP(L135/$F$7,0))</f>
        <v>2</v>
      </c>
      <c r="L135" s="285" t="n">
        <f aca="false">IF(J135=0,0,G135*(1-N135)/J135)</f>
        <v>4.25628571428571</v>
      </c>
      <c r="M135" s="283" t="s">
        <v>1037</v>
      </c>
      <c r="N135" s="288" t="n">
        <f aca="false">IFERROR(MIN(1,'P9-006'!$V$76)+0,0)</f>
        <v>0</v>
      </c>
      <c r="O135" s="289" t="n">
        <f aca="false">IF($L135=0,0,$L135*MAX(0,NETWORKDAYS(MAX($H135,ASOF,O$72),MIN(MAX($I135,ASOF),O$72+6),HOLIDAYS)))</f>
        <v>0</v>
      </c>
      <c r="P135" s="289" t="n">
        <f aca="false">IF($L135=0,0,$L135*MAX(0,NETWORKDAYS(MAX($H135,ASOF,P$72),MIN(MAX($I135,ASOF),P$72+6),HOLIDAYS)))</f>
        <v>12.7688571428571</v>
      </c>
      <c r="Q135" s="289" t="n">
        <f aca="false">IF($L135=0,0,$L135*MAX(0,NETWORKDAYS(MAX($H135,ASOF,Q$72),MIN(MAX($I135,ASOF),Q$72+6),HOLIDAYS)))</f>
        <v>21.2814285714286</v>
      </c>
      <c r="R135" s="289" t="n">
        <f aca="false">IF($L135=0,0,$L135*MAX(0,NETWORKDAYS(MAX($H135,ASOF,R$72),MIN(MAX($I135,ASOF),R$72+6),HOLIDAYS)))</f>
        <v>0</v>
      </c>
      <c r="S135" s="289" t="n">
        <f aca="false">IF($L135=0,0,$L135*MAX(0,NETWORKDAYS(MAX($H135,ASOF,S$72),MIN(MAX($I135,ASOF),S$72+6),HOLIDAYS)))</f>
        <v>0</v>
      </c>
      <c r="T135" s="289" t="n">
        <f aca="false">IF($L135=0,0,$L135*MAX(0,NETWORKDAYS(MAX($H135,ASOF,T$72),MIN(MAX($I135,ASOF),T$72+6),HOLIDAYS)))</f>
        <v>0</v>
      </c>
      <c r="U135" s="289" t="n">
        <f aca="false">IF($L135=0,0,$L135*MAX(0,NETWORKDAYS(MAX($H135,ASOF,U$72),MIN(MAX($I135,ASOF),U$72+6),HOLIDAYS)))</f>
        <v>0</v>
      </c>
      <c r="V135" s="289" t="n">
        <f aca="false">IF($L135=0,0,$L135*MAX(0,NETWORKDAYS(MAX($H135,ASOF,V$72),MIN(MAX($I135,ASOF),V$72+6),HOLIDAYS)))</f>
        <v>0</v>
      </c>
      <c r="W135" s="289" t="n">
        <f aca="false">IF($L135=0,0,$L135*MAX(0,NETWORKDAYS(MAX($H135,ASOF,W$72),MIN(MAX($I135,ASOF),W$72+6),HOLIDAYS)))</f>
        <v>0</v>
      </c>
      <c r="X135" s="289" t="n">
        <f aca="false">IF($L135=0,0,$L135*MAX(0,NETWORKDAYS(MAX($H135,ASOF,X$72),MIN(MAX($I135,ASOF),X$72+6),HOLIDAYS)))</f>
        <v>0</v>
      </c>
      <c r="Y135" s="289" t="n">
        <f aca="false">IF($L135=0,0,$L135*MAX(0,NETWORKDAYS(MAX($H135,ASOF,Y$72),MIN(MAX($I135,ASOF),Y$72+6),HOLIDAYS)))</f>
        <v>0</v>
      </c>
      <c r="Z135" s="289" t="n">
        <f aca="false">IF($L135=0,0,$L135*MAX(0,NETWORKDAYS(MAX($H135,ASOF,Z$72),MIN(MAX($I135,ASOF),Z$72+6),HOLIDAYS)))</f>
        <v>0</v>
      </c>
      <c r="AA135" s="289" t="n">
        <f aca="false">IF($L135=0,0,$L135*MAX(0,NETWORKDAYS(MAX($H135,ASOF,AA$72),MIN(MAX($I135,ASOF),AA$72+6),HOLIDAYS)))</f>
        <v>0</v>
      </c>
      <c r="AB135" s="289" t="n">
        <f aca="false">IF($L135=0,0,$L135*MAX(0,NETWORKDAYS(MAX($H135,ASOF,AB$72),MIN(MAX($I135,ASOF),AB$72+6),HOLIDAYS)))</f>
        <v>0</v>
      </c>
      <c r="AC135" s="289" t="n">
        <f aca="false">IF($L135=0,0,$L135*MAX(0,NETWORKDAYS(MAX($H135,ASOF,AC$72),MIN(MAX($I135,ASOF),AC$72+6),HOLIDAYS)))</f>
        <v>0</v>
      </c>
      <c r="AD135" s="289" t="n">
        <f aca="false">IF($L135=0,0,$L135*MAX(0,NETWORKDAYS(MAX($H135,ASOF,AD$72),MIN(MAX($I135,ASOF),AD$72+6),HOLIDAYS)))</f>
        <v>0</v>
      </c>
      <c r="AE135" s="289" t="n">
        <f aca="false">IF($L135=0,0,$L135*MAX(0,NETWORKDAYS(MAX($H135,ASOF,AE$72),MIN(MAX($I135,ASOF),AE$72+6),HOLIDAYS)))</f>
        <v>0</v>
      </c>
      <c r="AF135" s="289" t="n">
        <f aca="false">IF($L135=0,0,$L135*MAX(0,NETWORKDAYS(MAX($H135,ASOF,AF$72),MIN(MAX($I135,ASOF),AF$72+6),HOLIDAYS)))</f>
        <v>0</v>
      </c>
      <c r="AG135" s="289" t="n">
        <f aca="false">IF($L135=0,0,$L135*MAX(0,NETWORKDAYS(MAX($H135,ASOF,AG$72),MIN(MAX($I135,ASOF),AG$72+6),HOLIDAYS)))</f>
        <v>0</v>
      </c>
      <c r="AH135" s="289" t="n">
        <f aca="false">IF($L135=0,0,$L135*MAX(0,NETWORKDAYS(MAX($H135,ASOF,AH$72),MIN(MAX($I135,ASOF),AH$72+6),HOLIDAYS)))</f>
        <v>0</v>
      </c>
      <c r="AI135" s="289" t="n">
        <f aca="false">IF($L135=0,0,$L135*MAX(0,NETWORKDAYS(MAX($H135,ASOF,AI$72),MIN(MAX($I135,ASOF),AI$72+6),HOLIDAYS)))</f>
        <v>0</v>
      </c>
      <c r="AJ135" s="289" t="n">
        <f aca="false">IF($L135=0,0,$L135*MAX(0,NETWORKDAYS(MAX($H135,ASOF,AJ$72),MIN(MAX($I135,ASOF),AJ$72+6),HOLIDAYS)))</f>
        <v>0</v>
      </c>
      <c r="AK135" s="289" t="n">
        <f aca="false">IF($L135=0,0,$L135*MAX(0,NETWORKDAYS(MAX($H135,ASOF,AK$72),MIN(MAX($I135,ASOF),AK$72+6),HOLIDAYS)))</f>
        <v>0</v>
      </c>
      <c r="AL135" s="289" t="n">
        <f aca="false">IF($L135=0,0,$L135*MAX(0,NETWORKDAYS(MAX($H135,ASOF,AL$72),MIN(MAX($I135,ASOF),AL$72+6),HOLIDAYS)))</f>
        <v>0</v>
      </c>
      <c r="AM135" s="289" t="n">
        <f aca="false">IF($L135=0,0,$L135*MAX(0,NETWORKDAYS(MAX($H135,ASOF,AM$72),MIN(MAX($I135,ASOF),AM$72+6),HOLIDAYS)))</f>
        <v>0</v>
      </c>
      <c r="AN135" s="289" t="n">
        <f aca="false">IF($L135=0,0,$L135*MAX(0,NETWORKDAYS(MAX($H135,ASOF,AN$72),MIN(MAX($I135,ASOF),AN$72+6),HOLIDAYS)))</f>
        <v>0</v>
      </c>
      <c r="AO135" s="289" t="n">
        <f aca="false">IF($L135=0,0,$L135*MAX(0,NETWORKDAYS(MAX($H135,ASOF,AO$72),MIN(MAX($I135,ASOF),AO$72+6),HOLIDAYS)))</f>
        <v>0</v>
      </c>
      <c r="AP135" s="289" t="n">
        <f aca="false">IF($L135=0,0,$L135*MAX(0,NETWORKDAYS(MAX($H135,ASOF,AP$72),MIN(MAX($I135,ASOF),AP$72+6),HOLIDAYS)))</f>
        <v>0</v>
      </c>
      <c r="AQ135" s="289" t="n">
        <f aca="false">IF($L135=0,0,$L135*MAX(0,NETWORKDAYS(MAX($H135,ASOF,AQ$72),MIN(MAX($I135,ASOF),AQ$72+6),HOLIDAYS)))</f>
        <v>0</v>
      </c>
      <c r="AR135" s="289" t="n">
        <f aca="false">IF($L135=0,0,$L135*MAX(0,NETWORKDAYS(MAX($H135,ASOF,AR$72),MIN(MAX($I135,ASOF),AR$72+6),HOLIDAYS)))</f>
        <v>0</v>
      </c>
    </row>
    <row r="136" customFormat="false" ht="15" hidden="false" customHeight="false" outlineLevel="1" collapsed="false">
      <c r="A136" s="282" t="s">
        <v>62</v>
      </c>
      <c r="B136" s="283" t="s">
        <v>64</v>
      </c>
      <c r="C136" s="284" t="s">
        <v>2362</v>
      </c>
      <c r="D136" s="284" t="s">
        <v>2284</v>
      </c>
      <c r="E136" s="285" t="n">
        <v>1</v>
      </c>
      <c r="F136" s="290" t="s">
        <v>35</v>
      </c>
      <c r="G136" s="285" t="n">
        <f aca="false">$F$8*$H$8</f>
        <v>2</v>
      </c>
      <c r="H136" s="286" t="n">
        <f aca="false">IF(ISNUMBER('P9-006'!$N$82),'P9-006'!$N$82,"")</f>
        <v>46345</v>
      </c>
      <c r="I136" s="286" t="n">
        <f aca="false">IF(ISNUMBER('P9-006'!$O$82),'P9-006'!$O$82,"")</f>
        <v>46347</v>
      </c>
      <c r="J136" s="287" t="n">
        <f aca="false">IF(OR(H136="",I136="",N136&gt;=1),0,MAX(1,NETWORKDAYS(MAX(H136,ASOF),MAX(I136,ASOF),HOLIDAYS)))</f>
        <v>2</v>
      </c>
      <c r="K136" s="287" t="n">
        <f aca="false">IF(L136=0,0,ROUNDUP(L136/$F$8,0))</f>
        <v>1</v>
      </c>
      <c r="L136" s="285" t="n">
        <f aca="false">IF(J136=0,0,G136*(1-N136)/J136)</f>
        <v>1</v>
      </c>
      <c r="M136" s="283" t="s">
        <v>1063</v>
      </c>
      <c r="N136" s="288" t="n">
        <f aca="false">IFERROR(MIN(1,'P9-006'!$V$82)+0,0)</f>
        <v>0</v>
      </c>
      <c r="O136" s="289" t="n">
        <f aca="false">IF($L136=0,0,$L136*MAX(0,NETWORKDAYS(MAX($H136,ASOF,O$72),MIN(MAX($I136,ASOF),O$72+6),HOLIDAYS)))</f>
        <v>0</v>
      </c>
      <c r="P136" s="289" t="n">
        <f aca="false">IF($L136=0,0,$L136*MAX(0,NETWORKDAYS(MAX($H136,ASOF,P$72),MIN(MAX($I136,ASOF),P$72+6),HOLIDAYS)))</f>
        <v>0</v>
      </c>
      <c r="Q136" s="289" t="n">
        <f aca="false">IF($L136=0,0,$L136*MAX(0,NETWORKDAYS(MAX($H136,ASOF,Q$72),MIN(MAX($I136,ASOF),Q$72+6),HOLIDAYS)))</f>
        <v>2</v>
      </c>
      <c r="R136" s="289" t="n">
        <f aca="false">IF($L136=0,0,$L136*MAX(0,NETWORKDAYS(MAX($H136,ASOF,R$72),MIN(MAX($I136,ASOF),R$72+6),HOLIDAYS)))</f>
        <v>0</v>
      </c>
      <c r="S136" s="289" t="n">
        <f aca="false">IF($L136=0,0,$L136*MAX(0,NETWORKDAYS(MAX($H136,ASOF,S$72),MIN(MAX($I136,ASOF),S$72+6),HOLIDAYS)))</f>
        <v>0</v>
      </c>
      <c r="T136" s="289" t="n">
        <f aca="false">IF($L136=0,0,$L136*MAX(0,NETWORKDAYS(MAX($H136,ASOF,T$72),MIN(MAX($I136,ASOF),T$72+6),HOLIDAYS)))</f>
        <v>0</v>
      </c>
      <c r="U136" s="289" t="n">
        <f aca="false">IF($L136=0,0,$L136*MAX(0,NETWORKDAYS(MAX($H136,ASOF,U$72),MIN(MAX($I136,ASOF),U$72+6),HOLIDAYS)))</f>
        <v>0</v>
      </c>
      <c r="V136" s="289" t="n">
        <f aca="false">IF($L136=0,0,$L136*MAX(0,NETWORKDAYS(MAX($H136,ASOF,V$72),MIN(MAX($I136,ASOF),V$72+6),HOLIDAYS)))</f>
        <v>0</v>
      </c>
      <c r="W136" s="289" t="n">
        <f aca="false">IF($L136=0,0,$L136*MAX(0,NETWORKDAYS(MAX($H136,ASOF,W$72),MIN(MAX($I136,ASOF),W$72+6),HOLIDAYS)))</f>
        <v>0</v>
      </c>
      <c r="X136" s="289" t="n">
        <f aca="false">IF($L136=0,0,$L136*MAX(0,NETWORKDAYS(MAX($H136,ASOF,X$72),MIN(MAX($I136,ASOF),X$72+6),HOLIDAYS)))</f>
        <v>0</v>
      </c>
      <c r="Y136" s="289" t="n">
        <f aca="false">IF($L136=0,0,$L136*MAX(0,NETWORKDAYS(MAX($H136,ASOF,Y$72),MIN(MAX($I136,ASOF),Y$72+6),HOLIDAYS)))</f>
        <v>0</v>
      </c>
      <c r="Z136" s="289" t="n">
        <f aca="false">IF($L136=0,0,$L136*MAX(0,NETWORKDAYS(MAX($H136,ASOF,Z$72),MIN(MAX($I136,ASOF),Z$72+6),HOLIDAYS)))</f>
        <v>0</v>
      </c>
      <c r="AA136" s="289" t="n">
        <f aca="false">IF($L136=0,0,$L136*MAX(0,NETWORKDAYS(MAX($H136,ASOF,AA$72),MIN(MAX($I136,ASOF),AA$72+6),HOLIDAYS)))</f>
        <v>0</v>
      </c>
      <c r="AB136" s="289" t="n">
        <f aca="false">IF($L136=0,0,$L136*MAX(0,NETWORKDAYS(MAX($H136,ASOF,AB$72),MIN(MAX($I136,ASOF),AB$72+6),HOLIDAYS)))</f>
        <v>0</v>
      </c>
      <c r="AC136" s="289" t="n">
        <f aca="false">IF($L136=0,0,$L136*MAX(0,NETWORKDAYS(MAX($H136,ASOF,AC$72),MIN(MAX($I136,ASOF),AC$72+6),HOLIDAYS)))</f>
        <v>0</v>
      </c>
      <c r="AD136" s="289" t="n">
        <f aca="false">IF($L136=0,0,$L136*MAX(0,NETWORKDAYS(MAX($H136,ASOF,AD$72),MIN(MAX($I136,ASOF),AD$72+6),HOLIDAYS)))</f>
        <v>0</v>
      </c>
      <c r="AE136" s="289" t="n">
        <f aca="false">IF($L136=0,0,$L136*MAX(0,NETWORKDAYS(MAX($H136,ASOF,AE$72),MIN(MAX($I136,ASOF),AE$72+6),HOLIDAYS)))</f>
        <v>0</v>
      </c>
      <c r="AF136" s="289" t="n">
        <f aca="false">IF($L136=0,0,$L136*MAX(0,NETWORKDAYS(MAX($H136,ASOF,AF$72),MIN(MAX($I136,ASOF),AF$72+6),HOLIDAYS)))</f>
        <v>0</v>
      </c>
      <c r="AG136" s="289" t="n">
        <f aca="false">IF($L136=0,0,$L136*MAX(0,NETWORKDAYS(MAX($H136,ASOF,AG$72),MIN(MAX($I136,ASOF),AG$72+6),HOLIDAYS)))</f>
        <v>0</v>
      </c>
      <c r="AH136" s="289" t="n">
        <f aca="false">IF($L136=0,0,$L136*MAX(0,NETWORKDAYS(MAX($H136,ASOF,AH$72),MIN(MAX($I136,ASOF),AH$72+6),HOLIDAYS)))</f>
        <v>0</v>
      </c>
      <c r="AI136" s="289" t="n">
        <f aca="false">IF($L136=0,0,$L136*MAX(0,NETWORKDAYS(MAX($H136,ASOF,AI$72),MIN(MAX($I136,ASOF),AI$72+6),HOLIDAYS)))</f>
        <v>0</v>
      </c>
      <c r="AJ136" s="289" t="n">
        <f aca="false">IF($L136=0,0,$L136*MAX(0,NETWORKDAYS(MAX($H136,ASOF,AJ$72),MIN(MAX($I136,ASOF),AJ$72+6),HOLIDAYS)))</f>
        <v>0</v>
      </c>
      <c r="AK136" s="289" t="n">
        <f aca="false">IF($L136=0,0,$L136*MAX(0,NETWORKDAYS(MAX($H136,ASOF,AK$72),MIN(MAX($I136,ASOF),AK$72+6),HOLIDAYS)))</f>
        <v>0</v>
      </c>
      <c r="AL136" s="289" t="n">
        <f aca="false">IF($L136=0,0,$L136*MAX(0,NETWORKDAYS(MAX($H136,ASOF,AL$72),MIN(MAX($I136,ASOF),AL$72+6),HOLIDAYS)))</f>
        <v>0</v>
      </c>
      <c r="AM136" s="289" t="n">
        <f aca="false">IF($L136=0,0,$L136*MAX(0,NETWORKDAYS(MAX($H136,ASOF,AM$72),MIN(MAX($I136,ASOF),AM$72+6),HOLIDAYS)))</f>
        <v>0</v>
      </c>
      <c r="AN136" s="289" t="n">
        <f aca="false">IF($L136=0,0,$L136*MAX(0,NETWORKDAYS(MAX($H136,ASOF,AN$72),MIN(MAX($I136,ASOF),AN$72+6),HOLIDAYS)))</f>
        <v>0</v>
      </c>
      <c r="AO136" s="289" t="n">
        <f aca="false">IF($L136=0,0,$L136*MAX(0,NETWORKDAYS(MAX($H136,ASOF,AO$72),MIN(MAX($I136,ASOF),AO$72+6),HOLIDAYS)))</f>
        <v>0</v>
      </c>
      <c r="AP136" s="289" t="n">
        <f aca="false">IF($L136=0,0,$L136*MAX(0,NETWORKDAYS(MAX($H136,ASOF,AP$72),MIN(MAX($I136,ASOF),AP$72+6),HOLIDAYS)))</f>
        <v>0</v>
      </c>
      <c r="AQ136" s="289" t="n">
        <f aca="false">IF($L136=0,0,$L136*MAX(0,NETWORKDAYS(MAX($H136,ASOF,AQ$72),MIN(MAX($I136,ASOF),AQ$72+6),HOLIDAYS)))</f>
        <v>0</v>
      </c>
      <c r="AR136" s="289" t="n">
        <f aca="false">IF($L136=0,0,$L136*MAX(0,NETWORKDAYS(MAX($H136,ASOF,AR$72),MIN(MAX($I136,ASOF),AR$72+6),HOLIDAYS)))</f>
        <v>0</v>
      </c>
    </row>
    <row r="137" customFormat="false" ht="15" hidden="false" customHeight="false" outlineLevel="1" collapsed="false">
      <c r="A137" s="282" t="s">
        <v>62</v>
      </c>
      <c r="B137" s="283" t="s">
        <v>64</v>
      </c>
      <c r="C137" s="284" t="s">
        <v>2363</v>
      </c>
      <c r="D137" s="284" t="s">
        <v>2290</v>
      </c>
      <c r="E137" s="285" t="n">
        <v>1</v>
      </c>
      <c r="F137" s="290" t="s">
        <v>35</v>
      </c>
      <c r="G137" s="285" t="n">
        <f aca="false">IF(IFERROR(INDEX(INVS_TYPE,MATCH("P9-006",INVS_ID,0)),"")="สร้างใหม่ (E09)",$F$9*$H$9,0)</f>
        <v>24</v>
      </c>
      <c r="H137" s="286" t="n">
        <f aca="false">IF(ISNUMBER('P9-006'!$N$85),'P9-006'!$N$85,"")</f>
        <v>46343</v>
      </c>
      <c r="I137" s="286" t="n">
        <f aca="false">IF(ISNUMBER('P9-006'!$O$85),'P9-006'!$O$85,"")</f>
        <v>46346</v>
      </c>
      <c r="J137" s="287" t="n">
        <f aca="false">IF(OR(H137="",I137="",N137&gt;=1),0,MAX(1,NETWORKDAYS(MAX(H137,ASOF),MAX(I137,ASOF),HOLIDAYS)))</f>
        <v>4</v>
      </c>
      <c r="K137" s="287" t="n">
        <f aca="false">IF(L137=0,0,ROUNDUP(L137/$F$9,0))</f>
        <v>2</v>
      </c>
      <c r="L137" s="285" t="n">
        <f aca="false">IF(J137=0,0,G137*(1-N137)/J137)</f>
        <v>6</v>
      </c>
      <c r="M137" s="283" t="s">
        <v>2288</v>
      </c>
      <c r="N137" s="288" t="n">
        <f aca="false">IFERROR(MIN(1,'P9-006'!$V$85)+0,0)</f>
        <v>0</v>
      </c>
      <c r="O137" s="289" t="n">
        <f aca="false">IF($L137=0,0,$L137*MAX(0,NETWORKDAYS(MAX($H137,ASOF,O$72),MIN(MAX($I137,ASOF),O$72+6),HOLIDAYS)))</f>
        <v>0</v>
      </c>
      <c r="P137" s="289" t="n">
        <f aca="false">IF($L137=0,0,$L137*MAX(0,NETWORKDAYS(MAX($H137,ASOF,P$72),MIN(MAX($I137,ASOF),P$72+6),HOLIDAYS)))</f>
        <v>0</v>
      </c>
      <c r="Q137" s="289" t="n">
        <f aca="false">IF($L137=0,0,$L137*MAX(0,NETWORKDAYS(MAX($H137,ASOF,Q$72),MIN(MAX($I137,ASOF),Q$72+6),HOLIDAYS)))</f>
        <v>24</v>
      </c>
      <c r="R137" s="289" t="n">
        <f aca="false">IF($L137=0,0,$L137*MAX(0,NETWORKDAYS(MAX($H137,ASOF,R$72),MIN(MAX($I137,ASOF),R$72+6),HOLIDAYS)))</f>
        <v>0</v>
      </c>
      <c r="S137" s="289" t="n">
        <f aca="false">IF($L137=0,0,$L137*MAX(0,NETWORKDAYS(MAX($H137,ASOF,S$72),MIN(MAX($I137,ASOF),S$72+6),HOLIDAYS)))</f>
        <v>0</v>
      </c>
      <c r="T137" s="289" t="n">
        <f aca="false">IF($L137=0,0,$L137*MAX(0,NETWORKDAYS(MAX($H137,ASOF,T$72),MIN(MAX($I137,ASOF),T$72+6),HOLIDAYS)))</f>
        <v>0</v>
      </c>
      <c r="U137" s="289" t="n">
        <f aca="false">IF($L137=0,0,$L137*MAX(0,NETWORKDAYS(MAX($H137,ASOF,U$72),MIN(MAX($I137,ASOF),U$72+6),HOLIDAYS)))</f>
        <v>0</v>
      </c>
      <c r="V137" s="289" t="n">
        <f aca="false">IF($L137=0,0,$L137*MAX(0,NETWORKDAYS(MAX($H137,ASOF,V$72),MIN(MAX($I137,ASOF),V$72+6),HOLIDAYS)))</f>
        <v>0</v>
      </c>
      <c r="W137" s="289" t="n">
        <f aca="false">IF($L137=0,0,$L137*MAX(0,NETWORKDAYS(MAX($H137,ASOF,W$72),MIN(MAX($I137,ASOF),W$72+6),HOLIDAYS)))</f>
        <v>0</v>
      </c>
      <c r="X137" s="289" t="n">
        <f aca="false">IF($L137=0,0,$L137*MAX(0,NETWORKDAYS(MAX($H137,ASOF,X$72),MIN(MAX($I137,ASOF),X$72+6),HOLIDAYS)))</f>
        <v>0</v>
      </c>
      <c r="Y137" s="289" t="n">
        <f aca="false">IF($L137=0,0,$L137*MAX(0,NETWORKDAYS(MAX($H137,ASOF,Y$72),MIN(MAX($I137,ASOF),Y$72+6),HOLIDAYS)))</f>
        <v>0</v>
      </c>
      <c r="Z137" s="289" t="n">
        <f aca="false">IF($L137=0,0,$L137*MAX(0,NETWORKDAYS(MAX($H137,ASOF,Z$72),MIN(MAX($I137,ASOF),Z$72+6),HOLIDAYS)))</f>
        <v>0</v>
      </c>
      <c r="AA137" s="289" t="n">
        <f aca="false">IF($L137=0,0,$L137*MAX(0,NETWORKDAYS(MAX($H137,ASOF,AA$72),MIN(MAX($I137,ASOF),AA$72+6),HOLIDAYS)))</f>
        <v>0</v>
      </c>
      <c r="AB137" s="289" t="n">
        <f aca="false">IF($L137=0,0,$L137*MAX(0,NETWORKDAYS(MAX($H137,ASOF,AB$72),MIN(MAX($I137,ASOF),AB$72+6),HOLIDAYS)))</f>
        <v>0</v>
      </c>
      <c r="AC137" s="289" t="n">
        <f aca="false">IF($L137=0,0,$L137*MAX(0,NETWORKDAYS(MAX($H137,ASOF,AC$72),MIN(MAX($I137,ASOF),AC$72+6),HOLIDAYS)))</f>
        <v>0</v>
      </c>
      <c r="AD137" s="289" t="n">
        <f aca="false">IF($L137=0,0,$L137*MAX(0,NETWORKDAYS(MAX($H137,ASOF,AD$72),MIN(MAX($I137,ASOF),AD$72+6),HOLIDAYS)))</f>
        <v>0</v>
      </c>
      <c r="AE137" s="289" t="n">
        <f aca="false">IF($L137=0,0,$L137*MAX(0,NETWORKDAYS(MAX($H137,ASOF,AE$72),MIN(MAX($I137,ASOF),AE$72+6),HOLIDAYS)))</f>
        <v>0</v>
      </c>
      <c r="AF137" s="289" t="n">
        <f aca="false">IF($L137=0,0,$L137*MAX(0,NETWORKDAYS(MAX($H137,ASOF,AF$72),MIN(MAX($I137,ASOF),AF$72+6),HOLIDAYS)))</f>
        <v>0</v>
      </c>
      <c r="AG137" s="289" t="n">
        <f aca="false">IF($L137=0,0,$L137*MAX(0,NETWORKDAYS(MAX($H137,ASOF,AG$72),MIN(MAX($I137,ASOF),AG$72+6),HOLIDAYS)))</f>
        <v>0</v>
      </c>
      <c r="AH137" s="289" t="n">
        <f aca="false">IF($L137=0,0,$L137*MAX(0,NETWORKDAYS(MAX($H137,ASOF,AH$72),MIN(MAX($I137,ASOF),AH$72+6),HOLIDAYS)))</f>
        <v>0</v>
      </c>
      <c r="AI137" s="289" t="n">
        <f aca="false">IF($L137=0,0,$L137*MAX(0,NETWORKDAYS(MAX($H137,ASOF,AI$72),MIN(MAX($I137,ASOF),AI$72+6),HOLIDAYS)))</f>
        <v>0</v>
      </c>
      <c r="AJ137" s="289" t="n">
        <f aca="false">IF($L137=0,0,$L137*MAX(0,NETWORKDAYS(MAX($H137,ASOF,AJ$72),MIN(MAX($I137,ASOF),AJ$72+6),HOLIDAYS)))</f>
        <v>0</v>
      </c>
      <c r="AK137" s="289" t="n">
        <f aca="false">IF($L137=0,0,$L137*MAX(0,NETWORKDAYS(MAX($H137,ASOF,AK$72),MIN(MAX($I137,ASOF),AK$72+6),HOLIDAYS)))</f>
        <v>0</v>
      </c>
      <c r="AL137" s="289" t="n">
        <f aca="false">IF($L137=0,0,$L137*MAX(0,NETWORKDAYS(MAX($H137,ASOF,AL$72),MIN(MAX($I137,ASOF),AL$72+6),HOLIDAYS)))</f>
        <v>0</v>
      </c>
      <c r="AM137" s="289" t="n">
        <f aca="false">IF($L137=0,0,$L137*MAX(0,NETWORKDAYS(MAX($H137,ASOF,AM$72),MIN(MAX($I137,ASOF),AM$72+6),HOLIDAYS)))</f>
        <v>0</v>
      </c>
      <c r="AN137" s="289" t="n">
        <f aca="false">IF($L137=0,0,$L137*MAX(0,NETWORKDAYS(MAX($H137,ASOF,AN$72),MIN(MAX($I137,ASOF),AN$72+6),HOLIDAYS)))</f>
        <v>0</v>
      </c>
      <c r="AO137" s="289" t="n">
        <f aca="false">IF($L137=0,0,$L137*MAX(0,NETWORKDAYS(MAX($H137,ASOF,AO$72),MIN(MAX($I137,ASOF),AO$72+6),HOLIDAYS)))</f>
        <v>0</v>
      </c>
      <c r="AP137" s="289" t="n">
        <f aca="false">IF($L137=0,0,$L137*MAX(0,NETWORKDAYS(MAX($H137,ASOF,AP$72),MIN(MAX($I137,ASOF),AP$72+6),HOLIDAYS)))</f>
        <v>0</v>
      </c>
      <c r="AQ137" s="289" t="n">
        <f aca="false">IF($L137=0,0,$L137*MAX(0,NETWORKDAYS(MAX($H137,ASOF,AQ$72),MIN(MAX($I137,ASOF),AQ$72+6),HOLIDAYS)))</f>
        <v>0</v>
      </c>
      <c r="AR137" s="289" t="n">
        <f aca="false">IF($L137=0,0,$L137*MAX(0,NETWORKDAYS(MAX($H137,ASOF,AR$72),MIN(MAX($I137,ASOF),AR$72+6),HOLIDAYS)))</f>
        <v>0</v>
      </c>
    </row>
    <row r="138" customFormat="false" ht="15" hidden="false" customHeight="false" outlineLevel="1" collapsed="false">
      <c r="A138" s="282" t="s">
        <v>62</v>
      </c>
      <c r="B138" s="283" t="s">
        <v>64</v>
      </c>
      <c r="C138" s="284" t="s">
        <v>2364</v>
      </c>
      <c r="D138" s="284" t="s">
        <v>2284</v>
      </c>
      <c r="E138" s="285" t="n">
        <f aca="false">IFERROR(INDEX(INVS_N,MATCH("P9-006",INVS_ID,0)),2)</f>
        <v>2</v>
      </c>
      <c r="F138" s="290" t="s">
        <v>2365</v>
      </c>
      <c r="G138" s="285" t="n">
        <f aca="false">$F$10*(E138/$G$10+$H$10)</f>
        <v>4.5</v>
      </c>
      <c r="H138" s="286" t="n">
        <f aca="false">IF(ISNUMBER('P9-006'!$N$85),'P9-006'!$N$85,"")</f>
        <v>46343</v>
      </c>
      <c r="I138" s="286" t="n">
        <f aca="false">IF(ISNUMBER('P9-006'!$O$85),'P9-006'!$O$85,"")</f>
        <v>46346</v>
      </c>
      <c r="J138" s="287" t="n">
        <f aca="false">IF(OR(H138="",I138="",N138&gt;=1),0,MAX(1,NETWORKDAYS(MAX(H138,ASOF),MAX(I138,ASOF),HOLIDAYS)))</f>
        <v>4</v>
      </c>
      <c r="K138" s="287" t="n">
        <f aca="false">IF(L138=0,0,ROUNDUP(L138/$F$10,0))</f>
        <v>1</v>
      </c>
      <c r="L138" s="285" t="n">
        <f aca="false">IF(J138=0,0,G138*(1-N138)/J138)</f>
        <v>1.125</v>
      </c>
      <c r="M138" s="283" t="s">
        <v>2293</v>
      </c>
      <c r="N138" s="288" t="n">
        <f aca="false">IFERROR(MIN(1,'P9-006'!$V$85)+0,0)</f>
        <v>0</v>
      </c>
      <c r="O138" s="289" t="n">
        <f aca="false">IF($L138=0,0,$L138*MAX(0,NETWORKDAYS(MAX($H138,ASOF,O$72),MIN(MAX($I138,ASOF),O$72+6),HOLIDAYS)))</f>
        <v>0</v>
      </c>
      <c r="P138" s="289" t="n">
        <f aca="false">IF($L138=0,0,$L138*MAX(0,NETWORKDAYS(MAX($H138,ASOF,P$72),MIN(MAX($I138,ASOF),P$72+6),HOLIDAYS)))</f>
        <v>0</v>
      </c>
      <c r="Q138" s="289" t="n">
        <f aca="false">IF($L138=0,0,$L138*MAX(0,NETWORKDAYS(MAX($H138,ASOF,Q$72),MIN(MAX($I138,ASOF),Q$72+6),HOLIDAYS)))</f>
        <v>4.5</v>
      </c>
      <c r="R138" s="289" t="n">
        <f aca="false">IF($L138=0,0,$L138*MAX(0,NETWORKDAYS(MAX($H138,ASOF,R$72),MIN(MAX($I138,ASOF),R$72+6),HOLIDAYS)))</f>
        <v>0</v>
      </c>
      <c r="S138" s="289" t="n">
        <f aca="false">IF($L138=0,0,$L138*MAX(0,NETWORKDAYS(MAX($H138,ASOF,S$72),MIN(MAX($I138,ASOF),S$72+6),HOLIDAYS)))</f>
        <v>0</v>
      </c>
      <c r="T138" s="289" t="n">
        <f aca="false">IF($L138=0,0,$L138*MAX(0,NETWORKDAYS(MAX($H138,ASOF,T$72),MIN(MAX($I138,ASOF),T$72+6),HOLIDAYS)))</f>
        <v>0</v>
      </c>
      <c r="U138" s="289" t="n">
        <f aca="false">IF($L138=0,0,$L138*MAX(0,NETWORKDAYS(MAX($H138,ASOF,U$72),MIN(MAX($I138,ASOF),U$72+6),HOLIDAYS)))</f>
        <v>0</v>
      </c>
      <c r="V138" s="289" t="n">
        <f aca="false">IF($L138=0,0,$L138*MAX(0,NETWORKDAYS(MAX($H138,ASOF,V$72),MIN(MAX($I138,ASOF),V$72+6),HOLIDAYS)))</f>
        <v>0</v>
      </c>
      <c r="W138" s="289" t="n">
        <f aca="false">IF($L138=0,0,$L138*MAX(0,NETWORKDAYS(MAX($H138,ASOF,W$72),MIN(MAX($I138,ASOF),W$72+6),HOLIDAYS)))</f>
        <v>0</v>
      </c>
      <c r="X138" s="289" t="n">
        <f aca="false">IF($L138=0,0,$L138*MAX(0,NETWORKDAYS(MAX($H138,ASOF,X$72),MIN(MAX($I138,ASOF),X$72+6),HOLIDAYS)))</f>
        <v>0</v>
      </c>
      <c r="Y138" s="289" t="n">
        <f aca="false">IF($L138=0,0,$L138*MAX(0,NETWORKDAYS(MAX($H138,ASOF,Y$72),MIN(MAX($I138,ASOF),Y$72+6),HOLIDAYS)))</f>
        <v>0</v>
      </c>
      <c r="Z138" s="289" t="n">
        <f aca="false">IF($L138=0,0,$L138*MAX(0,NETWORKDAYS(MAX($H138,ASOF,Z$72),MIN(MAX($I138,ASOF),Z$72+6),HOLIDAYS)))</f>
        <v>0</v>
      </c>
      <c r="AA138" s="289" t="n">
        <f aca="false">IF($L138=0,0,$L138*MAX(0,NETWORKDAYS(MAX($H138,ASOF,AA$72),MIN(MAX($I138,ASOF),AA$72+6),HOLIDAYS)))</f>
        <v>0</v>
      </c>
      <c r="AB138" s="289" t="n">
        <f aca="false">IF($L138=0,0,$L138*MAX(0,NETWORKDAYS(MAX($H138,ASOF,AB$72),MIN(MAX($I138,ASOF),AB$72+6),HOLIDAYS)))</f>
        <v>0</v>
      </c>
      <c r="AC138" s="289" t="n">
        <f aca="false">IF($L138=0,0,$L138*MAX(0,NETWORKDAYS(MAX($H138,ASOF,AC$72),MIN(MAX($I138,ASOF),AC$72+6),HOLIDAYS)))</f>
        <v>0</v>
      </c>
      <c r="AD138" s="289" t="n">
        <f aca="false">IF($L138=0,0,$L138*MAX(0,NETWORKDAYS(MAX($H138,ASOF,AD$72),MIN(MAX($I138,ASOF),AD$72+6),HOLIDAYS)))</f>
        <v>0</v>
      </c>
      <c r="AE138" s="289" t="n">
        <f aca="false">IF($L138=0,0,$L138*MAX(0,NETWORKDAYS(MAX($H138,ASOF,AE$72),MIN(MAX($I138,ASOF),AE$72+6),HOLIDAYS)))</f>
        <v>0</v>
      </c>
      <c r="AF138" s="289" t="n">
        <f aca="false">IF($L138=0,0,$L138*MAX(0,NETWORKDAYS(MAX($H138,ASOF,AF$72),MIN(MAX($I138,ASOF),AF$72+6),HOLIDAYS)))</f>
        <v>0</v>
      </c>
      <c r="AG138" s="289" t="n">
        <f aca="false">IF($L138=0,0,$L138*MAX(0,NETWORKDAYS(MAX($H138,ASOF,AG$72),MIN(MAX($I138,ASOF),AG$72+6),HOLIDAYS)))</f>
        <v>0</v>
      </c>
      <c r="AH138" s="289" t="n">
        <f aca="false">IF($L138=0,0,$L138*MAX(0,NETWORKDAYS(MAX($H138,ASOF,AH$72),MIN(MAX($I138,ASOF),AH$72+6),HOLIDAYS)))</f>
        <v>0</v>
      </c>
      <c r="AI138" s="289" t="n">
        <f aca="false">IF($L138=0,0,$L138*MAX(0,NETWORKDAYS(MAX($H138,ASOF,AI$72),MIN(MAX($I138,ASOF),AI$72+6),HOLIDAYS)))</f>
        <v>0</v>
      </c>
      <c r="AJ138" s="289" t="n">
        <f aca="false">IF($L138=0,0,$L138*MAX(0,NETWORKDAYS(MAX($H138,ASOF,AJ$72),MIN(MAX($I138,ASOF),AJ$72+6),HOLIDAYS)))</f>
        <v>0</v>
      </c>
      <c r="AK138" s="289" t="n">
        <f aca="false">IF($L138=0,0,$L138*MAX(0,NETWORKDAYS(MAX($H138,ASOF,AK$72),MIN(MAX($I138,ASOF),AK$72+6),HOLIDAYS)))</f>
        <v>0</v>
      </c>
      <c r="AL138" s="289" t="n">
        <f aca="false">IF($L138=0,0,$L138*MAX(0,NETWORKDAYS(MAX($H138,ASOF,AL$72),MIN(MAX($I138,ASOF),AL$72+6),HOLIDAYS)))</f>
        <v>0</v>
      </c>
      <c r="AM138" s="289" t="n">
        <f aca="false">IF($L138=0,0,$L138*MAX(0,NETWORKDAYS(MAX($H138,ASOF,AM$72),MIN(MAX($I138,ASOF),AM$72+6),HOLIDAYS)))</f>
        <v>0</v>
      </c>
      <c r="AN138" s="289" t="n">
        <f aca="false">IF($L138=0,0,$L138*MAX(0,NETWORKDAYS(MAX($H138,ASOF,AN$72),MIN(MAX($I138,ASOF),AN$72+6),HOLIDAYS)))</f>
        <v>0</v>
      </c>
      <c r="AO138" s="289" t="n">
        <f aca="false">IF($L138=0,0,$L138*MAX(0,NETWORKDAYS(MAX($H138,ASOF,AO$72),MIN(MAX($I138,ASOF),AO$72+6),HOLIDAYS)))</f>
        <v>0</v>
      </c>
      <c r="AP138" s="289" t="n">
        <f aca="false">IF($L138=0,0,$L138*MAX(0,NETWORKDAYS(MAX($H138,ASOF,AP$72),MIN(MAX($I138,ASOF),AP$72+6),HOLIDAYS)))</f>
        <v>0</v>
      </c>
      <c r="AQ138" s="289" t="n">
        <f aca="false">IF($L138=0,0,$L138*MAX(0,NETWORKDAYS(MAX($H138,ASOF,AQ$72),MIN(MAX($I138,ASOF),AQ$72+6),HOLIDAYS)))</f>
        <v>0</v>
      </c>
      <c r="AR138" s="289" t="n">
        <f aca="false">IF($L138=0,0,$L138*MAX(0,NETWORKDAYS(MAX($H138,ASOF,AR$72),MIN(MAX($I138,ASOF),AR$72+6),HOLIDAYS)))</f>
        <v>0</v>
      </c>
    </row>
    <row r="139" customFormat="false" ht="15" hidden="false" customHeight="false" outlineLevel="1" collapsed="false">
      <c r="A139" s="282" t="s">
        <v>62</v>
      </c>
      <c r="B139" s="283" t="s">
        <v>64</v>
      </c>
      <c r="C139" s="284" t="s">
        <v>2366</v>
      </c>
      <c r="D139" s="284" t="s">
        <v>2284</v>
      </c>
      <c r="E139" s="285" t="n">
        <v>1</v>
      </c>
      <c r="F139" s="290" t="s">
        <v>35</v>
      </c>
      <c r="G139" s="285" t="n">
        <f aca="false">$F$11*$H$11</f>
        <v>16</v>
      </c>
      <c r="H139" s="286" t="n">
        <f aca="false">IF(ISNUMBER('P9-006'!$N$90),'P9-006'!$N$90,"")</f>
        <v>46344</v>
      </c>
      <c r="I139" s="286" t="n">
        <f aca="false">IF(ISNUMBER('P9-006'!$O$90),'P9-006'!$O$90,"")</f>
        <v>46347</v>
      </c>
      <c r="J139" s="287" t="n">
        <f aca="false">IF(OR(H139="",I139="",N139&gt;=1),0,MAX(1,NETWORKDAYS(MAX(H139,ASOF),MAX(I139,ASOF),HOLIDAYS)))</f>
        <v>3</v>
      </c>
      <c r="K139" s="287" t="n">
        <f aca="false">IF(L139=0,0,ROUNDUP(L139/$F$11,0))</f>
        <v>2</v>
      </c>
      <c r="L139" s="285" t="n">
        <f aca="false">IF(J139=0,0,G139*(1-N139)/J139)</f>
        <v>5.33333333333333</v>
      </c>
      <c r="M139" s="283" t="s">
        <v>1113</v>
      </c>
      <c r="N139" s="288" t="n">
        <f aca="false">IFERROR(MIN(1,'P9-006'!$V$90)+0,0)</f>
        <v>0</v>
      </c>
      <c r="O139" s="289" t="n">
        <f aca="false">IF($L139=0,0,$L139*MAX(0,NETWORKDAYS(MAX($H139,ASOF,O$72),MIN(MAX($I139,ASOF),O$72+6),HOLIDAYS)))</f>
        <v>0</v>
      </c>
      <c r="P139" s="289" t="n">
        <f aca="false">IF($L139=0,0,$L139*MAX(0,NETWORKDAYS(MAX($H139,ASOF,P$72),MIN(MAX($I139,ASOF),P$72+6),HOLIDAYS)))</f>
        <v>0</v>
      </c>
      <c r="Q139" s="289" t="n">
        <f aca="false">IF($L139=0,0,$L139*MAX(0,NETWORKDAYS(MAX($H139,ASOF,Q$72),MIN(MAX($I139,ASOF),Q$72+6),HOLIDAYS)))</f>
        <v>16</v>
      </c>
      <c r="R139" s="289" t="n">
        <f aca="false">IF($L139=0,0,$L139*MAX(0,NETWORKDAYS(MAX($H139,ASOF,R$72),MIN(MAX($I139,ASOF),R$72+6),HOLIDAYS)))</f>
        <v>0</v>
      </c>
      <c r="S139" s="289" t="n">
        <f aca="false">IF($L139=0,0,$L139*MAX(0,NETWORKDAYS(MAX($H139,ASOF,S$72),MIN(MAX($I139,ASOF),S$72+6),HOLIDAYS)))</f>
        <v>0</v>
      </c>
      <c r="T139" s="289" t="n">
        <f aca="false">IF($L139=0,0,$L139*MAX(0,NETWORKDAYS(MAX($H139,ASOF,T$72),MIN(MAX($I139,ASOF),T$72+6),HOLIDAYS)))</f>
        <v>0</v>
      </c>
      <c r="U139" s="289" t="n">
        <f aca="false">IF($L139=0,0,$L139*MAX(0,NETWORKDAYS(MAX($H139,ASOF,U$72),MIN(MAX($I139,ASOF),U$72+6),HOLIDAYS)))</f>
        <v>0</v>
      </c>
      <c r="V139" s="289" t="n">
        <f aca="false">IF($L139=0,0,$L139*MAX(0,NETWORKDAYS(MAX($H139,ASOF,V$72),MIN(MAX($I139,ASOF),V$72+6),HOLIDAYS)))</f>
        <v>0</v>
      </c>
      <c r="W139" s="289" t="n">
        <f aca="false">IF($L139=0,0,$L139*MAX(0,NETWORKDAYS(MAX($H139,ASOF,W$72),MIN(MAX($I139,ASOF),W$72+6),HOLIDAYS)))</f>
        <v>0</v>
      </c>
      <c r="X139" s="289" t="n">
        <f aca="false">IF($L139=0,0,$L139*MAX(0,NETWORKDAYS(MAX($H139,ASOF,X$72),MIN(MAX($I139,ASOF),X$72+6),HOLIDAYS)))</f>
        <v>0</v>
      </c>
      <c r="Y139" s="289" t="n">
        <f aca="false">IF($L139=0,0,$L139*MAX(0,NETWORKDAYS(MAX($H139,ASOF,Y$72),MIN(MAX($I139,ASOF),Y$72+6),HOLIDAYS)))</f>
        <v>0</v>
      </c>
      <c r="Z139" s="289" t="n">
        <f aca="false">IF($L139=0,0,$L139*MAX(0,NETWORKDAYS(MAX($H139,ASOF,Z$72),MIN(MAX($I139,ASOF),Z$72+6),HOLIDAYS)))</f>
        <v>0</v>
      </c>
      <c r="AA139" s="289" t="n">
        <f aca="false">IF($L139=0,0,$L139*MAX(0,NETWORKDAYS(MAX($H139,ASOF,AA$72),MIN(MAX($I139,ASOF),AA$72+6),HOLIDAYS)))</f>
        <v>0</v>
      </c>
      <c r="AB139" s="289" t="n">
        <f aca="false">IF($L139=0,0,$L139*MAX(0,NETWORKDAYS(MAX($H139,ASOF,AB$72),MIN(MAX($I139,ASOF),AB$72+6),HOLIDAYS)))</f>
        <v>0</v>
      </c>
      <c r="AC139" s="289" t="n">
        <f aca="false">IF($L139=0,0,$L139*MAX(0,NETWORKDAYS(MAX($H139,ASOF,AC$72),MIN(MAX($I139,ASOF),AC$72+6),HOLIDAYS)))</f>
        <v>0</v>
      </c>
      <c r="AD139" s="289" t="n">
        <f aca="false">IF($L139=0,0,$L139*MAX(0,NETWORKDAYS(MAX($H139,ASOF,AD$72),MIN(MAX($I139,ASOF),AD$72+6),HOLIDAYS)))</f>
        <v>0</v>
      </c>
      <c r="AE139" s="289" t="n">
        <f aca="false">IF($L139=0,0,$L139*MAX(0,NETWORKDAYS(MAX($H139,ASOF,AE$72),MIN(MAX($I139,ASOF),AE$72+6),HOLIDAYS)))</f>
        <v>0</v>
      </c>
      <c r="AF139" s="289" t="n">
        <f aca="false">IF($L139=0,0,$L139*MAX(0,NETWORKDAYS(MAX($H139,ASOF,AF$72),MIN(MAX($I139,ASOF),AF$72+6),HOLIDAYS)))</f>
        <v>0</v>
      </c>
      <c r="AG139" s="289" t="n">
        <f aca="false">IF($L139=0,0,$L139*MAX(0,NETWORKDAYS(MAX($H139,ASOF,AG$72),MIN(MAX($I139,ASOF),AG$72+6),HOLIDAYS)))</f>
        <v>0</v>
      </c>
      <c r="AH139" s="289" t="n">
        <f aca="false">IF($L139=0,0,$L139*MAX(0,NETWORKDAYS(MAX($H139,ASOF,AH$72),MIN(MAX($I139,ASOF),AH$72+6),HOLIDAYS)))</f>
        <v>0</v>
      </c>
      <c r="AI139" s="289" t="n">
        <f aca="false">IF($L139=0,0,$L139*MAX(0,NETWORKDAYS(MAX($H139,ASOF,AI$72),MIN(MAX($I139,ASOF),AI$72+6),HOLIDAYS)))</f>
        <v>0</v>
      </c>
      <c r="AJ139" s="289" t="n">
        <f aca="false">IF($L139=0,0,$L139*MAX(0,NETWORKDAYS(MAX($H139,ASOF,AJ$72),MIN(MAX($I139,ASOF),AJ$72+6),HOLIDAYS)))</f>
        <v>0</v>
      </c>
      <c r="AK139" s="289" t="n">
        <f aca="false">IF($L139=0,0,$L139*MAX(0,NETWORKDAYS(MAX($H139,ASOF,AK$72),MIN(MAX($I139,ASOF),AK$72+6),HOLIDAYS)))</f>
        <v>0</v>
      </c>
      <c r="AL139" s="289" t="n">
        <f aca="false">IF($L139=0,0,$L139*MAX(0,NETWORKDAYS(MAX($H139,ASOF,AL$72),MIN(MAX($I139,ASOF),AL$72+6),HOLIDAYS)))</f>
        <v>0</v>
      </c>
      <c r="AM139" s="289" t="n">
        <f aca="false">IF($L139=0,0,$L139*MAX(0,NETWORKDAYS(MAX($H139,ASOF,AM$72),MIN(MAX($I139,ASOF),AM$72+6),HOLIDAYS)))</f>
        <v>0</v>
      </c>
      <c r="AN139" s="289" t="n">
        <f aca="false">IF($L139=0,0,$L139*MAX(0,NETWORKDAYS(MAX($H139,ASOF,AN$72),MIN(MAX($I139,ASOF),AN$72+6),HOLIDAYS)))</f>
        <v>0</v>
      </c>
      <c r="AO139" s="289" t="n">
        <f aca="false">IF($L139=0,0,$L139*MAX(0,NETWORKDAYS(MAX($H139,ASOF,AO$72),MIN(MAX($I139,ASOF),AO$72+6),HOLIDAYS)))</f>
        <v>0</v>
      </c>
      <c r="AP139" s="289" t="n">
        <f aca="false">IF($L139=0,0,$L139*MAX(0,NETWORKDAYS(MAX($H139,ASOF,AP$72),MIN(MAX($I139,ASOF),AP$72+6),HOLIDAYS)))</f>
        <v>0</v>
      </c>
      <c r="AQ139" s="289" t="n">
        <f aca="false">IF($L139=0,0,$L139*MAX(0,NETWORKDAYS(MAX($H139,ASOF,AQ$72),MIN(MAX($I139,ASOF),AQ$72+6),HOLIDAYS)))</f>
        <v>0</v>
      </c>
      <c r="AR139" s="289" t="n">
        <f aca="false">IF($L139=0,0,$L139*MAX(0,NETWORKDAYS(MAX($H139,ASOF,AR$72),MIN(MAX($I139,ASOF),AR$72+6),HOLIDAYS)))</f>
        <v>0</v>
      </c>
    </row>
    <row r="140" customFormat="false" ht="15" hidden="false" customHeight="false" outlineLevel="1" collapsed="false">
      <c r="A140" s="282" t="s">
        <v>62</v>
      </c>
      <c r="B140" s="283" t="s">
        <v>64</v>
      </c>
      <c r="C140" s="284" t="s">
        <v>2367</v>
      </c>
      <c r="D140" s="284" t="s">
        <v>2284</v>
      </c>
      <c r="E140" s="285" t="n">
        <v>1</v>
      </c>
      <c r="F140" s="290" t="s">
        <v>35</v>
      </c>
      <c r="G140" s="285" t="n">
        <f aca="false">$F$12*$H$12</f>
        <v>4</v>
      </c>
      <c r="H140" s="286" t="n">
        <f aca="false">IF(ISNUMBER('P9-006'!$N$96),'P9-006'!$N$96,"")</f>
        <v>46345</v>
      </c>
      <c r="I140" s="286" t="n">
        <f aca="false">IF(ISNUMBER('P9-006'!$O$96),'P9-006'!$O$96,"")</f>
        <v>46347</v>
      </c>
      <c r="J140" s="287" t="n">
        <f aca="false">IF(OR(H140="",I140="",N140&gt;=1),0,MAX(1,NETWORKDAYS(MAX(H140,ASOF),MAX(I140,ASOF),HOLIDAYS)))</f>
        <v>2</v>
      </c>
      <c r="K140" s="287" t="n">
        <f aca="false">IF(L140=0,0,ROUNDUP(L140/$F$12,0))</f>
        <v>1</v>
      </c>
      <c r="L140" s="285" t="n">
        <f aca="false">IF(J140=0,0,G140*(1-N140)/J140)</f>
        <v>2</v>
      </c>
      <c r="M140" s="283" t="s">
        <v>1147</v>
      </c>
      <c r="N140" s="288" t="n">
        <f aca="false">IFERROR(MIN(1,'P9-006'!$V$96)+0,0)</f>
        <v>0</v>
      </c>
      <c r="O140" s="289" t="n">
        <f aca="false">IF($L140=0,0,$L140*MAX(0,NETWORKDAYS(MAX($H140,ASOF,O$72),MIN(MAX($I140,ASOF),O$72+6),HOLIDAYS)))</f>
        <v>0</v>
      </c>
      <c r="P140" s="289" t="n">
        <f aca="false">IF($L140=0,0,$L140*MAX(0,NETWORKDAYS(MAX($H140,ASOF,P$72),MIN(MAX($I140,ASOF),P$72+6),HOLIDAYS)))</f>
        <v>0</v>
      </c>
      <c r="Q140" s="289" t="n">
        <f aca="false">IF($L140=0,0,$L140*MAX(0,NETWORKDAYS(MAX($H140,ASOF,Q$72),MIN(MAX($I140,ASOF),Q$72+6),HOLIDAYS)))</f>
        <v>4</v>
      </c>
      <c r="R140" s="289" t="n">
        <f aca="false">IF($L140=0,0,$L140*MAX(0,NETWORKDAYS(MAX($H140,ASOF,R$72),MIN(MAX($I140,ASOF),R$72+6),HOLIDAYS)))</f>
        <v>0</v>
      </c>
      <c r="S140" s="289" t="n">
        <f aca="false">IF($L140=0,0,$L140*MAX(0,NETWORKDAYS(MAX($H140,ASOF,S$72),MIN(MAX($I140,ASOF),S$72+6),HOLIDAYS)))</f>
        <v>0</v>
      </c>
      <c r="T140" s="289" t="n">
        <f aca="false">IF($L140=0,0,$L140*MAX(0,NETWORKDAYS(MAX($H140,ASOF,T$72),MIN(MAX($I140,ASOF),T$72+6),HOLIDAYS)))</f>
        <v>0</v>
      </c>
      <c r="U140" s="289" t="n">
        <f aca="false">IF($L140=0,0,$L140*MAX(0,NETWORKDAYS(MAX($H140,ASOF,U$72),MIN(MAX($I140,ASOF),U$72+6),HOLIDAYS)))</f>
        <v>0</v>
      </c>
      <c r="V140" s="289" t="n">
        <f aca="false">IF($L140=0,0,$L140*MAX(0,NETWORKDAYS(MAX($H140,ASOF,V$72),MIN(MAX($I140,ASOF),V$72+6),HOLIDAYS)))</f>
        <v>0</v>
      </c>
      <c r="W140" s="289" t="n">
        <f aca="false">IF($L140=0,0,$L140*MAX(0,NETWORKDAYS(MAX($H140,ASOF,W$72),MIN(MAX($I140,ASOF),W$72+6),HOLIDAYS)))</f>
        <v>0</v>
      </c>
      <c r="X140" s="289" t="n">
        <f aca="false">IF($L140=0,0,$L140*MAX(0,NETWORKDAYS(MAX($H140,ASOF,X$72),MIN(MAX($I140,ASOF),X$72+6),HOLIDAYS)))</f>
        <v>0</v>
      </c>
      <c r="Y140" s="289" t="n">
        <f aca="false">IF($L140=0,0,$L140*MAX(0,NETWORKDAYS(MAX($H140,ASOF,Y$72),MIN(MAX($I140,ASOF),Y$72+6),HOLIDAYS)))</f>
        <v>0</v>
      </c>
      <c r="Z140" s="289" t="n">
        <f aca="false">IF($L140=0,0,$L140*MAX(0,NETWORKDAYS(MAX($H140,ASOF,Z$72),MIN(MAX($I140,ASOF),Z$72+6),HOLIDAYS)))</f>
        <v>0</v>
      </c>
      <c r="AA140" s="289" t="n">
        <f aca="false">IF($L140=0,0,$L140*MAX(0,NETWORKDAYS(MAX($H140,ASOF,AA$72),MIN(MAX($I140,ASOF),AA$72+6),HOLIDAYS)))</f>
        <v>0</v>
      </c>
      <c r="AB140" s="289" t="n">
        <f aca="false">IF($L140=0,0,$L140*MAX(0,NETWORKDAYS(MAX($H140,ASOF,AB$72),MIN(MAX($I140,ASOF),AB$72+6),HOLIDAYS)))</f>
        <v>0</v>
      </c>
      <c r="AC140" s="289" t="n">
        <f aca="false">IF($L140=0,0,$L140*MAX(0,NETWORKDAYS(MAX($H140,ASOF,AC$72),MIN(MAX($I140,ASOF),AC$72+6),HOLIDAYS)))</f>
        <v>0</v>
      </c>
      <c r="AD140" s="289" t="n">
        <f aca="false">IF($L140=0,0,$L140*MAX(0,NETWORKDAYS(MAX($H140,ASOF,AD$72),MIN(MAX($I140,ASOF),AD$72+6),HOLIDAYS)))</f>
        <v>0</v>
      </c>
      <c r="AE140" s="289" t="n">
        <f aca="false">IF($L140=0,0,$L140*MAX(0,NETWORKDAYS(MAX($H140,ASOF,AE$72),MIN(MAX($I140,ASOF),AE$72+6),HOLIDAYS)))</f>
        <v>0</v>
      </c>
      <c r="AF140" s="289" t="n">
        <f aca="false">IF($L140=0,0,$L140*MAX(0,NETWORKDAYS(MAX($H140,ASOF,AF$72),MIN(MAX($I140,ASOF),AF$72+6),HOLIDAYS)))</f>
        <v>0</v>
      </c>
      <c r="AG140" s="289" t="n">
        <f aca="false">IF($L140=0,0,$L140*MAX(0,NETWORKDAYS(MAX($H140,ASOF,AG$72),MIN(MAX($I140,ASOF),AG$72+6),HOLIDAYS)))</f>
        <v>0</v>
      </c>
      <c r="AH140" s="289" t="n">
        <f aca="false">IF($L140=0,0,$L140*MAX(0,NETWORKDAYS(MAX($H140,ASOF,AH$72),MIN(MAX($I140,ASOF),AH$72+6),HOLIDAYS)))</f>
        <v>0</v>
      </c>
      <c r="AI140" s="289" t="n">
        <f aca="false">IF($L140=0,0,$L140*MAX(0,NETWORKDAYS(MAX($H140,ASOF,AI$72),MIN(MAX($I140,ASOF),AI$72+6),HOLIDAYS)))</f>
        <v>0</v>
      </c>
      <c r="AJ140" s="289" t="n">
        <f aca="false">IF($L140=0,0,$L140*MAX(0,NETWORKDAYS(MAX($H140,ASOF,AJ$72),MIN(MAX($I140,ASOF),AJ$72+6),HOLIDAYS)))</f>
        <v>0</v>
      </c>
      <c r="AK140" s="289" t="n">
        <f aca="false">IF($L140=0,0,$L140*MAX(0,NETWORKDAYS(MAX($H140,ASOF,AK$72),MIN(MAX($I140,ASOF),AK$72+6),HOLIDAYS)))</f>
        <v>0</v>
      </c>
      <c r="AL140" s="289" t="n">
        <f aca="false">IF($L140=0,0,$L140*MAX(0,NETWORKDAYS(MAX($H140,ASOF,AL$72),MIN(MAX($I140,ASOF),AL$72+6),HOLIDAYS)))</f>
        <v>0</v>
      </c>
      <c r="AM140" s="289" t="n">
        <f aca="false">IF($L140=0,0,$L140*MAX(0,NETWORKDAYS(MAX($H140,ASOF,AM$72),MIN(MAX($I140,ASOF),AM$72+6),HOLIDAYS)))</f>
        <v>0</v>
      </c>
      <c r="AN140" s="289" t="n">
        <f aca="false">IF($L140=0,0,$L140*MAX(0,NETWORKDAYS(MAX($H140,ASOF,AN$72),MIN(MAX($I140,ASOF),AN$72+6),HOLIDAYS)))</f>
        <v>0</v>
      </c>
      <c r="AO140" s="289" t="n">
        <f aca="false">IF($L140=0,0,$L140*MAX(0,NETWORKDAYS(MAX($H140,ASOF,AO$72),MIN(MAX($I140,ASOF),AO$72+6),HOLIDAYS)))</f>
        <v>0</v>
      </c>
      <c r="AP140" s="289" t="n">
        <f aca="false">IF($L140=0,0,$L140*MAX(0,NETWORKDAYS(MAX($H140,ASOF,AP$72),MIN(MAX($I140,ASOF),AP$72+6),HOLIDAYS)))</f>
        <v>0</v>
      </c>
      <c r="AQ140" s="289" t="n">
        <f aca="false">IF($L140=0,0,$L140*MAX(0,NETWORKDAYS(MAX($H140,ASOF,AQ$72),MIN(MAX($I140,ASOF),AQ$72+6),HOLIDAYS)))</f>
        <v>0</v>
      </c>
      <c r="AR140" s="289" t="n">
        <f aca="false">IF($L140=0,0,$L140*MAX(0,NETWORKDAYS(MAX($H140,ASOF,AR$72),MIN(MAX($I140,ASOF),AR$72+6),HOLIDAYS)))</f>
        <v>0</v>
      </c>
    </row>
    <row r="141" customFormat="false" ht="15" hidden="false" customHeight="false" outlineLevel="1" collapsed="false">
      <c r="A141" s="282" t="s">
        <v>62</v>
      </c>
      <c r="B141" s="283" t="s">
        <v>64</v>
      </c>
      <c r="C141" s="284" t="s">
        <v>2368</v>
      </c>
      <c r="D141" s="284" t="s">
        <v>2301</v>
      </c>
      <c r="E141" s="285" t="n">
        <v>1</v>
      </c>
      <c r="F141" s="290" t="s">
        <v>35</v>
      </c>
      <c r="G141" s="285" t="n">
        <f aca="false">$F$13*$H$13</f>
        <v>12</v>
      </c>
      <c r="H141" s="286" t="n">
        <f aca="false">IF(ISNUMBER('P9-006'!$N$100),'P9-006'!$N$100,"")</f>
        <v>46346</v>
      </c>
      <c r="I141" s="286" t="n">
        <f aca="false">IF(ISNUMBER('P9-006'!$O$100),'P9-006'!$O$100,"")</f>
        <v>46348</v>
      </c>
      <c r="J141" s="287" t="n">
        <f aca="false">IF(OR(H141="",I141="",N141&gt;=1),0,MAX(1,NETWORKDAYS(MAX(H141,ASOF),MAX(I141,ASOF),HOLIDAYS)))</f>
        <v>1</v>
      </c>
      <c r="K141" s="287" t="n">
        <f aca="false">IF(L141=0,0,ROUNDUP(L141/$F$13,0))</f>
        <v>3</v>
      </c>
      <c r="L141" s="285" t="n">
        <f aca="false">IF(J141=0,0,G141*(1-N141)/J141)</f>
        <v>12</v>
      </c>
      <c r="M141" s="283" t="s">
        <v>2299</v>
      </c>
      <c r="N141" s="288" t="n">
        <f aca="false">IFERROR(MIN(1,'P9-006'!$V$100)+0,0)</f>
        <v>0</v>
      </c>
      <c r="O141" s="289" t="n">
        <f aca="false">IF($L141=0,0,$L141*MAX(0,NETWORKDAYS(MAX($H141,ASOF,O$72),MIN(MAX($I141,ASOF),O$72+6),HOLIDAYS)))</f>
        <v>0</v>
      </c>
      <c r="P141" s="289" t="n">
        <f aca="false">IF($L141=0,0,$L141*MAX(0,NETWORKDAYS(MAX($H141,ASOF,P$72),MIN(MAX($I141,ASOF),P$72+6),HOLIDAYS)))</f>
        <v>0</v>
      </c>
      <c r="Q141" s="289" t="n">
        <f aca="false">IF($L141=0,0,$L141*MAX(0,NETWORKDAYS(MAX($H141,ASOF,Q$72),MIN(MAX($I141,ASOF),Q$72+6),HOLIDAYS)))</f>
        <v>12</v>
      </c>
      <c r="R141" s="289" t="n">
        <f aca="false">IF($L141=0,0,$L141*MAX(0,NETWORKDAYS(MAX($H141,ASOF,R$72),MIN(MAX($I141,ASOF),R$72+6),HOLIDAYS)))</f>
        <v>0</v>
      </c>
      <c r="S141" s="289" t="n">
        <f aca="false">IF($L141=0,0,$L141*MAX(0,NETWORKDAYS(MAX($H141,ASOF,S$72),MIN(MAX($I141,ASOF),S$72+6),HOLIDAYS)))</f>
        <v>0</v>
      </c>
      <c r="T141" s="289" t="n">
        <f aca="false">IF($L141=0,0,$L141*MAX(0,NETWORKDAYS(MAX($H141,ASOF,T$72),MIN(MAX($I141,ASOF),T$72+6),HOLIDAYS)))</f>
        <v>0</v>
      </c>
      <c r="U141" s="289" t="n">
        <f aca="false">IF($L141=0,0,$L141*MAX(0,NETWORKDAYS(MAX($H141,ASOF,U$72),MIN(MAX($I141,ASOF),U$72+6),HOLIDAYS)))</f>
        <v>0</v>
      </c>
      <c r="V141" s="289" t="n">
        <f aca="false">IF($L141=0,0,$L141*MAX(0,NETWORKDAYS(MAX($H141,ASOF,V$72),MIN(MAX($I141,ASOF),V$72+6),HOLIDAYS)))</f>
        <v>0</v>
      </c>
      <c r="W141" s="289" t="n">
        <f aca="false">IF($L141=0,0,$L141*MAX(0,NETWORKDAYS(MAX($H141,ASOF,W$72),MIN(MAX($I141,ASOF),W$72+6),HOLIDAYS)))</f>
        <v>0</v>
      </c>
      <c r="X141" s="289" t="n">
        <f aca="false">IF($L141=0,0,$L141*MAX(0,NETWORKDAYS(MAX($H141,ASOF,X$72),MIN(MAX($I141,ASOF),X$72+6),HOLIDAYS)))</f>
        <v>0</v>
      </c>
      <c r="Y141" s="289" t="n">
        <f aca="false">IF($L141=0,0,$L141*MAX(0,NETWORKDAYS(MAX($H141,ASOF,Y$72),MIN(MAX($I141,ASOF),Y$72+6),HOLIDAYS)))</f>
        <v>0</v>
      </c>
      <c r="Z141" s="289" t="n">
        <f aca="false">IF($L141=0,0,$L141*MAX(0,NETWORKDAYS(MAX($H141,ASOF,Z$72),MIN(MAX($I141,ASOF),Z$72+6),HOLIDAYS)))</f>
        <v>0</v>
      </c>
      <c r="AA141" s="289" t="n">
        <f aca="false">IF($L141=0,0,$L141*MAX(0,NETWORKDAYS(MAX($H141,ASOF,AA$72),MIN(MAX($I141,ASOF),AA$72+6),HOLIDAYS)))</f>
        <v>0</v>
      </c>
      <c r="AB141" s="289" t="n">
        <f aca="false">IF($L141=0,0,$L141*MAX(0,NETWORKDAYS(MAX($H141,ASOF,AB$72),MIN(MAX($I141,ASOF),AB$72+6),HOLIDAYS)))</f>
        <v>0</v>
      </c>
      <c r="AC141" s="289" t="n">
        <f aca="false">IF($L141=0,0,$L141*MAX(0,NETWORKDAYS(MAX($H141,ASOF,AC$72),MIN(MAX($I141,ASOF),AC$72+6),HOLIDAYS)))</f>
        <v>0</v>
      </c>
      <c r="AD141" s="289" t="n">
        <f aca="false">IF($L141=0,0,$L141*MAX(0,NETWORKDAYS(MAX($H141,ASOF,AD$72),MIN(MAX($I141,ASOF),AD$72+6),HOLIDAYS)))</f>
        <v>0</v>
      </c>
      <c r="AE141" s="289" t="n">
        <f aca="false">IF($L141=0,0,$L141*MAX(0,NETWORKDAYS(MAX($H141,ASOF,AE$72),MIN(MAX($I141,ASOF),AE$72+6),HOLIDAYS)))</f>
        <v>0</v>
      </c>
      <c r="AF141" s="289" t="n">
        <f aca="false">IF($L141=0,0,$L141*MAX(0,NETWORKDAYS(MAX($H141,ASOF,AF$72),MIN(MAX($I141,ASOF),AF$72+6),HOLIDAYS)))</f>
        <v>0</v>
      </c>
      <c r="AG141" s="289" t="n">
        <f aca="false">IF($L141=0,0,$L141*MAX(0,NETWORKDAYS(MAX($H141,ASOF,AG$72),MIN(MAX($I141,ASOF),AG$72+6),HOLIDAYS)))</f>
        <v>0</v>
      </c>
      <c r="AH141" s="289" t="n">
        <f aca="false">IF($L141=0,0,$L141*MAX(0,NETWORKDAYS(MAX($H141,ASOF,AH$72),MIN(MAX($I141,ASOF),AH$72+6),HOLIDAYS)))</f>
        <v>0</v>
      </c>
      <c r="AI141" s="289" t="n">
        <f aca="false">IF($L141=0,0,$L141*MAX(0,NETWORKDAYS(MAX($H141,ASOF,AI$72),MIN(MAX($I141,ASOF),AI$72+6),HOLIDAYS)))</f>
        <v>0</v>
      </c>
      <c r="AJ141" s="289" t="n">
        <f aca="false">IF($L141=0,0,$L141*MAX(0,NETWORKDAYS(MAX($H141,ASOF,AJ$72),MIN(MAX($I141,ASOF),AJ$72+6),HOLIDAYS)))</f>
        <v>0</v>
      </c>
      <c r="AK141" s="289" t="n">
        <f aca="false">IF($L141=0,0,$L141*MAX(0,NETWORKDAYS(MAX($H141,ASOF,AK$72),MIN(MAX($I141,ASOF),AK$72+6),HOLIDAYS)))</f>
        <v>0</v>
      </c>
      <c r="AL141" s="289" t="n">
        <f aca="false">IF($L141=0,0,$L141*MAX(0,NETWORKDAYS(MAX($H141,ASOF,AL$72),MIN(MAX($I141,ASOF),AL$72+6),HOLIDAYS)))</f>
        <v>0</v>
      </c>
      <c r="AM141" s="289" t="n">
        <f aca="false">IF($L141=0,0,$L141*MAX(0,NETWORKDAYS(MAX($H141,ASOF,AM$72),MIN(MAX($I141,ASOF),AM$72+6),HOLIDAYS)))</f>
        <v>0</v>
      </c>
      <c r="AN141" s="289" t="n">
        <f aca="false">IF($L141=0,0,$L141*MAX(0,NETWORKDAYS(MAX($H141,ASOF,AN$72),MIN(MAX($I141,ASOF),AN$72+6),HOLIDAYS)))</f>
        <v>0</v>
      </c>
      <c r="AO141" s="289" t="n">
        <f aca="false">IF($L141=0,0,$L141*MAX(0,NETWORKDAYS(MAX($H141,ASOF,AO$72),MIN(MAX($I141,ASOF),AO$72+6),HOLIDAYS)))</f>
        <v>0</v>
      </c>
      <c r="AP141" s="289" t="n">
        <f aca="false">IF($L141=0,0,$L141*MAX(0,NETWORKDAYS(MAX($H141,ASOF,AP$72),MIN(MAX($I141,ASOF),AP$72+6),HOLIDAYS)))</f>
        <v>0</v>
      </c>
      <c r="AQ141" s="289" t="n">
        <f aca="false">IF($L141=0,0,$L141*MAX(0,NETWORKDAYS(MAX($H141,ASOF,AQ$72),MIN(MAX($I141,ASOF),AQ$72+6),HOLIDAYS)))</f>
        <v>0</v>
      </c>
      <c r="AR141" s="289" t="n">
        <f aca="false">IF($L141=0,0,$L141*MAX(0,NETWORKDAYS(MAX($H141,ASOF,AR$72),MIN(MAX($I141,ASOF),AR$72+6),HOLIDAYS)))</f>
        <v>0</v>
      </c>
    </row>
    <row r="142" customFormat="false" ht="15" hidden="false" customHeight="false" outlineLevel="1" collapsed="false">
      <c r="A142" s="282" t="s">
        <v>62</v>
      </c>
      <c r="B142" s="283" t="s">
        <v>64</v>
      </c>
      <c r="C142" s="282" t="s">
        <v>1198</v>
      </c>
      <c r="D142" s="284" t="s">
        <v>2284</v>
      </c>
      <c r="E142" s="285" t="n">
        <v>1</v>
      </c>
      <c r="F142" s="290" t="s">
        <v>35</v>
      </c>
      <c r="G142" s="285" t="n">
        <f aca="false">$F$15*$H$15</f>
        <v>2</v>
      </c>
      <c r="H142" s="286" t="n">
        <f aca="false">IF(ISNUMBER('P9-006'!$N$107),'P9-006'!$N$107,"")</f>
        <v>46347</v>
      </c>
      <c r="I142" s="286" t="n">
        <f aca="false">IF(ISNUMBER('P9-006'!$O$107),'P9-006'!$O$107,"")</f>
        <v>46348</v>
      </c>
      <c r="J142" s="287" t="n">
        <f aca="false">IF(OR(H142="",I142="",N142&gt;=1),0,MAX(1,NETWORKDAYS(MAX(H142,ASOF),MAX(I142,ASOF),HOLIDAYS)))</f>
        <v>1</v>
      </c>
      <c r="K142" s="287" t="n">
        <f aca="false">IF(L142=0,0,ROUNDUP(L142/$F$15,0))</f>
        <v>1</v>
      </c>
      <c r="L142" s="285" t="n">
        <f aca="false">IF(J142=0,0,G142*(1-N142)/J142)</f>
        <v>2</v>
      </c>
      <c r="M142" s="283" t="s">
        <v>1192</v>
      </c>
      <c r="N142" s="288" t="n">
        <f aca="false">IFERROR(MIN(1,'P9-006'!$V$107)+0,0)</f>
        <v>0</v>
      </c>
      <c r="O142" s="289" t="n">
        <f aca="false">IF($L142=0,0,$L142*MAX(0,NETWORKDAYS(MAX($H142,ASOF,O$72),MIN(MAX($I142,ASOF),O$72+6),HOLIDAYS)))</f>
        <v>0</v>
      </c>
      <c r="P142" s="289" t="n">
        <f aca="false">IF($L142=0,0,$L142*MAX(0,NETWORKDAYS(MAX($H142,ASOF,P$72),MIN(MAX($I142,ASOF),P$72+6),HOLIDAYS)))</f>
        <v>0</v>
      </c>
      <c r="Q142" s="289" t="n">
        <f aca="false">IF($L142=0,0,$L142*MAX(0,NETWORKDAYS(MAX($H142,ASOF,Q$72),MIN(MAX($I142,ASOF),Q$72+6),HOLIDAYS)))</f>
        <v>0</v>
      </c>
      <c r="R142" s="289" t="n">
        <f aca="false">IF($L142=0,0,$L142*MAX(0,NETWORKDAYS(MAX($H142,ASOF,R$72),MIN(MAX($I142,ASOF),R$72+6),HOLIDAYS)))</f>
        <v>0</v>
      </c>
      <c r="S142" s="289" t="n">
        <f aca="false">IF($L142=0,0,$L142*MAX(0,NETWORKDAYS(MAX($H142,ASOF,S$72),MIN(MAX($I142,ASOF),S$72+6),HOLIDAYS)))</f>
        <v>0</v>
      </c>
      <c r="T142" s="289" t="n">
        <f aca="false">IF($L142=0,0,$L142*MAX(0,NETWORKDAYS(MAX($H142,ASOF,T$72),MIN(MAX($I142,ASOF),T$72+6),HOLIDAYS)))</f>
        <v>0</v>
      </c>
      <c r="U142" s="289" t="n">
        <f aca="false">IF($L142=0,0,$L142*MAX(0,NETWORKDAYS(MAX($H142,ASOF,U$72),MIN(MAX($I142,ASOF),U$72+6),HOLIDAYS)))</f>
        <v>0</v>
      </c>
      <c r="V142" s="289" t="n">
        <f aca="false">IF($L142=0,0,$L142*MAX(0,NETWORKDAYS(MAX($H142,ASOF,V$72),MIN(MAX($I142,ASOF),V$72+6),HOLIDAYS)))</f>
        <v>0</v>
      </c>
      <c r="W142" s="289" t="n">
        <f aca="false">IF($L142=0,0,$L142*MAX(0,NETWORKDAYS(MAX($H142,ASOF,W$72),MIN(MAX($I142,ASOF),W$72+6),HOLIDAYS)))</f>
        <v>0</v>
      </c>
      <c r="X142" s="289" t="n">
        <f aca="false">IF($L142=0,0,$L142*MAX(0,NETWORKDAYS(MAX($H142,ASOF,X$72),MIN(MAX($I142,ASOF),X$72+6),HOLIDAYS)))</f>
        <v>0</v>
      </c>
      <c r="Y142" s="289" t="n">
        <f aca="false">IF($L142=0,0,$L142*MAX(0,NETWORKDAYS(MAX($H142,ASOF,Y$72),MIN(MAX($I142,ASOF),Y$72+6),HOLIDAYS)))</f>
        <v>0</v>
      </c>
      <c r="Z142" s="289" t="n">
        <f aca="false">IF($L142=0,0,$L142*MAX(0,NETWORKDAYS(MAX($H142,ASOF,Z$72),MIN(MAX($I142,ASOF),Z$72+6),HOLIDAYS)))</f>
        <v>0</v>
      </c>
      <c r="AA142" s="289" t="n">
        <f aca="false">IF($L142=0,0,$L142*MAX(0,NETWORKDAYS(MAX($H142,ASOF,AA$72),MIN(MAX($I142,ASOF),AA$72+6),HOLIDAYS)))</f>
        <v>0</v>
      </c>
      <c r="AB142" s="289" t="n">
        <f aca="false">IF($L142=0,0,$L142*MAX(0,NETWORKDAYS(MAX($H142,ASOF,AB$72),MIN(MAX($I142,ASOF),AB$72+6),HOLIDAYS)))</f>
        <v>0</v>
      </c>
      <c r="AC142" s="289" t="n">
        <f aca="false">IF($L142=0,0,$L142*MAX(0,NETWORKDAYS(MAX($H142,ASOF,AC$72),MIN(MAX($I142,ASOF),AC$72+6),HOLIDAYS)))</f>
        <v>0</v>
      </c>
      <c r="AD142" s="289" t="n">
        <f aca="false">IF($L142=0,0,$L142*MAX(0,NETWORKDAYS(MAX($H142,ASOF,AD$72),MIN(MAX($I142,ASOF),AD$72+6),HOLIDAYS)))</f>
        <v>0</v>
      </c>
      <c r="AE142" s="289" t="n">
        <f aca="false">IF($L142=0,0,$L142*MAX(0,NETWORKDAYS(MAX($H142,ASOF,AE$72),MIN(MAX($I142,ASOF),AE$72+6),HOLIDAYS)))</f>
        <v>0</v>
      </c>
      <c r="AF142" s="289" t="n">
        <f aca="false">IF($L142=0,0,$L142*MAX(0,NETWORKDAYS(MAX($H142,ASOF,AF$72),MIN(MAX($I142,ASOF),AF$72+6),HOLIDAYS)))</f>
        <v>0</v>
      </c>
      <c r="AG142" s="289" t="n">
        <f aca="false">IF($L142=0,0,$L142*MAX(0,NETWORKDAYS(MAX($H142,ASOF,AG$72),MIN(MAX($I142,ASOF),AG$72+6),HOLIDAYS)))</f>
        <v>0</v>
      </c>
      <c r="AH142" s="289" t="n">
        <f aca="false">IF($L142=0,0,$L142*MAX(0,NETWORKDAYS(MAX($H142,ASOF,AH$72),MIN(MAX($I142,ASOF),AH$72+6),HOLIDAYS)))</f>
        <v>0</v>
      </c>
      <c r="AI142" s="289" t="n">
        <f aca="false">IF($L142=0,0,$L142*MAX(0,NETWORKDAYS(MAX($H142,ASOF,AI$72),MIN(MAX($I142,ASOF),AI$72+6),HOLIDAYS)))</f>
        <v>0</v>
      </c>
      <c r="AJ142" s="289" t="n">
        <f aca="false">IF($L142=0,0,$L142*MAX(0,NETWORKDAYS(MAX($H142,ASOF,AJ$72),MIN(MAX($I142,ASOF),AJ$72+6),HOLIDAYS)))</f>
        <v>0</v>
      </c>
      <c r="AK142" s="289" t="n">
        <f aca="false">IF($L142=0,0,$L142*MAX(0,NETWORKDAYS(MAX($H142,ASOF,AK$72),MIN(MAX($I142,ASOF),AK$72+6),HOLIDAYS)))</f>
        <v>0</v>
      </c>
      <c r="AL142" s="289" t="n">
        <f aca="false">IF($L142=0,0,$L142*MAX(0,NETWORKDAYS(MAX($H142,ASOF,AL$72),MIN(MAX($I142,ASOF),AL$72+6),HOLIDAYS)))</f>
        <v>0</v>
      </c>
      <c r="AM142" s="289" t="n">
        <f aca="false">IF($L142=0,0,$L142*MAX(0,NETWORKDAYS(MAX($H142,ASOF,AM$72),MIN(MAX($I142,ASOF),AM$72+6),HOLIDAYS)))</f>
        <v>0</v>
      </c>
      <c r="AN142" s="289" t="n">
        <f aca="false">IF($L142=0,0,$L142*MAX(0,NETWORKDAYS(MAX($H142,ASOF,AN$72),MIN(MAX($I142,ASOF),AN$72+6),HOLIDAYS)))</f>
        <v>0</v>
      </c>
      <c r="AO142" s="289" t="n">
        <f aca="false">IF($L142=0,0,$L142*MAX(0,NETWORKDAYS(MAX($H142,ASOF,AO$72),MIN(MAX($I142,ASOF),AO$72+6),HOLIDAYS)))</f>
        <v>0</v>
      </c>
      <c r="AP142" s="289" t="n">
        <f aca="false">IF($L142=0,0,$L142*MAX(0,NETWORKDAYS(MAX($H142,ASOF,AP$72),MIN(MAX($I142,ASOF),AP$72+6),HOLIDAYS)))</f>
        <v>0</v>
      </c>
      <c r="AQ142" s="289" t="n">
        <f aca="false">IF($L142=0,0,$L142*MAX(0,NETWORKDAYS(MAX($H142,ASOF,AQ$72),MIN(MAX($I142,ASOF),AQ$72+6),HOLIDAYS)))</f>
        <v>0</v>
      </c>
      <c r="AR142" s="289" t="n">
        <f aca="false">IF($L142=0,0,$L142*MAX(0,NETWORKDAYS(MAX($H142,ASOF,AR$72),MIN(MAX($I142,ASOF),AR$72+6),HOLIDAYS)))</f>
        <v>0</v>
      </c>
    </row>
    <row r="143" customFormat="false" ht="15" hidden="false" customHeight="false" outlineLevel="1" collapsed="false">
      <c r="A143" s="282" t="s">
        <v>62</v>
      </c>
      <c r="B143" s="283" t="s">
        <v>64</v>
      </c>
      <c r="C143" s="284" t="s">
        <v>2369</v>
      </c>
      <c r="D143" s="284" t="s">
        <v>2308</v>
      </c>
      <c r="E143" s="285" t="n">
        <v>280.44</v>
      </c>
      <c r="F143" s="283" t="s">
        <v>527</v>
      </c>
      <c r="G143" s="285" t="n">
        <f aca="false">$F$16*(E143/$G$16+$H$16)</f>
        <v>14.4132</v>
      </c>
      <c r="H143" s="286" t="n">
        <f aca="false">IF(ISNUMBER('P9-006'!$N$115),'P9-006'!$N$115,"")</f>
        <v>46359</v>
      </c>
      <c r="I143" s="286" t="n">
        <f aca="false">IF(ISNUMBER('P9-006'!$O$115),'P9-006'!$O$115,"")</f>
        <v>46359</v>
      </c>
      <c r="J143" s="287" t="n">
        <f aca="false">IF(OR(H143="",I143="",N143&gt;=1),0,MAX(1,NETWORKDAYS(MAX(H143,ASOF),MAX(I143,ASOF),HOLIDAYS)))</f>
        <v>1</v>
      </c>
      <c r="K143" s="287" t="n">
        <f aca="false">IF(L143=0,0,ROUNDUP(L143/$F$16,0))</f>
        <v>5</v>
      </c>
      <c r="L143" s="285" t="n">
        <f aca="false">IF(J143=0,0,G143*(1-N143)/J143)</f>
        <v>14.4132</v>
      </c>
      <c r="M143" s="283" t="s">
        <v>1205</v>
      </c>
      <c r="N143" s="288" t="n">
        <f aca="false">IFERROR(MIN(1,'P9-006'!$V$115)+0,0)</f>
        <v>0</v>
      </c>
      <c r="O143" s="289" t="n">
        <f aca="false">IF($L143=0,0,$L143*MAX(0,NETWORKDAYS(MAX($H143,ASOF,O$72),MIN(MAX($I143,ASOF),O$72+6),HOLIDAYS)))</f>
        <v>0</v>
      </c>
      <c r="P143" s="289" t="n">
        <f aca="false">IF($L143=0,0,$L143*MAX(0,NETWORKDAYS(MAX($H143,ASOF,P$72),MIN(MAX($I143,ASOF),P$72+6),HOLIDAYS)))</f>
        <v>0</v>
      </c>
      <c r="Q143" s="289" t="n">
        <f aca="false">IF($L143=0,0,$L143*MAX(0,NETWORKDAYS(MAX($H143,ASOF,Q$72),MIN(MAX($I143,ASOF),Q$72+6),HOLIDAYS)))</f>
        <v>0</v>
      </c>
      <c r="R143" s="289" t="n">
        <f aca="false">IF($L143=0,0,$L143*MAX(0,NETWORKDAYS(MAX($H143,ASOF,R$72),MIN(MAX($I143,ASOF),R$72+6),HOLIDAYS)))</f>
        <v>0</v>
      </c>
      <c r="S143" s="289" t="n">
        <f aca="false">IF($L143=0,0,$L143*MAX(0,NETWORKDAYS(MAX($H143,ASOF,S$72),MIN(MAX($I143,ASOF),S$72+6),HOLIDAYS)))</f>
        <v>14.4132</v>
      </c>
      <c r="T143" s="289" t="n">
        <f aca="false">IF($L143=0,0,$L143*MAX(0,NETWORKDAYS(MAX($H143,ASOF,T$72),MIN(MAX($I143,ASOF),T$72+6),HOLIDAYS)))</f>
        <v>0</v>
      </c>
      <c r="U143" s="289" t="n">
        <f aca="false">IF($L143=0,0,$L143*MAX(0,NETWORKDAYS(MAX($H143,ASOF,U$72),MIN(MAX($I143,ASOF),U$72+6),HOLIDAYS)))</f>
        <v>0</v>
      </c>
      <c r="V143" s="289" t="n">
        <f aca="false">IF($L143=0,0,$L143*MAX(0,NETWORKDAYS(MAX($H143,ASOF,V$72),MIN(MAX($I143,ASOF),V$72+6),HOLIDAYS)))</f>
        <v>0</v>
      </c>
      <c r="W143" s="289" t="n">
        <f aca="false">IF($L143=0,0,$L143*MAX(0,NETWORKDAYS(MAX($H143,ASOF,W$72),MIN(MAX($I143,ASOF),W$72+6),HOLIDAYS)))</f>
        <v>0</v>
      </c>
      <c r="X143" s="289" t="n">
        <f aca="false">IF($L143=0,0,$L143*MAX(0,NETWORKDAYS(MAX($H143,ASOF,X$72),MIN(MAX($I143,ASOF),X$72+6),HOLIDAYS)))</f>
        <v>0</v>
      </c>
      <c r="Y143" s="289" t="n">
        <f aca="false">IF($L143=0,0,$L143*MAX(0,NETWORKDAYS(MAX($H143,ASOF,Y$72),MIN(MAX($I143,ASOF),Y$72+6),HOLIDAYS)))</f>
        <v>0</v>
      </c>
      <c r="Z143" s="289" t="n">
        <f aca="false">IF($L143=0,0,$L143*MAX(0,NETWORKDAYS(MAX($H143,ASOF,Z$72),MIN(MAX($I143,ASOF),Z$72+6),HOLIDAYS)))</f>
        <v>0</v>
      </c>
      <c r="AA143" s="289" t="n">
        <f aca="false">IF($L143=0,0,$L143*MAX(0,NETWORKDAYS(MAX($H143,ASOF,AA$72),MIN(MAX($I143,ASOF),AA$72+6),HOLIDAYS)))</f>
        <v>0</v>
      </c>
      <c r="AB143" s="289" t="n">
        <f aca="false">IF($L143=0,0,$L143*MAX(0,NETWORKDAYS(MAX($H143,ASOF,AB$72),MIN(MAX($I143,ASOF),AB$72+6),HOLIDAYS)))</f>
        <v>0</v>
      </c>
      <c r="AC143" s="289" t="n">
        <f aca="false">IF($L143=0,0,$L143*MAX(0,NETWORKDAYS(MAX($H143,ASOF,AC$72),MIN(MAX($I143,ASOF),AC$72+6),HOLIDAYS)))</f>
        <v>0</v>
      </c>
      <c r="AD143" s="289" t="n">
        <f aca="false">IF($L143=0,0,$L143*MAX(0,NETWORKDAYS(MAX($H143,ASOF,AD$72),MIN(MAX($I143,ASOF),AD$72+6),HOLIDAYS)))</f>
        <v>0</v>
      </c>
      <c r="AE143" s="289" t="n">
        <f aca="false">IF($L143=0,0,$L143*MAX(0,NETWORKDAYS(MAX($H143,ASOF,AE$72),MIN(MAX($I143,ASOF),AE$72+6),HOLIDAYS)))</f>
        <v>0</v>
      </c>
      <c r="AF143" s="289" t="n">
        <f aca="false">IF($L143=0,0,$L143*MAX(0,NETWORKDAYS(MAX($H143,ASOF,AF$72),MIN(MAX($I143,ASOF),AF$72+6),HOLIDAYS)))</f>
        <v>0</v>
      </c>
      <c r="AG143" s="289" t="n">
        <f aca="false">IF($L143=0,0,$L143*MAX(0,NETWORKDAYS(MAX($H143,ASOF,AG$72),MIN(MAX($I143,ASOF),AG$72+6),HOLIDAYS)))</f>
        <v>0</v>
      </c>
      <c r="AH143" s="289" t="n">
        <f aca="false">IF($L143=0,0,$L143*MAX(0,NETWORKDAYS(MAX($H143,ASOF,AH$72),MIN(MAX($I143,ASOF),AH$72+6),HOLIDAYS)))</f>
        <v>0</v>
      </c>
      <c r="AI143" s="289" t="n">
        <f aca="false">IF($L143=0,0,$L143*MAX(0,NETWORKDAYS(MAX($H143,ASOF,AI$72),MIN(MAX($I143,ASOF),AI$72+6),HOLIDAYS)))</f>
        <v>0</v>
      </c>
      <c r="AJ143" s="289" t="n">
        <f aca="false">IF($L143=0,0,$L143*MAX(0,NETWORKDAYS(MAX($H143,ASOF,AJ$72),MIN(MAX($I143,ASOF),AJ$72+6),HOLIDAYS)))</f>
        <v>0</v>
      </c>
      <c r="AK143" s="289" t="n">
        <f aca="false">IF($L143=0,0,$L143*MAX(0,NETWORKDAYS(MAX($H143,ASOF,AK$72),MIN(MAX($I143,ASOF),AK$72+6),HOLIDAYS)))</f>
        <v>0</v>
      </c>
      <c r="AL143" s="289" t="n">
        <f aca="false">IF($L143=0,0,$L143*MAX(0,NETWORKDAYS(MAX($H143,ASOF,AL$72),MIN(MAX($I143,ASOF),AL$72+6),HOLIDAYS)))</f>
        <v>0</v>
      </c>
      <c r="AM143" s="289" t="n">
        <f aca="false">IF($L143=0,0,$L143*MAX(0,NETWORKDAYS(MAX($H143,ASOF,AM$72),MIN(MAX($I143,ASOF),AM$72+6),HOLIDAYS)))</f>
        <v>0</v>
      </c>
      <c r="AN143" s="289" t="n">
        <f aca="false">IF($L143=0,0,$L143*MAX(0,NETWORKDAYS(MAX($H143,ASOF,AN$72),MIN(MAX($I143,ASOF),AN$72+6),HOLIDAYS)))</f>
        <v>0</v>
      </c>
      <c r="AO143" s="289" t="n">
        <f aca="false">IF($L143=0,0,$L143*MAX(0,NETWORKDAYS(MAX($H143,ASOF,AO$72),MIN(MAX($I143,ASOF),AO$72+6),HOLIDAYS)))</f>
        <v>0</v>
      </c>
      <c r="AP143" s="289" t="n">
        <f aca="false">IF($L143=0,0,$L143*MAX(0,NETWORKDAYS(MAX($H143,ASOF,AP$72),MIN(MAX($I143,ASOF),AP$72+6),HOLIDAYS)))</f>
        <v>0</v>
      </c>
      <c r="AQ143" s="289" t="n">
        <f aca="false">IF($L143=0,0,$L143*MAX(0,NETWORKDAYS(MAX($H143,ASOF,AQ$72),MIN(MAX($I143,ASOF),AQ$72+6),HOLIDAYS)))</f>
        <v>0</v>
      </c>
      <c r="AR143" s="289" t="n">
        <f aca="false">IF($L143=0,0,$L143*MAX(0,NETWORKDAYS(MAX($H143,ASOF,AR$72),MIN(MAX($I143,ASOF),AR$72+6),HOLIDAYS)))</f>
        <v>0</v>
      </c>
    </row>
    <row r="144" customFormat="false" ht="15" hidden="false" customHeight="false" outlineLevel="1" collapsed="false">
      <c r="A144" s="282" t="s">
        <v>62</v>
      </c>
      <c r="B144" s="283" t="s">
        <v>64</v>
      </c>
      <c r="C144" s="284" t="s">
        <v>2370</v>
      </c>
      <c r="D144" s="284" t="s">
        <v>2313</v>
      </c>
      <c r="E144" s="285" t="n">
        <v>1</v>
      </c>
      <c r="F144" s="290" t="s">
        <v>35</v>
      </c>
      <c r="G144" s="285" t="n">
        <f aca="false">SUM(O144:AR144)</f>
        <v>20</v>
      </c>
      <c r="H144" s="286" t="n">
        <f aca="false">IF(ISNUMBER('P9-006'!$N$62),'P9-006'!$N$62,"")</f>
        <v>46328</v>
      </c>
      <c r="I144" s="286" t="n">
        <f aca="false">IF(ISNUMBER('P9-006'!$O$115),'P9-006'!$O$115,"")</f>
        <v>46359</v>
      </c>
      <c r="J144" s="287"/>
      <c r="K144" s="287" t="n">
        <f aca="false">IF(G144&gt;0,$F$17,0)</f>
        <v>1</v>
      </c>
      <c r="L144" s="285" t="n">
        <v>0</v>
      </c>
      <c r="M144" s="290" t="s">
        <v>2310</v>
      </c>
      <c r="N144" s="288" t="str">
        <f aca="false">""</f>
        <v/>
      </c>
      <c r="O144" s="289" t="n">
        <f aca="false">IF(SUMIFS(O$73:O$312,$A$73:$A$312,"P9-006",$M$73:$M$312,"&lt;&gt;คุม")&gt;0,$F$17*NETWORKDAYS(O$72,O$72+6,HOLIDAYS),0)</f>
        <v>5</v>
      </c>
      <c r="P144" s="289" t="n">
        <f aca="false">IF(SUMIFS(P$73:P$312,$A$73:$A$312,"P9-006",$M$73:$M$312,"&lt;&gt;คุม")&gt;0,$F$17*NETWORKDAYS(P$72,P$72+6,HOLIDAYS),0)</f>
        <v>5</v>
      </c>
      <c r="Q144" s="289" t="n">
        <f aca="false">IF(SUMIFS(Q$73:Q$312,$A$73:$A$312,"P9-006",$M$73:$M$312,"&lt;&gt;คุม")&gt;0,$F$17*NETWORKDAYS(Q$72,Q$72+6,HOLIDAYS),0)</f>
        <v>5</v>
      </c>
      <c r="R144" s="289" t="n">
        <f aca="false">IF(SUMIFS(R$73:R$312,$A$73:$A$312,"P9-006",$M$73:$M$312,"&lt;&gt;คุม")&gt;0,$F$17*NETWORKDAYS(R$72,R$72+6,HOLIDAYS),0)</f>
        <v>0</v>
      </c>
      <c r="S144" s="289" t="n">
        <f aca="false">IF(SUMIFS(S$73:S$312,$A$73:$A$312,"P9-006",$M$73:$M$312,"&lt;&gt;คุม")&gt;0,$F$17*NETWORKDAYS(S$72,S$72+6,HOLIDAYS),0)</f>
        <v>5</v>
      </c>
      <c r="T144" s="289" t="n">
        <f aca="false">IF(SUMIFS(T$73:T$312,$A$73:$A$312,"P9-006",$M$73:$M$312,"&lt;&gt;คุม")&gt;0,$F$17*NETWORKDAYS(T$72,T$72+6,HOLIDAYS),0)</f>
        <v>0</v>
      </c>
      <c r="U144" s="289" t="n">
        <f aca="false">IF(SUMIFS(U$73:U$312,$A$73:$A$312,"P9-006",$M$73:$M$312,"&lt;&gt;คุม")&gt;0,$F$17*NETWORKDAYS(U$72,U$72+6,HOLIDAYS),0)</f>
        <v>0</v>
      </c>
      <c r="V144" s="289" t="n">
        <f aca="false">IF(SUMIFS(V$73:V$312,$A$73:$A$312,"P9-006",$M$73:$M$312,"&lt;&gt;คุม")&gt;0,$F$17*NETWORKDAYS(V$72,V$72+6,HOLIDAYS),0)</f>
        <v>0</v>
      </c>
      <c r="W144" s="289" t="n">
        <f aca="false">IF(SUMIFS(W$73:W$312,$A$73:$A$312,"P9-006",$M$73:$M$312,"&lt;&gt;คุม")&gt;0,$F$17*NETWORKDAYS(W$72,W$72+6,HOLIDAYS),0)</f>
        <v>0</v>
      </c>
      <c r="X144" s="289" t="n">
        <f aca="false">IF(SUMIFS(X$73:X$312,$A$73:$A$312,"P9-006",$M$73:$M$312,"&lt;&gt;คุม")&gt;0,$F$17*NETWORKDAYS(X$72,X$72+6,HOLIDAYS),0)</f>
        <v>0</v>
      </c>
      <c r="Y144" s="289" t="n">
        <f aca="false">IF(SUMIFS(Y$73:Y$312,$A$73:$A$312,"P9-006",$M$73:$M$312,"&lt;&gt;คุม")&gt;0,$F$17*NETWORKDAYS(Y$72,Y$72+6,HOLIDAYS),0)</f>
        <v>0</v>
      </c>
      <c r="Z144" s="289" t="n">
        <f aca="false">IF(SUMIFS(Z$73:Z$312,$A$73:$A$312,"P9-006",$M$73:$M$312,"&lt;&gt;คุม")&gt;0,$F$17*NETWORKDAYS(Z$72,Z$72+6,HOLIDAYS),0)</f>
        <v>0</v>
      </c>
      <c r="AA144" s="289" t="n">
        <f aca="false">IF(SUMIFS(AA$73:AA$312,$A$73:$A$312,"P9-006",$M$73:$M$312,"&lt;&gt;คุม")&gt;0,$F$17*NETWORKDAYS(AA$72,AA$72+6,HOLIDAYS),0)</f>
        <v>0</v>
      </c>
      <c r="AB144" s="289" t="n">
        <f aca="false">IF(SUMIFS(AB$73:AB$312,$A$73:$A$312,"P9-006",$M$73:$M$312,"&lt;&gt;คุม")&gt;0,$F$17*NETWORKDAYS(AB$72,AB$72+6,HOLIDAYS),0)</f>
        <v>0</v>
      </c>
      <c r="AC144" s="289" t="n">
        <f aca="false">IF(SUMIFS(AC$73:AC$312,$A$73:$A$312,"P9-006",$M$73:$M$312,"&lt;&gt;คุม")&gt;0,$F$17*NETWORKDAYS(AC$72,AC$72+6,HOLIDAYS),0)</f>
        <v>0</v>
      </c>
      <c r="AD144" s="289" t="n">
        <f aca="false">IF(SUMIFS(AD$73:AD$312,$A$73:$A$312,"P9-006",$M$73:$M$312,"&lt;&gt;คุม")&gt;0,$F$17*NETWORKDAYS(AD$72,AD$72+6,HOLIDAYS),0)</f>
        <v>0</v>
      </c>
      <c r="AE144" s="289" t="n">
        <f aca="false">IF(SUMIFS(AE$73:AE$312,$A$73:$A$312,"P9-006",$M$73:$M$312,"&lt;&gt;คุม")&gt;0,$F$17*NETWORKDAYS(AE$72,AE$72+6,HOLIDAYS),0)</f>
        <v>0</v>
      </c>
      <c r="AF144" s="289" t="n">
        <f aca="false">IF(SUMIFS(AF$73:AF$312,$A$73:$A$312,"P9-006",$M$73:$M$312,"&lt;&gt;คุม")&gt;0,$F$17*NETWORKDAYS(AF$72,AF$72+6,HOLIDAYS),0)</f>
        <v>0</v>
      </c>
      <c r="AG144" s="289" t="n">
        <f aca="false">IF(SUMIFS(AG$73:AG$312,$A$73:$A$312,"P9-006",$M$73:$M$312,"&lt;&gt;คุม")&gt;0,$F$17*NETWORKDAYS(AG$72,AG$72+6,HOLIDAYS),0)</f>
        <v>0</v>
      </c>
      <c r="AH144" s="289" t="n">
        <f aca="false">IF(SUMIFS(AH$73:AH$312,$A$73:$A$312,"P9-006",$M$73:$M$312,"&lt;&gt;คุม")&gt;0,$F$17*NETWORKDAYS(AH$72,AH$72+6,HOLIDAYS),0)</f>
        <v>0</v>
      </c>
      <c r="AI144" s="289" t="n">
        <f aca="false">IF(SUMIFS(AI$73:AI$312,$A$73:$A$312,"P9-006",$M$73:$M$312,"&lt;&gt;คุม")&gt;0,$F$17*NETWORKDAYS(AI$72,AI$72+6,HOLIDAYS),0)</f>
        <v>0</v>
      </c>
      <c r="AJ144" s="289" t="n">
        <f aca="false">IF(SUMIFS(AJ$73:AJ$312,$A$73:$A$312,"P9-006",$M$73:$M$312,"&lt;&gt;คุม")&gt;0,$F$17*NETWORKDAYS(AJ$72,AJ$72+6,HOLIDAYS),0)</f>
        <v>0</v>
      </c>
      <c r="AK144" s="289" t="n">
        <f aca="false">IF(SUMIFS(AK$73:AK$312,$A$73:$A$312,"P9-006",$M$73:$M$312,"&lt;&gt;คุม")&gt;0,$F$17*NETWORKDAYS(AK$72,AK$72+6,HOLIDAYS),0)</f>
        <v>0</v>
      </c>
      <c r="AL144" s="289" t="n">
        <f aca="false">IF(SUMIFS(AL$73:AL$312,$A$73:$A$312,"P9-006",$M$73:$M$312,"&lt;&gt;คุม")&gt;0,$F$17*NETWORKDAYS(AL$72,AL$72+6,HOLIDAYS),0)</f>
        <v>0</v>
      </c>
      <c r="AM144" s="289" t="n">
        <f aca="false">IF(SUMIFS(AM$73:AM$312,$A$73:$A$312,"P9-006",$M$73:$M$312,"&lt;&gt;คุม")&gt;0,$F$17*NETWORKDAYS(AM$72,AM$72+6,HOLIDAYS),0)</f>
        <v>0</v>
      </c>
      <c r="AN144" s="289" t="n">
        <f aca="false">IF(SUMIFS(AN$73:AN$312,$A$73:$A$312,"P9-006",$M$73:$M$312,"&lt;&gt;คุม")&gt;0,$F$17*NETWORKDAYS(AN$72,AN$72+6,HOLIDAYS),0)</f>
        <v>0</v>
      </c>
      <c r="AO144" s="289" t="n">
        <f aca="false">IF(SUMIFS(AO$73:AO$312,$A$73:$A$312,"P9-006",$M$73:$M$312,"&lt;&gt;คุม")&gt;0,$F$17*NETWORKDAYS(AO$72,AO$72+6,HOLIDAYS),0)</f>
        <v>0</v>
      </c>
      <c r="AP144" s="289" t="n">
        <f aca="false">IF(SUMIFS(AP$73:AP$312,$A$73:$A$312,"P9-006",$M$73:$M$312,"&lt;&gt;คุม")&gt;0,$F$17*NETWORKDAYS(AP$72,AP$72+6,HOLIDAYS),0)</f>
        <v>0</v>
      </c>
      <c r="AQ144" s="289" t="n">
        <f aca="false">IF(SUMIFS(AQ$73:AQ$312,$A$73:$A$312,"P9-006",$M$73:$M$312,"&lt;&gt;คุม")&gt;0,$F$17*NETWORKDAYS(AQ$72,AQ$72+6,HOLIDAYS),0)</f>
        <v>0</v>
      </c>
      <c r="AR144" s="289" t="n">
        <f aca="false">IF(SUMIFS(AR$73:AR$312,$A$73:$A$312,"P9-006",$M$73:$M$312,"&lt;&gt;คุม")&gt;0,$F$17*NETWORKDAYS(AR$72,AR$72+6,HOLIDAYS),0)</f>
        <v>0</v>
      </c>
    </row>
    <row r="145" customFormat="false" ht="15" hidden="false" customHeight="false" outlineLevel="1" collapsed="false">
      <c r="A145" s="282" t="s">
        <v>66</v>
      </c>
      <c r="B145" s="283" t="s">
        <v>68</v>
      </c>
      <c r="C145" s="284" t="s">
        <v>2358</v>
      </c>
      <c r="D145" s="284" t="s">
        <v>2280</v>
      </c>
      <c r="E145" s="285" t="n">
        <v>135.43</v>
      </c>
      <c r="F145" s="283" t="s">
        <v>2359</v>
      </c>
      <c r="G145" s="285" t="n">
        <f aca="false">$F$5*(E145/$G$5+$H$5)</f>
        <v>23.6688</v>
      </c>
      <c r="H145" s="286" t="n">
        <f aca="false">IF(ISNUMBER('P9-007'!$N$62),'P9-007'!$N$62,"")</f>
        <v>46328</v>
      </c>
      <c r="I145" s="286" t="n">
        <f aca="false">IF(ISNUMBER('P9-007'!$O$62),'P9-007'!$O$62,"")</f>
        <v>46341</v>
      </c>
      <c r="J145" s="287" t="n">
        <f aca="false">IF(OR(H145="",I145="",N145&gt;=1),0,MAX(1,NETWORKDAYS(MAX(H145,ASOF),MAX(I145,ASOF),HOLIDAYS)))</f>
        <v>10</v>
      </c>
      <c r="K145" s="287" t="n">
        <f aca="false">IF(L145=0,0,ROUNDUP(L145/$F$5,0))</f>
        <v>1</v>
      </c>
      <c r="L145" s="285" t="n">
        <f aca="false">IF(J145=0,0,G145*(1-N145)/J145)</f>
        <v>2.36688</v>
      </c>
      <c r="M145" s="283" t="s">
        <v>872</v>
      </c>
      <c r="N145" s="288" t="n">
        <f aca="false">IFERROR(MIN(1,'P9-007'!$V$62)+0,0)</f>
        <v>0</v>
      </c>
      <c r="O145" s="289" t="n">
        <f aca="false">IF($L145=0,0,$L145*MAX(0,NETWORKDAYS(MAX($H145,ASOF,O$72),MIN(MAX($I145,ASOF),O$72+6),HOLIDAYS)))</f>
        <v>11.8344</v>
      </c>
      <c r="P145" s="289" t="n">
        <f aca="false">IF($L145=0,0,$L145*MAX(0,NETWORKDAYS(MAX($H145,ASOF,P$72),MIN(MAX($I145,ASOF),P$72+6),HOLIDAYS)))</f>
        <v>11.8344</v>
      </c>
      <c r="Q145" s="289" t="n">
        <f aca="false">IF($L145=0,0,$L145*MAX(0,NETWORKDAYS(MAX($H145,ASOF,Q$72),MIN(MAX($I145,ASOF),Q$72+6),HOLIDAYS)))</f>
        <v>0</v>
      </c>
      <c r="R145" s="289" t="n">
        <f aca="false">IF($L145=0,0,$L145*MAX(0,NETWORKDAYS(MAX($H145,ASOF,R$72),MIN(MAX($I145,ASOF),R$72+6),HOLIDAYS)))</f>
        <v>0</v>
      </c>
      <c r="S145" s="289" t="n">
        <f aca="false">IF($L145=0,0,$L145*MAX(0,NETWORKDAYS(MAX($H145,ASOF,S$72),MIN(MAX($I145,ASOF),S$72+6),HOLIDAYS)))</f>
        <v>0</v>
      </c>
      <c r="T145" s="289" t="n">
        <f aca="false">IF($L145=0,0,$L145*MAX(0,NETWORKDAYS(MAX($H145,ASOF,T$72),MIN(MAX($I145,ASOF),T$72+6),HOLIDAYS)))</f>
        <v>0</v>
      </c>
      <c r="U145" s="289" t="n">
        <f aca="false">IF($L145=0,0,$L145*MAX(0,NETWORKDAYS(MAX($H145,ASOF,U$72),MIN(MAX($I145,ASOF),U$72+6),HOLIDAYS)))</f>
        <v>0</v>
      </c>
      <c r="V145" s="289" t="n">
        <f aca="false">IF($L145=0,0,$L145*MAX(0,NETWORKDAYS(MAX($H145,ASOF,V$72),MIN(MAX($I145,ASOF),V$72+6),HOLIDAYS)))</f>
        <v>0</v>
      </c>
      <c r="W145" s="289" t="n">
        <f aca="false">IF($L145=0,0,$L145*MAX(0,NETWORKDAYS(MAX($H145,ASOF,W$72),MIN(MAX($I145,ASOF),W$72+6),HOLIDAYS)))</f>
        <v>0</v>
      </c>
      <c r="X145" s="289" t="n">
        <f aca="false">IF($L145=0,0,$L145*MAX(0,NETWORKDAYS(MAX($H145,ASOF,X$72),MIN(MAX($I145,ASOF),X$72+6),HOLIDAYS)))</f>
        <v>0</v>
      </c>
      <c r="Y145" s="289" t="n">
        <f aca="false">IF($L145=0,0,$L145*MAX(0,NETWORKDAYS(MAX($H145,ASOF,Y$72),MIN(MAX($I145,ASOF),Y$72+6),HOLIDAYS)))</f>
        <v>0</v>
      </c>
      <c r="Z145" s="289" t="n">
        <f aca="false">IF($L145=0,0,$L145*MAX(0,NETWORKDAYS(MAX($H145,ASOF,Z$72),MIN(MAX($I145,ASOF),Z$72+6),HOLIDAYS)))</f>
        <v>0</v>
      </c>
      <c r="AA145" s="289" t="n">
        <f aca="false">IF($L145=0,0,$L145*MAX(0,NETWORKDAYS(MAX($H145,ASOF,AA$72),MIN(MAX($I145,ASOF),AA$72+6),HOLIDAYS)))</f>
        <v>0</v>
      </c>
      <c r="AB145" s="289" t="n">
        <f aca="false">IF($L145=0,0,$L145*MAX(0,NETWORKDAYS(MAX($H145,ASOF,AB$72),MIN(MAX($I145,ASOF),AB$72+6),HOLIDAYS)))</f>
        <v>0</v>
      </c>
      <c r="AC145" s="289" t="n">
        <f aca="false">IF($L145=0,0,$L145*MAX(0,NETWORKDAYS(MAX($H145,ASOF,AC$72),MIN(MAX($I145,ASOF),AC$72+6),HOLIDAYS)))</f>
        <v>0</v>
      </c>
      <c r="AD145" s="289" t="n">
        <f aca="false">IF($L145=0,0,$L145*MAX(0,NETWORKDAYS(MAX($H145,ASOF,AD$72),MIN(MAX($I145,ASOF),AD$72+6),HOLIDAYS)))</f>
        <v>0</v>
      </c>
      <c r="AE145" s="289" t="n">
        <f aca="false">IF($L145=0,0,$L145*MAX(0,NETWORKDAYS(MAX($H145,ASOF,AE$72),MIN(MAX($I145,ASOF),AE$72+6),HOLIDAYS)))</f>
        <v>0</v>
      </c>
      <c r="AF145" s="289" t="n">
        <f aca="false">IF($L145=0,0,$L145*MAX(0,NETWORKDAYS(MAX($H145,ASOF,AF$72),MIN(MAX($I145,ASOF),AF$72+6),HOLIDAYS)))</f>
        <v>0</v>
      </c>
      <c r="AG145" s="289" t="n">
        <f aca="false">IF($L145=0,0,$L145*MAX(0,NETWORKDAYS(MAX($H145,ASOF,AG$72),MIN(MAX($I145,ASOF),AG$72+6),HOLIDAYS)))</f>
        <v>0</v>
      </c>
      <c r="AH145" s="289" t="n">
        <f aca="false">IF($L145=0,0,$L145*MAX(0,NETWORKDAYS(MAX($H145,ASOF,AH$72),MIN(MAX($I145,ASOF),AH$72+6),HOLIDAYS)))</f>
        <v>0</v>
      </c>
      <c r="AI145" s="289" t="n">
        <f aca="false">IF($L145=0,0,$L145*MAX(0,NETWORKDAYS(MAX($H145,ASOF,AI$72),MIN(MAX($I145,ASOF),AI$72+6),HOLIDAYS)))</f>
        <v>0</v>
      </c>
      <c r="AJ145" s="289" t="n">
        <f aca="false">IF($L145=0,0,$L145*MAX(0,NETWORKDAYS(MAX($H145,ASOF,AJ$72),MIN(MAX($I145,ASOF),AJ$72+6),HOLIDAYS)))</f>
        <v>0</v>
      </c>
      <c r="AK145" s="289" t="n">
        <f aca="false">IF($L145=0,0,$L145*MAX(0,NETWORKDAYS(MAX($H145,ASOF,AK$72),MIN(MAX($I145,ASOF),AK$72+6),HOLIDAYS)))</f>
        <v>0</v>
      </c>
      <c r="AL145" s="289" t="n">
        <f aca="false">IF($L145=0,0,$L145*MAX(0,NETWORKDAYS(MAX($H145,ASOF,AL$72),MIN(MAX($I145,ASOF),AL$72+6),HOLIDAYS)))</f>
        <v>0</v>
      </c>
      <c r="AM145" s="289" t="n">
        <f aca="false">IF($L145=0,0,$L145*MAX(0,NETWORKDAYS(MAX($H145,ASOF,AM$72),MIN(MAX($I145,ASOF),AM$72+6),HOLIDAYS)))</f>
        <v>0</v>
      </c>
      <c r="AN145" s="289" t="n">
        <f aca="false">IF($L145=0,0,$L145*MAX(0,NETWORKDAYS(MAX($H145,ASOF,AN$72),MIN(MAX($I145,ASOF),AN$72+6),HOLIDAYS)))</f>
        <v>0</v>
      </c>
      <c r="AO145" s="289" t="n">
        <f aca="false">IF($L145=0,0,$L145*MAX(0,NETWORKDAYS(MAX($H145,ASOF,AO$72),MIN(MAX($I145,ASOF),AO$72+6),HOLIDAYS)))</f>
        <v>0</v>
      </c>
      <c r="AP145" s="289" t="n">
        <f aca="false">IF($L145=0,0,$L145*MAX(0,NETWORKDAYS(MAX($H145,ASOF,AP$72),MIN(MAX($I145,ASOF),AP$72+6),HOLIDAYS)))</f>
        <v>0</v>
      </c>
      <c r="AQ145" s="289" t="n">
        <f aca="false">IF($L145=0,0,$L145*MAX(0,NETWORKDAYS(MAX($H145,ASOF,AQ$72),MIN(MAX($I145,ASOF),AQ$72+6),HOLIDAYS)))</f>
        <v>0</v>
      </c>
      <c r="AR145" s="289" t="n">
        <f aca="false">IF($L145=0,0,$L145*MAX(0,NETWORKDAYS(MAX($H145,ASOF,AR$72),MIN(MAX($I145,ASOF),AR$72+6),HOLIDAYS)))</f>
        <v>0</v>
      </c>
    </row>
    <row r="146" customFormat="false" ht="15" hidden="false" customHeight="false" outlineLevel="1" collapsed="false">
      <c r="A146" s="282" t="s">
        <v>66</v>
      </c>
      <c r="B146" s="283" t="s">
        <v>68</v>
      </c>
      <c r="C146" s="284" t="s">
        <v>2360</v>
      </c>
      <c r="D146" s="284" t="s">
        <v>2284</v>
      </c>
      <c r="E146" s="285" t="n">
        <v>150.48</v>
      </c>
      <c r="F146" s="283" t="s">
        <v>527</v>
      </c>
      <c r="G146" s="285" t="n">
        <f aca="false">$F$6*(E146/$G$6+$H$6)</f>
        <v>14.286</v>
      </c>
      <c r="H146" s="286" t="n">
        <f aca="false">IF(ISNUMBER('P9-007'!$N$70),'P9-007'!$N$70,"")</f>
        <v>46343</v>
      </c>
      <c r="I146" s="286" t="n">
        <f aca="false">IF(ISNUMBER('P9-007'!$O$70),'P9-007'!$O$70,"")</f>
        <v>46346</v>
      </c>
      <c r="J146" s="287" t="n">
        <f aca="false">IF(OR(H146="",I146="",N146&gt;=1),0,MAX(1,NETWORKDAYS(MAX(H146,ASOF),MAX(I146,ASOF),HOLIDAYS)))</f>
        <v>4</v>
      </c>
      <c r="K146" s="287" t="n">
        <f aca="false">IF(L146=0,0,ROUNDUP(L146/$F$6,0))</f>
        <v>2</v>
      </c>
      <c r="L146" s="285" t="n">
        <f aca="false">IF(J146=0,0,G146*(1-N146)/J146)</f>
        <v>3.5715</v>
      </c>
      <c r="M146" s="283" t="s">
        <v>987</v>
      </c>
      <c r="N146" s="288" t="n">
        <f aca="false">IFERROR(MIN(1,'P9-007'!$V$70)+0,0)</f>
        <v>0</v>
      </c>
      <c r="O146" s="289" t="n">
        <f aca="false">IF($L146=0,0,$L146*MAX(0,NETWORKDAYS(MAX($H146,ASOF,O$72),MIN(MAX($I146,ASOF),O$72+6),HOLIDAYS)))</f>
        <v>0</v>
      </c>
      <c r="P146" s="289" t="n">
        <f aca="false">IF($L146=0,0,$L146*MAX(0,NETWORKDAYS(MAX($H146,ASOF,P$72),MIN(MAX($I146,ASOF),P$72+6),HOLIDAYS)))</f>
        <v>0</v>
      </c>
      <c r="Q146" s="289" t="n">
        <f aca="false">IF($L146=0,0,$L146*MAX(0,NETWORKDAYS(MAX($H146,ASOF,Q$72),MIN(MAX($I146,ASOF),Q$72+6),HOLIDAYS)))</f>
        <v>14.286</v>
      </c>
      <c r="R146" s="289" t="n">
        <f aca="false">IF($L146=0,0,$L146*MAX(0,NETWORKDAYS(MAX($H146,ASOF,R$72),MIN(MAX($I146,ASOF),R$72+6),HOLIDAYS)))</f>
        <v>0</v>
      </c>
      <c r="S146" s="289" t="n">
        <f aca="false">IF($L146=0,0,$L146*MAX(0,NETWORKDAYS(MAX($H146,ASOF,S$72),MIN(MAX($I146,ASOF),S$72+6),HOLIDAYS)))</f>
        <v>0</v>
      </c>
      <c r="T146" s="289" t="n">
        <f aca="false">IF($L146=0,0,$L146*MAX(0,NETWORKDAYS(MAX($H146,ASOF,T$72),MIN(MAX($I146,ASOF),T$72+6),HOLIDAYS)))</f>
        <v>0</v>
      </c>
      <c r="U146" s="289" t="n">
        <f aca="false">IF($L146=0,0,$L146*MAX(0,NETWORKDAYS(MAX($H146,ASOF,U$72),MIN(MAX($I146,ASOF),U$72+6),HOLIDAYS)))</f>
        <v>0</v>
      </c>
      <c r="V146" s="289" t="n">
        <f aca="false">IF($L146=0,0,$L146*MAX(0,NETWORKDAYS(MAX($H146,ASOF,V$72),MIN(MAX($I146,ASOF),V$72+6),HOLIDAYS)))</f>
        <v>0</v>
      </c>
      <c r="W146" s="289" t="n">
        <f aca="false">IF($L146=0,0,$L146*MAX(0,NETWORKDAYS(MAX($H146,ASOF,W$72),MIN(MAX($I146,ASOF),W$72+6),HOLIDAYS)))</f>
        <v>0</v>
      </c>
      <c r="X146" s="289" t="n">
        <f aca="false">IF($L146=0,0,$L146*MAX(0,NETWORKDAYS(MAX($H146,ASOF,X$72),MIN(MAX($I146,ASOF),X$72+6),HOLIDAYS)))</f>
        <v>0</v>
      </c>
      <c r="Y146" s="289" t="n">
        <f aca="false">IF($L146=0,0,$L146*MAX(0,NETWORKDAYS(MAX($H146,ASOF,Y$72),MIN(MAX($I146,ASOF),Y$72+6),HOLIDAYS)))</f>
        <v>0</v>
      </c>
      <c r="Z146" s="289" t="n">
        <f aca="false">IF($L146=0,0,$L146*MAX(0,NETWORKDAYS(MAX($H146,ASOF,Z$72),MIN(MAX($I146,ASOF),Z$72+6),HOLIDAYS)))</f>
        <v>0</v>
      </c>
      <c r="AA146" s="289" t="n">
        <f aca="false">IF($L146=0,0,$L146*MAX(0,NETWORKDAYS(MAX($H146,ASOF,AA$72),MIN(MAX($I146,ASOF),AA$72+6),HOLIDAYS)))</f>
        <v>0</v>
      </c>
      <c r="AB146" s="289" t="n">
        <f aca="false">IF($L146=0,0,$L146*MAX(0,NETWORKDAYS(MAX($H146,ASOF,AB$72),MIN(MAX($I146,ASOF),AB$72+6),HOLIDAYS)))</f>
        <v>0</v>
      </c>
      <c r="AC146" s="289" t="n">
        <f aca="false">IF($L146=0,0,$L146*MAX(0,NETWORKDAYS(MAX($H146,ASOF,AC$72),MIN(MAX($I146,ASOF),AC$72+6),HOLIDAYS)))</f>
        <v>0</v>
      </c>
      <c r="AD146" s="289" t="n">
        <f aca="false">IF($L146=0,0,$L146*MAX(0,NETWORKDAYS(MAX($H146,ASOF,AD$72),MIN(MAX($I146,ASOF),AD$72+6),HOLIDAYS)))</f>
        <v>0</v>
      </c>
      <c r="AE146" s="289" t="n">
        <f aca="false">IF($L146=0,0,$L146*MAX(0,NETWORKDAYS(MAX($H146,ASOF,AE$72),MIN(MAX($I146,ASOF),AE$72+6),HOLIDAYS)))</f>
        <v>0</v>
      </c>
      <c r="AF146" s="289" t="n">
        <f aca="false">IF($L146=0,0,$L146*MAX(0,NETWORKDAYS(MAX($H146,ASOF,AF$72),MIN(MAX($I146,ASOF),AF$72+6),HOLIDAYS)))</f>
        <v>0</v>
      </c>
      <c r="AG146" s="289" t="n">
        <f aca="false">IF($L146=0,0,$L146*MAX(0,NETWORKDAYS(MAX($H146,ASOF,AG$72),MIN(MAX($I146,ASOF),AG$72+6),HOLIDAYS)))</f>
        <v>0</v>
      </c>
      <c r="AH146" s="289" t="n">
        <f aca="false">IF($L146=0,0,$L146*MAX(0,NETWORKDAYS(MAX($H146,ASOF,AH$72),MIN(MAX($I146,ASOF),AH$72+6),HOLIDAYS)))</f>
        <v>0</v>
      </c>
      <c r="AI146" s="289" t="n">
        <f aca="false">IF($L146=0,0,$L146*MAX(0,NETWORKDAYS(MAX($H146,ASOF,AI$72),MIN(MAX($I146,ASOF),AI$72+6),HOLIDAYS)))</f>
        <v>0</v>
      </c>
      <c r="AJ146" s="289" t="n">
        <f aca="false">IF($L146=0,0,$L146*MAX(0,NETWORKDAYS(MAX($H146,ASOF,AJ$72),MIN(MAX($I146,ASOF),AJ$72+6),HOLIDAYS)))</f>
        <v>0</v>
      </c>
      <c r="AK146" s="289" t="n">
        <f aca="false">IF($L146=0,0,$L146*MAX(0,NETWORKDAYS(MAX($H146,ASOF,AK$72),MIN(MAX($I146,ASOF),AK$72+6),HOLIDAYS)))</f>
        <v>0</v>
      </c>
      <c r="AL146" s="289" t="n">
        <f aca="false">IF($L146=0,0,$L146*MAX(0,NETWORKDAYS(MAX($H146,ASOF,AL$72),MIN(MAX($I146,ASOF),AL$72+6),HOLIDAYS)))</f>
        <v>0</v>
      </c>
      <c r="AM146" s="289" t="n">
        <f aca="false">IF($L146=0,0,$L146*MAX(0,NETWORKDAYS(MAX($H146,ASOF,AM$72),MIN(MAX($I146,ASOF),AM$72+6),HOLIDAYS)))</f>
        <v>0</v>
      </c>
      <c r="AN146" s="289" t="n">
        <f aca="false">IF($L146=0,0,$L146*MAX(0,NETWORKDAYS(MAX($H146,ASOF,AN$72),MIN(MAX($I146,ASOF),AN$72+6),HOLIDAYS)))</f>
        <v>0</v>
      </c>
      <c r="AO146" s="289" t="n">
        <f aca="false">IF($L146=0,0,$L146*MAX(0,NETWORKDAYS(MAX($H146,ASOF,AO$72),MIN(MAX($I146,ASOF),AO$72+6),HOLIDAYS)))</f>
        <v>0</v>
      </c>
      <c r="AP146" s="289" t="n">
        <f aca="false">IF($L146=0,0,$L146*MAX(0,NETWORKDAYS(MAX($H146,ASOF,AP$72),MIN(MAX($I146,ASOF),AP$72+6),HOLIDAYS)))</f>
        <v>0</v>
      </c>
      <c r="AQ146" s="289" t="n">
        <f aca="false">IF($L146=0,0,$L146*MAX(0,NETWORKDAYS(MAX($H146,ASOF,AQ$72),MIN(MAX($I146,ASOF),AQ$72+6),HOLIDAYS)))</f>
        <v>0</v>
      </c>
      <c r="AR146" s="289" t="n">
        <f aca="false">IF($L146=0,0,$L146*MAX(0,NETWORKDAYS(MAX($H146,ASOF,AR$72),MIN(MAX($I146,ASOF),AR$72+6),HOLIDAYS)))</f>
        <v>0</v>
      </c>
    </row>
    <row r="147" customFormat="false" ht="15" hidden="false" customHeight="false" outlineLevel="1" collapsed="false">
      <c r="A147" s="282" t="s">
        <v>66</v>
      </c>
      <c r="B147" s="283" t="s">
        <v>68</v>
      </c>
      <c r="C147" s="284" t="s">
        <v>2361</v>
      </c>
      <c r="D147" s="284" t="s">
        <v>2280</v>
      </c>
      <c r="E147" s="285" t="n">
        <v>150.48</v>
      </c>
      <c r="F147" s="283" t="s">
        <v>527</v>
      </c>
      <c r="G147" s="285" t="n">
        <f aca="false">$F$7*(E147/$G$7+$H$7)</f>
        <v>19.1977142857143</v>
      </c>
      <c r="H147" s="286" t="n">
        <f aca="false">IF(ISNUMBER('P9-007'!$N$76),'P9-007'!$N$76,"")</f>
        <v>46342</v>
      </c>
      <c r="I147" s="286" t="n">
        <f aca="false">IF(ISNUMBER('P9-007'!$O$76),'P9-007'!$O$76,"")</f>
        <v>46347</v>
      </c>
      <c r="J147" s="287" t="n">
        <f aca="false">IF(OR(H147="",I147="",N147&gt;=1),0,MAX(1,NETWORKDAYS(MAX(H147,ASOF),MAX(I147,ASOF),HOLIDAYS)))</f>
        <v>5</v>
      </c>
      <c r="K147" s="287" t="n">
        <f aca="false">IF(L147=0,0,ROUNDUP(L147/$F$7,0))</f>
        <v>1</v>
      </c>
      <c r="L147" s="285" t="n">
        <f aca="false">IF(J147=0,0,G147*(1-N147)/J147)</f>
        <v>3.83954285714286</v>
      </c>
      <c r="M147" s="283" t="s">
        <v>1037</v>
      </c>
      <c r="N147" s="288" t="n">
        <f aca="false">IFERROR(MIN(1,'P9-007'!$V$76)+0,0)</f>
        <v>0</v>
      </c>
      <c r="O147" s="289" t="n">
        <f aca="false">IF($L147=0,0,$L147*MAX(0,NETWORKDAYS(MAX($H147,ASOF,O$72),MIN(MAX($I147,ASOF),O$72+6),HOLIDAYS)))</f>
        <v>0</v>
      </c>
      <c r="P147" s="289" t="n">
        <f aca="false">IF($L147=0,0,$L147*MAX(0,NETWORKDAYS(MAX($H147,ASOF,P$72),MIN(MAX($I147,ASOF),P$72+6),HOLIDAYS)))</f>
        <v>0</v>
      </c>
      <c r="Q147" s="289" t="n">
        <f aca="false">IF($L147=0,0,$L147*MAX(0,NETWORKDAYS(MAX($H147,ASOF,Q$72),MIN(MAX($I147,ASOF),Q$72+6),HOLIDAYS)))</f>
        <v>19.1977142857143</v>
      </c>
      <c r="R147" s="289" t="n">
        <f aca="false">IF($L147=0,0,$L147*MAX(0,NETWORKDAYS(MAX($H147,ASOF,R$72),MIN(MAX($I147,ASOF),R$72+6),HOLIDAYS)))</f>
        <v>0</v>
      </c>
      <c r="S147" s="289" t="n">
        <f aca="false">IF($L147=0,0,$L147*MAX(0,NETWORKDAYS(MAX($H147,ASOF,S$72),MIN(MAX($I147,ASOF),S$72+6),HOLIDAYS)))</f>
        <v>0</v>
      </c>
      <c r="T147" s="289" t="n">
        <f aca="false">IF($L147=0,0,$L147*MAX(0,NETWORKDAYS(MAX($H147,ASOF,T$72),MIN(MAX($I147,ASOF),T$72+6),HOLIDAYS)))</f>
        <v>0</v>
      </c>
      <c r="U147" s="289" t="n">
        <f aca="false">IF($L147=0,0,$L147*MAX(0,NETWORKDAYS(MAX($H147,ASOF,U$72),MIN(MAX($I147,ASOF),U$72+6),HOLIDAYS)))</f>
        <v>0</v>
      </c>
      <c r="V147" s="289" t="n">
        <f aca="false">IF($L147=0,0,$L147*MAX(0,NETWORKDAYS(MAX($H147,ASOF,V$72),MIN(MAX($I147,ASOF),V$72+6),HOLIDAYS)))</f>
        <v>0</v>
      </c>
      <c r="W147" s="289" t="n">
        <f aca="false">IF($L147=0,0,$L147*MAX(0,NETWORKDAYS(MAX($H147,ASOF,W$72),MIN(MAX($I147,ASOF),W$72+6),HOLIDAYS)))</f>
        <v>0</v>
      </c>
      <c r="X147" s="289" t="n">
        <f aca="false">IF($L147=0,0,$L147*MAX(0,NETWORKDAYS(MAX($H147,ASOF,X$72),MIN(MAX($I147,ASOF),X$72+6),HOLIDAYS)))</f>
        <v>0</v>
      </c>
      <c r="Y147" s="289" t="n">
        <f aca="false">IF($L147=0,0,$L147*MAX(0,NETWORKDAYS(MAX($H147,ASOF,Y$72),MIN(MAX($I147,ASOF),Y$72+6),HOLIDAYS)))</f>
        <v>0</v>
      </c>
      <c r="Z147" s="289" t="n">
        <f aca="false">IF($L147=0,0,$L147*MAX(0,NETWORKDAYS(MAX($H147,ASOF,Z$72),MIN(MAX($I147,ASOF),Z$72+6),HOLIDAYS)))</f>
        <v>0</v>
      </c>
      <c r="AA147" s="289" t="n">
        <f aca="false">IF($L147=0,0,$L147*MAX(0,NETWORKDAYS(MAX($H147,ASOF,AA$72),MIN(MAX($I147,ASOF),AA$72+6),HOLIDAYS)))</f>
        <v>0</v>
      </c>
      <c r="AB147" s="289" t="n">
        <f aca="false">IF($L147=0,0,$L147*MAX(0,NETWORKDAYS(MAX($H147,ASOF,AB$72),MIN(MAX($I147,ASOF),AB$72+6),HOLIDAYS)))</f>
        <v>0</v>
      </c>
      <c r="AC147" s="289" t="n">
        <f aca="false">IF($L147=0,0,$L147*MAX(0,NETWORKDAYS(MAX($H147,ASOF,AC$72),MIN(MAX($I147,ASOF),AC$72+6),HOLIDAYS)))</f>
        <v>0</v>
      </c>
      <c r="AD147" s="289" t="n">
        <f aca="false">IF($L147=0,0,$L147*MAX(0,NETWORKDAYS(MAX($H147,ASOF,AD$72),MIN(MAX($I147,ASOF),AD$72+6),HOLIDAYS)))</f>
        <v>0</v>
      </c>
      <c r="AE147" s="289" t="n">
        <f aca="false">IF($L147=0,0,$L147*MAX(0,NETWORKDAYS(MAX($H147,ASOF,AE$72),MIN(MAX($I147,ASOF),AE$72+6),HOLIDAYS)))</f>
        <v>0</v>
      </c>
      <c r="AF147" s="289" t="n">
        <f aca="false">IF($L147=0,0,$L147*MAX(0,NETWORKDAYS(MAX($H147,ASOF,AF$72),MIN(MAX($I147,ASOF),AF$72+6),HOLIDAYS)))</f>
        <v>0</v>
      </c>
      <c r="AG147" s="289" t="n">
        <f aca="false">IF($L147=0,0,$L147*MAX(0,NETWORKDAYS(MAX($H147,ASOF,AG$72),MIN(MAX($I147,ASOF),AG$72+6),HOLIDAYS)))</f>
        <v>0</v>
      </c>
      <c r="AH147" s="289" t="n">
        <f aca="false">IF($L147=0,0,$L147*MAX(0,NETWORKDAYS(MAX($H147,ASOF,AH$72),MIN(MAX($I147,ASOF),AH$72+6),HOLIDAYS)))</f>
        <v>0</v>
      </c>
      <c r="AI147" s="289" t="n">
        <f aca="false">IF($L147=0,0,$L147*MAX(0,NETWORKDAYS(MAX($H147,ASOF,AI$72),MIN(MAX($I147,ASOF),AI$72+6),HOLIDAYS)))</f>
        <v>0</v>
      </c>
      <c r="AJ147" s="289" t="n">
        <f aca="false">IF($L147=0,0,$L147*MAX(0,NETWORKDAYS(MAX($H147,ASOF,AJ$72),MIN(MAX($I147,ASOF),AJ$72+6),HOLIDAYS)))</f>
        <v>0</v>
      </c>
      <c r="AK147" s="289" t="n">
        <f aca="false">IF($L147=0,0,$L147*MAX(0,NETWORKDAYS(MAX($H147,ASOF,AK$72),MIN(MAX($I147,ASOF),AK$72+6),HOLIDAYS)))</f>
        <v>0</v>
      </c>
      <c r="AL147" s="289" t="n">
        <f aca="false">IF($L147=0,0,$L147*MAX(0,NETWORKDAYS(MAX($H147,ASOF,AL$72),MIN(MAX($I147,ASOF),AL$72+6),HOLIDAYS)))</f>
        <v>0</v>
      </c>
      <c r="AM147" s="289" t="n">
        <f aca="false">IF($L147=0,0,$L147*MAX(0,NETWORKDAYS(MAX($H147,ASOF,AM$72),MIN(MAX($I147,ASOF),AM$72+6),HOLIDAYS)))</f>
        <v>0</v>
      </c>
      <c r="AN147" s="289" t="n">
        <f aca="false">IF($L147=0,0,$L147*MAX(0,NETWORKDAYS(MAX($H147,ASOF,AN$72),MIN(MAX($I147,ASOF),AN$72+6),HOLIDAYS)))</f>
        <v>0</v>
      </c>
      <c r="AO147" s="289" t="n">
        <f aca="false">IF($L147=0,0,$L147*MAX(0,NETWORKDAYS(MAX($H147,ASOF,AO$72),MIN(MAX($I147,ASOF),AO$72+6),HOLIDAYS)))</f>
        <v>0</v>
      </c>
      <c r="AP147" s="289" t="n">
        <f aca="false">IF($L147=0,0,$L147*MAX(0,NETWORKDAYS(MAX($H147,ASOF,AP$72),MIN(MAX($I147,ASOF),AP$72+6),HOLIDAYS)))</f>
        <v>0</v>
      </c>
      <c r="AQ147" s="289" t="n">
        <f aca="false">IF($L147=0,0,$L147*MAX(0,NETWORKDAYS(MAX($H147,ASOF,AQ$72),MIN(MAX($I147,ASOF),AQ$72+6),HOLIDAYS)))</f>
        <v>0</v>
      </c>
      <c r="AR147" s="289" t="n">
        <f aca="false">IF($L147=0,0,$L147*MAX(0,NETWORKDAYS(MAX($H147,ASOF,AR$72),MIN(MAX($I147,ASOF),AR$72+6),HOLIDAYS)))</f>
        <v>0</v>
      </c>
    </row>
    <row r="148" customFormat="false" ht="15" hidden="false" customHeight="false" outlineLevel="1" collapsed="false">
      <c r="A148" s="282" t="s">
        <v>66</v>
      </c>
      <c r="B148" s="283" t="s">
        <v>68</v>
      </c>
      <c r="C148" s="284" t="s">
        <v>2362</v>
      </c>
      <c r="D148" s="284" t="s">
        <v>2284</v>
      </c>
      <c r="E148" s="285" t="n">
        <v>1</v>
      </c>
      <c r="F148" s="290" t="s">
        <v>35</v>
      </c>
      <c r="G148" s="285" t="n">
        <f aca="false">$F$8*$H$8</f>
        <v>2</v>
      </c>
      <c r="H148" s="286" t="n">
        <f aca="false">IF(ISNUMBER('P9-007'!$N$82),'P9-007'!$N$82,"")</f>
        <v>46345</v>
      </c>
      <c r="I148" s="286" t="n">
        <f aca="false">IF(ISNUMBER('P9-007'!$O$82),'P9-007'!$O$82,"")</f>
        <v>46347</v>
      </c>
      <c r="J148" s="287" t="n">
        <f aca="false">IF(OR(H148="",I148="",N148&gt;=1),0,MAX(1,NETWORKDAYS(MAX(H148,ASOF),MAX(I148,ASOF),HOLIDAYS)))</f>
        <v>2</v>
      </c>
      <c r="K148" s="287" t="n">
        <f aca="false">IF(L148=0,0,ROUNDUP(L148/$F$8,0))</f>
        <v>1</v>
      </c>
      <c r="L148" s="285" t="n">
        <f aca="false">IF(J148=0,0,G148*(1-N148)/J148)</f>
        <v>1</v>
      </c>
      <c r="M148" s="283" t="s">
        <v>1063</v>
      </c>
      <c r="N148" s="288" t="n">
        <f aca="false">IFERROR(MIN(1,'P9-007'!$V$82)+0,0)</f>
        <v>0</v>
      </c>
      <c r="O148" s="289" t="n">
        <f aca="false">IF($L148=0,0,$L148*MAX(0,NETWORKDAYS(MAX($H148,ASOF,O$72),MIN(MAX($I148,ASOF),O$72+6),HOLIDAYS)))</f>
        <v>0</v>
      </c>
      <c r="P148" s="289" t="n">
        <f aca="false">IF($L148=0,0,$L148*MAX(0,NETWORKDAYS(MAX($H148,ASOF,P$72),MIN(MAX($I148,ASOF),P$72+6),HOLIDAYS)))</f>
        <v>0</v>
      </c>
      <c r="Q148" s="289" t="n">
        <f aca="false">IF($L148=0,0,$L148*MAX(0,NETWORKDAYS(MAX($H148,ASOF,Q$72),MIN(MAX($I148,ASOF),Q$72+6),HOLIDAYS)))</f>
        <v>2</v>
      </c>
      <c r="R148" s="289" t="n">
        <f aca="false">IF($L148=0,0,$L148*MAX(0,NETWORKDAYS(MAX($H148,ASOF,R$72),MIN(MAX($I148,ASOF),R$72+6),HOLIDAYS)))</f>
        <v>0</v>
      </c>
      <c r="S148" s="289" t="n">
        <f aca="false">IF($L148=0,0,$L148*MAX(0,NETWORKDAYS(MAX($H148,ASOF,S$72),MIN(MAX($I148,ASOF),S$72+6),HOLIDAYS)))</f>
        <v>0</v>
      </c>
      <c r="T148" s="289" t="n">
        <f aca="false">IF($L148=0,0,$L148*MAX(0,NETWORKDAYS(MAX($H148,ASOF,T$72),MIN(MAX($I148,ASOF),T$72+6),HOLIDAYS)))</f>
        <v>0</v>
      </c>
      <c r="U148" s="289" t="n">
        <f aca="false">IF($L148=0,0,$L148*MAX(0,NETWORKDAYS(MAX($H148,ASOF,U$72),MIN(MAX($I148,ASOF),U$72+6),HOLIDAYS)))</f>
        <v>0</v>
      </c>
      <c r="V148" s="289" t="n">
        <f aca="false">IF($L148=0,0,$L148*MAX(0,NETWORKDAYS(MAX($H148,ASOF,V$72),MIN(MAX($I148,ASOF),V$72+6),HOLIDAYS)))</f>
        <v>0</v>
      </c>
      <c r="W148" s="289" t="n">
        <f aca="false">IF($L148=0,0,$L148*MAX(0,NETWORKDAYS(MAX($H148,ASOF,W$72),MIN(MAX($I148,ASOF),W$72+6),HOLIDAYS)))</f>
        <v>0</v>
      </c>
      <c r="X148" s="289" t="n">
        <f aca="false">IF($L148=0,0,$L148*MAX(0,NETWORKDAYS(MAX($H148,ASOF,X$72),MIN(MAX($I148,ASOF),X$72+6),HOLIDAYS)))</f>
        <v>0</v>
      </c>
      <c r="Y148" s="289" t="n">
        <f aca="false">IF($L148=0,0,$L148*MAX(0,NETWORKDAYS(MAX($H148,ASOF,Y$72),MIN(MAX($I148,ASOF),Y$72+6),HOLIDAYS)))</f>
        <v>0</v>
      </c>
      <c r="Z148" s="289" t="n">
        <f aca="false">IF($L148=0,0,$L148*MAX(0,NETWORKDAYS(MAX($H148,ASOF,Z$72),MIN(MAX($I148,ASOF),Z$72+6),HOLIDAYS)))</f>
        <v>0</v>
      </c>
      <c r="AA148" s="289" t="n">
        <f aca="false">IF($L148=0,0,$L148*MAX(0,NETWORKDAYS(MAX($H148,ASOF,AA$72),MIN(MAX($I148,ASOF),AA$72+6),HOLIDAYS)))</f>
        <v>0</v>
      </c>
      <c r="AB148" s="289" t="n">
        <f aca="false">IF($L148=0,0,$L148*MAX(0,NETWORKDAYS(MAX($H148,ASOF,AB$72),MIN(MAX($I148,ASOF),AB$72+6),HOLIDAYS)))</f>
        <v>0</v>
      </c>
      <c r="AC148" s="289" t="n">
        <f aca="false">IF($L148=0,0,$L148*MAX(0,NETWORKDAYS(MAX($H148,ASOF,AC$72),MIN(MAX($I148,ASOF),AC$72+6),HOLIDAYS)))</f>
        <v>0</v>
      </c>
      <c r="AD148" s="289" t="n">
        <f aca="false">IF($L148=0,0,$L148*MAX(0,NETWORKDAYS(MAX($H148,ASOF,AD$72),MIN(MAX($I148,ASOF),AD$72+6),HOLIDAYS)))</f>
        <v>0</v>
      </c>
      <c r="AE148" s="289" t="n">
        <f aca="false">IF($L148=0,0,$L148*MAX(0,NETWORKDAYS(MAX($H148,ASOF,AE$72),MIN(MAX($I148,ASOF),AE$72+6),HOLIDAYS)))</f>
        <v>0</v>
      </c>
      <c r="AF148" s="289" t="n">
        <f aca="false">IF($L148=0,0,$L148*MAX(0,NETWORKDAYS(MAX($H148,ASOF,AF$72),MIN(MAX($I148,ASOF),AF$72+6),HOLIDAYS)))</f>
        <v>0</v>
      </c>
      <c r="AG148" s="289" t="n">
        <f aca="false">IF($L148=0,0,$L148*MAX(0,NETWORKDAYS(MAX($H148,ASOF,AG$72),MIN(MAX($I148,ASOF),AG$72+6),HOLIDAYS)))</f>
        <v>0</v>
      </c>
      <c r="AH148" s="289" t="n">
        <f aca="false">IF($L148=0,0,$L148*MAX(0,NETWORKDAYS(MAX($H148,ASOF,AH$72),MIN(MAX($I148,ASOF),AH$72+6),HOLIDAYS)))</f>
        <v>0</v>
      </c>
      <c r="AI148" s="289" t="n">
        <f aca="false">IF($L148=0,0,$L148*MAX(0,NETWORKDAYS(MAX($H148,ASOF,AI$72),MIN(MAX($I148,ASOF),AI$72+6),HOLIDAYS)))</f>
        <v>0</v>
      </c>
      <c r="AJ148" s="289" t="n">
        <f aca="false">IF($L148=0,0,$L148*MAX(0,NETWORKDAYS(MAX($H148,ASOF,AJ$72),MIN(MAX($I148,ASOF),AJ$72+6),HOLIDAYS)))</f>
        <v>0</v>
      </c>
      <c r="AK148" s="289" t="n">
        <f aca="false">IF($L148=0,0,$L148*MAX(0,NETWORKDAYS(MAX($H148,ASOF,AK$72),MIN(MAX($I148,ASOF),AK$72+6),HOLIDAYS)))</f>
        <v>0</v>
      </c>
      <c r="AL148" s="289" t="n">
        <f aca="false">IF($L148=0,0,$L148*MAX(0,NETWORKDAYS(MAX($H148,ASOF,AL$72),MIN(MAX($I148,ASOF),AL$72+6),HOLIDAYS)))</f>
        <v>0</v>
      </c>
      <c r="AM148" s="289" t="n">
        <f aca="false">IF($L148=0,0,$L148*MAX(0,NETWORKDAYS(MAX($H148,ASOF,AM$72),MIN(MAX($I148,ASOF),AM$72+6),HOLIDAYS)))</f>
        <v>0</v>
      </c>
      <c r="AN148" s="289" t="n">
        <f aca="false">IF($L148=0,0,$L148*MAX(0,NETWORKDAYS(MAX($H148,ASOF,AN$72),MIN(MAX($I148,ASOF),AN$72+6),HOLIDAYS)))</f>
        <v>0</v>
      </c>
      <c r="AO148" s="289" t="n">
        <f aca="false">IF($L148=0,0,$L148*MAX(0,NETWORKDAYS(MAX($H148,ASOF,AO$72),MIN(MAX($I148,ASOF),AO$72+6),HOLIDAYS)))</f>
        <v>0</v>
      </c>
      <c r="AP148" s="289" t="n">
        <f aca="false">IF($L148=0,0,$L148*MAX(0,NETWORKDAYS(MAX($H148,ASOF,AP$72),MIN(MAX($I148,ASOF),AP$72+6),HOLIDAYS)))</f>
        <v>0</v>
      </c>
      <c r="AQ148" s="289" t="n">
        <f aca="false">IF($L148=0,0,$L148*MAX(0,NETWORKDAYS(MAX($H148,ASOF,AQ$72),MIN(MAX($I148,ASOF),AQ$72+6),HOLIDAYS)))</f>
        <v>0</v>
      </c>
      <c r="AR148" s="289" t="n">
        <f aca="false">IF($L148=0,0,$L148*MAX(0,NETWORKDAYS(MAX($H148,ASOF,AR$72),MIN(MAX($I148,ASOF),AR$72+6),HOLIDAYS)))</f>
        <v>0</v>
      </c>
    </row>
    <row r="149" customFormat="false" ht="15" hidden="false" customHeight="false" outlineLevel="1" collapsed="false">
      <c r="A149" s="282" t="s">
        <v>66</v>
      </c>
      <c r="B149" s="283" t="s">
        <v>68</v>
      </c>
      <c r="C149" s="284" t="s">
        <v>2363</v>
      </c>
      <c r="D149" s="284" t="s">
        <v>2290</v>
      </c>
      <c r="E149" s="285" t="n">
        <v>1</v>
      </c>
      <c r="F149" s="290" t="s">
        <v>35</v>
      </c>
      <c r="G149" s="285" t="n">
        <f aca="false">IF(IFERROR(INDEX(INVS_TYPE,MATCH("P9-007",INVS_ID,0)),"")="สร้างใหม่ (E09)",$F$9*$H$9,0)</f>
        <v>24</v>
      </c>
      <c r="H149" s="286" t="n">
        <f aca="false">IF(ISNUMBER('P9-007'!$N$85),'P9-007'!$N$85,"")</f>
        <v>46343</v>
      </c>
      <c r="I149" s="286" t="n">
        <f aca="false">IF(ISNUMBER('P9-007'!$O$85),'P9-007'!$O$85,"")</f>
        <v>46346</v>
      </c>
      <c r="J149" s="287" t="n">
        <f aca="false">IF(OR(H149="",I149="",N149&gt;=1),0,MAX(1,NETWORKDAYS(MAX(H149,ASOF),MAX(I149,ASOF),HOLIDAYS)))</f>
        <v>4</v>
      </c>
      <c r="K149" s="287" t="n">
        <f aca="false">IF(L149=0,0,ROUNDUP(L149/$F$9,0))</f>
        <v>2</v>
      </c>
      <c r="L149" s="285" t="n">
        <f aca="false">IF(J149=0,0,G149*(1-N149)/J149)</f>
        <v>6</v>
      </c>
      <c r="M149" s="283" t="s">
        <v>2288</v>
      </c>
      <c r="N149" s="288" t="n">
        <f aca="false">IFERROR(MIN(1,'P9-007'!$V$85)+0,0)</f>
        <v>0</v>
      </c>
      <c r="O149" s="289" t="n">
        <f aca="false">IF($L149=0,0,$L149*MAX(0,NETWORKDAYS(MAX($H149,ASOF,O$72),MIN(MAX($I149,ASOF),O$72+6),HOLIDAYS)))</f>
        <v>0</v>
      </c>
      <c r="P149" s="289" t="n">
        <f aca="false">IF($L149=0,0,$L149*MAX(0,NETWORKDAYS(MAX($H149,ASOF,P$72),MIN(MAX($I149,ASOF),P$72+6),HOLIDAYS)))</f>
        <v>0</v>
      </c>
      <c r="Q149" s="289" t="n">
        <f aca="false">IF($L149=0,0,$L149*MAX(0,NETWORKDAYS(MAX($H149,ASOF,Q$72),MIN(MAX($I149,ASOF),Q$72+6),HOLIDAYS)))</f>
        <v>24</v>
      </c>
      <c r="R149" s="289" t="n">
        <f aca="false">IF($L149=0,0,$L149*MAX(0,NETWORKDAYS(MAX($H149,ASOF,R$72),MIN(MAX($I149,ASOF),R$72+6),HOLIDAYS)))</f>
        <v>0</v>
      </c>
      <c r="S149" s="289" t="n">
        <f aca="false">IF($L149=0,0,$L149*MAX(0,NETWORKDAYS(MAX($H149,ASOF,S$72),MIN(MAX($I149,ASOF),S$72+6),HOLIDAYS)))</f>
        <v>0</v>
      </c>
      <c r="T149" s="289" t="n">
        <f aca="false">IF($L149=0,0,$L149*MAX(0,NETWORKDAYS(MAX($H149,ASOF,T$72),MIN(MAX($I149,ASOF),T$72+6),HOLIDAYS)))</f>
        <v>0</v>
      </c>
      <c r="U149" s="289" t="n">
        <f aca="false">IF($L149=0,0,$L149*MAX(0,NETWORKDAYS(MAX($H149,ASOF,U$72),MIN(MAX($I149,ASOF),U$72+6),HOLIDAYS)))</f>
        <v>0</v>
      </c>
      <c r="V149" s="289" t="n">
        <f aca="false">IF($L149=0,0,$L149*MAX(0,NETWORKDAYS(MAX($H149,ASOF,V$72),MIN(MAX($I149,ASOF),V$72+6),HOLIDAYS)))</f>
        <v>0</v>
      </c>
      <c r="W149" s="289" t="n">
        <f aca="false">IF($L149=0,0,$L149*MAX(0,NETWORKDAYS(MAX($H149,ASOF,W$72),MIN(MAX($I149,ASOF),W$72+6),HOLIDAYS)))</f>
        <v>0</v>
      </c>
      <c r="X149" s="289" t="n">
        <f aca="false">IF($L149=0,0,$L149*MAX(0,NETWORKDAYS(MAX($H149,ASOF,X$72),MIN(MAX($I149,ASOF),X$72+6),HOLIDAYS)))</f>
        <v>0</v>
      </c>
      <c r="Y149" s="289" t="n">
        <f aca="false">IF($L149=0,0,$L149*MAX(0,NETWORKDAYS(MAX($H149,ASOF,Y$72),MIN(MAX($I149,ASOF),Y$72+6),HOLIDAYS)))</f>
        <v>0</v>
      </c>
      <c r="Z149" s="289" t="n">
        <f aca="false">IF($L149=0,0,$L149*MAX(0,NETWORKDAYS(MAX($H149,ASOF,Z$72),MIN(MAX($I149,ASOF),Z$72+6),HOLIDAYS)))</f>
        <v>0</v>
      </c>
      <c r="AA149" s="289" t="n">
        <f aca="false">IF($L149=0,0,$L149*MAX(0,NETWORKDAYS(MAX($H149,ASOF,AA$72),MIN(MAX($I149,ASOF),AA$72+6),HOLIDAYS)))</f>
        <v>0</v>
      </c>
      <c r="AB149" s="289" t="n">
        <f aca="false">IF($L149=0,0,$L149*MAX(0,NETWORKDAYS(MAX($H149,ASOF,AB$72),MIN(MAX($I149,ASOF),AB$72+6),HOLIDAYS)))</f>
        <v>0</v>
      </c>
      <c r="AC149" s="289" t="n">
        <f aca="false">IF($L149=0,0,$L149*MAX(0,NETWORKDAYS(MAX($H149,ASOF,AC$72),MIN(MAX($I149,ASOF),AC$72+6),HOLIDAYS)))</f>
        <v>0</v>
      </c>
      <c r="AD149" s="289" t="n">
        <f aca="false">IF($L149=0,0,$L149*MAX(0,NETWORKDAYS(MAX($H149,ASOF,AD$72),MIN(MAX($I149,ASOF),AD$72+6),HOLIDAYS)))</f>
        <v>0</v>
      </c>
      <c r="AE149" s="289" t="n">
        <f aca="false">IF($L149=0,0,$L149*MAX(0,NETWORKDAYS(MAX($H149,ASOF,AE$72),MIN(MAX($I149,ASOF),AE$72+6),HOLIDAYS)))</f>
        <v>0</v>
      </c>
      <c r="AF149" s="289" t="n">
        <f aca="false">IF($L149=0,0,$L149*MAX(0,NETWORKDAYS(MAX($H149,ASOF,AF$72),MIN(MAX($I149,ASOF),AF$72+6),HOLIDAYS)))</f>
        <v>0</v>
      </c>
      <c r="AG149" s="289" t="n">
        <f aca="false">IF($L149=0,0,$L149*MAX(0,NETWORKDAYS(MAX($H149,ASOF,AG$72),MIN(MAX($I149,ASOF),AG$72+6),HOLIDAYS)))</f>
        <v>0</v>
      </c>
      <c r="AH149" s="289" t="n">
        <f aca="false">IF($L149=0,0,$L149*MAX(0,NETWORKDAYS(MAX($H149,ASOF,AH$72),MIN(MAX($I149,ASOF),AH$72+6),HOLIDAYS)))</f>
        <v>0</v>
      </c>
      <c r="AI149" s="289" t="n">
        <f aca="false">IF($L149=0,0,$L149*MAX(0,NETWORKDAYS(MAX($H149,ASOF,AI$72),MIN(MAX($I149,ASOF),AI$72+6),HOLIDAYS)))</f>
        <v>0</v>
      </c>
      <c r="AJ149" s="289" t="n">
        <f aca="false">IF($L149=0,0,$L149*MAX(0,NETWORKDAYS(MAX($H149,ASOF,AJ$72),MIN(MAX($I149,ASOF),AJ$72+6),HOLIDAYS)))</f>
        <v>0</v>
      </c>
      <c r="AK149" s="289" t="n">
        <f aca="false">IF($L149=0,0,$L149*MAX(0,NETWORKDAYS(MAX($H149,ASOF,AK$72),MIN(MAX($I149,ASOF),AK$72+6),HOLIDAYS)))</f>
        <v>0</v>
      </c>
      <c r="AL149" s="289" t="n">
        <f aca="false">IF($L149=0,0,$L149*MAX(0,NETWORKDAYS(MAX($H149,ASOF,AL$72),MIN(MAX($I149,ASOF),AL$72+6),HOLIDAYS)))</f>
        <v>0</v>
      </c>
      <c r="AM149" s="289" t="n">
        <f aca="false">IF($L149=0,0,$L149*MAX(0,NETWORKDAYS(MAX($H149,ASOF,AM$72),MIN(MAX($I149,ASOF),AM$72+6),HOLIDAYS)))</f>
        <v>0</v>
      </c>
      <c r="AN149" s="289" t="n">
        <f aca="false">IF($L149=0,0,$L149*MAX(0,NETWORKDAYS(MAX($H149,ASOF,AN$72),MIN(MAX($I149,ASOF),AN$72+6),HOLIDAYS)))</f>
        <v>0</v>
      </c>
      <c r="AO149" s="289" t="n">
        <f aca="false">IF($L149=0,0,$L149*MAX(0,NETWORKDAYS(MAX($H149,ASOF,AO$72),MIN(MAX($I149,ASOF),AO$72+6),HOLIDAYS)))</f>
        <v>0</v>
      </c>
      <c r="AP149" s="289" t="n">
        <f aca="false">IF($L149=0,0,$L149*MAX(0,NETWORKDAYS(MAX($H149,ASOF,AP$72),MIN(MAX($I149,ASOF),AP$72+6),HOLIDAYS)))</f>
        <v>0</v>
      </c>
      <c r="AQ149" s="289" t="n">
        <f aca="false">IF($L149=0,0,$L149*MAX(0,NETWORKDAYS(MAX($H149,ASOF,AQ$72),MIN(MAX($I149,ASOF),AQ$72+6),HOLIDAYS)))</f>
        <v>0</v>
      </c>
      <c r="AR149" s="289" t="n">
        <f aca="false">IF($L149=0,0,$L149*MAX(0,NETWORKDAYS(MAX($H149,ASOF,AR$72),MIN(MAX($I149,ASOF),AR$72+6),HOLIDAYS)))</f>
        <v>0</v>
      </c>
    </row>
    <row r="150" customFormat="false" ht="15" hidden="false" customHeight="false" outlineLevel="1" collapsed="false">
      <c r="A150" s="282" t="s">
        <v>66</v>
      </c>
      <c r="B150" s="283" t="s">
        <v>68</v>
      </c>
      <c r="C150" s="284" t="s">
        <v>2364</v>
      </c>
      <c r="D150" s="284" t="s">
        <v>2284</v>
      </c>
      <c r="E150" s="285" t="n">
        <f aca="false">IFERROR(INDEX(INVS_N,MATCH("P9-007",INVS_ID,0)),1)</f>
        <v>1</v>
      </c>
      <c r="F150" s="290" t="s">
        <v>2365</v>
      </c>
      <c r="G150" s="285" t="n">
        <f aca="false">$F$10*(E150/$G$10+$H$10)</f>
        <v>3</v>
      </c>
      <c r="H150" s="286" t="n">
        <f aca="false">IF(ISNUMBER('P9-007'!$N$85),'P9-007'!$N$85,"")</f>
        <v>46343</v>
      </c>
      <c r="I150" s="286" t="n">
        <f aca="false">IF(ISNUMBER('P9-007'!$O$85),'P9-007'!$O$85,"")</f>
        <v>46346</v>
      </c>
      <c r="J150" s="287" t="n">
        <f aca="false">IF(OR(H150="",I150="",N150&gt;=1),0,MAX(1,NETWORKDAYS(MAX(H150,ASOF),MAX(I150,ASOF),HOLIDAYS)))</f>
        <v>4</v>
      </c>
      <c r="K150" s="287" t="n">
        <f aca="false">IF(L150=0,0,ROUNDUP(L150/$F$10,0))</f>
        <v>1</v>
      </c>
      <c r="L150" s="285" t="n">
        <f aca="false">IF(J150=0,0,G150*(1-N150)/J150)</f>
        <v>0.75</v>
      </c>
      <c r="M150" s="283" t="s">
        <v>2293</v>
      </c>
      <c r="N150" s="288" t="n">
        <f aca="false">IFERROR(MIN(1,'P9-007'!$V$85)+0,0)</f>
        <v>0</v>
      </c>
      <c r="O150" s="289" t="n">
        <f aca="false">IF($L150=0,0,$L150*MAX(0,NETWORKDAYS(MAX($H150,ASOF,O$72),MIN(MAX($I150,ASOF),O$72+6),HOLIDAYS)))</f>
        <v>0</v>
      </c>
      <c r="P150" s="289" t="n">
        <f aca="false">IF($L150=0,0,$L150*MAX(0,NETWORKDAYS(MAX($H150,ASOF,P$72),MIN(MAX($I150,ASOF),P$72+6),HOLIDAYS)))</f>
        <v>0</v>
      </c>
      <c r="Q150" s="289" t="n">
        <f aca="false">IF($L150=0,0,$L150*MAX(0,NETWORKDAYS(MAX($H150,ASOF,Q$72),MIN(MAX($I150,ASOF),Q$72+6),HOLIDAYS)))</f>
        <v>3</v>
      </c>
      <c r="R150" s="289" t="n">
        <f aca="false">IF($L150=0,0,$L150*MAX(0,NETWORKDAYS(MAX($H150,ASOF,R$72),MIN(MAX($I150,ASOF),R$72+6),HOLIDAYS)))</f>
        <v>0</v>
      </c>
      <c r="S150" s="289" t="n">
        <f aca="false">IF($L150=0,0,$L150*MAX(0,NETWORKDAYS(MAX($H150,ASOF,S$72),MIN(MAX($I150,ASOF),S$72+6),HOLIDAYS)))</f>
        <v>0</v>
      </c>
      <c r="T150" s="289" t="n">
        <f aca="false">IF($L150=0,0,$L150*MAX(0,NETWORKDAYS(MAX($H150,ASOF,T$72),MIN(MAX($I150,ASOF),T$72+6),HOLIDAYS)))</f>
        <v>0</v>
      </c>
      <c r="U150" s="289" t="n">
        <f aca="false">IF($L150=0,0,$L150*MAX(0,NETWORKDAYS(MAX($H150,ASOF,U$72),MIN(MAX($I150,ASOF),U$72+6),HOLIDAYS)))</f>
        <v>0</v>
      </c>
      <c r="V150" s="289" t="n">
        <f aca="false">IF($L150=0,0,$L150*MAX(0,NETWORKDAYS(MAX($H150,ASOF,V$72),MIN(MAX($I150,ASOF),V$72+6),HOLIDAYS)))</f>
        <v>0</v>
      </c>
      <c r="W150" s="289" t="n">
        <f aca="false">IF($L150=0,0,$L150*MAX(0,NETWORKDAYS(MAX($H150,ASOF,W$72),MIN(MAX($I150,ASOF),W$72+6),HOLIDAYS)))</f>
        <v>0</v>
      </c>
      <c r="X150" s="289" t="n">
        <f aca="false">IF($L150=0,0,$L150*MAX(0,NETWORKDAYS(MAX($H150,ASOF,X$72),MIN(MAX($I150,ASOF),X$72+6),HOLIDAYS)))</f>
        <v>0</v>
      </c>
      <c r="Y150" s="289" t="n">
        <f aca="false">IF($L150=0,0,$L150*MAX(0,NETWORKDAYS(MAX($H150,ASOF,Y$72),MIN(MAX($I150,ASOF),Y$72+6),HOLIDAYS)))</f>
        <v>0</v>
      </c>
      <c r="Z150" s="289" t="n">
        <f aca="false">IF($L150=0,0,$L150*MAX(0,NETWORKDAYS(MAX($H150,ASOF,Z$72),MIN(MAX($I150,ASOF),Z$72+6),HOLIDAYS)))</f>
        <v>0</v>
      </c>
      <c r="AA150" s="289" t="n">
        <f aca="false">IF($L150=0,0,$L150*MAX(0,NETWORKDAYS(MAX($H150,ASOF,AA$72),MIN(MAX($I150,ASOF),AA$72+6),HOLIDAYS)))</f>
        <v>0</v>
      </c>
      <c r="AB150" s="289" t="n">
        <f aca="false">IF($L150=0,0,$L150*MAX(0,NETWORKDAYS(MAX($H150,ASOF,AB$72),MIN(MAX($I150,ASOF),AB$72+6),HOLIDAYS)))</f>
        <v>0</v>
      </c>
      <c r="AC150" s="289" t="n">
        <f aca="false">IF($L150=0,0,$L150*MAX(0,NETWORKDAYS(MAX($H150,ASOF,AC$72),MIN(MAX($I150,ASOF),AC$72+6),HOLIDAYS)))</f>
        <v>0</v>
      </c>
      <c r="AD150" s="289" t="n">
        <f aca="false">IF($L150=0,0,$L150*MAX(0,NETWORKDAYS(MAX($H150,ASOF,AD$72),MIN(MAX($I150,ASOF),AD$72+6),HOLIDAYS)))</f>
        <v>0</v>
      </c>
      <c r="AE150" s="289" t="n">
        <f aca="false">IF($L150=0,0,$L150*MAX(0,NETWORKDAYS(MAX($H150,ASOF,AE$72),MIN(MAX($I150,ASOF),AE$72+6),HOLIDAYS)))</f>
        <v>0</v>
      </c>
      <c r="AF150" s="289" t="n">
        <f aca="false">IF($L150=0,0,$L150*MAX(0,NETWORKDAYS(MAX($H150,ASOF,AF$72),MIN(MAX($I150,ASOF),AF$72+6),HOLIDAYS)))</f>
        <v>0</v>
      </c>
      <c r="AG150" s="289" t="n">
        <f aca="false">IF($L150=0,0,$L150*MAX(0,NETWORKDAYS(MAX($H150,ASOF,AG$72),MIN(MAX($I150,ASOF),AG$72+6),HOLIDAYS)))</f>
        <v>0</v>
      </c>
      <c r="AH150" s="289" t="n">
        <f aca="false">IF($L150=0,0,$L150*MAX(0,NETWORKDAYS(MAX($H150,ASOF,AH$72),MIN(MAX($I150,ASOF),AH$72+6),HOLIDAYS)))</f>
        <v>0</v>
      </c>
      <c r="AI150" s="289" t="n">
        <f aca="false">IF($L150=0,0,$L150*MAX(0,NETWORKDAYS(MAX($H150,ASOF,AI$72),MIN(MAX($I150,ASOF),AI$72+6),HOLIDAYS)))</f>
        <v>0</v>
      </c>
      <c r="AJ150" s="289" t="n">
        <f aca="false">IF($L150=0,0,$L150*MAX(0,NETWORKDAYS(MAX($H150,ASOF,AJ$72),MIN(MAX($I150,ASOF),AJ$72+6),HOLIDAYS)))</f>
        <v>0</v>
      </c>
      <c r="AK150" s="289" t="n">
        <f aca="false">IF($L150=0,0,$L150*MAX(0,NETWORKDAYS(MAX($H150,ASOF,AK$72),MIN(MAX($I150,ASOF),AK$72+6),HOLIDAYS)))</f>
        <v>0</v>
      </c>
      <c r="AL150" s="289" t="n">
        <f aca="false">IF($L150=0,0,$L150*MAX(0,NETWORKDAYS(MAX($H150,ASOF,AL$72),MIN(MAX($I150,ASOF),AL$72+6),HOLIDAYS)))</f>
        <v>0</v>
      </c>
      <c r="AM150" s="289" t="n">
        <f aca="false">IF($L150=0,0,$L150*MAX(0,NETWORKDAYS(MAX($H150,ASOF,AM$72),MIN(MAX($I150,ASOF),AM$72+6),HOLIDAYS)))</f>
        <v>0</v>
      </c>
      <c r="AN150" s="289" t="n">
        <f aca="false">IF($L150=0,0,$L150*MAX(0,NETWORKDAYS(MAX($H150,ASOF,AN$72),MIN(MAX($I150,ASOF),AN$72+6),HOLIDAYS)))</f>
        <v>0</v>
      </c>
      <c r="AO150" s="289" t="n">
        <f aca="false">IF($L150=0,0,$L150*MAX(0,NETWORKDAYS(MAX($H150,ASOF,AO$72),MIN(MAX($I150,ASOF),AO$72+6),HOLIDAYS)))</f>
        <v>0</v>
      </c>
      <c r="AP150" s="289" t="n">
        <f aca="false">IF($L150=0,0,$L150*MAX(0,NETWORKDAYS(MAX($H150,ASOF,AP$72),MIN(MAX($I150,ASOF),AP$72+6),HOLIDAYS)))</f>
        <v>0</v>
      </c>
      <c r="AQ150" s="289" t="n">
        <f aca="false">IF($L150=0,0,$L150*MAX(0,NETWORKDAYS(MAX($H150,ASOF,AQ$72),MIN(MAX($I150,ASOF),AQ$72+6),HOLIDAYS)))</f>
        <v>0</v>
      </c>
      <c r="AR150" s="289" t="n">
        <f aca="false">IF($L150=0,0,$L150*MAX(0,NETWORKDAYS(MAX($H150,ASOF,AR$72),MIN(MAX($I150,ASOF),AR$72+6),HOLIDAYS)))</f>
        <v>0</v>
      </c>
    </row>
    <row r="151" customFormat="false" ht="15" hidden="false" customHeight="false" outlineLevel="1" collapsed="false">
      <c r="A151" s="282" t="s">
        <v>66</v>
      </c>
      <c r="B151" s="283" t="s">
        <v>68</v>
      </c>
      <c r="C151" s="284" t="s">
        <v>2366</v>
      </c>
      <c r="D151" s="284" t="s">
        <v>2284</v>
      </c>
      <c r="E151" s="285" t="n">
        <v>1</v>
      </c>
      <c r="F151" s="290" t="s">
        <v>35</v>
      </c>
      <c r="G151" s="285" t="n">
        <f aca="false">$F$11*$H$11</f>
        <v>16</v>
      </c>
      <c r="H151" s="286" t="n">
        <f aca="false">IF(ISNUMBER('P9-007'!$N$90),'P9-007'!$N$90,"")</f>
        <v>46344</v>
      </c>
      <c r="I151" s="286" t="n">
        <f aca="false">IF(ISNUMBER('P9-007'!$O$90),'P9-007'!$O$90,"")</f>
        <v>46347</v>
      </c>
      <c r="J151" s="287" t="n">
        <f aca="false">IF(OR(H151="",I151="",N151&gt;=1),0,MAX(1,NETWORKDAYS(MAX(H151,ASOF),MAX(I151,ASOF),HOLIDAYS)))</f>
        <v>3</v>
      </c>
      <c r="K151" s="287" t="n">
        <f aca="false">IF(L151=0,0,ROUNDUP(L151/$F$11,0))</f>
        <v>2</v>
      </c>
      <c r="L151" s="285" t="n">
        <f aca="false">IF(J151=0,0,G151*(1-N151)/J151)</f>
        <v>5.33333333333333</v>
      </c>
      <c r="M151" s="283" t="s">
        <v>1113</v>
      </c>
      <c r="N151" s="288" t="n">
        <f aca="false">IFERROR(MIN(1,'P9-007'!$V$90)+0,0)</f>
        <v>0</v>
      </c>
      <c r="O151" s="289" t="n">
        <f aca="false">IF($L151=0,0,$L151*MAX(0,NETWORKDAYS(MAX($H151,ASOF,O$72),MIN(MAX($I151,ASOF),O$72+6),HOLIDAYS)))</f>
        <v>0</v>
      </c>
      <c r="P151" s="289" t="n">
        <f aca="false">IF($L151=0,0,$L151*MAX(0,NETWORKDAYS(MAX($H151,ASOF,P$72),MIN(MAX($I151,ASOF),P$72+6),HOLIDAYS)))</f>
        <v>0</v>
      </c>
      <c r="Q151" s="289" t="n">
        <f aca="false">IF($L151=0,0,$L151*MAX(0,NETWORKDAYS(MAX($H151,ASOF,Q$72),MIN(MAX($I151,ASOF),Q$72+6),HOLIDAYS)))</f>
        <v>16</v>
      </c>
      <c r="R151" s="289" t="n">
        <f aca="false">IF($L151=0,0,$L151*MAX(0,NETWORKDAYS(MAX($H151,ASOF,R$72),MIN(MAX($I151,ASOF),R$72+6),HOLIDAYS)))</f>
        <v>0</v>
      </c>
      <c r="S151" s="289" t="n">
        <f aca="false">IF($L151=0,0,$L151*MAX(0,NETWORKDAYS(MAX($H151,ASOF,S$72),MIN(MAX($I151,ASOF),S$72+6),HOLIDAYS)))</f>
        <v>0</v>
      </c>
      <c r="T151" s="289" t="n">
        <f aca="false">IF($L151=0,0,$L151*MAX(0,NETWORKDAYS(MAX($H151,ASOF,T$72),MIN(MAX($I151,ASOF),T$72+6),HOLIDAYS)))</f>
        <v>0</v>
      </c>
      <c r="U151" s="289" t="n">
        <f aca="false">IF($L151=0,0,$L151*MAX(0,NETWORKDAYS(MAX($H151,ASOF,U$72),MIN(MAX($I151,ASOF),U$72+6),HOLIDAYS)))</f>
        <v>0</v>
      </c>
      <c r="V151" s="289" t="n">
        <f aca="false">IF($L151=0,0,$L151*MAX(0,NETWORKDAYS(MAX($H151,ASOF,V$72),MIN(MAX($I151,ASOF),V$72+6),HOLIDAYS)))</f>
        <v>0</v>
      </c>
      <c r="W151" s="289" t="n">
        <f aca="false">IF($L151=0,0,$L151*MAX(0,NETWORKDAYS(MAX($H151,ASOF,W$72),MIN(MAX($I151,ASOF),W$72+6),HOLIDAYS)))</f>
        <v>0</v>
      </c>
      <c r="X151" s="289" t="n">
        <f aca="false">IF($L151=0,0,$L151*MAX(0,NETWORKDAYS(MAX($H151,ASOF,X$72),MIN(MAX($I151,ASOF),X$72+6),HOLIDAYS)))</f>
        <v>0</v>
      </c>
      <c r="Y151" s="289" t="n">
        <f aca="false">IF($L151=0,0,$L151*MAX(0,NETWORKDAYS(MAX($H151,ASOF,Y$72),MIN(MAX($I151,ASOF),Y$72+6),HOLIDAYS)))</f>
        <v>0</v>
      </c>
      <c r="Z151" s="289" t="n">
        <f aca="false">IF($L151=0,0,$L151*MAX(0,NETWORKDAYS(MAX($H151,ASOF,Z$72),MIN(MAX($I151,ASOF),Z$72+6),HOLIDAYS)))</f>
        <v>0</v>
      </c>
      <c r="AA151" s="289" t="n">
        <f aca="false">IF($L151=0,0,$L151*MAX(0,NETWORKDAYS(MAX($H151,ASOF,AA$72),MIN(MAX($I151,ASOF),AA$72+6),HOLIDAYS)))</f>
        <v>0</v>
      </c>
      <c r="AB151" s="289" t="n">
        <f aca="false">IF($L151=0,0,$L151*MAX(0,NETWORKDAYS(MAX($H151,ASOF,AB$72),MIN(MAX($I151,ASOF),AB$72+6),HOLIDAYS)))</f>
        <v>0</v>
      </c>
      <c r="AC151" s="289" t="n">
        <f aca="false">IF($L151=0,0,$L151*MAX(0,NETWORKDAYS(MAX($H151,ASOF,AC$72),MIN(MAX($I151,ASOF),AC$72+6),HOLIDAYS)))</f>
        <v>0</v>
      </c>
      <c r="AD151" s="289" t="n">
        <f aca="false">IF($L151=0,0,$L151*MAX(0,NETWORKDAYS(MAX($H151,ASOF,AD$72),MIN(MAX($I151,ASOF),AD$72+6),HOLIDAYS)))</f>
        <v>0</v>
      </c>
      <c r="AE151" s="289" t="n">
        <f aca="false">IF($L151=0,0,$L151*MAX(0,NETWORKDAYS(MAX($H151,ASOF,AE$72),MIN(MAX($I151,ASOF),AE$72+6),HOLIDAYS)))</f>
        <v>0</v>
      </c>
      <c r="AF151" s="289" t="n">
        <f aca="false">IF($L151=0,0,$L151*MAX(0,NETWORKDAYS(MAX($H151,ASOF,AF$72),MIN(MAX($I151,ASOF),AF$72+6),HOLIDAYS)))</f>
        <v>0</v>
      </c>
      <c r="AG151" s="289" t="n">
        <f aca="false">IF($L151=0,0,$L151*MAX(0,NETWORKDAYS(MAX($H151,ASOF,AG$72),MIN(MAX($I151,ASOF),AG$72+6),HOLIDAYS)))</f>
        <v>0</v>
      </c>
      <c r="AH151" s="289" t="n">
        <f aca="false">IF($L151=0,0,$L151*MAX(0,NETWORKDAYS(MAX($H151,ASOF,AH$72),MIN(MAX($I151,ASOF),AH$72+6),HOLIDAYS)))</f>
        <v>0</v>
      </c>
      <c r="AI151" s="289" t="n">
        <f aca="false">IF($L151=0,0,$L151*MAX(0,NETWORKDAYS(MAX($H151,ASOF,AI$72),MIN(MAX($I151,ASOF),AI$72+6),HOLIDAYS)))</f>
        <v>0</v>
      </c>
      <c r="AJ151" s="289" t="n">
        <f aca="false">IF($L151=0,0,$L151*MAX(0,NETWORKDAYS(MAX($H151,ASOF,AJ$72),MIN(MAX($I151,ASOF),AJ$72+6),HOLIDAYS)))</f>
        <v>0</v>
      </c>
      <c r="AK151" s="289" t="n">
        <f aca="false">IF($L151=0,0,$L151*MAX(0,NETWORKDAYS(MAX($H151,ASOF,AK$72),MIN(MAX($I151,ASOF),AK$72+6),HOLIDAYS)))</f>
        <v>0</v>
      </c>
      <c r="AL151" s="289" t="n">
        <f aca="false">IF($L151=0,0,$L151*MAX(0,NETWORKDAYS(MAX($H151,ASOF,AL$72),MIN(MAX($I151,ASOF),AL$72+6),HOLIDAYS)))</f>
        <v>0</v>
      </c>
      <c r="AM151" s="289" t="n">
        <f aca="false">IF($L151=0,0,$L151*MAX(0,NETWORKDAYS(MAX($H151,ASOF,AM$72),MIN(MAX($I151,ASOF),AM$72+6),HOLIDAYS)))</f>
        <v>0</v>
      </c>
      <c r="AN151" s="289" t="n">
        <f aca="false">IF($L151=0,0,$L151*MAX(0,NETWORKDAYS(MAX($H151,ASOF,AN$72),MIN(MAX($I151,ASOF),AN$72+6),HOLIDAYS)))</f>
        <v>0</v>
      </c>
      <c r="AO151" s="289" t="n">
        <f aca="false">IF($L151=0,0,$L151*MAX(0,NETWORKDAYS(MAX($H151,ASOF,AO$72),MIN(MAX($I151,ASOF),AO$72+6),HOLIDAYS)))</f>
        <v>0</v>
      </c>
      <c r="AP151" s="289" t="n">
        <f aca="false">IF($L151=0,0,$L151*MAX(0,NETWORKDAYS(MAX($H151,ASOF,AP$72),MIN(MAX($I151,ASOF),AP$72+6),HOLIDAYS)))</f>
        <v>0</v>
      </c>
      <c r="AQ151" s="289" t="n">
        <f aca="false">IF($L151=0,0,$L151*MAX(0,NETWORKDAYS(MAX($H151,ASOF,AQ$72),MIN(MAX($I151,ASOF),AQ$72+6),HOLIDAYS)))</f>
        <v>0</v>
      </c>
      <c r="AR151" s="289" t="n">
        <f aca="false">IF($L151=0,0,$L151*MAX(0,NETWORKDAYS(MAX($H151,ASOF,AR$72),MIN(MAX($I151,ASOF),AR$72+6),HOLIDAYS)))</f>
        <v>0</v>
      </c>
    </row>
    <row r="152" customFormat="false" ht="15" hidden="false" customHeight="false" outlineLevel="1" collapsed="false">
      <c r="A152" s="282" t="s">
        <v>66</v>
      </c>
      <c r="B152" s="283" t="s">
        <v>68</v>
      </c>
      <c r="C152" s="284" t="s">
        <v>2367</v>
      </c>
      <c r="D152" s="284" t="s">
        <v>2284</v>
      </c>
      <c r="E152" s="285" t="n">
        <v>1</v>
      </c>
      <c r="F152" s="290" t="s">
        <v>35</v>
      </c>
      <c r="G152" s="285" t="n">
        <f aca="false">$F$12*$H$12</f>
        <v>4</v>
      </c>
      <c r="H152" s="286" t="n">
        <f aca="false">IF(ISNUMBER('P9-007'!$N$96),'P9-007'!$N$96,"")</f>
        <v>46345</v>
      </c>
      <c r="I152" s="286" t="n">
        <f aca="false">IF(ISNUMBER('P9-007'!$O$96),'P9-007'!$O$96,"")</f>
        <v>46347</v>
      </c>
      <c r="J152" s="287" t="n">
        <f aca="false">IF(OR(H152="",I152="",N152&gt;=1),0,MAX(1,NETWORKDAYS(MAX(H152,ASOF),MAX(I152,ASOF),HOLIDAYS)))</f>
        <v>2</v>
      </c>
      <c r="K152" s="287" t="n">
        <f aca="false">IF(L152=0,0,ROUNDUP(L152/$F$12,0))</f>
        <v>1</v>
      </c>
      <c r="L152" s="285" t="n">
        <f aca="false">IF(J152=0,0,G152*(1-N152)/J152)</f>
        <v>2</v>
      </c>
      <c r="M152" s="283" t="s">
        <v>1147</v>
      </c>
      <c r="N152" s="288" t="n">
        <f aca="false">IFERROR(MIN(1,'P9-007'!$V$96)+0,0)</f>
        <v>0</v>
      </c>
      <c r="O152" s="289" t="n">
        <f aca="false">IF($L152=0,0,$L152*MAX(0,NETWORKDAYS(MAX($H152,ASOF,O$72),MIN(MAX($I152,ASOF),O$72+6),HOLIDAYS)))</f>
        <v>0</v>
      </c>
      <c r="P152" s="289" t="n">
        <f aca="false">IF($L152=0,0,$L152*MAX(0,NETWORKDAYS(MAX($H152,ASOF,P$72),MIN(MAX($I152,ASOF),P$72+6),HOLIDAYS)))</f>
        <v>0</v>
      </c>
      <c r="Q152" s="289" t="n">
        <f aca="false">IF($L152=0,0,$L152*MAX(0,NETWORKDAYS(MAX($H152,ASOF,Q$72),MIN(MAX($I152,ASOF),Q$72+6),HOLIDAYS)))</f>
        <v>4</v>
      </c>
      <c r="R152" s="289" t="n">
        <f aca="false">IF($L152=0,0,$L152*MAX(0,NETWORKDAYS(MAX($H152,ASOF,R$72),MIN(MAX($I152,ASOF),R$72+6),HOLIDAYS)))</f>
        <v>0</v>
      </c>
      <c r="S152" s="289" t="n">
        <f aca="false">IF($L152=0,0,$L152*MAX(0,NETWORKDAYS(MAX($H152,ASOF,S$72),MIN(MAX($I152,ASOF),S$72+6),HOLIDAYS)))</f>
        <v>0</v>
      </c>
      <c r="T152" s="289" t="n">
        <f aca="false">IF($L152=0,0,$L152*MAX(0,NETWORKDAYS(MAX($H152,ASOF,T$72),MIN(MAX($I152,ASOF),T$72+6),HOLIDAYS)))</f>
        <v>0</v>
      </c>
      <c r="U152" s="289" t="n">
        <f aca="false">IF($L152=0,0,$L152*MAX(0,NETWORKDAYS(MAX($H152,ASOF,U$72),MIN(MAX($I152,ASOF),U$72+6),HOLIDAYS)))</f>
        <v>0</v>
      </c>
      <c r="V152" s="289" t="n">
        <f aca="false">IF($L152=0,0,$L152*MAX(0,NETWORKDAYS(MAX($H152,ASOF,V$72),MIN(MAX($I152,ASOF),V$72+6),HOLIDAYS)))</f>
        <v>0</v>
      </c>
      <c r="W152" s="289" t="n">
        <f aca="false">IF($L152=0,0,$L152*MAX(0,NETWORKDAYS(MAX($H152,ASOF,W$72),MIN(MAX($I152,ASOF),W$72+6),HOLIDAYS)))</f>
        <v>0</v>
      </c>
      <c r="X152" s="289" t="n">
        <f aca="false">IF($L152=0,0,$L152*MAX(0,NETWORKDAYS(MAX($H152,ASOF,X$72),MIN(MAX($I152,ASOF),X$72+6),HOLIDAYS)))</f>
        <v>0</v>
      </c>
      <c r="Y152" s="289" t="n">
        <f aca="false">IF($L152=0,0,$L152*MAX(0,NETWORKDAYS(MAX($H152,ASOF,Y$72),MIN(MAX($I152,ASOF),Y$72+6),HOLIDAYS)))</f>
        <v>0</v>
      </c>
      <c r="Z152" s="289" t="n">
        <f aca="false">IF($L152=0,0,$L152*MAX(0,NETWORKDAYS(MAX($H152,ASOF,Z$72),MIN(MAX($I152,ASOF),Z$72+6),HOLIDAYS)))</f>
        <v>0</v>
      </c>
      <c r="AA152" s="289" t="n">
        <f aca="false">IF($L152=0,0,$L152*MAX(0,NETWORKDAYS(MAX($H152,ASOF,AA$72),MIN(MAX($I152,ASOF),AA$72+6),HOLIDAYS)))</f>
        <v>0</v>
      </c>
      <c r="AB152" s="289" t="n">
        <f aca="false">IF($L152=0,0,$L152*MAX(0,NETWORKDAYS(MAX($H152,ASOF,AB$72),MIN(MAX($I152,ASOF),AB$72+6),HOLIDAYS)))</f>
        <v>0</v>
      </c>
      <c r="AC152" s="289" t="n">
        <f aca="false">IF($L152=0,0,$L152*MAX(0,NETWORKDAYS(MAX($H152,ASOF,AC$72),MIN(MAX($I152,ASOF),AC$72+6),HOLIDAYS)))</f>
        <v>0</v>
      </c>
      <c r="AD152" s="289" t="n">
        <f aca="false">IF($L152=0,0,$L152*MAX(0,NETWORKDAYS(MAX($H152,ASOF,AD$72),MIN(MAX($I152,ASOF),AD$72+6),HOLIDAYS)))</f>
        <v>0</v>
      </c>
      <c r="AE152" s="289" t="n">
        <f aca="false">IF($L152=0,0,$L152*MAX(0,NETWORKDAYS(MAX($H152,ASOF,AE$72),MIN(MAX($I152,ASOF),AE$72+6),HOLIDAYS)))</f>
        <v>0</v>
      </c>
      <c r="AF152" s="289" t="n">
        <f aca="false">IF($L152=0,0,$L152*MAX(0,NETWORKDAYS(MAX($H152,ASOF,AF$72),MIN(MAX($I152,ASOF),AF$72+6),HOLIDAYS)))</f>
        <v>0</v>
      </c>
      <c r="AG152" s="289" t="n">
        <f aca="false">IF($L152=0,0,$L152*MAX(0,NETWORKDAYS(MAX($H152,ASOF,AG$72),MIN(MAX($I152,ASOF),AG$72+6),HOLIDAYS)))</f>
        <v>0</v>
      </c>
      <c r="AH152" s="289" t="n">
        <f aca="false">IF($L152=0,0,$L152*MAX(0,NETWORKDAYS(MAX($H152,ASOF,AH$72),MIN(MAX($I152,ASOF),AH$72+6),HOLIDAYS)))</f>
        <v>0</v>
      </c>
      <c r="AI152" s="289" t="n">
        <f aca="false">IF($L152=0,0,$L152*MAX(0,NETWORKDAYS(MAX($H152,ASOF,AI$72),MIN(MAX($I152,ASOF),AI$72+6),HOLIDAYS)))</f>
        <v>0</v>
      </c>
      <c r="AJ152" s="289" t="n">
        <f aca="false">IF($L152=0,0,$L152*MAX(0,NETWORKDAYS(MAX($H152,ASOF,AJ$72),MIN(MAX($I152,ASOF),AJ$72+6),HOLIDAYS)))</f>
        <v>0</v>
      </c>
      <c r="AK152" s="289" t="n">
        <f aca="false">IF($L152=0,0,$L152*MAX(0,NETWORKDAYS(MAX($H152,ASOF,AK$72),MIN(MAX($I152,ASOF),AK$72+6),HOLIDAYS)))</f>
        <v>0</v>
      </c>
      <c r="AL152" s="289" t="n">
        <f aca="false">IF($L152=0,0,$L152*MAX(0,NETWORKDAYS(MAX($H152,ASOF,AL$72),MIN(MAX($I152,ASOF),AL$72+6),HOLIDAYS)))</f>
        <v>0</v>
      </c>
      <c r="AM152" s="289" t="n">
        <f aca="false">IF($L152=0,0,$L152*MAX(0,NETWORKDAYS(MAX($H152,ASOF,AM$72),MIN(MAX($I152,ASOF),AM$72+6),HOLIDAYS)))</f>
        <v>0</v>
      </c>
      <c r="AN152" s="289" t="n">
        <f aca="false">IF($L152=0,0,$L152*MAX(0,NETWORKDAYS(MAX($H152,ASOF,AN$72),MIN(MAX($I152,ASOF),AN$72+6),HOLIDAYS)))</f>
        <v>0</v>
      </c>
      <c r="AO152" s="289" t="n">
        <f aca="false">IF($L152=0,0,$L152*MAX(0,NETWORKDAYS(MAX($H152,ASOF,AO$72),MIN(MAX($I152,ASOF),AO$72+6),HOLIDAYS)))</f>
        <v>0</v>
      </c>
      <c r="AP152" s="289" t="n">
        <f aca="false">IF($L152=0,0,$L152*MAX(0,NETWORKDAYS(MAX($H152,ASOF,AP$72),MIN(MAX($I152,ASOF),AP$72+6),HOLIDAYS)))</f>
        <v>0</v>
      </c>
      <c r="AQ152" s="289" t="n">
        <f aca="false">IF($L152=0,0,$L152*MAX(0,NETWORKDAYS(MAX($H152,ASOF,AQ$72),MIN(MAX($I152,ASOF),AQ$72+6),HOLIDAYS)))</f>
        <v>0</v>
      </c>
      <c r="AR152" s="289" t="n">
        <f aca="false">IF($L152=0,0,$L152*MAX(0,NETWORKDAYS(MAX($H152,ASOF,AR$72),MIN(MAX($I152,ASOF),AR$72+6),HOLIDAYS)))</f>
        <v>0</v>
      </c>
    </row>
    <row r="153" customFormat="false" ht="15" hidden="false" customHeight="false" outlineLevel="1" collapsed="false">
      <c r="A153" s="282" t="s">
        <v>66</v>
      </c>
      <c r="B153" s="283" t="s">
        <v>68</v>
      </c>
      <c r="C153" s="284" t="s">
        <v>2371</v>
      </c>
      <c r="D153" s="284" t="s">
        <v>2284</v>
      </c>
      <c r="E153" s="285" t="n">
        <v>1</v>
      </c>
      <c r="F153" s="290" t="s">
        <v>35</v>
      </c>
      <c r="G153" s="285" t="n">
        <f aca="false">$F$14*$H$14</f>
        <v>3</v>
      </c>
      <c r="H153" s="286" t="n">
        <f aca="false">IF(ISNUMBER('P9-007'!$N$100),'P9-007'!$N$100,"")</f>
        <v>46346</v>
      </c>
      <c r="I153" s="286" t="n">
        <f aca="false">IF(ISNUMBER('P9-007'!$O$100),'P9-007'!$O$100,"")</f>
        <v>46348</v>
      </c>
      <c r="J153" s="287" t="n">
        <f aca="false">IF(OR(H153="",I153="",N153&gt;=1),0,MAX(1,NETWORKDAYS(MAX(H153,ASOF),MAX(I153,ASOF),HOLIDAYS)))</f>
        <v>1</v>
      </c>
      <c r="K153" s="287" t="n">
        <f aca="false">IF(L153=0,0,ROUNDUP(L153/$F$14,0))</f>
        <v>2</v>
      </c>
      <c r="L153" s="285" t="n">
        <f aca="false">IF(J153=0,0,G153*(1-N153)/J153)</f>
        <v>3</v>
      </c>
      <c r="M153" s="283" t="s">
        <v>2304</v>
      </c>
      <c r="N153" s="288" t="n">
        <f aca="false">IFERROR(MIN(1,'P9-007'!$V$100)+0,0)</f>
        <v>0</v>
      </c>
      <c r="O153" s="289" t="n">
        <f aca="false">IF($L153=0,0,$L153*MAX(0,NETWORKDAYS(MAX($H153,ASOF,O$72),MIN(MAX($I153,ASOF),O$72+6),HOLIDAYS)))</f>
        <v>0</v>
      </c>
      <c r="P153" s="289" t="n">
        <f aca="false">IF($L153=0,0,$L153*MAX(0,NETWORKDAYS(MAX($H153,ASOF,P$72),MIN(MAX($I153,ASOF),P$72+6),HOLIDAYS)))</f>
        <v>0</v>
      </c>
      <c r="Q153" s="289" t="n">
        <f aca="false">IF($L153=0,0,$L153*MAX(0,NETWORKDAYS(MAX($H153,ASOF,Q$72),MIN(MAX($I153,ASOF),Q$72+6),HOLIDAYS)))</f>
        <v>3</v>
      </c>
      <c r="R153" s="289" t="n">
        <f aca="false">IF($L153=0,0,$L153*MAX(0,NETWORKDAYS(MAX($H153,ASOF,R$72),MIN(MAX($I153,ASOF),R$72+6),HOLIDAYS)))</f>
        <v>0</v>
      </c>
      <c r="S153" s="289" t="n">
        <f aca="false">IF($L153=0,0,$L153*MAX(0,NETWORKDAYS(MAX($H153,ASOF,S$72),MIN(MAX($I153,ASOF),S$72+6),HOLIDAYS)))</f>
        <v>0</v>
      </c>
      <c r="T153" s="289" t="n">
        <f aca="false">IF($L153=0,0,$L153*MAX(0,NETWORKDAYS(MAX($H153,ASOF,T$72),MIN(MAX($I153,ASOF),T$72+6),HOLIDAYS)))</f>
        <v>0</v>
      </c>
      <c r="U153" s="289" t="n">
        <f aca="false">IF($L153=0,0,$L153*MAX(0,NETWORKDAYS(MAX($H153,ASOF,U$72),MIN(MAX($I153,ASOF),U$72+6),HOLIDAYS)))</f>
        <v>0</v>
      </c>
      <c r="V153" s="289" t="n">
        <f aca="false">IF($L153=0,0,$L153*MAX(0,NETWORKDAYS(MAX($H153,ASOF,V$72),MIN(MAX($I153,ASOF),V$72+6),HOLIDAYS)))</f>
        <v>0</v>
      </c>
      <c r="W153" s="289" t="n">
        <f aca="false">IF($L153=0,0,$L153*MAX(0,NETWORKDAYS(MAX($H153,ASOF,W$72),MIN(MAX($I153,ASOF),W$72+6),HOLIDAYS)))</f>
        <v>0</v>
      </c>
      <c r="X153" s="289" t="n">
        <f aca="false">IF($L153=0,0,$L153*MAX(0,NETWORKDAYS(MAX($H153,ASOF,X$72),MIN(MAX($I153,ASOF),X$72+6),HOLIDAYS)))</f>
        <v>0</v>
      </c>
      <c r="Y153" s="289" t="n">
        <f aca="false">IF($L153=0,0,$L153*MAX(0,NETWORKDAYS(MAX($H153,ASOF,Y$72),MIN(MAX($I153,ASOF),Y$72+6),HOLIDAYS)))</f>
        <v>0</v>
      </c>
      <c r="Z153" s="289" t="n">
        <f aca="false">IF($L153=0,0,$L153*MAX(0,NETWORKDAYS(MAX($H153,ASOF,Z$72),MIN(MAX($I153,ASOF),Z$72+6),HOLIDAYS)))</f>
        <v>0</v>
      </c>
      <c r="AA153" s="289" t="n">
        <f aca="false">IF($L153=0,0,$L153*MAX(0,NETWORKDAYS(MAX($H153,ASOF,AA$72),MIN(MAX($I153,ASOF),AA$72+6),HOLIDAYS)))</f>
        <v>0</v>
      </c>
      <c r="AB153" s="289" t="n">
        <f aca="false">IF($L153=0,0,$L153*MAX(0,NETWORKDAYS(MAX($H153,ASOF,AB$72),MIN(MAX($I153,ASOF),AB$72+6),HOLIDAYS)))</f>
        <v>0</v>
      </c>
      <c r="AC153" s="289" t="n">
        <f aca="false">IF($L153=0,0,$L153*MAX(0,NETWORKDAYS(MAX($H153,ASOF,AC$72),MIN(MAX($I153,ASOF),AC$72+6),HOLIDAYS)))</f>
        <v>0</v>
      </c>
      <c r="AD153" s="289" t="n">
        <f aca="false">IF($L153=0,0,$L153*MAX(0,NETWORKDAYS(MAX($H153,ASOF,AD$72),MIN(MAX($I153,ASOF),AD$72+6),HOLIDAYS)))</f>
        <v>0</v>
      </c>
      <c r="AE153" s="289" t="n">
        <f aca="false">IF($L153=0,0,$L153*MAX(0,NETWORKDAYS(MAX($H153,ASOF,AE$72),MIN(MAX($I153,ASOF),AE$72+6),HOLIDAYS)))</f>
        <v>0</v>
      </c>
      <c r="AF153" s="289" t="n">
        <f aca="false">IF($L153=0,0,$L153*MAX(0,NETWORKDAYS(MAX($H153,ASOF,AF$72),MIN(MAX($I153,ASOF),AF$72+6),HOLIDAYS)))</f>
        <v>0</v>
      </c>
      <c r="AG153" s="289" t="n">
        <f aca="false">IF($L153=0,0,$L153*MAX(0,NETWORKDAYS(MAX($H153,ASOF,AG$72),MIN(MAX($I153,ASOF),AG$72+6),HOLIDAYS)))</f>
        <v>0</v>
      </c>
      <c r="AH153" s="289" t="n">
        <f aca="false">IF($L153=0,0,$L153*MAX(0,NETWORKDAYS(MAX($H153,ASOF,AH$72),MIN(MAX($I153,ASOF),AH$72+6),HOLIDAYS)))</f>
        <v>0</v>
      </c>
      <c r="AI153" s="289" t="n">
        <f aca="false">IF($L153=0,0,$L153*MAX(0,NETWORKDAYS(MAX($H153,ASOF,AI$72),MIN(MAX($I153,ASOF),AI$72+6),HOLIDAYS)))</f>
        <v>0</v>
      </c>
      <c r="AJ153" s="289" t="n">
        <f aca="false">IF($L153=0,0,$L153*MAX(0,NETWORKDAYS(MAX($H153,ASOF,AJ$72),MIN(MAX($I153,ASOF),AJ$72+6),HOLIDAYS)))</f>
        <v>0</v>
      </c>
      <c r="AK153" s="289" t="n">
        <f aca="false">IF($L153=0,0,$L153*MAX(0,NETWORKDAYS(MAX($H153,ASOF,AK$72),MIN(MAX($I153,ASOF),AK$72+6),HOLIDAYS)))</f>
        <v>0</v>
      </c>
      <c r="AL153" s="289" t="n">
        <f aca="false">IF($L153=0,0,$L153*MAX(0,NETWORKDAYS(MAX($H153,ASOF,AL$72),MIN(MAX($I153,ASOF),AL$72+6),HOLIDAYS)))</f>
        <v>0</v>
      </c>
      <c r="AM153" s="289" t="n">
        <f aca="false">IF($L153=0,0,$L153*MAX(0,NETWORKDAYS(MAX($H153,ASOF,AM$72),MIN(MAX($I153,ASOF),AM$72+6),HOLIDAYS)))</f>
        <v>0</v>
      </c>
      <c r="AN153" s="289" t="n">
        <f aca="false">IF($L153=0,0,$L153*MAX(0,NETWORKDAYS(MAX($H153,ASOF,AN$72),MIN(MAX($I153,ASOF),AN$72+6),HOLIDAYS)))</f>
        <v>0</v>
      </c>
      <c r="AO153" s="289" t="n">
        <f aca="false">IF($L153=0,0,$L153*MAX(0,NETWORKDAYS(MAX($H153,ASOF,AO$72),MIN(MAX($I153,ASOF),AO$72+6),HOLIDAYS)))</f>
        <v>0</v>
      </c>
      <c r="AP153" s="289" t="n">
        <f aca="false">IF($L153=0,0,$L153*MAX(0,NETWORKDAYS(MAX($H153,ASOF,AP$72),MIN(MAX($I153,ASOF),AP$72+6),HOLIDAYS)))</f>
        <v>0</v>
      </c>
      <c r="AQ153" s="289" t="n">
        <f aca="false">IF($L153=0,0,$L153*MAX(0,NETWORKDAYS(MAX($H153,ASOF,AQ$72),MIN(MAX($I153,ASOF),AQ$72+6),HOLIDAYS)))</f>
        <v>0</v>
      </c>
      <c r="AR153" s="289" t="n">
        <f aca="false">IF($L153=0,0,$L153*MAX(0,NETWORKDAYS(MAX($H153,ASOF,AR$72),MIN(MAX($I153,ASOF),AR$72+6),HOLIDAYS)))</f>
        <v>0</v>
      </c>
    </row>
    <row r="154" customFormat="false" ht="15" hidden="false" customHeight="false" outlineLevel="1" collapsed="false">
      <c r="A154" s="282" t="s">
        <v>66</v>
      </c>
      <c r="B154" s="283" t="s">
        <v>68</v>
      </c>
      <c r="C154" s="282" t="s">
        <v>1198</v>
      </c>
      <c r="D154" s="284" t="s">
        <v>2284</v>
      </c>
      <c r="E154" s="285" t="n">
        <v>1</v>
      </c>
      <c r="F154" s="290" t="s">
        <v>35</v>
      </c>
      <c r="G154" s="285" t="n">
        <f aca="false">$F$15*$H$15</f>
        <v>2</v>
      </c>
      <c r="H154" s="286" t="n">
        <f aca="false">IF(ISNUMBER('P9-007'!$N$107),'P9-007'!$N$107,"")</f>
        <v>46347</v>
      </c>
      <c r="I154" s="286" t="n">
        <f aca="false">IF(ISNUMBER('P9-007'!$O$107),'P9-007'!$O$107,"")</f>
        <v>46348</v>
      </c>
      <c r="J154" s="287" t="n">
        <f aca="false">IF(OR(H154="",I154="",N154&gt;=1),0,MAX(1,NETWORKDAYS(MAX(H154,ASOF),MAX(I154,ASOF),HOLIDAYS)))</f>
        <v>1</v>
      </c>
      <c r="K154" s="287" t="n">
        <f aca="false">IF(L154=0,0,ROUNDUP(L154/$F$15,0))</f>
        <v>1</v>
      </c>
      <c r="L154" s="285" t="n">
        <f aca="false">IF(J154=0,0,G154*(1-N154)/J154)</f>
        <v>2</v>
      </c>
      <c r="M154" s="283" t="s">
        <v>1192</v>
      </c>
      <c r="N154" s="288" t="n">
        <f aca="false">IFERROR(MIN(1,'P9-007'!$V$107)+0,0)</f>
        <v>0</v>
      </c>
      <c r="O154" s="289" t="n">
        <f aca="false">IF($L154=0,0,$L154*MAX(0,NETWORKDAYS(MAX($H154,ASOF,O$72),MIN(MAX($I154,ASOF),O$72+6),HOLIDAYS)))</f>
        <v>0</v>
      </c>
      <c r="P154" s="289" t="n">
        <f aca="false">IF($L154=0,0,$L154*MAX(0,NETWORKDAYS(MAX($H154,ASOF,P$72),MIN(MAX($I154,ASOF),P$72+6),HOLIDAYS)))</f>
        <v>0</v>
      </c>
      <c r="Q154" s="289" t="n">
        <f aca="false">IF($L154=0,0,$L154*MAX(0,NETWORKDAYS(MAX($H154,ASOF,Q$72),MIN(MAX($I154,ASOF),Q$72+6),HOLIDAYS)))</f>
        <v>0</v>
      </c>
      <c r="R154" s="289" t="n">
        <f aca="false">IF($L154=0,0,$L154*MAX(0,NETWORKDAYS(MAX($H154,ASOF,R$72),MIN(MAX($I154,ASOF),R$72+6),HOLIDAYS)))</f>
        <v>0</v>
      </c>
      <c r="S154" s="289" t="n">
        <f aca="false">IF($L154=0,0,$L154*MAX(0,NETWORKDAYS(MAX($H154,ASOF,S$72),MIN(MAX($I154,ASOF),S$72+6),HOLIDAYS)))</f>
        <v>0</v>
      </c>
      <c r="T154" s="289" t="n">
        <f aca="false">IF($L154=0,0,$L154*MAX(0,NETWORKDAYS(MAX($H154,ASOF,T$72),MIN(MAX($I154,ASOF),T$72+6),HOLIDAYS)))</f>
        <v>0</v>
      </c>
      <c r="U154" s="289" t="n">
        <f aca="false">IF($L154=0,0,$L154*MAX(0,NETWORKDAYS(MAX($H154,ASOF,U$72),MIN(MAX($I154,ASOF),U$72+6),HOLIDAYS)))</f>
        <v>0</v>
      </c>
      <c r="V154" s="289" t="n">
        <f aca="false">IF($L154=0,0,$L154*MAX(0,NETWORKDAYS(MAX($H154,ASOF,V$72),MIN(MAX($I154,ASOF),V$72+6),HOLIDAYS)))</f>
        <v>0</v>
      </c>
      <c r="W154" s="289" t="n">
        <f aca="false">IF($L154=0,0,$L154*MAX(0,NETWORKDAYS(MAX($H154,ASOF,W$72),MIN(MAX($I154,ASOF),W$72+6),HOLIDAYS)))</f>
        <v>0</v>
      </c>
      <c r="X154" s="289" t="n">
        <f aca="false">IF($L154=0,0,$L154*MAX(0,NETWORKDAYS(MAX($H154,ASOF,X$72),MIN(MAX($I154,ASOF),X$72+6),HOLIDAYS)))</f>
        <v>0</v>
      </c>
      <c r="Y154" s="289" t="n">
        <f aca="false">IF($L154=0,0,$L154*MAX(0,NETWORKDAYS(MAX($H154,ASOF,Y$72),MIN(MAX($I154,ASOF),Y$72+6),HOLIDAYS)))</f>
        <v>0</v>
      </c>
      <c r="Z154" s="289" t="n">
        <f aca="false">IF($L154=0,0,$L154*MAX(0,NETWORKDAYS(MAX($H154,ASOF,Z$72),MIN(MAX($I154,ASOF),Z$72+6),HOLIDAYS)))</f>
        <v>0</v>
      </c>
      <c r="AA154" s="289" t="n">
        <f aca="false">IF($L154=0,0,$L154*MAX(0,NETWORKDAYS(MAX($H154,ASOF,AA$72),MIN(MAX($I154,ASOF),AA$72+6),HOLIDAYS)))</f>
        <v>0</v>
      </c>
      <c r="AB154" s="289" t="n">
        <f aca="false">IF($L154=0,0,$L154*MAX(0,NETWORKDAYS(MAX($H154,ASOF,AB$72),MIN(MAX($I154,ASOF),AB$72+6),HOLIDAYS)))</f>
        <v>0</v>
      </c>
      <c r="AC154" s="289" t="n">
        <f aca="false">IF($L154=0,0,$L154*MAX(0,NETWORKDAYS(MAX($H154,ASOF,AC$72),MIN(MAX($I154,ASOF),AC$72+6),HOLIDAYS)))</f>
        <v>0</v>
      </c>
      <c r="AD154" s="289" t="n">
        <f aca="false">IF($L154=0,0,$L154*MAX(0,NETWORKDAYS(MAX($H154,ASOF,AD$72),MIN(MAX($I154,ASOF),AD$72+6),HOLIDAYS)))</f>
        <v>0</v>
      </c>
      <c r="AE154" s="289" t="n">
        <f aca="false">IF($L154=0,0,$L154*MAX(0,NETWORKDAYS(MAX($H154,ASOF,AE$72),MIN(MAX($I154,ASOF),AE$72+6),HOLIDAYS)))</f>
        <v>0</v>
      </c>
      <c r="AF154" s="289" t="n">
        <f aca="false">IF($L154=0,0,$L154*MAX(0,NETWORKDAYS(MAX($H154,ASOF,AF$72),MIN(MAX($I154,ASOF),AF$72+6),HOLIDAYS)))</f>
        <v>0</v>
      </c>
      <c r="AG154" s="289" t="n">
        <f aca="false">IF($L154=0,0,$L154*MAX(0,NETWORKDAYS(MAX($H154,ASOF,AG$72),MIN(MAX($I154,ASOF),AG$72+6),HOLIDAYS)))</f>
        <v>0</v>
      </c>
      <c r="AH154" s="289" t="n">
        <f aca="false">IF($L154=0,0,$L154*MAX(0,NETWORKDAYS(MAX($H154,ASOF,AH$72),MIN(MAX($I154,ASOF),AH$72+6),HOLIDAYS)))</f>
        <v>0</v>
      </c>
      <c r="AI154" s="289" t="n">
        <f aca="false">IF($L154=0,0,$L154*MAX(0,NETWORKDAYS(MAX($H154,ASOF,AI$72),MIN(MAX($I154,ASOF),AI$72+6),HOLIDAYS)))</f>
        <v>0</v>
      </c>
      <c r="AJ154" s="289" t="n">
        <f aca="false">IF($L154=0,0,$L154*MAX(0,NETWORKDAYS(MAX($H154,ASOF,AJ$72),MIN(MAX($I154,ASOF),AJ$72+6),HOLIDAYS)))</f>
        <v>0</v>
      </c>
      <c r="AK154" s="289" t="n">
        <f aca="false">IF($L154=0,0,$L154*MAX(0,NETWORKDAYS(MAX($H154,ASOF,AK$72),MIN(MAX($I154,ASOF),AK$72+6),HOLIDAYS)))</f>
        <v>0</v>
      </c>
      <c r="AL154" s="289" t="n">
        <f aca="false">IF($L154=0,0,$L154*MAX(0,NETWORKDAYS(MAX($H154,ASOF,AL$72),MIN(MAX($I154,ASOF),AL$72+6),HOLIDAYS)))</f>
        <v>0</v>
      </c>
      <c r="AM154" s="289" t="n">
        <f aca="false">IF($L154=0,0,$L154*MAX(0,NETWORKDAYS(MAX($H154,ASOF,AM$72),MIN(MAX($I154,ASOF),AM$72+6),HOLIDAYS)))</f>
        <v>0</v>
      </c>
      <c r="AN154" s="289" t="n">
        <f aca="false">IF($L154=0,0,$L154*MAX(0,NETWORKDAYS(MAX($H154,ASOF,AN$72),MIN(MAX($I154,ASOF),AN$72+6),HOLIDAYS)))</f>
        <v>0</v>
      </c>
      <c r="AO154" s="289" t="n">
        <f aca="false">IF($L154=0,0,$L154*MAX(0,NETWORKDAYS(MAX($H154,ASOF,AO$72),MIN(MAX($I154,ASOF),AO$72+6),HOLIDAYS)))</f>
        <v>0</v>
      </c>
      <c r="AP154" s="289" t="n">
        <f aca="false">IF($L154=0,0,$L154*MAX(0,NETWORKDAYS(MAX($H154,ASOF,AP$72),MIN(MAX($I154,ASOF),AP$72+6),HOLIDAYS)))</f>
        <v>0</v>
      </c>
      <c r="AQ154" s="289" t="n">
        <f aca="false">IF($L154=0,0,$L154*MAX(0,NETWORKDAYS(MAX($H154,ASOF,AQ$72),MIN(MAX($I154,ASOF),AQ$72+6),HOLIDAYS)))</f>
        <v>0</v>
      </c>
      <c r="AR154" s="289" t="n">
        <f aca="false">IF($L154=0,0,$L154*MAX(0,NETWORKDAYS(MAX($H154,ASOF,AR$72),MIN(MAX($I154,ASOF),AR$72+6),HOLIDAYS)))</f>
        <v>0</v>
      </c>
    </row>
    <row r="155" customFormat="false" ht="15" hidden="false" customHeight="false" outlineLevel="1" collapsed="false">
      <c r="A155" s="282" t="s">
        <v>66</v>
      </c>
      <c r="B155" s="283" t="s">
        <v>68</v>
      </c>
      <c r="C155" s="284" t="s">
        <v>2369</v>
      </c>
      <c r="D155" s="284" t="s">
        <v>2308</v>
      </c>
      <c r="E155" s="285" t="n">
        <v>150.48</v>
      </c>
      <c r="F155" s="283" t="s">
        <v>527</v>
      </c>
      <c r="G155" s="285" t="n">
        <f aca="false">$F$16*(E155/$G$16+$H$16)</f>
        <v>10.5144</v>
      </c>
      <c r="H155" s="286" t="n">
        <f aca="false">IF(ISNUMBER('P9-007'!$N$115),'P9-007'!$N$115,"")</f>
        <v>46359</v>
      </c>
      <c r="I155" s="286" t="n">
        <f aca="false">IF(ISNUMBER('P9-007'!$O$115),'P9-007'!$O$115,"")</f>
        <v>46359</v>
      </c>
      <c r="J155" s="287" t="n">
        <f aca="false">IF(OR(H155="",I155="",N155&gt;=1),0,MAX(1,NETWORKDAYS(MAX(H155,ASOF),MAX(I155,ASOF),HOLIDAYS)))</f>
        <v>1</v>
      </c>
      <c r="K155" s="287" t="n">
        <f aca="false">IF(L155=0,0,ROUNDUP(L155/$F$16,0))</f>
        <v>4</v>
      </c>
      <c r="L155" s="285" t="n">
        <f aca="false">IF(J155=0,0,G155*(1-N155)/J155)</f>
        <v>10.5144</v>
      </c>
      <c r="M155" s="283" t="s">
        <v>1205</v>
      </c>
      <c r="N155" s="288" t="n">
        <f aca="false">IFERROR(MIN(1,'P9-007'!$V$115)+0,0)</f>
        <v>0</v>
      </c>
      <c r="O155" s="289" t="n">
        <f aca="false">IF($L155=0,0,$L155*MAX(0,NETWORKDAYS(MAX($H155,ASOF,O$72),MIN(MAX($I155,ASOF),O$72+6),HOLIDAYS)))</f>
        <v>0</v>
      </c>
      <c r="P155" s="289" t="n">
        <f aca="false">IF($L155=0,0,$L155*MAX(0,NETWORKDAYS(MAX($H155,ASOF,P$72),MIN(MAX($I155,ASOF),P$72+6),HOLIDAYS)))</f>
        <v>0</v>
      </c>
      <c r="Q155" s="289" t="n">
        <f aca="false">IF($L155=0,0,$L155*MAX(0,NETWORKDAYS(MAX($H155,ASOF,Q$72),MIN(MAX($I155,ASOF),Q$72+6),HOLIDAYS)))</f>
        <v>0</v>
      </c>
      <c r="R155" s="289" t="n">
        <f aca="false">IF($L155=0,0,$L155*MAX(0,NETWORKDAYS(MAX($H155,ASOF,R$72),MIN(MAX($I155,ASOF),R$72+6),HOLIDAYS)))</f>
        <v>0</v>
      </c>
      <c r="S155" s="289" t="n">
        <f aca="false">IF($L155=0,0,$L155*MAX(0,NETWORKDAYS(MAX($H155,ASOF,S$72),MIN(MAX($I155,ASOF),S$72+6),HOLIDAYS)))</f>
        <v>10.5144</v>
      </c>
      <c r="T155" s="289" t="n">
        <f aca="false">IF($L155=0,0,$L155*MAX(0,NETWORKDAYS(MAX($H155,ASOF,T$72),MIN(MAX($I155,ASOF),T$72+6),HOLIDAYS)))</f>
        <v>0</v>
      </c>
      <c r="U155" s="289" t="n">
        <f aca="false">IF($L155=0,0,$L155*MAX(0,NETWORKDAYS(MAX($H155,ASOF,U$72),MIN(MAX($I155,ASOF),U$72+6),HOLIDAYS)))</f>
        <v>0</v>
      </c>
      <c r="V155" s="289" t="n">
        <f aca="false">IF($L155=0,0,$L155*MAX(0,NETWORKDAYS(MAX($H155,ASOF,V$72),MIN(MAX($I155,ASOF),V$72+6),HOLIDAYS)))</f>
        <v>0</v>
      </c>
      <c r="W155" s="289" t="n">
        <f aca="false">IF($L155=0,0,$L155*MAX(0,NETWORKDAYS(MAX($H155,ASOF,W$72),MIN(MAX($I155,ASOF),W$72+6),HOLIDAYS)))</f>
        <v>0</v>
      </c>
      <c r="X155" s="289" t="n">
        <f aca="false">IF($L155=0,0,$L155*MAX(0,NETWORKDAYS(MAX($H155,ASOF,X$72),MIN(MAX($I155,ASOF),X$72+6),HOLIDAYS)))</f>
        <v>0</v>
      </c>
      <c r="Y155" s="289" t="n">
        <f aca="false">IF($L155=0,0,$L155*MAX(0,NETWORKDAYS(MAX($H155,ASOF,Y$72),MIN(MAX($I155,ASOF),Y$72+6),HOLIDAYS)))</f>
        <v>0</v>
      </c>
      <c r="Z155" s="289" t="n">
        <f aca="false">IF($L155=0,0,$L155*MAX(0,NETWORKDAYS(MAX($H155,ASOF,Z$72),MIN(MAX($I155,ASOF),Z$72+6),HOLIDAYS)))</f>
        <v>0</v>
      </c>
      <c r="AA155" s="289" t="n">
        <f aca="false">IF($L155=0,0,$L155*MAX(0,NETWORKDAYS(MAX($H155,ASOF,AA$72),MIN(MAX($I155,ASOF),AA$72+6),HOLIDAYS)))</f>
        <v>0</v>
      </c>
      <c r="AB155" s="289" t="n">
        <f aca="false">IF($L155=0,0,$L155*MAX(0,NETWORKDAYS(MAX($H155,ASOF,AB$72),MIN(MAX($I155,ASOF),AB$72+6),HOLIDAYS)))</f>
        <v>0</v>
      </c>
      <c r="AC155" s="289" t="n">
        <f aca="false">IF($L155=0,0,$L155*MAX(0,NETWORKDAYS(MAX($H155,ASOF,AC$72),MIN(MAX($I155,ASOF),AC$72+6),HOLIDAYS)))</f>
        <v>0</v>
      </c>
      <c r="AD155" s="289" t="n">
        <f aca="false">IF($L155=0,0,$L155*MAX(0,NETWORKDAYS(MAX($H155,ASOF,AD$72),MIN(MAX($I155,ASOF),AD$72+6),HOLIDAYS)))</f>
        <v>0</v>
      </c>
      <c r="AE155" s="289" t="n">
        <f aca="false">IF($L155=0,0,$L155*MAX(0,NETWORKDAYS(MAX($H155,ASOF,AE$72),MIN(MAX($I155,ASOF),AE$72+6),HOLIDAYS)))</f>
        <v>0</v>
      </c>
      <c r="AF155" s="289" t="n">
        <f aca="false">IF($L155=0,0,$L155*MAX(0,NETWORKDAYS(MAX($H155,ASOF,AF$72),MIN(MAX($I155,ASOF),AF$72+6),HOLIDAYS)))</f>
        <v>0</v>
      </c>
      <c r="AG155" s="289" t="n">
        <f aca="false">IF($L155=0,0,$L155*MAX(0,NETWORKDAYS(MAX($H155,ASOF,AG$72),MIN(MAX($I155,ASOF),AG$72+6),HOLIDAYS)))</f>
        <v>0</v>
      </c>
      <c r="AH155" s="289" t="n">
        <f aca="false">IF($L155=0,0,$L155*MAX(0,NETWORKDAYS(MAX($H155,ASOF,AH$72),MIN(MAX($I155,ASOF),AH$72+6),HOLIDAYS)))</f>
        <v>0</v>
      </c>
      <c r="AI155" s="289" t="n">
        <f aca="false">IF($L155=0,0,$L155*MAX(0,NETWORKDAYS(MAX($H155,ASOF,AI$72),MIN(MAX($I155,ASOF),AI$72+6),HOLIDAYS)))</f>
        <v>0</v>
      </c>
      <c r="AJ155" s="289" t="n">
        <f aca="false">IF($L155=0,0,$L155*MAX(0,NETWORKDAYS(MAX($H155,ASOF,AJ$72),MIN(MAX($I155,ASOF),AJ$72+6),HOLIDAYS)))</f>
        <v>0</v>
      </c>
      <c r="AK155" s="289" t="n">
        <f aca="false">IF($L155=0,0,$L155*MAX(0,NETWORKDAYS(MAX($H155,ASOF,AK$72),MIN(MAX($I155,ASOF),AK$72+6),HOLIDAYS)))</f>
        <v>0</v>
      </c>
      <c r="AL155" s="289" t="n">
        <f aca="false">IF($L155=0,0,$L155*MAX(0,NETWORKDAYS(MAX($H155,ASOF,AL$72),MIN(MAX($I155,ASOF),AL$72+6),HOLIDAYS)))</f>
        <v>0</v>
      </c>
      <c r="AM155" s="289" t="n">
        <f aca="false">IF($L155=0,0,$L155*MAX(0,NETWORKDAYS(MAX($H155,ASOF,AM$72),MIN(MAX($I155,ASOF),AM$72+6),HOLIDAYS)))</f>
        <v>0</v>
      </c>
      <c r="AN155" s="289" t="n">
        <f aca="false">IF($L155=0,0,$L155*MAX(0,NETWORKDAYS(MAX($H155,ASOF,AN$72),MIN(MAX($I155,ASOF),AN$72+6),HOLIDAYS)))</f>
        <v>0</v>
      </c>
      <c r="AO155" s="289" t="n">
        <f aca="false">IF($L155=0,0,$L155*MAX(0,NETWORKDAYS(MAX($H155,ASOF,AO$72),MIN(MAX($I155,ASOF),AO$72+6),HOLIDAYS)))</f>
        <v>0</v>
      </c>
      <c r="AP155" s="289" t="n">
        <f aca="false">IF($L155=0,0,$L155*MAX(0,NETWORKDAYS(MAX($H155,ASOF,AP$72),MIN(MAX($I155,ASOF),AP$72+6),HOLIDAYS)))</f>
        <v>0</v>
      </c>
      <c r="AQ155" s="289" t="n">
        <f aca="false">IF($L155=0,0,$L155*MAX(0,NETWORKDAYS(MAX($H155,ASOF,AQ$72),MIN(MAX($I155,ASOF),AQ$72+6),HOLIDAYS)))</f>
        <v>0</v>
      </c>
      <c r="AR155" s="289" t="n">
        <f aca="false">IF($L155=0,0,$L155*MAX(0,NETWORKDAYS(MAX($H155,ASOF,AR$72),MIN(MAX($I155,ASOF),AR$72+6),HOLIDAYS)))</f>
        <v>0</v>
      </c>
    </row>
    <row r="156" customFormat="false" ht="15" hidden="false" customHeight="false" outlineLevel="1" collapsed="false">
      <c r="A156" s="282" t="s">
        <v>66</v>
      </c>
      <c r="B156" s="283" t="s">
        <v>68</v>
      </c>
      <c r="C156" s="284" t="s">
        <v>2370</v>
      </c>
      <c r="D156" s="284" t="s">
        <v>2313</v>
      </c>
      <c r="E156" s="285" t="n">
        <v>1</v>
      </c>
      <c r="F156" s="290" t="s">
        <v>35</v>
      </c>
      <c r="G156" s="285" t="n">
        <f aca="false">SUM(O156:AR156)</f>
        <v>20</v>
      </c>
      <c r="H156" s="286" t="n">
        <f aca="false">IF(ISNUMBER('P9-007'!$N$62),'P9-007'!$N$62,"")</f>
        <v>46328</v>
      </c>
      <c r="I156" s="286" t="n">
        <f aca="false">IF(ISNUMBER('P9-007'!$O$115),'P9-007'!$O$115,"")</f>
        <v>46359</v>
      </c>
      <c r="J156" s="287"/>
      <c r="K156" s="287" t="n">
        <f aca="false">IF(G156&gt;0,$F$17,0)</f>
        <v>1</v>
      </c>
      <c r="L156" s="285" t="n">
        <v>0</v>
      </c>
      <c r="M156" s="290" t="s">
        <v>2310</v>
      </c>
      <c r="N156" s="288" t="str">
        <f aca="false">""</f>
        <v/>
      </c>
      <c r="O156" s="289" t="n">
        <f aca="false">IF(SUMIFS(O$73:O$312,$A$73:$A$312,"P9-007",$M$73:$M$312,"&lt;&gt;คุม")&gt;0,$F$17*NETWORKDAYS(O$72,O$72+6,HOLIDAYS),0)</f>
        <v>5</v>
      </c>
      <c r="P156" s="289" t="n">
        <f aca="false">IF(SUMIFS(P$73:P$312,$A$73:$A$312,"P9-007",$M$73:$M$312,"&lt;&gt;คุม")&gt;0,$F$17*NETWORKDAYS(P$72,P$72+6,HOLIDAYS),0)</f>
        <v>5</v>
      </c>
      <c r="Q156" s="289" t="n">
        <f aca="false">IF(SUMIFS(Q$73:Q$312,$A$73:$A$312,"P9-007",$M$73:$M$312,"&lt;&gt;คุม")&gt;0,$F$17*NETWORKDAYS(Q$72,Q$72+6,HOLIDAYS),0)</f>
        <v>5</v>
      </c>
      <c r="R156" s="289" t="n">
        <f aca="false">IF(SUMIFS(R$73:R$312,$A$73:$A$312,"P9-007",$M$73:$M$312,"&lt;&gt;คุม")&gt;0,$F$17*NETWORKDAYS(R$72,R$72+6,HOLIDAYS),0)</f>
        <v>0</v>
      </c>
      <c r="S156" s="289" t="n">
        <f aca="false">IF(SUMIFS(S$73:S$312,$A$73:$A$312,"P9-007",$M$73:$M$312,"&lt;&gt;คุม")&gt;0,$F$17*NETWORKDAYS(S$72,S$72+6,HOLIDAYS),0)</f>
        <v>5</v>
      </c>
      <c r="T156" s="289" t="n">
        <f aca="false">IF(SUMIFS(T$73:T$312,$A$73:$A$312,"P9-007",$M$73:$M$312,"&lt;&gt;คุม")&gt;0,$F$17*NETWORKDAYS(T$72,T$72+6,HOLIDAYS),0)</f>
        <v>0</v>
      </c>
      <c r="U156" s="289" t="n">
        <f aca="false">IF(SUMIFS(U$73:U$312,$A$73:$A$312,"P9-007",$M$73:$M$312,"&lt;&gt;คุม")&gt;0,$F$17*NETWORKDAYS(U$72,U$72+6,HOLIDAYS),0)</f>
        <v>0</v>
      </c>
      <c r="V156" s="289" t="n">
        <f aca="false">IF(SUMIFS(V$73:V$312,$A$73:$A$312,"P9-007",$M$73:$M$312,"&lt;&gt;คุม")&gt;0,$F$17*NETWORKDAYS(V$72,V$72+6,HOLIDAYS),0)</f>
        <v>0</v>
      </c>
      <c r="W156" s="289" t="n">
        <f aca="false">IF(SUMIFS(W$73:W$312,$A$73:$A$312,"P9-007",$M$73:$M$312,"&lt;&gt;คุม")&gt;0,$F$17*NETWORKDAYS(W$72,W$72+6,HOLIDAYS),0)</f>
        <v>0</v>
      </c>
      <c r="X156" s="289" t="n">
        <f aca="false">IF(SUMIFS(X$73:X$312,$A$73:$A$312,"P9-007",$M$73:$M$312,"&lt;&gt;คุม")&gt;0,$F$17*NETWORKDAYS(X$72,X$72+6,HOLIDAYS),0)</f>
        <v>0</v>
      </c>
      <c r="Y156" s="289" t="n">
        <f aca="false">IF(SUMIFS(Y$73:Y$312,$A$73:$A$312,"P9-007",$M$73:$M$312,"&lt;&gt;คุม")&gt;0,$F$17*NETWORKDAYS(Y$72,Y$72+6,HOLIDAYS),0)</f>
        <v>0</v>
      </c>
      <c r="Z156" s="289" t="n">
        <f aca="false">IF(SUMIFS(Z$73:Z$312,$A$73:$A$312,"P9-007",$M$73:$M$312,"&lt;&gt;คุม")&gt;0,$F$17*NETWORKDAYS(Z$72,Z$72+6,HOLIDAYS),0)</f>
        <v>0</v>
      </c>
      <c r="AA156" s="289" t="n">
        <f aca="false">IF(SUMIFS(AA$73:AA$312,$A$73:$A$312,"P9-007",$M$73:$M$312,"&lt;&gt;คุม")&gt;0,$F$17*NETWORKDAYS(AA$72,AA$72+6,HOLIDAYS),0)</f>
        <v>0</v>
      </c>
      <c r="AB156" s="289" t="n">
        <f aca="false">IF(SUMIFS(AB$73:AB$312,$A$73:$A$312,"P9-007",$M$73:$M$312,"&lt;&gt;คุม")&gt;0,$F$17*NETWORKDAYS(AB$72,AB$72+6,HOLIDAYS),0)</f>
        <v>0</v>
      </c>
      <c r="AC156" s="289" t="n">
        <f aca="false">IF(SUMIFS(AC$73:AC$312,$A$73:$A$312,"P9-007",$M$73:$M$312,"&lt;&gt;คุม")&gt;0,$F$17*NETWORKDAYS(AC$72,AC$72+6,HOLIDAYS),0)</f>
        <v>0</v>
      </c>
      <c r="AD156" s="289" t="n">
        <f aca="false">IF(SUMIFS(AD$73:AD$312,$A$73:$A$312,"P9-007",$M$73:$M$312,"&lt;&gt;คุม")&gt;0,$F$17*NETWORKDAYS(AD$72,AD$72+6,HOLIDAYS),0)</f>
        <v>0</v>
      </c>
      <c r="AE156" s="289" t="n">
        <f aca="false">IF(SUMIFS(AE$73:AE$312,$A$73:$A$312,"P9-007",$M$73:$M$312,"&lt;&gt;คุม")&gt;0,$F$17*NETWORKDAYS(AE$72,AE$72+6,HOLIDAYS),0)</f>
        <v>0</v>
      </c>
      <c r="AF156" s="289" t="n">
        <f aca="false">IF(SUMIFS(AF$73:AF$312,$A$73:$A$312,"P9-007",$M$73:$M$312,"&lt;&gt;คุม")&gt;0,$F$17*NETWORKDAYS(AF$72,AF$72+6,HOLIDAYS),0)</f>
        <v>0</v>
      </c>
      <c r="AG156" s="289" t="n">
        <f aca="false">IF(SUMIFS(AG$73:AG$312,$A$73:$A$312,"P9-007",$M$73:$M$312,"&lt;&gt;คุม")&gt;0,$F$17*NETWORKDAYS(AG$72,AG$72+6,HOLIDAYS),0)</f>
        <v>0</v>
      </c>
      <c r="AH156" s="289" t="n">
        <f aca="false">IF(SUMIFS(AH$73:AH$312,$A$73:$A$312,"P9-007",$M$73:$M$312,"&lt;&gt;คุม")&gt;0,$F$17*NETWORKDAYS(AH$72,AH$72+6,HOLIDAYS),0)</f>
        <v>0</v>
      </c>
      <c r="AI156" s="289" t="n">
        <f aca="false">IF(SUMIFS(AI$73:AI$312,$A$73:$A$312,"P9-007",$M$73:$M$312,"&lt;&gt;คุม")&gt;0,$F$17*NETWORKDAYS(AI$72,AI$72+6,HOLIDAYS),0)</f>
        <v>0</v>
      </c>
      <c r="AJ156" s="289" t="n">
        <f aca="false">IF(SUMIFS(AJ$73:AJ$312,$A$73:$A$312,"P9-007",$M$73:$M$312,"&lt;&gt;คุม")&gt;0,$F$17*NETWORKDAYS(AJ$72,AJ$72+6,HOLIDAYS),0)</f>
        <v>0</v>
      </c>
      <c r="AK156" s="289" t="n">
        <f aca="false">IF(SUMIFS(AK$73:AK$312,$A$73:$A$312,"P9-007",$M$73:$M$312,"&lt;&gt;คุม")&gt;0,$F$17*NETWORKDAYS(AK$72,AK$72+6,HOLIDAYS),0)</f>
        <v>0</v>
      </c>
      <c r="AL156" s="289" t="n">
        <f aca="false">IF(SUMIFS(AL$73:AL$312,$A$73:$A$312,"P9-007",$M$73:$M$312,"&lt;&gt;คุม")&gt;0,$F$17*NETWORKDAYS(AL$72,AL$72+6,HOLIDAYS),0)</f>
        <v>0</v>
      </c>
      <c r="AM156" s="289" t="n">
        <f aca="false">IF(SUMIFS(AM$73:AM$312,$A$73:$A$312,"P9-007",$M$73:$M$312,"&lt;&gt;คุม")&gt;0,$F$17*NETWORKDAYS(AM$72,AM$72+6,HOLIDAYS),0)</f>
        <v>0</v>
      </c>
      <c r="AN156" s="289" t="n">
        <f aca="false">IF(SUMIFS(AN$73:AN$312,$A$73:$A$312,"P9-007",$M$73:$M$312,"&lt;&gt;คุม")&gt;0,$F$17*NETWORKDAYS(AN$72,AN$72+6,HOLIDAYS),0)</f>
        <v>0</v>
      </c>
      <c r="AO156" s="289" t="n">
        <f aca="false">IF(SUMIFS(AO$73:AO$312,$A$73:$A$312,"P9-007",$M$73:$M$312,"&lt;&gt;คุม")&gt;0,$F$17*NETWORKDAYS(AO$72,AO$72+6,HOLIDAYS),0)</f>
        <v>0</v>
      </c>
      <c r="AP156" s="289" t="n">
        <f aca="false">IF(SUMIFS(AP$73:AP$312,$A$73:$A$312,"P9-007",$M$73:$M$312,"&lt;&gt;คุม")&gt;0,$F$17*NETWORKDAYS(AP$72,AP$72+6,HOLIDAYS),0)</f>
        <v>0</v>
      </c>
      <c r="AQ156" s="289" t="n">
        <f aca="false">IF(SUMIFS(AQ$73:AQ$312,$A$73:$A$312,"P9-007",$M$73:$M$312,"&lt;&gt;คุม")&gt;0,$F$17*NETWORKDAYS(AQ$72,AQ$72+6,HOLIDAYS),0)</f>
        <v>0</v>
      </c>
      <c r="AR156" s="289" t="n">
        <f aca="false">IF(SUMIFS(AR$73:AR$312,$A$73:$A$312,"P9-007",$M$73:$M$312,"&lt;&gt;คุม")&gt;0,$F$17*NETWORKDAYS(AR$72,AR$72+6,HOLIDAYS),0)</f>
        <v>0</v>
      </c>
    </row>
    <row r="157" customFormat="false" ht="15" hidden="false" customHeight="false" outlineLevel="1" collapsed="false">
      <c r="A157" s="282" t="s">
        <v>70</v>
      </c>
      <c r="B157" s="283" t="s">
        <v>72</v>
      </c>
      <c r="C157" s="284" t="s">
        <v>2358</v>
      </c>
      <c r="D157" s="284" t="s">
        <v>2280</v>
      </c>
      <c r="E157" s="285" t="n">
        <v>252.4</v>
      </c>
      <c r="F157" s="283" t="s">
        <v>2359</v>
      </c>
      <c r="G157" s="285" t="n">
        <f aca="false">$F$5*(E157/$G$5+$H$5)</f>
        <v>42.384</v>
      </c>
      <c r="H157" s="286" t="n">
        <f aca="false">IF(ISNUMBER('P9-008'!$N$62),'P9-008'!$N$62,"")</f>
        <v>46328</v>
      </c>
      <c r="I157" s="286" t="n">
        <f aca="false">IF(ISNUMBER('P9-008'!$O$62),'P9-008'!$O$62,"")</f>
        <v>46336</v>
      </c>
      <c r="J157" s="287" t="n">
        <f aca="false">IF(OR(H157="",I157="",N157&gt;=1),0,MAX(1,NETWORKDAYS(MAX(H157,ASOF),MAX(I157,ASOF),HOLIDAYS)))</f>
        <v>7</v>
      </c>
      <c r="K157" s="287" t="n">
        <f aca="false">IF(L157=0,0,ROUNDUP(L157/$F$5,0))</f>
        <v>2</v>
      </c>
      <c r="L157" s="285" t="n">
        <f aca="false">IF(J157=0,0,G157*(1-N157)/J157)</f>
        <v>6.05485714285714</v>
      </c>
      <c r="M157" s="283" t="s">
        <v>872</v>
      </c>
      <c r="N157" s="288" t="n">
        <f aca="false">IFERROR(MIN(1,'P9-008'!$V$62)+0,0)</f>
        <v>0</v>
      </c>
      <c r="O157" s="289" t="n">
        <f aca="false">IF($L157=0,0,$L157*MAX(0,NETWORKDAYS(MAX($H157,ASOF,O$72),MIN(MAX($I157,ASOF),O$72+6),HOLIDAYS)))</f>
        <v>30.2742857142857</v>
      </c>
      <c r="P157" s="289" t="n">
        <f aca="false">IF($L157=0,0,$L157*MAX(0,NETWORKDAYS(MAX($H157,ASOF,P$72),MIN(MAX($I157,ASOF),P$72+6),HOLIDAYS)))</f>
        <v>12.1097142857143</v>
      </c>
      <c r="Q157" s="289" t="n">
        <f aca="false">IF($L157=0,0,$L157*MAX(0,NETWORKDAYS(MAX($H157,ASOF,Q$72),MIN(MAX($I157,ASOF),Q$72+6),HOLIDAYS)))</f>
        <v>0</v>
      </c>
      <c r="R157" s="289" t="n">
        <f aca="false">IF($L157=0,0,$L157*MAX(0,NETWORKDAYS(MAX($H157,ASOF,R$72),MIN(MAX($I157,ASOF),R$72+6),HOLIDAYS)))</f>
        <v>0</v>
      </c>
      <c r="S157" s="289" t="n">
        <f aca="false">IF($L157=0,0,$L157*MAX(0,NETWORKDAYS(MAX($H157,ASOF,S$72),MIN(MAX($I157,ASOF),S$72+6),HOLIDAYS)))</f>
        <v>0</v>
      </c>
      <c r="T157" s="289" t="n">
        <f aca="false">IF($L157=0,0,$L157*MAX(0,NETWORKDAYS(MAX($H157,ASOF,T$72),MIN(MAX($I157,ASOF),T$72+6),HOLIDAYS)))</f>
        <v>0</v>
      </c>
      <c r="U157" s="289" t="n">
        <f aca="false">IF($L157=0,0,$L157*MAX(0,NETWORKDAYS(MAX($H157,ASOF,U$72),MIN(MAX($I157,ASOF),U$72+6),HOLIDAYS)))</f>
        <v>0</v>
      </c>
      <c r="V157" s="289" t="n">
        <f aca="false">IF($L157=0,0,$L157*MAX(0,NETWORKDAYS(MAX($H157,ASOF,V$72),MIN(MAX($I157,ASOF),V$72+6),HOLIDAYS)))</f>
        <v>0</v>
      </c>
      <c r="W157" s="289" t="n">
        <f aca="false">IF($L157=0,0,$L157*MAX(0,NETWORKDAYS(MAX($H157,ASOF,W$72),MIN(MAX($I157,ASOF),W$72+6),HOLIDAYS)))</f>
        <v>0</v>
      </c>
      <c r="X157" s="289" t="n">
        <f aca="false">IF($L157=0,0,$L157*MAX(0,NETWORKDAYS(MAX($H157,ASOF,X$72),MIN(MAX($I157,ASOF),X$72+6),HOLIDAYS)))</f>
        <v>0</v>
      </c>
      <c r="Y157" s="289" t="n">
        <f aca="false">IF($L157=0,0,$L157*MAX(0,NETWORKDAYS(MAX($H157,ASOF,Y$72),MIN(MAX($I157,ASOF),Y$72+6),HOLIDAYS)))</f>
        <v>0</v>
      </c>
      <c r="Z157" s="289" t="n">
        <f aca="false">IF($L157=0,0,$L157*MAX(0,NETWORKDAYS(MAX($H157,ASOF,Z$72),MIN(MAX($I157,ASOF),Z$72+6),HOLIDAYS)))</f>
        <v>0</v>
      </c>
      <c r="AA157" s="289" t="n">
        <f aca="false">IF($L157=0,0,$L157*MAX(0,NETWORKDAYS(MAX($H157,ASOF,AA$72),MIN(MAX($I157,ASOF),AA$72+6),HOLIDAYS)))</f>
        <v>0</v>
      </c>
      <c r="AB157" s="289" t="n">
        <f aca="false">IF($L157=0,0,$L157*MAX(0,NETWORKDAYS(MAX($H157,ASOF,AB$72),MIN(MAX($I157,ASOF),AB$72+6),HOLIDAYS)))</f>
        <v>0</v>
      </c>
      <c r="AC157" s="289" t="n">
        <f aca="false">IF($L157=0,0,$L157*MAX(0,NETWORKDAYS(MAX($H157,ASOF,AC$72),MIN(MAX($I157,ASOF),AC$72+6),HOLIDAYS)))</f>
        <v>0</v>
      </c>
      <c r="AD157" s="289" t="n">
        <f aca="false">IF($L157=0,0,$L157*MAX(0,NETWORKDAYS(MAX($H157,ASOF,AD$72),MIN(MAX($I157,ASOF),AD$72+6),HOLIDAYS)))</f>
        <v>0</v>
      </c>
      <c r="AE157" s="289" t="n">
        <f aca="false">IF($L157=0,0,$L157*MAX(0,NETWORKDAYS(MAX($H157,ASOF,AE$72),MIN(MAX($I157,ASOF),AE$72+6),HOLIDAYS)))</f>
        <v>0</v>
      </c>
      <c r="AF157" s="289" t="n">
        <f aca="false">IF($L157=0,0,$L157*MAX(0,NETWORKDAYS(MAX($H157,ASOF,AF$72),MIN(MAX($I157,ASOF),AF$72+6),HOLIDAYS)))</f>
        <v>0</v>
      </c>
      <c r="AG157" s="289" t="n">
        <f aca="false">IF($L157=0,0,$L157*MAX(0,NETWORKDAYS(MAX($H157,ASOF,AG$72),MIN(MAX($I157,ASOF),AG$72+6),HOLIDAYS)))</f>
        <v>0</v>
      </c>
      <c r="AH157" s="289" t="n">
        <f aca="false">IF($L157=0,0,$L157*MAX(0,NETWORKDAYS(MAX($H157,ASOF,AH$72),MIN(MAX($I157,ASOF),AH$72+6),HOLIDAYS)))</f>
        <v>0</v>
      </c>
      <c r="AI157" s="289" t="n">
        <f aca="false">IF($L157=0,0,$L157*MAX(0,NETWORKDAYS(MAX($H157,ASOF,AI$72),MIN(MAX($I157,ASOF),AI$72+6),HOLIDAYS)))</f>
        <v>0</v>
      </c>
      <c r="AJ157" s="289" t="n">
        <f aca="false">IF($L157=0,0,$L157*MAX(0,NETWORKDAYS(MAX($H157,ASOF,AJ$72),MIN(MAX($I157,ASOF),AJ$72+6),HOLIDAYS)))</f>
        <v>0</v>
      </c>
      <c r="AK157" s="289" t="n">
        <f aca="false">IF($L157=0,0,$L157*MAX(0,NETWORKDAYS(MAX($H157,ASOF,AK$72),MIN(MAX($I157,ASOF),AK$72+6),HOLIDAYS)))</f>
        <v>0</v>
      </c>
      <c r="AL157" s="289" t="n">
        <f aca="false">IF($L157=0,0,$L157*MAX(0,NETWORKDAYS(MAX($H157,ASOF,AL$72),MIN(MAX($I157,ASOF),AL$72+6),HOLIDAYS)))</f>
        <v>0</v>
      </c>
      <c r="AM157" s="289" t="n">
        <f aca="false">IF($L157=0,0,$L157*MAX(0,NETWORKDAYS(MAX($H157,ASOF,AM$72),MIN(MAX($I157,ASOF),AM$72+6),HOLIDAYS)))</f>
        <v>0</v>
      </c>
      <c r="AN157" s="289" t="n">
        <f aca="false">IF($L157=0,0,$L157*MAX(0,NETWORKDAYS(MAX($H157,ASOF,AN$72),MIN(MAX($I157,ASOF),AN$72+6),HOLIDAYS)))</f>
        <v>0</v>
      </c>
      <c r="AO157" s="289" t="n">
        <f aca="false">IF($L157=0,0,$L157*MAX(0,NETWORKDAYS(MAX($H157,ASOF,AO$72),MIN(MAX($I157,ASOF),AO$72+6),HOLIDAYS)))</f>
        <v>0</v>
      </c>
      <c r="AP157" s="289" t="n">
        <f aca="false">IF($L157=0,0,$L157*MAX(0,NETWORKDAYS(MAX($H157,ASOF,AP$72),MIN(MAX($I157,ASOF),AP$72+6),HOLIDAYS)))</f>
        <v>0</v>
      </c>
      <c r="AQ157" s="289" t="n">
        <f aca="false">IF($L157=0,0,$L157*MAX(0,NETWORKDAYS(MAX($H157,ASOF,AQ$72),MIN(MAX($I157,ASOF),AQ$72+6),HOLIDAYS)))</f>
        <v>0</v>
      </c>
      <c r="AR157" s="289" t="n">
        <f aca="false">IF($L157=0,0,$L157*MAX(0,NETWORKDAYS(MAX($H157,ASOF,AR$72),MIN(MAX($I157,ASOF),AR$72+6),HOLIDAYS)))</f>
        <v>0</v>
      </c>
    </row>
    <row r="158" customFormat="false" ht="15" hidden="false" customHeight="false" outlineLevel="1" collapsed="false">
      <c r="A158" s="282" t="s">
        <v>70</v>
      </c>
      <c r="B158" s="283" t="s">
        <v>72</v>
      </c>
      <c r="C158" s="284" t="s">
        <v>2360</v>
      </c>
      <c r="D158" s="284" t="s">
        <v>2284</v>
      </c>
      <c r="E158" s="285" t="n">
        <v>280.44</v>
      </c>
      <c r="F158" s="283" t="s">
        <v>527</v>
      </c>
      <c r="G158" s="285" t="n">
        <f aca="false">$F$6*(E158/$G$6+$H$6)</f>
        <v>24.033</v>
      </c>
      <c r="H158" s="286" t="n">
        <f aca="false">IF(ISNUMBER('P9-008'!$N$70),'P9-008'!$N$70,"")</f>
        <v>46343</v>
      </c>
      <c r="I158" s="286" t="n">
        <f aca="false">IF(ISNUMBER('P9-008'!$O$70),'P9-008'!$O$70,"")</f>
        <v>46346</v>
      </c>
      <c r="J158" s="287" t="n">
        <f aca="false">IF(OR(H158="",I158="",N158&gt;=1),0,MAX(1,NETWORKDAYS(MAX(H158,ASOF),MAX(I158,ASOF),HOLIDAYS)))</f>
        <v>4</v>
      </c>
      <c r="K158" s="287" t="n">
        <f aca="false">IF(L158=0,0,ROUNDUP(L158/$F$6,0))</f>
        <v>3</v>
      </c>
      <c r="L158" s="285" t="n">
        <f aca="false">IF(J158=0,0,G158*(1-N158)/J158)</f>
        <v>6.00825</v>
      </c>
      <c r="M158" s="283" t="s">
        <v>987</v>
      </c>
      <c r="N158" s="288" t="n">
        <f aca="false">IFERROR(MIN(1,'P9-008'!$V$70)+0,0)</f>
        <v>0</v>
      </c>
      <c r="O158" s="289" t="n">
        <f aca="false">IF($L158=0,0,$L158*MAX(0,NETWORKDAYS(MAX($H158,ASOF,O$72),MIN(MAX($I158,ASOF),O$72+6),HOLIDAYS)))</f>
        <v>0</v>
      </c>
      <c r="P158" s="289" t="n">
        <f aca="false">IF($L158=0,0,$L158*MAX(0,NETWORKDAYS(MAX($H158,ASOF,P$72),MIN(MAX($I158,ASOF),P$72+6),HOLIDAYS)))</f>
        <v>0</v>
      </c>
      <c r="Q158" s="289" t="n">
        <f aca="false">IF($L158=0,0,$L158*MAX(0,NETWORKDAYS(MAX($H158,ASOF,Q$72),MIN(MAX($I158,ASOF),Q$72+6),HOLIDAYS)))</f>
        <v>24.033</v>
      </c>
      <c r="R158" s="289" t="n">
        <f aca="false">IF($L158=0,0,$L158*MAX(0,NETWORKDAYS(MAX($H158,ASOF,R$72),MIN(MAX($I158,ASOF),R$72+6),HOLIDAYS)))</f>
        <v>0</v>
      </c>
      <c r="S158" s="289" t="n">
        <f aca="false">IF($L158=0,0,$L158*MAX(0,NETWORKDAYS(MAX($H158,ASOF,S$72),MIN(MAX($I158,ASOF),S$72+6),HOLIDAYS)))</f>
        <v>0</v>
      </c>
      <c r="T158" s="289" t="n">
        <f aca="false">IF($L158=0,0,$L158*MAX(0,NETWORKDAYS(MAX($H158,ASOF,T$72),MIN(MAX($I158,ASOF),T$72+6),HOLIDAYS)))</f>
        <v>0</v>
      </c>
      <c r="U158" s="289" t="n">
        <f aca="false">IF($L158=0,0,$L158*MAX(0,NETWORKDAYS(MAX($H158,ASOF,U$72),MIN(MAX($I158,ASOF),U$72+6),HOLIDAYS)))</f>
        <v>0</v>
      </c>
      <c r="V158" s="289" t="n">
        <f aca="false">IF($L158=0,0,$L158*MAX(0,NETWORKDAYS(MAX($H158,ASOF,V$72),MIN(MAX($I158,ASOF),V$72+6),HOLIDAYS)))</f>
        <v>0</v>
      </c>
      <c r="W158" s="289" t="n">
        <f aca="false">IF($L158=0,0,$L158*MAX(0,NETWORKDAYS(MAX($H158,ASOF,W$72),MIN(MAX($I158,ASOF),W$72+6),HOLIDAYS)))</f>
        <v>0</v>
      </c>
      <c r="X158" s="289" t="n">
        <f aca="false">IF($L158=0,0,$L158*MAX(0,NETWORKDAYS(MAX($H158,ASOF,X$72),MIN(MAX($I158,ASOF),X$72+6),HOLIDAYS)))</f>
        <v>0</v>
      </c>
      <c r="Y158" s="289" t="n">
        <f aca="false">IF($L158=0,0,$L158*MAX(0,NETWORKDAYS(MAX($H158,ASOF,Y$72),MIN(MAX($I158,ASOF),Y$72+6),HOLIDAYS)))</f>
        <v>0</v>
      </c>
      <c r="Z158" s="289" t="n">
        <f aca="false">IF($L158=0,0,$L158*MAX(0,NETWORKDAYS(MAX($H158,ASOF,Z$72),MIN(MAX($I158,ASOF),Z$72+6),HOLIDAYS)))</f>
        <v>0</v>
      </c>
      <c r="AA158" s="289" t="n">
        <f aca="false">IF($L158=0,0,$L158*MAX(0,NETWORKDAYS(MAX($H158,ASOF,AA$72),MIN(MAX($I158,ASOF),AA$72+6),HOLIDAYS)))</f>
        <v>0</v>
      </c>
      <c r="AB158" s="289" t="n">
        <f aca="false">IF($L158=0,0,$L158*MAX(0,NETWORKDAYS(MAX($H158,ASOF,AB$72),MIN(MAX($I158,ASOF),AB$72+6),HOLIDAYS)))</f>
        <v>0</v>
      </c>
      <c r="AC158" s="289" t="n">
        <f aca="false">IF($L158=0,0,$L158*MAX(0,NETWORKDAYS(MAX($H158,ASOF,AC$72),MIN(MAX($I158,ASOF),AC$72+6),HOLIDAYS)))</f>
        <v>0</v>
      </c>
      <c r="AD158" s="289" t="n">
        <f aca="false">IF($L158=0,0,$L158*MAX(0,NETWORKDAYS(MAX($H158,ASOF,AD$72),MIN(MAX($I158,ASOF),AD$72+6),HOLIDAYS)))</f>
        <v>0</v>
      </c>
      <c r="AE158" s="289" t="n">
        <f aca="false">IF($L158=0,0,$L158*MAX(0,NETWORKDAYS(MAX($H158,ASOF,AE$72),MIN(MAX($I158,ASOF),AE$72+6),HOLIDAYS)))</f>
        <v>0</v>
      </c>
      <c r="AF158" s="289" t="n">
        <f aca="false">IF($L158=0,0,$L158*MAX(0,NETWORKDAYS(MAX($H158,ASOF,AF$72),MIN(MAX($I158,ASOF),AF$72+6),HOLIDAYS)))</f>
        <v>0</v>
      </c>
      <c r="AG158" s="289" t="n">
        <f aca="false">IF($L158=0,0,$L158*MAX(0,NETWORKDAYS(MAX($H158,ASOF,AG$72),MIN(MAX($I158,ASOF),AG$72+6),HOLIDAYS)))</f>
        <v>0</v>
      </c>
      <c r="AH158" s="289" t="n">
        <f aca="false">IF($L158=0,0,$L158*MAX(0,NETWORKDAYS(MAX($H158,ASOF,AH$72),MIN(MAX($I158,ASOF),AH$72+6),HOLIDAYS)))</f>
        <v>0</v>
      </c>
      <c r="AI158" s="289" t="n">
        <f aca="false">IF($L158=0,0,$L158*MAX(0,NETWORKDAYS(MAX($H158,ASOF,AI$72),MIN(MAX($I158,ASOF),AI$72+6),HOLIDAYS)))</f>
        <v>0</v>
      </c>
      <c r="AJ158" s="289" t="n">
        <f aca="false">IF($L158=0,0,$L158*MAX(0,NETWORKDAYS(MAX($H158,ASOF,AJ$72),MIN(MAX($I158,ASOF),AJ$72+6),HOLIDAYS)))</f>
        <v>0</v>
      </c>
      <c r="AK158" s="289" t="n">
        <f aca="false">IF($L158=0,0,$L158*MAX(0,NETWORKDAYS(MAX($H158,ASOF,AK$72),MIN(MAX($I158,ASOF),AK$72+6),HOLIDAYS)))</f>
        <v>0</v>
      </c>
      <c r="AL158" s="289" t="n">
        <f aca="false">IF($L158=0,0,$L158*MAX(0,NETWORKDAYS(MAX($H158,ASOF,AL$72),MIN(MAX($I158,ASOF),AL$72+6),HOLIDAYS)))</f>
        <v>0</v>
      </c>
      <c r="AM158" s="289" t="n">
        <f aca="false">IF($L158=0,0,$L158*MAX(0,NETWORKDAYS(MAX($H158,ASOF,AM$72),MIN(MAX($I158,ASOF),AM$72+6),HOLIDAYS)))</f>
        <v>0</v>
      </c>
      <c r="AN158" s="289" t="n">
        <f aca="false">IF($L158=0,0,$L158*MAX(0,NETWORKDAYS(MAX($H158,ASOF,AN$72),MIN(MAX($I158,ASOF),AN$72+6),HOLIDAYS)))</f>
        <v>0</v>
      </c>
      <c r="AO158" s="289" t="n">
        <f aca="false">IF($L158=0,0,$L158*MAX(0,NETWORKDAYS(MAX($H158,ASOF,AO$72),MIN(MAX($I158,ASOF),AO$72+6),HOLIDAYS)))</f>
        <v>0</v>
      </c>
      <c r="AP158" s="289" t="n">
        <f aca="false">IF($L158=0,0,$L158*MAX(0,NETWORKDAYS(MAX($H158,ASOF,AP$72),MIN(MAX($I158,ASOF),AP$72+6),HOLIDAYS)))</f>
        <v>0</v>
      </c>
      <c r="AQ158" s="289" t="n">
        <f aca="false">IF($L158=0,0,$L158*MAX(0,NETWORKDAYS(MAX($H158,ASOF,AQ$72),MIN(MAX($I158,ASOF),AQ$72+6),HOLIDAYS)))</f>
        <v>0</v>
      </c>
      <c r="AR158" s="289" t="n">
        <f aca="false">IF($L158=0,0,$L158*MAX(0,NETWORKDAYS(MAX($H158,ASOF,AR$72),MIN(MAX($I158,ASOF),AR$72+6),HOLIDAYS)))</f>
        <v>0</v>
      </c>
    </row>
    <row r="159" customFormat="false" ht="15" hidden="false" customHeight="false" outlineLevel="1" collapsed="false">
      <c r="A159" s="282" t="s">
        <v>70</v>
      </c>
      <c r="B159" s="283" t="s">
        <v>72</v>
      </c>
      <c r="C159" s="284" t="s">
        <v>2361</v>
      </c>
      <c r="D159" s="284" t="s">
        <v>2280</v>
      </c>
      <c r="E159" s="285" t="n">
        <v>280.44</v>
      </c>
      <c r="F159" s="283" t="s">
        <v>527</v>
      </c>
      <c r="G159" s="285" t="n">
        <f aca="false">$F$7*(E159/$G$7+$H$7)</f>
        <v>34.0502857142857</v>
      </c>
      <c r="H159" s="286" t="n">
        <f aca="false">IF(ISNUMBER('P9-008'!$N$76),'P9-008'!$N$76,"")</f>
        <v>46337</v>
      </c>
      <c r="I159" s="286" t="n">
        <f aca="false">IF(ISNUMBER('P9-008'!$O$76),'P9-008'!$O$76,"")</f>
        <v>46347</v>
      </c>
      <c r="J159" s="287" t="n">
        <f aca="false">IF(OR(H159="",I159="",N159&gt;=1),0,MAX(1,NETWORKDAYS(MAX(H159,ASOF),MAX(I159,ASOF),HOLIDAYS)))</f>
        <v>8</v>
      </c>
      <c r="K159" s="287" t="n">
        <f aca="false">IF(L159=0,0,ROUNDUP(L159/$F$7,0))</f>
        <v>2</v>
      </c>
      <c r="L159" s="285" t="n">
        <f aca="false">IF(J159=0,0,G159*(1-N159)/J159)</f>
        <v>4.25628571428571</v>
      </c>
      <c r="M159" s="283" t="s">
        <v>1037</v>
      </c>
      <c r="N159" s="288" t="n">
        <f aca="false">IFERROR(MIN(1,'P9-008'!$V$76)+0,0)</f>
        <v>0</v>
      </c>
      <c r="O159" s="289" t="n">
        <f aca="false">IF($L159=0,0,$L159*MAX(0,NETWORKDAYS(MAX($H159,ASOF,O$72),MIN(MAX($I159,ASOF),O$72+6),HOLIDAYS)))</f>
        <v>0</v>
      </c>
      <c r="P159" s="289" t="n">
        <f aca="false">IF($L159=0,0,$L159*MAX(0,NETWORKDAYS(MAX($H159,ASOF,P$72),MIN(MAX($I159,ASOF),P$72+6),HOLIDAYS)))</f>
        <v>12.7688571428571</v>
      </c>
      <c r="Q159" s="289" t="n">
        <f aca="false">IF($L159=0,0,$L159*MAX(0,NETWORKDAYS(MAX($H159,ASOF,Q$72),MIN(MAX($I159,ASOF),Q$72+6),HOLIDAYS)))</f>
        <v>21.2814285714286</v>
      </c>
      <c r="R159" s="289" t="n">
        <f aca="false">IF($L159=0,0,$L159*MAX(0,NETWORKDAYS(MAX($H159,ASOF,R$72),MIN(MAX($I159,ASOF),R$72+6),HOLIDAYS)))</f>
        <v>0</v>
      </c>
      <c r="S159" s="289" t="n">
        <f aca="false">IF($L159=0,0,$L159*MAX(0,NETWORKDAYS(MAX($H159,ASOF,S$72),MIN(MAX($I159,ASOF),S$72+6),HOLIDAYS)))</f>
        <v>0</v>
      </c>
      <c r="T159" s="289" t="n">
        <f aca="false">IF($L159=0,0,$L159*MAX(0,NETWORKDAYS(MAX($H159,ASOF,T$72),MIN(MAX($I159,ASOF),T$72+6),HOLIDAYS)))</f>
        <v>0</v>
      </c>
      <c r="U159" s="289" t="n">
        <f aca="false">IF($L159=0,0,$L159*MAX(0,NETWORKDAYS(MAX($H159,ASOF,U$72),MIN(MAX($I159,ASOF),U$72+6),HOLIDAYS)))</f>
        <v>0</v>
      </c>
      <c r="V159" s="289" t="n">
        <f aca="false">IF($L159=0,0,$L159*MAX(0,NETWORKDAYS(MAX($H159,ASOF,V$72),MIN(MAX($I159,ASOF),V$72+6),HOLIDAYS)))</f>
        <v>0</v>
      </c>
      <c r="W159" s="289" t="n">
        <f aca="false">IF($L159=0,0,$L159*MAX(0,NETWORKDAYS(MAX($H159,ASOF,W$72),MIN(MAX($I159,ASOF),W$72+6),HOLIDAYS)))</f>
        <v>0</v>
      </c>
      <c r="X159" s="289" t="n">
        <f aca="false">IF($L159=0,0,$L159*MAX(0,NETWORKDAYS(MAX($H159,ASOF,X$72),MIN(MAX($I159,ASOF),X$72+6),HOLIDAYS)))</f>
        <v>0</v>
      </c>
      <c r="Y159" s="289" t="n">
        <f aca="false">IF($L159=0,0,$L159*MAX(0,NETWORKDAYS(MAX($H159,ASOF,Y$72),MIN(MAX($I159,ASOF),Y$72+6),HOLIDAYS)))</f>
        <v>0</v>
      </c>
      <c r="Z159" s="289" t="n">
        <f aca="false">IF($L159=0,0,$L159*MAX(0,NETWORKDAYS(MAX($H159,ASOF,Z$72),MIN(MAX($I159,ASOF),Z$72+6),HOLIDAYS)))</f>
        <v>0</v>
      </c>
      <c r="AA159" s="289" t="n">
        <f aca="false">IF($L159=0,0,$L159*MAX(0,NETWORKDAYS(MAX($H159,ASOF,AA$72),MIN(MAX($I159,ASOF),AA$72+6),HOLIDAYS)))</f>
        <v>0</v>
      </c>
      <c r="AB159" s="289" t="n">
        <f aca="false">IF($L159=0,0,$L159*MAX(0,NETWORKDAYS(MAX($H159,ASOF,AB$72),MIN(MAX($I159,ASOF),AB$72+6),HOLIDAYS)))</f>
        <v>0</v>
      </c>
      <c r="AC159" s="289" t="n">
        <f aca="false">IF($L159=0,0,$L159*MAX(0,NETWORKDAYS(MAX($H159,ASOF,AC$72),MIN(MAX($I159,ASOF),AC$72+6),HOLIDAYS)))</f>
        <v>0</v>
      </c>
      <c r="AD159" s="289" t="n">
        <f aca="false">IF($L159=0,0,$L159*MAX(0,NETWORKDAYS(MAX($H159,ASOF,AD$72),MIN(MAX($I159,ASOF),AD$72+6),HOLIDAYS)))</f>
        <v>0</v>
      </c>
      <c r="AE159" s="289" t="n">
        <f aca="false">IF($L159=0,0,$L159*MAX(0,NETWORKDAYS(MAX($H159,ASOF,AE$72),MIN(MAX($I159,ASOF),AE$72+6),HOLIDAYS)))</f>
        <v>0</v>
      </c>
      <c r="AF159" s="289" t="n">
        <f aca="false">IF($L159=0,0,$L159*MAX(0,NETWORKDAYS(MAX($H159,ASOF,AF$72),MIN(MAX($I159,ASOF),AF$72+6),HOLIDAYS)))</f>
        <v>0</v>
      </c>
      <c r="AG159" s="289" t="n">
        <f aca="false">IF($L159=0,0,$L159*MAX(0,NETWORKDAYS(MAX($H159,ASOF,AG$72),MIN(MAX($I159,ASOF),AG$72+6),HOLIDAYS)))</f>
        <v>0</v>
      </c>
      <c r="AH159" s="289" t="n">
        <f aca="false">IF($L159=0,0,$L159*MAX(0,NETWORKDAYS(MAX($H159,ASOF,AH$72),MIN(MAX($I159,ASOF),AH$72+6),HOLIDAYS)))</f>
        <v>0</v>
      </c>
      <c r="AI159" s="289" t="n">
        <f aca="false">IF($L159=0,0,$L159*MAX(0,NETWORKDAYS(MAX($H159,ASOF,AI$72),MIN(MAX($I159,ASOF),AI$72+6),HOLIDAYS)))</f>
        <v>0</v>
      </c>
      <c r="AJ159" s="289" t="n">
        <f aca="false">IF($L159=0,0,$L159*MAX(0,NETWORKDAYS(MAX($H159,ASOF,AJ$72),MIN(MAX($I159,ASOF),AJ$72+6),HOLIDAYS)))</f>
        <v>0</v>
      </c>
      <c r="AK159" s="289" t="n">
        <f aca="false">IF($L159=0,0,$L159*MAX(0,NETWORKDAYS(MAX($H159,ASOF,AK$72),MIN(MAX($I159,ASOF),AK$72+6),HOLIDAYS)))</f>
        <v>0</v>
      </c>
      <c r="AL159" s="289" t="n">
        <f aca="false">IF($L159=0,0,$L159*MAX(0,NETWORKDAYS(MAX($H159,ASOF,AL$72),MIN(MAX($I159,ASOF),AL$72+6),HOLIDAYS)))</f>
        <v>0</v>
      </c>
      <c r="AM159" s="289" t="n">
        <f aca="false">IF($L159=0,0,$L159*MAX(0,NETWORKDAYS(MAX($H159,ASOF,AM$72),MIN(MAX($I159,ASOF),AM$72+6),HOLIDAYS)))</f>
        <v>0</v>
      </c>
      <c r="AN159" s="289" t="n">
        <f aca="false">IF($L159=0,0,$L159*MAX(0,NETWORKDAYS(MAX($H159,ASOF,AN$72),MIN(MAX($I159,ASOF),AN$72+6),HOLIDAYS)))</f>
        <v>0</v>
      </c>
      <c r="AO159" s="289" t="n">
        <f aca="false">IF($L159=0,0,$L159*MAX(0,NETWORKDAYS(MAX($H159,ASOF,AO$72),MIN(MAX($I159,ASOF),AO$72+6),HOLIDAYS)))</f>
        <v>0</v>
      </c>
      <c r="AP159" s="289" t="n">
        <f aca="false">IF($L159=0,0,$L159*MAX(0,NETWORKDAYS(MAX($H159,ASOF,AP$72),MIN(MAX($I159,ASOF),AP$72+6),HOLIDAYS)))</f>
        <v>0</v>
      </c>
      <c r="AQ159" s="289" t="n">
        <f aca="false">IF($L159=0,0,$L159*MAX(0,NETWORKDAYS(MAX($H159,ASOF,AQ$72),MIN(MAX($I159,ASOF),AQ$72+6),HOLIDAYS)))</f>
        <v>0</v>
      </c>
      <c r="AR159" s="289" t="n">
        <f aca="false">IF($L159=0,0,$L159*MAX(0,NETWORKDAYS(MAX($H159,ASOF,AR$72),MIN(MAX($I159,ASOF),AR$72+6),HOLIDAYS)))</f>
        <v>0</v>
      </c>
    </row>
    <row r="160" customFormat="false" ht="15" hidden="false" customHeight="false" outlineLevel="1" collapsed="false">
      <c r="A160" s="282" t="s">
        <v>70</v>
      </c>
      <c r="B160" s="283" t="s">
        <v>72</v>
      </c>
      <c r="C160" s="284" t="s">
        <v>2362</v>
      </c>
      <c r="D160" s="284" t="s">
        <v>2284</v>
      </c>
      <c r="E160" s="285" t="n">
        <v>1</v>
      </c>
      <c r="F160" s="290" t="s">
        <v>35</v>
      </c>
      <c r="G160" s="285" t="n">
        <f aca="false">$F$8*$H$8</f>
        <v>2</v>
      </c>
      <c r="H160" s="286" t="n">
        <f aca="false">IF(ISNUMBER('P9-008'!$N$82),'P9-008'!$N$82,"")</f>
        <v>46345</v>
      </c>
      <c r="I160" s="286" t="n">
        <f aca="false">IF(ISNUMBER('P9-008'!$O$82),'P9-008'!$O$82,"")</f>
        <v>46347</v>
      </c>
      <c r="J160" s="287" t="n">
        <f aca="false">IF(OR(H160="",I160="",N160&gt;=1),0,MAX(1,NETWORKDAYS(MAX(H160,ASOF),MAX(I160,ASOF),HOLIDAYS)))</f>
        <v>2</v>
      </c>
      <c r="K160" s="287" t="n">
        <f aca="false">IF(L160=0,0,ROUNDUP(L160/$F$8,0))</f>
        <v>1</v>
      </c>
      <c r="L160" s="285" t="n">
        <f aca="false">IF(J160=0,0,G160*(1-N160)/J160)</f>
        <v>1</v>
      </c>
      <c r="M160" s="283" t="s">
        <v>1063</v>
      </c>
      <c r="N160" s="288" t="n">
        <f aca="false">IFERROR(MIN(1,'P9-008'!$V$82)+0,0)</f>
        <v>0</v>
      </c>
      <c r="O160" s="289" t="n">
        <f aca="false">IF($L160=0,0,$L160*MAX(0,NETWORKDAYS(MAX($H160,ASOF,O$72),MIN(MAX($I160,ASOF),O$72+6),HOLIDAYS)))</f>
        <v>0</v>
      </c>
      <c r="P160" s="289" t="n">
        <f aca="false">IF($L160=0,0,$L160*MAX(0,NETWORKDAYS(MAX($H160,ASOF,P$72),MIN(MAX($I160,ASOF),P$72+6),HOLIDAYS)))</f>
        <v>0</v>
      </c>
      <c r="Q160" s="289" t="n">
        <f aca="false">IF($L160=0,0,$L160*MAX(0,NETWORKDAYS(MAX($H160,ASOF,Q$72),MIN(MAX($I160,ASOF),Q$72+6),HOLIDAYS)))</f>
        <v>2</v>
      </c>
      <c r="R160" s="289" t="n">
        <f aca="false">IF($L160=0,0,$L160*MAX(0,NETWORKDAYS(MAX($H160,ASOF,R$72),MIN(MAX($I160,ASOF),R$72+6),HOLIDAYS)))</f>
        <v>0</v>
      </c>
      <c r="S160" s="289" t="n">
        <f aca="false">IF($L160=0,0,$L160*MAX(0,NETWORKDAYS(MAX($H160,ASOF,S$72),MIN(MAX($I160,ASOF),S$72+6),HOLIDAYS)))</f>
        <v>0</v>
      </c>
      <c r="T160" s="289" t="n">
        <f aca="false">IF($L160=0,0,$L160*MAX(0,NETWORKDAYS(MAX($H160,ASOF,T$72),MIN(MAX($I160,ASOF),T$72+6),HOLIDAYS)))</f>
        <v>0</v>
      </c>
      <c r="U160" s="289" t="n">
        <f aca="false">IF($L160=0,0,$L160*MAX(0,NETWORKDAYS(MAX($H160,ASOF,U$72),MIN(MAX($I160,ASOF),U$72+6),HOLIDAYS)))</f>
        <v>0</v>
      </c>
      <c r="V160" s="289" t="n">
        <f aca="false">IF($L160=0,0,$L160*MAX(0,NETWORKDAYS(MAX($H160,ASOF,V$72),MIN(MAX($I160,ASOF),V$72+6),HOLIDAYS)))</f>
        <v>0</v>
      </c>
      <c r="W160" s="289" t="n">
        <f aca="false">IF($L160=0,0,$L160*MAX(0,NETWORKDAYS(MAX($H160,ASOF,W$72),MIN(MAX($I160,ASOF),W$72+6),HOLIDAYS)))</f>
        <v>0</v>
      </c>
      <c r="X160" s="289" t="n">
        <f aca="false">IF($L160=0,0,$L160*MAX(0,NETWORKDAYS(MAX($H160,ASOF,X$72),MIN(MAX($I160,ASOF),X$72+6),HOLIDAYS)))</f>
        <v>0</v>
      </c>
      <c r="Y160" s="289" t="n">
        <f aca="false">IF($L160=0,0,$L160*MAX(0,NETWORKDAYS(MAX($H160,ASOF,Y$72),MIN(MAX($I160,ASOF),Y$72+6),HOLIDAYS)))</f>
        <v>0</v>
      </c>
      <c r="Z160" s="289" t="n">
        <f aca="false">IF($L160=0,0,$L160*MAX(0,NETWORKDAYS(MAX($H160,ASOF,Z$72),MIN(MAX($I160,ASOF),Z$72+6),HOLIDAYS)))</f>
        <v>0</v>
      </c>
      <c r="AA160" s="289" t="n">
        <f aca="false">IF($L160=0,0,$L160*MAX(0,NETWORKDAYS(MAX($H160,ASOF,AA$72),MIN(MAX($I160,ASOF),AA$72+6),HOLIDAYS)))</f>
        <v>0</v>
      </c>
      <c r="AB160" s="289" t="n">
        <f aca="false">IF($L160=0,0,$L160*MAX(0,NETWORKDAYS(MAX($H160,ASOF,AB$72),MIN(MAX($I160,ASOF),AB$72+6),HOLIDAYS)))</f>
        <v>0</v>
      </c>
      <c r="AC160" s="289" t="n">
        <f aca="false">IF($L160=0,0,$L160*MAX(0,NETWORKDAYS(MAX($H160,ASOF,AC$72),MIN(MAX($I160,ASOF),AC$72+6),HOLIDAYS)))</f>
        <v>0</v>
      </c>
      <c r="AD160" s="289" t="n">
        <f aca="false">IF($L160=0,0,$L160*MAX(0,NETWORKDAYS(MAX($H160,ASOF,AD$72),MIN(MAX($I160,ASOF),AD$72+6),HOLIDAYS)))</f>
        <v>0</v>
      </c>
      <c r="AE160" s="289" t="n">
        <f aca="false">IF($L160=0,0,$L160*MAX(0,NETWORKDAYS(MAX($H160,ASOF,AE$72),MIN(MAX($I160,ASOF),AE$72+6),HOLIDAYS)))</f>
        <v>0</v>
      </c>
      <c r="AF160" s="289" t="n">
        <f aca="false">IF($L160=0,0,$L160*MAX(0,NETWORKDAYS(MAX($H160,ASOF,AF$72),MIN(MAX($I160,ASOF),AF$72+6),HOLIDAYS)))</f>
        <v>0</v>
      </c>
      <c r="AG160" s="289" t="n">
        <f aca="false">IF($L160=0,0,$L160*MAX(0,NETWORKDAYS(MAX($H160,ASOF,AG$72),MIN(MAX($I160,ASOF),AG$72+6),HOLIDAYS)))</f>
        <v>0</v>
      </c>
      <c r="AH160" s="289" t="n">
        <f aca="false">IF($L160=0,0,$L160*MAX(0,NETWORKDAYS(MAX($H160,ASOF,AH$72),MIN(MAX($I160,ASOF),AH$72+6),HOLIDAYS)))</f>
        <v>0</v>
      </c>
      <c r="AI160" s="289" t="n">
        <f aca="false">IF($L160=0,0,$L160*MAX(0,NETWORKDAYS(MAX($H160,ASOF,AI$72),MIN(MAX($I160,ASOF),AI$72+6),HOLIDAYS)))</f>
        <v>0</v>
      </c>
      <c r="AJ160" s="289" t="n">
        <f aca="false">IF($L160=0,0,$L160*MAX(0,NETWORKDAYS(MAX($H160,ASOF,AJ$72),MIN(MAX($I160,ASOF),AJ$72+6),HOLIDAYS)))</f>
        <v>0</v>
      </c>
      <c r="AK160" s="289" t="n">
        <f aca="false">IF($L160=0,0,$L160*MAX(0,NETWORKDAYS(MAX($H160,ASOF,AK$72),MIN(MAX($I160,ASOF),AK$72+6),HOLIDAYS)))</f>
        <v>0</v>
      </c>
      <c r="AL160" s="289" t="n">
        <f aca="false">IF($L160=0,0,$L160*MAX(0,NETWORKDAYS(MAX($H160,ASOF,AL$72),MIN(MAX($I160,ASOF),AL$72+6),HOLIDAYS)))</f>
        <v>0</v>
      </c>
      <c r="AM160" s="289" t="n">
        <f aca="false">IF($L160=0,0,$L160*MAX(0,NETWORKDAYS(MAX($H160,ASOF,AM$72),MIN(MAX($I160,ASOF),AM$72+6),HOLIDAYS)))</f>
        <v>0</v>
      </c>
      <c r="AN160" s="289" t="n">
        <f aca="false">IF($L160=0,0,$L160*MAX(0,NETWORKDAYS(MAX($H160,ASOF,AN$72),MIN(MAX($I160,ASOF),AN$72+6),HOLIDAYS)))</f>
        <v>0</v>
      </c>
      <c r="AO160" s="289" t="n">
        <f aca="false">IF($L160=0,0,$L160*MAX(0,NETWORKDAYS(MAX($H160,ASOF,AO$72),MIN(MAX($I160,ASOF),AO$72+6),HOLIDAYS)))</f>
        <v>0</v>
      </c>
      <c r="AP160" s="289" t="n">
        <f aca="false">IF($L160=0,0,$L160*MAX(0,NETWORKDAYS(MAX($H160,ASOF,AP$72),MIN(MAX($I160,ASOF),AP$72+6),HOLIDAYS)))</f>
        <v>0</v>
      </c>
      <c r="AQ160" s="289" t="n">
        <f aca="false">IF($L160=0,0,$L160*MAX(0,NETWORKDAYS(MAX($H160,ASOF,AQ$72),MIN(MAX($I160,ASOF),AQ$72+6),HOLIDAYS)))</f>
        <v>0</v>
      </c>
      <c r="AR160" s="289" t="n">
        <f aca="false">IF($L160=0,0,$L160*MAX(0,NETWORKDAYS(MAX($H160,ASOF,AR$72),MIN(MAX($I160,ASOF),AR$72+6),HOLIDAYS)))</f>
        <v>0</v>
      </c>
    </row>
    <row r="161" customFormat="false" ht="15" hidden="false" customHeight="false" outlineLevel="1" collapsed="false">
      <c r="A161" s="282" t="s">
        <v>70</v>
      </c>
      <c r="B161" s="283" t="s">
        <v>72</v>
      </c>
      <c r="C161" s="284" t="s">
        <v>2363</v>
      </c>
      <c r="D161" s="284" t="s">
        <v>2290</v>
      </c>
      <c r="E161" s="285" t="n">
        <v>1</v>
      </c>
      <c r="F161" s="290" t="s">
        <v>35</v>
      </c>
      <c r="G161" s="285" t="n">
        <f aca="false">IF(IFERROR(INDEX(INVS_TYPE,MATCH("P9-008",INVS_ID,0)),"")="สร้างใหม่ (E09)",$F$9*$H$9,0)</f>
        <v>24</v>
      </c>
      <c r="H161" s="286" t="n">
        <f aca="false">IF(ISNUMBER('P9-008'!$N$85),'P9-008'!$N$85,"")</f>
        <v>46343</v>
      </c>
      <c r="I161" s="286" t="n">
        <f aca="false">IF(ISNUMBER('P9-008'!$O$85),'P9-008'!$O$85,"")</f>
        <v>46346</v>
      </c>
      <c r="J161" s="287" t="n">
        <f aca="false">IF(OR(H161="",I161="",N161&gt;=1),0,MAX(1,NETWORKDAYS(MAX(H161,ASOF),MAX(I161,ASOF),HOLIDAYS)))</f>
        <v>4</v>
      </c>
      <c r="K161" s="287" t="n">
        <f aca="false">IF(L161=0,0,ROUNDUP(L161/$F$9,0))</f>
        <v>2</v>
      </c>
      <c r="L161" s="285" t="n">
        <f aca="false">IF(J161=0,0,G161*(1-N161)/J161)</f>
        <v>6</v>
      </c>
      <c r="M161" s="283" t="s">
        <v>2288</v>
      </c>
      <c r="N161" s="288" t="n">
        <f aca="false">IFERROR(MIN(1,'P9-008'!$V$85)+0,0)</f>
        <v>0</v>
      </c>
      <c r="O161" s="289" t="n">
        <f aca="false">IF($L161=0,0,$L161*MAX(0,NETWORKDAYS(MAX($H161,ASOF,O$72),MIN(MAX($I161,ASOF),O$72+6),HOLIDAYS)))</f>
        <v>0</v>
      </c>
      <c r="P161" s="289" t="n">
        <f aca="false">IF($L161=0,0,$L161*MAX(0,NETWORKDAYS(MAX($H161,ASOF,P$72),MIN(MAX($I161,ASOF),P$72+6),HOLIDAYS)))</f>
        <v>0</v>
      </c>
      <c r="Q161" s="289" t="n">
        <f aca="false">IF($L161=0,0,$L161*MAX(0,NETWORKDAYS(MAX($H161,ASOF,Q$72),MIN(MAX($I161,ASOF),Q$72+6),HOLIDAYS)))</f>
        <v>24</v>
      </c>
      <c r="R161" s="289" t="n">
        <f aca="false">IF($L161=0,0,$L161*MAX(0,NETWORKDAYS(MAX($H161,ASOF,R$72),MIN(MAX($I161,ASOF),R$72+6),HOLIDAYS)))</f>
        <v>0</v>
      </c>
      <c r="S161" s="289" t="n">
        <f aca="false">IF($L161=0,0,$L161*MAX(0,NETWORKDAYS(MAX($H161,ASOF,S$72),MIN(MAX($I161,ASOF),S$72+6),HOLIDAYS)))</f>
        <v>0</v>
      </c>
      <c r="T161" s="289" t="n">
        <f aca="false">IF($L161=0,0,$L161*MAX(0,NETWORKDAYS(MAX($H161,ASOF,T$72),MIN(MAX($I161,ASOF),T$72+6),HOLIDAYS)))</f>
        <v>0</v>
      </c>
      <c r="U161" s="289" t="n">
        <f aca="false">IF($L161=0,0,$L161*MAX(0,NETWORKDAYS(MAX($H161,ASOF,U$72),MIN(MAX($I161,ASOF),U$72+6),HOLIDAYS)))</f>
        <v>0</v>
      </c>
      <c r="V161" s="289" t="n">
        <f aca="false">IF($L161=0,0,$L161*MAX(0,NETWORKDAYS(MAX($H161,ASOF,V$72),MIN(MAX($I161,ASOF),V$72+6),HOLIDAYS)))</f>
        <v>0</v>
      </c>
      <c r="W161" s="289" t="n">
        <f aca="false">IF($L161=0,0,$L161*MAX(0,NETWORKDAYS(MAX($H161,ASOF,W$72),MIN(MAX($I161,ASOF),W$72+6),HOLIDAYS)))</f>
        <v>0</v>
      </c>
      <c r="X161" s="289" t="n">
        <f aca="false">IF($L161=0,0,$L161*MAX(0,NETWORKDAYS(MAX($H161,ASOF,X$72),MIN(MAX($I161,ASOF),X$72+6),HOLIDAYS)))</f>
        <v>0</v>
      </c>
      <c r="Y161" s="289" t="n">
        <f aca="false">IF($L161=0,0,$L161*MAX(0,NETWORKDAYS(MAX($H161,ASOF,Y$72),MIN(MAX($I161,ASOF),Y$72+6),HOLIDAYS)))</f>
        <v>0</v>
      </c>
      <c r="Z161" s="289" t="n">
        <f aca="false">IF($L161=0,0,$L161*MAX(0,NETWORKDAYS(MAX($H161,ASOF,Z$72),MIN(MAX($I161,ASOF),Z$72+6),HOLIDAYS)))</f>
        <v>0</v>
      </c>
      <c r="AA161" s="289" t="n">
        <f aca="false">IF($L161=0,0,$L161*MAX(0,NETWORKDAYS(MAX($H161,ASOF,AA$72),MIN(MAX($I161,ASOF),AA$72+6),HOLIDAYS)))</f>
        <v>0</v>
      </c>
      <c r="AB161" s="289" t="n">
        <f aca="false">IF($L161=0,0,$L161*MAX(0,NETWORKDAYS(MAX($H161,ASOF,AB$72),MIN(MAX($I161,ASOF),AB$72+6),HOLIDAYS)))</f>
        <v>0</v>
      </c>
      <c r="AC161" s="289" t="n">
        <f aca="false">IF($L161=0,0,$L161*MAX(0,NETWORKDAYS(MAX($H161,ASOF,AC$72),MIN(MAX($I161,ASOF),AC$72+6),HOLIDAYS)))</f>
        <v>0</v>
      </c>
      <c r="AD161" s="289" t="n">
        <f aca="false">IF($L161=0,0,$L161*MAX(0,NETWORKDAYS(MAX($H161,ASOF,AD$72),MIN(MAX($I161,ASOF),AD$72+6),HOLIDAYS)))</f>
        <v>0</v>
      </c>
      <c r="AE161" s="289" t="n">
        <f aca="false">IF($L161=0,0,$L161*MAX(0,NETWORKDAYS(MAX($H161,ASOF,AE$72),MIN(MAX($I161,ASOF),AE$72+6),HOLIDAYS)))</f>
        <v>0</v>
      </c>
      <c r="AF161" s="289" t="n">
        <f aca="false">IF($L161=0,0,$L161*MAX(0,NETWORKDAYS(MAX($H161,ASOF,AF$72),MIN(MAX($I161,ASOF),AF$72+6),HOLIDAYS)))</f>
        <v>0</v>
      </c>
      <c r="AG161" s="289" t="n">
        <f aca="false">IF($L161=0,0,$L161*MAX(0,NETWORKDAYS(MAX($H161,ASOF,AG$72),MIN(MAX($I161,ASOF),AG$72+6),HOLIDAYS)))</f>
        <v>0</v>
      </c>
      <c r="AH161" s="289" t="n">
        <f aca="false">IF($L161=0,0,$L161*MAX(0,NETWORKDAYS(MAX($H161,ASOF,AH$72),MIN(MAX($I161,ASOF),AH$72+6),HOLIDAYS)))</f>
        <v>0</v>
      </c>
      <c r="AI161" s="289" t="n">
        <f aca="false">IF($L161=0,0,$L161*MAX(0,NETWORKDAYS(MAX($H161,ASOF,AI$72),MIN(MAX($I161,ASOF),AI$72+6),HOLIDAYS)))</f>
        <v>0</v>
      </c>
      <c r="AJ161" s="289" t="n">
        <f aca="false">IF($L161=0,0,$L161*MAX(0,NETWORKDAYS(MAX($H161,ASOF,AJ$72),MIN(MAX($I161,ASOF),AJ$72+6),HOLIDAYS)))</f>
        <v>0</v>
      </c>
      <c r="AK161" s="289" t="n">
        <f aca="false">IF($L161=0,0,$L161*MAX(0,NETWORKDAYS(MAX($H161,ASOF,AK$72),MIN(MAX($I161,ASOF),AK$72+6),HOLIDAYS)))</f>
        <v>0</v>
      </c>
      <c r="AL161" s="289" t="n">
        <f aca="false">IF($L161=0,0,$L161*MAX(0,NETWORKDAYS(MAX($H161,ASOF,AL$72),MIN(MAX($I161,ASOF),AL$72+6),HOLIDAYS)))</f>
        <v>0</v>
      </c>
      <c r="AM161" s="289" t="n">
        <f aca="false">IF($L161=0,0,$L161*MAX(0,NETWORKDAYS(MAX($H161,ASOF,AM$72),MIN(MAX($I161,ASOF),AM$72+6),HOLIDAYS)))</f>
        <v>0</v>
      </c>
      <c r="AN161" s="289" t="n">
        <f aca="false">IF($L161=0,0,$L161*MAX(0,NETWORKDAYS(MAX($H161,ASOF,AN$72),MIN(MAX($I161,ASOF),AN$72+6),HOLIDAYS)))</f>
        <v>0</v>
      </c>
      <c r="AO161" s="289" t="n">
        <f aca="false">IF($L161=0,0,$L161*MAX(0,NETWORKDAYS(MAX($H161,ASOF,AO$72),MIN(MAX($I161,ASOF),AO$72+6),HOLIDAYS)))</f>
        <v>0</v>
      </c>
      <c r="AP161" s="289" t="n">
        <f aca="false">IF($L161=0,0,$L161*MAX(0,NETWORKDAYS(MAX($H161,ASOF,AP$72),MIN(MAX($I161,ASOF),AP$72+6),HOLIDAYS)))</f>
        <v>0</v>
      </c>
      <c r="AQ161" s="289" t="n">
        <f aca="false">IF($L161=0,0,$L161*MAX(0,NETWORKDAYS(MAX($H161,ASOF,AQ$72),MIN(MAX($I161,ASOF),AQ$72+6),HOLIDAYS)))</f>
        <v>0</v>
      </c>
      <c r="AR161" s="289" t="n">
        <f aca="false">IF($L161=0,0,$L161*MAX(0,NETWORKDAYS(MAX($H161,ASOF,AR$72),MIN(MAX($I161,ASOF),AR$72+6),HOLIDAYS)))</f>
        <v>0</v>
      </c>
    </row>
    <row r="162" customFormat="false" ht="15" hidden="false" customHeight="false" outlineLevel="1" collapsed="false">
      <c r="A162" s="282" t="s">
        <v>70</v>
      </c>
      <c r="B162" s="283" t="s">
        <v>72</v>
      </c>
      <c r="C162" s="284" t="s">
        <v>2364</v>
      </c>
      <c r="D162" s="284" t="s">
        <v>2284</v>
      </c>
      <c r="E162" s="285" t="n">
        <f aca="false">IFERROR(INDEX(INVS_N,MATCH("P9-008",INVS_ID,0)),2)</f>
        <v>2</v>
      </c>
      <c r="F162" s="290" t="s">
        <v>2365</v>
      </c>
      <c r="G162" s="285" t="n">
        <f aca="false">$F$10*(E162/$G$10+$H$10)</f>
        <v>4.5</v>
      </c>
      <c r="H162" s="286" t="n">
        <f aca="false">IF(ISNUMBER('P9-008'!$N$85),'P9-008'!$N$85,"")</f>
        <v>46343</v>
      </c>
      <c r="I162" s="286" t="n">
        <f aca="false">IF(ISNUMBER('P9-008'!$O$85),'P9-008'!$O$85,"")</f>
        <v>46346</v>
      </c>
      <c r="J162" s="287" t="n">
        <f aca="false">IF(OR(H162="",I162="",N162&gt;=1),0,MAX(1,NETWORKDAYS(MAX(H162,ASOF),MAX(I162,ASOF),HOLIDAYS)))</f>
        <v>4</v>
      </c>
      <c r="K162" s="287" t="n">
        <f aca="false">IF(L162=0,0,ROUNDUP(L162/$F$10,0))</f>
        <v>1</v>
      </c>
      <c r="L162" s="285" t="n">
        <f aca="false">IF(J162=0,0,G162*(1-N162)/J162)</f>
        <v>1.125</v>
      </c>
      <c r="M162" s="283" t="s">
        <v>2293</v>
      </c>
      <c r="N162" s="288" t="n">
        <f aca="false">IFERROR(MIN(1,'P9-008'!$V$85)+0,0)</f>
        <v>0</v>
      </c>
      <c r="O162" s="289" t="n">
        <f aca="false">IF($L162=0,0,$L162*MAX(0,NETWORKDAYS(MAX($H162,ASOF,O$72),MIN(MAX($I162,ASOF),O$72+6),HOLIDAYS)))</f>
        <v>0</v>
      </c>
      <c r="P162" s="289" t="n">
        <f aca="false">IF($L162=0,0,$L162*MAX(0,NETWORKDAYS(MAX($H162,ASOF,P$72),MIN(MAX($I162,ASOF),P$72+6),HOLIDAYS)))</f>
        <v>0</v>
      </c>
      <c r="Q162" s="289" t="n">
        <f aca="false">IF($L162=0,0,$L162*MAX(0,NETWORKDAYS(MAX($H162,ASOF,Q$72),MIN(MAX($I162,ASOF),Q$72+6),HOLIDAYS)))</f>
        <v>4.5</v>
      </c>
      <c r="R162" s="289" t="n">
        <f aca="false">IF($L162=0,0,$L162*MAX(0,NETWORKDAYS(MAX($H162,ASOF,R$72),MIN(MAX($I162,ASOF),R$72+6),HOLIDAYS)))</f>
        <v>0</v>
      </c>
      <c r="S162" s="289" t="n">
        <f aca="false">IF($L162=0,0,$L162*MAX(0,NETWORKDAYS(MAX($H162,ASOF,S$72),MIN(MAX($I162,ASOF),S$72+6),HOLIDAYS)))</f>
        <v>0</v>
      </c>
      <c r="T162" s="289" t="n">
        <f aca="false">IF($L162=0,0,$L162*MAX(0,NETWORKDAYS(MAX($H162,ASOF,T$72),MIN(MAX($I162,ASOF),T$72+6),HOLIDAYS)))</f>
        <v>0</v>
      </c>
      <c r="U162" s="289" t="n">
        <f aca="false">IF($L162=0,0,$L162*MAX(0,NETWORKDAYS(MAX($H162,ASOF,U$72),MIN(MAX($I162,ASOF),U$72+6),HOLIDAYS)))</f>
        <v>0</v>
      </c>
      <c r="V162" s="289" t="n">
        <f aca="false">IF($L162=0,0,$L162*MAX(0,NETWORKDAYS(MAX($H162,ASOF,V$72),MIN(MAX($I162,ASOF),V$72+6),HOLIDAYS)))</f>
        <v>0</v>
      </c>
      <c r="W162" s="289" t="n">
        <f aca="false">IF($L162=0,0,$L162*MAX(0,NETWORKDAYS(MAX($H162,ASOF,W$72),MIN(MAX($I162,ASOF),W$72+6),HOLIDAYS)))</f>
        <v>0</v>
      </c>
      <c r="X162" s="289" t="n">
        <f aca="false">IF($L162=0,0,$L162*MAX(0,NETWORKDAYS(MAX($H162,ASOF,X$72),MIN(MAX($I162,ASOF),X$72+6),HOLIDAYS)))</f>
        <v>0</v>
      </c>
      <c r="Y162" s="289" t="n">
        <f aca="false">IF($L162=0,0,$L162*MAX(0,NETWORKDAYS(MAX($H162,ASOF,Y$72),MIN(MAX($I162,ASOF),Y$72+6),HOLIDAYS)))</f>
        <v>0</v>
      </c>
      <c r="Z162" s="289" t="n">
        <f aca="false">IF($L162=0,0,$L162*MAX(0,NETWORKDAYS(MAX($H162,ASOF,Z$72),MIN(MAX($I162,ASOF),Z$72+6),HOLIDAYS)))</f>
        <v>0</v>
      </c>
      <c r="AA162" s="289" t="n">
        <f aca="false">IF($L162=0,0,$L162*MAX(0,NETWORKDAYS(MAX($H162,ASOF,AA$72),MIN(MAX($I162,ASOF),AA$72+6),HOLIDAYS)))</f>
        <v>0</v>
      </c>
      <c r="AB162" s="289" t="n">
        <f aca="false">IF($L162=0,0,$L162*MAX(0,NETWORKDAYS(MAX($H162,ASOF,AB$72),MIN(MAX($I162,ASOF),AB$72+6),HOLIDAYS)))</f>
        <v>0</v>
      </c>
      <c r="AC162" s="289" t="n">
        <f aca="false">IF($L162=0,0,$L162*MAX(0,NETWORKDAYS(MAX($H162,ASOF,AC$72),MIN(MAX($I162,ASOF),AC$72+6),HOLIDAYS)))</f>
        <v>0</v>
      </c>
      <c r="AD162" s="289" t="n">
        <f aca="false">IF($L162=0,0,$L162*MAX(0,NETWORKDAYS(MAX($H162,ASOF,AD$72),MIN(MAX($I162,ASOF),AD$72+6),HOLIDAYS)))</f>
        <v>0</v>
      </c>
      <c r="AE162" s="289" t="n">
        <f aca="false">IF($L162=0,0,$L162*MAX(0,NETWORKDAYS(MAX($H162,ASOF,AE$72),MIN(MAX($I162,ASOF),AE$72+6),HOLIDAYS)))</f>
        <v>0</v>
      </c>
      <c r="AF162" s="289" t="n">
        <f aca="false">IF($L162=0,0,$L162*MAX(0,NETWORKDAYS(MAX($H162,ASOF,AF$72),MIN(MAX($I162,ASOF),AF$72+6),HOLIDAYS)))</f>
        <v>0</v>
      </c>
      <c r="AG162" s="289" t="n">
        <f aca="false">IF($L162=0,0,$L162*MAX(0,NETWORKDAYS(MAX($H162,ASOF,AG$72),MIN(MAX($I162,ASOF),AG$72+6),HOLIDAYS)))</f>
        <v>0</v>
      </c>
      <c r="AH162" s="289" t="n">
        <f aca="false">IF($L162=0,0,$L162*MAX(0,NETWORKDAYS(MAX($H162,ASOF,AH$72),MIN(MAX($I162,ASOF),AH$72+6),HOLIDAYS)))</f>
        <v>0</v>
      </c>
      <c r="AI162" s="289" t="n">
        <f aca="false">IF($L162=0,0,$L162*MAX(0,NETWORKDAYS(MAX($H162,ASOF,AI$72),MIN(MAX($I162,ASOF),AI$72+6),HOLIDAYS)))</f>
        <v>0</v>
      </c>
      <c r="AJ162" s="289" t="n">
        <f aca="false">IF($L162=0,0,$L162*MAX(0,NETWORKDAYS(MAX($H162,ASOF,AJ$72),MIN(MAX($I162,ASOF),AJ$72+6),HOLIDAYS)))</f>
        <v>0</v>
      </c>
      <c r="AK162" s="289" t="n">
        <f aca="false">IF($L162=0,0,$L162*MAX(0,NETWORKDAYS(MAX($H162,ASOF,AK$72),MIN(MAX($I162,ASOF),AK$72+6),HOLIDAYS)))</f>
        <v>0</v>
      </c>
      <c r="AL162" s="289" t="n">
        <f aca="false">IF($L162=0,0,$L162*MAX(0,NETWORKDAYS(MAX($H162,ASOF,AL$72),MIN(MAX($I162,ASOF),AL$72+6),HOLIDAYS)))</f>
        <v>0</v>
      </c>
      <c r="AM162" s="289" t="n">
        <f aca="false">IF($L162=0,0,$L162*MAX(0,NETWORKDAYS(MAX($H162,ASOF,AM$72),MIN(MAX($I162,ASOF),AM$72+6),HOLIDAYS)))</f>
        <v>0</v>
      </c>
      <c r="AN162" s="289" t="n">
        <f aca="false">IF($L162=0,0,$L162*MAX(0,NETWORKDAYS(MAX($H162,ASOF,AN$72),MIN(MAX($I162,ASOF),AN$72+6),HOLIDAYS)))</f>
        <v>0</v>
      </c>
      <c r="AO162" s="289" t="n">
        <f aca="false">IF($L162=0,0,$L162*MAX(0,NETWORKDAYS(MAX($H162,ASOF,AO$72),MIN(MAX($I162,ASOF),AO$72+6),HOLIDAYS)))</f>
        <v>0</v>
      </c>
      <c r="AP162" s="289" t="n">
        <f aca="false">IF($L162=0,0,$L162*MAX(0,NETWORKDAYS(MAX($H162,ASOF,AP$72),MIN(MAX($I162,ASOF),AP$72+6),HOLIDAYS)))</f>
        <v>0</v>
      </c>
      <c r="AQ162" s="289" t="n">
        <f aca="false">IF($L162=0,0,$L162*MAX(0,NETWORKDAYS(MAX($H162,ASOF,AQ$72),MIN(MAX($I162,ASOF),AQ$72+6),HOLIDAYS)))</f>
        <v>0</v>
      </c>
      <c r="AR162" s="289" t="n">
        <f aca="false">IF($L162=0,0,$L162*MAX(0,NETWORKDAYS(MAX($H162,ASOF,AR$72),MIN(MAX($I162,ASOF),AR$72+6),HOLIDAYS)))</f>
        <v>0</v>
      </c>
    </row>
    <row r="163" customFormat="false" ht="15" hidden="false" customHeight="false" outlineLevel="1" collapsed="false">
      <c r="A163" s="282" t="s">
        <v>70</v>
      </c>
      <c r="B163" s="283" t="s">
        <v>72</v>
      </c>
      <c r="C163" s="284" t="s">
        <v>2366</v>
      </c>
      <c r="D163" s="284" t="s">
        <v>2284</v>
      </c>
      <c r="E163" s="285" t="n">
        <v>1</v>
      </c>
      <c r="F163" s="290" t="s">
        <v>35</v>
      </c>
      <c r="G163" s="285" t="n">
        <f aca="false">$F$11*$H$11</f>
        <v>16</v>
      </c>
      <c r="H163" s="286" t="n">
        <f aca="false">IF(ISNUMBER('P9-008'!$N$90),'P9-008'!$N$90,"")</f>
        <v>46344</v>
      </c>
      <c r="I163" s="286" t="n">
        <f aca="false">IF(ISNUMBER('P9-008'!$O$90),'P9-008'!$O$90,"")</f>
        <v>46347</v>
      </c>
      <c r="J163" s="287" t="n">
        <f aca="false">IF(OR(H163="",I163="",N163&gt;=1),0,MAX(1,NETWORKDAYS(MAX(H163,ASOF),MAX(I163,ASOF),HOLIDAYS)))</f>
        <v>3</v>
      </c>
      <c r="K163" s="287" t="n">
        <f aca="false">IF(L163=0,0,ROUNDUP(L163/$F$11,0))</f>
        <v>2</v>
      </c>
      <c r="L163" s="285" t="n">
        <f aca="false">IF(J163=0,0,G163*(1-N163)/J163)</f>
        <v>5.33333333333333</v>
      </c>
      <c r="M163" s="283" t="s">
        <v>1113</v>
      </c>
      <c r="N163" s="288" t="n">
        <f aca="false">IFERROR(MIN(1,'P9-008'!$V$90)+0,0)</f>
        <v>0</v>
      </c>
      <c r="O163" s="289" t="n">
        <f aca="false">IF($L163=0,0,$L163*MAX(0,NETWORKDAYS(MAX($H163,ASOF,O$72),MIN(MAX($I163,ASOF),O$72+6),HOLIDAYS)))</f>
        <v>0</v>
      </c>
      <c r="P163" s="289" t="n">
        <f aca="false">IF($L163=0,0,$L163*MAX(0,NETWORKDAYS(MAX($H163,ASOF,P$72),MIN(MAX($I163,ASOF),P$72+6),HOLIDAYS)))</f>
        <v>0</v>
      </c>
      <c r="Q163" s="289" t="n">
        <f aca="false">IF($L163=0,0,$L163*MAX(0,NETWORKDAYS(MAX($H163,ASOF,Q$72),MIN(MAX($I163,ASOF),Q$72+6),HOLIDAYS)))</f>
        <v>16</v>
      </c>
      <c r="R163" s="289" t="n">
        <f aca="false">IF($L163=0,0,$L163*MAX(0,NETWORKDAYS(MAX($H163,ASOF,R$72),MIN(MAX($I163,ASOF),R$72+6),HOLIDAYS)))</f>
        <v>0</v>
      </c>
      <c r="S163" s="289" t="n">
        <f aca="false">IF($L163=0,0,$L163*MAX(0,NETWORKDAYS(MAX($H163,ASOF,S$72),MIN(MAX($I163,ASOF),S$72+6),HOLIDAYS)))</f>
        <v>0</v>
      </c>
      <c r="T163" s="289" t="n">
        <f aca="false">IF($L163=0,0,$L163*MAX(0,NETWORKDAYS(MAX($H163,ASOF,T$72),MIN(MAX($I163,ASOF),T$72+6),HOLIDAYS)))</f>
        <v>0</v>
      </c>
      <c r="U163" s="289" t="n">
        <f aca="false">IF($L163=0,0,$L163*MAX(0,NETWORKDAYS(MAX($H163,ASOF,U$72),MIN(MAX($I163,ASOF),U$72+6),HOLIDAYS)))</f>
        <v>0</v>
      </c>
      <c r="V163" s="289" t="n">
        <f aca="false">IF($L163=0,0,$L163*MAX(0,NETWORKDAYS(MAX($H163,ASOF,V$72),MIN(MAX($I163,ASOF),V$72+6),HOLIDAYS)))</f>
        <v>0</v>
      </c>
      <c r="W163" s="289" t="n">
        <f aca="false">IF($L163=0,0,$L163*MAX(0,NETWORKDAYS(MAX($H163,ASOF,W$72),MIN(MAX($I163,ASOF),W$72+6),HOLIDAYS)))</f>
        <v>0</v>
      </c>
      <c r="X163" s="289" t="n">
        <f aca="false">IF($L163=0,0,$L163*MAX(0,NETWORKDAYS(MAX($H163,ASOF,X$72),MIN(MAX($I163,ASOF),X$72+6),HOLIDAYS)))</f>
        <v>0</v>
      </c>
      <c r="Y163" s="289" t="n">
        <f aca="false">IF($L163=0,0,$L163*MAX(0,NETWORKDAYS(MAX($H163,ASOF,Y$72),MIN(MAX($I163,ASOF),Y$72+6),HOLIDAYS)))</f>
        <v>0</v>
      </c>
      <c r="Z163" s="289" t="n">
        <f aca="false">IF($L163=0,0,$L163*MAX(0,NETWORKDAYS(MAX($H163,ASOF,Z$72),MIN(MAX($I163,ASOF),Z$72+6),HOLIDAYS)))</f>
        <v>0</v>
      </c>
      <c r="AA163" s="289" t="n">
        <f aca="false">IF($L163=0,0,$L163*MAX(0,NETWORKDAYS(MAX($H163,ASOF,AA$72),MIN(MAX($I163,ASOF),AA$72+6),HOLIDAYS)))</f>
        <v>0</v>
      </c>
      <c r="AB163" s="289" t="n">
        <f aca="false">IF($L163=0,0,$L163*MAX(0,NETWORKDAYS(MAX($H163,ASOF,AB$72),MIN(MAX($I163,ASOF),AB$72+6),HOLIDAYS)))</f>
        <v>0</v>
      </c>
      <c r="AC163" s="289" t="n">
        <f aca="false">IF($L163=0,0,$L163*MAX(0,NETWORKDAYS(MAX($H163,ASOF,AC$72),MIN(MAX($I163,ASOF),AC$72+6),HOLIDAYS)))</f>
        <v>0</v>
      </c>
      <c r="AD163" s="289" t="n">
        <f aca="false">IF($L163=0,0,$L163*MAX(0,NETWORKDAYS(MAX($H163,ASOF,AD$72),MIN(MAX($I163,ASOF),AD$72+6),HOLIDAYS)))</f>
        <v>0</v>
      </c>
      <c r="AE163" s="289" t="n">
        <f aca="false">IF($L163=0,0,$L163*MAX(0,NETWORKDAYS(MAX($H163,ASOF,AE$72),MIN(MAX($I163,ASOF),AE$72+6),HOLIDAYS)))</f>
        <v>0</v>
      </c>
      <c r="AF163" s="289" t="n">
        <f aca="false">IF($L163=0,0,$L163*MAX(0,NETWORKDAYS(MAX($H163,ASOF,AF$72),MIN(MAX($I163,ASOF),AF$72+6),HOLIDAYS)))</f>
        <v>0</v>
      </c>
      <c r="AG163" s="289" t="n">
        <f aca="false">IF($L163=0,0,$L163*MAX(0,NETWORKDAYS(MAX($H163,ASOF,AG$72),MIN(MAX($I163,ASOF),AG$72+6),HOLIDAYS)))</f>
        <v>0</v>
      </c>
      <c r="AH163" s="289" t="n">
        <f aca="false">IF($L163=0,0,$L163*MAX(0,NETWORKDAYS(MAX($H163,ASOF,AH$72),MIN(MAX($I163,ASOF),AH$72+6),HOLIDAYS)))</f>
        <v>0</v>
      </c>
      <c r="AI163" s="289" t="n">
        <f aca="false">IF($L163=0,0,$L163*MAX(0,NETWORKDAYS(MAX($H163,ASOF,AI$72),MIN(MAX($I163,ASOF),AI$72+6),HOLIDAYS)))</f>
        <v>0</v>
      </c>
      <c r="AJ163" s="289" t="n">
        <f aca="false">IF($L163=0,0,$L163*MAX(0,NETWORKDAYS(MAX($H163,ASOF,AJ$72),MIN(MAX($I163,ASOF),AJ$72+6),HOLIDAYS)))</f>
        <v>0</v>
      </c>
      <c r="AK163" s="289" t="n">
        <f aca="false">IF($L163=0,0,$L163*MAX(0,NETWORKDAYS(MAX($H163,ASOF,AK$72),MIN(MAX($I163,ASOF),AK$72+6),HOLIDAYS)))</f>
        <v>0</v>
      </c>
      <c r="AL163" s="289" t="n">
        <f aca="false">IF($L163=0,0,$L163*MAX(0,NETWORKDAYS(MAX($H163,ASOF,AL$72),MIN(MAX($I163,ASOF),AL$72+6),HOLIDAYS)))</f>
        <v>0</v>
      </c>
      <c r="AM163" s="289" t="n">
        <f aca="false">IF($L163=0,0,$L163*MAX(0,NETWORKDAYS(MAX($H163,ASOF,AM$72),MIN(MAX($I163,ASOF),AM$72+6),HOLIDAYS)))</f>
        <v>0</v>
      </c>
      <c r="AN163" s="289" t="n">
        <f aca="false">IF($L163=0,0,$L163*MAX(0,NETWORKDAYS(MAX($H163,ASOF,AN$72),MIN(MAX($I163,ASOF),AN$72+6),HOLIDAYS)))</f>
        <v>0</v>
      </c>
      <c r="AO163" s="289" t="n">
        <f aca="false">IF($L163=0,0,$L163*MAX(0,NETWORKDAYS(MAX($H163,ASOF,AO$72),MIN(MAX($I163,ASOF),AO$72+6),HOLIDAYS)))</f>
        <v>0</v>
      </c>
      <c r="AP163" s="289" t="n">
        <f aca="false">IF($L163=0,0,$L163*MAX(0,NETWORKDAYS(MAX($H163,ASOF,AP$72),MIN(MAX($I163,ASOF),AP$72+6),HOLIDAYS)))</f>
        <v>0</v>
      </c>
      <c r="AQ163" s="289" t="n">
        <f aca="false">IF($L163=0,0,$L163*MAX(0,NETWORKDAYS(MAX($H163,ASOF,AQ$72),MIN(MAX($I163,ASOF),AQ$72+6),HOLIDAYS)))</f>
        <v>0</v>
      </c>
      <c r="AR163" s="289" t="n">
        <f aca="false">IF($L163=0,0,$L163*MAX(0,NETWORKDAYS(MAX($H163,ASOF,AR$72),MIN(MAX($I163,ASOF),AR$72+6),HOLIDAYS)))</f>
        <v>0</v>
      </c>
    </row>
    <row r="164" customFormat="false" ht="15" hidden="false" customHeight="false" outlineLevel="1" collapsed="false">
      <c r="A164" s="282" t="s">
        <v>70</v>
      </c>
      <c r="B164" s="283" t="s">
        <v>72</v>
      </c>
      <c r="C164" s="284" t="s">
        <v>2367</v>
      </c>
      <c r="D164" s="284" t="s">
        <v>2284</v>
      </c>
      <c r="E164" s="285" t="n">
        <v>1</v>
      </c>
      <c r="F164" s="290" t="s">
        <v>35</v>
      </c>
      <c r="G164" s="285" t="n">
        <f aca="false">$F$12*$H$12</f>
        <v>4</v>
      </c>
      <c r="H164" s="286" t="n">
        <f aca="false">IF(ISNUMBER('P9-008'!$N$96),'P9-008'!$N$96,"")</f>
        <v>46345</v>
      </c>
      <c r="I164" s="286" t="n">
        <f aca="false">IF(ISNUMBER('P9-008'!$O$96),'P9-008'!$O$96,"")</f>
        <v>46347</v>
      </c>
      <c r="J164" s="287" t="n">
        <f aca="false">IF(OR(H164="",I164="",N164&gt;=1),0,MAX(1,NETWORKDAYS(MAX(H164,ASOF),MAX(I164,ASOF),HOLIDAYS)))</f>
        <v>2</v>
      </c>
      <c r="K164" s="287" t="n">
        <f aca="false">IF(L164=0,0,ROUNDUP(L164/$F$12,0))</f>
        <v>1</v>
      </c>
      <c r="L164" s="285" t="n">
        <f aca="false">IF(J164=0,0,G164*(1-N164)/J164)</f>
        <v>2</v>
      </c>
      <c r="M164" s="283" t="s">
        <v>1147</v>
      </c>
      <c r="N164" s="288" t="n">
        <f aca="false">IFERROR(MIN(1,'P9-008'!$V$96)+0,0)</f>
        <v>0</v>
      </c>
      <c r="O164" s="289" t="n">
        <f aca="false">IF($L164=0,0,$L164*MAX(0,NETWORKDAYS(MAX($H164,ASOF,O$72),MIN(MAX($I164,ASOF),O$72+6),HOLIDAYS)))</f>
        <v>0</v>
      </c>
      <c r="P164" s="289" t="n">
        <f aca="false">IF($L164=0,0,$L164*MAX(0,NETWORKDAYS(MAX($H164,ASOF,P$72),MIN(MAX($I164,ASOF),P$72+6),HOLIDAYS)))</f>
        <v>0</v>
      </c>
      <c r="Q164" s="289" t="n">
        <f aca="false">IF($L164=0,0,$L164*MAX(0,NETWORKDAYS(MAX($H164,ASOF,Q$72),MIN(MAX($I164,ASOF),Q$72+6),HOLIDAYS)))</f>
        <v>4</v>
      </c>
      <c r="R164" s="289" t="n">
        <f aca="false">IF($L164=0,0,$L164*MAX(0,NETWORKDAYS(MAX($H164,ASOF,R$72),MIN(MAX($I164,ASOF),R$72+6),HOLIDAYS)))</f>
        <v>0</v>
      </c>
      <c r="S164" s="289" t="n">
        <f aca="false">IF($L164=0,0,$L164*MAX(0,NETWORKDAYS(MAX($H164,ASOF,S$72),MIN(MAX($I164,ASOF),S$72+6),HOLIDAYS)))</f>
        <v>0</v>
      </c>
      <c r="T164" s="289" t="n">
        <f aca="false">IF($L164=0,0,$L164*MAX(0,NETWORKDAYS(MAX($H164,ASOF,T$72),MIN(MAX($I164,ASOF),T$72+6),HOLIDAYS)))</f>
        <v>0</v>
      </c>
      <c r="U164" s="289" t="n">
        <f aca="false">IF($L164=0,0,$L164*MAX(0,NETWORKDAYS(MAX($H164,ASOF,U$72),MIN(MAX($I164,ASOF),U$72+6),HOLIDAYS)))</f>
        <v>0</v>
      </c>
      <c r="V164" s="289" t="n">
        <f aca="false">IF($L164=0,0,$L164*MAX(0,NETWORKDAYS(MAX($H164,ASOF,V$72),MIN(MAX($I164,ASOF),V$72+6),HOLIDAYS)))</f>
        <v>0</v>
      </c>
      <c r="W164" s="289" t="n">
        <f aca="false">IF($L164=0,0,$L164*MAX(0,NETWORKDAYS(MAX($H164,ASOF,W$72),MIN(MAX($I164,ASOF),W$72+6),HOLIDAYS)))</f>
        <v>0</v>
      </c>
      <c r="X164" s="289" t="n">
        <f aca="false">IF($L164=0,0,$L164*MAX(0,NETWORKDAYS(MAX($H164,ASOF,X$72),MIN(MAX($I164,ASOF),X$72+6),HOLIDAYS)))</f>
        <v>0</v>
      </c>
      <c r="Y164" s="289" t="n">
        <f aca="false">IF($L164=0,0,$L164*MAX(0,NETWORKDAYS(MAX($H164,ASOF,Y$72),MIN(MAX($I164,ASOF),Y$72+6),HOLIDAYS)))</f>
        <v>0</v>
      </c>
      <c r="Z164" s="289" t="n">
        <f aca="false">IF($L164=0,0,$L164*MAX(0,NETWORKDAYS(MAX($H164,ASOF,Z$72),MIN(MAX($I164,ASOF),Z$72+6),HOLIDAYS)))</f>
        <v>0</v>
      </c>
      <c r="AA164" s="289" t="n">
        <f aca="false">IF($L164=0,0,$L164*MAX(0,NETWORKDAYS(MAX($H164,ASOF,AA$72),MIN(MAX($I164,ASOF),AA$72+6),HOLIDAYS)))</f>
        <v>0</v>
      </c>
      <c r="AB164" s="289" t="n">
        <f aca="false">IF($L164=0,0,$L164*MAX(0,NETWORKDAYS(MAX($H164,ASOF,AB$72),MIN(MAX($I164,ASOF),AB$72+6),HOLIDAYS)))</f>
        <v>0</v>
      </c>
      <c r="AC164" s="289" t="n">
        <f aca="false">IF($L164=0,0,$L164*MAX(0,NETWORKDAYS(MAX($H164,ASOF,AC$72),MIN(MAX($I164,ASOF),AC$72+6),HOLIDAYS)))</f>
        <v>0</v>
      </c>
      <c r="AD164" s="289" t="n">
        <f aca="false">IF($L164=0,0,$L164*MAX(0,NETWORKDAYS(MAX($H164,ASOF,AD$72),MIN(MAX($I164,ASOF),AD$72+6),HOLIDAYS)))</f>
        <v>0</v>
      </c>
      <c r="AE164" s="289" t="n">
        <f aca="false">IF($L164=0,0,$L164*MAX(0,NETWORKDAYS(MAX($H164,ASOF,AE$72),MIN(MAX($I164,ASOF),AE$72+6),HOLIDAYS)))</f>
        <v>0</v>
      </c>
      <c r="AF164" s="289" t="n">
        <f aca="false">IF($L164=0,0,$L164*MAX(0,NETWORKDAYS(MAX($H164,ASOF,AF$72),MIN(MAX($I164,ASOF),AF$72+6),HOLIDAYS)))</f>
        <v>0</v>
      </c>
      <c r="AG164" s="289" t="n">
        <f aca="false">IF($L164=0,0,$L164*MAX(0,NETWORKDAYS(MAX($H164,ASOF,AG$72),MIN(MAX($I164,ASOF),AG$72+6),HOLIDAYS)))</f>
        <v>0</v>
      </c>
      <c r="AH164" s="289" t="n">
        <f aca="false">IF($L164=0,0,$L164*MAX(0,NETWORKDAYS(MAX($H164,ASOF,AH$72),MIN(MAX($I164,ASOF),AH$72+6),HOLIDAYS)))</f>
        <v>0</v>
      </c>
      <c r="AI164" s="289" t="n">
        <f aca="false">IF($L164=0,0,$L164*MAX(0,NETWORKDAYS(MAX($H164,ASOF,AI$72),MIN(MAX($I164,ASOF),AI$72+6),HOLIDAYS)))</f>
        <v>0</v>
      </c>
      <c r="AJ164" s="289" t="n">
        <f aca="false">IF($L164=0,0,$L164*MAX(0,NETWORKDAYS(MAX($H164,ASOF,AJ$72),MIN(MAX($I164,ASOF),AJ$72+6),HOLIDAYS)))</f>
        <v>0</v>
      </c>
      <c r="AK164" s="289" t="n">
        <f aca="false">IF($L164=0,0,$L164*MAX(0,NETWORKDAYS(MAX($H164,ASOF,AK$72),MIN(MAX($I164,ASOF),AK$72+6),HOLIDAYS)))</f>
        <v>0</v>
      </c>
      <c r="AL164" s="289" t="n">
        <f aca="false">IF($L164=0,0,$L164*MAX(0,NETWORKDAYS(MAX($H164,ASOF,AL$72),MIN(MAX($I164,ASOF),AL$72+6),HOLIDAYS)))</f>
        <v>0</v>
      </c>
      <c r="AM164" s="289" t="n">
        <f aca="false">IF($L164=0,0,$L164*MAX(0,NETWORKDAYS(MAX($H164,ASOF,AM$72),MIN(MAX($I164,ASOF),AM$72+6),HOLIDAYS)))</f>
        <v>0</v>
      </c>
      <c r="AN164" s="289" t="n">
        <f aca="false">IF($L164=0,0,$L164*MAX(0,NETWORKDAYS(MAX($H164,ASOF,AN$72),MIN(MAX($I164,ASOF),AN$72+6),HOLIDAYS)))</f>
        <v>0</v>
      </c>
      <c r="AO164" s="289" t="n">
        <f aca="false">IF($L164=0,0,$L164*MAX(0,NETWORKDAYS(MAX($H164,ASOF,AO$72),MIN(MAX($I164,ASOF),AO$72+6),HOLIDAYS)))</f>
        <v>0</v>
      </c>
      <c r="AP164" s="289" t="n">
        <f aca="false">IF($L164=0,0,$L164*MAX(0,NETWORKDAYS(MAX($H164,ASOF,AP$72),MIN(MAX($I164,ASOF),AP$72+6),HOLIDAYS)))</f>
        <v>0</v>
      </c>
      <c r="AQ164" s="289" t="n">
        <f aca="false">IF($L164=0,0,$L164*MAX(0,NETWORKDAYS(MAX($H164,ASOF,AQ$72),MIN(MAX($I164,ASOF),AQ$72+6),HOLIDAYS)))</f>
        <v>0</v>
      </c>
      <c r="AR164" s="289" t="n">
        <f aca="false">IF($L164=0,0,$L164*MAX(0,NETWORKDAYS(MAX($H164,ASOF,AR$72),MIN(MAX($I164,ASOF),AR$72+6),HOLIDAYS)))</f>
        <v>0</v>
      </c>
    </row>
    <row r="165" customFormat="false" ht="15" hidden="false" customHeight="false" outlineLevel="1" collapsed="false">
      <c r="A165" s="282" t="s">
        <v>70</v>
      </c>
      <c r="B165" s="283" t="s">
        <v>72</v>
      </c>
      <c r="C165" s="284" t="s">
        <v>2371</v>
      </c>
      <c r="D165" s="284" t="s">
        <v>2284</v>
      </c>
      <c r="E165" s="285" t="n">
        <v>1</v>
      </c>
      <c r="F165" s="290" t="s">
        <v>35</v>
      </c>
      <c r="G165" s="285" t="n">
        <f aca="false">$F$14*$H$14</f>
        <v>3</v>
      </c>
      <c r="H165" s="286" t="n">
        <f aca="false">IF(ISNUMBER('P9-008'!$N$100),'P9-008'!$N$100,"")</f>
        <v>46346</v>
      </c>
      <c r="I165" s="286" t="n">
        <f aca="false">IF(ISNUMBER('P9-008'!$O$100),'P9-008'!$O$100,"")</f>
        <v>46348</v>
      </c>
      <c r="J165" s="287" t="n">
        <f aca="false">IF(OR(H165="",I165="",N165&gt;=1),0,MAX(1,NETWORKDAYS(MAX(H165,ASOF),MAX(I165,ASOF),HOLIDAYS)))</f>
        <v>1</v>
      </c>
      <c r="K165" s="287" t="n">
        <f aca="false">IF(L165=0,0,ROUNDUP(L165/$F$14,0))</f>
        <v>2</v>
      </c>
      <c r="L165" s="285" t="n">
        <f aca="false">IF(J165=0,0,G165*(1-N165)/J165)</f>
        <v>3</v>
      </c>
      <c r="M165" s="283" t="s">
        <v>2304</v>
      </c>
      <c r="N165" s="288" t="n">
        <f aca="false">IFERROR(MIN(1,'P9-008'!$V$100)+0,0)</f>
        <v>0</v>
      </c>
      <c r="O165" s="289" t="n">
        <f aca="false">IF($L165=0,0,$L165*MAX(0,NETWORKDAYS(MAX($H165,ASOF,O$72),MIN(MAX($I165,ASOF),O$72+6),HOLIDAYS)))</f>
        <v>0</v>
      </c>
      <c r="P165" s="289" t="n">
        <f aca="false">IF($L165=0,0,$L165*MAX(0,NETWORKDAYS(MAX($H165,ASOF,P$72),MIN(MAX($I165,ASOF),P$72+6),HOLIDAYS)))</f>
        <v>0</v>
      </c>
      <c r="Q165" s="289" t="n">
        <f aca="false">IF($L165=0,0,$L165*MAX(0,NETWORKDAYS(MAX($H165,ASOF,Q$72),MIN(MAX($I165,ASOF),Q$72+6),HOLIDAYS)))</f>
        <v>3</v>
      </c>
      <c r="R165" s="289" t="n">
        <f aca="false">IF($L165=0,0,$L165*MAX(0,NETWORKDAYS(MAX($H165,ASOF,R$72),MIN(MAX($I165,ASOF),R$72+6),HOLIDAYS)))</f>
        <v>0</v>
      </c>
      <c r="S165" s="289" t="n">
        <f aca="false">IF($L165=0,0,$L165*MAX(0,NETWORKDAYS(MAX($H165,ASOF,S$72),MIN(MAX($I165,ASOF),S$72+6),HOLIDAYS)))</f>
        <v>0</v>
      </c>
      <c r="T165" s="289" t="n">
        <f aca="false">IF($L165=0,0,$L165*MAX(0,NETWORKDAYS(MAX($H165,ASOF,T$72),MIN(MAX($I165,ASOF),T$72+6),HOLIDAYS)))</f>
        <v>0</v>
      </c>
      <c r="U165" s="289" t="n">
        <f aca="false">IF($L165=0,0,$L165*MAX(0,NETWORKDAYS(MAX($H165,ASOF,U$72),MIN(MAX($I165,ASOF),U$72+6),HOLIDAYS)))</f>
        <v>0</v>
      </c>
      <c r="V165" s="289" t="n">
        <f aca="false">IF($L165=0,0,$L165*MAX(0,NETWORKDAYS(MAX($H165,ASOF,V$72),MIN(MAX($I165,ASOF),V$72+6),HOLIDAYS)))</f>
        <v>0</v>
      </c>
      <c r="W165" s="289" t="n">
        <f aca="false">IF($L165=0,0,$L165*MAX(0,NETWORKDAYS(MAX($H165,ASOF,W$72),MIN(MAX($I165,ASOF),W$72+6),HOLIDAYS)))</f>
        <v>0</v>
      </c>
      <c r="X165" s="289" t="n">
        <f aca="false">IF($L165=0,0,$L165*MAX(0,NETWORKDAYS(MAX($H165,ASOF,X$72),MIN(MAX($I165,ASOF),X$72+6),HOLIDAYS)))</f>
        <v>0</v>
      </c>
      <c r="Y165" s="289" t="n">
        <f aca="false">IF($L165=0,0,$L165*MAX(0,NETWORKDAYS(MAX($H165,ASOF,Y$72),MIN(MAX($I165,ASOF),Y$72+6),HOLIDAYS)))</f>
        <v>0</v>
      </c>
      <c r="Z165" s="289" t="n">
        <f aca="false">IF($L165=0,0,$L165*MAX(0,NETWORKDAYS(MAX($H165,ASOF,Z$72),MIN(MAX($I165,ASOF),Z$72+6),HOLIDAYS)))</f>
        <v>0</v>
      </c>
      <c r="AA165" s="289" t="n">
        <f aca="false">IF($L165=0,0,$L165*MAX(0,NETWORKDAYS(MAX($H165,ASOF,AA$72),MIN(MAX($I165,ASOF),AA$72+6),HOLIDAYS)))</f>
        <v>0</v>
      </c>
      <c r="AB165" s="289" t="n">
        <f aca="false">IF($L165=0,0,$L165*MAX(0,NETWORKDAYS(MAX($H165,ASOF,AB$72),MIN(MAX($I165,ASOF),AB$72+6),HOLIDAYS)))</f>
        <v>0</v>
      </c>
      <c r="AC165" s="289" t="n">
        <f aca="false">IF($L165=0,0,$L165*MAX(0,NETWORKDAYS(MAX($H165,ASOF,AC$72),MIN(MAX($I165,ASOF),AC$72+6),HOLIDAYS)))</f>
        <v>0</v>
      </c>
      <c r="AD165" s="289" t="n">
        <f aca="false">IF($L165=0,0,$L165*MAX(0,NETWORKDAYS(MAX($H165,ASOF,AD$72),MIN(MAX($I165,ASOF),AD$72+6),HOLIDAYS)))</f>
        <v>0</v>
      </c>
      <c r="AE165" s="289" t="n">
        <f aca="false">IF($L165=0,0,$L165*MAX(0,NETWORKDAYS(MAX($H165,ASOF,AE$72),MIN(MAX($I165,ASOF),AE$72+6),HOLIDAYS)))</f>
        <v>0</v>
      </c>
      <c r="AF165" s="289" t="n">
        <f aca="false">IF($L165=0,0,$L165*MAX(0,NETWORKDAYS(MAX($H165,ASOF,AF$72),MIN(MAX($I165,ASOF),AF$72+6),HOLIDAYS)))</f>
        <v>0</v>
      </c>
      <c r="AG165" s="289" t="n">
        <f aca="false">IF($L165=0,0,$L165*MAX(0,NETWORKDAYS(MAX($H165,ASOF,AG$72),MIN(MAX($I165,ASOF),AG$72+6),HOLIDAYS)))</f>
        <v>0</v>
      </c>
      <c r="AH165" s="289" t="n">
        <f aca="false">IF($L165=0,0,$L165*MAX(0,NETWORKDAYS(MAX($H165,ASOF,AH$72),MIN(MAX($I165,ASOF),AH$72+6),HOLIDAYS)))</f>
        <v>0</v>
      </c>
      <c r="AI165" s="289" t="n">
        <f aca="false">IF($L165=0,0,$L165*MAX(0,NETWORKDAYS(MAX($H165,ASOF,AI$72),MIN(MAX($I165,ASOF),AI$72+6),HOLIDAYS)))</f>
        <v>0</v>
      </c>
      <c r="AJ165" s="289" t="n">
        <f aca="false">IF($L165=0,0,$L165*MAX(0,NETWORKDAYS(MAX($H165,ASOF,AJ$72),MIN(MAX($I165,ASOF),AJ$72+6),HOLIDAYS)))</f>
        <v>0</v>
      </c>
      <c r="AK165" s="289" t="n">
        <f aca="false">IF($L165=0,0,$L165*MAX(0,NETWORKDAYS(MAX($H165,ASOF,AK$72),MIN(MAX($I165,ASOF),AK$72+6),HOLIDAYS)))</f>
        <v>0</v>
      </c>
      <c r="AL165" s="289" t="n">
        <f aca="false">IF($L165=0,0,$L165*MAX(0,NETWORKDAYS(MAX($H165,ASOF,AL$72),MIN(MAX($I165,ASOF),AL$72+6),HOLIDAYS)))</f>
        <v>0</v>
      </c>
      <c r="AM165" s="289" t="n">
        <f aca="false">IF($L165=0,0,$L165*MAX(0,NETWORKDAYS(MAX($H165,ASOF,AM$72),MIN(MAX($I165,ASOF),AM$72+6),HOLIDAYS)))</f>
        <v>0</v>
      </c>
      <c r="AN165" s="289" t="n">
        <f aca="false">IF($L165=0,0,$L165*MAX(0,NETWORKDAYS(MAX($H165,ASOF,AN$72),MIN(MAX($I165,ASOF),AN$72+6),HOLIDAYS)))</f>
        <v>0</v>
      </c>
      <c r="AO165" s="289" t="n">
        <f aca="false">IF($L165=0,0,$L165*MAX(0,NETWORKDAYS(MAX($H165,ASOF,AO$72),MIN(MAX($I165,ASOF),AO$72+6),HOLIDAYS)))</f>
        <v>0</v>
      </c>
      <c r="AP165" s="289" t="n">
        <f aca="false">IF($L165=0,0,$L165*MAX(0,NETWORKDAYS(MAX($H165,ASOF,AP$72),MIN(MAX($I165,ASOF),AP$72+6),HOLIDAYS)))</f>
        <v>0</v>
      </c>
      <c r="AQ165" s="289" t="n">
        <f aca="false">IF($L165=0,0,$L165*MAX(0,NETWORKDAYS(MAX($H165,ASOF,AQ$72),MIN(MAX($I165,ASOF),AQ$72+6),HOLIDAYS)))</f>
        <v>0</v>
      </c>
      <c r="AR165" s="289" t="n">
        <f aca="false">IF($L165=0,0,$L165*MAX(0,NETWORKDAYS(MAX($H165,ASOF,AR$72),MIN(MAX($I165,ASOF),AR$72+6),HOLIDAYS)))</f>
        <v>0</v>
      </c>
    </row>
    <row r="166" customFormat="false" ht="15" hidden="false" customHeight="false" outlineLevel="1" collapsed="false">
      <c r="A166" s="282" t="s">
        <v>70</v>
      </c>
      <c r="B166" s="283" t="s">
        <v>72</v>
      </c>
      <c r="C166" s="282" t="s">
        <v>1198</v>
      </c>
      <c r="D166" s="284" t="s">
        <v>2284</v>
      </c>
      <c r="E166" s="285" t="n">
        <v>1</v>
      </c>
      <c r="F166" s="290" t="s">
        <v>35</v>
      </c>
      <c r="G166" s="285" t="n">
        <f aca="false">$F$15*$H$15</f>
        <v>2</v>
      </c>
      <c r="H166" s="286" t="n">
        <f aca="false">IF(ISNUMBER('P9-008'!$N$107),'P9-008'!$N$107,"")</f>
        <v>46347</v>
      </c>
      <c r="I166" s="286" t="n">
        <f aca="false">IF(ISNUMBER('P9-008'!$O$107),'P9-008'!$O$107,"")</f>
        <v>46348</v>
      </c>
      <c r="J166" s="287" t="n">
        <f aca="false">IF(OR(H166="",I166="",N166&gt;=1),0,MAX(1,NETWORKDAYS(MAX(H166,ASOF),MAX(I166,ASOF),HOLIDAYS)))</f>
        <v>1</v>
      </c>
      <c r="K166" s="287" t="n">
        <f aca="false">IF(L166=0,0,ROUNDUP(L166/$F$15,0))</f>
        <v>1</v>
      </c>
      <c r="L166" s="285" t="n">
        <f aca="false">IF(J166=0,0,G166*(1-N166)/J166)</f>
        <v>2</v>
      </c>
      <c r="M166" s="283" t="s">
        <v>1192</v>
      </c>
      <c r="N166" s="288" t="n">
        <f aca="false">IFERROR(MIN(1,'P9-008'!$V$107)+0,0)</f>
        <v>0</v>
      </c>
      <c r="O166" s="289" t="n">
        <f aca="false">IF($L166=0,0,$L166*MAX(0,NETWORKDAYS(MAX($H166,ASOF,O$72),MIN(MAX($I166,ASOF),O$72+6),HOLIDAYS)))</f>
        <v>0</v>
      </c>
      <c r="P166" s="289" t="n">
        <f aca="false">IF($L166=0,0,$L166*MAX(0,NETWORKDAYS(MAX($H166,ASOF,P$72),MIN(MAX($I166,ASOF),P$72+6),HOLIDAYS)))</f>
        <v>0</v>
      </c>
      <c r="Q166" s="289" t="n">
        <f aca="false">IF($L166=0,0,$L166*MAX(0,NETWORKDAYS(MAX($H166,ASOF,Q$72),MIN(MAX($I166,ASOF),Q$72+6),HOLIDAYS)))</f>
        <v>0</v>
      </c>
      <c r="R166" s="289" t="n">
        <f aca="false">IF($L166=0,0,$L166*MAX(0,NETWORKDAYS(MAX($H166,ASOF,R$72),MIN(MAX($I166,ASOF),R$72+6),HOLIDAYS)))</f>
        <v>0</v>
      </c>
      <c r="S166" s="289" t="n">
        <f aca="false">IF($L166=0,0,$L166*MAX(0,NETWORKDAYS(MAX($H166,ASOF,S$72),MIN(MAX($I166,ASOF),S$72+6),HOLIDAYS)))</f>
        <v>0</v>
      </c>
      <c r="T166" s="289" t="n">
        <f aca="false">IF($L166=0,0,$L166*MAX(0,NETWORKDAYS(MAX($H166,ASOF,T$72),MIN(MAX($I166,ASOF),T$72+6),HOLIDAYS)))</f>
        <v>0</v>
      </c>
      <c r="U166" s="289" t="n">
        <f aca="false">IF($L166=0,0,$L166*MAX(0,NETWORKDAYS(MAX($H166,ASOF,U$72),MIN(MAX($I166,ASOF),U$72+6),HOLIDAYS)))</f>
        <v>0</v>
      </c>
      <c r="V166" s="289" t="n">
        <f aca="false">IF($L166=0,0,$L166*MAX(0,NETWORKDAYS(MAX($H166,ASOF,V$72),MIN(MAX($I166,ASOF),V$72+6),HOLIDAYS)))</f>
        <v>0</v>
      </c>
      <c r="W166" s="289" t="n">
        <f aca="false">IF($L166=0,0,$L166*MAX(0,NETWORKDAYS(MAX($H166,ASOF,W$72),MIN(MAX($I166,ASOF),W$72+6),HOLIDAYS)))</f>
        <v>0</v>
      </c>
      <c r="X166" s="289" t="n">
        <f aca="false">IF($L166=0,0,$L166*MAX(0,NETWORKDAYS(MAX($H166,ASOF,X$72),MIN(MAX($I166,ASOF),X$72+6),HOLIDAYS)))</f>
        <v>0</v>
      </c>
      <c r="Y166" s="289" t="n">
        <f aca="false">IF($L166=0,0,$L166*MAX(0,NETWORKDAYS(MAX($H166,ASOF,Y$72),MIN(MAX($I166,ASOF),Y$72+6),HOLIDAYS)))</f>
        <v>0</v>
      </c>
      <c r="Z166" s="289" t="n">
        <f aca="false">IF($L166=0,0,$L166*MAX(0,NETWORKDAYS(MAX($H166,ASOF,Z$72),MIN(MAX($I166,ASOF),Z$72+6),HOLIDAYS)))</f>
        <v>0</v>
      </c>
      <c r="AA166" s="289" t="n">
        <f aca="false">IF($L166=0,0,$L166*MAX(0,NETWORKDAYS(MAX($H166,ASOF,AA$72),MIN(MAX($I166,ASOF),AA$72+6),HOLIDAYS)))</f>
        <v>0</v>
      </c>
      <c r="AB166" s="289" t="n">
        <f aca="false">IF($L166=0,0,$L166*MAX(0,NETWORKDAYS(MAX($H166,ASOF,AB$72),MIN(MAX($I166,ASOF),AB$72+6),HOLIDAYS)))</f>
        <v>0</v>
      </c>
      <c r="AC166" s="289" t="n">
        <f aca="false">IF($L166=0,0,$L166*MAX(0,NETWORKDAYS(MAX($H166,ASOF,AC$72),MIN(MAX($I166,ASOF),AC$72+6),HOLIDAYS)))</f>
        <v>0</v>
      </c>
      <c r="AD166" s="289" t="n">
        <f aca="false">IF($L166=0,0,$L166*MAX(0,NETWORKDAYS(MAX($H166,ASOF,AD$72),MIN(MAX($I166,ASOF),AD$72+6),HOLIDAYS)))</f>
        <v>0</v>
      </c>
      <c r="AE166" s="289" t="n">
        <f aca="false">IF($L166=0,0,$L166*MAX(0,NETWORKDAYS(MAX($H166,ASOF,AE$72),MIN(MAX($I166,ASOF),AE$72+6),HOLIDAYS)))</f>
        <v>0</v>
      </c>
      <c r="AF166" s="289" t="n">
        <f aca="false">IF($L166=0,0,$L166*MAX(0,NETWORKDAYS(MAX($H166,ASOF,AF$72),MIN(MAX($I166,ASOF),AF$72+6),HOLIDAYS)))</f>
        <v>0</v>
      </c>
      <c r="AG166" s="289" t="n">
        <f aca="false">IF($L166=0,0,$L166*MAX(0,NETWORKDAYS(MAX($H166,ASOF,AG$72),MIN(MAX($I166,ASOF),AG$72+6),HOLIDAYS)))</f>
        <v>0</v>
      </c>
      <c r="AH166" s="289" t="n">
        <f aca="false">IF($L166=0,0,$L166*MAX(0,NETWORKDAYS(MAX($H166,ASOF,AH$72),MIN(MAX($I166,ASOF),AH$72+6),HOLIDAYS)))</f>
        <v>0</v>
      </c>
      <c r="AI166" s="289" t="n">
        <f aca="false">IF($L166=0,0,$L166*MAX(0,NETWORKDAYS(MAX($H166,ASOF,AI$72),MIN(MAX($I166,ASOF),AI$72+6),HOLIDAYS)))</f>
        <v>0</v>
      </c>
      <c r="AJ166" s="289" t="n">
        <f aca="false">IF($L166=0,0,$L166*MAX(0,NETWORKDAYS(MAX($H166,ASOF,AJ$72),MIN(MAX($I166,ASOF),AJ$72+6),HOLIDAYS)))</f>
        <v>0</v>
      </c>
      <c r="AK166" s="289" t="n">
        <f aca="false">IF($L166=0,0,$L166*MAX(0,NETWORKDAYS(MAX($H166,ASOF,AK$72),MIN(MAX($I166,ASOF),AK$72+6),HOLIDAYS)))</f>
        <v>0</v>
      </c>
      <c r="AL166" s="289" t="n">
        <f aca="false">IF($L166=0,0,$L166*MAX(0,NETWORKDAYS(MAX($H166,ASOF,AL$72),MIN(MAX($I166,ASOF),AL$72+6),HOLIDAYS)))</f>
        <v>0</v>
      </c>
      <c r="AM166" s="289" t="n">
        <f aca="false">IF($L166=0,0,$L166*MAX(0,NETWORKDAYS(MAX($H166,ASOF,AM$72),MIN(MAX($I166,ASOF),AM$72+6),HOLIDAYS)))</f>
        <v>0</v>
      </c>
      <c r="AN166" s="289" t="n">
        <f aca="false">IF($L166=0,0,$L166*MAX(0,NETWORKDAYS(MAX($H166,ASOF,AN$72),MIN(MAX($I166,ASOF),AN$72+6),HOLIDAYS)))</f>
        <v>0</v>
      </c>
      <c r="AO166" s="289" t="n">
        <f aca="false">IF($L166=0,0,$L166*MAX(0,NETWORKDAYS(MAX($H166,ASOF,AO$72),MIN(MAX($I166,ASOF),AO$72+6),HOLIDAYS)))</f>
        <v>0</v>
      </c>
      <c r="AP166" s="289" t="n">
        <f aca="false">IF($L166=0,0,$L166*MAX(0,NETWORKDAYS(MAX($H166,ASOF,AP$72),MIN(MAX($I166,ASOF),AP$72+6),HOLIDAYS)))</f>
        <v>0</v>
      </c>
      <c r="AQ166" s="289" t="n">
        <f aca="false">IF($L166=0,0,$L166*MAX(0,NETWORKDAYS(MAX($H166,ASOF,AQ$72),MIN(MAX($I166,ASOF),AQ$72+6),HOLIDAYS)))</f>
        <v>0</v>
      </c>
      <c r="AR166" s="289" t="n">
        <f aca="false">IF($L166=0,0,$L166*MAX(0,NETWORKDAYS(MAX($H166,ASOF,AR$72),MIN(MAX($I166,ASOF),AR$72+6),HOLIDAYS)))</f>
        <v>0</v>
      </c>
    </row>
    <row r="167" customFormat="false" ht="15" hidden="false" customHeight="false" outlineLevel="1" collapsed="false">
      <c r="A167" s="282" t="s">
        <v>70</v>
      </c>
      <c r="B167" s="283" t="s">
        <v>72</v>
      </c>
      <c r="C167" s="284" t="s">
        <v>2369</v>
      </c>
      <c r="D167" s="284" t="s">
        <v>2308</v>
      </c>
      <c r="E167" s="285" t="n">
        <v>280.44</v>
      </c>
      <c r="F167" s="283" t="s">
        <v>527</v>
      </c>
      <c r="G167" s="285" t="n">
        <f aca="false">$F$16*(E167/$G$16+$H$16)</f>
        <v>14.4132</v>
      </c>
      <c r="H167" s="286" t="n">
        <f aca="false">IF(ISNUMBER('P9-008'!$N$115),'P9-008'!$N$115,"")</f>
        <v>46359</v>
      </c>
      <c r="I167" s="286" t="n">
        <f aca="false">IF(ISNUMBER('P9-008'!$O$115),'P9-008'!$O$115,"")</f>
        <v>46359</v>
      </c>
      <c r="J167" s="287" t="n">
        <f aca="false">IF(OR(H167="",I167="",N167&gt;=1),0,MAX(1,NETWORKDAYS(MAX(H167,ASOF),MAX(I167,ASOF),HOLIDAYS)))</f>
        <v>1</v>
      </c>
      <c r="K167" s="287" t="n">
        <f aca="false">IF(L167=0,0,ROUNDUP(L167/$F$16,0))</f>
        <v>5</v>
      </c>
      <c r="L167" s="285" t="n">
        <f aca="false">IF(J167=0,0,G167*(1-N167)/J167)</f>
        <v>14.4132</v>
      </c>
      <c r="M167" s="283" t="s">
        <v>1205</v>
      </c>
      <c r="N167" s="288" t="n">
        <f aca="false">IFERROR(MIN(1,'P9-008'!$V$115)+0,0)</f>
        <v>0</v>
      </c>
      <c r="O167" s="289" t="n">
        <f aca="false">IF($L167=0,0,$L167*MAX(0,NETWORKDAYS(MAX($H167,ASOF,O$72),MIN(MAX($I167,ASOF),O$72+6),HOLIDAYS)))</f>
        <v>0</v>
      </c>
      <c r="P167" s="289" t="n">
        <f aca="false">IF($L167=0,0,$L167*MAX(0,NETWORKDAYS(MAX($H167,ASOF,P$72),MIN(MAX($I167,ASOF),P$72+6),HOLIDAYS)))</f>
        <v>0</v>
      </c>
      <c r="Q167" s="289" t="n">
        <f aca="false">IF($L167=0,0,$L167*MAX(0,NETWORKDAYS(MAX($H167,ASOF,Q$72),MIN(MAX($I167,ASOF),Q$72+6),HOLIDAYS)))</f>
        <v>0</v>
      </c>
      <c r="R167" s="289" t="n">
        <f aca="false">IF($L167=0,0,$L167*MAX(0,NETWORKDAYS(MAX($H167,ASOF,R$72),MIN(MAX($I167,ASOF),R$72+6),HOLIDAYS)))</f>
        <v>0</v>
      </c>
      <c r="S167" s="289" t="n">
        <f aca="false">IF($L167=0,0,$L167*MAX(0,NETWORKDAYS(MAX($H167,ASOF,S$72),MIN(MAX($I167,ASOF),S$72+6),HOLIDAYS)))</f>
        <v>14.4132</v>
      </c>
      <c r="T167" s="289" t="n">
        <f aca="false">IF($L167=0,0,$L167*MAX(0,NETWORKDAYS(MAX($H167,ASOF,T$72),MIN(MAX($I167,ASOF),T$72+6),HOLIDAYS)))</f>
        <v>0</v>
      </c>
      <c r="U167" s="289" t="n">
        <f aca="false">IF($L167=0,0,$L167*MAX(0,NETWORKDAYS(MAX($H167,ASOF,U$72),MIN(MAX($I167,ASOF),U$72+6),HOLIDAYS)))</f>
        <v>0</v>
      </c>
      <c r="V167" s="289" t="n">
        <f aca="false">IF($L167=0,0,$L167*MAX(0,NETWORKDAYS(MAX($H167,ASOF,V$72),MIN(MAX($I167,ASOF),V$72+6),HOLIDAYS)))</f>
        <v>0</v>
      </c>
      <c r="W167" s="289" t="n">
        <f aca="false">IF($L167=0,0,$L167*MAX(0,NETWORKDAYS(MAX($H167,ASOF,W$72),MIN(MAX($I167,ASOF),W$72+6),HOLIDAYS)))</f>
        <v>0</v>
      </c>
      <c r="X167" s="289" t="n">
        <f aca="false">IF($L167=0,0,$L167*MAX(0,NETWORKDAYS(MAX($H167,ASOF,X$72),MIN(MAX($I167,ASOF),X$72+6),HOLIDAYS)))</f>
        <v>0</v>
      </c>
      <c r="Y167" s="289" t="n">
        <f aca="false">IF($L167=0,0,$L167*MAX(0,NETWORKDAYS(MAX($H167,ASOF,Y$72),MIN(MAX($I167,ASOF),Y$72+6),HOLIDAYS)))</f>
        <v>0</v>
      </c>
      <c r="Z167" s="289" t="n">
        <f aca="false">IF($L167=0,0,$L167*MAX(0,NETWORKDAYS(MAX($H167,ASOF,Z$72),MIN(MAX($I167,ASOF),Z$72+6),HOLIDAYS)))</f>
        <v>0</v>
      </c>
      <c r="AA167" s="289" t="n">
        <f aca="false">IF($L167=0,0,$L167*MAX(0,NETWORKDAYS(MAX($H167,ASOF,AA$72),MIN(MAX($I167,ASOF),AA$72+6),HOLIDAYS)))</f>
        <v>0</v>
      </c>
      <c r="AB167" s="289" t="n">
        <f aca="false">IF($L167=0,0,$L167*MAX(0,NETWORKDAYS(MAX($H167,ASOF,AB$72),MIN(MAX($I167,ASOF),AB$72+6),HOLIDAYS)))</f>
        <v>0</v>
      </c>
      <c r="AC167" s="289" t="n">
        <f aca="false">IF($L167=0,0,$L167*MAX(0,NETWORKDAYS(MAX($H167,ASOF,AC$72),MIN(MAX($I167,ASOF),AC$72+6),HOLIDAYS)))</f>
        <v>0</v>
      </c>
      <c r="AD167" s="289" t="n">
        <f aca="false">IF($L167=0,0,$L167*MAX(0,NETWORKDAYS(MAX($H167,ASOF,AD$72),MIN(MAX($I167,ASOF),AD$72+6),HOLIDAYS)))</f>
        <v>0</v>
      </c>
      <c r="AE167" s="289" t="n">
        <f aca="false">IF($L167=0,0,$L167*MAX(0,NETWORKDAYS(MAX($H167,ASOF,AE$72),MIN(MAX($I167,ASOF),AE$72+6),HOLIDAYS)))</f>
        <v>0</v>
      </c>
      <c r="AF167" s="289" t="n">
        <f aca="false">IF($L167=0,0,$L167*MAX(0,NETWORKDAYS(MAX($H167,ASOF,AF$72),MIN(MAX($I167,ASOF),AF$72+6),HOLIDAYS)))</f>
        <v>0</v>
      </c>
      <c r="AG167" s="289" t="n">
        <f aca="false">IF($L167=0,0,$L167*MAX(0,NETWORKDAYS(MAX($H167,ASOF,AG$72),MIN(MAX($I167,ASOF),AG$72+6),HOLIDAYS)))</f>
        <v>0</v>
      </c>
      <c r="AH167" s="289" t="n">
        <f aca="false">IF($L167=0,0,$L167*MAX(0,NETWORKDAYS(MAX($H167,ASOF,AH$72),MIN(MAX($I167,ASOF),AH$72+6),HOLIDAYS)))</f>
        <v>0</v>
      </c>
      <c r="AI167" s="289" t="n">
        <f aca="false">IF($L167=0,0,$L167*MAX(0,NETWORKDAYS(MAX($H167,ASOF,AI$72),MIN(MAX($I167,ASOF),AI$72+6),HOLIDAYS)))</f>
        <v>0</v>
      </c>
      <c r="AJ167" s="289" t="n">
        <f aca="false">IF($L167=0,0,$L167*MAX(0,NETWORKDAYS(MAX($H167,ASOF,AJ$72),MIN(MAX($I167,ASOF),AJ$72+6),HOLIDAYS)))</f>
        <v>0</v>
      </c>
      <c r="AK167" s="289" t="n">
        <f aca="false">IF($L167=0,0,$L167*MAX(0,NETWORKDAYS(MAX($H167,ASOF,AK$72),MIN(MAX($I167,ASOF),AK$72+6),HOLIDAYS)))</f>
        <v>0</v>
      </c>
      <c r="AL167" s="289" t="n">
        <f aca="false">IF($L167=0,0,$L167*MAX(0,NETWORKDAYS(MAX($H167,ASOF,AL$72),MIN(MAX($I167,ASOF),AL$72+6),HOLIDAYS)))</f>
        <v>0</v>
      </c>
      <c r="AM167" s="289" t="n">
        <f aca="false">IF($L167=0,0,$L167*MAX(0,NETWORKDAYS(MAX($H167,ASOF,AM$72),MIN(MAX($I167,ASOF),AM$72+6),HOLIDAYS)))</f>
        <v>0</v>
      </c>
      <c r="AN167" s="289" t="n">
        <f aca="false">IF($L167=0,0,$L167*MAX(0,NETWORKDAYS(MAX($H167,ASOF,AN$72),MIN(MAX($I167,ASOF),AN$72+6),HOLIDAYS)))</f>
        <v>0</v>
      </c>
      <c r="AO167" s="289" t="n">
        <f aca="false">IF($L167=0,0,$L167*MAX(0,NETWORKDAYS(MAX($H167,ASOF,AO$72),MIN(MAX($I167,ASOF),AO$72+6),HOLIDAYS)))</f>
        <v>0</v>
      </c>
      <c r="AP167" s="289" t="n">
        <f aca="false">IF($L167=0,0,$L167*MAX(0,NETWORKDAYS(MAX($H167,ASOF,AP$72),MIN(MAX($I167,ASOF),AP$72+6),HOLIDAYS)))</f>
        <v>0</v>
      </c>
      <c r="AQ167" s="289" t="n">
        <f aca="false">IF($L167=0,0,$L167*MAX(0,NETWORKDAYS(MAX($H167,ASOF,AQ$72),MIN(MAX($I167,ASOF),AQ$72+6),HOLIDAYS)))</f>
        <v>0</v>
      </c>
      <c r="AR167" s="289" t="n">
        <f aca="false">IF($L167=0,0,$L167*MAX(0,NETWORKDAYS(MAX($H167,ASOF,AR$72),MIN(MAX($I167,ASOF),AR$72+6),HOLIDAYS)))</f>
        <v>0</v>
      </c>
    </row>
    <row r="168" customFormat="false" ht="15" hidden="false" customHeight="false" outlineLevel="1" collapsed="false">
      <c r="A168" s="282" t="s">
        <v>70</v>
      </c>
      <c r="B168" s="283" t="s">
        <v>72</v>
      </c>
      <c r="C168" s="284" t="s">
        <v>2370</v>
      </c>
      <c r="D168" s="284" t="s">
        <v>2313</v>
      </c>
      <c r="E168" s="285" t="n">
        <v>1</v>
      </c>
      <c r="F168" s="290" t="s">
        <v>35</v>
      </c>
      <c r="G168" s="285" t="n">
        <f aca="false">SUM(O168:AR168)</f>
        <v>20</v>
      </c>
      <c r="H168" s="286" t="n">
        <f aca="false">IF(ISNUMBER('P9-008'!$N$62),'P9-008'!$N$62,"")</f>
        <v>46328</v>
      </c>
      <c r="I168" s="286" t="n">
        <f aca="false">IF(ISNUMBER('P9-008'!$O$115),'P9-008'!$O$115,"")</f>
        <v>46359</v>
      </c>
      <c r="J168" s="287"/>
      <c r="K168" s="287" t="n">
        <f aca="false">IF(G168&gt;0,$F$17,0)</f>
        <v>1</v>
      </c>
      <c r="L168" s="285" t="n">
        <v>0</v>
      </c>
      <c r="M168" s="290" t="s">
        <v>2310</v>
      </c>
      <c r="N168" s="288" t="str">
        <f aca="false">""</f>
        <v/>
      </c>
      <c r="O168" s="289" t="n">
        <f aca="false">IF(SUMIFS(O$73:O$312,$A$73:$A$312,"P9-008",$M$73:$M$312,"&lt;&gt;คุม")&gt;0,$F$17*NETWORKDAYS(O$72,O$72+6,HOLIDAYS),0)</f>
        <v>5</v>
      </c>
      <c r="P168" s="289" t="n">
        <f aca="false">IF(SUMIFS(P$73:P$312,$A$73:$A$312,"P9-008",$M$73:$M$312,"&lt;&gt;คุม")&gt;0,$F$17*NETWORKDAYS(P$72,P$72+6,HOLIDAYS),0)</f>
        <v>5</v>
      </c>
      <c r="Q168" s="289" t="n">
        <f aca="false">IF(SUMIFS(Q$73:Q$312,$A$73:$A$312,"P9-008",$M$73:$M$312,"&lt;&gt;คุม")&gt;0,$F$17*NETWORKDAYS(Q$72,Q$72+6,HOLIDAYS),0)</f>
        <v>5</v>
      </c>
      <c r="R168" s="289" t="n">
        <f aca="false">IF(SUMIFS(R$73:R$312,$A$73:$A$312,"P9-008",$M$73:$M$312,"&lt;&gt;คุม")&gt;0,$F$17*NETWORKDAYS(R$72,R$72+6,HOLIDAYS),0)</f>
        <v>0</v>
      </c>
      <c r="S168" s="289" t="n">
        <f aca="false">IF(SUMIFS(S$73:S$312,$A$73:$A$312,"P9-008",$M$73:$M$312,"&lt;&gt;คุม")&gt;0,$F$17*NETWORKDAYS(S$72,S$72+6,HOLIDAYS),0)</f>
        <v>5</v>
      </c>
      <c r="T168" s="289" t="n">
        <f aca="false">IF(SUMIFS(T$73:T$312,$A$73:$A$312,"P9-008",$M$73:$M$312,"&lt;&gt;คุม")&gt;0,$F$17*NETWORKDAYS(T$72,T$72+6,HOLIDAYS),0)</f>
        <v>0</v>
      </c>
      <c r="U168" s="289" t="n">
        <f aca="false">IF(SUMIFS(U$73:U$312,$A$73:$A$312,"P9-008",$M$73:$M$312,"&lt;&gt;คุม")&gt;0,$F$17*NETWORKDAYS(U$72,U$72+6,HOLIDAYS),0)</f>
        <v>0</v>
      </c>
      <c r="V168" s="289" t="n">
        <f aca="false">IF(SUMIFS(V$73:V$312,$A$73:$A$312,"P9-008",$M$73:$M$312,"&lt;&gt;คุม")&gt;0,$F$17*NETWORKDAYS(V$72,V$72+6,HOLIDAYS),0)</f>
        <v>0</v>
      </c>
      <c r="W168" s="289" t="n">
        <f aca="false">IF(SUMIFS(W$73:W$312,$A$73:$A$312,"P9-008",$M$73:$M$312,"&lt;&gt;คุม")&gt;0,$F$17*NETWORKDAYS(W$72,W$72+6,HOLIDAYS),0)</f>
        <v>0</v>
      </c>
      <c r="X168" s="289" t="n">
        <f aca="false">IF(SUMIFS(X$73:X$312,$A$73:$A$312,"P9-008",$M$73:$M$312,"&lt;&gt;คุม")&gt;0,$F$17*NETWORKDAYS(X$72,X$72+6,HOLIDAYS),0)</f>
        <v>0</v>
      </c>
      <c r="Y168" s="289" t="n">
        <f aca="false">IF(SUMIFS(Y$73:Y$312,$A$73:$A$312,"P9-008",$M$73:$M$312,"&lt;&gt;คุม")&gt;0,$F$17*NETWORKDAYS(Y$72,Y$72+6,HOLIDAYS),0)</f>
        <v>0</v>
      </c>
      <c r="Z168" s="289" t="n">
        <f aca="false">IF(SUMIFS(Z$73:Z$312,$A$73:$A$312,"P9-008",$M$73:$M$312,"&lt;&gt;คุม")&gt;0,$F$17*NETWORKDAYS(Z$72,Z$72+6,HOLIDAYS),0)</f>
        <v>0</v>
      </c>
      <c r="AA168" s="289" t="n">
        <f aca="false">IF(SUMIFS(AA$73:AA$312,$A$73:$A$312,"P9-008",$M$73:$M$312,"&lt;&gt;คุม")&gt;0,$F$17*NETWORKDAYS(AA$72,AA$72+6,HOLIDAYS),0)</f>
        <v>0</v>
      </c>
      <c r="AB168" s="289" t="n">
        <f aca="false">IF(SUMIFS(AB$73:AB$312,$A$73:$A$312,"P9-008",$M$73:$M$312,"&lt;&gt;คุม")&gt;0,$F$17*NETWORKDAYS(AB$72,AB$72+6,HOLIDAYS),0)</f>
        <v>0</v>
      </c>
      <c r="AC168" s="289" t="n">
        <f aca="false">IF(SUMIFS(AC$73:AC$312,$A$73:$A$312,"P9-008",$M$73:$M$312,"&lt;&gt;คุม")&gt;0,$F$17*NETWORKDAYS(AC$72,AC$72+6,HOLIDAYS),0)</f>
        <v>0</v>
      </c>
      <c r="AD168" s="289" t="n">
        <f aca="false">IF(SUMIFS(AD$73:AD$312,$A$73:$A$312,"P9-008",$M$73:$M$312,"&lt;&gt;คุม")&gt;0,$F$17*NETWORKDAYS(AD$72,AD$72+6,HOLIDAYS),0)</f>
        <v>0</v>
      </c>
      <c r="AE168" s="289" t="n">
        <f aca="false">IF(SUMIFS(AE$73:AE$312,$A$73:$A$312,"P9-008",$M$73:$M$312,"&lt;&gt;คุม")&gt;0,$F$17*NETWORKDAYS(AE$72,AE$72+6,HOLIDAYS),0)</f>
        <v>0</v>
      </c>
      <c r="AF168" s="289" t="n">
        <f aca="false">IF(SUMIFS(AF$73:AF$312,$A$73:$A$312,"P9-008",$M$73:$M$312,"&lt;&gt;คุม")&gt;0,$F$17*NETWORKDAYS(AF$72,AF$72+6,HOLIDAYS),0)</f>
        <v>0</v>
      </c>
      <c r="AG168" s="289" t="n">
        <f aca="false">IF(SUMIFS(AG$73:AG$312,$A$73:$A$312,"P9-008",$M$73:$M$312,"&lt;&gt;คุม")&gt;0,$F$17*NETWORKDAYS(AG$72,AG$72+6,HOLIDAYS),0)</f>
        <v>0</v>
      </c>
      <c r="AH168" s="289" t="n">
        <f aca="false">IF(SUMIFS(AH$73:AH$312,$A$73:$A$312,"P9-008",$M$73:$M$312,"&lt;&gt;คุม")&gt;0,$F$17*NETWORKDAYS(AH$72,AH$72+6,HOLIDAYS),0)</f>
        <v>0</v>
      </c>
      <c r="AI168" s="289" t="n">
        <f aca="false">IF(SUMIFS(AI$73:AI$312,$A$73:$A$312,"P9-008",$M$73:$M$312,"&lt;&gt;คุม")&gt;0,$F$17*NETWORKDAYS(AI$72,AI$72+6,HOLIDAYS),0)</f>
        <v>0</v>
      </c>
      <c r="AJ168" s="289" t="n">
        <f aca="false">IF(SUMIFS(AJ$73:AJ$312,$A$73:$A$312,"P9-008",$M$73:$M$312,"&lt;&gt;คุม")&gt;0,$F$17*NETWORKDAYS(AJ$72,AJ$72+6,HOLIDAYS),0)</f>
        <v>0</v>
      </c>
      <c r="AK168" s="289" t="n">
        <f aca="false">IF(SUMIFS(AK$73:AK$312,$A$73:$A$312,"P9-008",$M$73:$M$312,"&lt;&gt;คุม")&gt;0,$F$17*NETWORKDAYS(AK$72,AK$72+6,HOLIDAYS),0)</f>
        <v>0</v>
      </c>
      <c r="AL168" s="289" t="n">
        <f aca="false">IF(SUMIFS(AL$73:AL$312,$A$73:$A$312,"P9-008",$M$73:$M$312,"&lt;&gt;คุม")&gt;0,$F$17*NETWORKDAYS(AL$72,AL$72+6,HOLIDAYS),0)</f>
        <v>0</v>
      </c>
      <c r="AM168" s="289" t="n">
        <f aca="false">IF(SUMIFS(AM$73:AM$312,$A$73:$A$312,"P9-008",$M$73:$M$312,"&lt;&gt;คุม")&gt;0,$F$17*NETWORKDAYS(AM$72,AM$72+6,HOLIDAYS),0)</f>
        <v>0</v>
      </c>
      <c r="AN168" s="289" t="n">
        <f aca="false">IF(SUMIFS(AN$73:AN$312,$A$73:$A$312,"P9-008",$M$73:$M$312,"&lt;&gt;คุม")&gt;0,$F$17*NETWORKDAYS(AN$72,AN$72+6,HOLIDAYS),0)</f>
        <v>0</v>
      </c>
      <c r="AO168" s="289" t="n">
        <f aca="false">IF(SUMIFS(AO$73:AO$312,$A$73:$A$312,"P9-008",$M$73:$M$312,"&lt;&gt;คุม")&gt;0,$F$17*NETWORKDAYS(AO$72,AO$72+6,HOLIDAYS),0)</f>
        <v>0</v>
      </c>
      <c r="AP168" s="289" t="n">
        <f aca="false">IF(SUMIFS(AP$73:AP$312,$A$73:$A$312,"P9-008",$M$73:$M$312,"&lt;&gt;คุม")&gt;0,$F$17*NETWORKDAYS(AP$72,AP$72+6,HOLIDAYS),0)</f>
        <v>0</v>
      </c>
      <c r="AQ168" s="289" t="n">
        <f aca="false">IF(SUMIFS(AQ$73:AQ$312,$A$73:$A$312,"P9-008",$M$73:$M$312,"&lt;&gt;คุม")&gt;0,$F$17*NETWORKDAYS(AQ$72,AQ$72+6,HOLIDAYS),0)</f>
        <v>0</v>
      </c>
      <c r="AR168" s="289" t="n">
        <f aca="false">IF(SUMIFS(AR$73:AR$312,$A$73:$A$312,"P9-008",$M$73:$M$312,"&lt;&gt;คุม")&gt;0,$F$17*NETWORKDAYS(AR$72,AR$72+6,HOLIDAYS),0)</f>
        <v>0</v>
      </c>
    </row>
    <row r="169" customFormat="false" ht="15" hidden="false" customHeight="false" outlineLevel="1" collapsed="false">
      <c r="A169" s="282" t="s">
        <v>74</v>
      </c>
      <c r="B169" s="283" t="s">
        <v>76</v>
      </c>
      <c r="C169" s="284" t="s">
        <v>2358</v>
      </c>
      <c r="D169" s="284" t="s">
        <v>2280</v>
      </c>
      <c r="E169" s="285" t="n">
        <v>180.58</v>
      </c>
      <c r="F169" s="283" t="s">
        <v>2359</v>
      </c>
      <c r="G169" s="285" t="n">
        <f aca="false">$F$5*(E169/$G$5+$H$5)</f>
        <v>30.8928</v>
      </c>
      <c r="H169" s="286" t="n">
        <f aca="false">IF(ISNUMBER('P9-009'!$N$62),'P9-009'!$N$62,"")</f>
        <v>46328</v>
      </c>
      <c r="I169" s="286" t="n">
        <f aca="false">IF(ISNUMBER('P9-009'!$O$62),'P9-009'!$O$62,"")</f>
        <v>46341</v>
      </c>
      <c r="J169" s="287" t="n">
        <f aca="false">IF(OR(H169="",I169="",N169&gt;=1),0,MAX(1,NETWORKDAYS(MAX(H169,ASOF),MAX(I169,ASOF),HOLIDAYS)))</f>
        <v>10</v>
      </c>
      <c r="K169" s="287" t="n">
        <f aca="false">IF(L169=0,0,ROUNDUP(L169/$F$5,0))</f>
        <v>1</v>
      </c>
      <c r="L169" s="285" t="n">
        <f aca="false">IF(J169=0,0,G169*(1-N169)/J169)</f>
        <v>3.08928</v>
      </c>
      <c r="M169" s="283" t="s">
        <v>872</v>
      </c>
      <c r="N169" s="288" t="n">
        <f aca="false">IFERROR(MIN(1,'P9-009'!$V$62)+0,0)</f>
        <v>0</v>
      </c>
      <c r="O169" s="289" t="n">
        <f aca="false">IF($L169=0,0,$L169*MAX(0,NETWORKDAYS(MAX($H169,ASOF,O$72),MIN(MAX($I169,ASOF),O$72+6),HOLIDAYS)))</f>
        <v>15.4464</v>
      </c>
      <c r="P169" s="289" t="n">
        <f aca="false">IF($L169=0,0,$L169*MAX(0,NETWORKDAYS(MAX($H169,ASOF,P$72),MIN(MAX($I169,ASOF),P$72+6),HOLIDAYS)))</f>
        <v>15.4464</v>
      </c>
      <c r="Q169" s="289" t="n">
        <f aca="false">IF($L169=0,0,$L169*MAX(0,NETWORKDAYS(MAX($H169,ASOF,Q$72),MIN(MAX($I169,ASOF),Q$72+6),HOLIDAYS)))</f>
        <v>0</v>
      </c>
      <c r="R169" s="289" t="n">
        <f aca="false">IF($L169=0,0,$L169*MAX(0,NETWORKDAYS(MAX($H169,ASOF,R$72),MIN(MAX($I169,ASOF),R$72+6),HOLIDAYS)))</f>
        <v>0</v>
      </c>
      <c r="S169" s="289" t="n">
        <f aca="false">IF($L169=0,0,$L169*MAX(0,NETWORKDAYS(MAX($H169,ASOF,S$72),MIN(MAX($I169,ASOF),S$72+6),HOLIDAYS)))</f>
        <v>0</v>
      </c>
      <c r="T169" s="289" t="n">
        <f aca="false">IF($L169=0,0,$L169*MAX(0,NETWORKDAYS(MAX($H169,ASOF,T$72),MIN(MAX($I169,ASOF),T$72+6),HOLIDAYS)))</f>
        <v>0</v>
      </c>
      <c r="U169" s="289" t="n">
        <f aca="false">IF($L169=0,0,$L169*MAX(0,NETWORKDAYS(MAX($H169,ASOF,U$72),MIN(MAX($I169,ASOF),U$72+6),HOLIDAYS)))</f>
        <v>0</v>
      </c>
      <c r="V169" s="289" t="n">
        <f aca="false">IF($L169=0,0,$L169*MAX(0,NETWORKDAYS(MAX($H169,ASOF,V$72),MIN(MAX($I169,ASOF),V$72+6),HOLIDAYS)))</f>
        <v>0</v>
      </c>
      <c r="W169" s="289" t="n">
        <f aca="false">IF($L169=0,0,$L169*MAX(0,NETWORKDAYS(MAX($H169,ASOF,W$72),MIN(MAX($I169,ASOF),W$72+6),HOLIDAYS)))</f>
        <v>0</v>
      </c>
      <c r="X169" s="289" t="n">
        <f aca="false">IF($L169=0,0,$L169*MAX(0,NETWORKDAYS(MAX($H169,ASOF,X$72),MIN(MAX($I169,ASOF),X$72+6),HOLIDAYS)))</f>
        <v>0</v>
      </c>
      <c r="Y169" s="289" t="n">
        <f aca="false">IF($L169=0,0,$L169*MAX(0,NETWORKDAYS(MAX($H169,ASOF,Y$72),MIN(MAX($I169,ASOF),Y$72+6),HOLIDAYS)))</f>
        <v>0</v>
      </c>
      <c r="Z169" s="289" t="n">
        <f aca="false">IF($L169=0,0,$L169*MAX(0,NETWORKDAYS(MAX($H169,ASOF,Z$72),MIN(MAX($I169,ASOF),Z$72+6),HOLIDAYS)))</f>
        <v>0</v>
      </c>
      <c r="AA169" s="289" t="n">
        <f aca="false">IF($L169=0,0,$L169*MAX(0,NETWORKDAYS(MAX($H169,ASOF,AA$72),MIN(MAX($I169,ASOF),AA$72+6),HOLIDAYS)))</f>
        <v>0</v>
      </c>
      <c r="AB169" s="289" t="n">
        <f aca="false">IF($L169=0,0,$L169*MAX(0,NETWORKDAYS(MAX($H169,ASOF,AB$72),MIN(MAX($I169,ASOF),AB$72+6),HOLIDAYS)))</f>
        <v>0</v>
      </c>
      <c r="AC169" s="289" t="n">
        <f aca="false">IF($L169=0,0,$L169*MAX(0,NETWORKDAYS(MAX($H169,ASOF,AC$72),MIN(MAX($I169,ASOF),AC$72+6),HOLIDAYS)))</f>
        <v>0</v>
      </c>
      <c r="AD169" s="289" t="n">
        <f aca="false">IF($L169=0,0,$L169*MAX(0,NETWORKDAYS(MAX($H169,ASOF,AD$72),MIN(MAX($I169,ASOF),AD$72+6),HOLIDAYS)))</f>
        <v>0</v>
      </c>
      <c r="AE169" s="289" t="n">
        <f aca="false">IF($L169=0,0,$L169*MAX(0,NETWORKDAYS(MAX($H169,ASOF,AE$72),MIN(MAX($I169,ASOF),AE$72+6),HOLIDAYS)))</f>
        <v>0</v>
      </c>
      <c r="AF169" s="289" t="n">
        <f aca="false">IF($L169=0,0,$L169*MAX(0,NETWORKDAYS(MAX($H169,ASOF,AF$72),MIN(MAX($I169,ASOF),AF$72+6),HOLIDAYS)))</f>
        <v>0</v>
      </c>
      <c r="AG169" s="289" t="n">
        <f aca="false">IF($L169=0,0,$L169*MAX(0,NETWORKDAYS(MAX($H169,ASOF,AG$72),MIN(MAX($I169,ASOF),AG$72+6),HOLIDAYS)))</f>
        <v>0</v>
      </c>
      <c r="AH169" s="289" t="n">
        <f aca="false">IF($L169=0,0,$L169*MAX(0,NETWORKDAYS(MAX($H169,ASOF,AH$72),MIN(MAX($I169,ASOF),AH$72+6),HOLIDAYS)))</f>
        <v>0</v>
      </c>
      <c r="AI169" s="289" t="n">
        <f aca="false">IF($L169=0,0,$L169*MAX(0,NETWORKDAYS(MAX($H169,ASOF,AI$72),MIN(MAX($I169,ASOF),AI$72+6),HOLIDAYS)))</f>
        <v>0</v>
      </c>
      <c r="AJ169" s="289" t="n">
        <f aca="false">IF($L169=0,0,$L169*MAX(0,NETWORKDAYS(MAX($H169,ASOF,AJ$72),MIN(MAX($I169,ASOF),AJ$72+6),HOLIDAYS)))</f>
        <v>0</v>
      </c>
      <c r="AK169" s="289" t="n">
        <f aca="false">IF($L169=0,0,$L169*MAX(0,NETWORKDAYS(MAX($H169,ASOF,AK$72),MIN(MAX($I169,ASOF),AK$72+6),HOLIDAYS)))</f>
        <v>0</v>
      </c>
      <c r="AL169" s="289" t="n">
        <f aca="false">IF($L169=0,0,$L169*MAX(0,NETWORKDAYS(MAX($H169,ASOF,AL$72),MIN(MAX($I169,ASOF),AL$72+6),HOLIDAYS)))</f>
        <v>0</v>
      </c>
      <c r="AM169" s="289" t="n">
        <f aca="false">IF($L169=0,0,$L169*MAX(0,NETWORKDAYS(MAX($H169,ASOF,AM$72),MIN(MAX($I169,ASOF),AM$72+6),HOLIDAYS)))</f>
        <v>0</v>
      </c>
      <c r="AN169" s="289" t="n">
        <f aca="false">IF($L169=0,0,$L169*MAX(0,NETWORKDAYS(MAX($H169,ASOF,AN$72),MIN(MAX($I169,ASOF),AN$72+6),HOLIDAYS)))</f>
        <v>0</v>
      </c>
      <c r="AO169" s="289" t="n">
        <f aca="false">IF($L169=0,0,$L169*MAX(0,NETWORKDAYS(MAX($H169,ASOF,AO$72),MIN(MAX($I169,ASOF),AO$72+6),HOLIDAYS)))</f>
        <v>0</v>
      </c>
      <c r="AP169" s="289" t="n">
        <f aca="false">IF($L169=0,0,$L169*MAX(0,NETWORKDAYS(MAX($H169,ASOF,AP$72),MIN(MAX($I169,ASOF),AP$72+6),HOLIDAYS)))</f>
        <v>0</v>
      </c>
      <c r="AQ169" s="289" t="n">
        <f aca="false">IF($L169=0,0,$L169*MAX(0,NETWORKDAYS(MAX($H169,ASOF,AQ$72),MIN(MAX($I169,ASOF),AQ$72+6),HOLIDAYS)))</f>
        <v>0</v>
      </c>
      <c r="AR169" s="289" t="n">
        <f aca="false">IF($L169=0,0,$L169*MAX(0,NETWORKDAYS(MAX($H169,ASOF,AR$72),MIN(MAX($I169,ASOF),AR$72+6),HOLIDAYS)))</f>
        <v>0</v>
      </c>
    </row>
    <row r="170" customFormat="false" ht="15" hidden="false" customHeight="false" outlineLevel="1" collapsed="false">
      <c r="A170" s="282" t="s">
        <v>74</v>
      </c>
      <c r="B170" s="283" t="s">
        <v>76</v>
      </c>
      <c r="C170" s="284" t="s">
        <v>2360</v>
      </c>
      <c r="D170" s="284" t="s">
        <v>2284</v>
      </c>
      <c r="E170" s="285" t="n">
        <v>150.48</v>
      </c>
      <c r="F170" s="283" t="s">
        <v>527</v>
      </c>
      <c r="G170" s="285" t="n">
        <f aca="false">$F$6*(E170/$G$6+$H$6)</f>
        <v>14.286</v>
      </c>
      <c r="H170" s="286" t="n">
        <f aca="false">IF(ISNUMBER('P9-009'!$N$70),'P9-009'!$N$70,"")</f>
        <v>46343</v>
      </c>
      <c r="I170" s="286" t="n">
        <f aca="false">IF(ISNUMBER('P9-009'!$O$70),'P9-009'!$O$70,"")</f>
        <v>46346</v>
      </c>
      <c r="J170" s="287" t="n">
        <f aca="false">IF(OR(H170="",I170="",N170&gt;=1),0,MAX(1,NETWORKDAYS(MAX(H170,ASOF),MAX(I170,ASOF),HOLIDAYS)))</f>
        <v>4</v>
      </c>
      <c r="K170" s="287" t="n">
        <f aca="false">IF(L170=0,0,ROUNDUP(L170/$F$6,0))</f>
        <v>2</v>
      </c>
      <c r="L170" s="285" t="n">
        <f aca="false">IF(J170=0,0,G170*(1-N170)/J170)</f>
        <v>3.5715</v>
      </c>
      <c r="M170" s="283" t="s">
        <v>987</v>
      </c>
      <c r="N170" s="288" t="n">
        <f aca="false">IFERROR(MIN(1,'P9-009'!$V$70)+0,0)</f>
        <v>0</v>
      </c>
      <c r="O170" s="289" t="n">
        <f aca="false">IF($L170=0,0,$L170*MAX(0,NETWORKDAYS(MAX($H170,ASOF,O$72),MIN(MAX($I170,ASOF),O$72+6),HOLIDAYS)))</f>
        <v>0</v>
      </c>
      <c r="P170" s="289" t="n">
        <f aca="false">IF($L170=0,0,$L170*MAX(0,NETWORKDAYS(MAX($H170,ASOF,P$72),MIN(MAX($I170,ASOF),P$72+6),HOLIDAYS)))</f>
        <v>0</v>
      </c>
      <c r="Q170" s="289" t="n">
        <f aca="false">IF($L170=0,0,$L170*MAX(0,NETWORKDAYS(MAX($H170,ASOF,Q$72),MIN(MAX($I170,ASOF),Q$72+6),HOLIDAYS)))</f>
        <v>14.286</v>
      </c>
      <c r="R170" s="289" t="n">
        <f aca="false">IF($L170=0,0,$L170*MAX(0,NETWORKDAYS(MAX($H170,ASOF,R$72),MIN(MAX($I170,ASOF),R$72+6),HOLIDAYS)))</f>
        <v>0</v>
      </c>
      <c r="S170" s="289" t="n">
        <f aca="false">IF($L170=0,0,$L170*MAX(0,NETWORKDAYS(MAX($H170,ASOF,S$72),MIN(MAX($I170,ASOF),S$72+6),HOLIDAYS)))</f>
        <v>0</v>
      </c>
      <c r="T170" s="289" t="n">
        <f aca="false">IF($L170=0,0,$L170*MAX(0,NETWORKDAYS(MAX($H170,ASOF,T$72),MIN(MAX($I170,ASOF),T$72+6),HOLIDAYS)))</f>
        <v>0</v>
      </c>
      <c r="U170" s="289" t="n">
        <f aca="false">IF($L170=0,0,$L170*MAX(0,NETWORKDAYS(MAX($H170,ASOF,U$72),MIN(MAX($I170,ASOF),U$72+6),HOLIDAYS)))</f>
        <v>0</v>
      </c>
      <c r="V170" s="289" t="n">
        <f aca="false">IF($L170=0,0,$L170*MAX(0,NETWORKDAYS(MAX($H170,ASOF,V$72),MIN(MAX($I170,ASOF),V$72+6),HOLIDAYS)))</f>
        <v>0</v>
      </c>
      <c r="W170" s="289" t="n">
        <f aca="false">IF($L170=0,0,$L170*MAX(0,NETWORKDAYS(MAX($H170,ASOF,W$72),MIN(MAX($I170,ASOF),W$72+6),HOLIDAYS)))</f>
        <v>0</v>
      </c>
      <c r="X170" s="289" t="n">
        <f aca="false">IF($L170=0,0,$L170*MAX(0,NETWORKDAYS(MAX($H170,ASOF,X$72),MIN(MAX($I170,ASOF),X$72+6),HOLIDAYS)))</f>
        <v>0</v>
      </c>
      <c r="Y170" s="289" t="n">
        <f aca="false">IF($L170=0,0,$L170*MAX(0,NETWORKDAYS(MAX($H170,ASOF,Y$72),MIN(MAX($I170,ASOF),Y$72+6),HOLIDAYS)))</f>
        <v>0</v>
      </c>
      <c r="Z170" s="289" t="n">
        <f aca="false">IF($L170=0,0,$L170*MAX(0,NETWORKDAYS(MAX($H170,ASOF,Z$72),MIN(MAX($I170,ASOF),Z$72+6),HOLIDAYS)))</f>
        <v>0</v>
      </c>
      <c r="AA170" s="289" t="n">
        <f aca="false">IF($L170=0,0,$L170*MAX(0,NETWORKDAYS(MAX($H170,ASOF,AA$72),MIN(MAX($I170,ASOF),AA$72+6),HOLIDAYS)))</f>
        <v>0</v>
      </c>
      <c r="AB170" s="289" t="n">
        <f aca="false">IF($L170=0,0,$L170*MAX(0,NETWORKDAYS(MAX($H170,ASOF,AB$72),MIN(MAX($I170,ASOF),AB$72+6),HOLIDAYS)))</f>
        <v>0</v>
      </c>
      <c r="AC170" s="289" t="n">
        <f aca="false">IF($L170=0,0,$L170*MAX(0,NETWORKDAYS(MAX($H170,ASOF,AC$72),MIN(MAX($I170,ASOF),AC$72+6),HOLIDAYS)))</f>
        <v>0</v>
      </c>
      <c r="AD170" s="289" t="n">
        <f aca="false">IF($L170=0,0,$L170*MAX(0,NETWORKDAYS(MAX($H170,ASOF,AD$72),MIN(MAX($I170,ASOF),AD$72+6),HOLIDAYS)))</f>
        <v>0</v>
      </c>
      <c r="AE170" s="289" t="n">
        <f aca="false">IF($L170=0,0,$L170*MAX(0,NETWORKDAYS(MAX($H170,ASOF,AE$72),MIN(MAX($I170,ASOF),AE$72+6),HOLIDAYS)))</f>
        <v>0</v>
      </c>
      <c r="AF170" s="289" t="n">
        <f aca="false">IF($L170=0,0,$L170*MAX(0,NETWORKDAYS(MAX($H170,ASOF,AF$72),MIN(MAX($I170,ASOF),AF$72+6),HOLIDAYS)))</f>
        <v>0</v>
      </c>
      <c r="AG170" s="289" t="n">
        <f aca="false">IF($L170=0,0,$L170*MAX(0,NETWORKDAYS(MAX($H170,ASOF,AG$72),MIN(MAX($I170,ASOF),AG$72+6),HOLIDAYS)))</f>
        <v>0</v>
      </c>
      <c r="AH170" s="289" t="n">
        <f aca="false">IF($L170=0,0,$L170*MAX(0,NETWORKDAYS(MAX($H170,ASOF,AH$72),MIN(MAX($I170,ASOF),AH$72+6),HOLIDAYS)))</f>
        <v>0</v>
      </c>
      <c r="AI170" s="289" t="n">
        <f aca="false">IF($L170=0,0,$L170*MAX(0,NETWORKDAYS(MAX($H170,ASOF,AI$72),MIN(MAX($I170,ASOF),AI$72+6),HOLIDAYS)))</f>
        <v>0</v>
      </c>
      <c r="AJ170" s="289" t="n">
        <f aca="false">IF($L170=0,0,$L170*MAX(0,NETWORKDAYS(MAX($H170,ASOF,AJ$72),MIN(MAX($I170,ASOF),AJ$72+6),HOLIDAYS)))</f>
        <v>0</v>
      </c>
      <c r="AK170" s="289" t="n">
        <f aca="false">IF($L170=0,0,$L170*MAX(0,NETWORKDAYS(MAX($H170,ASOF,AK$72),MIN(MAX($I170,ASOF),AK$72+6),HOLIDAYS)))</f>
        <v>0</v>
      </c>
      <c r="AL170" s="289" t="n">
        <f aca="false">IF($L170=0,0,$L170*MAX(0,NETWORKDAYS(MAX($H170,ASOF,AL$72),MIN(MAX($I170,ASOF),AL$72+6),HOLIDAYS)))</f>
        <v>0</v>
      </c>
      <c r="AM170" s="289" t="n">
        <f aca="false">IF($L170=0,0,$L170*MAX(0,NETWORKDAYS(MAX($H170,ASOF,AM$72),MIN(MAX($I170,ASOF),AM$72+6),HOLIDAYS)))</f>
        <v>0</v>
      </c>
      <c r="AN170" s="289" t="n">
        <f aca="false">IF($L170=0,0,$L170*MAX(0,NETWORKDAYS(MAX($H170,ASOF,AN$72),MIN(MAX($I170,ASOF),AN$72+6),HOLIDAYS)))</f>
        <v>0</v>
      </c>
      <c r="AO170" s="289" t="n">
        <f aca="false">IF($L170=0,0,$L170*MAX(0,NETWORKDAYS(MAX($H170,ASOF,AO$72),MIN(MAX($I170,ASOF),AO$72+6),HOLIDAYS)))</f>
        <v>0</v>
      </c>
      <c r="AP170" s="289" t="n">
        <f aca="false">IF($L170=0,0,$L170*MAX(0,NETWORKDAYS(MAX($H170,ASOF,AP$72),MIN(MAX($I170,ASOF),AP$72+6),HOLIDAYS)))</f>
        <v>0</v>
      </c>
      <c r="AQ170" s="289" t="n">
        <f aca="false">IF($L170=0,0,$L170*MAX(0,NETWORKDAYS(MAX($H170,ASOF,AQ$72),MIN(MAX($I170,ASOF),AQ$72+6),HOLIDAYS)))</f>
        <v>0</v>
      </c>
      <c r="AR170" s="289" t="n">
        <f aca="false">IF($L170=0,0,$L170*MAX(0,NETWORKDAYS(MAX($H170,ASOF,AR$72),MIN(MAX($I170,ASOF),AR$72+6),HOLIDAYS)))</f>
        <v>0</v>
      </c>
    </row>
    <row r="171" customFormat="false" ht="15" hidden="false" customHeight="false" outlineLevel="1" collapsed="false">
      <c r="A171" s="282" t="s">
        <v>74</v>
      </c>
      <c r="B171" s="283" t="s">
        <v>76</v>
      </c>
      <c r="C171" s="284" t="s">
        <v>2361</v>
      </c>
      <c r="D171" s="284" t="s">
        <v>2280</v>
      </c>
      <c r="E171" s="285" t="n">
        <v>150.48</v>
      </c>
      <c r="F171" s="283" t="s">
        <v>527</v>
      </c>
      <c r="G171" s="285" t="n">
        <f aca="false">$F$7*(E171/$G$7+$H$7)</f>
        <v>19.1977142857143</v>
      </c>
      <c r="H171" s="286" t="n">
        <f aca="false">IF(ISNUMBER('P9-009'!$N$76),'P9-009'!$N$76,"")</f>
        <v>46342</v>
      </c>
      <c r="I171" s="286" t="n">
        <f aca="false">IF(ISNUMBER('P9-009'!$O$76),'P9-009'!$O$76,"")</f>
        <v>46347</v>
      </c>
      <c r="J171" s="287" t="n">
        <f aca="false">IF(OR(H171="",I171="",N171&gt;=1),0,MAX(1,NETWORKDAYS(MAX(H171,ASOF),MAX(I171,ASOF),HOLIDAYS)))</f>
        <v>5</v>
      </c>
      <c r="K171" s="287" t="n">
        <f aca="false">IF(L171=0,0,ROUNDUP(L171/$F$7,0))</f>
        <v>1</v>
      </c>
      <c r="L171" s="285" t="n">
        <f aca="false">IF(J171=0,0,G171*(1-N171)/J171)</f>
        <v>3.83954285714286</v>
      </c>
      <c r="M171" s="283" t="s">
        <v>1037</v>
      </c>
      <c r="N171" s="288" t="n">
        <f aca="false">IFERROR(MIN(1,'P9-009'!$V$76)+0,0)</f>
        <v>0</v>
      </c>
      <c r="O171" s="289" t="n">
        <f aca="false">IF($L171=0,0,$L171*MAX(0,NETWORKDAYS(MAX($H171,ASOF,O$72),MIN(MAX($I171,ASOF),O$72+6),HOLIDAYS)))</f>
        <v>0</v>
      </c>
      <c r="P171" s="289" t="n">
        <f aca="false">IF($L171=0,0,$L171*MAX(0,NETWORKDAYS(MAX($H171,ASOF,P$72),MIN(MAX($I171,ASOF),P$72+6),HOLIDAYS)))</f>
        <v>0</v>
      </c>
      <c r="Q171" s="289" t="n">
        <f aca="false">IF($L171=0,0,$L171*MAX(0,NETWORKDAYS(MAX($H171,ASOF,Q$72),MIN(MAX($I171,ASOF),Q$72+6),HOLIDAYS)))</f>
        <v>19.1977142857143</v>
      </c>
      <c r="R171" s="289" t="n">
        <f aca="false">IF($L171=0,0,$L171*MAX(0,NETWORKDAYS(MAX($H171,ASOF,R$72),MIN(MAX($I171,ASOF),R$72+6),HOLIDAYS)))</f>
        <v>0</v>
      </c>
      <c r="S171" s="289" t="n">
        <f aca="false">IF($L171=0,0,$L171*MAX(0,NETWORKDAYS(MAX($H171,ASOF,S$72),MIN(MAX($I171,ASOF),S$72+6),HOLIDAYS)))</f>
        <v>0</v>
      </c>
      <c r="T171" s="289" t="n">
        <f aca="false">IF($L171=0,0,$L171*MAX(0,NETWORKDAYS(MAX($H171,ASOF,T$72),MIN(MAX($I171,ASOF),T$72+6),HOLIDAYS)))</f>
        <v>0</v>
      </c>
      <c r="U171" s="289" t="n">
        <f aca="false">IF($L171=0,0,$L171*MAX(0,NETWORKDAYS(MAX($H171,ASOF,U$72),MIN(MAX($I171,ASOF),U$72+6),HOLIDAYS)))</f>
        <v>0</v>
      </c>
      <c r="V171" s="289" t="n">
        <f aca="false">IF($L171=0,0,$L171*MAX(0,NETWORKDAYS(MAX($H171,ASOF,V$72),MIN(MAX($I171,ASOF),V$72+6),HOLIDAYS)))</f>
        <v>0</v>
      </c>
      <c r="W171" s="289" t="n">
        <f aca="false">IF($L171=0,0,$L171*MAX(0,NETWORKDAYS(MAX($H171,ASOF,W$72),MIN(MAX($I171,ASOF),W$72+6),HOLIDAYS)))</f>
        <v>0</v>
      </c>
      <c r="X171" s="289" t="n">
        <f aca="false">IF($L171=0,0,$L171*MAX(0,NETWORKDAYS(MAX($H171,ASOF,X$72),MIN(MAX($I171,ASOF),X$72+6),HOLIDAYS)))</f>
        <v>0</v>
      </c>
      <c r="Y171" s="289" t="n">
        <f aca="false">IF($L171=0,0,$L171*MAX(0,NETWORKDAYS(MAX($H171,ASOF,Y$72),MIN(MAX($I171,ASOF),Y$72+6),HOLIDAYS)))</f>
        <v>0</v>
      </c>
      <c r="Z171" s="289" t="n">
        <f aca="false">IF($L171=0,0,$L171*MAX(0,NETWORKDAYS(MAX($H171,ASOF,Z$72),MIN(MAX($I171,ASOF),Z$72+6),HOLIDAYS)))</f>
        <v>0</v>
      </c>
      <c r="AA171" s="289" t="n">
        <f aca="false">IF($L171=0,0,$L171*MAX(0,NETWORKDAYS(MAX($H171,ASOF,AA$72),MIN(MAX($I171,ASOF),AA$72+6),HOLIDAYS)))</f>
        <v>0</v>
      </c>
      <c r="AB171" s="289" t="n">
        <f aca="false">IF($L171=0,0,$L171*MAX(0,NETWORKDAYS(MAX($H171,ASOF,AB$72),MIN(MAX($I171,ASOF),AB$72+6),HOLIDAYS)))</f>
        <v>0</v>
      </c>
      <c r="AC171" s="289" t="n">
        <f aca="false">IF($L171=0,0,$L171*MAX(0,NETWORKDAYS(MAX($H171,ASOF,AC$72),MIN(MAX($I171,ASOF),AC$72+6),HOLIDAYS)))</f>
        <v>0</v>
      </c>
      <c r="AD171" s="289" t="n">
        <f aca="false">IF($L171=0,0,$L171*MAX(0,NETWORKDAYS(MAX($H171,ASOF,AD$72),MIN(MAX($I171,ASOF),AD$72+6),HOLIDAYS)))</f>
        <v>0</v>
      </c>
      <c r="AE171" s="289" t="n">
        <f aca="false">IF($L171=0,0,$L171*MAX(0,NETWORKDAYS(MAX($H171,ASOF,AE$72),MIN(MAX($I171,ASOF),AE$72+6),HOLIDAYS)))</f>
        <v>0</v>
      </c>
      <c r="AF171" s="289" t="n">
        <f aca="false">IF($L171=0,0,$L171*MAX(0,NETWORKDAYS(MAX($H171,ASOF,AF$72),MIN(MAX($I171,ASOF),AF$72+6),HOLIDAYS)))</f>
        <v>0</v>
      </c>
      <c r="AG171" s="289" t="n">
        <f aca="false">IF($L171=0,0,$L171*MAX(0,NETWORKDAYS(MAX($H171,ASOF,AG$72),MIN(MAX($I171,ASOF),AG$72+6),HOLIDAYS)))</f>
        <v>0</v>
      </c>
      <c r="AH171" s="289" t="n">
        <f aca="false">IF($L171=0,0,$L171*MAX(0,NETWORKDAYS(MAX($H171,ASOF,AH$72),MIN(MAX($I171,ASOF),AH$72+6),HOLIDAYS)))</f>
        <v>0</v>
      </c>
      <c r="AI171" s="289" t="n">
        <f aca="false">IF($L171=0,0,$L171*MAX(0,NETWORKDAYS(MAX($H171,ASOF,AI$72),MIN(MAX($I171,ASOF),AI$72+6),HOLIDAYS)))</f>
        <v>0</v>
      </c>
      <c r="AJ171" s="289" t="n">
        <f aca="false">IF($L171=0,0,$L171*MAX(0,NETWORKDAYS(MAX($H171,ASOF,AJ$72),MIN(MAX($I171,ASOF),AJ$72+6),HOLIDAYS)))</f>
        <v>0</v>
      </c>
      <c r="AK171" s="289" t="n">
        <f aca="false">IF($L171=0,0,$L171*MAX(0,NETWORKDAYS(MAX($H171,ASOF,AK$72),MIN(MAX($I171,ASOF),AK$72+6),HOLIDAYS)))</f>
        <v>0</v>
      </c>
      <c r="AL171" s="289" t="n">
        <f aca="false">IF($L171=0,0,$L171*MAX(0,NETWORKDAYS(MAX($H171,ASOF,AL$72),MIN(MAX($I171,ASOF),AL$72+6),HOLIDAYS)))</f>
        <v>0</v>
      </c>
      <c r="AM171" s="289" t="n">
        <f aca="false">IF($L171=0,0,$L171*MAX(0,NETWORKDAYS(MAX($H171,ASOF,AM$72),MIN(MAX($I171,ASOF),AM$72+6),HOLIDAYS)))</f>
        <v>0</v>
      </c>
      <c r="AN171" s="289" t="n">
        <f aca="false">IF($L171=0,0,$L171*MAX(0,NETWORKDAYS(MAX($H171,ASOF,AN$72),MIN(MAX($I171,ASOF),AN$72+6),HOLIDAYS)))</f>
        <v>0</v>
      </c>
      <c r="AO171" s="289" t="n">
        <f aca="false">IF($L171=0,0,$L171*MAX(0,NETWORKDAYS(MAX($H171,ASOF,AO$72),MIN(MAX($I171,ASOF),AO$72+6),HOLIDAYS)))</f>
        <v>0</v>
      </c>
      <c r="AP171" s="289" t="n">
        <f aca="false">IF($L171=0,0,$L171*MAX(0,NETWORKDAYS(MAX($H171,ASOF,AP$72),MIN(MAX($I171,ASOF),AP$72+6),HOLIDAYS)))</f>
        <v>0</v>
      </c>
      <c r="AQ171" s="289" t="n">
        <f aca="false">IF($L171=0,0,$L171*MAX(0,NETWORKDAYS(MAX($H171,ASOF,AQ$72),MIN(MAX($I171,ASOF),AQ$72+6),HOLIDAYS)))</f>
        <v>0</v>
      </c>
      <c r="AR171" s="289" t="n">
        <f aca="false">IF($L171=0,0,$L171*MAX(0,NETWORKDAYS(MAX($H171,ASOF,AR$72),MIN(MAX($I171,ASOF),AR$72+6),HOLIDAYS)))</f>
        <v>0</v>
      </c>
    </row>
    <row r="172" customFormat="false" ht="15" hidden="false" customHeight="false" outlineLevel="1" collapsed="false">
      <c r="A172" s="282" t="s">
        <v>74</v>
      </c>
      <c r="B172" s="283" t="s">
        <v>76</v>
      </c>
      <c r="C172" s="284" t="s">
        <v>2362</v>
      </c>
      <c r="D172" s="284" t="s">
        <v>2284</v>
      </c>
      <c r="E172" s="285" t="n">
        <v>1</v>
      </c>
      <c r="F172" s="290" t="s">
        <v>35</v>
      </c>
      <c r="G172" s="285" t="n">
        <f aca="false">$F$8*$H$8</f>
        <v>2</v>
      </c>
      <c r="H172" s="286" t="n">
        <f aca="false">IF(ISNUMBER('P9-009'!$N$82),'P9-009'!$N$82,"")</f>
        <v>46345</v>
      </c>
      <c r="I172" s="286" t="n">
        <f aca="false">IF(ISNUMBER('P9-009'!$O$82),'P9-009'!$O$82,"")</f>
        <v>46347</v>
      </c>
      <c r="J172" s="287" t="n">
        <f aca="false">IF(OR(H172="",I172="",N172&gt;=1),0,MAX(1,NETWORKDAYS(MAX(H172,ASOF),MAX(I172,ASOF),HOLIDAYS)))</f>
        <v>2</v>
      </c>
      <c r="K172" s="287" t="n">
        <f aca="false">IF(L172=0,0,ROUNDUP(L172/$F$8,0))</f>
        <v>1</v>
      </c>
      <c r="L172" s="285" t="n">
        <f aca="false">IF(J172=0,0,G172*(1-N172)/J172)</f>
        <v>1</v>
      </c>
      <c r="M172" s="283" t="s">
        <v>1063</v>
      </c>
      <c r="N172" s="288" t="n">
        <f aca="false">IFERROR(MIN(1,'P9-009'!$V$82)+0,0)</f>
        <v>0</v>
      </c>
      <c r="O172" s="289" t="n">
        <f aca="false">IF($L172=0,0,$L172*MAX(0,NETWORKDAYS(MAX($H172,ASOF,O$72),MIN(MAX($I172,ASOF),O$72+6),HOLIDAYS)))</f>
        <v>0</v>
      </c>
      <c r="P172" s="289" t="n">
        <f aca="false">IF($L172=0,0,$L172*MAX(0,NETWORKDAYS(MAX($H172,ASOF,P$72),MIN(MAX($I172,ASOF),P$72+6),HOLIDAYS)))</f>
        <v>0</v>
      </c>
      <c r="Q172" s="289" t="n">
        <f aca="false">IF($L172=0,0,$L172*MAX(0,NETWORKDAYS(MAX($H172,ASOF,Q$72),MIN(MAX($I172,ASOF),Q$72+6),HOLIDAYS)))</f>
        <v>2</v>
      </c>
      <c r="R172" s="289" t="n">
        <f aca="false">IF($L172=0,0,$L172*MAX(0,NETWORKDAYS(MAX($H172,ASOF,R$72),MIN(MAX($I172,ASOF),R$72+6),HOLIDAYS)))</f>
        <v>0</v>
      </c>
      <c r="S172" s="289" t="n">
        <f aca="false">IF($L172=0,0,$L172*MAX(0,NETWORKDAYS(MAX($H172,ASOF,S$72),MIN(MAX($I172,ASOF),S$72+6),HOLIDAYS)))</f>
        <v>0</v>
      </c>
      <c r="T172" s="289" t="n">
        <f aca="false">IF($L172=0,0,$L172*MAX(0,NETWORKDAYS(MAX($H172,ASOF,T$72),MIN(MAX($I172,ASOF),T$72+6),HOLIDAYS)))</f>
        <v>0</v>
      </c>
      <c r="U172" s="289" t="n">
        <f aca="false">IF($L172=0,0,$L172*MAX(0,NETWORKDAYS(MAX($H172,ASOF,U$72),MIN(MAX($I172,ASOF),U$72+6),HOLIDAYS)))</f>
        <v>0</v>
      </c>
      <c r="V172" s="289" t="n">
        <f aca="false">IF($L172=0,0,$L172*MAX(0,NETWORKDAYS(MAX($H172,ASOF,V$72),MIN(MAX($I172,ASOF),V$72+6),HOLIDAYS)))</f>
        <v>0</v>
      </c>
      <c r="W172" s="289" t="n">
        <f aca="false">IF($L172=0,0,$L172*MAX(0,NETWORKDAYS(MAX($H172,ASOF,W$72),MIN(MAX($I172,ASOF),W$72+6),HOLIDAYS)))</f>
        <v>0</v>
      </c>
      <c r="X172" s="289" t="n">
        <f aca="false">IF($L172=0,0,$L172*MAX(0,NETWORKDAYS(MAX($H172,ASOF,X$72),MIN(MAX($I172,ASOF),X$72+6),HOLIDAYS)))</f>
        <v>0</v>
      </c>
      <c r="Y172" s="289" t="n">
        <f aca="false">IF($L172=0,0,$L172*MAX(0,NETWORKDAYS(MAX($H172,ASOF,Y$72),MIN(MAX($I172,ASOF),Y$72+6),HOLIDAYS)))</f>
        <v>0</v>
      </c>
      <c r="Z172" s="289" t="n">
        <f aca="false">IF($L172=0,0,$L172*MAX(0,NETWORKDAYS(MAX($H172,ASOF,Z$72),MIN(MAX($I172,ASOF),Z$72+6),HOLIDAYS)))</f>
        <v>0</v>
      </c>
      <c r="AA172" s="289" t="n">
        <f aca="false">IF($L172=0,0,$L172*MAX(0,NETWORKDAYS(MAX($H172,ASOF,AA$72),MIN(MAX($I172,ASOF),AA$72+6),HOLIDAYS)))</f>
        <v>0</v>
      </c>
      <c r="AB172" s="289" t="n">
        <f aca="false">IF($L172=0,0,$L172*MAX(0,NETWORKDAYS(MAX($H172,ASOF,AB$72),MIN(MAX($I172,ASOF),AB$72+6),HOLIDAYS)))</f>
        <v>0</v>
      </c>
      <c r="AC172" s="289" t="n">
        <f aca="false">IF($L172=0,0,$L172*MAX(0,NETWORKDAYS(MAX($H172,ASOF,AC$72),MIN(MAX($I172,ASOF),AC$72+6),HOLIDAYS)))</f>
        <v>0</v>
      </c>
      <c r="AD172" s="289" t="n">
        <f aca="false">IF($L172=0,0,$L172*MAX(0,NETWORKDAYS(MAX($H172,ASOF,AD$72),MIN(MAX($I172,ASOF),AD$72+6),HOLIDAYS)))</f>
        <v>0</v>
      </c>
      <c r="AE172" s="289" t="n">
        <f aca="false">IF($L172=0,0,$L172*MAX(0,NETWORKDAYS(MAX($H172,ASOF,AE$72),MIN(MAX($I172,ASOF),AE$72+6),HOLIDAYS)))</f>
        <v>0</v>
      </c>
      <c r="AF172" s="289" t="n">
        <f aca="false">IF($L172=0,0,$L172*MAX(0,NETWORKDAYS(MAX($H172,ASOF,AF$72),MIN(MAX($I172,ASOF),AF$72+6),HOLIDAYS)))</f>
        <v>0</v>
      </c>
      <c r="AG172" s="289" t="n">
        <f aca="false">IF($L172=0,0,$L172*MAX(0,NETWORKDAYS(MAX($H172,ASOF,AG$72),MIN(MAX($I172,ASOF),AG$72+6),HOLIDAYS)))</f>
        <v>0</v>
      </c>
      <c r="AH172" s="289" t="n">
        <f aca="false">IF($L172=0,0,$L172*MAX(0,NETWORKDAYS(MAX($H172,ASOF,AH$72),MIN(MAX($I172,ASOF),AH$72+6),HOLIDAYS)))</f>
        <v>0</v>
      </c>
      <c r="AI172" s="289" t="n">
        <f aca="false">IF($L172=0,0,$L172*MAX(0,NETWORKDAYS(MAX($H172,ASOF,AI$72),MIN(MAX($I172,ASOF),AI$72+6),HOLIDAYS)))</f>
        <v>0</v>
      </c>
      <c r="AJ172" s="289" t="n">
        <f aca="false">IF($L172=0,0,$L172*MAX(0,NETWORKDAYS(MAX($H172,ASOF,AJ$72),MIN(MAX($I172,ASOF),AJ$72+6),HOLIDAYS)))</f>
        <v>0</v>
      </c>
      <c r="AK172" s="289" t="n">
        <f aca="false">IF($L172=0,0,$L172*MAX(0,NETWORKDAYS(MAX($H172,ASOF,AK$72),MIN(MAX($I172,ASOF),AK$72+6),HOLIDAYS)))</f>
        <v>0</v>
      </c>
      <c r="AL172" s="289" t="n">
        <f aca="false">IF($L172=0,0,$L172*MAX(0,NETWORKDAYS(MAX($H172,ASOF,AL$72),MIN(MAX($I172,ASOF),AL$72+6),HOLIDAYS)))</f>
        <v>0</v>
      </c>
      <c r="AM172" s="289" t="n">
        <f aca="false">IF($L172=0,0,$L172*MAX(0,NETWORKDAYS(MAX($H172,ASOF,AM$72),MIN(MAX($I172,ASOF),AM$72+6),HOLIDAYS)))</f>
        <v>0</v>
      </c>
      <c r="AN172" s="289" t="n">
        <f aca="false">IF($L172=0,0,$L172*MAX(0,NETWORKDAYS(MAX($H172,ASOF,AN$72),MIN(MAX($I172,ASOF),AN$72+6),HOLIDAYS)))</f>
        <v>0</v>
      </c>
      <c r="AO172" s="289" t="n">
        <f aca="false">IF($L172=0,0,$L172*MAX(0,NETWORKDAYS(MAX($H172,ASOF,AO$72),MIN(MAX($I172,ASOF),AO$72+6),HOLIDAYS)))</f>
        <v>0</v>
      </c>
      <c r="AP172" s="289" t="n">
        <f aca="false">IF($L172=0,0,$L172*MAX(0,NETWORKDAYS(MAX($H172,ASOF,AP$72),MIN(MAX($I172,ASOF),AP$72+6),HOLIDAYS)))</f>
        <v>0</v>
      </c>
      <c r="AQ172" s="289" t="n">
        <f aca="false">IF($L172=0,0,$L172*MAX(0,NETWORKDAYS(MAX($H172,ASOF,AQ$72),MIN(MAX($I172,ASOF),AQ$72+6),HOLIDAYS)))</f>
        <v>0</v>
      </c>
      <c r="AR172" s="289" t="n">
        <f aca="false">IF($L172=0,0,$L172*MAX(0,NETWORKDAYS(MAX($H172,ASOF,AR$72),MIN(MAX($I172,ASOF),AR$72+6),HOLIDAYS)))</f>
        <v>0</v>
      </c>
    </row>
    <row r="173" customFormat="false" ht="15" hidden="false" customHeight="false" outlineLevel="1" collapsed="false">
      <c r="A173" s="282" t="s">
        <v>74</v>
      </c>
      <c r="B173" s="283" t="s">
        <v>76</v>
      </c>
      <c r="C173" s="284" t="s">
        <v>2363</v>
      </c>
      <c r="D173" s="284" t="s">
        <v>2290</v>
      </c>
      <c r="E173" s="285" t="n">
        <v>1</v>
      </c>
      <c r="F173" s="290" t="s">
        <v>35</v>
      </c>
      <c r="G173" s="285" t="n">
        <f aca="false">IF(IFERROR(INDEX(INVS_TYPE,MATCH("P9-009",INVS_ID,0)),"")="สร้างใหม่ (E09)",$F$9*$H$9,0)</f>
        <v>24</v>
      </c>
      <c r="H173" s="286" t="n">
        <f aca="false">IF(ISNUMBER('P9-009'!$N$85),'P9-009'!$N$85,"")</f>
        <v>46343</v>
      </c>
      <c r="I173" s="286" t="n">
        <f aca="false">IF(ISNUMBER('P9-009'!$O$85),'P9-009'!$O$85,"")</f>
        <v>46346</v>
      </c>
      <c r="J173" s="287" t="n">
        <f aca="false">IF(OR(H173="",I173="",N173&gt;=1),0,MAX(1,NETWORKDAYS(MAX(H173,ASOF),MAX(I173,ASOF),HOLIDAYS)))</f>
        <v>4</v>
      </c>
      <c r="K173" s="287" t="n">
        <f aca="false">IF(L173=0,0,ROUNDUP(L173/$F$9,0))</f>
        <v>2</v>
      </c>
      <c r="L173" s="285" t="n">
        <f aca="false">IF(J173=0,0,G173*(1-N173)/J173)</f>
        <v>6</v>
      </c>
      <c r="M173" s="283" t="s">
        <v>2288</v>
      </c>
      <c r="N173" s="288" t="n">
        <f aca="false">IFERROR(MIN(1,'P9-009'!$V$85)+0,0)</f>
        <v>0</v>
      </c>
      <c r="O173" s="289" t="n">
        <f aca="false">IF($L173=0,0,$L173*MAX(0,NETWORKDAYS(MAX($H173,ASOF,O$72),MIN(MAX($I173,ASOF),O$72+6),HOLIDAYS)))</f>
        <v>0</v>
      </c>
      <c r="P173" s="289" t="n">
        <f aca="false">IF($L173=0,0,$L173*MAX(0,NETWORKDAYS(MAX($H173,ASOF,P$72),MIN(MAX($I173,ASOF),P$72+6),HOLIDAYS)))</f>
        <v>0</v>
      </c>
      <c r="Q173" s="289" t="n">
        <f aca="false">IF($L173=0,0,$L173*MAX(0,NETWORKDAYS(MAX($H173,ASOF,Q$72),MIN(MAX($I173,ASOF),Q$72+6),HOLIDAYS)))</f>
        <v>24</v>
      </c>
      <c r="R173" s="289" t="n">
        <f aca="false">IF($L173=0,0,$L173*MAX(0,NETWORKDAYS(MAX($H173,ASOF,R$72),MIN(MAX($I173,ASOF),R$72+6),HOLIDAYS)))</f>
        <v>0</v>
      </c>
      <c r="S173" s="289" t="n">
        <f aca="false">IF($L173=0,0,$L173*MAX(0,NETWORKDAYS(MAX($H173,ASOF,S$72),MIN(MAX($I173,ASOF),S$72+6),HOLIDAYS)))</f>
        <v>0</v>
      </c>
      <c r="T173" s="289" t="n">
        <f aca="false">IF($L173=0,0,$L173*MAX(0,NETWORKDAYS(MAX($H173,ASOF,T$72),MIN(MAX($I173,ASOF),T$72+6),HOLIDAYS)))</f>
        <v>0</v>
      </c>
      <c r="U173" s="289" t="n">
        <f aca="false">IF($L173=0,0,$L173*MAX(0,NETWORKDAYS(MAX($H173,ASOF,U$72),MIN(MAX($I173,ASOF),U$72+6),HOLIDAYS)))</f>
        <v>0</v>
      </c>
      <c r="V173" s="289" t="n">
        <f aca="false">IF($L173=0,0,$L173*MAX(0,NETWORKDAYS(MAX($H173,ASOF,V$72),MIN(MAX($I173,ASOF),V$72+6),HOLIDAYS)))</f>
        <v>0</v>
      </c>
      <c r="W173" s="289" t="n">
        <f aca="false">IF($L173=0,0,$L173*MAX(0,NETWORKDAYS(MAX($H173,ASOF,W$72),MIN(MAX($I173,ASOF),W$72+6),HOLIDAYS)))</f>
        <v>0</v>
      </c>
      <c r="X173" s="289" t="n">
        <f aca="false">IF($L173=0,0,$L173*MAX(0,NETWORKDAYS(MAX($H173,ASOF,X$72),MIN(MAX($I173,ASOF),X$72+6),HOLIDAYS)))</f>
        <v>0</v>
      </c>
      <c r="Y173" s="289" t="n">
        <f aca="false">IF($L173=0,0,$L173*MAX(0,NETWORKDAYS(MAX($H173,ASOF,Y$72),MIN(MAX($I173,ASOF),Y$72+6),HOLIDAYS)))</f>
        <v>0</v>
      </c>
      <c r="Z173" s="289" t="n">
        <f aca="false">IF($L173=0,0,$L173*MAX(0,NETWORKDAYS(MAX($H173,ASOF,Z$72),MIN(MAX($I173,ASOF),Z$72+6),HOLIDAYS)))</f>
        <v>0</v>
      </c>
      <c r="AA173" s="289" t="n">
        <f aca="false">IF($L173=0,0,$L173*MAX(0,NETWORKDAYS(MAX($H173,ASOF,AA$72),MIN(MAX($I173,ASOF),AA$72+6),HOLIDAYS)))</f>
        <v>0</v>
      </c>
      <c r="AB173" s="289" t="n">
        <f aca="false">IF($L173=0,0,$L173*MAX(0,NETWORKDAYS(MAX($H173,ASOF,AB$72),MIN(MAX($I173,ASOF),AB$72+6),HOLIDAYS)))</f>
        <v>0</v>
      </c>
      <c r="AC173" s="289" t="n">
        <f aca="false">IF($L173=0,0,$L173*MAX(0,NETWORKDAYS(MAX($H173,ASOF,AC$72),MIN(MAX($I173,ASOF),AC$72+6),HOLIDAYS)))</f>
        <v>0</v>
      </c>
      <c r="AD173" s="289" t="n">
        <f aca="false">IF($L173=0,0,$L173*MAX(0,NETWORKDAYS(MAX($H173,ASOF,AD$72),MIN(MAX($I173,ASOF),AD$72+6),HOLIDAYS)))</f>
        <v>0</v>
      </c>
      <c r="AE173" s="289" t="n">
        <f aca="false">IF($L173=0,0,$L173*MAX(0,NETWORKDAYS(MAX($H173,ASOF,AE$72),MIN(MAX($I173,ASOF),AE$72+6),HOLIDAYS)))</f>
        <v>0</v>
      </c>
      <c r="AF173" s="289" t="n">
        <f aca="false">IF($L173=0,0,$L173*MAX(0,NETWORKDAYS(MAX($H173,ASOF,AF$72),MIN(MAX($I173,ASOF),AF$72+6),HOLIDAYS)))</f>
        <v>0</v>
      </c>
      <c r="AG173" s="289" t="n">
        <f aca="false">IF($L173=0,0,$L173*MAX(0,NETWORKDAYS(MAX($H173,ASOF,AG$72),MIN(MAX($I173,ASOF),AG$72+6),HOLIDAYS)))</f>
        <v>0</v>
      </c>
      <c r="AH173" s="289" t="n">
        <f aca="false">IF($L173=0,0,$L173*MAX(0,NETWORKDAYS(MAX($H173,ASOF,AH$72),MIN(MAX($I173,ASOF),AH$72+6),HOLIDAYS)))</f>
        <v>0</v>
      </c>
      <c r="AI173" s="289" t="n">
        <f aca="false">IF($L173=0,0,$L173*MAX(0,NETWORKDAYS(MAX($H173,ASOF,AI$72),MIN(MAX($I173,ASOF),AI$72+6),HOLIDAYS)))</f>
        <v>0</v>
      </c>
      <c r="AJ173" s="289" t="n">
        <f aca="false">IF($L173=0,0,$L173*MAX(0,NETWORKDAYS(MAX($H173,ASOF,AJ$72),MIN(MAX($I173,ASOF),AJ$72+6),HOLIDAYS)))</f>
        <v>0</v>
      </c>
      <c r="AK173" s="289" t="n">
        <f aca="false">IF($L173=0,0,$L173*MAX(0,NETWORKDAYS(MAX($H173,ASOF,AK$72),MIN(MAX($I173,ASOF),AK$72+6),HOLIDAYS)))</f>
        <v>0</v>
      </c>
      <c r="AL173" s="289" t="n">
        <f aca="false">IF($L173=0,0,$L173*MAX(0,NETWORKDAYS(MAX($H173,ASOF,AL$72),MIN(MAX($I173,ASOF),AL$72+6),HOLIDAYS)))</f>
        <v>0</v>
      </c>
      <c r="AM173" s="289" t="n">
        <f aca="false">IF($L173=0,0,$L173*MAX(0,NETWORKDAYS(MAX($H173,ASOF,AM$72),MIN(MAX($I173,ASOF),AM$72+6),HOLIDAYS)))</f>
        <v>0</v>
      </c>
      <c r="AN173" s="289" t="n">
        <f aca="false">IF($L173=0,0,$L173*MAX(0,NETWORKDAYS(MAX($H173,ASOF,AN$72),MIN(MAX($I173,ASOF),AN$72+6),HOLIDAYS)))</f>
        <v>0</v>
      </c>
      <c r="AO173" s="289" t="n">
        <f aca="false">IF($L173=0,0,$L173*MAX(0,NETWORKDAYS(MAX($H173,ASOF,AO$72),MIN(MAX($I173,ASOF),AO$72+6),HOLIDAYS)))</f>
        <v>0</v>
      </c>
      <c r="AP173" s="289" t="n">
        <f aca="false">IF($L173=0,0,$L173*MAX(0,NETWORKDAYS(MAX($H173,ASOF,AP$72),MIN(MAX($I173,ASOF),AP$72+6),HOLIDAYS)))</f>
        <v>0</v>
      </c>
      <c r="AQ173" s="289" t="n">
        <f aca="false">IF($L173=0,0,$L173*MAX(0,NETWORKDAYS(MAX($H173,ASOF,AQ$72),MIN(MAX($I173,ASOF),AQ$72+6),HOLIDAYS)))</f>
        <v>0</v>
      </c>
      <c r="AR173" s="289" t="n">
        <f aca="false">IF($L173=0,0,$L173*MAX(0,NETWORKDAYS(MAX($H173,ASOF,AR$72),MIN(MAX($I173,ASOF),AR$72+6),HOLIDAYS)))</f>
        <v>0</v>
      </c>
    </row>
    <row r="174" customFormat="false" ht="15" hidden="false" customHeight="false" outlineLevel="1" collapsed="false">
      <c r="A174" s="282" t="s">
        <v>74</v>
      </c>
      <c r="B174" s="283" t="s">
        <v>76</v>
      </c>
      <c r="C174" s="284" t="s">
        <v>2364</v>
      </c>
      <c r="D174" s="284" t="s">
        <v>2284</v>
      </c>
      <c r="E174" s="285" t="n">
        <f aca="false">IFERROR(INDEX(INVS_N,MATCH("P9-009",INVS_ID,0)),1)</f>
        <v>1</v>
      </c>
      <c r="F174" s="290" t="s">
        <v>2365</v>
      </c>
      <c r="G174" s="285" t="n">
        <f aca="false">$F$10*(E174/$G$10+$H$10)</f>
        <v>3</v>
      </c>
      <c r="H174" s="286" t="n">
        <f aca="false">IF(ISNUMBER('P9-009'!$N$85),'P9-009'!$N$85,"")</f>
        <v>46343</v>
      </c>
      <c r="I174" s="286" t="n">
        <f aca="false">IF(ISNUMBER('P9-009'!$O$85),'P9-009'!$O$85,"")</f>
        <v>46346</v>
      </c>
      <c r="J174" s="287" t="n">
        <f aca="false">IF(OR(H174="",I174="",N174&gt;=1),0,MAX(1,NETWORKDAYS(MAX(H174,ASOF),MAX(I174,ASOF),HOLIDAYS)))</f>
        <v>4</v>
      </c>
      <c r="K174" s="287" t="n">
        <f aca="false">IF(L174=0,0,ROUNDUP(L174/$F$10,0))</f>
        <v>1</v>
      </c>
      <c r="L174" s="285" t="n">
        <f aca="false">IF(J174=0,0,G174*(1-N174)/J174)</f>
        <v>0.75</v>
      </c>
      <c r="M174" s="283" t="s">
        <v>2293</v>
      </c>
      <c r="N174" s="288" t="n">
        <f aca="false">IFERROR(MIN(1,'P9-009'!$V$85)+0,0)</f>
        <v>0</v>
      </c>
      <c r="O174" s="289" t="n">
        <f aca="false">IF($L174=0,0,$L174*MAX(0,NETWORKDAYS(MAX($H174,ASOF,O$72),MIN(MAX($I174,ASOF),O$72+6),HOLIDAYS)))</f>
        <v>0</v>
      </c>
      <c r="P174" s="289" t="n">
        <f aca="false">IF($L174=0,0,$L174*MAX(0,NETWORKDAYS(MAX($H174,ASOF,P$72),MIN(MAX($I174,ASOF),P$72+6),HOLIDAYS)))</f>
        <v>0</v>
      </c>
      <c r="Q174" s="289" t="n">
        <f aca="false">IF($L174=0,0,$L174*MAX(0,NETWORKDAYS(MAX($H174,ASOF,Q$72),MIN(MAX($I174,ASOF),Q$72+6),HOLIDAYS)))</f>
        <v>3</v>
      </c>
      <c r="R174" s="289" t="n">
        <f aca="false">IF($L174=0,0,$L174*MAX(0,NETWORKDAYS(MAX($H174,ASOF,R$72),MIN(MAX($I174,ASOF),R$72+6),HOLIDAYS)))</f>
        <v>0</v>
      </c>
      <c r="S174" s="289" t="n">
        <f aca="false">IF($L174=0,0,$L174*MAX(0,NETWORKDAYS(MAX($H174,ASOF,S$72),MIN(MAX($I174,ASOF),S$72+6),HOLIDAYS)))</f>
        <v>0</v>
      </c>
      <c r="T174" s="289" t="n">
        <f aca="false">IF($L174=0,0,$L174*MAX(0,NETWORKDAYS(MAX($H174,ASOF,T$72),MIN(MAX($I174,ASOF),T$72+6),HOLIDAYS)))</f>
        <v>0</v>
      </c>
      <c r="U174" s="289" t="n">
        <f aca="false">IF($L174=0,0,$L174*MAX(0,NETWORKDAYS(MAX($H174,ASOF,U$72),MIN(MAX($I174,ASOF),U$72+6),HOLIDAYS)))</f>
        <v>0</v>
      </c>
      <c r="V174" s="289" t="n">
        <f aca="false">IF($L174=0,0,$L174*MAX(0,NETWORKDAYS(MAX($H174,ASOF,V$72),MIN(MAX($I174,ASOF),V$72+6),HOLIDAYS)))</f>
        <v>0</v>
      </c>
      <c r="W174" s="289" t="n">
        <f aca="false">IF($L174=0,0,$L174*MAX(0,NETWORKDAYS(MAX($H174,ASOF,W$72),MIN(MAX($I174,ASOF),W$72+6),HOLIDAYS)))</f>
        <v>0</v>
      </c>
      <c r="X174" s="289" t="n">
        <f aca="false">IF($L174=0,0,$L174*MAX(0,NETWORKDAYS(MAX($H174,ASOF,X$72),MIN(MAX($I174,ASOF),X$72+6),HOLIDAYS)))</f>
        <v>0</v>
      </c>
      <c r="Y174" s="289" t="n">
        <f aca="false">IF($L174=0,0,$L174*MAX(0,NETWORKDAYS(MAX($H174,ASOF,Y$72),MIN(MAX($I174,ASOF),Y$72+6),HOLIDAYS)))</f>
        <v>0</v>
      </c>
      <c r="Z174" s="289" t="n">
        <f aca="false">IF($L174=0,0,$L174*MAX(0,NETWORKDAYS(MAX($H174,ASOF,Z$72),MIN(MAX($I174,ASOF),Z$72+6),HOLIDAYS)))</f>
        <v>0</v>
      </c>
      <c r="AA174" s="289" t="n">
        <f aca="false">IF($L174=0,0,$L174*MAX(0,NETWORKDAYS(MAX($H174,ASOF,AA$72),MIN(MAX($I174,ASOF),AA$72+6),HOLIDAYS)))</f>
        <v>0</v>
      </c>
      <c r="AB174" s="289" t="n">
        <f aca="false">IF($L174=0,0,$L174*MAX(0,NETWORKDAYS(MAX($H174,ASOF,AB$72),MIN(MAX($I174,ASOF),AB$72+6),HOLIDAYS)))</f>
        <v>0</v>
      </c>
      <c r="AC174" s="289" t="n">
        <f aca="false">IF($L174=0,0,$L174*MAX(0,NETWORKDAYS(MAX($H174,ASOF,AC$72),MIN(MAX($I174,ASOF),AC$72+6),HOLIDAYS)))</f>
        <v>0</v>
      </c>
      <c r="AD174" s="289" t="n">
        <f aca="false">IF($L174=0,0,$L174*MAX(0,NETWORKDAYS(MAX($H174,ASOF,AD$72),MIN(MAX($I174,ASOF),AD$72+6),HOLIDAYS)))</f>
        <v>0</v>
      </c>
      <c r="AE174" s="289" t="n">
        <f aca="false">IF($L174=0,0,$L174*MAX(0,NETWORKDAYS(MAX($H174,ASOF,AE$72),MIN(MAX($I174,ASOF),AE$72+6),HOLIDAYS)))</f>
        <v>0</v>
      </c>
      <c r="AF174" s="289" t="n">
        <f aca="false">IF($L174=0,0,$L174*MAX(0,NETWORKDAYS(MAX($H174,ASOF,AF$72),MIN(MAX($I174,ASOF),AF$72+6),HOLIDAYS)))</f>
        <v>0</v>
      </c>
      <c r="AG174" s="289" t="n">
        <f aca="false">IF($L174=0,0,$L174*MAX(0,NETWORKDAYS(MAX($H174,ASOF,AG$72),MIN(MAX($I174,ASOF),AG$72+6),HOLIDAYS)))</f>
        <v>0</v>
      </c>
      <c r="AH174" s="289" t="n">
        <f aca="false">IF($L174=0,0,$L174*MAX(0,NETWORKDAYS(MAX($H174,ASOF,AH$72),MIN(MAX($I174,ASOF),AH$72+6),HOLIDAYS)))</f>
        <v>0</v>
      </c>
      <c r="AI174" s="289" t="n">
        <f aca="false">IF($L174=0,0,$L174*MAX(0,NETWORKDAYS(MAX($H174,ASOF,AI$72),MIN(MAX($I174,ASOF),AI$72+6),HOLIDAYS)))</f>
        <v>0</v>
      </c>
      <c r="AJ174" s="289" t="n">
        <f aca="false">IF($L174=0,0,$L174*MAX(0,NETWORKDAYS(MAX($H174,ASOF,AJ$72),MIN(MAX($I174,ASOF),AJ$72+6),HOLIDAYS)))</f>
        <v>0</v>
      </c>
      <c r="AK174" s="289" t="n">
        <f aca="false">IF($L174=0,0,$L174*MAX(0,NETWORKDAYS(MAX($H174,ASOF,AK$72),MIN(MAX($I174,ASOF),AK$72+6),HOLIDAYS)))</f>
        <v>0</v>
      </c>
      <c r="AL174" s="289" t="n">
        <f aca="false">IF($L174=0,0,$L174*MAX(0,NETWORKDAYS(MAX($H174,ASOF,AL$72),MIN(MAX($I174,ASOF),AL$72+6),HOLIDAYS)))</f>
        <v>0</v>
      </c>
      <c r="AM174" s="289" t="n">
        <f aca="false">IF($L174=0,0,$L174*MAX(0,NETWORKDAYS(MAX($H174,ASOF,AM$72),MIN(MAX($I174,ASOF),AM$72+6),HOLIDAYS)))</f>
        <v>0</v>
      </c>
      <c r="AN174" s="289" t="n">
        <f aca="false">IF($L174=0,0,$L174*MAX(0,NETWORKDAYS(MAX($H174,ASOF,AN$72),MIN(MAX($I174,ASOF),AN$72+6),HOLIDAYS)))</f>
        <v>0</v>
      </c>
      <c r="AO174" s="289" t="n">
        <f aca="false">IF($L174=0,0,$L174*MAX(0,NETWORKDAYS(MAX($H174,ASOF,AO$72),MIN(MAX($I174,ASOF),AO$72+6),HOLIDAYS)))</f>
        <v>0</v>
      </c>
      <c r="AP174" s="289" t="n">
        <f aca="false">IF($L174=0,0,$L174*MAX(0,NETWORKDAYS(MAX($H174,ASOF,AP$72),MIN(MAX($I174,ASOF),AP$72+6),HOLIDAYS)))</f>
        <v>0</v>
      </c>
      <c r="AQ174" s="289" t="n">
        <f aca="false">IF($L174=0,0,$L174*MAX(0,NETWORKDAYS(MAX($H174,ASOF,AQ$72),MIN(MAX($I174,ASOF),AQ$72+6),HOLIDAYS)))</f>
        <v>0</v>
      </c>
      <c r="AR174" s="289" t="n">
        <f aca="false">IF($L174=0,0,$L174*MAX(0,NETWORKDAYS(MAX($H174,ASOF,AR$72),MIN(MAX($I174,ASOF),AR$72+6),HOLIDAYS)))</f>
        <v>0</v>
      </c>
    </row>
    <row r="175" customFormat="false" ht="15" hidden="false" customHeight="false" outlineLevel="1" collapsed="false">
      <c r="A175" s="282" t="s">
        <v>74</v>
      </c>
      <c r="B175" s="283" t="s">
        <v>76</v>
      </c>
      <c r="C175" s="284" t="s">
        <v>2366</v>
      </c>
      <c r="D175" s="284" t="s">
        <v>2284</v>
      </c>
      <c r="E175" s="285" t="n">
        <v>1</v>
      </c>
      <c r="F175" s="290" t="s">
        <v>35</v>
      </c>
      <c r="G175" s="285" t="n">
        <f aca="false">$F$11*$H$11</f>
        <v>16</v>
      </c>
      <c r="H175" s="286" t="n">
        <f aca="false">IF(ISNUMBER('P9-009'!$N$90),'P9-009'!$N$90,"")</f>
        <v>46344</v>
      </c>
      <c r="I175" s="286" t="n">
        <f aca="false">IF(ISNUMBER('P9-009'!$O$90),'P9-009'!$O$90,"")</f>
        <v>46347</v>
      </c>
      <c r="J175" s="287" t="n">
        <f aca="false">IF(OR(H175="",I175="",N175&gt;=1),0,MAX(1,NETWORKDAYS(MAX(H175,ASOF),MAX(I175,ASOF),HOLIDAYS)))</f>
        <v>3</v>
      </c>
      <c r="K175" s="287" t="n">
        <f aca="false">IF(L175=0,0,ROUNDUP(L175/$F$11,0))</f>
        <v>2</v>
      </c>
      <c r="L175" s="285" t="n">
        <f aca="false">IF(J175=0,0,G175*(1-N175)/J175)</f>
        <v>5.33333333333333</v>
      </c>
      <c r="M175" s="283" t="s">
        <v>1113</v>
      </c>
      <c r="N175" s="288" t="n">
        <f aca="false">IFERROR(MIN(1,'P9-009'!$V$90)+0,0)</f>
        <v>0</v>
      </c>
      <c r="O175" s="289" t="n">
        <f aca="false">IF($L175=0,0,$L175*MAX(0,NETWORKDAYS(MAX($H175,ASOF,O$72),MIN(MAX($I175,ASOF),O$72+6),HOLIDAYS)))</f>
        <v>0</v>
      </c>
      <c r="P175" s="289" t="n">
        <f aca="false">IF($L175=0,0,$L175*MAX(0,NETWORKDAYS(MAX($H175,ASOF,P$72),MIN(MAX($I175,ASOF),P$72+6),HOLIDAYS)))</f>
        <v>0</v>
      </c>
      <c r="Q175" s="289" t="n">
        <f aca="false">IF($L175=0,0,$L175*MAX(0,NETWORKDAYS(MAX($H175,ASOF,Q$72),MIN(MAX($I175,ASOF),Q$72+6),HOLIDAYS)))</f>
        <v>16</v>
      </c>
      <c r="R175" s="289" t="n">
        <f aca="false">IF($L175=0,0,$L175*MAX(0,NETWORKDAYS(MAX($H175,ASOF,R$72),MIN(MAX($I175,ASOF),R$72+6),HOLIDAYS)))</f>
        <v>0</v>
      </c>
      <c r="S175" s="289" t="n">
        <f aca="false">IF($L175=0,0,$L175*MAX(0,NETWORKDAYS(MAX($H175,ASOF,S$72),MIN(MAX($I175,ASOF),S$72+6),HOLIDAYS)))</f>
        <v>0</v>
      </c>
      <c r="T175" s="289" t="n">
        <f aca="false">IF($L175=0,0,$L175*MAX(0,NETWORKDAYS(MAX($H175,ASOF,T$72),MIN(MAX($I175,ASOF),T$72+6),HOLIDAYS)))</f>
        <v>0</v>
      </c>
      <c r="U175" s="289" t="n">
        <f aca="false">IF($L175=0,0,$L175*MAX(0,NETWORKDAYS(MAX($H175,ASOF,U$72),MIN(MAX($I175,ASOF),U$72+6),HOLIDAYS)))</f>
        <v>0</v>
      </c>
      <c r="V175" s="289" t="n">
        <f aca="false">IF($L175=0,0,$L175*MAX(0,NETWORKDAYS(MAX($H175,ASOF,V$72),MIN(MAX($I175,ASOF),V$72+6),HOLIDAYS)))</f>
        <v>0</v>
      </c>
      <c r="W175" s="289" t="n">
        <f aca="false">IF($L175=0,0,$L175*MAX(0,NETWORKDAYS(MAX($H175,ASOF,W$72),MIN(MAX($I175,ASOF),W$72+6),HOLIDAYS)))</f>
        <v>0</v>
      </c>
      <c r="X175" s="289" t="n">
        <f aca="false">IF($L175=0,0,$L175*MAX(0,NETWORKDAYS(MAX($H175,ASOF,X$72),MIN(MAX($I175,ASOF),X$72+6),HOLIDAYS)))</f>
        <v>0</v>
      </c>
      <c r="Y175" s="289" t="n">
        <f aca="false">IF($L175=0,0,$L175*MAX(0,NETWORKDAYS(MAX($H175,ASOF,Y$72),MIN(MAX($I175,ASOF),Y$72+6),HOLIDAYS)))</f>
        <v>0</v>
      </c>
      <c r="Z175" s="289" t="n">
        <f aca="false">IF($L175=0,0,$L175*MAX(0,NETWORKDAYS(MAX($H175,ASOF,Z$72),MIN(MAX($I175,ASOF),Z$72+6),HOLIDAYS)))</f>
        <v>0</v>
      </c>
      <c r="AA175" s="289" t="n">
        <f aca="false">IF($L175=0,0,$L175*MAX(0,NETWORKDAYS(MAX($H175,ASOF,AA$72),MIN(MAX($I175,ASOF),AA$72+6),HOLIDAYS)))</f>
        <v>0</v>
      </c>
      <c r="AB175" s="289" t="n">
        <f aca="false">IF($L175=0,0,$L175*MAX(0,NETWORKDAYS(MAX($H175,ASOF,AB$72),MIN(MAX($I175,ASOF),AB$72+6),HOLIDAYS)))</f>
        <v>0</v>
      </c>
      <c r="AC175" s="289" t="n">
        <f aca="false">IF($L175=0,0,$L175*MAX(0,NETWORKDAYS(MAX($H175,ASOF,AC$72),MIN(MAX($I175,ASOF),AC$72+6),HOLIDAYS)))</f>
        <v>0</v>
      </c>
      <c r="AD175" s="289" t="n">
        <f aca="false">IF($L175=0,0,$L175*MAX(0,NETWORKDAYS(MAX($H175,ASOF,AD$72),MIN(MAX($I175,ASOF),AD$72+6),HOLIDAYS)))</f>
        <v>0</v>
      </c>
      <c r="AE175" s="289" t="n">
        <f aca="false">IF($L175=0,0,$L175*MAX(0,NETWORKDAYS(MAX($H175,ASOF,AE$72),MIN(MAX($I175,ASOF),AE$72+6),HOLIDAYS)))</f>
        <v>0</v>
      </c>
      <c r="AF175" s="289" t="n">
        <f aca="false">IF($L175=0,0,$L175*MAX(0,NETWORKDAYS(MAX($H175,ASOF,AF$72),MIN(MAX($I175,ASOF),AF$72+6),HOLIDAYS)))</f>
        <v>0</v>
      </c>
      <c r="AG175" s="289" t="n">
        <f aca="false">IF($L175=0,0,$L175*MAX(0,NETWORKDAYS(MAX($H175,ASOF,AG$72),MIN(MAX($I175,ASOF),AG$72+6),HOLIDAYS)))</f>
        <v>0</v>
      </c>
      <c r="AH175" s="289" t="n">
        <f aca="false">IF($L175=0,0,$L175*MAX(0,NETWORKDAYS(MAX($H175,ASOF,AH$72),MIN(MAX($I175,ASOF),AH$72+6),HOLIDAYS)))</f>
        <v>0</v>
      </c>
      <c r="AI175" s="289" t="n">
        <f aca="false">IF($L175=0,0,$L175*MAX(0,NETWORKDAYS(MAX($H175,ASOF,AI$72),MIN(MAX($I175,ASOF),AI$72+6),HOLIDAYS)))</f>
        <v>0</v>
      </c>
      <c r="AJ175" s="289" t="n">
        <f aca="false">IF($L175=0,0,$L175*MAX(0,NETWORKDAYS(MAX($H175,ASOF,AJ$72),MIN(MAX($I175,ASOF),AJ$72+6),HOLIDAYS)))</f>
        <v>0</v>
      </c>
      <c r="AK175" s="289" t="n">
        <f aca="false">IF($L175=0,0,$L175*MAX(0,NETWORKDAYS(MAX($H175,ASOF,AK$72),MIN(MAX($I175,ASOF),AK$72+6),HOLIDAYS)))</f>
        <v>0</v>
      </c>
      <c r="AL175" s="289" t="n">
        <f aca="false">IF($L175=0,0,$L175*MAX(0,NETWORKDAYS(MAX($H175,ASOF,AL$72),MIN(MAX($I175,ASOF),AL$72+6),HOLIDAYS)))</f>
        <v>0</v>
      </c>
      <c r="AM175" s="289" t="n">
        <f aca="false">IF($L175=0,0,$L175*MAX(0,NETWORKDAYS(MAX($H175,ASOF,AM$72),MIN(MAX($I175,ASOF),AM$72+6),HOLIDAYS)))</f>
        <v>0</v>
      </c>
      <c r="AN175" s="289" t="n">
        <f aca="false">IF($L175=0,0,$L175*MAX(0,NETWORKDAYS(MAX($H175,ASOF,AN$72),MIN(MAX($I175,ASOF),AN$72+6),HOLIDAYS)))</f>
        <v>0</v>
      </c>
      <c r="AO175" s="289" t="n">
        <f aca="false">IF($L175=0,0,$L175*MAX(0,NETWORKDAYS(MAX($H175,ASOF,AO$72),MIN(MAX($I175,ASOF),AO$72+6),HOLIDAYS)))</f>
        <v>0</v>
      </c>
      <c r="AP175" s="289" t="n">
        <f aca="false">IF($L175=0,0,$L175*MAX(0,NETWORKDAYS(MAX($H175,ASOF,AP$72),MIN(MAX($I175,ASOF),AP$72+6),HOLIDAYS)))</f>
        <v>0</v>
      </c>
      <c r="AQ175" s="289" t="n">
        <f aca="false">IF($L175=0,0,$L175*MAX(0,NETWORKDAYS(MAX($H175,ASOF,AQ$72),MIN(MAX($I175,ASOF),AQ$72+6),HOLIDAYS)))</f>
        <v>0</v>
      </c>
      <c r="AR175" s="289" t="n">
        <f aca="false">IF($L175=0,0,$L175*MAX(0,NETWORKDAYS(MAX($H175,ASOF,AR$72),MIN(MAX($I175,ASOF),AR$72+6),HOLIDAYS)))</f>
        <v>0</v>
      </c>
    </row>
    <row r="176" customFormat="false" ht="15" hidden="false" customHeight="false" outlineLevel="1" collapsed="false">
      <c r="A176" s="282" t="s">
        <v>74</v>
      </c>
      <c r="B176" s="283" t="s">
        <v>76</v>
      </c>
      <c r="C176" s="284" t="s">
        <v>2367</v>
      </c>
      <c r="D176" s="284" t="s">
        <v>2284</v>
      </c>
      <c r="E176" s="285" t="n">
        <v>1</v>
      </c>
      <c r="F176" s="290" t="s">
        <v>35</v>
      </c>
      <c r="G176" s="285" t="n">
        <f aca="false">$F$12*$H$12</f>
        <v>4</v>
      </c>
      <c r="H176" s="286" t="n">
        <f aca="false">IF(ISNUMBER('P9-009'!$N$96),'P9-009'!$N$96,"")</f>
        <v>46345</v>
      </c>
      <c r="I176" s="286" t="n">
        <f aca="false">IF(ISNUMBER('P9-009'!$O$96),'P9-009'!$O$96,"")</f>
        <v>46347</v>
      </c>
      <c r="J176" s="287" t="n">
        <f aca="false">IF(OR(H176="",I176="",N176&gt;=1),0,MAX(1,NETWORKDAYS(MAX(H176,ASOF),MAX(I176,ASOF),HOLIDAYS)))</f>
        <v>2</v>
      </c>
      <c r="K176" s="287" t="n">
        <f aca="false">IF(L176=0,0,ROUNDUP(L176/$F$12,0))</f>
        <v>1</v>
      </c>
      <c r="L176" s="285" t="n">
        <f aca="false">IF(J176=0,0,G176*(1-N176)/J176)</f>
        <v>2</v>
      </c>
      <c r="M176" s="283" t="s">
        <v>1147</v>
      </c>
      <c r="N176" s="288" t="n">
        <f aca="false">IFERROR(MIN(1,'P9-009'!$V$96)+0,0)</f>
        <v>0</v>
      </c>
      <c r="O176" s="289" t="n">
        <f aca="false">IF($L176=0,0,$L176*MAX(0,NETWORKDAYS(MAX($H176,ASOF,O$72),MIN(MAX($I176,ASOF),O$72+6),HOLIDAYS)))</f>
        <v>0</v>
      </c>
      <c r="P176" s="289" t="n">
        <f aca="false">IF($L176=0,0,$L176*MAX(0,NETWORKDAYS(MAX($H176,ASOF,P$72),MIN(MAX($I176,ASOF),P$72+6),HOLIDAYS)))</f>
        <v>0</v>
      </c>
      <c r="Q176" s="289" t="n">
        <f aca="false">IF($L176=0,0,$L176*MAX(0,NETWORKDAYS(MAX($H176,ASOF,Q$72),MIN(MAX($I176,ASOF),Q$72+6),HOLIDAYS)))</f>
        <v>4</v>
      </c>
      <c r="R176" s="289" t="n">
        <f aca="false">IF($L176=0,0,$L176*MAX(0,NETWORKDAYS(MAX($H176,ASOF,R$72),MIN(MAX($I176,ASOF),R$72+6),HOLIDAYS)))</f>
        <v>0</v>
      </c>
      <c r="S176" s="289" t="n">
        <f aca="false">IF($L176=0,0,$L176*MAX(0,NETWORKDAYS(MAX($H176,ASOF,S$72),MIN(MAX($I176,ASOF),S$72+6),HOLIDAYS)))</f>
        <v>0</v>
      </c>
      <c r="T176" s="289" t="n">
        <f aca="false">IF($L176=0,0,$L176*MAX(0,NETWORKDAYS(MAX($H176,ASOF,T$72),MIN(MAX($I176,ASOF),T$72+6),HOLIDAYS)))</f>
        <v>0</v>
      </c>
      <c r="U176" s="289" t="n">
        <f aca="false">IF($L176=0,0,$L176*MAX(0,NETWORKDAYS(MAX($H176,ASOF,U$72),MIN(MAX($I176,ASOF),U$72+6),HOLIDAYS)))</f>
        <v>0</v>
      </c>
      <c r="V176" s="289" t="n">
        <f aca="false">IF($L176=0,0,$L176*MAX(0,NETWORKDAYS(MAX($H176,ASOF,V$72),MIN(MAX($I176,ASOF),V$72+6),HOLIDAYS)))</f>
        <v>0</v>
      </c>
      <c r="W176" s="289" t="n">
        <f aca="false">IF($L176=0,0,$L176*MAX(0,NETWORKDAYS(MAX($H176,ASOF,W$72),MIN(MAX($I176,ASOF),W$72+6),HOLIDAYS)))</f>
        <v>0</v>
      </c>
      <c r="X176" s="289" t="n">
        <f aca="false">IF($L176=0,0,$L176*MAX(0,NETWORKDAYS(MAX($H176,ASOF,X$72),MIN(MAX($I176,ASOF),X$72+6),HOLIDAYS)))</f>
        <v>0</v>
      </c>
      <c r="Y176" s="289" t="n">
        <f aca="false">IF($L176=0,0,$L176*MAX(0,NETWORKDAYS(MAX($H176,ASOF,Y$72),MIN(MAX($I176,ASOF),Y$72+6),HOLIDAYS)))</f>
        <v>0</v>
      </c>
      <c r="Z176" s="289" t="n">
        <f aca="false">IF($L176=0,0,$L176*MAX(0,NETWORKDAYS(MAX($H176,ASOF,Z$72),MIN(MAX($I176,ASOF),Z$72+6),HOLIDAYS)))</f>
        <v>0</v>
      </c>
      <c r="AA176" s="289" t="n">
        <f aca="false">IF($L176=0,0,$L176*MAX(0,NETWORKDAYS(MAX($H176,ASOF,AA$72),MIN(MAX($I176,ASOF),AA$72+6),HOLIDAYS)))</f>
        <v>0</v>
      </c>
      <c r="AB176" s="289" t="n">
        <f aca="false">IF($L176=0,0,$L176*MAX(0,NETWORKDAYS(MAX($H176,ASOF,AB$72),MIN(MAX($I176,ASOF),AB$72+6),HOLIDAYS)))</f>
        <v>0</v>
      </c>
      <c r="AC176" s="289" t="n">
        <f aca="false">IF($L176=0,0,$L176*MAX(0,NETWORKDAYS(MAX($H176,ASOF,AC$72),MIN(MAX($I176,ASOF),AC$72+6),HOLIDAYS)))</f>
        <v>0</v>
      </c>
      <c r="AD176" s="289" t="n">
        <f aca="false">IF($L176=0,0,$L176*MAX(0,NETWORKDAYS(MAX($H176,ASOF,AD$72),MIN(MAX($I176,ASOF),AD$72+6),HOLIDAYS)))</f>
        <v>0</v>
      </c>
      <c r="AE176" s="289" t="n">
        <f aca="false">IF($L176=0,0,$L176*MAX(0,NETWORKDAYS(MAX($H176,ASOF,AE$72),MIN(MAX($I176,ASOF),AE$72+6),HOLIDAYS)))</f>
        <v>0</v>
      </c>
      <c r="AF176" s="289" t="n">
        <f aca="false">IF($L176=0,0,$L176*MAX(0,NETWORKDAYS(MAX($H176,ASOF,AF$72),MIN(MAX($I176,ASOF),AF$72+6),HOLIDAYS)))</f>
        <v>0</v>
      </c>
      <c r="AG176" s="289" t="n">
        <f aca="false">IF($L176=0,0,$L176*MAX(0,NETWORKDAYS(MAX($H176,ASOF,AG$72),MIN(MAX($I176,ASOF),AG$72+6),HOLIDAYS)))</f>
        <v>0</v>
      </c>
      <c r="AH176" s="289" t="n">
        <f aca="false">IF($L176=0,0,$L176*MAX(0,NETWORKDAYS(MAX($H176,ASOF,AH$72),MIN(MAX($I176,ASOF),AH$72+6),HOLIDAYS)))</f>
        <v>0</v>
      </c>
      <c r="AI176" s="289" t="n">
        <f aca="false">IF($L176=0,0,$L176*MAX(0,NETWORKDAYS(MAX($H176,ASOF,AI$72),MIN(MAX($I176,ASOF),AI$72+6),HOLIDAYS)))</f>
        <v>0</v>
      </c>
      <c r="AJ176" s="289" t="n">
        <f aca="false">IF($L176=0,0,$L176*MAX(0,NETWORKDAYS(MAX($H176,ASOF,AJ$72),MIN(MAX($I176,ASOF),AJ$72+6),HOLIDAYS)))</f>
        <v>0</v>
      </c>
      <c r="AK176" s="289" t="n">
        <f aca="false">IF($L176=0,0,$L176*MAX(0,NETWORKDAYS(MAX($H176,ASOF,AK$72),MIN(MAX($I176,ASOF),AK$72+6),HOLIDAYS)))</f>
        <v>0</v>
      </c>
      <c r="AL176" s="289" t="n">
        <f aca="false">IF($L176=0,0,$L176*MAX(0,NETWORKDAYS(MAX($H176,ASOF,AL$72),MIN(MAX($I176,ASOF),AL$72+6),HOLIDAYS)))</f>
        <v>0</v>
      </c>
      <c r="AM176" s="289" t="n">
        <f aca="false">IF($L176=0,0,$L176*MAX(0,NETWORKDAYS(MAX($H176,ASOF,AM$72),MIN(MAX($I176,ASOF),AM$72+6),HOLIDAYS)))</f>
        <v>0</v>
      </c>
      <c r="AN176" s="289" t="n">
        <f aca="false">IF($L176=0,0,$L176*MAX(0,NETWORKDAYS(MAX($H176,ASOF,AN$72),MIN(MAX($I176,ASOF),AN$72+6),HOLIDAYS)))</f>
        <v>0</v>
      </c>
      <c r="AO176" s="289" t="n">
        <f aca="false">IF($L176=0,0,$L176*MAX(0,NETWORKDAYS(MAX($H176,ASOF,AO$72),MIN(MAX($I176,ASOF),AO$72+6),HOLIDAYS)))</f>
        <v>0</v>
      </c>
      <c r="AP176" s="289" t="n">
        <f aca="false">IF($L176=0,0,$L176*MAX(0,NETWORKDAYS(MAX($H176,ASOF,AP$72),MIN(MAX($I176,ASOF),AP$72+6),HOLIDAYS)))</f>
        <v>0</v>
      </c>
      <c r="AQ176" s="289" t="n">
        <f aca="false">IF($L176=0,0,$L176*MAX(0,NETWORKDAYS(MAX($H176,ASOF,AQ$72),MIN(MAX($I176,ASOF),AQ$72+6),HOLIDAYS)))</f>
        <v>0</v>
      </c>
      <c r="AR176" s="289" t="n">
        <f aca="false">IF($L176=0,0,$L176*MAX(0,NETWORKDAYS(MAX($H176,ASOF,AR$72),MIN(MAX($I176,ASOF),AR$72+6),HOLIDAYS)))</f>
        <v>0</v>
      </c>
    </row>
    <row r="177" customFormat="false" ht="15" hidden="false" customHeight="false" outlineLevel="1" collapsed="false">
      <c r="A177" s="282" t="s">
        <v>74</v>
      </c>
      <c r="B177" s="283" t="s">
        <v>76</v>
      </c>
      <c r="C177" s="284" t="s">
        <v>2368</v>
      </c>
      <c r="D177" s="284" t="s">
        <v>2301</v>
      </c>
      <c r="E177" s="285" t="n">
        <v>1</v>
      </c>
      <c r="F177" s="290" t="s">
        <v>35</v>
      </c>
      <c r="G177" s="285" t="n">
        <f aca="false">$F$13*$H$13</f>
        <v>12</v>
      </c>
      <c r="H177" s="286" t="n">
        <f aca="false">IF(ISNUMBER('P9-009'!$N$100),'P9-009'!$N$100,"")</f>
        <v>46346</v>
      </c>
      <c r="I177" s="286" t="n">
        <f aca="false">IF(ISNUMBER('P9-009'!$O$100),'P9-009'!$O$100,"")</f>
        <v>46348</v>
      </c>
      <c r="J177" s="287" t="n">
        <f aca="false">IF(OR(H177="",I177="",N177&gt;=1),0,MAX(1,NETWORKDAYS(MAX(H177,ASOF),MAX(I177,ASOF),HOLIDAYS)))</f>
        <v>1</v>
      </c>
      <c r="K177" s="287" t="n">
        <f aca="false">IF(L177=0,0,ROUNDUP(L177/$F$13,0))</f>
        <v>3</v>
      </c>
      <c r="L177" s="285" t="n">
        <f aca="false">IF(J177=0,0,G177*(1-N177)/J177)</f>
        <v>12</v>
      </c>
      <c r="M177" s="283" t="s">
        <v>2299</v>
      </c>
      <c r="N177" s="288" t="n">
        <f aca="false">IFERROR(MIN(1,'P9-009'!$V$100)+0,0)</f>
        <v>0</v>
      </c>
      <c r="O177" s="289" t="n">
        <f aca="false">IF($L177=0,0,$L177*MAX(0,NETWORKDAYS(MAX($H177,ASOF,O$72),MIN(MAX($I177,ASOF),O$72+6),HOLIDAYS)))</f>
        <v>0</v>
      </c>
      <c r="P177" s="289" t="n">
        <f aca="false">IF($L177=0,0,$L177*MAX(0,NETWORKDAYS(MAX($H177,ASOF,P$72),MIN(MAX($I177,ASOF),P$72+6),HOLIDAYS)))</f>
        <v>0</v>
      </c>
      <c r="Q177" s="289" t="n">
        <f aca="false">IF($L177=0,0,$L177*MAX(0,NETWORKDAYS(MAX($H177,ASOF,Q$72),MIN(MAX($I177,ASOF),Q$72+6),HOLIDAYS)))</f>
        <v>12</v>
      </c>
      <c r="R177" s="289" t="n">
        <f aca="false">IF($L177=0,0,$L177*MAX(0,NETWORKDAYS(MAX($H177,ASOF,R$72),MIN(MAX($I177,ASOF),R$72+6),HOLIDAYS)))</f>
        <v>0</v>
      </c>
      <c r="S177" s="289" t="n">
        <f aca="false">IF($L177=0,0,$L177*MAX(0,NETWORKDAYS(MAX($H177,ASOF,S$72),MIN(MAX($I177,ASOF),S$72+6),HOLIDAYS)))</f>
        <v>0</v>
      </c>
      <c r="T177" s="289" t="n">
        <f aca="false">IF($L177=0,0,$L177*MAX(0,NETWORKDAYS(MAX($H177,ASOF,T$72),MIN(MAX($I177,ASOF),T$72+6),HOLIDAYS)))</f>
        <v>0</v>
      </c>
      <c r="U177" s="289" t="n">
        <f aca="false">IF($L177=0,0,$L177*MAX(0,NETWORKDAYS(MAX($H177,ASOF,U$72),MIN(MAX($I177,ASOF),U$72+6),HOLIDAYS)))</f>
        <v>0</v>
      </c>
      <c r="V177" s="289" t="n">
        <f aca="false">IF($L177=0,0,$L177*MAX(0,NETWORKDAYS(MAX($H177,ASOF,V$72),MIN(MAX($I177,ASOF),V$72+6),HOLIDAYS)))</f>
        <v>0</v>
      </c>
      <c r="W177" s="289" t="n">
        <f aca="false">IF($L177=0,0,$L177*MAX(0,NETWORKDAYS(MAX($H177,ASOF,W$72),MIN(MAX($I177,ASOF),W$72+6),HOLIDAYS)))</f>
        <v>0</v>
      </c>
      <c r="X177" s="289" t="n">
        <f aca="false">IF($L177=0,0,$L177*MAX(0,NETWORKDAYS(MAX($H177,ASOF,X$72),MIN(MAX($I177,ASOF),X$72+6),HOLIDAYS)))</f>
        <v>0</v>
      </c>
      <c r="Y177" s="289" t="n">
        <f aca="false">IF($L177=0,0,$L177*MAX(0,NETWORKDAYS(MAX($H177,ASOF,Y$72),MIN(MAX($I177,ASOF),Y$72+6),HOLIDAYS)))</f>
        <v>0</v>
      </c>
      <c r="Z177" s="289" t="n">
        <f aca="false">IF($L177=0,0,$L177*MAX(0,NETWORKDAYS(MAX($H177,ASOF,Z$72),MIN(MAX($I177,ASOF),Z$72+6),HOLIDAYS)))</f>
        <v>0</v>
      </c>
      <c r="AA177" s="289" t="n">
        <f aca="false">IF($L177=0,0,$L177*MAX(0,NETWORKDAYS(MAX($H177,ASOF,AA$72),MIN(MAX($I177,ASOF),AA$72+6),HOLIDAYS)))</f>
        <v>0</v>
      </c>
      <c r="AB177" s="289" t="n">
        <f aca="false">IF($L177=0,0,$L177*MAX(0,NETWORKDAYS(MAX($H177,ASOF,AB$72),MIN(MAX($I177,ASOF),AB$72+6),HOLIDAYS)))</f>
        <v>0</v>
      </c>
      <c r="AC177" s="289" t="n">
        <f aca="false">IF($L177=0,0,$L177*MAX(0,NETWORKDAYS(MAX($H177,ASOF,AC$72),MIN(MAX($I177,ASOF),AC$72+6),HOLIDAYS)))</f>
        <v>0</v>
      </c>
      <c r="AD177" s="289" t="n">
        <f aca="false">IF($L177=0,0,$L177*MAX(0,NETWORKDAYS(MAX($H177,ASOF,AD$72),MIN(MAX($I177,ASOF),AD$72+6),HOLIDAYS)))</f>
        <v>0</v>
      </c>
      <c r="AE177" s="289" t="n">
        <f aca="false">IF($L177=0,0,$L177*MAX(0,NETWORKDAYS(MAX($H177,ASOF,AE$72),MIN(MAX($I177,ASOF),AE$72+6),HOLIDAYS)))</f>
        <v>0</v>
      </c>
      <c r="AF177" s="289" t="n">
        <f aca="false">IF($L177=0,0,$L177*MAX(0,NETWORKDAYS(MAX($H177,ASOF,AF$72),MIN(MAX($I177,ASOF),AF$72+6),HOLIDAYS)))</f>
        <v>0</v>
      </c>
      <c r="AG177" s="289" t="n">
        <f aca="false">IF($L177=0,0,$L177*MAX(0,NETWORKDAYS(MAX($H177,ASOF,AG$72),MIN(MAX($I177,ASOF),AG$72+6),HOLIDAYS)))</f>
        <v>0</v>
      </c>
      <c r="AH177" s="289" t="n">
        <f aca="false">IF($L177=0,0,$L177*MAX(0,NETWORKDAYS(MAX($H177,ASOF,AH$72),MIN(MAX($I177,ASOF),AH$72+6),HOLIDAYS)))</f>
        <v>0</v>
      </c>
      <c r="AI177" s="289" t="n">
        <f aca="false">IF($L177=0,0,$L177*MAX(0,NETWORKDAYS(MAX($H177,ASOF,AI$72),MIN(MAX($I177,ASOF),AI$72+6),HOLIDAYS)))</f>
        <v>0</v>
      </c>
      <c r="AJ177" s="289" t="n">
        <f aca="false">IF($L177=0,0,$L177*MAX(0,NETWORKDAYS(MAX($H177,ASOF,AJ$72),MIN(MAX($I177,ASOF),AJ$72+6),HOLIDAYS)))</f>
        <v>0</v>
      </c>
      <c r="AK177" s="289" t="n">
        <f aca="false">IF($L177=0,0,$L177*MAX(0,NETWORKDAYS(MAX($H177,ASOF,AK$72),MIN(MAX($I177,ASOF),AK$72+6),HOLIDAYS)))</f>
        <v>0</v>
      </c>
      <c r="AL177" s="289" t="n">
        <f aca="false">IF($L177=0,0,$L177*MAX(0,NETWORKDAYS(MAX($H177,ASOF,AL$72),MIN(MAX($I177,ASOF),AL$72+6),HOLIDAYS)))</f>
        <v>0</v>
      </c>
      <c r="AM177" s="289" t="n">
        <f aca="false">IF($L177=0,0,$L177*MAX(0,NETWORKDAYS(MAX($H177,ASOF,AM$72),MIN(MAX($I177,ASOF),AM$72+6),HOLIDAYS)))</f>
        <v>0</v>
      </c>
      <c r="AN177" s="289" t="n">
        <f aca="false">IF($L177=0,0,$L177*MAX(0,NETWORKDAYS(MAX($H177,ASOF,AN$72),MIN(MAX($I177,ASOF),AN$72+6),HOLIDAYS)))</f>
        <v>0</v>
      </c>
      <c r="AO177" s="289" t="n">
        <f aca="false">IF($L177=0,0,$L177*MAX(0,NETWORKDAYS(MAX($H177,ASOF,AO$72),MIN(MAX($I177,ASOF),AO$72+6),HOLIDAYS)))</f>
        <v>0</v>
      </c>
      <c r="AP177" s="289" t="n">
        <f aca="false">IF($L177=0,0,$L177*MAX(0,NETWORKDAYS(MAX($H177,ASOF,AP$72),MIN(MAX($I177,ASOF),AP$72+6),HOLIDAYS)))</f>
        <v>0</v>
      </c>
      <c r="AQ177" s="289" t="n">
        <f aca="false">IF($L177=0,0,$L177*MAX(0,NETWORKDAYS(MAX($H177,ASOF,AQ$72),MIN(MAX($I177,ASOF),AQ$72+6),HOLIDAYS)))</f>
        <v>0</v>
      </c>
      <c r="AR177" s="289" t="n">
        <f aca="false">IF($L177=0,0,$L177*MAX(0,NETWORKDAYS(MAX($H177,ASOF,AR$72),MIN(MAX($I177,ASOF),AR$72+6),HOLIDAYS)))</f>
        <v>0</v>
      </c>
    </row>
    <row r="178" customFormat="false" ht="15" hidden="false" customHeight="false" outlineLevel="1" collapsed="false">
      <c r="A178" s="282" t="s">
        <v>74</v>
      </c>
      <c r="B178" s="283" t="s">
        <v>76</v>
      </c>
      <c r="C178" s="282" t="s">
        <v>1198</v>
      </c>
      <c r="D178" s="284" t="s">
        <v>2284</v>
      </c>
      <c r="E178" s="285" t="n">
        <v>1</v>
      </c>
      <c r="F178" s="290" t="s">
        <v>35</v>
      </c>
      <c r="G178" s="285" t="n">
        <f aca="false">$F$15*$H$15</f>
        <v>2</v>
      </c>
      <c r="H178" s="286" t="n">
        <f aca="false">IF(ISNUMBER('P9-009'!$N$107),'P9-009'!$N$107,"")</f>
        <v>46347</v>
      </c>
      <c r="I178" s="286" t="n">
        <f aca="false">IF(ISNUMBER('P9-009'!$O$107),'P9-009'!$O$107,"")</f>
        <v>46348</v>
      </c>
      <c r="J178" s="287" t="n">
        <f aca="false">IF(OR(H178="",I178="",N178&gt;=1),0,MAX(1,NETWORKDAYS(MAX(H178,ASOF),MAX(I178,ASOF),HOLIDAYS)))</f>
        <v>1</v>
      </c>
      <c r="K178" s="287" t="n">
        <f aca="false">IF(L178=0,0,ROUNDUP(L178/$F$15,0))</f>
        <v>1</v>
      </c>
      <c r="L178" s="285" t="n">
        <f aca="false">IF(J178=0,0,G178*(1-N178)/J178)</f>
        <v>2</v>
      </c>
      <c r="M178" s="283" t="s">
        <v>1192</v>
      </c>
      <c r="N178" s="288" t="n">
        <f aca="false">IFERROR(MIN(1,'P9-009'!$V$107)+0,0)</f>
        <v>0</v>
      </c>
      <c r="O178" s="289" t="n">
        <f aca="false">IF($L178=0,0,$L178*MAX(0,NETWORKDAYS(MAX($H178,ASOF,O$72),MIN(MAX($I178,ASOF),O$72+6),HOLIDAYS)))</f>
        <v>0</v>
      </c>
      <c r="P178" s="289" t="n">
        <f aca="false">IF($L178=0,0,$L178*MAX(0,NETWORKDAYS(MAX($H178,ASOF,P$72),MIN(MAX($I178,ASOF),P$72+6),HOLIDAYS)))</f>
        <v>0</v>
      </c>
      <c r="Q178" s="289" t="n">
        <f aca="false">IF($L178=0,0,$L178*MAX(0,NETWORKDAYS(MAX($H178,ASOF,Q$72),MIN(MAX($I178,ASOF),Q$72+6),HOLIDAYS)))</f>
        <v>0</v>
      </c>
      <c r="R178" s="289" t="n">
        <f aca="false">IF($L178=0,0,$L178*MAX(0,NETWORKDAYS(MAX($H178,ASOF,R$72),MIN(MAX($I178,ASOF),R$72+6),HOLIDAYS)))</f>
        <v>0</v>
      </c>
      <c r="S178" s="289" t="n">
        <f aca="false">IF($L178=0,0,$L178*MAX(0,NETWORKDAYS(MAX($H178,ASOF,S$72),MIN(MAX($I178,ASOF),S$72+6),HOLIDAYS)))</f>
        <v>0</v>
      </c>
      <c r="T178" s="289" t="n">
        <f aca="false">IF($L178=0,0,$L178*MAX(0,NETWORKDAYS(MAX($H178,ASOF,T$72),MIN(MAX($I178,ASOF),T$72+6),HOLIDAYS)))</f>
        <v>0</v>
      </c>
      <c r="U178" s="289" t="n">
        <f aca="false">IF($L178=0,0,$L178*MAX(0,NETWORKDAYS(MAX($H178,ASOF,U$72),MIN(MAX($I178,ASOF),U$72+6),HOLIDAYS)))</f>
        <v>0</v>
      </c>
      <c r="V178" s="289" t="n">
        <f aca="false">IF($L178=0,0,$L178*MAX(0,NETWORKDAYS(MAX($H178,ASOF,V$72),MIN(MAX($I178,ASOF),V$72+6),HOLIDAYS)))</f>
        <v>0</v>
      </c>
      <c r="W178" s="289" t="n">
        <f aca="false">IF($L178=0,0,$L178*MAX(0,NETWORKDAYS(MAX($H178,ASOF,W$72),MIN(MAX($I178,ASOF),W$72+6),HOLIDAYS)))</f>
        <v>0</v>
      </c>
      <c r="X178" s="289" t="n">
        <f aca="false">IF($L178=0,0,$L178*MAX(0,NETWORKDAYS(MAX($H178,ASOF,X$72),MIN(MAX($I178,ASOF),X$72+6),HOLIDAYS)))</f>
        <v>0</v>
      </c>
      <c r="Y178" s="289" t="n">
        <f aca="false">IF($L178=0,0,$L178*MAX(0,NETWORKDAYS(MAX($H178,ASOF,Y$72),MIN(MAX($I178,ASOF),Y$72+6),HOLIDAYS)))</f>
        <v>0</v>
      </c>
      <c r="Z178" s="289" t="n">
        <f aca="false">IF($L178=0,0,$L178*MAX(0,NETWORKDAYS(MAX($H178,ASOF,Z$72),MIN(MAX($I178,ASOF),Z$72+6),HOLIDAYS)))</f>
        <v>0</v>
      </c>
      <c r="AA178" s="289" t="n">
        <f aca="false">IF($L178=0,0,$L178*MAX(0,NETWORKDAYS(MAX($H178,ASOF,AA$72),MIN(MAX($I178,ASOF),AA$72+6),HOLIDAYS)))</f>
        <v>0</v>
      </c>
      <c r="AB178" s="289" t="n">
        <f aca="false">IF($L178=0,0,$L178*MAX(0,NETWORKDAYS(MAX($H178,ASOF,AB$72),MIN(MAX($I178,ASOF),AB$72+6),HOLIDAYS)))</f>
        <v>0</v>
      </c>
      <c r="AC178" s="289" t="n">
        <f aca="false">IF($L178=0,0,$L178*MAX(0,NETWORKDAYS(MAX($H178,ASOF,AC$72),MIN(MAX($I178,ASOF),AC$72+6),HOLIDAYS)))</f>
        <v>0</v>
      </c>
      <c r="AD178" s="289" t="n">
        <f aca="false">IF($L178=0,0,$L178*MAX(0,NETWORKDAYS(MAX($H178,ASOF,AD$72),MIN(MAX($I178,ASOF),AD$72+6),HOLIDAYS)))</f>
        <v>0</v>
      </c>
      <c r="AE178" s="289" t="n">
        <f aca="false">IF($L178=0,0,$L178*MAX(0,NETWORKDAYS(MAX($H178,ASOF,AE$72),MIN(MAX($I178,ASOF),AE$72+6),HOLIDAYS)))</f>
        <v>0</v>
      </c>
      <c r="AF178" s="289" t="n">
        <f aca="false">IF($L178=0,0,$L178*MAX(0,NETWORKDAYS(MAX($H178,ASOF,AF$72),MIN(MAX($I178,ASOF),AF$72+6),HOLIDAYS)))</f>
        <v>0</v>
      </c>
      <c r="AG178" s="289" t="n">
        <f aca="false">IF($L178=0,0,$L178*MAX(0,NETWORKDAYS(MAX($H178,ASOF,AG$72),MIN(MAX($I178,ASOF),AG$72+6),HOLIDAYS)))</f>
        <v>0</v>
      </c>
      <c r="AH178" s="289" t="n">
        <f aca="false">IF($L178=0,0,$L178*MAX(0,NETWORKDAYS(MAX($H178,ASOF,AH$72),MIN(MAX($I178,ASOF),AH$72+6),HOLIDAYS)))</f>
        <v>0</v>
      </c>
      <c r="AI178" s="289" t="n">
        <f aca="false">IF($L178=0,0,$L178*MAX(0,NETWORKDAYS(MAX($H178,ASOF,AI$72),MIN(MAX($I178,ASOF),AI$72+6),HOLIDAYS)))</f>
        <v>0</v>
      </c>
      <c r="AJ178" s="289" t="n">
        <f aca="false">IF($L178=0,0,$L178*MAX(0,NETWORKDAYS(MAX($H178,ASOF,AJ$72),MIN(MAX($I178,ASOF),AJ$72+6),HOLIDAYS)))</f>
        <v>0</v>
      </c>
      <c r="AK178" s="289" t="n">
        <f aca="false">IF($L178=0,0,$L178*MAX(0,NETWORKDAYS(MAX($H178,ASOF,AK$72),MIN(MAX($I178,ASOF),AK$72+6),HOLIDAYS)))</f>
        <v>0</v>
      </c>
      <c r="AL178" s="289" t="n">
        <f aca="false">IF($L178=0,0,$L178*MAX(0,NETWORKDAYS(MAX($H178,ASOF,AL$72),MIN(MAX($I178,ASOF),AL$72+6),HOLIDAYS)))</f>
        <v>0</v>
      </c>
      <c r="AM178" s="289" t="n">
        <f aca="false">IF($L178=0,0,$L178*MAX(0,NETWORKDAYS(MAX($H178,ASOF,AM$72),MIN(MAX($I178,ASOF),AM$72+6),HOLIDAYS)))</f>
        <v>0</v>
      </c>
      <c r="AN178" s="289" t="n">
        <f aca="false">IF($L178=0,0,$L178*MAX(0,NETWORKDAYS(MAX($H178,ASOF,AN$72),MIN(MAX($I178,ASOF),AN$72+6),HOLIDAYS)))</f>
        <v>0</v>
      </c>
      <c r="AO178" s="289" t="n">
        <f aca="false">IF($L178=0,0,$L178*MAX(0,NETWORKDAYS(MAX($H178,ASOF,AO$72),MIN(MAX($I178,ASOF),AO$72+6),HOLIDAYS)))</f>
        <v>0</v>
      </c>
      <c r="AP178" s="289" t="n">
        <f aca="false">IF($L178=0,0,$L178*MAX(0,NETWORKDAYS(MAX($H178,ASOF,AP$72),MIN(MAX($I178,ASOF),AP$72+6),HOLIDAYS)))</f>
        <v>0</v>
      </c>
      <c r="AQ178" s="289" t="n">
        <f aca="false">IF($L178=0,0,$L178*MAX(0,NETWORKDAYS(MAX($H178,ASOF,AQ$72),MIN(MAX($I178,ASOF),AQ$72+6),HOLIDAYS)))</f>
        <v>0</v>
      </c>
      <c r="AR178" s="289" t="n">
        <f aca="false">IF($L178=0,0,$L178*MAX(0,NETWORKDAYS(MAX($H178,ASOF,AR$72),MIN(MAX($I178,ASOF),AR$72+6),HOLIDAYS)))</f>
        <v>0</v>
      </c>
    </row>
    <row r="179" customFormat="false" ht="15" hidden="false" customHeight="false" outlineLevel="1" collapsed="false">
      <c r="A179" s="282" t="s">
        <v>74</v>
      </c>
      <c r="B179" s="283" t="s">
        <v>76</v>
      </c>
      <c r="C179" s="284" t="s">
        <v>2369</v>
      </c>
      <c r="D179" s="284" t="s">
        <v>2308</v>
      </c>
      <c r="E179" s="285" t="n">
        <v>150.48</v>
      </c>
      <c r="F179" s="283" t="s">
        <v>527</v>
      </c>
      <c r="G179" s="285" t="n">
        <f aca="false">$F$16*(E179/$G$16+$H$16)</f>
        <v>10.5144</v>
      </c>
      <c r="H179" s="286" t="n">
        <f aca="false">IF(ISNUMBER('P9-009'!$N$115),'P9-009'!$N$115,"")</f>
        <v>46359</v>
      </c>
      <c r="I179" s="286" t="n">
        <f aca="false">IF(ISNUMBER('P9-009'!$O$115),'P9-009'!$O$115,"")</f>
        <v>46359</v>
      </c>
      <c r="J179" s="287" t="n">
        <f aca="false">IF(OR(H179="",I179="",N179&gt;=1),0,MAX(1,NETWORKDAYS(MAX(H179,ASOF),MAX(I179,ASOF),HOLIDAYS)))</f>
        <v>1</v>
      </c>
      <c r="K179" s="287" t="n">
        <f aca="false">IF(L179=0,0,ROUNDUP(L179/$F$16,0))</f>
        <v>4</v>
      </c>
      <c r="L179" s="285" t="n">
        <f aca="false">IF(J179=0,0,G179*(1-N179)/J179)</f>
        <v>10.5144</v>
      </c>
      <c r="M179" s="283" t="s">
        <v>1205</v>
      </c>
      <c r="N179" s="288" t="n">
        <f aca="false">IFERROR(MIN(1,'P9-009'!$V$115)+0,0)</f>
        <v>0</v>
      </c>
      <c r="O179" s="289" t="n">
        <f aca="false">IF($L179=0,0,$L179*MAX(0,NETWORKDAYS(MAX($H179,ASOF,O$72),MIN(MAX($I179,ASOF),O$72+6),HOLIDAYS)))</f>
        <v>0</v>
      </c>
      <c r="P179" s="289" t="n">
        <f aca="false">IF($L179=0,0,$L179*MAX(0,NETWORKDAYS(MAX($H179,ASOF,P$72),MIN(MAX($I179,ASOF),P$72+6),HOLIDAYS)))</f>
        <v>0</v>
      </c>
      <c r="Q179" s="289" t="n">
        <f aca="false">IF($L179=0,0,$L179*MAX(0,NETWORKDAYS(MAX($H179,ASOF,Q$72),MIN(MAX($I179,ASOF),Q$72+6),HOLIDAYS)))</f>
        <v>0</v>
      </c>
      <c r="R179" s="289" t="n">
        <f aca="false">IF($L179=0,0,$L179*MAX(0,NETWORKDAYS(MAX($H179,ASOF,R$72),MIN(MAX($I179,ASOF),R$72+6),HOLIDAYS)))</f>
        <v>0</v>
      </c>
      <c r="S179" s="289" t="n">
        <f aca="false">IF($L179=0,0,$L179*MAX(0,NETWORKDAYS(MAX($H179,ASOF,S$72),MIN(MAX($I179,ASOF),S$72+6),HOLIDAYS)))</f>
        <v>10.5144</v>
      </c>
      <c r="T179" s="289" t="n">
        <f aca="false">IF($L179=0,0,$L179*MAX(0,NETWORKDAYS(MAX($H179,ASOF,T$72),MIN(MAX($I179,ASOF),T$72+6),HOLIDAYS)))</f>
        <v>0</v>
      </c>
      <c r="U179" s="289" t="n">
        <f aca="false">IF($L179=0,0,$L179*MAX(0,NETWORKDAYS(MAX($H179,ASOF,U$72),MIN(MAX($I179,ASOF),U$72+6),HOLIDAYS)))</f>
        <v>0</v>
      </c>
      <c r="V179" s="289" t="n">
        <f aca="false">IF($L179=0,0,$L179*MAX(0,NETWORKDAYS(MAX($H179,ASOF,V$72),MIN(MAX($I179,ASOF),V$72+6),HOLIDAYS)))</f>
        <v>0</v>
      </c>
      <c r="W179" s="289" t="n">
        <f aca="false">IF($L179=0,0,$L179*MAX(0,NETWORKDAYS(MAX($H179,ASOF,W$72),MIN(MAX($I179,ASOF),W$72+6),HOLIDAYS)))</f>
        <v>0</v>
      </c>
      <c r="X179" s="289" t="n">
        <f aca="false">IF($L179=0,0,$L179*MAX(0,NETWORKDAYS(MAX($H179,ASOF,X$72),MIN(MAX($I179,ASOF),X$72+6),HOLIDAYS)))</f>
        <v>0</v>
      </c>
      <c r="Y179" s="289" t="n">
        <f aca="false">IF($L179=0,0,$L179*MAX(0,NETWORKDAYS(MAX($H179,ASOF,Y$72),MIN(MAX($I179,ASOF),Y$72+6),HOLIDAYS)))</f>
        <v>0</v>
      </c>
      <c r="Z179" s="289" t="n">
        <f aca="false">IF($L179=0,0,$L179*MAX(0,NETWORKDAYS(MAX($H179,ASOF,Z$72),MIN(MAX($I179,ASOF),Z$72+6),HOLIDAYS)))</f>
        <v>0</v>
      </c>
      <c r="AA179" s="289" t="n">
        <f aca="false">IF($L179=0,0,$L179*MAX(0,NETWORKDAYS(MAX($H179,ASOF,AA$72),MIN(MAX($I179,ASOF),AA$72+6),HOLIDAYS)))</f>
        <v>0</v>
      </c>
      <c r="AB179" s="289" t="n">
        <f aca="false">IF($L179=0,0,$L179*MAX(0,NETWORKDAYS(MAX($H179,ASOF,AB$72),MIN(MAX($I179,ASOF),AB$72+6),HOLIDAYS)))</f>
        <v>0</v>
      </c>
      <c r="AC179" s="289" t="n">
        <f aca="false">IF($L179=0,0,$L179*MAX(0,NETWORKDAYS(MAX($H179,ASOF,AC$72),MIN(MAX($I179,ASOF),AC$72+6),HOLIDAYS)))</f>
        <v>0</v>
      </c>
      <c r="AD179" s="289" t="n">
        <f aca="false">IF($L179=0,0,$L179*MAX(0,NETWORKDAYS(MAX($H179,ASOF,AD$72),MIN(MAX($I179,ASOF),AD$72+6),HOLIDAYS)))</f>
        <v>0</v>
      </c>
      <c r="AE179" s="289" t="n">
        <f aca="false">IF($L179=0,0,$L179*MAX(0,NETWORKDAYS(MAX($H179,ASOF,AE$72),MIN(MAX($I179,ASOF),AE$72+6),HOLIDAYS)))</f>
        <v>0</v>
      </c>
      <c r="AF179" s="289" t="n">
        <f aca="false">IF($L179=0,0,$L179*MAX(0,NETWORKDAYS(MAX($H179,ASOF,AF$72),MIN(MAX($I179,ASOF),AF$72+6),HOLIDAYS)))</f>
        <v>0</v>
      </c>
      <c r="AG179" s="289" t="n">
        <f aca="false">IF($L179=0,0,$L179*MAX(0,NETWORKDAYS(MAX($H179,ASOF,AG$72),MIN(MAX($I179,ASOF),AG$72+6),HOLIDAYS)))</f>
        <v>0</v>
      </c>
      <c r="AH179" s="289" t="n">
        <f aca="false">IF($L179=0,0,$L179*MAX(0,NETWORKDAYS(MAX($H179,ASOF,AH$72),MIN(MAX($I179,ASOF),AH$72+6),HOLIDAYS)))</f>
        <v>0</v>
      </c>
      <c r="AI179" s="289" t="n">
        <f aca="false">IF($L179=0,0,$L179*MAX(0,NETWORKDAYS(MAX($H179,ASOF,AI$72),MIN(MAX($I179,ASOF),AI$72+6),HOLIDAYS)))</f>
        <v>0</v>
      </c>
      <c r="AJ179" s="289" t="n">
        <f aca="false">IF($L179=0,0,$L179*MAX(0,NETWORKDAYS(MAX($H179,ASOF,AJ$72),MIN(MAX($I179,ASOF),AJ$72+6),HOLIDAYS)))</f>
        <v>0</v>
      </c>
      <c r="AK179" s="289" t="n">
        <f aca="false">IF($L179=0,0,$L179*MAX(0,NETWORKDAYS(MAX($H179,ASOF,AK$72),MIN(MAX($I179,ASOF),AK$72+6),HOLIDAYS)))</f>
        <v>0</v>
      </c>
      <c r="AL179" s="289" t="n">
        <f aca="false">IF($L179=0,0,$L179*MAX(0,NETWORKDAYS(MAX($H179,ASOF,AL$72),MIN(MAX($I179,ASOF),AL$72+6),HOLIDAYS)))</f>
        <v>0</v>
      </c>
      <c r="AM179" s="289" t="n">
        <f aca="false">IF($L179=0,0,$L179*MAX(0,NETWORKDAYS(MAX($H179,ASOF,AM$72),MIN(MAX($I179,ASOF),AM$72+6),HOLIDAYS)))</f>
        <v>0</v>
      </c>
      <c r="AN179" s="289" t="n">
        <f aca="false">IF($L179=0,0,$L179*MAX(0,NETWORKDAYS(MAX($H179,ASOF,AN$72),MIN(MAX($I179,ASOF),AN$72+6),HOLIDAYS)))</f>
        <v>0</v>
      </c>
      <c r="AO179" s="289" t="n">
        <f aca="false">IF($L179=0,0,$L179*MAX(0,NETWORKDAYS(MAX($H179,ASOF,AO$72),MIN(MAX($I179,ASOF),AO$72+6),HOLIDAYS)))</f>
        <v>0</v>
      </c>
      <c r="AP179" s="289" t="n">
        <f aca="false">IF($L179=0,0,$L179*MAX(0,NETWORKDAYS(MAX($H179,ASOF,AP$72),MIN(MAX($I179,ASOF),AP$72+6),HOLIDAYS)))</f>
        <v>0</v>
      </c>
      <c r="AQ179" s="289" t="n">
        <f aca="false">IF($L179=0,0,$L179*MAX(0,NETWORKDAYS(MAX($H179,ASOF,AQ$72),MIN(MAX($I179,ASOF),AQ$72+6),HOLIDAYS)))</f>
        <v>0</v>
      </c>
      <c r="AR179" s="289" t="n">
        <f aca="false">IF($L179=0,0,$L179*MAX(0,NETWORKDAYS(MAX($H179,ASOF,AR$72),MIN(MAX($I179,ASOF),AR$72+6),HOLIDAYS)))</f>
        <v>0</v>
      </c>
    </row>
    <row r="180" customFormat="false" ht="15" hidden="false" customHeight="false" outlineLevel="1" collapsed="false">
      <c r="A180" s="282" t="s">
        <v>74</v>
      </c>
      <c r="B180" s="283" t="s">
        <v>76</v>
      </c>
      <c r="C180" s="284" t="s">
        <v>2370</v>
      </c>
      <c r="D180" s="284" t="s">
        <v>2313</v>
      </c>
      <c r="E180" s="285" t="n">
        <v>1</v>
      </c>
      <c r="F180" s="290" t="s">
        <v>35</v>
      </c>
      <c r="G180" s="285" t="n">
        <f aca="false">SUM(O180:AR180)</f>
        <v>20</v>
      </c>
      <c r="H180" s="286" t="n">
        <f aca="false">IF(ISNUMBER('P9-009'!$N$62),'P9-009'!$N$62,"")</f>
        <v>46328</v>
      </c>
      <c r="I180" s="286" t="n">
        <f aca="false">IF(ISNUMBER('P9-009'!$O$115),'P9-009'!$O$115,"")</f>
        <v>46359</v>
      </c>
      <c r="J180" s="287"/>
      <c r="K180" s="287" t="n">
        <f aca="false">IF(G180&gt;0,$F$17,0)</f>
        <v>1</v>
      </c>
      <c r="L180" s="285" t="n">
        <v>0</v>
      </c>
      <c r="M180" s="290" t="s">
        <v>2310</v>
      </c>
      <c r="N180" s="288" t="str">
        <f aca="false">""</f>
        <v/>
      </c>
      <c r="O180" s="289" t="n">
        <f aca="false">IF(SUMIFS(O$73:O$312,$A$73:$A$312,"P9-009",$M$73:$M$312,"&lt;&gt;คุม")&gt;0,$F$17*NETWORKDAYS(O$72,O$72+6,HOLIDAYS),0)</f>
        <v>5</v>
      </c>
      <c r="P180" s="289" t="n">
        <f aca="false">IF(SUMIFS(P$73:P$312,$A$73:$A$312,"P9-009",$M$73:$M$312,"&lt;&gt;คุม")&gt;0,$F$17*NETWORKDAYS(P$72,P$72+6,HOLIDAYS),0)</f>
        <v>5</v>
      </c>
      <c r="Q180" s="289" t="n">
        <f aca="false">IF(SUMIFS(Q$73:Q$312,$A$73:$A$312,"P9-009",$M$73:$M$312,"&lt;&gt;คุม")&gt;0,$F$17*NETWORKDAYS(Q$72,Q$72+6,HOLIDAYS),0)</f>
        <v>5</v>
      </c>
      <c r="R180" s="289" t="n">
        <f aca="false">IF(SUMIFS(R$73:R$312,$A$73:$A$312,"P9-009",$M$73:$M$312,"&lt;&gt;คุม")&gt;0,$F$17*NETWORKDAYS(R$72,R$72+6,HOLIDAYS),0)</f>
        <v>0</v>
      </c>
      <c r="S180" s="289" t="n">
        <f aca="false">IF(SUMIFS(S$73:S$312,$A$73:$A$312,"P9-009",$M$73:$M$312,"&lt;&gt;คุม")&gt;0,$F$17*NETWORKDAYS(S$72,S$72+6,HOLIDAYS),0)</f>
        <v>5</v>
      </c>
      <c r="T180" s="289" t="n">
        <f aca="false">IF(SUMIFS(T$73:T$312,$A$73:$A$312,"P9-009",$M$73:$M$312,"&lt;&gt;คุม")&gt;0,$F$17*NETWORKDAYS(T$72,T$72+6,HOLIDAYS),0)</f>
        <v>0</v>
      </c>
      <c r="U180" s="289" t="n">
        <f aca="false">IF(SUMIFS(U$73:U$312,$A$73:$A$312,"P9-009",$M$73:$M$312,"&lt;&gt;คุม")&gt;0,$F$17*NETWORKDAYS(U$72,U$72+6,HOLIDAYS),0)</f>
        <v>0</v>
      </c>
      <c r="V180" s="289" t="n">
        <f aca="false">IF(SUMIFS(V$73:V$312,$A$73:$A$312,"P9-009",$M$73:$M$312,"&lt;&gt;คุม")&gt;0,$F$17*NETWORKDAYS(V$72,V$72+6,HOLIDAYS),0)</f>
        <v>0</v>
      </c>
      <c r="W180" s="289" t="n">
        <f aca="false">IF(SUMIFS(W$73:W$312,$A$73:$A$312,"P9-009",$M$73:$M$312,"&lt;&gt;คุม")&gt;0,$F$17*NETWORKDAYS(W$72,W$72+6,HOLIDAYS),0)</f>
        <v>0</v>
      </c>
      <c r="X180" s="289" t="n">
        <f aca="false">IF(SUMIFS(X$73:X$312,$A$73:$A$312,"P9-009",$M$73:$M$312,"&lt;&gt;คุม")&gt;0,$F$17*NETWORKDAYS(X$72,X$72+6,HOLIDAYS),0)</f>
        <v>0</v>
      </c>
      <c r="Y180" s="289" t="n">
        <f aca="false">IF(SUMIFS(Y$73:Y$312,$A$73:$A$312,"P9-009",$M$73:$M$312,"&lt;&gt;คุม")&gt;0,$F$17*NETWORKDAYS(Y$72,Y$72+6,HOLIDAYS),0)</f>
        <v>0</v>
      </c>
      <c r="Z180" s="289" t="n">
        <f aca="false">IF(SUMIFS(Z$73:Z$312,$A$73:$A$312,"P9-009",$M$73:$M$312,"&lt;&gt;คุม")&gt;0,$F$17*NETWORKDAYS(Z$72,Z$72+6,HOLIDAYS),0)</f>
        <v>0</v>
      </c>
      <c r="AA180" s="289" t="n">
        <f aca="false">IF(SUMIFS(AA$73:AA$312,$A$73:$A$312,"P9-009",$M$73:$M$312,"&lt;&gt;คุม")&gt;0,$F$17*NETWORKDAYS(AA$72,AA$72+6,HOLIDAYS),0)</f>
        <v>0</v>
      </c>
      <c r="AB180" s="289" t="n">
        <f aca="false">IF(SUMIFS(AB$73:AB$312,$A$73:$A$312,"P9-009",$M$73:$M$312,"&lt;&gt;คุม")&gt;0,$F$17*NETWORKDAYS(AB$72,AB$72+6,HOLIDAYS),0)</f>
        <v>0</v>
      </c>
      <c r="AC180" s="289" t="n">
        <f aca="false">IF(SUMIFS(AC$73:AC$312,$A$73:$A$312,"P9-009",$M$73:$M$312,"&lt;&gt;คุม")&gt;0,$F$17*NETWORKDAYS(AC$72,AC$72+6,HOLIDAYS),0)</f>
        <v>0</v>
      </c>
      <c r="AD180" s="289" t="n">
        <f aca="false">IF(SUMIFS(AD$73:AD$312,$A$73:$A$312,"P9-009",$M$73:$M$312,"&lt;&gt;คุม")&gt;0,$F$17*NETWORKDAYS(AD$72,AD$72+6,HOLIDAYS),0)</f>
        <v>0</v>
      </c>
      <c r="AE180" s="289" t="n">
        <f aca="false">IF(SUMIFS(AE$73:AE$312,$A$73:$A$312,"P9-009",$M$73:$M$312,"&lt;&gt;คุม")&gt;0,$F$17*NETWORKDAYS(AE$72,AE$72+6,HOLIDAYS),0)</f>
        <v>0</v>
      </c>
      <c r="AF180" s="289" t="n">
        <f aca="false">IF(SUMIFS(AF$73:AF$312,$A$73:$A$312,"P9-009",$M$73:$M$312,"&lt;&gt;คุม")&gt;0,$F$17*NETWORKDAYS(AF$72,AF$72+6,HOLIDAYS),0)</f>
        <v>0</v>
      </c>
      <c r="AG180" s="289" t="n">
        <f aca="false">IF(SUMIFS(AG$73:AG$312,$A$73:$A$312,"P9-009",$M$73:$M$312,"&lt;&gt;คุม")&gt;0,$F$17*NETWORKDAYS(AG$72,AG$72+6,HOLIDAYS),0)</f>
        <v>0</v>
      </c>
      <c r="AH180" s="289" t="n">
        <f aca="false">IF(SUMIFS(AH$73:AH$312,$A$73:$A$312,"P9-009",$M$73:$M$312,"&lt;&gt;คุม")&gt;0,$F$17*NETWORKDAYS(AH$72,AH$72+6,HOLIDAYS),0)</f>
        <v>0</v>
      </c>
      <c r="AI180" s="289" t="n">
        <f aca="false">IF(SUMIFS(AI$73:AI$312,$A$73:$A$312,"P9-009",$M$73:$M$312,"&lt;&gt;คุม")&gt;0,$F$17*NETWORKDAYS(AI$72,AI$72+6,HOLIDAYS),0)</f>
        <v>0</v>
      </c>
      <c r="AJ180" s="289" t="n">
        <f aca="false">IF(SUMIFS(AJ$73:AJ$312,$A$73:$A$312,"P9-009",$M$73:$M$312,"&lt;&gt;คุม")&gt;0,$F$17*NETWORKDAYS(AJ$72,AJ$72+6,HOLIDAYS),0)</f>
        <v>0</v>
      </c>
      <c r="AK180" s="289" t="n">
        <f aca="false">IF(SUMIFS(AK$73:AK$312,$A$73:$A$312,"P9-009",$M$73:$M$312,"&lt;&gt;คุม")&gt;0,$F$17*NETWORKDAYS(AK$72,AK$72+6,HOLIDAYS),0)</f>
        <v>0</v>
      </c>
      <c r="AL180" s="289" t="n">
        <f aca="false">IF(SUMIFS(AL$73:AL$312,$A$73:$A$312,"P9-009",$M$73:$M$312,"&lt;&gt;คุม")&gt;0,$F$17*NETWORKDAYS(AL$72,AL$72+6,HOLIDAYS),0)</f>
        <v>0</v>
      </c>
      <c r="AM180" s="289" t="n">
        <f aca="false">IF(SUMIFS(AM$73:AM$312,$A$73:$A$312,"P9-009",$M$73:$M$312,"&lt;&gt;คุม")&gt;0,$F$17*NETWORKDAYS(AM$72,AM$72+6,HOLIDAYS),0)</f>
        <v>0</v>
      </c>
      <c r="AN180" s="289" t="n">
        <f aca="false">IF(SUMIFS(AN$73:AN$312,$A$73:$A$312,"P9-009",$M$73:$M$312,"&lt;&gt;คุม")&gt;0,$F$17*NETWORKDAYS(AN$72,AN$72+6,HOLIDAYS),0)</f>
        <v>0</v>
      </c>
      <c r="AO180" s="289" t="n">
        <f aca="false">IF(SUMIFS(AO$73:AO$312,$A$73:$A$312,"P9-009",$M$73:$M$312,"&lt;&gt;คุม")&gt;0,$F$17*NETWORKDAYS(AO$72,AO$72+6,HOLIDAYS),0)</f>
        <v>0</v>
      </c>
      <c r="AP180" s="289" t="n">
        <f aca="false">IF(SUMIFS(AP$73:AP$312,$A$73:$A$312,"P9-009",$M$73:$M$312,"&lt;&gt;คุม")&gt;0,$F$17*NETWORKDAYS(AP$72,AP$72+6,HOLIDAYS),0)</f>
        <v>0</v>
      </c>
      <c r="AQ180" s="289" t="n">
        <f aca="false">IF(SUMIFS(AQ$73:AQ$312,$A$73:$A$312,"P9-009",$M$73:$M$312,"&lt;&gt;คุม")&gt;0,$F$17*NETWORKDAYS(AQ$72,AQ$72+6,HOLIDAYS),0)</f>
        <v>0</v>
      </c>
      <c r="AR180" s="289" t="n">
        <f aca="false">IF(SUMIFS(AR$73:AR$312,$A$73:$A$312,"P9-009",$M$73:$M$312,"&lt;&gt;คุม")&gt;0,$F$17*NETWORKDAYS(AR$72,AR$72+6,HOLIDAYS),0)</f>
        <v>0</v>
      </c>
    </row>
    <row r="181" customFormat="false" ht="15" hidden="false" customHeight="false" outlineLevel="1" collapsed="false">
      <c r="A181" s="282" t="s">
        <v>78</v>
      </c>
      <c r="B181" s="283" t="s">
        <v>80</v>
      </c>
      <c r="C181" s="284" t="s">
        <v>2358</v>
      </c>
      <c r="D181" s="284" t="s">
        <v>2280</v>
      </c>
      <c r="E181" s="285" t="n">
        <v>336.53</v>
      </c>
      <c r="F181" s="283" t="s">
        <v>2359</v>
      </c>
      <c r="G181" s="285" t="n">
        <f aca="false">$F$5*(E181/$G$5+$H$5)</f>
        <v>55.8448</v>
      </c>
      <c r="H181" s="286" t="n">
        <f aca="false">IF(ISNUMBER('P9-010'!$N$62),'P9-010'!$N$62,"")</f>
        <v>46328</v>
      </c>
      <c r="I181" s="286" t="n">
        <f aca="false">IF(ISNUMBER('P9-010'!$O$62),'P9-010'!$O$62,"")</f>
        <v>46336</v>
      </c>
      <c r="J181" s="287" t="n">
        <f aca="false">IF(OR(H181="",I181="",N181&gt;=1),0,MAX(1,NETWORKDAYS(MAX(H181,ASOF),MAX(I181,ASOF),HOLIDAYS)))</f>
        <v>7</v>
      </c>
      <c r="K181" s="287" t="n">
        <f aca="false">IF(L181=0,0,ROUNDUP(L181/$F$5,0))</f>
        <v>2</v>
      </c>
      <c r="L181" s="285" t="n">
        <f aca="false">IF(J181=0,0,G181*(1-N181)/J181)</f>
        <v>7.97782857142857</v>
      </c>
      <c r="M181" s="283" t="s">
        <v>872</v>
      </c>
      <c r="N181" s="288" t="n">
        <f aca="false">IFERROR(MIN(1,'P9-010'!$V$62)+0,0)</f>
        <v>0</v>
      </c>
      <c r="O181" s="289" t="n">
        <f aca="false">IF($L181=0,0,$L181*MAX(0,NETWORKDAYS(MAX($H181,ASOF,O$72),MIN(MAX($I181,ASOF),O$72+6),HOLIDAYS)))</f>
        <v>39.8891428571429</v>
      </c>
      <c r="P181" s="289" t="n">
        <f aca="false">IF($L181=0,0,$L181*MAX(0,NETWORKDAYS(MAX($H181,ASOF,P$72),MIN(MAX($I181,ASOF),P$72+6),HOLIDAYS)))</f>
        <v>15.9556571428571</v>
      </c>
      <c r="Q181" s="289" t="n">
        <f aca="false">IF($L181=0,0,$L181*MAX(0,NETWORKDAYS(MAX($H181,ASOF,Q$72),MIN(MAX($I181,ASOF),Q$72+6),HOLIDAYS)))</f>
        <v>0</v>
      </c>
      <c r="R181" s="289" t="n">
        <f aca="false">IF($L181=0,0,$L181*MAX(0,NETWORKDAYS(MAX($H181,ASOF,R$72),MIN(MAX($I181,ASOF),R$72+6),HOLIDAYS)))</f>
        <v>0</v>
      </c>
      <c r="S181" s="289" t="n">
        <f aca="false">IF($L181=0,0,$L181*MAX(0,NETWORKDAYS(MAX($H181,ASOF,S$72),MIN(MAX($I181,ASOF),S$72+6),HOLIDAYS)))</f>
        <v>0</v>
      </c>
      <c r="T181" s="289" t="n">
        <f aca="false">IF($L181=0,0,$L181*MAX(0,NETWORKDAYS(MAX($H181,ASOF,T$72),MIN(MAX($I181,ASOF),T$72+6),HOLIDAYS)))</f>
        <v>0</v>
      </c>
      <c r="U181" s="289" t="n">
        <f aca="false">IF($L181=0,0,$L181*MAX(0,NETWORKDAYS(MAX($H181,ASOF,U$72),MIN(MAX($I181,ASOF),U$72+6),HOLIDAYS)))</f>
        <v>0</v>
      </c>
      <c r="V181" s="289" t="n">
        <f aca="false">IF($L181=0,0,$L181*MAX(0,NETWORKDAYS(MAX($H181,ASOF,V$72),MIN(MAX($I181,ASOF),V$72+6),HOLIDAYS)))</f>
        <v>0</v>
      </c>
      <c r="W181" s="289" t="n">
        <f aca="false">IF($L181=0,0,$L181*MAX(0,NETWORKDAYS(MAX($H181,ASOF,W$72),MIN(MAX($I181,ASOF),W$72+6),HOLIDAYS)))</f>
        <v>0</v>
      </c>
      <c r="X181" s="289" t="n">
        <f aca="false">IF($L181=0,0,$L181*MAX(0,NETWORKDAYS(MAX($H181,ASOF,X$72),MIN(MAX($I181,ASOF),X$72+6),HOLIDAYS)))</f>
        <v>0</v>
      </c>
      <c r="Y181" s="289" t="n">
        <f aca="false">IF($L181=0,0,$L181*MAX(0,NETWORKDAYS(MAX($H181,ASOF,Y$72),MIN(MAX($I181,ASOF),Y$72+6),HOLIDAYS)))</f>
        <v>0</v>
      </c>
      <c r="Z181" s="289" t="n">
        <f aca="false">IF($L181=0,0,$L181*MAX(0,NETWORKDAYS(MAX($H181,ASOF,Z$72),MIN(MAX($I181,ASOF),Z$72+6),HOLIDAYS)))</f>
        <v>0</v>
      </c>
      <c r="AA181" s="289" t="n">
        <f aca="false">IF($L181=0,0,$L181*MAX(0,NETWORKDAYS(MAX($H181,ASOF,AA$72),MIN(MAX($I181,ASOF),AA$72+6),HOLIDAYS)))</f>
        <v>0</v>
      </c>
      <c r="AB181" s="289" t="n">
        <f aca="false">IF($L181=0,0,$L181*MAX(0,NETWORKDAYS(MAX($H181,ASOF,AB$72),MIN(MAX($I181,ASOF),AB$72+6),HOLIDAYS)))</f>
        <v>0</v>
      </c>
      <c r="AC181" s="289" t="n">
        <f aca="false">IF($L181=0,0,$L181*MAX(0,NETWORKDAYS(MAX($H181,ASOF,AC$72),MIN(MAX($I181,ASOF),AC$72+6),HOLIDAYS)))</f>
        <v>0</v>
      </c>
      <c r="AD181" s="289" t="n">
        <f aca="false">IF($L181=0,0,$L181*MAX(0,NETWORKDAYS(MAX($H181,ASOF,AD$72),MIN(MAX($I181,ASOF),AD$72+6),HOLIDAYS)))</f>
        <v>0</v>
      </c>
      <c r="AE181" s="289" t="n">
        <f aca="false">IF($L181=0,0,$L181*MAX(0,NETWORKDAYS(MAX($H181,ASOF,AE$72),MIN(MAX($I181,ASOF),AE$72+6),HOLIDAYS)))</f>
        <v>0</v>
      </c>
      <c r="AF181" s="289" t="n">
        <f aca="false">IF($L181=0,0,$L181*MAX(0,NETWORKDAYS(MAX($H181,ASOF,AF$72),MIN(MAX($I181,ASOF),AF$72+6),HOLIDAYS)))</f>
        <v>0</v>
      </c>
      <c r="AG181" s="289" t="n">
        <f aca="false">IF($L181=0,0,$L181*MAX(0,NETWORKDAYS(MAX($H181,ASOF,AG$72),MIN(MAX($I181,ASOF),AG$72+6),HOLIDAYS)))</f>
        <v>0</v>
      </c>
      <c r="AH181" s="289" t="n">
        <f aca="false">IF($L181=0,0,$L181*MAX(0,NETWORKDAYS(MAX($H181,ASOF,AH$72),MIN(MAX($I181,ASOF),AH$72+6),HOLIDAYS)))</f>
        <v>0</v>
      </c>
      <c r="AI181" s="289" t="n">
        <f aca="false">IF($L181=0,0,$L181*MAX(0,NETWORKDAYS(MAX($H181,ASOF,AI$72),MIN(MAX($I181,ASOF),AI$72+6),HOLIDAYS)))</f>
        <v>0</v>
      </c>
      <c r="AJ181" s="289" t="n">
        <f aca="false">IF($L181=0,0,$L181*MAX(0,NETWORKDAYS(MAX($H181,ASOF,AJ$72),MIN(MAX($I181,ASOF),AJ$72+6),HOLIDAYS)))</f>
        <v>0</v>
      </c>
      <c r="AK181" s="289" t="n">
        <f aca="false">IF($L181=0,0,$L181*MAX(0,NETWORKDAYS(MAX($H181,ASOF,AK$72),MIN(MAX($I181,ASOF),AK$72+6),HOLIDAYS)))</f>
        <v>0</v>
      </c>
      <c r="AL181" s="289" t="n">
        <f aca="false">IF($L181=0,0,$L181*MAX(0,NETWORKDAYS(MAX($H181,ASOF,AL$72),MIN(MAX($I181,ASOF),AL$72+6),HOLIDAYS)))</f>
        <v>0</v>
      </c>
      <c r="AM181" s="289" t="n">
        <f aca="false">IF($L181=0,0,$L181*MAX(0,NETWORKDAYS(MAX($H181,ASOF,AM$72),MIN(MAX($I181,ASOF),AM$72+6),HOLIDAYS)))</f>
        <v>0</v>
      </c>
      <c r="AN181" s="289" t="n">
        <f aca="false">IF($L181=0,0,$L181*MAX(0,NETWORKDAYS(MAX($H181,ASOF,AN$72),MIN(MAX($I181,ASOF),AN$72+6),HOLIDAYS)))</f>
        <v>0</v>
      </c>
      <c r="AO181" s="289" t="n">
        <f aca="false">IF($L181=0,0,$L181*MAX(0,NETWORKDAYS(MAX($H181,ASOF,AO$72),MIN(MAX($I181,ASOF),AO$72+6),HOLIDAYS)))</f>
        <v>0</v>
      </c>
      <c r="AP181" s="289" t="n">
        <f aca="false">IF($L181=0,0,$L181*MAX(0,NETWORKDAYS(MAX($H181,ASOF,AP$72),MIN(MAX($I181,ASOF),AP$72+6),HOLIDAYS)))</f>
        <v>0</v>
      </c>
      <c r="AQ181" s="289" t="n">
        <f aca="false">IF($L181=0,0,$L181*MAX(0,NETWORKDAYS(MAX($H181,ASOF,AQ$72),MIN(MAX($I181,ASOF),AQ$72+6),HOLIDAYS)))</f>
        <v>0</v>
      </c>
      <c r="AR181" s="289" t="n">
        <f aca="false">IF($L181=0,0,$L181*MAX(0,NETWORKDAYS(MAX($H181,ASOF,AR$72),MIN(MAX($I181,ASOF),AR$72+6),HOLIDAYS)))</f>
        <v>0</v>
      </c>
    </row>
    <row r="182" customFormat="false" ht="15" hidden="false" customHeight="false" outlineLevel="1" collapsed="false">
      <c r="A182" s="282" t="s">
        <v>78</v>
      </c>
      <c r="B182" s="283" t="s">
        <v>80</v>
      </c>
      <c r="C182" s="284" t="s">
        <v>2360</v>
      </c>
      <c r="D182" s="284" t="s">
        <v>2284</v>
      </c>
      <c r="E182" s="285" t="n">
        <v>280.44</v>
      </c>
      <c r="F182" s="283" t="s">
        <v>527</v>
      </c>
      <c r="G182" s="285" t="n">
        <f aca="false">$F$6*(E182/$G$6+$H$6)</f>
        <v>24.033</v>
      </c>
      <c r="H182" s="286" t="n">
        <f aca="false">IF(ISNUMBER('P9-010'!$N$70),'P9-010'!$N$70,"")</f>
        <v>46343</v>
      </c>
      <c r="I182" s="286" t="n">
        <f aca="false">IF(ISNUMBER('P9-010'!$O$70),'P9-010'!$O$70,"")</f>
        <v>46346</v>
      </c>
      <c r="J182" s="287" t="n">
        <f aca="false">IF(OR(H182="",I182="",N182&gt;=1),0,MAX(1,NETWORKDAYS(MAX(H182,ASOF),MAX(I182,ASOF),HOLIDAYS)))</f>
        <v>4</v>
      </c>
      <c r="K182" s="287" t="n">
        <f aca="false">IF(L182=0,0,ROUNDUP(L182/$F$6,0))</f>
        <v>3</v>
      </c>
      <c r="L182" s="285" t="n">
        <f aca="false">IF(J182=0,0,G182*(1-N182)/J182)</f>
        <v>6.00825</v>
      </c>
      <c r="M182" s="283" t="s">
        <v>987</v>
      </c>
      <c r="N182" s="288" t="n">
        <f aca="false">IFERROR(MIN(1,'P9-010'!$V$70)+0,0)</f>
        <v>0</v>
      </c>
      <c r="O182" s="289" t="n">
        <f aca="false">IF($L182=0,0,$L182*MAX(0,NETWORKDAYS(MAX($H182,ASOF,O$72),MIN(MAX($I182,ASOF),O$72+6),HOLIDAYS)))</f>
        <v>0</v>
      </c>
      <c r="P182" s="289" t="n">
        <f aca="false">IF($L182=0,0,$L182*MAX(0,NETWORKDAYS(MAX($H182,ASOF,P$72),MIN(MAX($I182,ASOF),P$72+6),HOLIDAYS)))</f>
        <v>0</v>
      </c>
      <c r="Q182" s="289" t="n">
        <f aca="false">IF($L182=0,0,$L182*MAX(0,NETWORKDAYS(MAX($H182,ASOF,Q$72),MIN(MAX($I182,ASOF),Q$72+6),HOLIDAYS)))</f>
        <v>24.033</v>
      </c>
      <c r="R182" s="289" t="n">
        <f aca="false">IF($L182=0,0,$L182*MAX(0,NETWORKDAYS(MAX($H182,ASOF,R$72),MIN(MAX($I182,ASOF),R$72+6),HOLIDAYS)))</f>
        <v>0</v>
      </c>
      <c r="S182" s="289" t="n">
        <f aca="false">IF($L182=0,0,$L182*MAX(0,NETWORKDAYS(MAX($H182,ASOF,S$72),MIN(MAX($I182,ASOF),S$72+6),HOLIDAYS)))</f>
        <v>0</v>
      </c>
      <c r="T182" s="289" t="n">
        <f aca="false">IF($L182=0,0,$L182*MAX(0,NETWORKDAYS(MAX($H182,ASOF,T$72),MIN(MAX($I182,ASOF),T$72+6),HOLIDAYS)))</f>
        <v>0</v>
      </c>
      <c r="U182" s="289" t="n">
        <f aca="false">IF($L182=0,0,$L182*MAX(0,NETWORKDAYS(MAX($H182,ASOF,U$72),MIN(MAX($I182,ASOF),U$72+6),HOLIDAYS)))</f>
        <v>0</v>
      </c>
      <c r="V182" s="289" t="n">
        <f aca="false">IF($L182=0,0,$L182*MAX(0,NETWORKDAYS(MAX($H182,ASOF,V$72),MIN(MAX($I182,ASOF),V$72+6),HOLIDAYS)))</f>
        <v>0</v>
      </c>
      <c r="W182" s="289" t="n">
        <f aca="false">IF($L182=0,0,$L182*MAX(0,NETWORKDAYS(MAX($H182,ASOF,W$72),MIN(MAX($I182,ASOF),W$72+6),HOLIDAYS)))</f>
        <v>0</v>
      </c>
      <c r="X182" s="289" t="n">
        <f aca="false">IF($L182=0,0,$L182*MAX(0,NETWORKDAYS(MAX($H182,ASOF,X$72),MIN(MAX($I182,ASOF),X$72+6),HOLIDAYS)))</f>
        <v>0</v>
      </c>
      <c r="Y182" s="289" t="n">
        <f aca="false">IF($L182=0,0,$L182*MAX(0,NETWORKDAYS(MAX($H182,ASOF,Y$72),MIN(MAX($I182,ASOF),Y$72+6),HOLIDAYS)))</f>
        <v>0</v>
      </c>
      <c r="Z182" s="289" t="n">
        <f aca="false">IF($L182=0,0,$L182*MAX(0,NETWORKDAYS(MAX($H182,ASOF,Z$72),MIN(MAX($I182,ASOF),Z$72+6),HOLIDAYS)))</f>
        <v>0</v>
      </c>
      <c r="AA182" s="289" t="n">
        <f aca="false">IF($L182=0,0,$L182*MAX(0,NETWORKDAYS(MAX($H182,ASOF,AA$72),MIN(MAX($I182,ASOF),AA$72+6),HOLIDAYS)))</f>
        <v>0</v>
      </c>
      <c r="AB182" s="289" t="n">
        <f aca="false">IF($L182=0,0,$L182*MAX(0,NETWORKDAYS(MAX($H182,ASOF,AB$72),MIN(MAX($I182,ASOF),AB$72+6),HOLIDAYS)))</f>
        <v>0</v>
      </c>
      <c r="AC182" s="289" t="n">
        <f aca="false">IF($L182=0,0,$L182*MAX(0,NETWORKDAYS(MAX($H182,ASOF,AC$72),MIN(MAX($I182,ASOF),AC$72+6),HOLIDAYS)))</f>
        <v>0</v>
      </c>
      <c r="AD182" s="289" t="n">
        <f aca="false">IF($L182=0,0,$L182*MAX(0,NETWORKDAYS(MAX($H182,ASOF,AD$72),MIN(MAX($I182,ASOF),AD$72+6),HOLIDAYS)))</f>
        <v>0</v>
      </c>
      <c r="AE182" s="289" t="n">
        <f aca="false">IF($L182=0,0,$L182*MAX(0,NETWORKDAYS(MAX($H182,ASOF,AE$72),MIN(MAX($I182,ASOF),AE$72+6),HOLIDAYS)))</f>
        <v>0</v>
      </c>
      <c r="AF182" s="289" t="n">
        <f aca="false">IF($L182=0,0,$L182*MAX(0,NETWORKDAYS(MAX($H182,ASOF,AF$72),MIN(MAX($I182,ASOF),AF$72+6),HOLIDAYS)))</f>
        <v>0</v>
      </c>
      <c r="AG182" s="289" t="n">
        <f aca="false">IF($L182=0,0,$L182*MAX(0,NETWORKDAYS(MAX($H182,ASOF,AG$72),MIN(MAX($I182,ASOF),AG$72+6),HOLIDAYS)))</f>
        <v>0</v>
      </c>
      <c r="AH182" s="289" t="n">
        <f aca="false">IF($L182=0,0,$L182*MAX(0,NETWORKDAYS(MAX($H182,ASOF,AH$72),MIN(MAX($I182,ASOF),AH$72+6),HOLIDAYS)))</f>
        <v>0</v>
      </c>
      <c r="AI182" s="289" t="n">
        <f aca="false">IF($L182=0,0,$L182*MAX(0,NETWORKDAYS(MAX($H182,ASOF,AI$72),MIN(MAX($I182,ASOF),AI$72+6),HOLIDAYS)))</f>
        <v>0</v>
      </c>
      <c r="AJ182" s="289" t="n">
        <f aca="false">IF($L182=0,0,$L182*MAX(0,NETWORKDAYS(MAX($H182,ASOF,AJ$72),MIN(MAX($I182,ASOF),AJ$72+6),HOLIDAYS)))</f>
        <v>0</v>
      </c>
      <c r="AK182" s="289" t="n">
        <f aca="false">IF($L182=0,0,$L182*MAX(0,NETWORKDAYS(MAX($H182,ASOF,AK$72),MIN(MAX($I182,ASOF),AK$72+6),HOLIDAYS)))</f>
        <v>0</v>
      </c>
      <c r="AL182" s="289" t="n">
        <f aca="false">IF($L182=0,0,$L182*MAX(0,NETWORKDAYS(MAX($H182,ASOF,AL$72),MIN(MAX($I182,ASOF),AL$72+6),HOLIDAYS)))</f>
        <v>0</v>
      </c>
      <c r="AM182" s="289" t="n">
        <f aca="false">IF($L182=0,0,$L182*MAX(0,NETWORKDAYS(MAX($H182,ASOF,AM$72),MIN(MAX($I182,ASOF),AM$72+6),HOLIDAYS)))</f>
        <v>0</v>
      </c>
      <c r="AN182" s="289" t="n">
        <f aca="false">IF($L182=0,0,$L182*MAX(0,NETWORKDAYS(MAX($H182,ASOF,AN$72),MIN(MAX($I182,ASOF),AN$72+6),HOLIDAYS)))</f>
        <v>0</v>
      </c>
      <c r="AO182" s="289" t="n">
        <f aca="false">IF($L182=0,0,$L182*MAX(0,NETWORKDAYS(MAX($H182,ASOF,AO$72),MIN(MAX($I182,ASOF),AO$72+6),HOLIDAYS)))</f>
        <v>0</v>
      </c>
      <c r="AP182" s="289" t="n">
        <f aca="false">IF($L182=0,0,$L182*MAX(0,NETWORKDAYS(MAX($H182,ASOF,AP$72),MIN(MAX($I182,ASOF),AP$72+6),HOLIDAYS)))</f>
        <v>0</v>
      </c>
      <c r="AQ182" s="289" t="n">
        <f aca="false">IF($L182=0,0,$L182*MAX(0,NETWORKDAYS(MAX($H182,ASOF,AQ$72),MIN(MAX($I182,ASOF),AQ$72+6),HOLIDAYS)))</f>
        <v>0</v>
      </c>
      <c r="AR182" s="289" t="n">
        <f aca="false">IF($L182=0,0,$L182*MAX(0,NETWORKDAYS(MAX($H182,ASOF,AR$72),MIN(MAX($I182,ASOF),AR$72+6),HOLIDAYS)))</f>
        <v>0</v>
      </c>
    </row>
    <row r="183" customFormat="false" ht="15" hidden="false" customHeight="false" outlineLevel="1" collapsed="false">
      <c r="A183" s="282" t="s">
        <v>78</v>
      </c>
      <c r="B183" s="283" t="s">
        <v>80</v>
      </c>
      <c r="C183" s="284" t="s">
        <v>2361</v>
      </c>
      <c r="D183" s="284" t="s">
        <v>2280</v>
      </c>
      <c r="E183" s="285" t="n">
        <v>280.44</v>
      </c>
      <c r="F183" s="283" t="s">
        <v>527</v>
      </c>
      <c r="G183" s="285" t="n">
        <f aca="false">$F$7*(E183/$G$7+$H$7)</f>
        <v>34.0502857142857</v>
      </c>
      <c r="H183" s="286" t="n">
        <f aca="false">IF(ISNUMBER('P9-010'!$N$76),'P9-010'!$N$76,"")</f>
        <v>46337</v>
      </c>
      <c r="I183" s="286" t="n">
        <f aca="false">IF(ISNUMBER('P9-010'!$O$76),'P9-010'!$O$76,"")</f>
        <v>46347</v>
      </c>
      <c r="J183" s="287" t="n">
        <f aca="false">IF(OR(H183="",I183="",N183&gt;=1),0,MAX(1,NETWORKDAYS(MAX(H183,ASOF),MAX(I183,ASOF),HOLIDAYS)))</f>
        <v>8</v>
      </c>
      <c r="K183" s="287" t="n">
        <f aca="false">IF(L183=0,0,ROUNDUP(L183/$F$7,0))</f>
        <v>2</v>
      </c>
      <c r="L183" s="285" t="n">
        <f aca="false">IF(J183=0,0,G183*(1-N183)/J183)</f>
        <v>4.25628571428571</v>
      </c>
      <c r="M183" s="283" t="s">
        <v>1037</v>
      </c>
      <c r="N183" s="288" t="n">
        <f aca="false">IFERROR(MIN(1,'P9-010'!$V$76)+0,0)</f>
        <v>0</v>
      </c>
      <c r="O183" s="289" t="n">
        <f aca="false">IF($L183=0,0,$L183*MAX(0,NETWORKDAYS(MAX($H183,ASOF,O$72),MIN(MAX($I183,ASOF),O$72+6),HOLIDAYS)))</f>
        <v>0</v>
      </c>
      <c r="P183" s="289" t="n">
        <f aca="false">IF($L183=0,0,$L183*MAX(0,NETWORKDAYS(MAX($H183,ASOF,P$72),MIN(MAX($I183,ASOF),P$72+6),HOLIDAYS)))</f>
        <v>12.7688571428571</v>
      </c>
      <c r="Q183" s="289" t="n">
        <f aca="false">IF($L183=0,0,$L183*MAX(0,NETWORKDAYS(MAX($H183,ASOF,Q$72),MIN(MAX($I183,ASOF),Q$72+6),HOLIDAYS)))</f>
        <v>21.2814285714286</v>
      </c>
      <c r="R183" s="289" t="n">
        <f aca="false">IF($L183=0,0,$L183*MAX(0,NETWORKDAYS(MAX($H183,ASOF,R$72),MIN(MAX($I183,ASOF),R$72+6),HOLIDAYS)))</f>
        <v>0</v>
      </c>
      <c r="S183" s="289" t="n">
        <f aca="false">IF($L183=0,0,$L183*MAX(0,NETWORKDAYS(MAX($H183,ASOF,S$72),MIN(MAX($I183,ASOF),S$72+6),HOLIDAYS)))</f>
        <v>0</v>
      </c>
      <c r="T183" s="289" t="n">
        <f aca="false">IF($L183=0,0,$L183*MAX(0,NETWORKDAYS(MAX($H183,ASOF,T$72),MIN(MAX($I183,ASOF),T$72+6),HOLIDAYS)))</f>
        <v>0</v>
      </c>
      <c r="U183" s="289" t="n">
        <f aca="false">IF($L183=0,0,$L183*MAX(0,NETWORKDAYS(MAX($H183,ASOF,U$72),MIN(MAX($I183,ASOF),U$72+6),HOLIDAYS)))</f>
        <v>0</v>
      </c>
      <c r="V183" s="289" t="n">
        <f aca="false">IF($L183=0,0,$L183*MAX(0,NETWORKDAYS(MAX($H183,ASOF,V$72),MIN(MAX($I183,ASOF),V$72+6),HOLIDAYS)))</f>
        <v>0</v>
      </c>
      <c r="W183" s="289" t="n">
        <f aca="false">IF($L183=0,0,$L183*MAX(0,NETWORKDAYS(MAX($H183,ASOF,W$72),MIN(MAX($I183,ASOF),W$72+6),HOLIDAYS)))</f>
        <v>0</v>
      </c>
      <c r="X183" s="289" t="n">
        <f aca="false">IF($L183=0,0,$L183*MAX(0,NETWORKDAYS(MAX($H183,ASOF,X$72),MIN(MAX($I183,ASOF),X$72+6),HOLIDAYS)))</f>
        <v>0</v>
      </c>
      <c r="Y183" s="289" t="n">
        <f aca="false">IF($L183=0,0,$L183*MAX(0,NETWORKDAYS(MAX($H183,ASOF,Y$72),MIN(MAX($I183,ASOF),Y$72+6),HOLIDAYS)))</f>
        <v>0</v>
      </c>
      <c r="Z183" s="289" t="n">
        <f aca="false">IF($L183=0,0,$L183*MAX(0,NETWORKDAYS(MAX($H183,ASOF,Z$72),MIN(MAX($I183,ASOF),Z$72+6),HOLIDAYS)))</f>
        <v>0</v>
      </c>
      <c r="AA183" s="289" t="n">
        <f aca="false">IF($L183=0,0,$L183*MAX(0,NETWORKDAYS(MAX($H183,ASOF,AA$72),MIN(MAX($I183,ASOF),AA$72+6),HOLIDAYS)))</f>
        <v>0</v>
      </c>
      <c r="AB183" s="289" t="n">
        <f aca="false">IF($L183=0,0,$L183*MAX(0,NETWORKDAYS(MAX($H183,ASOF,AB$72),MIN(MAX($I183,ASOF),AB$72+6),HOLIDAYS)))</f>
        <v>0</v>
      </c>
      <c r="AC183" s="289" t="n">
        <f aca="false">IF($L183=0,0,$L183*MAX(0,NETWORKDAYS(MAX($H183,ASOF,AC$72),MIN(MAX($I183,ASOF),AC$72+6),HOLIDAYS)))</f>
        <v>0</v>
      </c>
      <c r="AD183" s="289" t="n">
        <f aca="false">IF($L183=0,0,$L183*MAX(0,NETWORKDAYS(MAX($H183,ASOF,AD$72),MIN(MAX($I183,ASOF),AD$72+6),HOLIDAYS)))</f>
        <v>0</v>
      </c>
      <c r="AE183" s="289" t="n">
        <f aca="false">IF($L183=0,0,$L183*MAX(0,NETWORKDAYS(MAX($H183,ASOF,AE$72),MIN(MAX($I183,ASOF),AE$72+6),HOLIDAYS)))</f>
        <v>0</v>
      </c>
      <c r="AF183" s="289" t="n">
        <f aca="false">IF($L183=0,0,$L183*MAX(0,NETWORKDAYS(MAX($H183,ASOF,AF$72),MIN(MAX($I183,ASOF),AF$72+6),HOLIDAYS)))</f>
        <v>0</v>
      </c>
      <c r="AG183" s="289" t="n">
        <f aca="false">IF($L183=0,0,$L183*MAX(0,NETWORKDAYS(MAX($H183,ASOF,AG$72),MIN(MAX($I183,ASOF),AG$72+6),HOLIDAYS)))</f>
        <v>0</v>
      </c>
      <c r="AH183" s="289" t="n">
        <f aca="false">IF($L183=0,0,$L183*MAX(0,NETWORKDAYS(MAX($H183,ASOF,AH$72),MIN(MAX($I183,ASOF),AH$72+6),HOLIDAYS)))</f>
        <v>0</v>
      </c>
      <c r="AI183" s="289" t="n">
        <f aca="false">IF($L183=0,0,$L183*MAX(0,NETWORKDAYS(MAX($H183,ASOF,AI$72),MIN(MAX($I183,ASOF),AI$72+6),HOLIDAYS)))</f>
        <v>0</v>
      </c>
      <c r="AJ183" s="289" t="n">
        <f aca="false">IF($L183=0,0,$L183*MAX(0,NETWORKDAYS(MAX($H183,ASOF,AJ$72),MIN(MAX($I183,ASOF),AJ$72+6),HOLIDAYS)))</f>
        <v>0</v>
      </c>
      <c r="AK183" s="289" t="n">
        <f aca="false">IF($L183=0,0,$L183*MAX(0,NETWORKDAYS(MAX($H183,ASOF,AK$72),MIN(MAX($I183,ASOF),AK$72+6),HOLIDAYS)))</f>
        <v>0</v>
      </c>
      <c r="AL183" s="289" t="n">
        <f aca="false">IF($L183=0,0,$L183*MAX(0,NETWORKDAYS(MAX($H183,ASOF,AL$72),MIN(MAX($I183,ASOF),AL$72+6),HOLIDAYS)))</f>
        <v>0</v>
      </c>
      <c r="AM183" s="289" t="n">
        <f aca="false">IF($L183=0,0,$L183*MAX(0,NETWORKDAYS(MAX($H183,ASOF,AM$72),MIN(MAX($I183,ASOF),AM$72+6),HOLIDAYS)))</f>
        <v>0</v>
      </c>
      <c r="AN183" s="289" t="n">
        <f aca="false">IF($L183=0,0,$L183*MAX(0,NETWORKDAYS(MAX($H183,ASOF,AN$72),MIN(MAX($I183,ASOF),AN$72+6),HOLIDAYS)))</f>
        <v>0</v>
      </c>
      <c r="AO183" s="289" t="n">
        <f aca="false">IF($L183=0,0,$L183*MAX(0,NETWORKDAYS(MAX($H183,ASOF,AO$72),MIN(MAX($I183,ASOF),AO$72+6),HOLIDAYS)))</f>
        <v>0</v>
      </c>
      <c r="AP183" s="289" t="n">
        <f aca="false">IF($L183=0,0,$L183*MAX(0,NETWORKDAYS(MAX($H183,ASOF,AP$72),MIN(MAX($I183,ASOF),AP$72+6),HOLIDAYS)))</f>
        <v>0</v>
      </c>
      <c r="AQ183" s="289" t="n">
        <f aca="false">IF($L183=0,0,$L183*MAX(0,NETWORKDAYS(MAX($H183,ASOF,AQ$72),MIN(MAX($I183,ASOF),AQ$72+6),HOLIDAYS)))</f>
        <v>0</v>
      </c>
      <c r="AR183" s="289" t="n">
        <f aca="false">IF($L183=0,0,$L183*MAX(0,NETWORKDAYS(MAX($H183,ASOF,AR$72),MIN(MAX($I183,ASOF),AR$72+6),HOLIDAYS)))</f>
        <v>0</v>
      </c>
    </row>
    <row r="184" customFormat="false" ht="15" hidden="false" customHeight="false" outlineLevel="1" collapsed="false">
      <c r="A184" s="282" t="s">
        <v>78</v>
      </c>
      <c r="B184" s="283" t="s">
        <v>80</v>
      </c>
      <c r="C184" s="284" t="s">
        <v>2362</v>
      </c>
      <c r="D184" s="284" t="s">
        <v>2284</v>
      </c>
      <c r="E184" s="285" t="n">
        <v>1</v>
      </c>
      <c r="F184" s="290" t="s">
        <v>35</v>
      </c>
      <c r="G184" s="285" t="n">
        <f aca="false">$F$8*$H$8</f>
        <v>2</v>
      </c>
      <c r="H184" s="286" t="n">
        <f aca="false">IF(ISNUMBER('P9-010'!$N$82),'P9-010'!$N$82,"")</f>
        <v>46345</v>
      </c>
      <c r="I184" s="286" t="n">
        <f aca="false">IF(ISNUMBER('P9-010'!$O$82),'P9-010'!$O$82,"")</f>
        <v>46347</v>
      </c>
      <c r="J184" s="287" t="n">
        <f aca="false">IF(OR(H184="",I184="",N184&gt;=1),0,MAX(1,NETWORKDAYS(MAX(H184,ASOF),MAX(I184,ASOF),HOLIDAYS)))</f>
        <v>2</v>
      </c>
      <c r="K184" s="287" t="n">
        <f aca="false">IF(L184=0,0,ROUNDUP(L184/$F$8,0))</f>
        <v>1</v>
      </c>
      <c r="L184" s="285" t="n">
        <f aca="false">IF(J184=0,0,G184*(1-N184)/J184)</f>
        <v>1</v>
      </c>
      <c r="M184" s="283" t="s">
        <v>1063</v>
      </c>
      <c r="N184" s="288" t="n">
        <f aca="false">IFERROR(MIN(1,'P9-010'!$V$82)+0,0)</f>
        <v>0</v>
      </c>
      <c r="O184" s="289" t="n">
        <f aca="false">IF($L184=0,0,$L184*MAX(0,NETWORKDAYS(MAX($H184,ASOF,O$72),MIN(MAX($I184,ASOF),O$72+6),HOLIDAYS)))</f>
        <v>0</v>
      </c>
      <c r="P184" s="289" t="n">
        <f aca="false">IF($L184=0,0,$L184*MAX(0,NETWORKDAYS(MAX($H184,ASOF,P$72),MIN(MAX($I184,ASOF),P$72+6),HOLIDAYS)))</f>
        <v>0</v>
      </c>
      <c r="Q184" s="289" t="n">
        <f aca="false">IF($L184=0,0,$L184*MAX(0,NETWORKDAYS(MAX($H184,ASOF,Q$72),MIN(MAX($I184,ASOF),Q$72+6),HOLIDAYS)))</f>
        <v>2</v>
      </c>
      <c r="R184" s="289" t="n">
        <f aca="false">IF($L184=0,0,$L184*MAX(0,NETWORKDAYS(MAX($H184,ASOF,R$72),MIN(MAX($I184,ASOF),R$72+6),HOLIDAYS)))</f>
        <v>0</v>
      </c>
      <c r="S184" s="289" t="n">
        <f aca="false">IF($L184=0,0,$L184*MAX(0,NETWORKDAYS(MAX($H184,ASOF,S$72),MIN(MAX($I184,ASOF),S$72+6),HOLIDAYS)))</f>
        <v>0</v>
      </c>
      <c r="T184" s="289" t="n">
        <f aca="false">IF($L184=0,0,$L184*MAX(0,NETWORKDAYS(MAX($H184,ASOF,T$72),MIN(MAX($I184,ASOF),T$72+6),HOLIDAYS)))</f>
        <v>0</v>
      </c>
      <c r="U184" s="289" t="n">
        <f aca="false">IF($L184=0,0,$L184*MAX(0,NETWORKDAYS(MAX($H184,ASOF,U$72),MIN(MAX($I184,ASOF),U$72+6),HOLIDAYS)))</f>
        <v>0</v>
      </c>
      <c r="V184" s="289" t="n">
        <f aca="false">IF($L184=0,0,$L184*MAX(0,NETWORKDAYS(MAX($H184,ASOF,V$72),MIN(MAX($I184,ASOF),V$72+6),HOLIDAYS)))</f>
        <v>0</v>
      </c>
      <c r="W184" s="289" t="n">
        <f aca="false">IF($L184=0,0,$L184*MAX(0,NETWORKDAYS(MAX($H184,ASOF,W$72),MIN(MAX($I184,ASOF),W$72+6),HOLIDAYS)))</f>
        <v>0</v>
      </c>
      <c r="X184" s="289" t="n">
        <f aca="false">IF($L184=0,0,$L184*MAX(0,NETWORKDAYS(MAX($H184,ASOF,X$72),MIN(MAX($I184,ASOF),X$72+6),HOLIDAYS)))</f>
        <v>0</v>
      </c>
      <c r="Y184" s="289" t="n">
        <f aca="false">IF($L184=0,0,$L184*MAX(0,NETWORKDAYS(MAX($H184,ASOF,Y$72),MIN(MAX($I184,ASOF),Y$72+6),HOLIDAYS)))</f>
        <v>0</v>
      </c>
      <c r="Z184" s="289" t="n">
        <f aca="false">IF($L184=0,0,$L184*MAX(0,NETWORKDAYS(MAX($H184,ASOF,Z$72),MIN(MAX($I184,ASOF),Z$72+6),HOLIDAYS)))</f>
        <v>0</v>
      </c>
      <c r="AA184" s="289" t="n">
        <f aca="false">IF($L184=0,0,$L184*MAX(0,NETWORKDAYS(MAX($H184,ASOF,AA$72),MIN(MAX($I184,ASOF),AA$72+6),HOLIDAYS)))</f>
        <v>0</v>
      </c>
      <c r="AB184" s="289" t="n">
        <f aca="false">IF($L184=0,0,$L184*MAX(0,NETWORKDAYS(MAX($H184,ASOF,AB$72),MIN(MAX($I184,ASOF),AB$72+6),HOLIDAYS)))</f>
        <v>0</v>
      </c>
      <c r="AC184" s="289" t="n">
        <f aca="false">IF($L184=0,0,$L184*MAX(0,NETWORKDAYS(MAX($H184,ASOF,AC$72),MIN(MAX($I184,ASOF),AC$72+6),HOLIDAYS)))</f>
        <v>0</v>
      </c>
      <c r="AD184" s="289" t="n">
        <f aca="false">IF($L184=0,0,$L184*MAX(0,NETWORKDAYS(MAX($H184,ASOF,AD$72),MIN(MAX($I184,ASOF),AD$72+6),HOLIDAYS)))</f>
        <v>0</v>
      </c>
      <c r="AE184" s="289" t="n">
        <f aca="false">IF($L184=0,0,$L184*MAX(0,NETWORKDAYS(MAX($H184,ASOF,AE$72),MIN(MAX($I184,ASOF),AE$72+6),HOLIDAYS)))</f>
        <v>0</v>
      </c>
      <c r="AF184" s="289" t="n">
        <f aca="false">IF($L184=0,0,$L184*MAX(0,NETWORKDAYS(MAX($H184,ASOF,AF$72),MIN(MAX($I184,ASOF),AF$72+6),HOLIDAYS)))</f>
        <v>0</v>
      </c>
      <c r="AG184" s="289" t="n">
        <f aca="false">IF($L184=0,0,$L184*MAX(0,NETWORKDAYS(MAX($H184,ASOF,AG$72),MIN(MAX($I184,ASOF),AG$72+6),HOLIDAYS)))</f>
        <v>0</v>
      </c>
      <c r="AH184" s="289" t="n">
        <f aca="false">IF($L184=0,0,$L184*MAX(0,NETWORKDAYS(MAX($H184,ASOF,AH$72),MIN(MAX($I184,ASOF),AH$72+6),HOLIDAYS)))</f>
        <v>0</v>
      </c>
      <c r="AI184" s="289" t="n">
        <f aca="false">IF($L184=0,0,$L184*MAX(0,NETWORKDAYS(MAX($H184,ASOF,AI$72),MIN(MAX($I184,ASOF),AI$72+6),HOLIDAYS)))</f>
        <v>0</v>
      </c>
      <c r="AJ184" s="289" t="n">
        <f aca="false">IF($L184=0,0,$L184*MAX(0,NETWORKDAYS(MAX($H184,ASOF,AJ$72),MIN(MAX($I184,ASOF),AJ$72+6),HOLIDAYS)))</f>
        <v>0</v>
      </c>
      <c r="AK184" s="289" t="n">
        <f aca="false">IF($L184=0,0,$L184*MAX(0,NETWORKDAYS(MAX($H184,ASOF,AK$72),MIN(MAX($I184,ASOF),AK$72+6),HOLIDAYS)))</f>
        <v>0</v>
      </c>
      <c r="AL184" s="289" t="n">
        <f aca="false">IF($L184=0,0,$L184*MAX(0,NETWORKDAYS(MAX($H184,ASOF,AL$72),MIN(MAX($I184,ASOF),AL$72+6),HOLIDAYS)))</f>
        <v>0</v>
      </c>
      <c r="AM184" s="289" t="n">
        <f aca="false">IF($L184=0,0,$L184*MAX(0,NETWORKDAYS(MAX($H184,ASOF,AM$72),MIN(MAX($I184,ASOF),AM$72+6),HOLIDAYS)))</f>
        <v>0</v>
      </c>
      <c r="AN184" s="289" t="n">
        <f aca="false">IF($L184=0,0,$L184*MAX(0,NETWORKDAYS(MAX($H184,ASOF,AN$72),MIN(MAX($I184,ASOF),AN$72+6),HOLIDAYS)))</f>
        <v>0</v>
      </c>
      <c r="AO184" s="289" t="n">
        <f aca="false">IF($L184=0,0,$L184*MAX(0,NETWORKDAYS(MAX($H184,ASOF,AO$72),MIN(MAX($I184,ASOF),AO$72+6),HOLIDAYS)))</f>
        <v>0</v>
      </c>
      <c r="AP184" s="289" t="n">
        <f aca="false">IF($L184=0,0,$L184*MAX(0,NETWORKDAYS(MAX($H184,ASOF,AP$72),MIN(MAX($I184,ASOF),AP$72+6),HOLIDAYS)))</f>
        <v>0</v>
      </c>
      <c r="AQ184" s="289" t="n">
        <f aca="false">IF($L184=0,0,$L184*MAX(0,NETWORKDAYS(MAX($H184,ASOF,AQ$72),MIN(MAX($I184,ASOF),AQ$72+6),HOLIDAYS)))</f>
        <v>0</v>
      </c>
      <c r="AR184" s="289" t="n">
        <f aca="false">IF($L184=0,0,$L184*MAX(0,NETWORKDAYS(MAX($H184,ASOF,AR$72),MIN(MAX($I184,ASOF),AR$72+6),HOLIDAYS)))</f>
        <v>0</v>
      </c>
    </row>
    <row r="185" customFormat="false" ht="15" hidden="false" customHeight="false" outlineLevel="1" collapsed="false">
      <c r="A185" s="282" t="s">
        <v>78</v>
      </c>
      <c r="B185" s="283" t="s">
        <v>80</v>
      </c>
      <c r="C185" s="284" t="s">
        <v>2363</v>
      </c>
      <c r="D185" s="284" t="s">
        <v>2290</v>
      </c>
      <c r="E185" s="285" t="n">
        <v>1</v>
      </c>
      <c r="F185" s="290" t="s">
        <v>35</v>
      </c>
      <c r="G185" s="285" t="n">
        <f aca="false">IF(IFERROR(INDEX(INVS_TYPE,MATCH("P9-010",INVS_ID,0)),"")="สร้างใหม่ (E09)",$F$9*$H$9,0)</f>
        <v>24</v>
      </c>
      <c r="H185" s="286" t="n">
        <f aca="false">IF(ISNUMBER('P9-010'!$N$85),'P9-010'!$N$85,"")</f>
        <v>46343</v>
      </c>
      <c r="I185" s="286" t="n">
        <f aca="false">IF(ISNUMBER('P9-010'!$O$85),'P9-010'!$O$85,"")</f>
        <v>46346</v>
      </c>
      <c r="J185" s="287" t="n">
        <f aca="false">IF(OR(H185="",I185="",N185&gt;=1),0,MAX(1,NETWORKDAYS(MAX(H185,ASOF),MAX(I185,ASOF),HOLIDAYS)))</f>
        <v>4</v>
      </c>
      <c r="K185" s="287" t="n">
        <f aca="false">IF(L185=0,0,ROUNDUP(L185/$F$9,0))</f>
        <v>2</v>
      </c>
      <c r="L185" s="285" t="n">
        <f aca="false">IF(J185=0,0,G185*(1-N185)/J185)</f>
        <v>6</v>
      </c>
      <c r="M185" s="283" t="s">
        <v>2288</v>
      </c>
      <c r="N185" s="288" t="n">
        <f aca="false">IFERROR(MIN(1,'P9-010'!$V$85)+0,0)</f>
        <v>0</v>
      </c>
      <c r="O185" s="289" t="n">
        <f aca="false">IF($L185=0,0,$L185*MAX(0,NETWORKDAYS(MAX($H185,ASOF,O$72),MIN(MAX($I185,ASOF),O$72+6),HOLIDAYS)))</f>
        <v>0</v>
      </c>
      <c r="P185" s="289" t="n">
        <f aca="false">IF($L185=0,0,$L185*MAX(0,NETWORKDAYS(MAX($H185,ASOF,P$72),MIN(MAX($I185,ASOF),P$72+6),HOLIDAYS)))</f>
        <v>0</v>
      </c>
      <c r="Q185" s="289" t="n">
        <f aca="false">IF($L185=0,0,$L185*MAX(0,NETWORKDAYS(MAX($H185,ASOF,Q$72),MIN(MAX($I185,ASOF),Q$72+6),HOLIDAYS)))</f>
        <v>24</v>
      </c>
      <c r="R185" s="289" t="n">
        <f aca="false">IF($L185=0,0,$L185*MAX(0,NETWORKDAYS(MAX($H185,ASOF,R$72),MIN(MAX($I185,ASOF),R$72+6),HOLIDAYS)))</f>
        <v>0</v>
      </c>
      <c r="S185" s="289" t="n">
        <f aca="false">IF($L185=0,0,$L185*MAX(0,NETWORKDAYS(MAX($H185,ASOF,S$72),MIN(MAX($I185,ASOF),S$72+6),HOLIDAYS)))</f>
        <v>0</v>
      </c>
      <c r="T185" s="289" t="n">
        <f aca="false">IF($L185=0,0,$L185*MAX(0,NETWORKDAYS(MAX($H185,ASOF,T$72),MIN(MAX($I185,ASOF),T$72+6),HOLIDAYS)))</f>
        <v>0</v>
      </c>
      <c r="U185" s="289" t="n">
        <f aca="false">IF($L185=0,0,$L185*MAX(0,NETWORKDAYS(MAX($H185,ASOF,U$72),MIN(MAX($I185,ASOF),U$72+6),HOLIDAYS)))</f>
        <v>0</v>
      </c>
      <c r="V185" s="289" t="n">
        <f aca="false">IF($L185=0,0,$L185*MAX(0,NETWORKDAYS(MAX($H185,ASOF,V$72),MIN(MAX($I185,ASOF),V$72+6),HOLIDAYS)))</f>
        <v>0</v>
      </c>
      <c r="W185" s="289" t="n">
        <f aca="false">IF($L185=0,0,$L185*MAX(0,NETWORKDAYS(MAX($H185,ASOF,W$72),MIN(MAX($I185,ASOF),W$72+6),HOLIDAYS)))</f>
        <v>0</v>
      </c>
      <c r="X185" s="289" t="n">
        <f aca="false">IF($L185=0,0,$L185*MAX(0,NETWORKDAYS(MAX($H185,ASOF,X$72),MIN(MAX($I185,ASOF),X$72+6),HOLIDAYS)))</f>
        <v>0</v>
      </c>
      <c r="Y185" s="289" t="n">
        <f aca="false">IF($L185=0,0,$L185*MAX(0,NETWORKDAYS(MAX($H185,ASOF,Y$72),MIN(MAX($I185,ASOF),Y$72+6),HOLIDAYS)))</f>
        <v>0</v>
      </c>
      <c r="Z185" s="289" t="n">
        <f aca="false">IF($L185=0,0,$L185*MAX(0,NETWORKDAYS(MAX($H185,ASOF,Z$72),MIN(MAX($I185,ASOF),Z$72+6),HOLIDAYS)))</f>
        <v>0</v>
      </c>
      <c r="AA185" s="289" t="n">
        <f aca="false">IF($L185=0,0,$L185*MAX(0,NETWORKDAYS(MAX($H185,ASOF,AA$72),MIN(MAX($I185,ASOF),AA$72+6),HOLIDAYS)))</f>
        <v>0</v>
      </c>
      <c r="AB185" s="289" t="n">
        <f aca="false">IF($L185=0,0,$L185*MAX(0,NETWORKDAYS(MAX($H185,ASOF,AB$72),MIN(MAX($I185,ASOF),AB$72+6),HOLIDAYS)))</f>
        <v>0</v>
      </c>
      <c r="AC185" s="289" t="n">
        <f aca="false">IF($L185=0,0,$L185*MAX(0,NETWORKDAYS(MAX($H185,ASOF,AC$72),MIN(MAX($I185,ASOF),AC$72+6),HOLIDAYS)))</f>
        <v>0</v>
      </c>
      <c r="AD185" s="289" t="n">
        <f aca="false">IF($L185=0,0,$L185*MAX(0,NETWORKDAYS(MAX($H185,ASOF,AD$72),MIN(MAX($I185,ASOF),AD$72+6),HOLIDAYS)))</f>
        <v>0</v>
      </c>
      <c r="AE185" s="289" t="n">
        <f aca="false">IF($L185=0,0,$L185*MAX(0,NETWORKDAYS(MAX($H185,ASOF,AE$72),MIN(MAX($I185,ASOF),AE$72+6),HOLIDAYS)))</f>
        <v>0</v>
      </c>
      <c r="AF185" s="289" t="n">
        <f aca="false">IF($L185=0,0,$L185*MAX(0,NETWORKDAYS(MAX($H185,ASOF,AF$72),MIN(MAX($I185,ASOF),AF$72+6),HOLIDAYS)))</f>
        <v>0</v>
      </c>
      <c r="AG185" s="289" t="n">
        <f aca="false">IF($L185=0,0,$L185*MAX(0,NETWORKDAYS(MAX($H185,ASOF,AG$72),MIN(MAX($I185,ASOF),AG$72+6),HOLIDAYS)))</f>
        <v>0</v>
      </c>
      <c r="AH185" s="289" t="n">
        <f aca="false">IF($L185=0,0,$L185*MAX(0,NETWORKDAYS(MAX($H185,ASOF,AH$72),MIN(MAX($I185,ASOF),AH$72+6),HOLIDAYS)))</f>
        <v>0</v>
      </c>
      <c r="AI185" s="289" t="n">
        <f aca="false">IF($L185=0,0,$L185*MAX(0,NETWORKDAYS(MAX($H185,ASOF,AI$72),MIN(MAX($I185,ASOF),AI$72+6),HOLIDAYS)))</f>
        <v>0</v>
      </c>
      <c r="AJ185" s="289" t="n">
        <f aca="false">IF($L185=0,0,$L185*MAX(0,NETWORKDAYS(MAX($H185,ASOF,AJ$72),MIN(MAX($I185,ASOF),AJ$72+6),HOLIDAYS)))</f>
        <v>0</v>
      </c>
      <c r="AK185" s="289" t="n">
        <f aca="false">IF($L185=0,0,$L185*MAX(0,NETWORKDAYS(MAX($H185,ASOF,AK$72),MIN(MAX($I185,ASOF),AK$72+6),HOLIDAYS)))</f>
        <v>0</v>
      </c>
      <c r="AL185" s="289" t="n">
        <f aca="false">IF($L185=0,0,$L185*MAX(0,NETWORKDAYS(MAX($H185,ASOF,AL$72),MIN(MAX($I185,ASOF),AL$72+6),HOLIDAYS)))</f>
        <v>0</v>
      </c>
      <c r="AM185" s="289" t="n">
        <f aca="false">IF($L185=0,0,$L185*MAX(0,NETWORKDAYS(MAX($H185,ASOF,AM$72),MIN(MAX($I185,ASOF),AM$72+6),HOLIDAYS)))</f>
        <v>0</v>
      </c>
      <c r="AN185" s="289" t="n">
        <f aca="false">IF($L185=0,0,$L185*MAX(0,NETWORKDAYS(MAX($H185,ASOF,AN$72),MIN(MAX($I185,ASOF),AN$72+6),HOLIDAYS)))</f>
        <v>0</v>
      </c>
      <c r="AO185" s="289" t="n">
        <f aca="false">IF($L185=0,0,$L185*MAX(0,NETWORKDAYS(MAX($H185,ASOF,AO$72),MIN(MAX($I185,ASOF),AO$72+6),HOLIDAYS)))</f>
        <v>0</v>
      </c>
      <c r="AP185" s="289" t="n">
        <f aca="false">IF($L185=0,0,$L185*MAX(0,NETWORKDAYS(MAX($H185,ASOF,AP$72),MIN(MAX($I185,ASOF),AP$72+6),HOLIDAYS)))</f>
        <v>0</v>
      </c>
      <c r="AQ185" s="289" t="n">
        <f aca="false">IF($L185=0,0,$L185*MAX(0,NETWORKDAYS(MAX($H185,ASOF,AQ$72),MIN(MAX($I185,ASOF),AQ$72+6),HOLIDAYS)))</f>
        <v>0</v>
      </c>
      <c r="AR185" s="289" t="n">
        <f aca="false">IF($L185=0,0,$L185*MAX(0,NETWORKDAYS(MAX($H185,ASOF,AR$72),MIN(MAX($I185,ASOF),AR$72+6),HOLIDAYS)))</f>
        <v>0</v>
      </c>
    </row>
    <row r="186" customFormat="false" ht="15" hidden="false" customHeight="false" outlineLevel="1" collapsed="false">
      <c r="A186" s="282" t="s">
        <v>78</v>
      </c>
      <c r="B186" s="283" t="s">
        <v>80</v>
      </c>
      <c r="C186" s="284" t="s">
        <v>2364</v>
      </c>
      <c r="D186" s="284" t="s">
        <v>2284</v>
      </c>
      <c r="E186" s="285" t="n">
        <f aca="false">IFERROR(INDEX(INVS_N,MATCH("P9-010",INVS_ID,0)),2)</f>
        <v>2</v>
      </c>
      <c r="F186" s="290" t="s">
        <v>2365</v>
      </c>
      <c r="G186" s="285" t="n">
        <f aca="false">$F$10*(E186/$G$10+$H$10)</f>
        <v>4.5</v>
      </c>
      <c r="H186" s="286" t="n">
        <f aca="false">IF(ISNUMBER('P9-010'!$N$85),'P9-010'!$N$85,"")</f>
        <v>46343</v>
      </c>
      <c r="I186" s="286" t="n">
        <f aca="false">IF(ISNUMBER('P9-010'!$O$85),'P9-010'!$O$85,"")</f>
        <v>46346</v>
      </c>
      <c r="J186" s="287" t="n">
        <f aca="false">IF(OR(H186="",I186="",N186&gt;=1),0,MAX(1,NETWORKDAYS(MAX(H186,ASOF),MAX(I186,ASOF),HOLIDAYS)))</f>
        <v>4</v>
      </c>
      <c r="K186" s="287" t="n">
        <f aca="false">IF(L186=0,0,ROUNDUP(L186/$F$10,0))</f>
        <v>1</v>
      </c>
      <c r="L186" s="285" t="n">
        <f aca="false">IF(J186=0,0,G186*(1-N186)/J186)</f>
        <v>1.125</v>
      </c>
      <c r="M186" s="283" t="s">
        <v>2293</v>
      </c>
      <c r="N186" s="288" t="n">
        <f aca="false">IFERROR(MIN(1,'P9-010'!$V$85)+0,0)</f>
        <v>0</v>
      </c>
      <c r="O186" s="289" t="n">
        <f aca="false">IF($L186=0,0,$L186*MAX(0,NETWORKDAYS(MAX($H186,ASOF,O$72),MIN(MAX($I186,ASOF),O$72+6),HOLIDAYS)))</f>
        <v>0</v>
      </c>
      <c r="P186" s="289" t="n">
        <f aca="false">IF($L186=0,0,$L186*MAX(0,NETWORKDAYS(MAX($H186,ASOF,P$72),MIN(MAX($I186,ASOF),P$72+6),HOLIDAYS)))</f>
        <v>0</v>
      </c>
      <c r="Q186" s="289" t="n">
        <f aca="false">IF($L186=0,0,$L186*MAX(0,NETWORKDAYS(MAX($H186,ASOF,Q$72),MIN(MAX($I186,ASOF),Q$72+6),HOLIDAYS)))</f>
        <v>4.5</v>
      </c>
      <c r="R186" s="289" t="n">
        <f aca="false">IF($L186=0,0,$L186*MAX(0,NETWORKDAYS(MAX($H186,ASOF,R$72),MIN(MAX($I186,ASOF),R$72+6),HOLIDAYS)))</f>
        <v>0</v>
      </c>
      <c r="S186" s="289" t="n">
        <f aca="false">IF($L186=0,0,$L186*MAX(0,NETWORKDAYS(MAX($H186,ASOF,S$72),MIN(MAX($I186,ASOF),S$72+6),HOLIDAYS)))</f>
        <v>0</v>
      </c>
      <c r="T186" s="289" t="n">
        <f aca="false">IF($L186=0,0,$L186*MAX(0,NETWORKDAYS(MAX($H186,ASOF,T$72),MIN(MAX($I186,ASOF),T$72+6),HOLIDAYS)))</f>
        <v>0</v>
      </c>
      <c r="U186" s="289" t="n">
        <f aca="false">IF($L186=0,0,$L186*MAX(0,NETWORKDAYS(MAX($H186,ASOF,U$72),MIN(MAX($I186,ASOF),U$72+6),HOLIDAYS)))</f>
        <v>0</v>
      </c>
      <c r="V186" s="289" t="n">
        <f aca="false">IF($L186=0,0,$L186*MAX(0,NETWORKDAYS(MAX($H186,ASOF,V$72),MIN(MAX($I186,ASOF),V$72+6),HOLIDAYS)))</f>
        <v>0</v>
      </c>
      <c r="W186" s="289" t="n">
        <f aca="false">IF($L186=0,0,$L186*MAX(0,NETWORKDAYS(MAX($H186,ASOF,W$72),MIN(MAX($I186,ASOF),W$72+6),HOLIDAYS)))</f>
        <v>0</v>
      </c>
      <c r="X186" s="289" t="n">
        <f aca="false">IF($L186=0,0,$L186*MAX(0,NETWORKDAYS(MAX($H186,ASOF,X$72),MIN(MAX($I186,ASOF),X$72+6),HOLIDAYS)))</f>
        <v>0</v>
      </c>
      <c r="Y186" s="289" t="n">
        <f aca="false">IF($L186=0,0,$L186*MAX(0,NETWORKDAYS(MAX($H186,ASOF,Y$72),MIN(MAX($I186,ASOF),Y$72+6),HOLIDAYS)))</f>
        <v>0</v>
      </c>
      <c r="Z186" s="289" t="n">
        <f aca="false">IF($L186=0,0,$L186*MAX(0,NETWORKDAYS(MAX($H186,ASOF,Z$72),MIN(MAX($I186,ASOF),Z$72+6),HOLIDAYS)))</f>
        <v>0</v>
      </c>
      <c r="AA186" s="289" t="n">
        <f aca="false">IF($L186=0,0,$L186*MAX(0,NETWORKDAYS(MAX($H186,ASOF,AA$72),MIN(MAX($I186,ASOF),AA$72+6),HOLIDAYS)))</f>
        <v>0</v>
      </c>
      <c r="AB186" s="289" t="n">
        <f aca="false">IF($L186=0,0,$L186*MAX(0,NETWORKDAYS(MAX($H186,ASOF,AB$72),MIN(MAX($I186,ASOF),AB$72+6),HOLIDAYS)))</f>
        <v>0</v>
      </c>
      <c r="AC186" s="289" t="n">
        <f aca="false">IF($L186=0,0,$L186*MAX(0,NETWORKDAYS(MAX($H186,ASOF,AC$72),MIN(MAX($I186,ASOF),AC$72+6),HOLIDAYS)))</f>
        <v>0</v>
      </c>
      <c r="AD186" s="289" t="n">
        <f aca="false">IF($L186=0,0,$L186*MAX(0,NETWORKDAYS(MAX($H186,ASOF,AD$72),MIN(MAX($I186,ASOF),AD$72+6),HOLIDAYS)))</f>
        <v>0</v>
      </c>
      <c r="AE186" s="289" t="n">
        <f aca="false">IF($L186=0,0,$L186*MAX(0,NETWORKDAYS(MAX($H186,ASOF,AE$72),MIN(MAX($I186,ASOF),AE$72+6),HOLIDAYS)))</f>
        <v>0</v>
      </c>
      <c r="AF186" s="289" t="n">
        <f aca="false">IF($L186=0,0,$L186*MAX(0,NETWORKDAYS(MAX($H186,ASOF,AF$72),MIN(MAX($I186,ASOF),AF$72+6),HOLIDAYS)))</f>
        <v>0</v>
      </c>
      <c r="AG186" s="289" t="n">
        <f aca="false">IF($L186=0,0,$L186*MAX(0,NETWORKDAYS(MAX($H186,ASOF,AG$72),MIN(MAX($I186,ASOF),AG$72+6),HOLIDAYS)))</f>
        <v>0</v>
      </c>
      <c r="AH186" s="289" t="n">
        <f aca="false">IF($L186=0,0,$L186*MAX(0,NETWORKDAYS(MAX($H186,ASOF,AH$72),MIN(MAX($I186,ASOF),AH$72+6),HOLIDAYS)))</f>
        <v>0</v>
      </c>
      <c r="AI186" s="289" t="n">
        <f aca="false">IF($L186=0,0,$L186*MAX(0,NETWORKDAYS(MAX($H186,ASOF,AI$72),MIN(MAX($I186,ASOF),AI$72+6),HOLIDAYS)))</f>
        <v>0</v>
      </c>
      <c r="AJ186" s="289" t="n">
        <f aca="false">IF($L186=0,0,$L186*MAX(0,NETWORKDAYS(MAX($H186,ASOF,AJ$72),MIN(MAX($I186,ASOF),AJ$72+6),HOLIDAYS)))</f>
        <v>0</v>
      </c>
      <c r="AK186" s="289" t="n">
        <f aca="false">IF($L186=0,0,$L186*MAX(0,NETWORKDAYS(MAX($H186,ASOF,AK$72),MIN(MAX($I186,ASOF),AK$72+6),HOLIDAYS)))</f>
        <v>0</v>
      </c>
      <c r="AL186" s="289" t="n">
        <f aca="false">IF($L186=0,0,$L186*MAX(0,NETWORKDAYS(MAX($H186,ASOF,AL$72),MIN(MAX($I186,ASOF),AL$72+6),HOLIDAYS)))</f>
        <v>0</v>
      </c>
      <c r="AM186" s="289" t="n">
        <f aca="false">IF($L186=0,0,$L186*MAX(0,NETWORKDAYS(MAX($H186,ASOF,AM$72),MIN(MAX($I186,ASOF),AM$72+6),HOLIDAYS)))</f>
        <v>0</v>
      </c>
      <c r="AN186" s="289" t="n">
        <f aca="false">IF($L186=0,0,$L186*MAX(0,NETWORKDAYS(MAX($H186,ASOF,AN$72),MIN(MAX($I186,ASOF),AN$72+6),HOLIDAYS)))</f>
        <v>0</v>
      </c>
      <c r="AO186" s="289" t="n">
        <f aca="false">IF($L186=0,0,$L186*MAX(0,NETWORKDAYS(MAX($H186,ASOF,AO$72),MIN(MAX($I186,ASOF),AO$72+6),HOLIDAYS)))</f>
        <v>0</v>
      </c>
      <c r="AP186" s="289" t="n">
        <f aca="false">IF($L186=0,0,$L186*MAX(0,NETWORKDAYS(MAX($H186,ASOF,AP$72),MIN(MAX($I186,ASOF),AP$72+6),HOLIDAYS)))</f>
        <v>0</v>
      </c>
      <c r="AQ186" s="289" t="n">
        <f aca="false">IF($L186=0,0,$L186*MAX(0,NETWORKDAYS(MAX($H186,ASOF,AQ$72),MIN(MAX($I186,ASOF),AQ$72+6),HOLIDAYS)))</f>
        <v>0</v>
      </c>
      <c r="AR186" s="289" t="n">
        <f aca="false">IF($L186=0,0,$L186*MAX(0,NETWORKDAYS(MAX($H186,ASOF,AR$72),MIN(MAX($I186,ASOF),AR$72+6),HOLIDAYS)))</f>
        <v>0</v>
      </c>
    </row>
    <row r="187" customFormat="false" ht="15" hidden="false" customHeight="false" outlineLevel="1" collapsed="false">
      <c r="A187" s="282" t="s">
        <v>78</v>
      </c>
      <c r="B187" s="283" t="s">
        <v>80</v>
      </c>
      <c r="C187" s="284" t="s">
        <v>2366</v>
      </c>
      <c r="D187" s="284" t="s">
        <v>2284</v>
      </c>
      <c r="E187" s="285" t="n">
        <v>1</v>
      </c>
      <c r="F187" s="290" t="s">
        <v>35</v>
      </c>
      <c r="G187" s="285" t="n">
        <f aca="false">$F$11*$H$11</f>
        <v>16</v>
      </c>
      <c r="H187" s="286" t="n">
        <f aca="false">IF(ISNUMBER('P9-010'!$N$90),'P9-010'!$N$90,"")</f>
        <v>46344</v>
      </c>
      <c r="I187" s="286" t="n">
        <f aca="false">IF(ISNUMBER('P9-010'!$O$90),'P9-010'!$O$90,"")</f>
        <v>46347</v>
      </c>
      <c r="J187" s="287" t="n">
        <f aca="false">IF(OR(H187="",I187="",N187&gt;=1),0,MAX(1,NETWORKDAYS(MAX(H187,ASOF),MAX(I187,ASOF),HOLIDAYS)))</f>
        <v>3</v>
      </c>
      <c r="K187" s="287" t="n">
        <f aca="false">IF(L187=0,0,ROUNDUP(L187/$F$11,0))</f>
        <v>2</v>
      </c>
      <c r="L187" s="285" t="n">
        <f aca="false">IF(J187=0,0,G187*(1-N187)/J187)</f>
        <v>5.33333333333333</v>
      </c>
      <c r="M187" s="283" t="s">
        <v>1113</v>
      </c>
      <c r="N187" s="288" t="n">
        <f aca="false">IFERROR(MIN(1,'P9-010'!$V$90)+0,0)</f>
        <v>0</v>
      </c>
      <c r="O187" s="289" t="n">
        <f aca="false">IF($L187=0,0,$L187*MAX(0,NETWORKDAYS(MAX($H187,ASOF,O$72),MIN(MAX($I187,ASOF),O$72+6),HOLIDAYS)))</f>
        <v>0</v>
      </c>
      <c r="P187" s="289" t="n">
        <f aca="false">IF($L187=0,0,$L187*MAX(0,NETWORKDAYS(MAX($H187,ASOF,P$72),MIN(MAX($I187,ASOF),P$72+6),HOLIDAYS)))</f>
        <v>0</v>
      </c>
      <c r="Q187" s="289" t="n">
        <f aca="false">IF($L187=0,0,$L187*MAX(0,NETWORKDAYS(MAX($H187,ASOF,Q$72),MIN(MAX($I187,ASOF),Q$72+6),HOLIDAYS)))</f>
        <v>16</v>
      </c>
      <c r="R187" s="289" t="n">
        <f aca="false">IF($L187=0,0,$L187*MAX(0,NETWORKDAYS(MAX($H187,ASOF,R$72),MIN(MAX($I187,ASOF),R$72+6),HOLIDAYS)))</f>
        <v>0</v>
      </c>
      <c r="S187" s="289" t="n">
        <f aca="false">IF($L187=0,0,$L187*MAX(0,NETWORKDAYS(MAX($H187,ASOF,S$72),MIN(MAX($I187,ASOF),S$72+6),HOLIDAYS)))</f>
        <v>0</v>
      </c>
      <c r="T187" s="289" t="n">
        <f aca="false">IF($L187=0,0,$L187*MAX(0,NETWORKDAYS(MAX($H187,ASOF,T$72),MIN(MAX($I187,ASOF),T$72+6),HOLIDAYS)))</f>
        <v>0</v>
      </c>
      <c r="U187" s="289" t="n">
        <f aca="false">IF($L187=0,0,$L187*MAX(0,NETWORKDAYS(MAX($H187,ASOF,U$72),MIN(MAX($I187,ASOF),U$72+6),HOLIDAYS)))</f>
        <v>0</v>
      </c>
      <c r="V187" s="289" t="n">
        <f aca="false">IF($L187=0,0,$L187*MAX(0,NETWORKDAYS(MAX($H187,ASOF,V$72),MIN(MAX($I187,ASOF),V$72+6),HOLIDAYS)))</f>
        <v>0</v>
      </c>
      <c r="W187" s="289" t="n">
        <f aca="false">IF($L187=0,0,$L187*MAX(0,NETWORKDAYS(MAX($H187,ASOF,W$72),MIN(MAX($I187,ASOF),W$72+6),HOLIDAYS)))</f>
        <v>0</v>
      </c>
      <c r="X187" s="289" t="n">
        <f aca="false">IF($L187=0,0,$L187*MAX(0,NETWORKDAYS(MAX($H187,ASOF,X$72),MIN(MAX($I187,ASOF),X$72+6),HOLIDAYS)))</f>
        <v>0</v>
      </c>
      <c r="Y187" s="289" t="n">
        <f aca="false">IF($L187=0,0,$L187*MAX(0,NETWORKDAYS(MAX($H187,ASOF,Y$72),MIN(MAX($I187,ASOF),Y$72+6),HOLIDAYS)))</f>
        <v>0</v>
      </c>
      <c r="Z187" s="289" t="n">
        <f aca="false">IF($L187=0,0,$L187*MAX(0,NETWORKDAYS(MAX($H187,ASOF,Z$72),MIN(MAX($I187,ASOF),Z$72+6),HOLIDAYS)))</f>
        <v>0</v>
      </c>
      <c r="AA187" s="289" t="n">
        <f aca="false">IF($L187=0,0,$L187*MAX(0,NETWORKDAYS(MAX($H187,ASOF,AA$72),MIN(MAX($I187,ASOF),AA$72+6),HOLIDAYS)))</f>
        <v>0</v>
      </c>
      <c r="AB187" s="289" t="n">
        <f aca="false">IF($L187=0,0,$L187*MAX(0,NETWORKDAYS(MAX($H187,ASOF,AB$72),MIN(MAX($I187,ASOF),AB$72+6),HOLIDAYS)))</f>
        <v>0</v>
      </c>
      <c r="AC187" s="289" t="n">
        <f aca="false">IF($L187=0,0,$L187*MAX(0,NETWORKDAYS(MAX($H187,ASOF,AC$72),MIN(MAX($I187,ASOF),AC$72+6),HOLIDAYS)))</f>
        <v>0</v>
      </c>
      <c r="AD187" s="289" t="n">
        <f aca="false">IF($L187=0,0,$L187*MAX(0,NETWORKDAYS(MAX($H187,ASOF,AD$72),MIN(MAX($I187,ASOF),AD$72+6),HOLIDAYS)))</f>
        <v>0</v>
      </c>
      <c r="AE187" s="289" t="n">
        <f aca="false">IF($L187=0,0,$L187*MAX(0,NETWORKDAYS(MAX($H187,ASOF,AE$72),MIN(MAX($I187,ASOF),AE$72+6),HOLIDAYS)))</f>
        <v>0</v>
      </c>
      <c r="AF187" s="289" t="n">
        <f aca="false">IF($L187=0,0,$L187*MAX(0,NETWORKDAYS(MAX($H187,ASOF,AF$72),MIN(MAX($I187,ASOF),AF$72+6),HOLIDAYS)))</f>
        <v>0</v>
      </c>
      <c r="AG187" s="289" t="n">
        <f aca="false">IF($L187=0,0,$L187*MAX(0,NETWORKDAYS(MAX($H187,ASOF,AG$72),MIN(MAX($I187,ASOF),AG$72+6),HOLIDAYS)))</f>
        <v>0</v>
      </c>
      <c r="AH187" s="289" t="n">
        <f aca="false">IF($L187=0,0,$L187*MAX(0,NETWORKDAYS(MAX($H187,ASOF,AH$72),MIN(MAX($I187,ASOF),AH$72+6),HOLIDAYS)))</f>
        <v>0</v>
      </c>
      <c r="AI187" s="289" t="n">
        <f aca="false">IF($L187=0,0,$L187*MAX(0,NETWORKDAYS(MAX($H187,ASOF,AI$72),MIN(MAX($I187,ASOF),AI$72+6),HOLIDAYS)))</f>
        <v>0</v>
      </c>
      <c r="AJ187" s="289" t="n">
        <f aca="false">IF($L187=0,0,$L187*MAX(0,NETWORKDAYS(MAX($H187,ASOF,AJ$72),MIN(MAX($I187,ASOF),AJ$72+6),HOLIDAYS)))</f>
        <v>0</v>
      </c>
      <c r="AK187" s="289" t="n">
        <f aca="false">IF($L187=0,0,$L187*MAX(0,NETWORKDAYS(MAX($H187,ASOF,AK$72),MIN(MAX($I187,ASOF),AK$72+6),HOLIDAYS)))</f>
        <v>0</v>
      </c>
      <c r="AL187" s="289" t="n">
        <f aca="false">IF($L187=0,0,$L187*MAX(0,NETWORKDAYS(MAX($H187,ASOF,AL$72),MIN(MAX($I187,ASOF),AL$72+6),HOLIDAYS)))</f>
        <v>0</v>
      </c>
      <c r="AM187" s="289" t="n">
        <f aca="false">IF($L187=0,0,$L187*MAX(0,NETWORKDAYS(MAX($H187,ASOF,AM$72),MIN(MAX($I187,ASOF),AM$72+6),HOLIDAYS)))</f>
        <v>0</v>
      </c>
      <c r="AN187" s="289" t="n">
        <f aca="false">IF($L187=0,0,$L187*MAX(0,NETWORKDAYS(MAX($H187,ASOF,AN$72),MIN(MAX($I187,ASOF),AN$72+6),HOLIDAYS)))</f>
        <v>0</v>
      </c>
      <c r="AO187" s="289" t="n">
        <f aca="false">IF($L187=0,0,$L187*MAX(0,NETWORKDAYS(MAX($H187,ASOF,AO$72),MIN(MAX($I187,ASOF),AO$72+6),HOLIDAYS)))</f>
        <v>0</v>
      </c>
      <c r="AP187" s="289" t="n">
        <f aca="false">IF($L187=0,0,$L187*MAX(0,NETWORKDAYS(MAX($H187,ASOF,AP$72),MIN(MAX($I187,ASOF),AP$72+6),HOLIDAYS)))</f>
        <v>0</v>
      </c>
      <c r="AQ187" s="289" t="n">
        <f aca="false">IF($L187=0,0,$L187*MAX(0,NETWORKDAYS(MAX($H187,ASOF,AQ$72),MIN(MAX($I187,ASOF),AQ$72+6),HOLIDAYS)))</f>
        <v>0</v>
      </c>
      <c r="AR187" s="289" t="n">
        <f aca="false">IF($L187=0,0,$L187*MAX(0,NETWORKDAYS(MAX($H187,ASOF,AR$72),MIN(MAX($I187,ASOF),AR$72+6),HOLIDAYS)))</f>
        <v>0</v>
      </c>
    </row>
    <row r="188" customFormat="false" ht="15" hidden="false" customHeight="false" outlineLevel="1" collapsed="false">
      <c r="A188" s="282" t="s">
        <v>78</v>
      </c>
      <c r="B188" s="283" t="s">
        <v>80</v>
      </c>
      <c r="C188" s="284" t="s">
        <v>2367</v>
      </c>
      <c r="D188" s="284" t="s">
        <v>2284</v>
      </c>
      <c r="E188" s="285" t="n">
        <v>1</v>
      </c>
      <c r="F188" s="290" t="s">
        <v>35</v>
      </c>
      <c r="G188" s="285" t="n">
        <f aca="false">$F$12*$H$12</f>
        <v>4</v>
      </c>
      <c r="H188" s="286" t="n">
        <f aca="false">IF(ISNUMBER('P9-010'!$N$96),'P9-010'!$N$96,"")</f>
        <v>46345</v>
      </c>
      <c r="I188" s="286" t="n">
        <f aca="false">IF(ISNUMBER('P9-010'!$O$96),'P9-010'!$O$96,"")</f>
        <v>46347</v>
      </c>
      <c r="J188" s="287" t="n">
        <f aca="false">IF(OR(H188="",I188="",N188&gt;=1),0,MAX(1,NETWORKDAYS(MAX(H188,ASOF),MAX(I188,ASOF),HOLIDAYS)))</f>
        <v>2</v>
      </c>
      <c r="K188" s="287" t="n">
        <f aca="false">IF(L188=0,0,ROUNDUP(L188/$F$12,0))</f>
        <v>1</v>
      </c>
      <c r="L188" s="285" t="n">
        <f aca="false">IF(J188=0,0,G188*(1-N188)/J188)</f>
        <v>2</v>
      </c>
      <c r="M188" s="283" t="s">
        <v>1147</v>
      </c>
      <c r="N188" s="288" t="n">
        <f aca="false">IFERROR(MIN(1,'P9-010'!$V$96)+0,0)</f>
        <v>0</v>
      </c>
      <c r="O188" s="289" t="n">
        <f aca="false">IF($L188=0,0,$L188*MAX(0,NETWORKDAYS(MAX($H188,ASOF,O$72),MIN(MAX($I188,ASOF),O$72+6),HOLIDAYS)))</f>
        <v>0</v>
      </c>
      <c r="P188" s="289" t="n">
        <f aca="false">IF($L188=0,0,$L188*MAX(0,NETWORKDAYS(MAX($H188,ASOF,P$72),MIN(MAX($I188,ASOF),P$72+6),HOLIDAYS)))</f>
        <v>0</v>
      </c>
      <c r="Q188" s="289" t="n">
        <f aca="false">IF($L188=0,0,$L188*MAX(0,NETWORKDAYS(MAX($H188,ASOF,Q$72),MIN(MAX($I188,ASOF),Q$72+6),HOLIDAYS)))</f>
        <v>4</v>
      </c>
      <c r="R188" s="289" t="n">
        <f aca="false">IF($L188=0,0,$L188*MAX(0,NETWORKDAYS(MAX($H188,ASOF,R$72),MIN(MAX($I188,ASOF),R$72+6),HOLIDAYS)))</f>
        <v>0</v>
      </c>
      <c r="S188" s="289" t="n">
        <f aca="false">IF($L188=0,0,$L188*MAX(0,NETWORKDAYS(MAX($H188,ASOF,S$72),MIN(MAX($I188,ASOF),S$72+6),HOLIDAYS)))</f>
        <v>0</v>
      </c>
      <c r="T188" s="289" t="n">
        <f aca="false">IF($L188=0,0,$L188*MAX(0,NETWORKDAYS(MAX($H188,ASOF,T$72),MIN(MAX($I188,ASOF),T$72+6),HOLIDAYS)))</f>
        <v>0</v>
      </c>
      <c r="U188" s="289" t="n">
        <f aca="false">IF($L188=0,0,$L188*MAX(0,NETWORKDAYS(MAX($H188,ASOF,U$72),MIN(MAX($I188,ASOF),U$72+6),HOLIDAYS)))</f>
        <v>0</v>
      </c>
      <c r="V188" s="289" t="n">
        <f aca="false">IF($L188=0,0,$L188*MAX(0,NETWORKDAYS(MAX($H188,ASOF,V$72),MIN(MAX($I188,ASOF),V$72+6),HOLIDAYS)))</f>
        <v>0</v>
      </c>
      <c r="W188" s="289" t="n">
        <f aca="false">IF($L188=0,0,$L188*MAX(0,NETWORKDAYS(MAX($H188,ASOF,W$72),MIN(MAX($I188,ASOF),W$72+6),HOLIDAYS)))</f>
        <v>0</v>
      </c>
      <c r="X188" s="289" t="n">
        <f aca="false">IF($L188=0,0,$L188*MAX(0,NETWORKDAYS(MAX($H188,ASOF,X$72),MIN(MAX($I188,ASOF),X$72+6),HOLIDAYS)))</f>
        <v>0</v>
      </c>
      <c r="Y188" s="289" t="n">
        <f aca="false">IF($L188=0,0,$L188*MAX(0,NETWORKDAYS(MAX($H188,ASOF,Y$72),MIN(MAX($I188,ASOF),Y$72+6),HOLIDAYS)))</f>
        <v>0</v>
      </c>
      <c r="Z188" s="289" t="n">
        <f aca="false">IF($L188=0,0,$L188*MAX(0,NETWORKDAYS(MAX($H188,ASOF,Z$72),MIN(MAX($I188,ASOF),Z$72+6),HOLIDAYS)))</f>
        <v>0</v>
      </c>
      <c r="AA188" s="289" t="n">
        <f aca="false">IF($L188=0,0,$L188*MAX(0,NETWORKDAYS(MAX($H188,ASOF,AA$72),MIN(MAX($I188,ASOF),AA$72+6),HOLIDAYS)))</f>
        <v>0</v>
      </c>
      <c r="AB188" s="289" t="n">
        <f aca="false">IF($L188=0,0,$L188*MAX(0,NETWORKDAYS(MAX($H188,ASOF,AB$72),MIN(MAX($I188,ASOF),AB$72+6),HOLIDAYS)))</f>
        <v>0</v>
      </c>
      <c r="AC188" s="289" t="n">
        <f aca="false">IF($L188=0,0,$L188*MAX(0,NETWORKDAYS(MAX($H188,ASOF,AC$72),MIN(MAX($I188,ASOF),AC$72+6),HOLIDAYS)))</f>
        <v>0</v>
      </c>
      <c r="AD188" s="289" t="n">
        <f aca="false">IF($L188=0,0,$L188*MAX(0,NETWORKDAYS(MAX($H188,ASOF,AD$72),MIN(MAX($I188,ASOF),AD$72+6),HOLIDAYS)))</f>
        <v>0</v>
      </c>
      <c r="AE188" s="289" t="n">
        <f aca="false">IF($L188=0,0,$L188*MAX(0,NETWORKDAYS(MAX($H188,ASOF,AE$72),MIN(MAX($I188,ASOF),AE$72+6),HOLIDAYS)))</f>
        <v>0</v>
      </c>
      <c r="AF188" s="289" t="n">
        <f aca="false">IF($L188=0,0,$L188*MAX(0,NETWORKDAYS(MAX($H188,ASOF,AF$72),MIN(MAX($I188,ASOF),AF$72+6),HOLIDAYS)))</f>
        <v>0</v>
      </c>
      <c r="AG188" s="289" t="n">
        <f aca="false">IF($L188=0,0,$L188*MAX(0,NETWORKDAYS(MAX($H188,ASOF,AG$72),MIN(MAX($I188,ASOF),AG$72+6),HOLIDAYS)))</f>
        <v>0</v>
      </c>
      <c r="AH188" s="289" t="n">
        <f aca="false">IF($L188=0,0,$L188*MAX(0,NETWORKDAYS(MAX($H188,ASOF,AH$72),MIN(MAX($I188,ASOF),AH$72+6),HOLIDAYS)))</f>
        <v>0</v>
      </c>
      <c r="AI188" s="289" t="n">
        <f aca="false">IF($L188=0,0,$L188*MAX(0,NETWORKDAYS(MAX($H188,ASOF,AI$72),MIN(MAX($I188,ASOF),AI$72+6),HOLIDAYS)))</f>
        <v>0</v>
      </c>
      <c r="AJ188" s="289" t="n">
        <f aca="false">IF($L188=0,0,$L188*MAX(0,NETWORKDAYS(MAX($H188,ASOF,AJ$72),MIN(MAX($I188,ASOF),AJ$72+6),HOLIDAYS)))</f>
        <v>0</v>
      </c>
      <c r="AK188" s="289" t="n">
        <f aca="false">IF($L188=0,0,$L188*MAX(0,NETWORKDAYS(MAX($H188,ASOF,AK$72),MIN(MAX($I188,ASOF),AK$72+6),HOLIDAYS)))</f>
        <v>0</v>
      </c>
      <c r="AL188" s="289" t="n">
        <f aca="false">IF($L188=0,0,$L188*MAX(0,NETWORKDAYS(MAX($H188,ASOF,AL$72),MIN(MAX($I188,ASOF),AL$72+6),HOLIDAYS)))</f>
        <v>0</v>
      </c>
      <c r="AM188" s="289" t="n">
        <f aca="false">IF($L188=0,0,$L188*MAX(0,NETWORKDAYS(MAX($H188,ASOF,AM$72),MIN(MAX($I188,ASOF),AM$72+6),HOLIDAYS)))</f>
        <v>0</v>
      </c>
      <c r="AN188" s="289" t="n">
        <f aca="false">IF($L188=0,0,$L188*MAX(0,NETWORKDAYS(MAX($H188,ASOF,AN$72),MIN(MAX($I188,ASOF),AN$72+6),HOLIDAYS)))</f>
        <v>0</v>
      </c>
      <c r="AO188" s="289" t="n">
        <f aca="false">IF($L188=0,0,$L188*MAX(0,NETWORKDAYS(MAX($H188,ASOF,AO$72),MIN(MAX($I188,ASOF),AO$72+6),HOLIDAYS)))</f>
        <v>0</v>
      </c>
      <c r="AP188" s="289" t="n">
        <f aca="false">IF($L188=0,0,$L188*MAX(0,NETWORKDAYS(MAX($H188,ASOF,AP$72),MIN(MAX($I188,ASOF),AP$72+6),HOLIDAYS)))</f>
        <v>0</v>
      </c>
      <c r="AQ188" s="289" t="n">
        <f aca="false">IF($L188=0,0,$L188*MAX(0,NETWORKDAYS(MAX($H188,ASOF,AQ$72),MIN(MAX($I188,ASOF),AQ$72+6),HOLIDAYS)))</f>
        <v>0</v>
      </c>
      <c r="AR188" s="289" t="n">
        <f aca="false">IF($L188=0,0,$L188*MAX(0,NETWORKDAYS(MAX($H188,ASOF,AR$72),MIN(MAX($I188,ASOF),AR$72+6),HOLIDAYS)))</f>
        <v>0</v>
      </c>
    </row>
    <row r="189" customFormat="false" ht="15" hidden="false" customHeight="false" outlineLevel="1" collapsed="false">
      <c r="A189" s="282" t="s">
        <v>78</v>
      </c>
      <c r="B189" s="283" t="s">
        <v>80</v>
      </c>
      <c r="C189" s="284" t="s">
        <v>2368</v>
      </c>
      <c r="D189" s="284" t="s">
        <v>2301</v>
      </c>
      <c r="E189" s="285" t="n">
        <v>1</v>
      </c>
      <c r="F189" s="290" t="s">
        <v>35</v>
      </c>
      <c r="G189" s="285" t="n">
        <f aca="false">$F$13*$H$13</f>
        <v>12</v>
      </c>
      <c r="H189" s="286" t="n">
        <f aca="false">IF(ISNUMBER('P9-010'!$N$100),'P9-010'!$N$100,"")</f>
        <v>46346</v>
      </c>
      <c r="I189" s="286" t="n">
        <f aca="false">IF(ISNUMBER('P9-010'!$O$100),'P9-010'!$O$100,"")</f>
        <v>46348</v>
      </c>
      <c r="J189" s="287" t="n">
        <f aca="false">IF(OR(H189="",I189="",N189&gt;=1),0,MAX(1,NETWORKDAYS(MAX(H189,ASOF),MAX(I189,ASOF),HOLIDAYS)))</f>
        <v>1</v>
      </c>
      <c r="K189" s="287" t="n">
        <f aca="false">IF(L189=0,0,ROUNDUP(L189/$F$13,0))</f>
        <v>3</v>
      </c>
      <c r="L189" s="285" t="n">
        <f aca="false">IF(J189=0,0,G189*(1-N189)/J189)</f>
        <v>12</v>
      </c>
      <c r="M189" s="283" t="s">
        <v>2299</v>
      </c>
      <c r="N189" s="288" t="n">
        <f aca="false">IFERROR(MIN(1,'P9-010'!$V$100)+0,0)</f>
        <v>0</v>
      </c>
      <c r="O189" s="289" t="n">
        <f aca="false">IF($L189=0,0,$L189*MAX(0,NETWORKDAYS(MAX($H189,ASOF,O$72),MIN(MAX($I189,ASOF),O$72+6),HOLIDAYS)))</f>
        <v>0</v>
      </c>
      <c r="P189" s="289" t="n">
        <f aca="false">IF($L189=0,0,$L189*MAX(0,NETWORKDAYS(MAX($H189,ASOF,P$72),MIN(MAX($I189,ASOF),P$72+6),HOLIDAYS)))</f>
        <v>0</v>
      </c>
      <c r="Q189" s="289" t="n">
        <f aca="false">IF($L189=0,0,$L189*MAX(0,NETWORKDAYS(MAX($H189,ASOF,Q$72),MIN(MAX($I189,ASOF),Q$72+6),HOLIDAYS)))</f>
        <v>12</v>
      </c>
      <c r="R189" s="289" t="n">
        <f aca="false">IF($L189=0,0,$L189*MAX(0,NETWORKDAYS(MAX($H189,ASOF,R$72),MIN(MAX($I189,ASOF),R$72+6),HOLIDAYS)))</f>
        <v>0</v>
      </c>
      <c r="S189" s="289" t="n">
        <f aca="false">IF($L189=0,0,$L189*MAX(0,NETWORKDAYS(MAX($H189,ASOF,S$72),MIN(MAX($I189,ASOF),S$72+6),HOLIDAYS)))</f>
        <v>0</v>
      </c>
      <c r="T189" s="289" t="n">
        <f aca="false">IF($L189=0,0,$L189*MAX(0,NETWORKDAYS(MAX($H189,ASOF,T$72),MIN(MAX($I189,ASOF),T$72+6),HOLIDAYS)))</f>
        <v>0</v>
      </c>
      <c r="U189" s="289" t="n">
        <f aca="false">IF($L189=0,0,$L189*MAX(0,NETWORKDAYS(MAX($H189,ASOF,U$72),MIN(MAX($I189,ASOF),U$72+6),HOLIDAYS)))</f>
        <v>0</v>
      </c>
      <c r="V189" s="289" t="n">
        <f aca="false">IF($L189=0,0,$L189*MAX(0,NETWORKDAYS(MAX($H189,ASOF,V$72),MIN(MAX($I189,ASOF),V$72+6),HOLIDAYS)))</f>
        <v>0</v>
      </c>
      <c r="W189" s="289" t="n">
        <f aca="false">IF($L189=0,0,$L189*MAX(0,NETWORKDAYS(MAX($H189,ASOF,W$72),MIN(MAX($I189,ASOF),W$72+6),HOLIDAYS)))</f>
        <v>0</v>
      </c>
      <c r="X189" s="289" t="n">
        <f aca="false">IF($L189=0,0,$L189*MAX(0,NETWORKDAYS(MAX($H189,ASOF,X$72),MIN(MAX($I189,ASOF),X$72+6),HOLIDAYS)))</f>
        <v>0</v>
      </c>
      <c r="Y189" s="289" t="n">
        <f aca="false">IF($L189=0,0,$L189*MAX(0,NETWORKDAYS(MAX($H189,ASOF,Y$72),MIN(MAX($I189,ASOF),Y$72+6),HOLIDAYS)))</f>
        <v>0</v>
      </c>
      <c r="Z189" s="289" t="n">
        <f aca="false">IF($L189=0,0,$L189*MAX(0,NETWORKDAYS(MAX($H189,ASOF,Z$72),MIN(MAX($I189,ASOF),Z$72+6),HOLIDAYS)))</f>
        <v>0</v>
      </c>
      <c r="AA189" s="289" t="n">
        <f aca="false">IF($L189=0,0,$L189*MAX(0,NETWORKDAYS(MAX($H189,ASOF,AA$72),MIN(MAX($I189,ASOF),AA$72+6),HOLIDAYS)))</f>
        <v>0</v>
      </c>
      <c r="AB189" s="289" t="n">
        <f aca="false">IF($L189=0,0,$L189*MAX(0,NETWORKDAYS(MAX($H189,ASOF,AB$72),MIN(MAX($I189,ASOF),AB$72+6),HOLIDAYS)))</f>
        <v>0</v>
      </c>
      <c r="AC189" s="289" t="n">
        <f aca="false">IF($L189=0,0,$L189*MAX(0,NETWORKDAYS(MAX($H189,ASOF,AC$72),MIN(MAX($I189,ASOF),AC$72+6),HOLIDAYS)))</f>
        <v>0</v>
      </c>
      <c r="AD189" s="289" t="n">
        <f aca="false">IF($L189=0,0,$L189*MAX(0,NETWORKDAYS(MAX($H189,ASOF,AD$72),MIN(MAX($I189,ASOF),AD$72+6),HOLIDAYS)))</f>
        <v>0</v>
      </c>
      <c r="AE189" s="289" t="n">
        <f aca="false">IF($L189=0,0,$L189*MAX(0,NETWORKDAYS(MAX($H189,ASOF,AE$72),MIN(MAX($I189,ASOF),AE$72+6),HOLIDAYS)))</f>
        <v>0</v>
      </c>
      <c r="AF189" s="289" t="n">
        <f aca="false">IF($L189=0,0,$L189*MAX(0,NETWORKDAYS(MAX($H189,ASOF,AF$72),MIN(MAX($I189,ASOF),AF$72+6),HOLIDAYS)))</f>
        <v>0</v>
      </c>
      <c r="AG189" s="289" t="n">
        <f aca="false">IF($L189=0,0,$L189*MAX(0,NETWORKDAYS(MAX($H189,ASOF,AG$72),MIN(MAX($I189,ASOF),AG$72+6),HOLIDAYS)))</f>
        <v>0</v>
      </c>
      <c r="AH189" s="289" t="n">
        <f aca="false">IF($L189=0,0,$L189*MAX(0,NETWORKDAYS(MAX($H189,ASOF,AH$72),MIN(MAX($I189,ASOF),AH$72+6),HOLIDAYS)))</f>
        <v>0</v>
      </c>
      <c r="AI189" s="289" t="n">
        <f aca="false">IF($L189=0,0,$L189*MAX(0,NETWORKDAYS(MAX($H189,ASOF,AI$72),MIN(MAX($I189,ASOF),AI$72+6),HOLIDAYS)))</f>
        <v>0</v>
      </c>
      <c r="AJ189" s="289" t="n">
        <f aca="false">IF($L189=0,0,$L189*MAX(0,NETWORKDAYS(MAX($H189,ASOF,AJ$72),MIN(MAX($I189,ASOF),AJ$72+6),HOLIDAYS)))</f>
        <v>0</v>
      </c>
      <c r="AK189" s="289" t="n">
        <f aca="false">IF($L189=0,0,$L189*MAX(0,NETWORKDAYS(MAX($H189,ASOF,AK$72),MIN(MAX($I189,ASOF),AK$72+6),HOLIDAYS)))</f>
        <v>0</v>
      </c>
      <c r="AL189" s="289" t="n">
        <f aca="false">IF($L189=0,0,$L189*MAX(0,NETWORKDAYS(MAX($H189,ASOF,AL$72),MIN(MAX($I189,ASOF),AL$72+6),HOLIDAYS)))</f>
        <v>0</v>
      </c>
      <c r="AM189" s="289" t="n">
        <f aca="false">IF($L189=0,0,$L189*MAX(0,NETWORKDAYS(MAX($H189,ASOF,AM$72),MIN(MAX($I189,ASOF),AM$72+6),HOLIDAYS)))</f>
        <v>0</v>
      </c>
      <c r="AN189" s="289" t="n">
        <f aca="false">IF($L189=0,0,$L189*MAX(0,NETWORKDAYS(MAX($H189,ASOF,AN$72),MIN(MAX($I189,ASOF),AN$72+6),HOLIDAYS)))</f>
        <v>0</v>
      </c>
      <c r="AO189" s="289" t="n">
        <f aca="false">IF($L189=0,0,$L189*MAX(0,NETWORKDAYS(MAX($H189,ASOF,AO$72),MIN(MAX($I189,ASOF),AO$72+6),HOLIDAYS)))</f>
        <v>0</v>
      </c>
      <c r="AP189" s="289" t="n">
        <f aca="false">IF($L189=0,0,$L189*MAX(0,NETWORKDAYS(MAX($H189,ASOF,AP$72),MIN(MAX($I189,ASOF),AP$72+6),HOLIDAYS)))</f>
        <v>0</v>
      </c>
      <c r="AQ189" s="289" t="n">
        <f aca="false">IF($L189=0,0,$L189*MAX(0,NETWORKDAYS(MAX($H189,ASOF,AQ$72),MIN(MAX($I189,ASOF),AQ$72+6),HOLIDAYS)))</f>
        <v>0</v>
      </c>
      <c r="AR189" s="289" t="n">
        <f aca="false">IF($L189=0,0,$L189*MAX(0,NETWORKDAYS(MAX($H189,ASOF,AR$72),MIN(MAX($I189,ASOF),AR$72+6),HOLIDAYS)))</f>
        <v>0</v>
      </c>
    </row>
    <row r="190" customFormat="false" ht="15" hidden="false" customHeight="false" outlineLevel="1" collapsed="false">
      <c r="A190" s="282" t="s">
        <v>78</v>
      </c>
      <c r="B190" s="283" t="s">
        <v>80</v>
      </c>
      <c r="C190" s="282" t="s">
        <v>1198</v>
      </c>
      <c r="D190" s="284" t="s">
        <v>2284</v>
      </c>
      <c r="E190" s="285" t="n">
        <v>1</v>
      </c>
      <c r="F190" s="290" t="s">
        <v>35</v>
      </c>
      <c r="G190" s="285" t="n">
        <f aca="false">$F$15*$H$15</f>
        <v>2</v>
      </c>
      <c r="H190" s="286" t="n">
        <f aca="false">IF(ISNUMBER('P9-010'!$N$107),'P9-010'!$N$107,"")</f>
        <v>46347</v>
      </c>
      <c r="I190" s="286" t="n">
        <f aca="false">IF(ISNUMBER('P9-010'!$O$107),'P9-010'!$O$107,"")</f>
        <v>46348</v>
      </c>
      <c r="J190" s="287" t="n">
        <f aca="false">IF(OR(H190="",I190="",N190&gt;=1),0,MAX(1,NETWORKDAYS(MAX(H190,ASOF),MAX(I190,ASOF),HOLIDAYS)))</f>
        <v>1</v>
      </c>
      <c r="K190" s="287" t="n">
        <f aca="false">IF(L190=0,0,ROUNDUP(L190/$F$15,0))</f>
        <v>1</v>
      </c>
      <c r="L190" s="285" t="n">
        <f aca="false">IF(J190=0,0,G190*(1-N190)/J190)</f>
        <v>2</v>
      </c>
      <c r="M190" s="283" t="s">
        <v>1192</v>
      </c>
      <c r="N190" s="288" t="n">
        <f aca="false">IFERROR(MIN(1,'P9-010'!$V$107)+0,0)</f>
        <v>0</v>
      </c>
      <c r="O190" s="289" t="n">
        <f aca="false">IF($L190=0,0,$L190*MAX(0,NETWORKDAYS(MAX($H190,ASOF,O$72),MIN(MAX($I190,ASOF),O$72+6),HOLIDAYS)))</f>
        <v>0</v>
      </c>
      <c r="P190" s="289" t="n">
        <f aca="false">IF($L190=0,0,$L190*MAX(0,NETWORKDAYS(MAX($H190,ASOF,P$72),MIN(MAX($I190,ASOF),P$72+6),HOLIDAYS)))</f>
        <v>0</v>
      </c>
      <c r="Q190" s="289" t="n">
        <f aca="false">IF($L190=0,0,$L190*MAX(0,NETWORKDAYS(MAX($H190,ASOF,Q$72),MIN(MAX($I190,ASOF),Q$72+6),HOLIDAYS)))</f>
        <v>0</v>
      </c>
      <c r="R190" s="289" t="n">
        <f aca="false">IF($L190=0,0,$L190*MAX(0,NETWORKDAYS(MAX($H190,ASOF,R$72),MIN(MAX($I190,ASOF),R$72+6),HOLIDAYS)))</f>
        <v>0</v>
      </c>
      <c r="S190" s="289" t="n">
        <f aca="false">IF($L190=0,0,$L190*MAX(0,NETWORKDAYS(MAX($H190,ASOF,S$72),MIN(MAX($I190,ASOF),S$72+6),HOLIDAYS)))</f>
        <v>0</v>
      </c>
      <c r="T190" s="289" t="n">
        <f aca="false">IF($L190=0,0,$L190*MAX(0,NETWORKDAYS(MAX($H190,ASOF,T$72),MIN(MAX($I190,ASOF),T$72+6),HOLIDAYS)))</f>
        <v>0</v>
      </c>
      <c r="U190" s="289" t="n">
        <f aca="false">IF($L190=0,0,$L190*MAX(0,NETWORKDAYS(MAX($H190,ASOF,U$72),MIN(MAX($I190,ASOF),U$72+6),HOLIDAYS)))</f>
        <v>0</v>
      </c>
      <c r="V190" s="289" t="n">
        <f aca="false">IF($L190=0,0,$L190*MAX(0,NETWORKDAYS(MAX($H190,ASOF,V$72),MIN(MAX($I190,ASOF),V$72+6),HOLIDAYS)))</f>
        <v>0</v>
      </c>
      <c r="W190" s="289" t="n">
        <f aca="false">IF($L190=0,0,$L190*MAX(0,NETWORKDAYS(MAX($H190,ASOF,W$72),MIN(MAX($I190,ASOF),W$72+6),HOLIDAYS)))</f>
        <v>0</v>
      </c>
      <c r="X190" s="289" t="n">
        <f aca="false">IF($L190=0,0,$L190*MAX(0,NETWORKDAYS(MAX($H190,ASOF,X$72),MIN(MAX($I190,ASOF),X$72+6),HOLIDAYS)))</f>
        <v>0</v>
      </c>
      <c r="Y190" s="289" t="n">
        <f aca="false">IF($L190=0,0,$L190*MAX(0,NETWORKDAYS(MAX($H190,ASOF,Y$72),MIN(MAX($I190,ASOF),Y$72+6),HOLIDAYS)))</f>
        <v>0</v>
      </c>
      <c r="Z190" s="289" t="n">
        <f aca="false">IF($L190=0,0,$L190*MAX(0,NETWORKDAYS(MAX($H190,ASOF,Z$72),MIN(MAX($I190,ASOF),Z$72+6),HOLIDAYS)))</f>
        <v>0</v>
      </c>
      <c r="AA190" s="289" t="n">
        <f aca="false">IF($L190=0,0,$L190*MAX(0,NETWORKDAYS(MAX($H190,ASOF,AA$72),MIN(MAX($I190,ASOF),AA$72+6),HOLIDAYS)))</f>
        <v>0</v>
      </c>
      <c r="AB190" s="289" t="n">
        <f aca="false">IF($L190=0,0,$L190*MAX(0,NETWORKDAYS(MAX($H190,ASOF,AB$72),MIN(MAX($I190,ASOF),AB$72+6),HOLIDAYS)))</f>
        <v>0</v>
      </c>
      <c r="AC190" s="289" t="n">
        <f aca="false">IF($L190=0,0,$L190*MAX(0,NETWORKDAYS(MAX($H190,ASOF,AC$72),MIN(MAX($I190,ASOF),AC$72+6),HOLIDAYS)))</f>
        <v>0</v>
      </c>
      <c r="AD190" s="289" t="n">
        <f aca="false">IF($L190=0,0,$L190*MAX(0,NETWORKDAYS(MAX($H190,ASOF,AD$72),MIN(MAX($I190,ASOF),AD$72+6),HOLIDAYS)))</f>
        <v>0</v>
      </c>
      <c r="AE190" s="289" t="n">
        <f aca="false">IF($L190=0,0,$L190*MAX(0,NETWORKDAYS(MAX($H190,ASOF,AE$72),MIN(MAX($I190,ASOF),AE$72+6),HOLIDAYS)))</f>
        <v>0</v>
      </c>
      <c r="AF190" s="289" t="n">
        <f aca="false">IF($L190=0,0,$L190*MAX(0,NETWORKDAYS(MAX($H190,ASOF,AF$72),MIN(MAX($I190,ASOF),AF$72+6),HOLIDAYS)))</f>
        <v>0</v>
      </c>
      <c r="AG190" s="289" t="n">
        <f aca="false">IF($L190=0,0,$L190*MAX(0,NETWORKDAYS(MAX($H190,ASOF,AG$72),MIN(MAX($I190,ASOF),AG$72+6),HOLIDAYS)))</f>
        <v>0</v>
      </c>
      <c r="AH190" s="289" t="n">
        <f aca="false">IF($L190=0,0,$L190*MAX(0,NETWORKDAYS(MAX($H190,ASOF,AH$72),MIN(MAX($I190,ASOF),AH$72+6),HOLIDAYS)))</f>
        <v>0</v>
      </c>
      <c r="AI190" s="289" t="n">
        <f aca="false">IF($L190=0,0,$L190*MAX(0,NETWORKDAYS(MAX($H190,ASOF,AI$72),MIN(MAX($I190,ASOF),AI$72+6),HOLIDAYS)))</f>
        <v>0</v>
      </c>
      <c r="AJ190" s="289" t="n">
        <f aca="false">IF($L190=0,0,$L190*MAX(0,NETWORKDAYS(MAX($H190,ASOF,AJ$72),MIN(MAX($I190,ASOF),AJ$72+6),HOLIDAYS)))</f>
        <v>0</v>
      </c>
      <c r="AK190" s="289" t="n">
        <f aca="false">IF($L190=0,0,$L190*MAX(0,NETWORKDAYS(MAX($H190,ASOF,AK$72),MIN(MAX($I190,ASOF),AK$72+6),HOLIDAYS)))</f>
        <v>0</v>
      </c>
      <c r="AL190" s="289" t="n">
        <f aca="false">IF($L190=0,0,$L190*MAX(0,NETWORKDAYS(MAX($H190,ASOF,AL$72),MIN(MAX($I190,ASOF),AL$72+6),HOLIDAYS)))</f>
        <v>0</v>
      </c>
      <c r="AM190" s="289" t="n">
        <f aca="false">IF($L190=0,0,$L190*MAX(0,NETWORKDAYS(MAX($H190,ASOF,AM$72),MIN(MAX($I190,ASOF),AM$72+6),HOLIDAYS)))</f>
        <v>0</v>
      </c>
      <c r="AN190" s="289" t="n">
        <f aca="false">IF($L190=0,0,$L190*MAX(0,NETWORKDAYS(MAX($H190,ASOF,AN$72),MIN(MAX($I190,ASOF),AN$72+6),HOLIDAYS)))</f>
        <v>0</v>
      </c>
      <c r="AO190" s="289" t="n">
        <f aca="false">IF($L190=0,0,$L190*MAX(0,NETWORKDAYS(MAX($H190,ASOF,AO$72),MIN(MAX($I190,ASOF),AO$72+6),HOLIDAYS)))</f>
        <v>0</v>
      </c>
      <c r="AP190" s="289" t="n">
        <f aca="false">IF($L190=0,0,$L190*MAX(0,NETWORKDAYS(MAX($H190,ASOF,AP$72),MIN(MAX($I190,ASOF),AP$72+6),HOLIDAYS)))</f>
        <v>0</v>
      </c>
      <c r="AQ190" s="289" t="n">
        <f aca="false">IF($L190=0,0,$L190*MAX(0,NETWORKDAYS(MAX($H190,ASOF,AQ$72),MIN(MAX($I190,ASOF),AQ$72+6),HOLIDAYS)))</f>
        <v>0</v>
      </c>
      <c r="AR190" s="289" t="n">
        <f aca="false">IF($L190=0,0,$L190*MAX(0,NETWORKDAYS(MAX($H190,ASOF,AR$72),MIN(MAX($I190,ASOF),AR$72+6),HOLIDAYS)))</f>
        <v>0</v>
      </c>
    </row>
    <row r="191" customFormat="false" ht="15" hidden="false" customHeight="false" outlineLevel="1" collapsed="false">
      <c r="A191" s="282" t="s">
        <v>78</v>
      </c>
      <c r="B191" s="283" t="s">
        <v>80</v>
      </c>
      <c r="C191" s="284" t="s">
        <v>2369</v>
      </c>
      <c r="D191" s="284" t="s">
        <v>2308</v>
      </c>
      <c r="E191" s="285" t="n">
        <v>280.44</v>
      </c>
      <c r="F191" s="283" t="s">
        <v>527</v>
      </c>
      <c r="G191" s="285" t="n">
        <f aca="false">$F$16*(E191/$G$16+$H$16)</f>
        <v>14.4132</v>
      </c>
      <c r="H191" s="286" t="n">
        <f aca="false">IF(ISNUMBER('P9-010'!$N$115),'P9-010'!$N$115,"")</f>
        <v>46359</v>
      </c>
      <c r="I191" s="286" t="n">
        <f aca="false">IF(ISNUMBER('P9-010'!$O$115),'P9-010'!$O$115,"")</f>
        <v>46359</v>
      </c>
      <c r="J191" s="287" t="n">
        <f aca="false">IF(OR(H191="",I191="",N191&gt;=1),0,MAX(1,NETWORKDAYS(MAX(H191,ASOF),MAX(I191,ASOF),HOLIDAYS)))</f>
        <v>1</v>
      </c>
      <c r="K191" s="287" t="n">
        <f aca="false">IF(L191=0,0,ROUNDUP(L191/$F$16,0))</f>
        <v>5</v>
      </c>
      <c r="L191" s="285" t="n">
        <f aca="false">IF(J191=0,0,G191*(1-N191)/J191)</f>
        <v>14.4132</v>
      </c>
      <c r="M191" s="283" t="s">
        <v>1205</v>
      </c>
      <c r="N191" s="288" t="n">
        <f aca="false">IFERROR(MIN(1,'P9-010'!$V$115)+0,0)</f>
        <v>0</v>
      </c>
      <c r="O191" s="289" t="n">
        <f aca="false">IF($L191=0,0,$L191*MAX(0,NETWORKDAYS(MAX($H191,ASOF,O$72),MIN(MAX($I191,ASOF),O$72+6),HOLIDAYS)))</f>
        <v>0</v>
      </c>
      <c r="P191" s="289" t="n">
        <f aca="false">IF($L191=0,0,$L191*MAX(0,NETWORKDAYS(MAX($H191,ASOF,P$72),MIN(MAX($I191,ASOF),P$72+6),HOLIDAYS)))</f>
        <v>0</v>
      </c>
      <c r="Q191" s="289" t="n">
        <f aca="false">IF($L191=0,0,$L191*MAX(0,NETWORKDAYS(MAX($H191,ASOF,Q$72),MIN(MAX($I191,ASOF),Q$72+6),HOLIDAYS)))</f>
        <v>0</v>
      </c>
      <c r="R191" s="289" t="n">
        <f aca="false">IF($L191=0,0,$L191*MAX(0,NETWORKDAYS(MAX($H191,ASOF,R$72),MIN(MAX($I191,ASOF),R$72+6),HOLIDAYS)))</f>
        <v>0</v>
      </c>
      <c r="S191" s="289" t="n">
        <f aca="false">IF($L191=0,0,$L191*MAX(0,NETWORKDAYS(MAX($H191,ASOF,S$72),MIN(MAX($I191,ASOF),S$72+6),HOLIDAYS)))</f>
        <v>14.4132</v>
      </c>
      <c r="T191" s="289" t="n">
        <f aca="false">IF($L191=0,0,$L191*MAX(0,NETWORKDAYS(MAX($H191,ASOF,T$72),MIN(MAX($I191,ASOF),T$72+6),HOLIDAYS)))</f>
        <v>0</v>
      </c>
      <c r="U191" s="289" t="n">
        <f aca="false">IF($L191=0,0,$L191*MAX(0,NETWORKDAYS(MAX($H191,ASOF,U$72),MIN(MAX($I191,ASOF),U$72+6),HOLIDAYS)))</f>
        <v>0</v>
      </c>
      <c r="V191" s="289" t="n">
        <f aca="false">IF($L191=0,0,$L191*MAX(0,NETWORKDAYS(MAX($H191,ASOF,V$72),MIN(MAX($I191,ASOF),V$72+6),HOLIDAYS)))</f>
        <v>0</v>
      </c>
      <c r="W191" s="289" t="n">
        <f aca="false">IF($L191=0,0,$L191*MAX(0,NETWORKDAYS(MAX($H191,ASOF,W$72),MIN(MAX($I191,ASOF),W$72+6),HOLIDAYS)))</f>
        <v>0</v>
      </c>
      <c r="X191" s="289" t="n">
        <f aca="false">IF($L191=0,0,$L191*MAX(0,NETWORKDAYS(MAX($H191,ASOF,X$72),MIN(MAX($I191,ASOF),X$72+6),HOLIDAYS)))</f>
        <v>0</v>
      </c>
      <c r="Y191" s="289" t="n">
        <f aca="false">IF($L191=0,0,$L191*MAX(0,NETWORKDAYS(MAX($H191,ASOF,Y$72),MIN(MAX($I191,ASOF),Y$72+6),HOLIDAYS)))</f>
        <v>0</v>
      </c>
      <c r="Z191" s="289" t="n">
        <f aca="false">IF($L191=0,0,$L191*MAX(0,NETWORKDAYS(MAX($H191,ASOF,Z$72),MIN(MAX($I191,ASOF),Z$72+6),HOLIDAYS)))</f>
        <v>0</v>
      </c>
      <c r="AA191" s="289" t="n">
        <f aca="false">IF($L191=0,0,$L191*MAX(0,NETWORKDAYS(MAX($H191,ASOF,AA$72),MIN(MAX($I191,ASOF),AA$72+6),HOLIDAYS)))</f>
        <v>0</v>
      </c>
      <c r="AB191" s="289" t="n">
        <f aca="false">IF($L191=0,0,$L191*MAX(0,NETWORKDAYS(MAX($H191,ASOF,AB$72),MIN(MAX($I191,ASOF),AB$72+6),HOLIDAYS)))</f>
        <v>0</v>
      </c>
      <c r="AC191" s="289" t="n">
        <f aca="false">IF($L191=0,0,$L191*MAX(0,NETWORKDAYS(MAX($H191,ASOF,AC$72),MIN(MAX($I191,ASOF),AC$72+6),HOLIDAYS)))</f>
        <v>0</v>
      </c>
      <c r="AD191" s="289" t="n">
        <f aca="false">IF($L191=0,0,$L191*MAX(0,NETWORKDAYS(MAX($H191,ASOF,AD$72),MIN(MAX($I191,ASOF),AD$72+6),HOLIDAYS)))</f>
        <v>0</v>
      </c>
      <c r="AE191" s="289" t="n">
        <f aca="false">IF($L191=0,0,$L191*MAX(0,NETWORKDAYS(MAX($H191,ASOF,AE$72),MIN(MAX($I191,ASOF),AE$72+6),HOLIDAYS)))</f>
        <v>0</v>
      </c>
      <c r="AF191" s="289" t="n">
        <f aca="false">IF($L191=0,0,$L191*MAX(0,NETWORKDAYS(MAX($H191,ASOF,AF$72),MIN(MAX($I191,ASOF),AF$72+6),HOLIDAYS)))</f>
        <v>0</v>
      </c>
      <c r="AG191" s="289" t="n">
        <f aca="false">IF($L191=0,0,$L191*MAX(0,NETWORKDAYS(MAX($H191,ASOF,AG$72),MIN(MAX($I191,ASOF),AG$72+6),HOLIDAYS)))</f>
        <v>0</v>
      </c>
      <c r="AH191" s="289" t="n">
        <f aca="false">IF($L191=0,0,$L191*MAX(0,NETWORKDAYS(MAX($H191,ASOF,AH$72),MIN(MAX($I191,ASOF),AH$72+6),HOLIDAYS)))</f>
        <v>0</v>
      </c>
      <c r="AI191" s="289" t="n">
        <f aca="false">IF($L191=0,0,$L191*MAX(0,NETWORKDAYS(MAX($H191,ASOF,AI$72),MIN(MAX($I191,ASOF),AI$72+6),HOLIDAYS)))</f>
        <v>0</v>
      </c>
      <c r="AJ191" s="289" t="n">
        <f aca="false">IF($L191=0,0,$L191*MAX(0,NETWORKDAYS(MAX($H191,ASOF,AJ$72),MIN(MAX($I191,ASOF),AJ$72+6),HOLIDAYS)))</f>
        <v>0</v>
      </c>
      <c r="AK191" s="289" t="n">
        <f aca="false">IF($L191=0,0,$L191*MAX(0,NETWORKDAYS(MAX($H191,ASOF,AK$72),MIN(MAX($I191,ASOF),AK$72+6),HOLIDAYS)))</f>
        <v>0</v>
      </c>
      <c r="AL191" s="289" t="n">
        <f aca="false">IF($L191=0,0,$L191*MAX(0,NETWORKDAYS(MAX($H191,ASOF,AL$72),MIN(MAX($I191,ASOF),AL$72+6),HOLIDAYS)))</f>
        <v>0</v>
      </c>
      <c r="AM191" s="289" t="n">
        <f aca="false">IF($L191=0,0,$L191*MAX(0,NETWORKDAYS(MAX($H191,ASOF,AM$72),MIN(MAX($I191,ASOF),AM$72+6),HOLIDAYS)))</f>
        <v>0</v>
      </c>
      <c r="AN191" s="289" t="n">
        <f aca="false">IF($L191=0,0,$L191*MAX(0,NETWORKDAYS(MAX($H191,ASOF,AN$72),MIN(MAX($I191,ASOF),AN$72+6),HOLIDAYS)))</f>
        <v>0</v>
      </c>
      <c r="AO191" s="289" t="n">
        <f aca="false">IF($L191=0,0,$L191*MAX(0,NETWORKDAYS(MAX($H191,ASOF,AO$72),MIN(MAX($I191,ASOF),AO$72+6),HOLIDAYS)))</f>
        <v>0</v>
      </c>
      <c r="AP191" s="289" t="n">
        <f aca="false">IF($L191=0,0,$L191*MAX(0,NETWORKDAYS(MAX($H191,ASOF,AP$72),MIN(MAX($I191,ASOF),AP$72+6),HOLIDAYS)))</f>
        <v>0</v>
      </c>
      <c r="AQ191" s="289" t="n">
        <f aca="false">IF($L191=0,0,$L191*MAX(0,NETWORKDAYS(MAX($H191,ASOF,AQ$72),MIN(MAX($I191,ASOF),AQ$72+6),HOLIDAYS)))</f>
        <v>0</v>
      </c>
      <c r="AR191" s="289" t="n">
        <f aca="false">IF($L191=0,0,$L191*MAX(0,NETWORKDAYS(MAX($H191,ASOF,AR$72),MIN(MAX($I191,ASOF),AR$72+6),HOLIDAYS)))</f>
        <v>0</v>
      </c>
    </row>
    <row r="192" customFormat="false" ht="15" hidden="false" customHeight="false" outlineLevel="1" collapsed="false">
      <c r="A192" s="282" t="s">
        <v>78</v>
      </c>
      <c r="B192" s="283" t="s">
        <v>80</v>
      </c>
      <c r="C192" s="284" t="s">
        <v>2370</v>
      </c>
      <c r="D192" s="284" t="s">
        <v>2313</v>
      </c>
      <c r="E192" s="285" t="n">
        <v>1</v>
      </c>
      <c r="F192" s="290" t="s">
        <v>35</v>
      </c>
      <c r="G192" s="285" t="n">
        <f aca="false">SUM(O192:AR192)</f>
        <v>20</v>
      </c>
      <c r="H192" s="286" t="n">
        <f aca="false">IF(ISNUMBER('P9-010'!$N$62),'P9-010'!$N$62,"")</f>
        <v>46328</v>
      </c>
      <c r="I192" s="286" t="n">
        <f aca="false">IF(ISNUMBER('P9-010'!$O$115),'P9-010'!$O$115,"")</f>
        <v>46359</v>
      </c>
      <c r="J192" s="287"/>
      <c r="K192" s="287" t="n">
        <f aca="false">IF(G192&gt;0,$F$17,0)</f>
        <v>1</v>
      </c>
      <c r="L192" s="285" t="n">
        <v>0</v>
      </c>
      <c r="M192" s="290" t="s">
        <v>2310</v>
      </c>
      <c r="N192" s="288" t="str">
        <f aca="false">""</f>
        <v/>
      </c>
      <c r="O192" s="289" t="n">
        <f aca="false">IF(SUMIFS(O$73:O$312,$A$73:$A$312,"P9-010",$M$73:$M$312,"&lt;&gt;คุม")&gt;0,$F$17*NETWORKDAYS(O$72,O$72+6,HOLIDAYS),0)</f>
        <v>5</v>
      </c>
      <c r="P192" s="289" t="n">
        <f aca="false">IF(SUMIFS(P$73:P$312,$A$73:$A$312,"P9-010",$M$73:$M$312,"&lt;&gt;คุม")&gt;0,$F$17*NETWORKDAYS(P$72,P$72+6,HOLIDAYS),0)</f>
        <v>5</v>
      </c>
      <c r="Q192" s="289" t="n">
        <f aca="false">IF(SUMIFS(Q$73:Q$312,$A$73:$A$312,"P9-010",$M$73:$M$312,"&lt;&gt;คุม")&gt;0,$F$17*NETWORKDAYS(Q$72,Q$72+6,HOLIDAYS),0)</f>
        <v>5</v>
      </c>
      <c r="R192" s="289" t="n">
        <f aca="false">IF(SUMIFS(R$73:R$312,$A$73:$A$312,"P9-010",$M$73:$M$312,"&lt;&gt;คุม")&gt;0,$F$17*NETWORKDAYS(R$72,R$72+6,HOLIDAYS),0)</f>
        <v>0</v>
      </c>
      <c r="S192" s="289" t="n">
        <f aca="false">IF(SUMIFS(S$73:S$312,$A$73:$A$312,"P9-010",$M$73:$M$312,"&lt;&gt;คุม")&gt;0,$F$17*NETWORKDAYS(S$72,S$72+6,HOLIDAYS),0)</f>
        <v>5</v>
      </c>
      <c r="T192" s="289" t="n">
        <f aca="false">IF(SUMIFS(T$73:T$312,$A$73:$A$312,"P9-010",$M$73:$M$312,"&lt;&gt;คุม")&gt;0,$F$17*NETWORKDAYS(T$72,T$72+6,HOLIDAYS),0)</f>
        <v>0</v>
      </c>
      <c r="U192" s="289" t="n">
        <f aca="false">IF(SUMIFS(U$73:U$312,$A$73:$A$312,"P9-010",$M$73:$M$312,"&lt;&gt;คุม")&gt;0,$F$17*NETWORKDAYS(U$72,U$72+6,HOLIDAYS),0)</f>
        <v>0</v>
      </c>
      <c r="V192" s="289" t="n">
        <f aca="false">IF(SUMIFS(V$73:V$312,$A$73:$A$312,"P9-010",$M$73:$M$312,"&lt;&gt;คุม")&gt;0,$F$17*NETWORKDAYS(V$72,V$72+6,HOLIDAYS),0)</f>
        <v>0</v>
      </c>
      <c r="W192" s="289" t="n">
        <f aca="false">IF(SUMIFS(W$73:W$312,$A$73:$A$312,"P9-010",$M$73:$M$312,"&lt;&gt;คุม")&gt;0,$F$17*NETWORKDAYS(W$72,W$72+6,HOLIDAYS),0)</f>
        <v>0</v>
      </c>
      <c r="X192" s="289" t="n">
        <f aca="false">IF(SUMIFS(X$73:X$312,$A$73:$A$312,"P9-010",$M$73:$M$312,"&lt;&gt;คุม")&gt;0,$F$17*NETWORKDAYS(X$72,X$72+6,HOLIDAYS),0)</f>
        <v>0</v>
      </c>
      <c r="Y192" s="289" t="n">
        <f aca="false">IF(SUMIFS(Y$73:Y$312,$A$73:$A$312,"P9-010",$M$73:$M$312,"&lt;&gt;คุม")&gt;0,$F$17*NETWORKDAYS(Y$72,Y$72+6,HOLIDAYS),0)</f>
        <v>0</v>
      </c>
      <c r="Z192" s="289" t="n">
        <f aca="false">IF(SUMIFS(Z$73:Z$312,$A$73:$A$312,"P9-010",$M$73:$M$312,"&lt;&gt;คุม")&gt;0,$F$17*NETWORKDAYS(Z$72,Z$72+6,HOLIDAYS),0)</f>
        <v>0</v>
      </c>
      <c r="AA192" s="289" t="n">
        <f aca="false">IF(SUMIFS(AA$73:AA$312,$A$73:$A$312,"P9-010",$M$73:$M$312,"&lt;&gt;คุม")&gt;0,$F$17*NETWORKDAYS(AA$72,AA$72+6,HOLIDAYS),0)</f>
        <v>0</v>
      </c>
      <c r="AB192" s="289" t="n">
        <f aca="false">IF(SUMIFS(AB$73:AB$312,$A$73:$A$312,"P9-010",$M$73:$M$312,"&lt;&gt;คุม")&gt;0,$F$17*NETWORKDAYS(AB$72,AB$72+6,HOLIDAYS),0)</f>
        <v>0</v>
      </c>
      <c r="AC192" s="289" t="n">
        <f aca="false">IF(SUMIFS(AC$73:AC$312,$A$73:$A$312,"P9-010",$M$73:$M$312,"&lt;&gt;คุม")&gt;0,$F$17*NETWORKDAYS(AC$72,AC$72+6,HOLIDAYS),0)</f>
        <v>0</v>
      </c>
      <c r="AD192" s="289" t="n">
        <f aca="false">IF(SUMIFS(AD$73:AD$312,$A$73:$A$312,"P9-010",$M$73:$M$312,"&lt;&gt;คุม")&gt;0,$F$17*NETWORKDAYS(AD$72,AD$72+6,HOLIDAYS),0)</f>
        <v>0</v>
      </c>
      <c r="AE192" s="289" t="n">
        <f aca="false">IF(SUMIFS(AE$73:AE$312,$A$73:$A$312,"P9-010",$M$73:$M$312,"&lt;&gt;คุม")&gt;0,$F$17*NETWORKDAYS(AE$72,AE$72+6,HOLIDAYS),0)</f>
        <v>0</v>
      </c>
      <c r="AF192" s="289" t="n">
        <f aca="false">IF(SUMIFS(AF$73:AF$312,$A$73:$A$312,"P9-010",$M$73:$M$312,"&lt;&gt;คุม")&gt;0,$F$17*NETWORKDAYS(AF$72,AF$72+6,HOLIDAYS),0)</f>
        <v>0</v>
      </c>
      <c r="AG192" s="289" t="n">
        <f aca="false">IF(SUMIFS(AG$73:AG$312,$A$73:$A$312,"P9-010",$M$73:$M$312,"&lt;&gt;คุม")&gt;0,$F$17*NETWORKDAYS(AG$72,AG$72+6,HOLIDAYS),0)</f>
        <v>0</v>
      </c>
      <c r="AH192" s="289" t="n">
        <f aca="false">IF(SUMIFS(AH$73:AH$312,$A$73:$A$312,"P9-010",$M$73:$M$312,"&lt;&gt;คุม")&gt;0,$F$17*NETWORKDAYS(AH$72,AH$72+6,HOLIDAYS),0)</f>
        <v>0</v>
      </c>
      <c r="AI192" s="289" t="n">
        <f aca="false">IF(SUMIFS(AI$73:AI$312,$A$73:$A$312,"P9-010",$M$73:$M$312,"&lt;&gt;คุม")&gt;0,$F$17*NETWORKDAYS(AI$72,AI$72+6,HOLIDAYS),0)</f>
        <v>0</v>
      </c>
      <c r="AJ192" s="289" t="n">
        <f aca="false">IF(SUMIFS(AJ$73:AJ$312,$A$73:$A$312,"P9-010",$M$73:$M$312,"&lt;&gt;คุม")&gt;0,$F$17*NETWORKDAYS(AJ$72,AJ$72+6,HOLIDAYS),0)</f>
        <v>0</v>
      </c>
      <c r="AK192" s="289" t="n">
        <f aca="false">IF(SUMIFS(AK$73:AK$312,$A$73:$A$312,"P9-010",$M$73:$M$312,"&lt;&gt;คุม")&gt;0,$F$17*NETWORKDAYS(AK$72,AK$72+6,HOLIDAYS),0)</f>
        <v>0</v>
      </c>
      <c r="AL192" s="289" t="n">
        <f aca="false">IF(SUMIFS(AL$73:AL$312,$A$73:$A$312,"P9-010",$M$73:$M$312,"&lt;&gt;คุม")&gt;0,$F$17*NETWORKDAYS(AL$72,AL$72+6,HOLIDAYS),0)</f>
        <v>0</v>
      </c>
      <c r="AM192" s="289" t="n">
        <f aca="false">IF(SUMIFS(AM$73:AM$312,$A$73:$A$312,"P9-010",$M$73:$M$312,"&lt;&gt;คุม")&gt;0,$F$17*NETWORKDAYS(AM$72,AM$72+6,HOLIDAYS),0)</f>
        <v>0</v>
      </c>
      <c r="AN192" s="289" t="n">
        <f aca="false">IF(SUMIFS(AN$73:AN$312,$A$73:$A$312,"P9-010",$M$73:$M$312,"&lt;&gt;คุม")&gt;0,$F$17*NETWORKDAYS(AN$72,AN$72+6,HOLIDAYS),0)</f>
        <v>0</v>
      </c>
      <c r="AO192" s="289" t="n">
        <f aca="false">IF(SUMIFS(AO$73:AO$312,$A$73:$A$312,"P9-010",$M$73:$M$312,"&lt;&gt;คุม")&gt;0,$F$17*NETWORKDAYS(AO$72,AO$72+6,HOLIDAYS),0)</f>
        <v>0</v>
      </c>
      <c r="AP192" s="289" t="n">
        <f aca="false">IF(SUMIFS(AP$73:AP$312,$A$73:$A$312,"P9-010",$M$73:$M$312,"&lt;&gt;คุม")&gt;0,$F$17*NETWORKDAYS(AP$72,AP$72+6,HOLIDAYS),0)</f>
        <v>0</v>
      </c>
      <c r="AQ192" s="289" t="n">
        <f aca="false">IF(SUMIFS(AQ$73:AQ$312,$A$73:$A$312,"P9-010",$M$73:$M$312,"&lt;&gt;คุม")&gt;0,$F$17*NETWORKDAYS(AQ$72,AQ$72+6,HOLIDAYS),0)</f>
        <v>0</v>
      </c>
      <c r="AR192" s="289" t="n">
        <f aca="false">IF(SUMIFS(AR$73:AR$312,$A$73:$A$312,"P9-010",$M$73:$M$312,"&lt;&gt;คุม")&gt;0,$F$17*NETWORKDAYS(AR$72,AR$72+6,HOLIDAYS),0)</f>
        <v>0</v>
      </c>
    </row>
    <row r="193" customFormat="false" ht="15" hidden="false" customHeight="false" outlineLevel="1" collapsed="false">
      <c r="A193" s="282" t="s">
        <v>82</v>
      </c>
      <c r="B193" s="283" t="s">
        <v>84</v>
      </c>
      <c r="C193" s="284" t="s">
        <v>2358</v>
      </c>
      <c r="D193" s="284" t="s">
        <v>2280</v>
      </c>
      <c r="E193" s="285" t="n">
        <v>180.58</v>
      </c>
      <c r="F193" s="283" t="s">
        <v>2359</v>
      </c>
      <c r="G193" s="285" t="n">
        <f aca="false">$F$5*(E193/$G$5+$H$5)</f>
        <v>30.8928</v>
      </c>
      <c r="H193" s="286" t="n">
        <f aca="false">IF(ISNUMBER('P9-011'!$N$62),'P9-011'!$N$62,"")</f>
        <v>46328</v>
      </c>
      <c r="I193" s="286" t="n">
        <f aca="false">IF(ISNUMBER('P9-011'!$O$62),'P9-011'!$O$62,"")</f>
        <v>46341</v>
      </c>
      <c r="J193" s="287" t="n">
        <f aca="false">IF(OR(H193="",I193="",N193&gt;=1),0,MAX(1,NETWORKDAYS(MAX(H193,ASOF),MAX(I193,ASOF),HOLIDAYS)))</f>
        <v>10</v>
      </c>
      <c r="K193" s="287" t="n">
        <f aca="false">IF(L193=0,0,ROUNDUP(L193/$F$5,0))</f>
        <v>1</v>
      </c>
      <c r="L193" s="285" t="n">
        <f aca="false">IF(J193=0,0,G193*(1-N193)/J193)</f>
        <v>3.08928</v>
      </c>
      <c r="M193" s="283" t="s">
        <v>872</v>
      </c>
      <c r="N193" s="288" t="n">
        <f aca="false">IFERROR(MIN(1,'P9-011'!$V$62)+0,0)</f>
        <v>0</v>
      </c>
      <c r="O193" s="289" t="n">
        <f aca="false">IF($L193=0,0,$L193*MAX(0,NETWORKDAYS(MAX($H193,ASOF,O$72),MIN(MAX($I193,ASOF),O$72+6),HOLIDAYS)))</f>
        <v>15.4464</v>
      </c>
      <c r="P193" s="289" t="n">
        <f aca="false">IF($L193=0,0,$L193*MAX(0,NETWORKDAYS(MAX($H193,ASOF,P$72),MIN(MAX($I193,ASOF),P$72+6),HOLIDAYS)))</f>
        <v>15.4464</v>
      </c>
      <c r="Q193" s="289" t="n">
        <f aca="false">IF($L193=0,0,$L193*MAX(0,NETWORKDAYS(MAX($H193,ASOF,Q$72),MIN(MAX($I193,ASOF),Q$72+6),HOLIDAYS)))</f>
        <v>0</v>
      </c>
      <c r="R193" s="289" t="n">
        <f aca="false">IF($L193=0,0,$L193*MAX(0,NETWORKDAYS(MAX($H193,ASOF,R$72),MIN(MAX($I193,ASOF),R$72+6),HOLIDAYS)))</f>
        <v>0</v>
      </c>
      <c r="S193" s="289" t="n">
        <f aca="false">IF($L193=0,0,$L193*MAX(0,NETWORKDAYS(MAX($H193,ASOF,S$72),MIN(MAX($I193,ASOF),S$72+6),HOLIDAYS)))</f>
        <v>0</v>
      </c>
      <c r="T193" s="289" t="n">
        <f aca="false">IF($L193=0,0,$L193*MAX(0,NETWORKDAYS(MAX($H193,ASOF,T$72),MIN(MAX($I193,ASOF),T$72+6),HOLIDAYS)))</f>
        <v>0</v>
      </c>
      <c r="U193" s="289" t="n">
        <f aca="false">IF($L193=0,0,$L193*MAX(0,NETWORKDAYS(MAX($H193,ASOF,U$72),MIN(MAX($I193,ASOF),U$72+6),HOLIDAYS)))</f>
        <v>0</v>
      </c>
      <c r="V193" s="289" t="n">
        <f aca="false">IF($L193=0,0,$L193*MAX(0,NETWORKDAYS(MAX($H193,ASOF,V$72),MIN(MAX($I193,ASOF),V$72+6),HOLIDAYS)))</f>
        <v>0</v>
      </c>
      <c r="W193" s="289" t="n">
        <f aca="false">IF($L193=0,0,$L193*MAX(0,NETWORKDAYS(MAX($H193,ASOF,W$72),MIN(MAX($I193,ASOF),W$72+6),HOLIDAYS)))</f>
        <v>0</v>
      </c>
      <c r="X193" s="289" t="n">
        <f aca="false">IF($L193=0,0,$L193*MAX(0,NETWORKDAYS(MAX($H193,ASOF,X$72),MIN(MAX($I193,ASOF),X$72+6),HOLIDAYS)))</f>
        <v>0</v>
      </c>
      <c r="Y193" s="289" t="n">
        <f aca="false">IF($L193=0,0,$L193*MAX(0,NETWORKDAYS(MAX($H193,ASOF,Y$72),MIN(MAX($I193,ASOF),Y$72+6),HOLIDAYS)))</f>
        <v>0</v>
      </c>
      <c r="Z193" s="289" t="n">
        <f aca="false">IF($L193=0,0,$L193*MAX(0,NETWORKDAYS(MAX($H193,ASOF,Z$72),MIN(MAX($I193,ASOF),Z$72+6),HOLIDAYS)))</f>
        <v>0</v>
      </c>
      <c r="AA193" s="289" t="n">
        <f aca="false">IF($L193=0,0,$L193*MAX(0,NETWORKDAYS(MAX($H193,ASOF,AA$72),MIN(MAX($I193,ASOF),AA$72+6),HOLIDAYS)))</f>
        <v>0</v>
      </c>
      <c r="AB193" s="289" t="n">
        <f aca="false">IF($L193=0,0,$L193*MAX(0,NETWORKDAYS(MAX($H193,ASOF,AB$72),MIN(MAX($I193,ASOF),AB$72+6),HOLIDAYS)))</f>
        <v>0</v>
      </c>
      <c r="AC193" s="289" t="n">
        <f aca="false">IF($L193=0,0,$L193*MAX(0,NETWORKDAYS(MAX($H193,ASOF,AC$72),MIN(MAX($I193,ASOF),AC$72+6),HOLIDAYS)))</f>
        <v>0</v>
      </c>
      <c r="AD193" s="289" t="n">
        <f aca="false">IF($L193=0,0,$L193*MAX(0,NETWORKDAYS(MAX($H193,ASOF,AD$72),MIN(MAX($I193,ASOF),AD$72+6),HOLIDAYS)))</f>
        <v>0</v>
      </c>
      <c r="AE193" s="289" t="n">
        <f aca="false">IF($L193=0,0,$L193*MAX(0,NETWORKDAYS(MAX($H193,ASOF,AE$72),MIN(MAX($I193,ASOF),AE$72+6),HOLIDAYS)))</f>
        <v>0</v>
      </c>
      <c r="AF193" s="289" t="n">
        <f aca="false">IF($L193=0,0,$L193*MAX(0,NETWORKDAYS(MAX($H193,ASOF,AF$72),MIN(MAX($I193,ASOF),AF$72+6),HOLIDAYS)))</f>
        <v>0</v>
      </c>
      <c r="AG193" s="289" t="n">
        <f aca="false">IF($L193=0,0,$L193*MAX(0,NETWORKDAYS(MAX($H193,ASOF,AG$72),MIN(MAX($I193,ASOF),AG$72+6),HOLIDAYS)))</f>
        <v>0</v>
      </c>
      <c r="AH193" s="289" t="n">
        <f aca="false">IF($L193=0,0,$L193*MAX(0,NETWORKDAYS(MAX($H193,ASOF,AH$72),MIN(MAX($I193,ASOF),AH$72+6),HOLIDAYS)))</f>
        <v>0</v>
      </c>
      <c r="AI193" s="289" t="n">
        <f aca="false">IF($L193=0,0,$L193*MAX(0,NETWORKDAYS(MAX($H193,ASOF,AI$72),MIN(MAX($I193,ASOF),AI$72+6),HOLIDAYS)))</f>
        <v>0</v>
      </c>
      <c r="AJ193" s="289" t="n">
        <f aca="false">IF($L193=0,0,$L193*MAX(0,NETWORKDAYS(MAX($H193,ASOF,AJ$72),MIN(MAX($I193,ASOF),AJ$72+6),HOLIDAYS)))</f>
        <v>0</v>
      </c>
      <c r="AK193" s="289" t="n">
        <f aca="false">IF($L193=0,0,$L193*MAX(0,NETWORKDAYS(MAX($H193,ASOF,AK$72),MIN(MAX($I193,ASOF),AK$72+6),HOLIDAYS)))</f>
        <v>0</v>
      </c>
      <c r="AL193" s="289" t="n">
        <f aca="false">IF($L193=0,0,$L193*MAX(0,NETWORKDAYS(MAX($H193,ASOF,AL$72),MIN(MAX($I193,ASOF),AL$72+6),HOLIDAYS)))</f>
        <v>0</v>
      </c>
      <c r="AM193" s="289" t="n">
        <f aca="false">IF($L193=0,0,$L193*MAX(0,NETWORKDAYS(MAX($H193,ASOF,AM$72),MIN(MAX($I193,ASOF),AM$72+6),HOLIDAYS)))</f>
        <v>0</v>
      </c>
      <c r="AN193" s="289" t="n">
        <f aca="false">IF($L193=0,0,$L193*MAX(0,NETWORKDAYS(MAX($H193,ASOF,AN$72),MIN(MAX($I193,ASOF),AN$72+6),HOLIDAYS)))</f>
        <v>0</v>
      </c>
      <c r="AO193" s="289" t="n">
        <f aca="false">IF($L193=0,0,$L193*MAX(0,NETWORKDAYS(MAX($H193,ASOF,AO$72),MIN(MAX($I193,ASOF),AO$72+6),HOLIDAYS)))</f>
        <v>0</v>
      </c>
      <c r="AP193" s="289" t="n">
        <f aca="false">IF($L193=0,0,$L193*MAX(0,NETWORKDAYS(MAX($H193,ASOF,AP$72),MIN(MAX($I193,ASOF),AP$72+6),HOLIDAYS)))</f>
        <v>0</v>
      </c>
      <c r="AQ193" s="289" t="n">
        <f aca="false">IF($L193=0,0,$L193*MAX(0,NETWORKDAYS(MAX($H193,ASOF,AQ$72),MIN(MAX($I193,ASOF),AQ$72+6),HOLIDAYS)))</f>
        <v>0</v>
      </c>
      <c r="AR193" s="289" t="n">
        <f aca="false">IF($L193=0,0,$L193*MAX(0,NETWORKDAYS(MAX($H193,ASOF,AR$72),MIN(MAX($I193,ASOF),AR$72+6),HOLIDAYS)))</f>
        <v>0</v>
      </c>
    </row>
    <row r="194" customFormat="false" ht="15" hidden="false" customHeight="false" outlineLevel="1" collapsed="false">
      <c r="A194" s="282" t="s">
        <v>82</v>
      </c>
      <c r="B194" s="283" t="s">
        <v>84</v>
      </c>
      <c r="C194" s="284" t="s">
        <v>2360</v>
      </c>
      <c r="D194" s="284" t="s">
        <v>2284</v>
      </c>
      <c r="E194" s="285" t="n">
        <v>150.48</v>
      </c>
      <c r="F194" s="283" t="s">
        <v>527</v>
      </c>
      <c r="G194" s="285" t="n">
        <f aca="false">$F$6*(E194/$G$6+$H$6)</f>
        <v>14.286</v>
      </c>
      <c r="H194" s="286" t="n">
        <f aca="false">IF(ISNUMBER('P9-011'!$N$70),'P9-011'!$N$70,"")</f>
        <v>46343</v>
      </c>
      <c r="I194" s="286" t="n">
        <f aca="false">IF(ISNUMBER('P9-011'!$O$70),'P9-011'!$O$70,"")</f>
        <v>46346</v>
      </c>
      <c r="J194" s="287" t="n">
        <f aca="false">IF(OR(H194="",I194="",N194&gt;=1),0,MAX(1,NETWORKDAYS(MAX(H194,ASOF),MAX(I194,ASOF),HOLIDAYS)))</f>
        <v>4</v>
      </c>
      <c r="K194" s="287" t="n">
        <f aca="false">IF(L194=0,0,ROUNDUP(L194/$F$6,0))</f>
        <v>2</v>
      </c>
      <c r="L194" s="285" t="n">
        <f aca="false">IF(J194=0,0,G194*(1-N194)/J194)</f>
        <v>3.5715</v>
      </c>
      <c r="M194" s="283" t="s">
        <v>987</v>
      </c>
      <c r="N194" s="288" t="n">
        <f aca="false">IFERROR(MIN(1,'P9-011'!$V$70)+0,0)</f>
        <v>0</v>
      </c>
      <c r="O194" s="289" t="n">
        <f aca="false">IF($L194=0,0,$L194*MAX(0,NETWORKDAYS(MAX($H194,ASOF,O$72),MIN(MAX($I194,ASOF),O$72+6),HOLIDAYS)))</f>
        <v>0</v>
      </c>
      <c r="P194" s="289" t="n">
        <f aca="false">IF($L194=0,0,$L194*MAX(0,NETWORKDAYS(MAX($H194,ASOF,P$72),MIN(MAX($I194,ASOF),P$72+6),HOLIDAYS)))</f>
        <v>0</v>
      </c>
      <c r="Q194" s="289" t="n">
        <f aca="false">IF($L194=0,0,$L194*MAX(0,NETWORKDAYS(MAX($H194,ASOF,Q$72),MIN(MAX($I194,ASOF),Q$72+6),HOLIDAYS)))</f>
        <v>14.286</v>
      </c>
      <c r="R194" s="289" t="n">
        <f aca="false">IF($L194=0,0,$L194*MAX(0,NETWORKDAYS(MAX($H194,ASOF,R$72),MIN(MAX($I194,ASOF),R$72+6),HOLIDAYS)))</f>
        <v>0</v>
      </c>
      <c r="S194" s="289" t="n">
        <f aca="false">IF($L194=0,0,$L194*MAX(0,NETWORKDAYS(MAX($H194,ASOF,S$72),MIN(MAX($I194,ASOF),S$72+6),HOLIDAYS)))</f>
        <v>0</v>
      </c>
      <c r="T194" s="289" t="n">
        <f aca="false">IF($L194=0,0,$L194*MAX(0,NETWORKDAYS(MAX($H194,ASOF,T$72),MIN(MAX($I194,ASOF),T$72+6),HOLIDAYS)))</f>
        <v>0</v>
      </c>
      <c r="U194" s="289" t="n">
        <f aca="false">IF($L194=0,0,$L194*MAX(0,NETWORKDAYS(MAX($H194,ASOF,U$72),MIN(MAX($I194,ASOF),U$72+6),HOLIDAYS)))</f>
        <v>0</v>
      </c>
      <c r="V194" s="289" t="n">
        <f aca="false">IF($L194=0,0,$L194*MAX(0,NETWORKDAYS(MAX($H194,ASOF,V$72),MIN(MAX($I194,ASOF),V$72+6),HOLIDAYS)))</f>
        <v>0</v>
      </c>
      <c r="W194" s="289" t="n">
        <f aca="false">IF($L194=0,0,$L194*MAX(0,NETWORKDAYS(MAX($H194,ASOF,W$72),MIN(MAX($I194,ASOF),W$72+6),HOLIDAYS)))</f>
        <v>0</v>
      </c>
      <c r="X194" s="289" t="n">
        <f aca="false">IF($L194=0,0,$L194*MAX(0,NETWORKDAYS(MAX($H194,ASOF,X$72),MIN(MAX($I194,ASOF),X$72+6),HOLIDAYS)))</f>
        <v>0</v>
      </c>
      <c r="Y194" s="289" t="n">
        <f aca="false">IF($L194=0,0,$L194*MAX(0,NETWORKDAYS(MAX($H194,ASOF,Y$72),MIN(MAX($I194,ASOF),Y$72+6),HOLIDAYS)))</f>
        <v>0</v>
      </c>
      <c r="Z194" s="289" t="n">
        <f aca="false">IF($L194=0,0,$L194*MAX(0,NETWORKDAYS(MAX($H194,ASOF,Z$72),MIN(MAX($I194,ASOF),Z$72+6),HOLIDAYS)))</f>
        <v>0</v>
      </c>
      <c r="AA194" s="289" t="n">
        <f aca="false">IF($L194=0,0,$L194*MAX(0,NETWORKDAYS(MAX($H194,ASOF,AA$72),MIN(MAX($I194,ASOF),AA$72+6),HOLIDAYS)))</f>
        <v>0</v>
      </c>
      <c r="AB194" s="289" t="n">
        <f aca="false">IF($L194=0,0,$L194*MAX(0,NETWORKDAYS(MAX($H194,ASOF,AB$72),MIN(MAX($I194,ASOF),AB$72+6),HOLIDAYS)))</f>
        <v>0</v>
      </c>
      <c r="AC194" s="289" t="n">
        <f aca="false">IF($L194=0,0,$L194*MAX(0,NETWORKDAYS(MAX($H194,ASOF,AC$72),MIN(MAX($I194,ASOF),AC$72+6),HOLIDAYS)))</f>
        <v>0</v>
      </c>
      <c r="AD194" s="289" t="n">
        <f aca="false">IF($L194=0,0,$L194*MAX(0,NETWORKDAYS(MAX($H194,ASOF,AD$72),MIN(MAX($I194,ASOF),AD$72+6),HOLIDAYS)))</f>
        <v>0</v>
      </c>
      <c r="AE194" s="289" t="n">
        <f aca="false">IF($L194=0,0,$L194*MAX(0,NETWORKDAYS(MAX($H194,ASOF,AE$72),MIN(MAX($I194,ASOF),AE$72+6),HOLIDAYS)))</f>
        <v>0</v>
      </c>
      <c r="AF194" s="289" t="n">
        <f aca="false">IF($L194=0,0,$L194*MAX(0,NETWORKDAYS(MAX($H194,ASOF,AF$72),MIN(MAX($I194,ASOF),AF$72+6),HOLIDAYS)))</f>
        <v>0</v>
      </c>
      <c r="AG194" s="289" t="n">
        <f aca="false">IF($L194=0,0,$L194*MAX(0,NETWORKDAYS(MAX($H194,ASOF,AG$72),MIN(MAX($I194,ASOF),AG$72+6),HOLIDAYS)))</f>
        <v>0</v>
      </c>
      <c r="AH194" s="289" t="n">
        <f aca="false">IF($L194=0,0,$L194*MAX(0,NETWORKDAYS(MAX($H194,ASOF,AH$72),MIN(MAX($I194,ASOF),AH$72+6),HOLIDAYS)))</f>
        <v>0</v>
      </c>
      <c r="AI194" s="289" t="n">
        <f aca="false">IF($L194=0,0,$L194*MAX(0,NETWORKDAYS(MAX($H194,ASOF,AI$72),MIN(MAX($I194,ASOF),AI$72+6),HOLIDAYS)))</f>
        <v>0</v>
      </c>
      <c r="AJ194" s="289" t="n">
        <f aca="false">IF($L194=0,0,$L194*MAX(0,NETWORKDAYS(MAX($H194,ASOF,AJ$72),MIN(MAX($I194,ASOF),AJ$72+6),HOLIDAYS)))</f>
        <v>0</v>
      </c>
      <c r="AK194" s="289" t="n">
        <f aca="false">IF($L194=0,0,$L194*MAX(0,NETWORKDAYS(MAX($H194,ASOF,AK$72),MIN(MAX($I194,ASOF),AK$72+6),HOLIDAYS)))</f>
        <v>0</v>
      </c>
      <c r="AL194" s="289" t="n">
        <f aca="false">IF($L194=0,0,$L194*MAX(0,NETWORKDAYS(MAX($H194,ASOF,AL$72),MIN(MAX($I194,ASOF),AL$72+6),HOLIDAYS)))</f>
        <v>0</v>
      </c>
      <c r="AM194" s="289" t="n">
        <f aca="false">IF($L194=0,0,$L194*MAX(0,NETWORKDAYS(MAX($H194,ASOF,AM$72),MIN(MAX($I194,ASOF),AM$72+6),HOLIDAYS)))</f>
        <v>0</v>
      </c>
      <c r="AN194" s="289" t="n">
        <f aca="false">IF($L194=0,0,$L194*MAX(0,NETWORKDAYS(MAX($H194,ASOF,AN$72),MIN(MAX($I194,ASOF),AN$72+6),HOLIDAYS)))</f>
        <v>0</v>
      </c>
      <c r="AO194" s="289" t="n">
        <f aca="false">IF($L194=0,0,$L194*MAX(0,NETWORKDAYS(MAX($H194,ASOF,AO$72),MIN(MAX($I194,ASOF),AO$72+6),HOLIDAYS)))</f>
        <v>0</v>
      </c>
      <c r="AP194" s="289" t="n">
        <f aca="false">IF($L194=0,0,$L194*MAX(0,NETWORKDAYS(MAX($H194,ASOF,AP$72),MIN(MAX($I194,ASOF),AP$72+6),HOLIDAYS)))</f>
        <v>0</v>
      </c>
      <c r="AQ194" s="289" t="n">
        <f aca="false">IF($L194=0,0,$L194*MAX(0,NETWORKDAYS(MAX($H194,ASOF,AQ$72),MIN(MAX($I194,ASOF),AQ$72+6),HOLIDAYS)))</f>
        <v>0</v>
      </c>
      <c r="AR194" s="289" t="n">
        <f aca="false">IF($L194=0,0,$L194*MAX(0,NETWORKDAYS(MAX($H194,ASOF,AR$72),MIN(MAX($I194,ASOF),AR$72+6),HOLIDAYS)))</f>
        <v>0</v>
      </c>
    </row>
    <row r="195" customFormat="false" ht="15" hidden="false" customHeight="false" outlineLevel="1" collapsed="false">
      <c r="A195" s="282" t="s">
        <v>82</v>
      </c>
      <c r="B195" s="283" t="s">
        <v>84</v>
      </c>
      <c r="C195" s="284" t="s">
        <v>2361</v>
      </c>
      <c r="D195" s="284" t="s">
        <v>2280</v>
      </c>
      <c r="E195" s="285" t="n">
        <v>150.48</v>
      </c>
      <c r="F195" s="283" t="s">
        <v>527</v>
      </c>
      <c r="G195" s="285" t="n">
        <f aca="false">$F$7*(E195/$G$7+$H$7)</f>
        <v>19.1977142857143</v>
      </c>
      <c r="H195" s="286" t="n">
        <f aca="false">IF(ISNUMBER('P9-011'!$N$76),'P9-011'!$N$76,"")</f>
        <v>46342</v>
      </c>
      <c r="I195" s="286" t="n">
        <f aca="false">IF(ISNUMBER('P9-011'!$O$76),'P9-011'!$O$76,"")</f>
        <v>46347</v>
      </c>
      <c r="J195" s="287" t="n">
        <f aca="false">IF(OR(H195="",I195="",N195&gt;=1),0,MAX(1,NETWORKDAYS(MAX(H195,ASOF),MAX(I195,ASOF),HOLIDAYS)))</f>
        <v>5</v>
      </c>
      <c r="K195" s="287" t="n">
        <f aca="false">IF(L195=0,0,ROUNDUP(L195/$F$7,0))</f>
        <v>1</v>
      </c>
      <c r="L195" s="285" t="n">
        <f aca="false">IF(J195=0,0,G195*(1-N195)/J195)</f>
        <v>3.83954285714286</v>
      </c>
      <c r="M195" s="283" t="s">
        <v>1037</v>
      </c>
      <c r="N195" s="288" t="n">
        <f aca="false">IFERROR(MIN(1,'P9-011'!$V$76)+0,0)</f>
        <v>0</v>
      </c>
      <c r="O195" s="289" t="n">
        <f aca="false">IF($L195=0,0,$L195*MAX(0,NETWORKDAYS(MAX($H195,ASOF,O$72),MIN(MAX($I195,ASOF),O$72+6),HOLIDAYS)))</f>
        <v>0</v>
      </c>
      <c r="P195" s="289" t="n">
        <f aca="false">IF($L195=0,0,$L195*MAX(0,NETWORKDAYS(MAX($H195,ASOF,P$72),MIN(MAX($I195,ASOF),P$72+6),HOLIDAYS)))</f>
        <v>0</v>
      </c>
      <c r="Q195" s="289" t="n">
        <f aca="false">IF($L195=0,0,$L195*MAX(0,NETWORKDAYS(MAX($H195,ASOF,Q$72),MIN(MAX($I195,ASOF),Q$72+6),HOLIDAYS)))</f>
        <v>19.1977142857143</v>
      </c>
      <c r="R195" s="289" t="n">
        <f aca="false">IF($L195=0,0,$L195*MAX(0,NETWORKDAYS(MAX($H195,ASOF,R$72),MIN(MAX($I195,ASOF),R$72+6),HOLIDAYS)))</f>
        <v>0</v>
      </c>
      <c r="S195" s="289" t="n">
        <f aca="false">IF($L195=0,0,$L195*MAX(0,NETWORKDAYS(MAX($H195,ASOF,S$72),MIN(MAX($I195,ASOF),S$72+6),HOLIDAYS)))</f>
        <v>0</v>
      </c>
      <c r="T195" s="289" t="n">
        <f aca="false">IF($L195=0,0,$L195*MAX(0,NETWORKDAYS(MAX($H195,ASOF,T$72),MIN(MAX($I195,ASOF),T$72+6),HOLIDAYS)))</f>
        <v>0</v>
      </c>
      <c r="U195" s="289" t="n">
        <f aca="false">IF($L195=0,0,$L195*MAX(0,NETWORKDAYS(MAX($H195,ASOF,U$72),MIN(MAX($I195,ASOF),U$72+6),HOLIDAYS)))</f>
        <v>0</v>
      </c>
      <c r="V195" s="289" t="n">
        <f aca="false">IF($L195=0,0,$L195*MAX(0,NETWORKDAYS(MAX($H195,ASOF,V$72),MIN(MAX($I195,ASOF),V$72+6),HOLIDAYS)))</f>
        <v>0</v>
      </c>
      <c r="W195" s="289" t="n">
        <f aca="false">IF($L195=0,0,$L195*MAX(0,NETWORKDAYS(MAX($H195,ASOF,W$72),MIN(MAX($I195,ASOF),W$72+6),HOLIDAYS)))</f>
        <v>0</v>
      </c>
      <c r="X195" s="289" t="n">
        <f aca="false">IF($L195=0,0,$L195*MAX(0,NETWORKDAYS(MAX($H195,ASOF,X$72),MIN(MAX($I195,ASOF),X$72+6),HOLIDAYS)))</f>
        <v>0</v>
      </c>
      <c r="Y195" s="289" t="n">
        <f aca="false">IF($L195=0,0,$L195*MAX(0,NETWORKDAYS(MAX($H195,ASOF,Y$72),MIN(MAX($I195,ASOF),Y$72+6),HOLIDAYS)))</f>
        <v>0</v>
      </c>
      <c r="Z195" s="289" t="n">
        <f aca="false">IF($L195=0,0,$L195*MAX(0,NETWORKDAYS(MAX($H195,ASOF,Z$72),MIN(MAX($I195,ASOF),Z$72+6),HOLIDAYS)))</f>
        <v>0</v>
      </c>
      <c r="AA195" s="289" t="n">
        <f aca="false">IF($L195=0,0,$L195*MAX(0,NETWORKDAYS(MAX($H195,ASOF,AA$72),MIN(MAX($I195,ASOF),AA$72+6),HOLIDAYS)))</f>
        <v>0</v>
      </c>
      <c r="AB195" s="289" t="n">
        <f aca="false">IF($L195=0,0,$L195*MAX(0,NETWORKDAYS(MAX($H195,ASOF,AB$72),MIN(MAX($I195,ASOF),AB$72+6),HOLIDAYS)))</f>
        <v>0</v>
      </c>
      <c r="AC195" s="289" t="n">
        <f aca="false">IF($L195=0,0,$L195*MAX(0,NETWORKDAYS(MAX($H195,ASOF,AC$72),MIN(MAX($I195,ASOF),AC$72+6),HOLIDAYS)))</f>
        <v>0</v>
      </c>
      <c r="AD195" s="289" t="n">
        <f aca="false">IF($L195=0,0,$L195*MAX(0,NETWORKDAYS(MAX($H195,ASOF,AD$72),MIN(MAX($I195,ASOF),AD$72+6),HOLIDAYS)))</f>
        <v>0</v>
      </c>
      <c r="AE195" s="289" t="n">
        <f aca="false">IF($L195=0,0,$L195*MAX(0,NETWORKDAYS(MAX($H195,ASOF,AE$72),MIN(MAX($I195,ASOF),AE$72+6),HOLIDAYS)))</f>
        <v>0</v>
      </c>
      <c r="AF195" s="289" t="n">
        <f aca="false">IF($L195=0,0,$L195*MAX(0,NETWORKDAYS(MAX($H195,ASOF,AF$72),MIN(MAX($I195,ASOF),AF$72+6),HOLIDAYS)))</f>
        <v>0</v>
      </c>
      <c r="AG195" s="289" t="n">
        <f aca="false">IF($L195=0,0,$L195*MAX(0,NETWORKDAYS(MAX($H195,ASOF,AG$72),MIN(MAX($I195,ASOF),AG$72+6),HOLIDAYS)))</f>
        <v>0</v>
      </c>
      <c r="AH195" s="289" t="n">
        <f aca="false">IF($L195=0,0,$L195*MAX(0,NETWORKDAYS(MAX($H195,ASOF,AH$72),MIN(MAX($I195,ASOF),AH$72+6),HOLIDAYS)))</f>
        <v>0</v>
      </c>
      <c r="AI195" s="289" t="n">
        <f aca="false">IF($L195=0,0,$L195*MAX(0,NETWORKDAYS(MAX($H195,ASOF,AI$72),MIN(MAX($I195,ASOF),AI$72+6),HOLIDAYS)))</f>
        <v>0</v>
      </c>
      <c r="AJ195" s="289" t="n">
        <f aca="false">IF($L195=0,0,$L195*MAX(0,NETWORKDAYS(MAX($H195,ASOF,AJ$72),MIN(MAX($I195,ASOF),AJ$72+6),HOLIDAYS)))</f>
        <v>0</v>
      </c>
      <c r="AK195" s="289" t="n">
        <f aca="false">IF($L195=0,0,$L195*MAX(0,NETWORKDAYS(MAX($H195,ASOF,AK$72),MIN(MAX($I195,ASOF),AK$72+6),HOLIDAYS)))</f>
        <v>0</v>
      </c>
      <c r="AL195" s="289" t="n">
        <f aca="false">IF($L195=0,0,$L195*MAX(0,NETWORKDAYS(MAX($H195,ASOF,AL$72),MIN(MAX($I195,ASOF),AL$72+6),HOLIDAYS)))</f>
        <v>0</v>
      </c>
      <c r="AM195" s="289" t="n">
        <f aca="false">IF($L195=0,0,$L195*MAX(0,NETWORKDAYS(MAX($H195,ASOF,AM$72),MIN(MAX($I195,ASOF),AM$72+6),HOLIDAYS)))</f>
        <v>0</v>
      </c>
      <c r="AN195" s="289" t="n">
        <f aca="false">IF($L195=0,0,$L195*MAX(0,NETWORKDAYS(MAX($H195,ASOF,AN$72),MIN(MAX($I195,ASOF),AN$72+6),HOLIDAYS)))</f>
        <v>0</v>
      </c>
      <c r="AO195" s="289" t="n">
        <f aca="false">IF($L195=0,0,$L195*MAX(0,NETWORKDAYS(MAX($H195,ASOF,AO$72),MIN(MAX($I195,ASOF),AO$72+6),HOLIDAYS)))</f>
        <v>0</v>
      </c>
      <c r="AP195" s="289" t="n">
        <f aca="false">IF($L195=0,0,$L195*MAX(0,NETWORKDAYS(MAX($H195,ASOF,AP$72),MIN(MAX($I195,ASOF),AP$72+6),HOLIDAYS)))</f>
        <v>0</v>
      </c>
      <c r="AQ195" s="289" t="n">
        <f aca="false">IF($L195=0,0,$L195*MAX(0,NETWORKDAYS(MAX($H195,ASOF,AQ$72),MIN(MAX($I195,ASOF),AQ$72+6),HOLIDAYS)))</f>
        <v>0</v>
      </c>
      <c r="AR195" s="289" t="n">
        <f aca="false">IF($L195=0,0,$L195*MAX(0,NETWORKDAYS(MAX($H195,ASOF,AR$72),MIN(MAX($I195,ASOF),AR$72+6),HOLIDAYS)))</f>
        <v>0</v>
      </c>
    </row>
    <row r="196" customFormat="false" ht="15" hidden="false" customHeight="false" outlineLevel="1" collapsed="false">
      <c r="A196" s="282" t="s">
        <v>82</v>
      </c>
      <c r="B196" s="283" t="s">
        <v>84</v>
      </c>
      <c r="C196" s="284" t="s">
        <v>2362</v>
      </c>
      <c r="D196" s="284" t="s">
        <v>2284</v>
      </c>
      <c r="E196" s="285" t="n">
        <v>1</v>
      </c>
      <c r="F196" s="290" t="s">
        <v>35</v>
      </c>
      <c r="G196" s="285" t="n">
        <f aca="false">$F$8*$H$8</f>
        <v>2</v>
      </c>
      <c r="H196" s="286" t="n">
        <f aca="false">IF(ISNUMBER('P9-011'!$N$82),'P9-011'!$N$82,"")</f>
        <v>46345</v>
      </c>
      <c r="I196" s="286" t="n">
        <f aca="false">IF(ISNUMBER('P9-011'!$O$82),'P9-011'!$O$82,"")</f>
        <v>46347</v>
      </c>
      <c r="J196" s="287" t="n">
        <f aca="false">IF(OR(H196="",I196="",N196&gt;=1),0,MAX(1,NETWORKDAYS(MAX(H196,ASOF),MAX(I196,ASOF),HOLIDAYS)))</f>
        <v>2</v>
      </c>
      <c r="K196" s="287" t="n">
        <f aca="false">IF(L196=0,0,ROUNDUP(L196/$F$8,0))</f>
        <v>1</v>
      </c>
      <c r="L196" s="285" t="n">
        <f aca="false">IF(J196=0,0,G196*(1-N196)/J196)</f>
        <v>1</v>
      </c>
      <c r="M196" s="283" t="s">
        <v>1063</v>
      </c>
      <c r="N196" s="288" t="n">
        <f aca="false">IFERROR(MIN(1,'P9-011'!$V$82)+0,0)</f>
        <v>0</v>
      </c>
      <c r="O196" s="289" t="n">
        <f aca="false">IF($L196=0,0,$L196*MAX(0,NETWORKDAYS(MAX($H196,ASOF,O$72),MIN(MAX($I196,ASOF),O$72+6),HOLIDAYS)))</f>
        <v>0</v>
      </c>
      <c r="P196" s="289" t="n">
        <f aca="false">IF($L196=0,0,$L196*MAX(0,NETWORKDAYS(MAX($H196,ASOF,P$72),MIN(MAX($I196,ASOF),P$72+6),HOLIDAYS)))</f>
        <v>0</v>
      </c>
      <c r="Q196" s="289" t="n">
        <f aca="false">IF($L196=0,0,$L196*MAX(0,NETWORKDAYS(MAX($H196,ASOF,Q$72),MIN(MAX($I196,ASOF),Q$72+6),HOLIDAYS)))</f>
        <v>2</v>
      </c>
      <c r="R196" s="289" t="n">
        <f aca="false">IF($L196=0,0,$L196*MAX(0,NETWORKDAYS(MAX($H196,ASOF,R$72),MIN(MAX($I196,ASOF),R$72+6),HOLIDAYS)))</f>
        <v>0</v>
      </c>
      <c r="S196" s="289" t="n">
        <f aca="false">IF($L196=0,0,$L196*MAX(0,NETWORKDAYS(MAX($H196,ASOF,S$72),MIN(MAX($I196,ASOF),S$72+6),HOLIDAYS)))</f>
        <v>0</v>
      </c>
      <c r="T196" s="289" t="n">
        <f aca="false">IF($L196=0,0,$L196*MAX(0,NETWORKDAYS(MAX($H196,ASOF,T$72),MIN(MAX($I196,ASOF),T$72+6),HOLIDAYS)))</f>
        <v>0</v>
      </c>
      <c r="U196" s="289" t="n">
        <f aca="false">IF($L196=0,0,$L196*MAX(0,NETWORKDAYS(MAX($H196,ASOF,U$72),MIN(MAX($I196,ASOF),U$72+6),HOLIDAYS)))</f>
        <v>0</v>
      </c>
      <c r="V196" s="289" t="n">
        <f aca="false">IF($L196=0,0,$L196*MAX(0,NETWORKDAYS(MAX($H196,ASOF,V$72),MIN(MAX($I196,ASOF),V$72+6),HOLIDAYS)))</f>
        <v>0</v>
      </c>
      <c r="W196" s="289" t="n">
        <f aca="false">IF($L196=0,0,$L196*MAX(0,NETWORKDAYS(MAX($H196,ASOF,W$72),MIN(MAX($I196,ASOF),W$72+6),HOLIDAYS)))</f>
        <v>0</v>
      </c>
      <c r="X196" s="289" t="n">
        <f aca="false">IF($L196=0,0,$L196*MAX(0,NETWORKDAYS(MAX($H196,ASOF,X$72),MIN(MAX($I196,ASOF),X$72+6),HOLIDAYS)))</f>
        <v>0</v>
      </c>
      <c r="Y196" s="289" t="n">
        <f aca="false">IF($L196=0,0,$L196*MAX(0,NETWORKDAYS(MAX($H196,ASOF,Y$72),MIN(MAX($I196,ASOF),Y$72+6),HOLIDAYS)))</f>
        <v>0</v>
      </c>
      <c r="Z196" s="289" t="n">
        <f aca="false">IF($L196=0,0,$L196*MAX(0,NETWORKDAYS(MAX($H196,ASOF,Z$72),MIN(MAX($I196,ASOF),Z$72+6),HOLIDAYS)))</f>
        <v>0</v>
      </c>
      <c r="AA196" s="289" t="n">
        <f aca="false">IF($L196=0,0,$L196*MAX(0,NETWORKDAYS(MAX($H196,ASOF,AA$72),MIN(MAX($I196,ASOF),AA$72+6),HOLIDAYS)))</f>
        <v>0</v>
      </c>
      <c r="AB196" s="289" t="n">
        <f aca="false">IF($L196=0,0,$L196*MAX(0,NETWORKDAYS(MAX($H196,ASOF,AB$72),MIN(MAX($I196,ASOF),AB$72+6),HOLIDAYS)))</f>
        <v>0</v>
      </c>
      <c r="AC196" s="289" t="n">
        <f aca="false">IF($L196=0,0,$L196*MAX(0,NETWORKDAYS(MAX($H196,ASOF,AC$72),MIN(MAX($I196,ASOF),AC$72+6),HOLIDAYS)))</f>
        <v>0</v>
      </c>
      <c r="AD196" s="289" t="n">
        <f aca="false">IF($L196=0,0,$L196*MAX(0,NETWORKDAYS(MAX($H196,ASOF,AD$72),MIN(MAX($I196,ASOF),AD$72+6),HOLIDAYS)))</f>
        <v>0</v>
      </c>
      <c r="AE196" s="289" t="n">
        <f aca="false">IF($L196=0,0,$L196*MAX(0,NETWORKDAYS(MAX($H196,ASOF,AE$72),MIN(MAX($I196,ASOF),AE$72+6),HOLIDAYS)))</f>
        <v>0</v>
      </c>
      <c r="AF196" s="289" t="n">
        <f aca="false">IF($L196=0,0,$L196*MAX(0,NETWORKDAYS(MAX($H196,ASOF,AF$72),MIN(MAX($I196,ASOF),AF$72+6),HOLIDAYS)))</f>
        <v>0</v>
      </c>
      <c r="AG196" s="289" t="n">
        <f aca="false">IF($L196=0,0,$L196*MAX(0,NETWORKDAYS(MAX($H196,ASOF,AG$72),MIN(MAX($I196,ASOF),AG$72+6),HOLIDAYS)))</f>
        <v>0</v>
      </c>
      <c r="AH196" s="289" t="n">
        <f aca="false">IF($L196=0,0,$L196*MAX(0,NETWORKDAYS(MAX($H196,ASOF,AH$72),MIN(MAX($I196,ASOF),AH$72+6),HOLIDAYS)))</f>
        <v>0</v>
      </c>
      <c r="AI196" s="289" t="n">
        <f aca="false">IF($L196=0,0,$L196*MAX(0,NETWORKDAYS(MAX($H196,ASOF,AI$72),MIN(MAX($I196,ASOF),AI$72+6),HOLIDAYS)))</f>
        <v>0</v>
      </c>
      <c r="AJ196" s="289" t="n">
        <f aca="false">IF($L196=0,0,$L196*MAX(0,NETWORKDAYS(MAX($H196,ASOF,AJ$72),MIN(MAX($I196,ASOF),AJ$72+6),HOLIDAYS)))</f>
        <v>0</v>
      </c>
      <c r="AK196" s="289" t="n">
        <f aca="false">IF($L196=0,0,$L196*MAX(0,NETWORKDAYS(MAX($H196,ASOF,AK$72),MIN(MAX($I196,ASOF),AK$72+6),HOLIDAYS)))</f>
        <v>0</v>
      </c>
      <c r="AL196" s="289" t="n">
        <f aca="false">IF($L196=0,0,$L196*MAX(0,NETWORKDAYS(MAX($H196,ASOF,AL$72),MIN(MAX($I196,ASOF),AL$72+6),HOLIDAYS)))</f>
        <v>0</v>
      </c>
      <c r="AM196" s="289" t="n">
        <f aca="false">IF($L196=0,0,$L196*MAX(0,NETWORKDAYS(MAX($H196,ASOF,AM$72),MIN(MAX($I196,ASOF),AM$72+6),HOLIDAYS)))</f>
        <v>0</v>
      </c>
      <c r="AN196" s="289" t="n">
        <f aca="false">IF($L196=0,0,$L196*MAX(0,NETWORKDAYS(MAX($H196,ASOF,AN$72),MIN(MAX($I196,ASOF),AN$72+6),HOLIDAYS)))</f>
        <v>0</v>
      </c>
      <c r="AO196" s="289" t="n">
        <f aca="false">IF($L196=0,0,$L196*MAX(0,NETWORKDAYS(MAX($H196,ASOF,AO$72),MIN(MAX($I196,ASOF),AO$72+6),HOLIDAYS)))</f>
        <v>0</v>
      </c>
      <c r="AP196" s="289" t="n">
        <f aca="false">IF($L196=0,0,$L196*MAX(0,NETWORKDAYS(MAX($H196,ASOF,AP$72),MIN(MAX($I196,ASOF),AP$72+6),HOLIDAYS)))</f>
        <v>0</v>
      </c>
      <c r="AQ196" s="289" t="n">
        <f aca="false">IF($L196=0,0,$L196*MAX(0,NETWORKDAYS(MAX($H196,ASOF,AQ$72),MIN(MAX($I196,ASOF),AQ$72+6),HOLIDAYS)))</f>
        <v>0</v>
      </c>
      <c r="AR196" s="289" t="n">
        <f aca="false">IF($L196=0,0,$L196*MAX(0,NETWORKDAYS(MAX($H196,ASOF,AR$72),MIN(MAX($I196,ASOF),AR$72+6),HOLIDAYS)))</f>
        <v>0</v>
      </c>
    </row>
    <row r="197" customFormat="false" ht="15" hidden="false" customHeight="false" outlineLevel="1" collapsed="false">
      <c r="A197" s="282" t="s">
        <v>82</v>
      </c>
      <c r="B197" s="283" t="s">
        <v>84</v>
      </c>
      <c r="C197" s="284" t="s">
        <v>2363</v>
      </c>
      <c r="D197" s="284" t="s">
        <v>2290</v>
      </c>
      <c r="E197" s="285" t="n">
        <v>1</v>
      </c>
      <c r="F197" s="290" t="s">
        <v>35</v>
      </c>
      <c r="G197" s="285" t="n">
        <f aca="false">IF(IFERROR(INDEX(INVS_TYPE,MATCH("P9-011",INVS_ID,0)),"")="สร้างใหม่ (E09)",$F$9*$H$9,0)</f>
        <v>24</v>
      </c>
      <c r="H197" s="286" t="n">
        <f aca="false">IF(ISNUMBER('P9-011'!$N$85),'P9-011'!$N$85,"")</f>
        <v>46343</v>
      </c>
      <c r="I197" s="286" t="n">
        <f aca="false">IF(ISNUMBER('P9-011'!$O$85),'P9-011'!$O$85,"")</f>
        <v>46346</v>
      </c>
      <c r="J197" s="287" t="n">
        <f aca="false">IF(OR(H197="",I197="",N197&gt;=1),0,MAX(1,NETWORKDAYS(MAX(H197,ASOF),MAX(I197,ASOF),HOLIDAYS)))</f>
        <v>4</v>
      </c>
      <c r="K197" s="287" t="n">
        <f aca="false">IF(L197=0,0,ROUNDUP(L197/$F$9,0))</f>
        <v>2</v>
      </c>
      <c r="L197" s="285" t="n">
        <f aca="false">IF(J197=0,0,G197*(1-N197)/J197)</f>
        <v>6</v>
      </c>
      <c r="M197" s="283" t="s">
        <v>2288</v>
      </c>
      <c r="N197" s="288" t="n">
        <f aca="false">IFERROR(MIN(1,'P9-011'!$V$85)+0,0)</f>
        <v>0</v>
      </c>
      <c r="O197" s="289" t="n">
        <f aca="false">IF($L197=0,0,$L197*MAX(0,NETWORKDAYS(MAX($H197,ASOF,O$72),MIN(MAX($I197,ASOF),O$72+6),HOLIDAYS)))</f>
        <v>0</v>
      </c>
      <c r="P197" s="289" t="n">
        <f aca="false">IF($L197=0,0,$L197*MAX(0,NETWORKDAYS(MAX($H197,ASOF,P$72),MIN(MAX($I197,ASOF),P$72+6),HOLIDAYS)))</f>
        <v>0</v>
      </c>
      <c r="Q197" s="289" t="n">
        <f aca="false">IF($L197=0,0,$L197*MAX(0,NETWORKDAYS(MAX($H197,ASOF,Q$72),MIN(MAX($I197,ASOF),Q$72+6),HOLIDAYS)))</f>
        <v>24</v>
      </c>
      <c r="R197" s="289" t="n">
        <f aca="false">IF($L197=0,0,$L197*MAX(0,NETWORKDAYS(MAX($H197,ASOF,R$72),MIN(MAX($I197,ASOF),R$72+6),HOLIDAYS)))</f>
        <v>0</v>
      </c>
      <c r="S197" s="289" t="n">
        <f aca="false">IF($L197=0,0,$L197*MAX(0,NETWORKDAYS(MAX($H197,ASOF,S$72),MIN(MAX($I197,ASOF),S$72+6),HOLIDAYS)))</f>
        <v>0</v>
      </c>
      <c r="T197" s="289" t="n">
        <f aca="false">IF($L197=0,0,$L197*MAX(0,NETWORKDAYS(MAX($H197,ASOF,T$72),MIN(MAX($I197,ASOF),T$72+6),HOLIDAYS)))</f>
        <v>0</v>
      </c>
      <c r="U197" s="289" t="n">
        <f aca="false">IF($L197=0,0,$L197*MAX(0,NETWORKDAYS(MAX($H197,ASOF,U$72),MIN(MAX($I197,ASOF),U$72+6),HOLIDAYS)))</f>
        <v>0</v>
      </c>
      <c r="V197" s="289" t="n">
        <f aca="false">IF($L197=0,0,$L197*MAX(0,NETWORKDAYS(MAX($H197,ASOF,V$72),MIN(MAX($I197,ASOF),V$72+6),HOLIDAYS)))</f>
        <v>0</v>
      </c>
      <c r="W197" s="289" t="n">
        <f aca="false">IF($L197=0,0,$L197*MAX(0,NETWORKDAYS(MAX($H197,ASOF,W$72),MIN(MAX($I197,ASOF),W$72+6),HOLIDAYS)))</f>
        <v>0</v>
      </c>
      <c r="X197" s="289" t="n">
        <f aca="false">IF($L197=0,0,$L197*MAX(0,NETWORKDAYS(MAX($H197,ASOF,X$72),MIN(MAX($I197,ASOF),X$72+6),HOLIDAYS)))</f>
        <v>0</v>
      </c>
      <c r="Y197" s="289" t="n">
        <f aca="false">IF($L197=0,0,$L197*MAX(0,NETWORKDAYS(MAX($H197,ASOF,Y$72),MIN(MAX($I197,ASOF),Y$72+6),HOLIDAYS)))</f>
        <v>0</v>
      </c>
      <c r="Z197" s="289" t="n">
        <f aca="false">IF($L197=0,0,$L197*MAX(0,NETWORKDAYS(MAX($H197,ASOF,Z$72),MIN(MAX($I197,ASOF),Z$72+6),HOLIDAYS)))</f>
        <v>0</v>
      </c>
      <c r="AA197" s="289" t="n">
        <f aca="false">IF($L197=0,0,$L197*MAX(0,NETWORKDAYS(MAX($H197,ASOF,AA$72),MIN(MAX($I197,ASOF),AA$72+6),HOLIDAYS)))</f>
        <v>0</v>
      </c>
      <c r="AB197" s="289" t="n">
        <f aca="false">IF($L197=0,0,$L197*MAX(0,NETWORKDAYS(MAX($H197,ASOF,AB$72),MIN(MAX($I197,ASOF),AB$72+6),HOLIDAYS)))</f>
        <v>0</v>
      </c>
      <c r="AC197" s="289" t="n">
        <f aca="false">IF($L197=0,0,$L197*MAX(0,NETWORKDAYS(MAX($H197,ASOF,AC$72),MIN(MAX($I197,ASOF),AC$72+6),HOLIDAYS)))</f>
        <v>0</v>
      </c>
      <c r="AD197" s="289" t="n">
        <f aca="false">IF($L197=0,0,$L197*MAX(0,NETWORKDAYS(MAX($H197,ASOF,AD$72),MIN(MAX($I197,ASOF),AD$72+6),HOLIDAYS)))</f>
        <v>0</v>
      </c>
      <c r="AE197" s="289" t="n">
        <f aca="false">IF($L197=0,0,$L197*MAX(0,NETWORKDAYS(MAX($H197,ASOF,AE$72),MIN(MAX($I197,ASOF),AE$72+6),HOLIDAYS)))</f>
        <v>0</v>
      </c>
      <c r="AF197" s="289" t="n">
        <f aca="false">IF($L197=0,0,$L197*MAX(0,NETWORKDAYS(MAX($H197,ASOF,AF$72),MIN(MAX($I197,ASOF),AF$72+6),HOLIDAYS)))</f>
        <v>0</v>
      </c>
      <c r="AG197" s="289" t="n">
        <f aca="false">IF($L197=0,0,$L197*MAX(0,NETWORKDAYS(MAX($H197,ASOF,AG$72),MIN(MAX($I197,ASOF),AG$72+6),HOLIDAYS)))</f>
        <v>0</v>
      </c>
      <c r="AH197" s="289" t="n">
        <f aca="false">IF($L197=0,0,$L197*MAX(0,NETWORKDAYS(MAX($H197,ASOF,AH$72),MIN(MAX($I197,ASOF),AH$72+6),HOLIDAYS)))</f>
        <v>0</v>
      </c>
      <c r="AI197" s="289" t="n">
        <f aca="false">IF($L197=0,0,$L197*MAX(0,NETWORKDAYS(MAX($H197,ASOF,AI$72),MIN(MAX($I197,ASOF),AI$72+6),HOLIDAYS)))</f>
        <v>0</v>
      </c>
      <c r="AJ197" s="289" t="n">
        <f aca="false">IF($L197=0,0,$L197*MAX(0,NETWORKDAYS(MAX($H197,ASOF,AJ$72),MIN(MAX($I197,ASOF),AJ$72+6),HOLIDAYS)))</f>
        <v>0</v>
      </c>
      <c r="AK197" s="289" t="n">
        <f aca="false">IF($L197=0,0,$L197*MAX(0,NETWORKDAYS(MAX($H197,ASOF,AK$72),MIN(MAX($I197,ASOF),AK$72+6),HOLIDAYS)))</f>
        <v>0</v>
      </c>
      <c r="AL197" s="289" t="n">
        <f aca="false">IF($L197=0,0,$L197*MAX(0,NETWORKDAYS(MAX($H197,ASOF,AL$72),MIN(MAX($I197,ASOF),AL$72+6),HOLIDAYS)))</f>
        <v>0</v>
      </c>
      <c r="AM197" s="289" t="n">
        <f aca="false">IF($L197=0,0,$L197*MAX(0,NETWORKDAYS(MAX($H197,ASOF,AM$72),MIN(MAX($I197,ASOF),AM$72+6),HOLIDAYS)))</f>
        <v>0</v>
      </c>
      <c r="AN197" s="289" t="n">
        <f aca="false">IF($L197=0,0,$L197*MAX(0,NETWORKDAYS(MAX($H197,ASOF,AN$72),MIN(MAX($I197,ASOF),AN$72+6),HOLIDAYS)))</f>
        <v>0</v>
      </c>
      <c r="AO197" s="289" t="n">
        <f aca="false">IF($L197=0,0,$L197*MAX(0,NETWORKDAYS(MAX($H197,ASOF,AO$72),MIN(MAX($I197,ASOF),AO$72+6),HOLIDAYS)))</f>
        <v>0</v>
      </c>
      <c r="AP197" s="289" t="n">
        <f aca="false">IF($L197=0,0,$L197*MAX(0,NETWORKDAYS(MAX($H197,ASOF,AP$72),MIN(MAX($I197,ASOF),AP$72+6),HOLIDAYS)))</f>
        <v>0</v>
      </c>
      <c r="AQ197" s="289" t="n">
        <f aca="false">IF($L197=0,0,$L197*MAX(0,NETWORKDAYS(MAX($H197,ASOF,AQ$72),MIN(MAX($I197,ASOF),AQ$72+6),HOLIDAYS)))</f>
        <v>0</v>
      </c>
      <c r="AR197" s="289" t="n">
        <f aca="false">IF($L197=0,0,$L197*MAX(0,NETWORKDAYS(MAX($H197,ASOF,AR$72),MIN(MAX($I197,ASOF),AR$72+6),HOLIDAYS)))</f>
        <v>0</v>
      </c>
    </row>
    <row r="198" customFormat="false" ht="15" hidden="false" customHeight="false" outlineLevel="1" collapsed="false">
      <c r="A198" s="282" t="s">
        <v>82</v>
      </c>
      <c r="B198" s="283" t="s">
        <v>84</v>
      </c>
      <c r="C198" s="284" t="s">
        <v>2364</v>
      </c>
      <c r="D198" s="284" t="s">
        <v>2284</v>
      </c>
      <c r="E198" s="285" t="n">
        <f aca="false">IFERROR(INDEX(INVS_N,MATCH("P9-011",INVS_ID,0)),1)</f>
        <v>1</v>
      </c>
      <c r="F198" s="290" t="s">
        <v>2365</v>
      </c>
      <c r="G198" s="285" t="n">
        <f aca="false">$F$10*(E198/$G$10+$H$10)</f>
        <v>3</v>
      </c>
      <c r="H198" s="286" t="n">
        <f aca="false">IF(ISNUMBER('P9-011'!$N$85),'P9-011'!$N$85,"")</f>
        <v>46343</v>
      </c>
      <c r="I198" s="286" t="n">
        <f aca="false">IF(ISNUMBER('P9-011'!$O$85),'P9-011'!$O$85,"")</f>
        <v>46346</v>
      </c>
      <c r="J198" s="287" t="n">
        <f aca="false">IF(OR(H198="",I198="",N198&gt;=1),0,MAX(1,NETWORKDAYS(MAX(H198,ASOF),MAX(I198,ASOF),HOLIDAYS)))</f>
        <v>4</v>
      </c>
      <c r="K198" s="287" t="n">
        <f aca="false">IF(L198=0,0,ROUNDUP(L198/$F$10,0))</f>
        <v>1</v>
      </c>
      <c r="L198" s="285" t="n">
        <f aca="false">IF(J198=0,0,G198*(1-N198)/J198)</f>
        <v>0.75</v>
      </c>
      <c r="M198" s="283" t="s">
        <v>2293</v>
      </c>
      <c r="N198" s="288" t="n">
        <f aca="false">IFERROR(MIN(1,'P9-011'!$V$85)+0,0)</f>
        <v>0</v>
      </c>
      <c r="O198" s="289" t="n">
        <f aca="false">IF($L198=0,0,$L198*MAX(0,NETWORKDAYS(MAX($H198,ASOF,O$72),MIN(MAX($I198,ASOF),O$72+6),HOLIDAYS)))</f>
        <v>0</v>
      </c>
      <c r="P198" s="289" t="n">
        <f aca="false">IF($L198=0,0,$L198*MAX(0,NETWORKDAYS(MAX($H198,ASOF,P$72),MIN(MAX($I198,ASOF),P$72+6),HOLIDAYS)))</f>
        <v>0</v>
      </c>
      <c r="Q198" s="289" t="n">
        <f aca="false">IF($L198=0,0,$L198*MAX(0,NETWORKDAYS(MAX($H198,ASOF,Q$72),MIN(MAX($I198,ASOF),Q$72+6),HOLIDAYS)))</f>
        <v>3</v>
      </c>
      <c r="R198" s="289" t="n">
        <f aca="false">IF($L198=0,0,$L198*MAX(0,NETWORKDAYS(MAX($H198,ASOF,R$72),MIN(MAX($I198,ASOF),R$72+6),HOLIDAYS)))</f>
        <v>0</v>
      </c>
      <c r="S198" s="289" t="n">
        <f aca="false">IF($L198=0,0,$L198*MAX(0,NETWORKDAYS(MAX($H198,ASOF,S$72),MIN(MAX($I198,ASOF),S$72+6),HOLIDAYS)))</f>
        <v>0</v>
      </c>
      <c r="T198" s="289" t="n">
        <f aca="false">IF($L198=0,0,$L198*MAX(0,NETWORKDAYS(MAX($H198,ASOF,T$72),MIN(MAX($I198,ASOF),T$72+6),HOLIDAYS)))</f>
        <v>0</v>
      </c>
      <c r="U198" s="289" t="n">
        <f aca="false">IF($L198=0,0,$L198*MAX(0,NETWORKDAYS(MAX($H198,ASOF,U$72),MIN(MAX($I198,ASOF),U$72+6),HOLIDAYS)))</f>
        <v>0</v>
      </c>
      <c r="V198" s="289" t="n">
        <f aca="false">IF($L198=0,0,$L198*MAX(0,NETWORKDAYS(MAX($H198,ASOF,V$72),MIN(MAX($I198,ASOF),V$72+6),HOLIDAYS)))</f>
        <v>0</v>
      </c>
      <c r="W198" s="289" t="n">
        <f aca="false">IF($L198=0,0,$L198*MAX(0,NETWORKDAYS(MAX($H198,ASOF,W$72),MIN(MAX($I198,ASOF),W$72+6),HOLIDAYS)))</f>
        <v>0</v>
      </c>
      <c r="X198" s="289" t="n">
        <f aca="false">IF($L198=0,0,$L198*MAX(0,NETWORKDAYS(MAX($H198,ASOF,X$72),MIN(MAX($I198,ASOF),X$72+6),HOLIDAYS)))</f>
        <v>0</v>
      </c>
      <c r="Y198" s="289" t="n">
        <f aca="false">IF($L198=0,0,$L198*MAX(0,NETWORKDAYS(MAX($H198,ASOF,Y$72),MIN(MAX($I198,ASOF),Y$72+6),HOLIDAYS)))</f>
        <v>0</v>
      </c>
      <c r="Z198" s="289" t="n">
        <f aca="false">IF($L198=0,0,$L198*MAX(0,NETWORKDAYS(MAX($H198,ASOF,Z$72),MIN(MAX($I198,ASOF),Z$72+6),HOLIDAYS)))</f>
        <v>0</v>
      </c>
      <c r="AA198" s="289" t="n">
        <f aca="false">IF($L198=0,0,$L198*MAX(0,NETWORKDAYS(MAX($H198,ASOF,AA$72),MIN(MAX($I198,ASOF),AA$72+6),HOLIDAYS)))</f>
        <v>0</v>
      </c>
      <c r="AB198" s="289" t="n">
        <f aca="false">IF($L198=0,0,$L198*MAX(0,NETWORKDAYS(MAX($H198,ASOF,AB$72),MIN(MAX($I198,ASOF),AB$72+6),HOLIDAYS)))</f>
        <v>0</v>
      </c>
      <c r="AC198" s="289" t="n">
        <f aca="false">IF($L198=0,0,$L198*MAX(0,NETWORKDAYS(MAX($H198,ASOF,AC$72),MIN(MAX($I198,ASOF),AC$72+6),HOLIDAYS)))</f>
        <v>0</v>
      </c>
      <c r="AD198" s="289" t="n">
        <f aca="false">IF($L198=0,0,$L198*MAX(0,NETWORKDAYS(MAX($H198,ASOF,AD$72),MIN(MAX($I198,ASOF),AD$72+6),HOLIDAYS)))</f>
        <v>0</v>
      </c>
      <c r="AE198" s="289" t="n">
        <f aca="false">IF($L198=0,0,$L198*MAX(0,NETWORKDAYS(MAX($H198,ASOF,AE$72),MIN(MAX($I198,ASOF),AE$72+6),HOLIDAYS)))</f>
        <v>0</v>
      </c>
      <c r="AF198" s="289" t="n">
        <f aca="false">IF($L198=0,0,$L198*MAX(0,NETWORKDAYS(MAX($H198,ASOF,AF$72),MIN(MAX($I198,ASOF),AF$72+6),HOLIDAYS)))</f>
        <v>0</v>
      </c>
      <c r="AG198" s="289" t="n">
        <f aca="false">IF($L198=0,0,$L198*MAX(0,NETWORKDAYS(MAX($H198,ASOF,AG$72),MIN(MAX($I198,ASOF),AG$72+6),HOLIDAYS)))</f>
        <v>0</v>
      </c>
      <c r="AH198" s="289" t="n">
        <f aca="false">IF($L198=0,0,$L198*MAX(0,NETWORKDAYS(MAX($H198,ASOF,AH$72),MIN(MAX($I198,ASOF),AH$72+6),HOLIDAYS)))</f>
        <v>0</v>
      </c>
      <c r="AI198" s="289" t="n">
        <f aca="false">IF($L198=0,0,$L198*MAX(0,NETWORKDAYS(MAX($H198,ASOF,AI$72),MIN(MAX($I198,ASOF),AI$72+6),HOLIDAYS)))</f>
        <v>0</v>
      </c>
      <c r="AJ198" s="289" t="n">
        <f aca="false">IF($L198=0,0,$L198*MAX(0,NETWORKDAYS(MAX($H198,ASOF,AJ$72),MIN(MAX($I198,ASOF),AJ$72+6),HOLIDAYS)))</f>
        <v>0</v>
      </c>
      <c r="AK198" s="289" t="n">
        <f aca="false">IF($L198=0,0,$L198*MAX(0,NETWORKDAYS(MAX($H198,ASOF,AK$72),MIN(MAX($I198,ASOF),AK$72+6),HOLIDAYS)))</f>
        <v>0</v>
      </c>
      <c r="AL198" s="289" t="n">
        <f aca="false">IF($L198=0,0,$L198*MAX(0,NETWORKDAYS(MAX($H198,ASOF,AL$72),MIN(MAX($I198,ASOF),AL$72+6),HOLIDAYS)))</f>
        <v>0</v>
      </c>
      <c r="AM198" s="289" t="n">
        <f aca="false">IF($L198=0,0,$L198*MAX(0,NETWORKDAYS(MAX($H198,ASOF,AM$72),MIN(MAX($I198,ASOF),AM$72+6),HOLIDAYS)))</f>
        <v>0</v>
      </c>
      <c r="AN198" s="289" t="n">
        <f aca="false">IF($L198=0,0,$L198*MAX(0,NETWORKDAYS(MAX($H198,ASOF,AN$72),MIN(MAX($I198,ASOF),AN$72+6),HOLIDAYS)))</f>
        <v>0</v>
      </c>
      <c r="AO198" s="289" t="n">
        <f aca="false">IF($L198=0,0,$L198*MAX(0,NETWORKDAYS(MAX($H198,ASOF,AO$72),MIN(MAX($I198,ASOF),AO$72+6),HOLIDAYS)))</f>
        <v>0</v>
      </c>
      <c r="AP198" s="289" t="n">
        <f aca="false">IF($L198=0,0,$L198*MAX(0,NETWORKDAYS(MAX($H198,ASOF,AP$72),MIN(MAX($I198,ASOF),AP$72+6),HOLIDAYS)))</f>
        <v>0</v>
      </c>
      <c r="AQ198" s="289" t="n">
        <f aca="false">IF($L198=0,0,$L198*MAX(0,NETWORKDAYS(MAX($H198,ASOF,AQ$72),MIN(MAX($I198,ASOF),AQ$72+6),HOLIDAYS)))</f>
        <v>0</v>
      </c>
      <c r="AR198" s="289" t="n">
        <f aca="false">IF($L198=0,0,$L198*MAX(0,NETWORKDAYS(MAX($H198,ASOF,AR$72),MIN(MAX($I198,ASOF),AR$72+6),HOLIDAYS)))</f>
        <v>0</v>
      </c>
    </row>
    <row r="199" customFormat="false" ht="15" hidden="false" customHeight="false" outlineLevel="1" collapsed="false">
      <c r="A199" s="282" t="s">
        <v>82</v>
      </c>
      <c r="B199" s="283" t="s">
        <v>84</v>
      </c>
      <c r="C199" s="284" t="s">
        <v>2366</v>
      </c>
      <c r="D199" s="284" t="s">
        <v>2284</v>
      </c>
      <c r="E199" s="285" t="n">
        <v>1</v>
      </c>
      <c r="F199" s="290" t="s">
        <v>35</v>
      </c>
      <c r="G199" s="285" t="n">
        <f aca="false">$F$11*$H$11</f>
        <v>16</v>
      </c>
      <c r="H199" s="286" t="n">
        <f aca="false">IF(ISNUMBER('P9-011'!$N$90),'P9-011'!$N$90,"")</f>
        <v>46344</v>
      </c>
      <c r="I199" s="286" t="n">
        <f aca="false">IF(ISNUMBER('P9-011'!$O$90),'P9-011'!$O$90,"")</f>
        <v>46347</v>
      </c>
      <c r="J199" s="287" t="n">
        <f aca="false">IF(OR(H199="",I199="",N199&gt;=1),0,MAX(1,NETWORKDAYS(MAX(H199,ASOF),MAX(I199,ASOF),HOLIDAYS)))</f>
        <v>3</v>
      </c>
      <c r="K199" s="287" t="n">
        <f aca="false">IF(L199=0,0,ROUNDUP(L199/$F$11,0))</f>
        <v>2</v>
      </c>
      <c r="L199" s="285" t="n">
        <f aca="false">IF(J199=0,0,G199*(1-N199)/J199)</f>
        <v>5.33333333333333</v>
      </c>
      <c r="M199" s="283" t="s">
        <v>1113</v>
      </c>
      <c r="N199" s="288" t="n">
        <f aca="false">IFERROR(MIN(1,'P9-011'!$V$90)+0,0)</f>
        <v>0</v>
      </c>
      <c r="O199" s="289" t="n">
        <f aca="false">IF($L199=0,0,$L199*MAX(0,NETWORKDAYS(MAX($H199,ASOF,O$72),MIN(MAX($I199,ASOF),O$72+6),HOLIDAYS)))</f>
        <v>0</v>
      </c>
      <c r="P199" s="289" t="n">
        <f aca="false">IF($L199=0,0,$L199*MAX(0,NETWORKDAYS(MAX($H199,ASOF,P$72),MIN(MAX($I199,ASOF),P$72+6),HOLIDAYS)))</f>
        <v>0</v>
      </c>
      <c r="Q199" s="289" t="n">
        <f aca="false">IF($L199=0,0,$L199*MAX(0,NETWORKDAYS(MAX($H199,ASOF,Q$72),MIN(MAX($I199,ASOF),Q$72+6),HOLIDAYS)))</f>
        <v>16</v>
      </c>
      <c r="R199" s="289" t="n">
        <f aca="false">IF($L199=0,0,$L199*MAX(0,NETWORKDAYS(MAX($H199,ASOF,R$72),MIN(MAX($I199,ASOF),R$72+6),HOLIDAYS)))</f>
        <v>0</v>
      </c>
      <c r="S199" s="289" t="n">
        <f aca="false">IF($L199=0,0,$L199*MAX(0,NETWORKDAYS(MAX($H199,ASOF,S$72),MIN(MAX($I199,ASOF),S$72+6),HOLIDAYS)))</f>
        <v>0</v>
      </c>
      <c r="T199" s="289" t="n">
        <f aca="false">IF($L199=0,0,$L199*MAX(0,NETWORKDAYS(MAX($H199,ASOF,T$72),MIN(MAX($I199,ASOF),T$72+6),HOLIDAYS)))</f>
        <v>0</v>
      </c>
      <c r="U199" s="289" t="n">
        <f aca="false">IF($L199=0,0,$L199*MAX(0,NETWORKDAYS(MAX($H199,ASOF,U$72),MIN(MAX($I199,ASOF),U$72+6),HOLIDAYS)))</f>
        <v>0</v>
      </c>
      <c r="V199" s="289" t="n">
        <f aca="false">IF($L199=0,0,$L199*MAX(0,NETWORKDAYS(MAX($H199,ASOF,V$72),MIN(MAX($I199,ASOF),V$72+6),HOLIDAYS)))</f>
        <v>0</v>
      </c>
      <c r="W199" s="289" t="n">
        <f aca="false">IF($L199=0,0,$L199*MAX(0,NETWORKDAYS(MAX($H199,ASOF,W$72),MIN(MAX($I199,ASOF),W$72+6),HOLIDAYS)))</f>
        <v>0</v>
      </c>
      <c r="X199" s="289" t="n">
        <f aca="false">IF($L199=0,0,$L199*MAX(0,NETWORKDAYS(MAX($H199,ASOF,X$72),MIN(MAX($I199,ASOF),X$72+6),HOLIDAYS)))</f>
        <v>0</v>
      </c>
      <c r="Y199" s="289" t="n">
        <f aca="false">IF($L199=0,0,$L199*MAX(0,NETWORKDAYS(MAX($H199,ASOF,Y$72),MIN(MAX($I199,ASOF),Y$72+6),HOLIDAYS)))</f>
        <v>0</v>
      </c>
      <c r="Z199" s="289" t="n">
        <f aca="false">IF($L199=0,0,$L199*MAX(0,NETWORKDAYS(MAX($H199,ASOF,Z$72),MIN(MAX($I199,ASOF),Z$72+6),HOLIDAYS)))</f>
        <v>0</v>
      </c>
      <c r="AA199" s="289" t="n">
        <f aca="false">IF($L199=0,0,$L199*MAX(0,NETWORKDAYS(MAX($H199,ASOF,AA$72),MIN(MAX($I199,ASOF),AA$72+6),HOLIDAYS)))</f>
        <v>0</v>
      </c>
      <c r="AB199" s="289" t="n">
        <f aca="false">IF($L199=0,0,$L199*MAX(0,NETWORKDAYS(MAX($H199,ASOF,AB$72),MIN(MAX($I199,ASOF),AB$72+6),HOLIDAYS)))</f>
        <v>0</v>
      </c>
      <c r="AC199" s="289" t="n">
        <f aca="false">IF($L199=0,0,$L199*MAX(0,NETWORKDAYS(MAX($H199,ASOF,AC$72),MIN(MAX($I199,ASOF),AC$72+6),HOLIDAYS)))</f>
        <v>0</v>
      </c>
      <c r="AD199" s="289" t="n">
        <f aca="false">IF($L199=0,0,$L199*MAX(0,NETWORKDAYS(MAX($H199,ASOF,AD$72),MIN(MAX($I199,ASOF),AD$72+6),HOLIDAYS)))</f>
        <v>0</v>
      </c>
      <c r="AE199" s="289" t="n">
        <f aca="false">IF($L199=0,0,$L199*MAX(0,NETWORKDAYS(MAX($H199,ASOF,AE$72),MIN(MAX($I199,ASOF),AE$72+6),HOLIDAYS)))</f>
        <v>0</v>
      </c>
      <c r="AF199" s="289" t="n">
        <f aca="false">IF($L199=0,0,$L199*MAX(0,NETWORKDAYS(MAX($H199,ASOF,AF$72),MIN(MAX($I199,ASOF),AF$72+6),HOLIDAYS)))</f>
        <v>0</v>
      </c>
      <c r="AG199" s="289" t="n">
        <f aca="false">IF($L199=0,0,$L199*MAX(0,NETWORKDAYS(MAX($H199,ASOF,AG$72),MIN(MAX($I199,ASOF),AG$72+6),HOLIDAYS)))</f>
        <v>0</v>
      </c>
      <c r="AH199" s="289" t="n">
        <f aca="false">IF($L199=0,0,$L199*MAX(0,NETWORKDAYS(MAX($H199,ASOF,AH$72),MIN(MAX($I199,ASOF),AH$72+6),HOLIDAYS)))</f>
        <v>0</v>
      </c>
      <c r="AI199" s="289" t="n">
        <f aca="false">IF($L199=0,0,$L199*MAX(0,NETWORKDAYS(MAX($H199,ASOF,AI$72),MIN(MAX($I199,ASOF),AI$72+6),HOLIDAYS)))</f>
        <v>0</v>
      </c>
      <c r="AJ199" s="289" t="n">
        <f aca="false">IF($L199=0,0,$L199*MAX(0,NETWORKDAYS(MAX($H199,ASOF,AJ$72),MIN(MAX($I199,ASOF),AJ$72+6),HOLIDAYS)))</f>
        <v>0</v>
      </c>
      <c r="AK199" s="289" t="n">
        <f aca="false">IF($L199=0,0,$L199*MAX(0,NETWORKDAYS(MAX($H199,ASOF,AK$72),MIN(MAX($I199,ASOF),AK$72+6),HOLIDAYS)))</f>
        <v>0</v>
      </c>
      <c r="AL199" s="289" t="n">
        <f aca="false">IF($L199=0,0,$L199*MAX(0,NETWORKDAYS(MAX($H199,ASOF,AL$72),MIN(MAX($I199,ASOF),AL$72+6),HOLIDAYS)))</f>
        <v>0</v>
      </c>
      <c r="AM199" s="289" t="n">
        <f aca="false">IF($L199=0,0,$L199*MAX(0,NETWORKDAYS(MAX($H199,ASOF,AM$72),MIN(MAX($I199,ASOF),AM$72+6),HOLIDAYS)))</f>
        <v>0</v>
      </c>
      <c r="AN199" s="289" t="n">
        <f aca="false">IF($L199=0,0,$L199*MAX(0,NETWORKDAYS(MAX($H199,ASOF,AN$72),MIN(MAX($I199,ASOF),AN$72+6),HOLIDAYS)))</f>
        <v>0</v>
      </c>
      <c r="AO199" s="289" t="n">
        <f aca="false">IF($L199=0,0,$L199*MAX(0,NETWORKDAYS(MAX($H199,ASOF,AO$72),MIN(MAX($I199,ASOF),AO$72+6),HOLIDAYS)))</f>
        <v>0</v>
      </c>
      <c r="AP199" s="289" t="n">
        <f aca="false">IF($L199=0,0,$L199*MAX(0,NETWORKDAYS(MAX($H199,ASOF,AP$72),MIN(MAX($I199,ASOF),AP$72+6),HOLIDAYS)))</f>
        <v>0</v>
      </c>
      <c r="AQ199" s="289" t="n">
        <f aca="false">IF($L199=0,0,$L199*MAX(0,NETWORKDAYS(MAX($H199,ASOF,AQ$72),MIN(MAX($I199,ASOF),AQ$72+6),HOLIDAYS)))</f>
        <v>0</v>
      </c>
      <c r="AR199" s="289" t="n">
        <f aca="false">IF($L199=0,0,$L199*MAX(0,NETWORKDAYS(MAX($H199,ASOF,AR$72),MIN(MAX($I199,ASOF),AR$72+6),HOLIDAYS)))</f>
        <v>0</v>
      </c>
    </row>
    <row r="200" customFormat="false" ht="15" hidden="false" customHeight="false" outlineLevel="1" collapsed="false">
      <c r="A200" s="282" t="s">
        <v>82</v>
      </c>
      <c r="B200" s="283" t="s">
        <v>84</v>
      </c>
      <c r="C200" s="284" t="s">
        <v>2367</v>
      </c>
      <c r="D200" s="284" t="s">
        <v>2284</v>
      </c>
      <c r="E200" s="285" t="n">
        <v>1</v>
      </c>
      <c r="F200" s="290" t="s">
        <v>35</v>
      </c>
      <c r="G200" s="285" t="n">
        <f aca="false">$F$12*$H$12</f>
        <v>4</v>
      </c>
      <c r="H200" s="286" t="n">
        <f aca="false">IF(ISNUMBER('P9-011'!$N$96),'P9-011'!$N$96,"")</f>
        <v>46345</v>
      </c>
      <c r="I200" s="286" t="n">
        <f aca="false">IF(ISNUMBER('P9-011'!$O$96),'P9-011'!$O$96,"")</f>
        <v>46347</v>
      </c>
      <c r="J200" s="287" t="n">
        <f aca="false">IF(OR(H200="",I200="",N200&gt;=1),0,MAX(1,NETWORKDAYS(MAX(H200,ASOF),MAX(I200,ASOF),HOLIDAYS)))</f>
        <v>2</v>
      </c>
      <c r="K200" s="287" t="n">
        <f aca="false">IF(L200=0,0,ROUNDUP(L200/$F$12,0))</f>
        <v>1</v>
      </c>
      <c r="L200" s="285" t="n">
        <f aca="false">IF(J200=0,0,G200*(1-N200)/J200)</f>
        <v>2</v>
      </c>
      <c r="M200" s="283" t="s">
        <v>1147</v>
      </c>
      <c r="N200" s="288" t="n">
        <f aca="false">IFERROR(MIN(1,'P9-011'!$V$96)+0,0)</f>
        <v>0</v>
      </c>
      <c r="O200" s="289" t="n">
        <f aca="false">IF($L200=0,0,$L200*MAX(0,NETWORKDAYS(MAX($H200,ASOF,O$72),MIN(MAX($I200,ASOF),O$72+6),HOLIDAYS)))</f>
        <v>0</v>
      </c>
      <c r="P200" s="289" t="n">
        <f aca="false">IF($L200=0,0,$L200*MAX(0,NETWORKDAYS(MAX($H200,ASOF,P$72),MIN(MAX($I200,ASOF),P$72+6),HOLIDAYS)))</f>
        <v>0</v>
      </c>
      <c r="Q200" s="289" t="n">
        <f aca="false">IF($L200=0,0,$L200*MAX(0,NETWORKDAYS(MAX($H200,ASOF,Q$72),MIN(MAX($I200,ASOF),Q$72+6),HOLIDAYS)))</f>
        <v>4</v>
      </c>
      <c r="R200" s="289" t="n">
        <f aca="false">IF($L200=0,0,$L200*MAX(0,NETWORKDAYS(MAX($H200,ASOF,R$72),MIN(MAX($I200,ASOF),R$72+6),HOLIDAYS)))</f>
        <v>0</v>
      </c>
      <c r="S200" s="289" t="n">
        <f aca="false">IF($L200=0,0,$L200*MAX(0,NETWORKDAYS(MAX($H200,ASOF,S$72),MIN(MAX($I200,ASOF),S$72+6),HOLIDAYS)))</f>
        <v>0</v>
      </c>
      <c r="T200" s="289" t="n">
        <f aca="false">IF($L200=0,0,$L200*MAX(0,NETWORKDAYS(MAX($H200,ASOF,T$72),MIN(MAX($I200,ASOF),T$72+6),HOLIDAYS)))</f>
        <v>0</v>
      </c>
      <c r="U200" s="289" t="n">
        <f aca="false">IF($L200=0,0,$L200*MAX(0,NETWORKDAYS(MAX($H200,ASOF,U$72),MIN(MAX($I200,ASOF),U$72+6),HOLIDAYS)))</f>
        <v>0</v>
      </c>
      <c r="V200" s="289" t="n">
        <f aca="false">IF($L200=0,0,$L200*MAX(0,NETWORKDAYS(MAX($H200,ASOF,V$72),MIN(MAX($I200,ASOF),V$72+6),HOLIDAYS)))</f>
        <v>0</v>
      </c>
      <c r="W200" s="289" t="n">
        <f aca="false">IF($L200=0,0,$L200*MAX(0,NETWORKDAYS(MAX($H200,ASOF,W$72),MIN(MAX($I200,ASOF),W$72+6),HOLIDAYS)))</f>
        <v>0</v>
      </c>
      <c r="X200" s="289" t="n">
        <f aca="false">IF($L200=0,0,$L200*MAX(0,NETWORKDAYS(MAX($H200,ASOF,X$72),MIN(MAX($I200,ASOF),X$72+6),HOLIDAYS)))</f>
        <v>0</v>
      </c>
      <c r="Y200" s="289" t="n">
        <f aca="false">IF($L200=0,0,$L200*MAX(0,NETWORKDAYS(MAX($H200,ASOF,Y$72),MIN(MAX($I200,ASOF),Y$72+6),HOLIDAYS)))</f>
        <v>0</v>
      </c>
      <c r="Z200" s="289" t="n">
        <f aca="false">IF($L200=0,0,$L200*MAX(0,NETWORKDAYS(MAX($H200,ASOF,Z$72),MIN(MAX($I200,ASOF),Z$72+6),HOLIDAYS)))</f>
        <v>0</v>
      </c>
      <c r="AA200" s="289" t="n">
        <f aca="false">IF($L200=0,0,$L200*MAX(0,NETWORKDAYS(MAX($H200,ASOF,AA$72),MIN(MAX($I200,ASOF),AA$72+6),HOLIDAYS)))</f>
        <v>0</v>
      </c>
      <c r="AB200" s="289" t="n">
        <f aca="false">IF($L200=0,0,$L200*MAX(0,NETWORKDAYS(MAX($H200,ASOF,AB$72),MIN(MAX($I200,ASOF),AB$72+6),HOLIDAYS)))</f>
        <v>0</v>
      </c>
      <c r="AC200" s="289" t="n">
        <f aca="false">IF($L200=0,0,$L200*MAX(0,NETWORKDAYS(MAX($H200,ASOF,AC$72),MIN(MAX($I200,ASOF),AC$72+6),HOLIDAYS)))</f>
        <v>0</v>
      </c>
      <c r="AD200" s="289" t="n">
        <f aca="false">IF($L200=0,0,$L200*MAX(0,NETWORKDAYS(MAX($H200,ASOF,AD$72),MIN(MAX($I200,ASOF),AD$72+6),HOLIDAYS)))</f>
        <v>0</v>
      </c>
      <c r="AE200" s="289" t="n">
        <f aca="false">IF($L200=0,0,$L200*MAX(0,NETWORKDAYS(MAX($H200,ASOF,AE$72),MIN(MAX($I200,ASOF),AE$72+6),HOLIDAYS)))</f>
        <v>0</v>
      </c>
      <c r="AF200" s="289" t="n">
        <f aca="false">IF($L200=0,0,$L200*MAX(0,NETWORKDAYS(MAX($H200,ASOF,AF$72),MIN(MAX($I200,ASOF),AF$72+6),HOLIDAYS)))</f>
        <v>0</v>
      </c>
      <c r="AG200" s="289" t="n">
        <f aca="false">IF($L200=0,0,$L200*MAX(0,NETWORKDAYS(MAX($H200,ASOF,AG$72),MIN(MAX($I200,ASOF),AG$72+6),HOLIDAYS)))</f>
        <v>0</v>
      </c>
      <c r="AH200" s="289" t="n">
        <f aca="false">IF($L200=0,0,$L200*MAX(0,NETWORKDAYS(MAX($H200,ASOF,AH$72),MIN(MAX($I200,ASOF),AH$72+6),HOLIDAYS)))</f>
        <v>0</v>
      </c>
      <c r="AI200" s="289" t="n">
        <f aca="false">IF($L200=0,0,$L200*MAX(0,NETWORKDAYS(MAX($H200,ASOF,AI$72),MIN(MAX($I200,ASOF),AI$72+6),HOLIDAYS)))</f>
        <v>0</v>
      </c>
      <c r="AJ200" s="289" t="n">
        <f aca="false">IF($L200=0,0,$L200*MAX(0,NETWORKDAYS(MAX($H200,ASOF,AJ$72),MIN(MAX($I200,ASOF),AJ$72+6),HOLIDAYS)))</f>
        <v>0</v>
      </c>
      <c r="AK200" s="289" t="n">
        <f aca="false">IF($L200=0,0,$L200*MAX(0,NETWORKDAYS(MAX($H200,ASOF,AK$72),MIN(MAX($I200,ASOF),AK$72+6),HOLIDAYS)))</f>
        <v>0</v>
      </c>
      <c r="AL200" s="289" t="n">
        <f aca="false">IF($L200=0,0,$L200*MAX(0,NETWORKDAYS(MAX($H200,ASOF,AL$72),MIN(MAX($I200,ASOF),AL$72+6),HOLIDAYS)))</f>
        <v>0</v>
      </c>
      <c r="AM200" s="289" t="n">
        <f aca="false">IF($L200=0,0,$L200*MAX(0,NETWORKDAYS(MAX($H200,ASOF,AM$72),MIN(MAX($I200,ASOF),AM$72+6),HOLIDAYS)))</f>
        <v>0</v>
      </c>
      <c r="AN200" s="289" t="n">
        <f aca="false">IF($L200=0,0,$L200*MAX(0,NETWORKDAYS(MAX($H200,ASOF,AN$72),MIN(MAX($I200,ASOF),AN$72+6),HOLIDAYS)))</f>
        <v>0</v>
      </c>
      <c r="AO200" s="289" t="n">
        <f aca="false">IF($L200=0,0,$L200*MAX(0,NETWORKDAYS(MAX($H200,ASOF,AO$72),MIN(MAX($I200,ASOF),AO$72+6),HOLIDAYS)))</f>
        <v>0</v>
      </c>
      <c r="AP200" s="289" t="n">
        <f aca="false">IF($L200=0,0,$L200*MAX(0,NETWORKDAYS(MAX($H200,ASOF,AP$72),MIN(MAX($I200,ASOF),AP$72+6),HOLIDAYS)))</f>
        <v>0</v>
      </c>
      <c r="AQ200" s="289" t="n">
        <f aca="false">IF($L200=0,0,$L200*MAX(0,NETWORKDAYS(MAX($H200,ASOF,AQ$72),MIN(MAX($I200,ASOF),AQ$72+6),HOLIDAYS)))</f>
        <v>0</v>
      </c>
      <c r="AR200" s="289" t="n">
        <f aca="false">IF($L200=0,0,$L200*MAX(0,NETWORKDAYS(MAX($H200,ASOF,AR$72),MIN(MAX($I200,ASOF),AR$72+6),HOLIDAYS)))</f>
        <v>0</v>
      </c>
    </row>
    <row r="201" customFormat="false" ht="15" hidden="false" customHeight="false" outlineLevel="1" collapsed="false">
      <c r="A201" s="282" t="s">
        <v>82</v>
      </c>
      <c r="B201" s="283" t="s">
        <v>84</v>
      </c>
      <c r="C201" s="284" t="s">
        <v>2371</v>
      </c>
      <c r="D201" s="284" t="s">
        <v>2284</v>
      </c>
      <c r="E201" s="285" t="n">
        <v>1</v>
      </c>
      <c r="F201" s="290" t="s">
        <v>35</v>
      </c>
      <c r="G201" s="285" t="n">
        <f aca="false">$F$14*$H$14</f>
        <v>3</v>
      </c>
      <c r="H201" s="286" t="n">
        <f aca="false">IF(ISNUMBER('P9-011'!$N$100),'P9-011'!$N$100,"")</f>
        <v>46346</v>
      </c>
      <c r="I201" s="286" t="n">
        <f aca="false">IF(ISNUMBER('P9-011'!$O$100),'P9-011'!$O$100,"")</f>
        <v>46348</v>
      </c>
      <c r="J201" s="287" t="n">
        <f aca="false">IF(OR(H201="",I201="",N201&gt;=1),0,MAX(1,NETWORKDAYS(MAX(H201,ASOF),MAX(I201,ASOF),HOLIDAYS)))</f>
        <v>1</v>
      </c>
      <c r="K201" s="287" t="n">
        <f aca="false">IF(L201=0,0,ROUNDUP(L201/$F$14,0))</f>
        <v>2</v>
      </c>
      <c r="L201" s="285" t="n">
        <f aca="false">IF(J201=0,0,G201*(1-N201)/J201)</f>
        <v>3</v>
      </c>
      <c r="M201" s="283" t="s">
        <v>2304</v>
      </c>
      <c r="N201" s="288" t="n">
        <f aca="false">IFERROR(MIN(1,'P9-011'!$V$100)+0,0)</f>
        <v>0</v>
      </c>
      <c r="O201" s="289" t="n">
        <f aca="false">IF($L201=0,0,$L201*MAX(0,NETWORKDAYS(MAX($H201,ASOF,O$72),MIN(MAX($I201,ASOF),O$72+6),HOLIDAYS)))</f>
        <v>0</v>
      </c>
      <c r="P201" s="289" t="n">
        <f aca="false">IF($L201=0,0,$L201*MAX(0,NETWORKDAYS(MAX($H201,ASOF,P$72),MIN(MAX($I201,ASOF),P$72+6),HOLIDAYS)))</f>
        <v>0</v>
      </c>
      <c r="Q201" s="289" t="n">
        <f aca="false">IF($L201=0,0,$L201*MAX(0,NETWORKDAYS(MAX($H201,ASOF,Q$72),MIN(MAX($I201,ASOF),Q$72+6),HOLIDAYS)))</f>
        <v>3</v>
      </c>
      <c r="R201" s="289" t="n">
        <f aca="false">IF($L201=0,0,$L201*MAX(0,NETWORKDAYS(MAX($H201,ASOF,R$72),MIN(MAX($I201,ASOF),R$72+6),HOLIDAYS)))</f>
        <v>0</v>
      </c>
      <c r="S201" s="289" t="n">
        <f aca="false">IF($L201=0,0,$L201*MAX(0,NETWORKDAYS(MAX($H201,ASOF,S$72),MIN(MAX($I201,ASOF),S$72+6),HOLIDAYS)))</f>
        <v>0</v>
      </c>
      <c r="T201" s="289" t="n">
        <f aca="false">IF($L201=0,0,$L201*MAX(0,NETWORKDAYS(MAX($H201,ASOF,T$72),MIN(MAX($I201,ASOF),T$72+6),HOLIDAYS)))</f>
        <v>0</v>
      </c>
      <c r="U201" s="289" t="n">
        <f aca="false">IF($L201=0,0,$L201*MAX(0,NETWORKDAYS(MAX($H201,ASOF,U$72),MIN(MAX($I201,ASOF),U$72+6),HOLIDAYS)))</f>
        <v>0</v>
      </c>
      <c r="V201" s="289" t="n">
        <f aca="false">IF($L201=0,0,$L201*MAX(0,NETWORKDAYS(MAX($H201,ASOF,V$72),MIN(MAX($I201,ASOF),V$72+6),HOLIDAYS)))</f>
        <v>0</v>
      </c>
      <c r="W201" s="289" t="n">
        <f aca="false">IF($L201=0,0,$L201*MAX(0,NETWORKDAYS(MAX($H201,ASOF,W$72),MIN(MAX($I201,ASOF),W$72+6),HOLIDAYS)))</f>
        <v>0</v>
      </c>
      <c r="X201" s="289" t="n">
        <f aca="false">IF($L201=0,0,$L201*MAX(0,NETWORKDAYS(MAX($H201,ASOF,X$72),MIN(MAX($I201,ASOF),X$72+6),HOLIDAYS)))</f>
        <v>0</v>
      </c>
      <c r="Y201" s="289" t="n">
        <f aca="false">IF($L201=0,0,$L201*MAX(0,NETWORKDAYS(MAX($H201,ASOF,Y$72),MIN(MAX($I201,ASOF),Y$72+6),HOLIDAYS)))</f>
        <v>0</v>
      </c>
      <c r="Z201" s="289" t="n">
        <f aca="false">IF($L201=0,0,$L201*MAX(0,NETWORKDAYS(MAX($H201,ASOF,Z$72),MIN(MAX($I201,ASOF),Z$72+6),HOLIDAYS)))</f>
        <v>0</v>
      </c>
      <c r="AA201" s="289" t="n">
        <f aca="false">IF($L201=0,0,$L201*MAX(0,NETWORKDAYS(MAX($H201,ASOF,AA$72),MIN(MAX($I201,ASOF),AA$72+6),HOLIDAYS)))</f>
        <v>0</v>
      </c>
      <c r="AB201" s="289" t="n">
        <f aca="false">IF($L201=0,0,$L201*MAX(0,NETWORKDAYS(MAX($H201,ASOF,AB$72),MIN(MAX($I201,ASOF),AB$72+6),HOLIDAYS)))</f>
        <v>0</v>
      </c>
      <c r="AC201" s="289" t="n">
        <f aca="false">IF($L201=0,0,$L201*MAX(0,NETWORKDAYS(MAX($H201,ASOF,AC$72),MIN(MAX($I201,ASOF),AC$72+6),HOLIDAYS)))</f>
        <v>0</v>
      </c>
      <c r="AD201" s="289" t="n">
        <f aca="false">IF($L201=0,0,$L201*MAX(0,NETWORKDAYS(MAX($H201,ASOF,AD$72),MIN(MAX($I201,ASOF),AD$72+6),HOLIDAYS)))</f>
        <v>0</v>
      </c>
      <c r="AE201" s="289" t="n">
        <f aca="false">IF($L201=0,0,$L201*MAX(0,NETWORKDAYS(MAX($H201,ASOF,AE$72),MIN(MAX($I201,ASOF),AE$72+6),HOLIDAYS)))</f>
        <v>0</v>
      </c>
      <c r="AF201" s="289" t="n">
        <f aca="false">IF($L201=0,0,$L201*MAX(0,NETWORKDAYS(MAX($H201,ASOF,AF$72),MIN(MAX($I201,ASOF),AF$72+6),HOLIDAYS)))</f>
        <v>0</v>
      </c>
      <c r="AG201" s="289" t="n">
        <f aca="false">IF($L201=0,0,$L201*MAX(0,NETWORKDAYS(MAX($H201,ASOF,AG$72),MIN(MAX($I201,ASOF),AG$72+6),HOLIDAYS)))</f>
        <v>0</v>
      </c>
      <c r="AH201" s="289" t="n">
        <f aca="false">IF($L201=0,0,$L201*MAX(0,NETWORKDAYS(MAX($H201,ASOF,AH$72),MIN(MAX($I201,ASOF),AH$72+6),HOLIDAYS)))</f>
        <v>0</v>
      </c>
      <c r="AI201" s="289" t="n">
        <f aca="false">IF($L201=0,0,$L201*MAX(0,NETWORKDAYS(MAX($H201,ASOF,AI$72),MIN(MAX($I201,ASOF),AI$72+6),HOLIDAYS)))</f>
        <v>0</v>
      </c>
      <c r="AJ201" s="289" t="n">
        <f aca="false">IF($L201=0,0,$L201*MAX(0,NETWORKDAYS(MAX($H201,ASOF,AJ$72),MIN(MAX($I201,ASOF),AJ$72+6),HOLIDAYS)))</f>
        <v>0</v>
      </c>
      <c r="AK201" s="289" t="n">
        <f aca="false">IF($L201=0,0,$L201*MAX(0,NETWORKDAYS(MAX($H201,ASOF,AK$72),MIN(MAX($I201,ASOF),AK$72+6),HOLIDAYS)))</f>
        <v>0</v>
      </c>
      <c r="AL201" s="289" t="n">
        <f aca="false">IF($L201=0,0,$L201*MAX(0,NETWORKDAYS(MAX($H201,ASOF,AL$72),MIN(MAX($I201,ASOF),AL$72+6),HOLIDAYS)))</f>
        <v>0</v>
      </c>
      <c r="AM201" s="289" t="n">
        <f aca="false">IF($L201=0,0,$L201*MAX(0,NETWORKDAYS(MAX($H201,ASOF,AM$72),MIN(MAX($I201,ASOF),AM$72+6),HOLIDAYS)))</f>
        <v>0</v>
      </c>
      <c r="AN201" s="289" t="n">
        <f aca="false">IF($L201=0,0,$L201*MAX(0,NETWORKDAYS(MAX($H201,ASOF,AN$72),MIN(MAX($I201,ASOF),AN$72+6),HOLIDAYS)))</f>
        <v>0</v>
      </c>
      <c r="AO201" s="289" t="n">
        <f aca="false">IF($L201=0,0,$L201*MAX(0,NETWORKDAYS(MAX($H201,ASOF,AO$72),MIN(MAX($I201,ASOF),AO$72+6),HOLIDAYS)))</f>
        <v>0</v>
      </c>
      <c r="AP201" s="289" t="n">
        <f aca="false">IF($L201=0,0,$L201*MAX(0,NETWORKDAYS(MAX($H201,ASOF,AP$72),MIN(MAX($I201,ASOF),AP$72+6),HOLIDAYS)))</f>
        <v>0</v>
      </c>
      <c r="AQ201" s="289" t="n">
        <f aca="false">IF($L201=0,0,$L201*MAX(0,NETWORKDAYS(MAX($H201,ASOF,AQ$72),MIN(MAX($I201,ASOF),AQ$72+6),HOLIDAYS)))</f>
        <v>0</v>
      </c>
      <c r="AR201" s="289" t="n">
        <f aca="false">IF($L201=0,0,$L201*MAX(0,NETWORKDAYS(MAX($H201,ASOF,AR$72),MIN(MAX($I201,ASOF),AR$72+6),HOLIDAYS)))</f>
        <v>0</v>
      </c>
    </row>
    <row r="202" customFormat="false" ht="15" hidden="false" customHeight="false" outlineLevel="1" collapsed="false">
      <c r="A202" s="282" t="s">
        <v>82</v>
      </c>
      <c r="B202" s="283" t="s">
        <v>84</v>
      </c>
      <c r="C202" s="282" t="s">
        <v>1198</v>
      </c>
      <c r="D202" s="284" t="s">
        <v>2284</v>
      </c>
      <c r="E202" s="285" t="n">
        <v>1</v>
      </c>
      <c r="F202" s="290" t="s">
        <v>35</v>
      </c>
      <c r="G202" s="285" t="n">
        <f aca="false">$F$15*$H$15</f>
        <v>2</v>
      </c>
      <c r="H202" s="286" t="n">
        <f aca="false">IF(ISNUMBER('P9-011'!$N$107),'P9-011'!$N$107,"")</f>
        <v>46347</v>
      </c>
      <c r="I202" s="286" t="n">
        <f aca="false">IF(ISNUMBER('P9-011'!$O$107),'P9-011'!$O$107,"")</f>
        <v>46348</v>
      </c>
      <c r="J202" s="287" t="n">
        <f aca="false">IF(OR(H202="",I202="",N202&gt;=1),0,MAX(1,NETWORKDAYS(MAX(H202,ASOF),MAX(I202,ASOF),HOLIDAYS)))</f>
        <v>1</v>
      </c>
      <c r="K202" s="287" t="n">
        <f aca="false">IF(L202=0,0,ROUNDUP(L202/$F$15,0))</f>
        <v>1</v>
      </c>
      <c r="L202" s="285" t="n">
        <f aca="false">IF(J202=0,0,G202*(1-N202)/J202)</f>
        <v>2</v>
      </c>
      <c r="M202" s="283" t="s">
        <v>1192</v>
      </c>
      <c r="N202" s="288" t="n">
        <f aca="false">IFERROR(MIN(1,'P9-011'!$V$107)+0,0)</f>
        <v>0</v>
      </c>
      <c r="O202" s="289" t="n">
        <f aca="false">IF($L202=0,0,$L202*MAX(0,NETWORKDAYS(MAX($H202,ASOF,O$72),MIN(MAX($I202,ASOF),O$72+6),HOLIDAYS)))</f>
        <v>0</v>
      </c>
      <c r="P202" s="289" t="n">
        <f aca="false">IF($L202=0,0,$L202*MAX(0,NETWORKDAYS(MAX($H202,ASOF,P$72),MIN(MAX($I202,ASOF),P$72+6),HOLIDAYS)))</f>
        <v>0</v>
      </c>
      <c r="Q202" s="289" t="n">
        <f aca="false">IF($L202=0,0,$L202*MAX(0,NETWORKDAYS(MAX($H202,ASOF,Q$72),MIN(MAX($I202,ASOF),Q$72+6),HOLIDAYS)))</f>
        <v>0</v>
      </c>
      <c r="R202" s="289" t="n">
        <f aca="false">IF($L202=0,0,$L202*MAX(0,NETWORKDAYS(MAX($H202,ASOF,R$72),MIN(MAX($I202,ASOF),R$72+6),HOLIDAYS)))</f>
        <v>0</v>
      </c>
      <c r="S202" s="289" t="n">
        <f aca="false">IF($L202=0,0,$L202*MAX(0,NETWORKDAYS(MAX($H202,ASOF,S$72),MIN(MAX($I202,ASOF),S$72+6),HOLIDAYS)))</f>
        <v>0</v>
      </c>
      <c r="T202" s="289" t="n">
        <f aca="false">IF($L202=0,0,$L202*MAX(0,NETWORKDAYS(MAX($H202,ASOF,T$72),MIN(MAX($I202,ASOF),T$72+6),HOLIDAYS)))</f>
        <v>0</v>
      </c>
      <c r="U202" s="289" t="n">
        <f aca="false">IF($L202=0,0,$L202*MAX(0,NETWORKDAYS(MAX($H202,ASOF,U$72),MIN(MAX($I202,ASOF),U$72+6),HOLIDAYS)))</f>
        <v>0</v>
      </c>
      <c r="V202" s="289" t="n">
        <f aca="false">IF($L202=0,0,$L202*MAX(0,NETWORKDAYS(MAX($H202,ASOF,V$72),MIN(MAX($I202,ASOF),V$72+6),HOLIDAYS)))</f>
        <v>0</v>
      </c>
      <c r="W202" s="289" t="n">
        <f aca="false">IF($L202=0,0,$L202*MAX(0,NETWORKDAYS(MAX($H202,ASOF,W$72),MIN(MAX($I202,ASOF),W$72+6),HOLIDAYS)))</f>
        <v>0</v>
      </c>
      <c r="X202" s="289" t="n">
        <f aca="false">IF($L202=0,0,$L202*MAX(0,NETWORKDAYS(MAX($H202,ASOF,X$72),MIN(MAX($I202,ASOF),X$72+6),HOLIDAYS)))</f>
        <v>0</v>
      </c>
      <c r="Y202" s="289" t="n">
        <f aca="false">IF($L202=0,0,$L202*MAX(0,NETWORKDAYS(MAX($H202,ASOF,Y$72),MIN(MAX($I202,ASOF),Y$72+6),HOLIDAYS)))</f>
        <v>0</v>
      </c>
      <c r="Z202" s="289" t="n">
        <f aca="false">IF($L202=0,0,$L202*MAX(0,NETWORKDAYS(MAX($H202,ASOF,Z$72),MIN(MAX($I202,ASOF),Z$72+6),HOLIDAYS)))</f>
        <v>0</v>
      </c>
      <c r="AA202" s="289" t="n">
        <f aca="false">IF($L202=0,0,$L202*MAX(0,NETWORKDAYS(MAX($H202,ASOF,AA$72),MIN(MAX($I202,ASOF),AA$72+6),HOLIDAYS)))</f>
        <v>0</v>
      </c>
      <c r="AB202" s="289" t="n">
        <f aca="false">IF($L202=0,0,$L202*MAX(0,NETWORKDAYS(MAX($H202,ASOF,AB$72),MIN(MAX($I202,ASOF),AB$72+6),HOLIDAYS)))</f>
        <v>0</v>
      </c>
      <c r="AC202" s="289" t="n">
        <f aca="false">IF($L202=0,0,$L202*MAX(0,NETWORKDAYS(MAX($H202,ASOF,AC$72),MIN(MAX($I202,ASOF),AC$72+6),HOLIDAYS)))</f>
        <v>0</v>
      </c>
      <c r="AD202" s="289" t="n">
        <f aca="false">IF($L202=0,0,$L202*MAX(0,NETWORKDAYS(MAX($H202,ASOF,AD$72),MIN(MAX($I202,ASOF),AD$72+6),HOLIDAYS)))</f>
        <v>0</v>
      </c>
      <c r="AE202" s="289" t="n">
        <f aca="false">IF($L202=0,0,$L202*MAX(0,NETWORKDAYS(MAX($H202,ASOF,AE$72),MIN(MAX($I202,ASOF),AE$72+6),HOLIDAYS)))</f>
        <v>0</v>
      </c>
      <c r="AF202" s="289" t="n">
        <f aca="false">IF($L202=0,0,$L202*MAX(0,NETWORKDAYS(MAX($H202,ASOF,AF$72),MIN(MAX($I202,ASOF),AF$72+6),HOLIDAYS)))</f>
        <v>0</v>
      </c>
      <c r="AG202" s="289" t="n">
        <f aca="false">IF($L202=0,0,$L202*MAX(0,NETWORKDAYS(MAX($H202,ASOF,AG$72),MIN(MAX($I202,ASOF),AG$72+6),HOLIDAYS)))</f>
        <v>0</v>
      </c>
      <c r="AH202" s="289" t="n">
        <f aca="false">IF($L202=0,0,$L202*MAX(0,NETWORKDAYS(MAX($H202,ASOF,AH$72),MIN(MAX($I202,ASOF),AH$72+6),HOLIDAYS)))</f>
        <v>0</v>
      </c>
      <c r="AI202" s="289" t="n">
        <f aca="false">IF($L202=0,0,$L202*MAX(0,NETWORKDAYS(MAX($H202,ASOF,AI$72),MIN(MAX($I202,ASOF),AI$72+6),HOLIDAYS)))</f>
        <v>0</v>
      </c>
      <c r="AJ202" s="289" t="n">
        <f aca="false">IF($L202=0,0,$L202*MAX(0,NETWORKDAYS(MAX($H202,ASOF,AJ$72),MIN(MAX($I202,ASOF),AJ$72+6),HOLIDAYS)))</f>
        <v>0</v>
      </c>
      <c r="AK202" s="289" t="n">
        <f aca="false">IF($L202=0,0,$L202*MAX(0,NETWORKDAYS(MAX($H202,ASOF,AK$72),MIN(MAX($I202,ASOF),AK$72+6),HOLIDAYS)))</f>
        <v>0</v>
      </c>
      <c r="AL202" s="289" t="n">
        <f aca="false">IF($L202=0,0,$L202*MAX(0,NETWORKDAYS(MAX($H202,ASOF,AL$72),MIN(MAX($I202,ASOF),AL$72+6),HOLIDAYS)))</f>
        <v>0</v>
      </c>
      <c r="AM202" s="289" t="n">
        <f aca="false">IF($L202=0,0,$L202*MAX(0,NETWORKDAYS(MAX($H202,ASOF,AM$72),MIN(MAX($I202,ASOF),AM$72+6),HOLIDAYS)))</f>
        <v>0</v>
      </c>
      <c r="AN202" s="289" t="n">
        <f aca="false">IF($L202=0,0,$L202*MAX(0,NETWORKDAYS(MAX($H202,ASOF,AN$72),MIN(MAX($I202,ASOF),AN$72+6),HOLIDAYS)))</f>
        <v>0</v>
      </c>
      <c r="AO202" s="289" t="n">
        <f aca="false">IF($L202=0,0,$L202*MAX(0,NETWORKDAYS(MAX($H202,ASOF,AO$72),MIN(MAX($I202,ASOF),AO$72+6),HOLIDAYS)))</f>
        <v>0</v>
      </c>
      <c r="AP202" s="289" t="n">
        <f aca="false">IF($L202=0,0,$L202*MAX(0,NETWORKDAYS(MAX($H202,ASOF,AP$72),MIN(MAX($I202,ASOF),AP$72+6),HOLIDAYS)))</f>
        <v>0</v>
      </c>
      <c r="AQ202" s="289" t="n">
        <f aca="false">IF($L202=0,0,$L202*MAX(0,NETWORKDAYS(MAX($H202,ASOF,AQ$72),MIN(MAX($I202,ASOF),AQ$72+6),HOLIDAYS)))</f>
        <v>0</v>
      </c>
      <c r="AR202" s="289" t="n">
        <f aca="false">IF($L202=0,0,$L202*MAX(0,NETWORKDAYS(MAX($H202,ASOF,AR$72),MIN(MAX($I202,ASOF),AR$72+6),HOLIDAYS)))</f>
        <v>0</v>
      </c>
    </row>
    <row r="203" customFormat="false" ht="15" hidden="false" customHeight="false" outlineLevel="1" collapsed="false">
      <c r="A203" s="282" t="s">
        <v>82</v>
      </c>
      <c r="B203" s="283" t="s">
        <v>84</v>
      </c>
      <c r="C203" s="284" t="s">
        <v>2369</v>
      </c>
      <c r="D203" s="284" t="s">
        <v>2308</v>
      </c>
      <c r="E203" s="285" t="n">
        <v>150.48</v>
      </c>
      <c r="F203" s="283" t="s">
        <v>527</v>
      </c>
      <c r="G203" s="285" t="n">
        <f aca="false">$F$16*(E203/$G$16+$H$16)</f>
        <v>10.5144</v>
      </c>
      <c r="H203" s="286" t="n">
        <f aca="false">IF(ISNUMBER('P9-011'!$N$115),'P9-011'!$N$115,"")</f>
        <v>46359</v>
      </c>
      <c r="I203" s="286" t="n">
        <f aca="false">IF(ISNUMBER('P9-011'!$O$115),'P9-011'!$O$115,"")</f>
        <v>46359</v>
      </c>
      <c r="J203" s="287" t="n">
        <f aca="false">IF(OR(H203="",I203="",N203&gt;=1),0,MAX(1,NETWORKDAYS(MAX(H203,ASOF),MAX(I203,ASOF),HOLIDAYS)))</f>
        <v>1</v>
      </c>
      <c r="K203" s="287" t="n">
        <f aca="false">IF(L203=0,0,ROUNDUP(L203/$F$16,0))</f>
        <v>4</v>
      </c>
      <c r="L203" s="285" t="n">
        <f aca="false">IF(J203=0,0,G203*(1-N203)/J203)</f>
        <v>10.5144</v>
      </c>
      <c r="M203" s="283" t="s">
        <v>1205</v>
      </c>
      <c r="N203" s="288" t="n">
        <f aca="false">IFERROR(MIN(1,'P9-011'!$V$115)+0,0)</f>
        <v>0</v>
      </c>
      <c r="O203" s="289" t="n">
        <f aca="false">IF($L203=0,0,$L203*MAX(0,NETWORKDAYS(MAX($H203,ASOF,O$72),MIN(MAX($I203,ASOF),O$72+6),HOLIDAYS)))</f>
        <v>0</v>
      </c>
      <c r="P203" s="289" t="n">
        <f aca="false">IF($L203=0,0,$L203*MAX(0,NETWORKDAYS(MAX($H203,ASOF,P$72),MIN(MAX($I203,ASOF),P$72+6),HOLIDAYS)))</f>
        <v>0</v>
      </c>
      <c r="Q203" s="289" t="n">
        <f aca="false">IF($L203=0,0,$L203*MAX(0,NETWORKDAYS(MAX($H203,ASOF,Q$72),MIN(MAX($I203,ASOF),Q$72+6),HOLIDAYS)))</f>
        <v>0</v>
      </c>
      <c r="R203" s="289" t="n">
        <f aca="false">IF($L203=0,0,$L203*MAX(0,NETWORKDAYS(MAX($H203,ASOF,R$72),MIN(MAX($I203,ASOF),R$72+6),HOLIDAYS)))</f>
        <v>0</v>
      </c>
      <c r="S203" s="289" t="n">
        <f aca="false">IF($L203=0,0,$L203*MAX(0,NETWORKDAYS(MAX($H203,ASOF,S$72),MIN(MAX($I203,ASOF),S$72+6),HOLIDAYS)))</f>
        <v>10.5144</v>
      </c>
      <c r="T203" s="289" t="n">
        <f aca="false">IF($L203=0,0,$L203*MAX(0,NETWORKDAYS(MAX($H203,ASOF,T$72),MIN(MAX($I203,ASOF),T$72+6),HOLIDAYS)))</f>
        <v>0</v>
      </c>
      <c r="U203" s="289" t="n">
        <f aca="false">IF($L203=0,0,$L203*MAX(0,NETWORKDAYS(MAX($H203,ASOF,U$72),MIN(MAX($I203,ASOF),U$72+6),HOLIDAYS)))</f>
        <v>0</v>
      </c>
      <c r="V203" s="289" t="n">
        <f aca="false">IF($L203=0,0,$L203*MAX(0,NETWORKDAYS(MAX($H203,ASOF,V$72),MIN(MAX($I203,ASOF),V$72+6),HOLIDAYS)))</f>
        <v>0</v>
      </c>
      <c r="W203" s="289" t="n">
        <f aca="false">IF($L203=0,0,$L203*MAX(0,NETWORKDAYS(MAX($H203,ASOF,W$72),MIN(MAX($I203,ASOF),W$72+6),HOLIDAYS)))</f>
        <v>0</v>
      </c>
      <c r="X203" s="289" t="n">
        <f aca="false">IF($L203=0,0,$L203*MAX(0,NETWORKDAYS(MAX($H203,ASOF,X$72),MIN(MAX($I203,ASOF),X$72+6),HOLIDAYS)))</f>
        <v>0</v>
      </c>
      <c r="Y203" s="289" t="n">
        <f aca="false">IF($L203=0,0,$L203*MAX(0,NETWORKDAYS(MAX($H203,ASOF,Y$72),MIN(MAX($I203,ASOF),Y$72+6),HOLIDAYS)))</f>
        <v>0</v>
      </c>
      <c r="Z203" s="289" t="n">
        <f aca="false">IF($L203=0,0,$L203*MAX(0,NETWORKDAYS(MAX($H203,ASOF,Z$72),MIN(MAX($I203,ASOF),Z$72+6),HOLIDAYS)))</f>
        <v>0</v>
      </c>
      <c r="AA203" s="289" t="n">
        <f aca="false">IF($L203=0,0,$L203*MAX(0,NETWORKDAYS(MAX($H203,ASOF,AA$72),MIN(MAX($I203,ASOF),AA$72+6),HOLIDAYS)))</f>
        <v>0</v>
      </c>
      <c r="AB203" s="289" t="n">
        <f aca="false">IF($L203=0,0,$L203*MAX(0,NETWORKDAYS(MAX($H203,ASOF,AB$72),MIN(MAX($I203,ASOF),AB$72+6),HOLIDAYS)))</f>
        <v>0</v>
      </c>
      <c r="AC203" s="289" t="n">
        <f aca="false">IF($L203=0,0,$L203*MAX(0,NETWORKDAYS(MAX($H203,ASOF,AC$72),MIN(MAX($I203,ASOF),AC$72+6),HOLIDAYS)))</f>
        <v>0</v>
      </c>
      <c r="AD203" s="289" t="n">
        <f aca="false">IF($L203=0,0,$L203*MAX(0,NETWORKDAYS(MAX($H203,ASOF,AD$72),MIN(MAX($I203,ASOF),AD$72+6),HOLIDAYS)))</f>
        <v>0</v>
      </c>
      <c r="AE203" s="289" t="n">
        <f aca="false">IF($L203=0,0,$L203*MAX(0,NETWORKDAYS(MAX($H203,ASOF,AE$72),MIN(MAX($I203,ASOF),AE$72+6),HOLIDAYS)))</f>
        <v>0</v>
      </c>
      <c r="AF203" s="289" t="n">
        <f aca="false">IF($L203=0,0,$L203*MAX(0,NETWORKDAYS(MAX($H203,ASOF,AF$72),MIN(MAX($I203,ASOF),AF$72+6),HOLIDAYS)))</f>
        <v>0</v>
      </c>
      <c r="AG203" s="289" t="n">
        <f aca="false">IF($L203=0,0,$L203*MAX(0,NETWORKDAYS(MAX($H203,ASOF,AG$72),MIN(MAX($I203,ASOF),AG$72+6),HOLIDAYS)))</f>
        <v>0</v>
      </c>
      <c r="AH203" s="289" t="n">
        <f aca="false">IF($L203=0,0,$L203*MAX(0,NETWORKDAYS(MAX($H203,ASOF,AH$72),MIN(MAX($I203,ASOF),AH$72+6),HOLIDAYS)))</f>
        <v>0</v>
      </c>
      <c r="AI203" s="289" t="n">
        <f aca="false">IF($L203=0,0,$L203*MAX(0,NETWORKDAYS(MAX($H203,ASOF,AI$72),MIN(MAX($I203,ASOF),AI$72+6),HOLIDAYS)))</f>
        <v>0</v>
      </c>
      <c r="AJ203" s="289" t="n">
        <f aca="false">IF($L203=0,0,$L203*MAX(0,NETWORKDAYS(MAX($H203,ASOF,AJ$72),MIN(MAX($I203,ASOF),AJ$72+6),HOLIDAYS)))</f>
        <v>0</v>
      </c>
      <c r="AK203" s="289" t="n">
        <f aca="false">IF($L203=0,0,$L203*MAX(0,NETWORKDAYS(MAX($H203,ASOF,AK$72),MIN(MAX($I203,ASOF),AK$72+6),HOLIDAYS)))</f>
        <v>0</v>
      </c>
      <c r="AL203" s="289" t="n">
        <f aca="false">IF($L203=0,0,$L203*MAX(0,NETWORKDAYS(MAX($H203,ASOF,AL$72),MIN(MAX($I203,ASOF),AL$72+6),HOLIDAYS)))</f>
        <v>0</v>
      </c>
      <c r="AM203" s="289" t="n">
        <f aca="false">IF($L203=0,0,$L203*MAX(0,NETWORKDAYS(MAX($H203,ASOF,AM$72),MIN(MAX($I203,ASOF),AM$72+6),HOLIDAYS)))</f>
        <v>0</v>
      </c>
      <c r="AN203" s="289" t="n">
        <f aca="false">IF($L203=0,0,$L203*MAX(0,NETWORKDAYS(MAX($H203,ASOF,AN$72),MIN(MAX($I203,ASOF),AN$72+6),HOLIDAYS)))</f>
        <v>0</v>
      </c>
      <c r="AO203" s="289" t="n">
        <f aca="false">IF($L203=0,0,$L203*MAX(0,NETWORKDAYS(MAX($H203,ASOF,AO$72),MIN(MAX($I203,ASOF),AO$72+6),HOLIDAYS)))</f>
        <v>0</v>
      </c>
      <c r="AP203" s="289" t="n">
        <f aca="false">IF($L203=0,0,$L203*MAX(0,NETWORKDAYS(MAX($H203,ASOF,AP$72),MIN(MAX($I203,ASOF),AP$72+6),HOLIDAYS)))</f>
        <v>0</v>
      </c>
      <c r="AQ203" s="289" t="n">
        <f aca="false">IF($L203=0,0,$L203*MAX(0,NETWORKDAYS(MAX($H203,ASOF,AQ$72),MIN(MAX($I203,ASOF),AQ$72+6),HOLIDAYS)))</f>
        <v>0</v>
      </c>
      <c r="AR203" s="289" t="n">
        <f aca="false">IF($L203=0,0,$L203*MAX(0,NETWORKDAYS(MAX($H203,ASOF,AR$72),MIN(MAX($I203,ASOF),AR$72+6),HOLIDAYS)))</f>
        <v>0</v>
      </c>
    </row>
    <row r="204" customFormat="false" ht="15" hidden="false" customHeight="false" outlineLevel="1" collapsed="false">
      <c r="A204" s="282" t="s">
        <v>82</v>
      </c>
      <c r="B204" s="283" t="s">
        <v>84</v>
      </c>
      <c r="C204" s="284" t="s">
        <v>2370</v>
      </c>
      <c r="D204" s="284" t="s">
        <v>2313</v>
      </c>
      <c r="E204" s="285" t="n">
        <v>1</v>
      </c>
      <c r="F204" s="290" t="s">
        <v>35</v>
      </c>
      <c r="G204" s="285" t="n">
        <f aca="false">SUM(O204:AR204)</f>
        <v>20</v>
      </c>
      <c r="H204" s="286" t="n">
        <f aca="false">IF(ISNUMBER('P9-011'!$N$62),'P9-011'!$N$62,"")</f>
        <v>46328</v>
      </c>
      <c r="I204" s="286" t="n">
        <f aca="false">IF(ISNUMBER('P9-011'!$O$115),'P9-011'!$O$115,"")</f>
        <v>46359</v>
      </c>
      <c r="J204" s="287"/>
      <c r="K204" s="287" t="n">
        <f aca="false">IF(G204&gt;0,$F$17,0)</f>
        <v>1</v>
      </c>
      <c r="L204" s="285" t="n">
        <v>0</v>
      </c>
      <c r="M204" s="290" t="s">
        <v>2310</v>
      </c>
      <c r="N204" s="288" t="str">
        <f aca="false">""</f>
        <v/>
      </c>
      <c r="O204" s="289" t="n">
        <f aca="false">IF(SUMIFS(O$73:O$312,$A$73:$A$312,"P9-011",$M$73:$M$312,"&lt;&gt;คุม")&gt;0,$F$17*NETWORKDAYS(O$72,O$72+6,HOLIDAYS),0)</f>
        <v>5</v>
      </c>
      <c r="P204" s="289" t="n">
        <f aca="false">IF(SUMIFS(P$73:P$312,$A$73:$A$312,"P9-011",$M$73:$M$312,"&lt;&gt;คุม")&gt;0,$F$17*NETWORKDAYS(P$72,P$72+6,HOLIDAYS),0)</f>
        <v>5</v>
      </c>
      <c r="Q204" s="289" t="n">
        <f aca="false">IF(SUMIFS(Q$73:Q$312,$A$73:$A$312,"P9-011",$M$73:$M$312,"&lt;&gt;คุม")&gt;0,$F$17*NETWORKDAYS(Q$72,Q$72+6,HOLIDAYS),0)</f>
        <v>5</v>
      </c>
      <c r="R204" s="289" t="n">
        <f aca="false">IF(SUMIFS(R$73:R$312,$A$73:$A$312,"P9-011",$M$73:$M$312,"&lt;&gt;คุม")&gt;0,$F$17*NETWORKDAYS(R$72,R$72+6,HOLIDAYS),0)</f>
        <v>0</v>
      </c>
      <c r="S204" s="289" t="n">
        <f aca="false">IF(SUMIFS(S$73:S$312,$A$73:$A$312,"P9-011",$M$73:$M$312,"&lt;&gt;คุม")&gt;0,$F$17*NETWORKDAYS(S$72,S$72+6,HOLIDAYS),0)</f>
        <v>5</v>
      </c>
      <c r="T204" s="289" t="n">
        <f aca="false">IF(SUMIFS(T$73:T$312,$A$73:$A$312,"P9-011",$M$73:$M$312,"&lt;&gt;คุม")&gt;0,$F$17*NETWORKDAYS(T$72,T$72+6,HOLIDAYS),0)</f>
        <v>0</v>
      </c>
      <c r="U204" s="289" t="n">
        <f aca="false">IF(SUMIFS(U$73:U$312,$A$73:$A$312,"P9-011",$M$73:$M$312,"&lt;&gt;คุม")&gt;0,$F$17*NETWORKDAYS(U$72,U$72+6,HOLIDAYS),0)</f>
        <v>0</v>
      </c>
      <c r="V204" s="289" t="n">
        <f aca="false">IF(SUMIFS(V$73:V$312,$A$73:$A$312,"P9-011",$M$73:$M$312,"&lt;&gt;คุม")&gt;0,$F$17*NETWORKDAYS(V$72,V$72+6,HOLIDAYS),0)</f>
        <v>0</v>
      </c>
      <c r="W204" s="289" t="n">
        <f aca="false">IF(SUMIFS(W$73:W$312,$A$73:$A$312,"P9-011",$M$73:$M$312,"&lt;&gt;คุม")&gt;0,$F$17*NETWORKDAYS(W$72,W$72+6,HOLIDAYS),0)</f>
        <v>0</v>
      </c>
      <c r="X204" s="289" t="n">
        <f aca="false">IF(SUMIFS(X$73:X$312,$A$73:$A$312,"P9-011",$M$73:$M$312,"&lt;&gt;คุม")&gt;0,$F$17*NETWORKDAYS(X$72,X$72+6,HOLIDAYS),0)</f>
        <v>0</v>
      </c>
      <c r="Y204" s="289" t="n">
        <f aca="false">IF(SUMIFS(Y$73:Y$312,$A$73:$A$312,"P9-011",$M$73:$M$312,"&lt;&gt;คุม")&gt;0,$F$17*NETWORKDAYS(Y$72,Y$72+6,HOLIDAYS),0)</f>
        <v>0</v>
      </c>
      <c r="Z204" s="289" t="n">
        <f aca="false">IF(SUMIFS(Z$73:Z$312,$A$73:$A$312,"P9-011",$M$73:$M$312,"&lt;&gt;คุม")&gt;0,$F$17*NETWORKDAYS(Z$72,Z$72+6,HOLIDAYS),0)</f>
        <v>0</v>
      </c>
      <c r="AA204" s="289" t="n">
        <f aca="false">IF(SUMIFS(AA$73:AA$312,$A$73:$A$312,"P9-011",$M$73:$M$312,"&lt;&gt;คุม")&gt;0,$F$17*NETWORKDAYS(AA$72,AA$72+6,HOLIDAYS),0)</f>
        <v>0</v>
      </c>
      <c r="AB204" s="289" t="n">
        <f aca="false">IF(SUMIFS(AB$73:AB$312,$A$73:$A$312,"P9-011",$M$73:$M$312,"&lt;&gt;คุม")&gt;0,$F$17*NETWORKDAYS(AB$72,AB$72+6,HOLIDAYS),0)</f>
        <v>0</v>
      </c>
      <c r="AC204" s="289" t="n">
        <f aca="false">IF(SUMIFS(AC$73:AC$312,$A$73:$A$312,"P9-011",$M$73:$M$312,"&lt;&gt;คุม")&gt;0,$F$17*NETWORKDAYS(AC$72,AC$72+6,HOLIDAYS),0)</f>
        <v>0</v>
      </c>
      <c r="AD204" s="289" t="n">
        <f aca="false">IF(SUMIFS(AD$73:AD$312,$A$73:$A$312,"P9-011",$M$73:$M$312,"&lt;&gt;คุม")&gt;0,$F$17*NETWORKDAYS(AD$72,AD$72+6,HOLIDAYS),0)</f>
        <v>0</v>
      </c>
      <c r="AE204" s="289" t="n">
        <f aca="false">IF(SUMIFS(AE$73:AE$312,$A$73:$A$312,"P9-011",$M$73:$M$312,"&lt;&gt;คุม")&gt;0,$F$17*NETWORKDAYS(AE$72,AE$72+6,HOLIDAYS),0)</f>
        <v>0</v>
      </c>
      <c r="AF204" s="289" t="n">
        <f aca="false">IF(SUMIFS(AF$73:AF$312,$A$73:$A$312,"P9-011",$M$73:$M$312,"&lt;&gt;คุม")&gt;0,$F$17*NETWORKDAYS(AF$72,AF$72+6,HOLIDAYS),0)</f>
        <v>0</v>
      </c>
      <c r="AG204" s="289" t="n">
        <f aca="false">IF(SUMIFS(AG$73:AG$312,$A$73:$A$312,"P9-011",$M$73:$M$312,"&lt;&gt;คุม")&gt;0,$F$17*NETWORKDAYS(AG$72,AG$72+6,HOLIDAYS),0)</f>
        <v>0</v>
      </c>
      <c r="AH204" s="289" t="n">
        <f aca="false">IF(SUMIFS(AH$73:AH$312,$A$73:$A$312,"P9-011",$M$73:$M$312,"&lt;&gt;คุม")&gt;0,$F$17*NETWORKDAYS(AH$72,AH$72+6,HOLIDAYS),0)</f>
        <v>0</v>
      </c>
      <c r="AI204" s="289" t="n">
        <f aca="false">IF(SUMIFS(AI$73:AI$312,$A$73:$A$312,"P9-011",$M$73:$M$312,"&lt;&gt;คุม")&gt;0,$F$17*NETWORKDAYS(AI$72,AI$72+6,HOLIDAYS),0)</f>
        <v>0</v>
      </c>
      <c r="AJ204" s="289" t="n">
        <f aca="false">IF(SUMIFS(AJ$73:AJ$312,$A$73:$A$312,"P9-011",$M$73:$M$312,"&lt;&gt;คุม")&gt;0,$F$17*NETWORKDAYS(AJ$72,AJ$72+6,HOLIDAYS),0)</f>
        <v>0</v>
      </c>
      <c r="AK204" s="289" t="n">
        <f aca="false">IF(SUMIFS(AK$73:AK$312,$A$73:$A$312,"P9-011",$M$73:$M$312,"&lt;&gt;คุม")&gt;0,$F$17*NETWORKDAYS(AK$72,AK$72+6,HOLIDAYS),0)</f>
        <v>0</v>
      </c>
      <c r="AL204" s="289" t="n">
        <f aca="false">IF(SUMIFS(AL$73:AL$312,$A$73:$A$312,"P9-011",$M$73:$M$312,"&lt;&gt;คุม")&gt;0,$F$17*NETWORKDAYS(AL$72,AL$72+6,HOLIDAYS),0)</f>
        <v>0</v>
      </c>
      <c r="AM204" s="289" t="n">
        <f aca="false">IF(SUMIFS(AM$73:AM$312,$A$73:$A$312,"P9-011",$M$73:$M$312,"&lt;&gt;คุม")&gt;0,$F$17*NETWORKDAYS(AM$72,AM$72+6,HOLIDAYS),0)</f>
        <v>0</v>
      </c>
      <c r="AN204" s="289" t="n">
        <f aca="false">IF(SUMIFS(AN$73:AN$312,$A$73:$A$312,"P9-011",$M$73:$M$312,"&lt;&gt;คุม")&gt;0,$F$17*NETWORKDAYS(AN$72,AN$72+6,HOLIDAYS),0)</f>
        <v>0</v>
      </c>
      <c r="AO204" s="289" t="n">
        <f aca="false">IF(SUMIFS(AO$73:AO$312,$A$73:$A$312,"P9-011",$M$73:$M$312,"&lt;&gt;คุม")&gt;0,$F$17*NETWORKDAYS(AO$72,AO$72+6,HOLIDAYS),0)</f>
        <v>0</v>
      </c>
      <c r="AP204" s="289" t="n">
        <f aca="false">IF(SUMIFS(AP$73:AP$312,$A$73:$A$312,"P9-011",$M$73:$M$312,"&lt;&gt;คุม")&gt;0,$F$17*NETWORKDAYS(AP$72,AP$72+6,HOLIDAYS),0)</f>
        <v>0</v>
      </c>
      <c r="AQ204" s="289" t="n">
        <f aca="false">IF(SUMIFS(AQ$73:AQ$312,$A$73:$A$312,"P9-011",$M$73:$M$312,"&lt;&gt;คุม")&gt;0,$F$17*NETWORKDAYS(AQ$72,AQ$72+6,HOLIDAYS),0)</f>
        <v>0</v>
      </c>
      <c r="AR204" s="289" t="n">
        <f aca="false">IF(SUMIFS(AR$73:AR$312,$A$73:$A$312,"P9-011",$M$73:$M$312,"&lt;&gt;คุม")&gt;0,$F$17*NETWORKDAYS(AR$72,AR$72+6,HOLIDAYS),0)</f>
        <v>0</v>
      </c>
    </row>
    <row r="205" customFormat="false" ht="15" hidden="false" customHeight="false" outlineLevel="1" collapsed="false">
      <c r="A205" s="282" t="s">
        <v>86</v>
      </c>
      <c r="B205" s="283" t="s">
        <v>88</v>
      </c>
      <c r="C205" s="284" t="s">
        <v>2358</v>
      </c>
      <c r="D205" s="284" t="s">
        <v>2280</v>
      </c>
      <c r="E205" s="285" t="n">
        <v>336.53</v>
      </c>
      <c r="F205" s="283" t="s">
        <v>2359</v>
      </c>
      <c r="G205" s="285" t="n">
        <f aca="false">$F$5*(E205/$G$5+$H$5)</f>
        <v>55.8448</v>
      </c>
      <c r="H205" s="286" t="n">
        <f aca="false">IF(ISNUMBER('P9-012'!$N$62),'P9-012'!$N$62,"")</f>
        <v>46328</v>
      </c>
      <c r="I205" s="286" t="n">
        <f aca="false">IF(ISNUMBER('P9-012'!$O$62),'P9-012'!$O$62,"")</f>
        <v>46336</v>
      </c>
      <c r="J205" s="287" t="n">
        <f aca="false">IF(OR(H205="",I205="",N205&gt;=1),0,MAX(1,NETWORKDAYS(MAX(H205,ASOF),MAX(I205,ASOF),HOLIDAYS)))</f>
        <v>7</v>
      </c>
      <c r="K205" s="287" t="n">
        <f aca="false">IF(L205=0,0,ROUNDUP(L205/$F$5,0))</f>
        <v>2</v>
      </c>
      <c r="L205" s="285" t="n">
        <f aca="false">IF(J205=0,0,G205*(1-N205)/J205)</f>
        <v>7.97782857142857</v>
      </c>
      <c r="M205" s="283" t="s">
        <v>872</v>
      </c>
      <c r="N205" s="288" t="n">
        <f aca="false">IFERROR(MIN(1,'P9-012'!$V$62)+0,0)</f>
        <v>0</v>
      </c>
      <c r="O205" s="289" t="n">
        <f aca="false">IF($L205=0,0,$L205*MAX(0,NETWORKDAYS(MAX($H205,ASOF,O$72),MIN(MAX($I205,ASOF),O$72+6),HOLIDAYS)))</f>
        <v>39.8891428571429</v>
      </c>
      <c r="P205" s="289" t="n">
        <f aca="false">IF($L205=0,0,$L205*MAX(0,NETWORKDAYS(MAX($H205,ASOF,P$72),MIN(MAX($I205,ASOF),P$72+6),HOLIDAYS)))</f>
        <v>15.9556571428571</v>
      </c>
      <c r="Q205" s="289" t="n">
        <f aca="false">IF($L205=0,0,$L205*MAX(0,NETWORKDAYS(MAX($H205,ASOF,Q$72),MIN(MAX($I205,ASOF),Q$72+6),HOLIDAYS)))</f>
        <v>0</v>
      </c>
      <c r="R205" s="289" t="n">
        <f aca="false">IF($L205=0,0,$L205*MAX(0,NETWORKDAYS(MAX($H205,ASOF,R$72),MIN(MAX($I205,ASOF),R$72+6),HOLIDAYS)))</f>
        <v>0</v>
      </c>
      <c r="S205" s="289" t="n">
        <f aca="false">IF($L205=0,0,$L205*MAX(0,NETWORKDAYS(MAX($H205,ASOF,S$72),MIN(MAX($I205,ASOF),S$72+6),HOLIDAYS)))</f>
        <v>0</v>
      </c>
      <c r="T205" s="289" t="n">
        <f aca="false">IF($L205=0,0,$L205*MAX(0,NETWORKDAYS(MAX($H205,ASOF,T$72),MIN(MAX($I205,ASOF),T$72+6),HOLIDAYS)))</f>
        <v>0</v>
      </c>
      <c r="U205" s="289" t="n">
        <f aca="false">IF($L205=0,0,$L205*MAX(0,NETWORKDAYS(MAX($H205,ASOF,U$72),MIN(MAX($I205,ASOF),U$72+6),HOLIDAYS)))</f>
        <v>0</v>
      </c>
      <c r="V205" s="289" t="n">
        <f aca="false">IF($L205=0,0,$L205*MAX(0,NETWORKDAYS(MAX($H205,ASOF,V$72),MIN(MAX($I205,ASOF),V$72+6),HOLIDAYS)))</f>
        <v>0</v>
      </c>
      <c r="W205" s="289" t="n">
        <f aca="false">IF($L205=0,0,$L205*MAX(0,NETWORKDAYS(MAX($H205,ASOF,W$72),MIN(MAX($I205,ASOF),W$72+6),HOLIDAYS)))</f>
        <v>0</v>
      </c>
      <c r="X205" s="289" t="n">
        <f aca="false">IF($L205=0,0,$L205*MAX(0,NETWORKDAYS(MAX($H205,ASOF,X$72),MIN(MAX($I205,ASOF),X$72+6),HOLIDAYS)))</f>
        <v>0</v>
      </c>
      <c r="Y205" s="289" t="n">
        <f aca="false">IF($L205=0,0,$L205*MAX(0,NETWORKDAYS(MAX($H205,ASOF,Y$72),MIN(MAX($I205,ASOF),Y$72+6),HOLIDAYS)))</f>
        <v>0</v>
      </c>
      <c r="Z205" s="289" t="n">
        <f aca="false">IF($L205=0,0,$L205*MAX(0,NETWORKDAYS(MAX($H205,ASOF,Z$72),MIN(MAX($I205,ASOF),Z$72+6),HOLIDAYS)))</f>
        <v>0</v>
      </c>
      <c r="AA205" s="289" t="n">
        <f aca="false">IF($L205=0,0,$L205*MAX(0,NETWORKDAYS(MAX($H205,ASOF,AA$72),MIN(MAX($I205,ASOF),AA$72+6),HOLIDAYS)))</f>
        <v>0</v>
      </c>
      <c r="AB205" s="289" t="n">
        <f aca="false">IF($L205=0,0,$L205*MAX(0,NETWORKDAYS(MAX($H205,ASOF,AB$72),MIN(MAX($I205,ASOF),AB$72+6),HOLIDAYS)))</f>
        <v>0</v>
      </c>
      <c r="AC205" s="289" t="n">
        <f aca="false">IF($L205=0,0,$L205*MAX(0,NETWORKDAYS(MAX($H205,ASOF,AC$72),MIN(MAX($I205,ASOF),AC$72+6),HOLIDAYS)))</f>
        <v>0</v>
      </c>
      <c r="AD205" s="289" t="n">
        <f aca="false">IF($L205=0,0,$L205*MAX(0,NETWORKDAYS(MAX($H205,ASOF,AD$72),MIN(MAX($I205,ASOF),AD$72+6),HOLIDAYS)))</f>
        <v>0</v>
      </c>
      <c r="AE205" s="289" t="n">
        <f aca="false">IF($L205=0,0,$L205*MAX(0,NETWORKDAYS(MAX($H205,ASOF,AE$72),MIN(MAX($I205,ASOF),AE$72+6),HOLIDAYS)))</f>
        <v>0</v>
      </c>
      <c r="AF205" s="289" t="n">
        <f aca="false">IF($L205=0,0,$L205*MAX(0,NETWORKDAYS(MAX($H205,ASOF,AF$72),MIN(MAX($I205,ASOF),AF$72+6),HOLIDAYS)))</f>
        <v>0</v>
      </c>
      <c r="AG205" s="289" t="n">
        <f aca="false">IF($L205=0,0,$L205*MAX(0,NETWORKDAYS(MAX($H205,ASOF,AG$72),MIN(MAX($I205,ASOF),AG$72+6),HOLIDAYS)))</f>
        <v>0</v>
      </c>
      <c r="AH205" s="289" t="n">
        <f aca="false">IF($L205=0,0,$L205*MAX(0,NETWORKDAYS(MAX($H205,ASOF,AH$72),MIN(MAX($I205,ASOF),AH$72+6),HOLIDAYS)))</f>
        <v>0</v>
      </c>
      <c r="AI205" s="289" t="n">
        <f aca="false">IF($L205=0,0,$L205*MAX(0,NETWORKDAYS(MAX($H205,ASOF,AI$72),MIN(MAX($I205,ASOF),AI$72+6),HOLIDAYS)))</f>
        <v>0</v>
      </c>
      <c r="AJ205" s="289" t="n">
        <f aca="false">IF($L205=0,0,$L205*MAX(0,NETWORKDAYS(MAX($H205,ASOF,AJ$72),MIN(MAX($I205,ASOF),AJ$72+6),HOLIDAYS)))</f>
        <v>0</v>
      </c>
      <c r="AK205" s="289" t="n">
        <f aca="false">IF($L205=0,0,$L205*MAX(0,NETWORKDAYS(MAX($H205,ASOF,AK$72),MIN(MAX($I205,ASOF),AK$72+6),HOLIDAYS)))</f>
        <v>0</v>
      </c>
      <c r="AL205" s="289" t="n">
        <f aca="false">IF($L205=0,0,$L205*MAX(0,NETWORKDAYS(MAX($H205,ASOF,AL$72),MIN(MAX($I205,ASOF),AL$72+6),HOLIDAYS)))</f>
        <v>0</v>
      </c>
      <c r="AM205" s="289" t="n">
        <f aca="false">IF($L205=0,0,$L205*MAX(0,NETWORKDAYS(MAX($H205,ASOF,AM$72),MIN(MAX($I205,ASOF),AM$72+6),HOLIDAYS)))</f>
        <v>0</v>
      </c>
      <c r="AN205" s="289" t="n">
        <f aca="false">IF($L205=0,0,$L205*MAX(0,NETWORKDAYS(MAX($H205,ASOF,AN$72),MIN(MAX($I205,ASOF),AN$72+6),HOLIDAYS)))</f>
        <v>0</v>
      </c>
      <c r="AO205" s="289" t="n">
        <f aca="false">IF($L205=0,0,$L205*MAX(0,NETWORKDAYS(MAX($H205,ASOF,AO$72),MIN(MAX($I205,ASOF),AO$72+6),HOLIDAYS)))</f>
        <v>0</v>
      </c>
      <c r="AP205" s="289" t="n">
        <f aca="false">IF($L205=0,0,$L205*MAX(0,NETWORKDAYS(MAX($H205,ASOF,AP$72),MIN(MAX($I205,ASOF),AP$72+6),HOLIDAYS)))</f>
        <v>0</v>
      </c>
      <c r="AQ205" s="289" t="n">
        <f aca="false">IF($L205=0,0,$L205*MAX(0,NETWORKDAYS(MAX($H205,ASOF,AQ$72),MIN(MAX($I205,ASOF),AQ$72+6),HOLIDAYS)))</f>
        <v>0</v>
      </c>
      <c r="AR205" s="289" t="n">
        <f aca="false">IF($L205=0,0,$L205*MAX(0,NETWORKDAYS(MAX($H205,ASOF,AR$72),MIN(MAX($I205,ASOF),AR$72+6),HOLIDAYS)))</f>
        <v>0</v>
      </c>
    </row>
    <row r="206" customFormat="false" ht="15" hidden="false" customHeight="false" outlineLevel="1" collapsed="false">
      <c r="A206" s="282" t="s">
        <v>86</v>
      </c>
      <c r="B206" s="283" t="s">
        <v>88</v>
      </c>
      <c r="C206" s="284" t="s">
        <v>2360</v>
      </c>
      <c r="D206" s="284" t="s">
        <v>2284</v>
      </c>
      <c r="E206" s="285" t="n">
        <v>280.44</v>
      </c>
      <c r="F206" s="283" t="s">
        <v>527</v>
      </c>
      <c r="G206" s="285" t="n">
        <f aca="false">$F$6*(E206/$G$6+$H$6)</f>
        <v>24.033</v>
      </c>
      <c r="H206" s="286" t="n">
        <f aca="false">IF(ISNUMBER('P9-012'!$N$70),'P9-012'!$N$70,"")</f>
        <v>46343</v>
      </c>
      <c r="I206" s="286" t="n">
        <f aca="false">IF(ISNUMBER('P9-012'!$O$70),'P9-012'!$O$70,"")</f>
        <v>46346</v>
      </c>
      <c r="J206" s="287" t="n">
        <f aca="false">IF(OR(H206="",I206="",N206&gt;=1),0,MAX(1,NETWORKDAYS(MAX(H206,ASOF),MAX(I206,ASOF),HOLIDAYS)))</f>
        <v>4</v>
      </c>
      <c r="K206" s="287" t="n">
        <f aca="false">IF(L206=0,0,ROUNDUP(L206/$F$6,0))</f>
        <v>3</v>
      </c>
      <c r="L206" s="285" t="n">
        <f aca="false">IF(J206=0,0,G206*(1-N206)/J206)</f>
        <v>6.00825</v>
      </c>
      <c r="M206" s="283" t="s">
        <v>987</v>
      </c>
      <c r="N206" s="288" t="n">
        <f aca="false">IFERROR(MIN(1,'P9-012'!$V$70)+0,0)</f>
        <v>0</v>
      </c>
      <c r="O206" s="289" t="n">
        <f aca="false">IF($L206=0,0,$L206*MAX(0,NETWORKDAYS(MAX($H206,ASOF,O$72),MIN(MAX($I206,ASOF),O$72+6),HOLIDAYS)))</f>
        <v>0</v>
      </c>
      <c r="P206" s="289" t="n">
        <f aca="false">IF($L206=0,0,$L206*MAX(0,NETWORKDAYS(MAX($H206,ASOF,P$72),MIN(MAX($I206,ASOF),P$72+6),HOLIDAYS)))</f>
        <v>0</v>
      </c>
      <c r="Q206" s="289" t="n">
        <f aca="false">IF($L206=0,0,$L206*MAX(0,NETWORKDAYS(MAX($H206,ASOF,Q$72),MIN(MAX($I206,ASOF),Q$72+6),HOLIDAYS)))</f>
        <v>24.033</v>
      </c>
      <c r="R206" s="289" t="n">
        <f aca="false">IF($L206=0,0,$L206*MAX(0,NETWORKDAYS(MAX($H206,ASOF,R$72),MIN(MAX($I206,ASOF),R$72+6),HOLIDAYS)))</f>
        <v>0</v>
      </c>
      <c r="S206" s="289" t="n">
        <f aca="false">IF($L206=0,0,$L206*MAX(0,NETWORKDAYS(MAX($H206,ASOF,S$72),MIN(MAX($I206,ASOF),S$72+6),HOLIDAYS)))</f>
        <v>0</v>
      </c>
      <c r="T206" s="289" t="n">
        <f aca="false">IF($L206=0,0,$L206*MAX(0,NETWORKDAYS(MAX($H206,ASOF,T$72),MIN(MAX($I206,ASOF),T$72+6),HOLIDAYS)))</f>
        <v>0</v>
      </c>
      <c r="U206" s="289" t="n">
        <f aca="false">IF($L206=0,0,$L206*MAX(0,NETWORKDAYS(MAX($H206,ASOF,U$72),MIN(MAX($I206,ASOF),U$72+6),HOLIDAYS)))</f>
        <v>0</v>
      </c>
      <c r="V206" s="289" t="n">
        <f aca="false">IF($L206=0,0,$L206*MAX(0,NETWORKDAYS(MAX($H206,ASOF,V$72),MIN(MAX($I206,ASOF),V$72+6),HOLIDAYS)))</f>
        <v>0</v>
      </c>
      <c r="W206" s="289" t="n">
        <f aca="false">IF($L206=0,0,$L206*MAX(0,NETWORKDAYS(MAX($H206,ASOF,W$72),MIN(MAX($I206,ASOF),W$72+6),HOLIDAYS)))</f>
        <v>0</v>
      </c>
      <c r="X206" s="289" t="n">
        <f aca="false">IF($L206=0,0,$L206*MAX(0,NETWORKDAYS(MAX($H206,ASOF,X$72),MIN(MAX($I206,ASOF),X$72+6),HOLIDAYS)))</f>
        <v>0</v>
      </c>
      <c r="Y206" s="289" t="n">
        <f aca="false">IF($L206=0,0,$L206*MAX(0,NETWORKDAYS(MAX($H206,ASOF,Y$72),MIN(MAX($I206,ASOF),Y$72+6),HOLIDAYS)))</f>
        <v>0</v>
      </c>
      <c r="Z206" s="289" t="n">
        <f aca="false">IF($L206=0,0,$L206*MAX(0,NETWORKDAYS(MAX($H206,ASOF,Z$72),MIN(MAX($I206,ASOF),Z$72+6),HOLIDAYS)))</f>
        <v>0</v>
      </c>
      <c r="AA206" s="289" t="n">
        <f aca="false">IF($L206=0,0,$L206*MAX(0,NETWORKDAYS(MAX($H206,ASOF,AA$72),MIN(MAX($I206,ASOF),AA$72+6),HOLIDAYS)))</f>
        <v>0</v>
      </c>
      <c r="AB206" s="289" t="n">
        <f aca="false">IF($L206=0,0,$L206*MAX(0,NETWORKDAYS(MAX($H206,ASOF,AB$72),MIN(MAX($I206,ASOF),AB$72+6),HOLIDAYS)))</f>
        <v>0</v>
      </c>
      <c r="AC206" s="289" t="n">
        <f aca="false">IF($L206=0,0,$L206*MAX(0,NETWORKDAYS(MAX($H206,ASOF,AC$72),MIN(MAX($I206,ASOF),AC$72+6),HOLIDAYS)))</f>
        <v>0</v>
      </c>
      <c r="AD206" s="289" t="n">
        <f aca="false">IF($L206=0,0,$L206*MAX(0,NETWORKDAYS(MAX($H206,ASOF,AD$72),MIN(MAX($I206,ASOF),AD$72+6),HOLIDAYS)))</f>
        <v>0</v>
      </c>
      <c r="AE206" s="289" t="n">
        <f aca="false">IF($L206=0,0,$L206*MAX(0,NETWORKDAYS(MAX($H206,ASOF,AE$72),MIN(MAX($I206,ASOF),AE$72+6),HOLIDAYS)))</f>
        <v>0</v>
      </c>
      <c r="AF206" s="289" t="n">
        <f aca="false">IF($L206=0,0,$L206*MAX(0,NETWORKDAYS(MAX($H206,ASOF,AF$72),MIN(MAX($I206,ASOF),AF$72+6),HOLIDAYS)))</f>
        <v>0</v>
      </c>
      <c r="AG206" s="289" t="n">
        <f aca="false">IF($L206=0,0,$L206*MAX(0,NETWORKDAYS(MAX($H206,ASOF,AG$72),MIN(MAX($I206,ASOF),AG$72+6),HOLIDAYS)))</f>
        <v>0</v>
      </c>
      <c r="AH206" s="289" t="n">
        <f aca="false">IF($L206=0,0,$L206*MAX(0,NETWORKDAYS(MAX($H206,ASOF,AH$72),MIN(MAX($I206,ASOF),AH$72+6),HOLIDAYS)))</f>
        <v>0</v>
      </c>
      <c r="AI206" s="289" t="n">
        <f aca="false">IF($L206=0,0,$L206*MAX(0,NETWORKDAYS(MAX($H206,ASOF,AI$72),MIN(MAX($I206,ASOF),AI$72+6),HOLIDAYS)))</f>
        <v>0</v>
      </c>
      <c r="AJ206" s="289" t="n">
        <f aca="false">IF($L206=0,0,$L206*MAX(0,NETWORKDAYS(MAX($H206,ASOF,AJ$72),MIN(MAX($I206,ASOF),AJ$72+6),HOLIDAYS)))</f>
        <v>0</v>
      </c>
      <c r="AK206" s="289" t="n">
        <f aca="false">IF($L206=0,0,$L206*MAX(0,NETWORKDAYS(MAX($H206,ASOF,AK$72),MIN(MAX($I206,ASOF),AK$72+6),HOLIDAYS)))</f>
        <v>0</v>
      </c>
      <c r="AL206" s="289" t="n">
        <f aca="false">IF($L206=0,0,$L206*MAX(0,NETWORKDAYS(MAX($H206,ASOF,AL$72),MIN(MAX($I206,ASOF),AL$72+6),HOLIDAYS)))</f>
        <v>0</v>
      </c>
      <c r="AM206" s="289" t="n">
        <f aca="false">IF($L206=0,0,$L206*MAX(0,NETWORKDAYS(MAX($H206,ASOF,AM$72),MIN(MAX($I206,ASOF),AM$72+6),HOLIDAYS)))</f>
        <v>0</v>
      </c>
      <c r="AN206" s="289" t="n">
        <f aca="false">IF($L206=0,0,$L206*MAX(0,NETWORKDAYS(MAX($H206,ASOF,AN$72),MIN(MAX($I206,ASOF),AN$72+6),HOLIDAYS)))</f>
        <v>0</v>
      </c>
      <c r="AO206" s="289" t="n">
        <f aca="false">IF($L206=0,0,$L206*MAX(0,NETWORKDAYS(MAX($H206,ASOF,AO$72),MIN(MAX($I206,ASOF),AO$72+6),HOLIDAYS)))</f>
        <v>0</v>
      </c>
      <c r="AP206" s="289" t="n">
        <f aca="false">IF($L206=0,0,$L206*MAX(0,NETWORKDAYS(MAX($H206,ASOF,AP$72),MIN(MAX($I206,ASOF),AP$72+6),HOLIDAYS)))</f>
        <v>0</v>
      </c>
      <c r="AQ206" s="289" t="n">
        <f aca="false">IF($L206=0,0,$L206*MAX(0,NETWORKDAYS(MAX($H206,ASOF,AQ$72),MIN(MAX($I206,ASOF),AQ$72+6),HOLIDAYS)))</f>
        <v>0</v>
      </c>
      <c r="AR206" s="289" t="n">
        <f aca="false">IF($L206=0,0,$L206*MAX(0,NETWORKDAYS(MAX($H206,ASOF,AR$72),MIN(MAX($I206,ASOF),AR$72+6),HOLIDAYS)))</f>
        <v>0</v>
      </c>
    </row>
    <row r="207" customFormat="false" ht="15" hidden="false" customHeight="false" outlineLevel="1" collapsed="false">
      <c r="A207" s="282" t="s">
        <v>86</v>
      </c>
      <c r="B207" s="283" t="s">
        <v>88</v>
      </c>
      <c r="C207" s="284" t="s">
        <v>2361</v>
      </c>
      <c r="D207" s="284" t="s">
        <v>2280</v>
      </c>
      <c r="E207" s="285" t="n">
        <v>280.44</v>
      </c>
      <c r="F207" s="283" t="s">
        <v>527</v>
      </c>
      <c r="G207" s="285" t="n">
        <f aca="false">$F$7*(E207/$G$7+$H$7)</f>
        <v>34.0502857142857</v>
      </c>
      <c r="H207" s="286" t="n">
        <f aca="false">IF(ISNUMBER('P9-012'!$N$76),'P9-012'!$N$76,"")</f>
        <v>46337</v>
      </c>
      <c r="I207" s="286" t="n">
        <f aca="false">IF(ISNUMBER('P9-012'!$O$76),'P9-012'!$O$76,"")</f>
        <v>46347</v>
      </c>
      <c r="J207" s="287" t="n">
        <f aca="false">IF(OR(H207="",I207="",N207&gt;=1),0,MAX(1,NETWORKDAYS(MAX(H207,ASOF),MAX(I207,ASOF),HOLIDAYS)))</f>
        <v>8</v>
      </c>
      <c r="K207" s="287" t="n">
        <f aca="false">IF(L207=0,0,ROUNDUP(L207/$F$7,0))</f>
        <v>2</v>
      </c>
      <c r="L207" s="285" t="n">
        <f aca="false">IF(J207=0,0,G207*(1-N207)/J207)</f>
        <v>4.25628571428571</v>
      </c>
      <c r="M207" s="283" t="s">
        <v>1037</v>
      </c>
      <c r="N207" s="288" t="n">
        <f aca="false">IFERROR(MIN(1,'P9-012'!$V$76)+0,0)</f>
        <v>0</v>
      </c>
      <c r="O207" s="289" t="n">
        <f aca="false">IF($L207=0,0,$L207*MAX(0,NETWORKDAYS(MAX($H207,ASOF,O$72),MIN(MAX($I207,ASOF),O$72+6),HOLIDAYS)))</f>
        <v>0</v>
      </c>
      <c r="P207" s="289" t="n">
        <f aca="false">IF($L207=0,0,$L207*MAX(0,NETWORKDAYS(MAX($H207,ASOF,P$72),MIN(MAX($I207,ASOF),P$72+6),HOLIDAYS)))</f>
        <v>12.7688571428571</v>
      </c>
      <c r="Q207" s="289" t="n">
        <f aca="false">IF($L207=0,0,$L207*MAX(0,NETWORKDAYS(MAX($H207,ASOF,Q$72),MIN(MAX($I207,ASOF),Q$72+6),HOLIDAYS)))</f>
        <v>21.2814285714286</v>
      </c>
      <c r="R207" s="289" t="n">
        <f aca="false">IF($L207=0,0,$L207*MAX(0,NETWORKDAYS(MAX($H207,ASOF,R$72),MIN(MAX($I207,ASOF),R$72+6),HOLIDAYS)))</f>
        <v>0</v>
      </c>
      <c r="S207" s="289" t="n">
        <f aca="false">IF($L207=0,0,$L207*MAX(0,NETWORKDAYS(MAX($H207,ASOF,S$72),MIN(MAX($I207,ASOF),S$72+6),HOLIDAYS)))</f>
        <v>0</v>
      </c>
      <c r="T207" s="289" t="n">
        <f aca="false">IF($L207=0,0,$L207*MAX(0,NETWORKDAYS(MAX($H207,ASOF,T$72),MIN(MAX($I207,ASOF),T$72+6),HOLIDAYS)))</f>
        <v>0</v>
      </c>
      <c r="U207" s="289" t="n">
        <f aca="false">IF($L207=0,0,$L207*MAX(0,NETWORKDAYS(MAX($H207,ASOF,U$72),MIN(MAX($I207,ASOF),U$72+6),HOLIDAYS)))</f>
        <v>0</v>
      </c>
      <c r="V207" s="289" t="n">
        <f aca="false">IF($L207=0,0,$L207*MAX(0,NETWORKDAYS(MAX($H207,ASOF,V$72),MIN(MAX($I207,ASOF),V$72+6),HOLIDAYS)))</f>
        <v>0</v>
      </c>
      <c r="W207" s="289" t="n">
        <f aca="false">IF($L207=0,0,$L207*MAX(0,NETWORKDAYS(MAX($H207,ASOF,W$72),MIN(MAX($I207,ASOF),W$72+6),HOLIDAYS)))</f>
        <v>0</v>
      </c>
      <c r="X207" s="289" t="n">
        <f aca="false">IF($L207=0,0,$L207*MAX(0,NETWORKDAYS(MAX($H207,ASOF,X$72),MIN(MAX($I207,ASOF),X$72+6),HOLIDAYS)))</f>
        <v>0</v>
      </c>
      <c r="Y207" s="289" t="n">
        <f aca="false">IF($L207=0,0,$L207*MAX(0,NETWORKDAYS(MAX($H207,ASOF,Y$72),MIN(MAX($I207,ASOF),Y$72+6),HOLIDAYS)))</f>
        <v>0</v>
      </c>
      <c r="Z207" s="289" t="n">
        <f aca="false">IF($L207=0,0,$L207*MAX(0,NETWORKDAYS(MAX($H207,ASOF,Z$72),MIN(MAX($I207,ASOF),Z$72+6),HOLIDAYS)))</f>
        <v>0</v>
      </c>
      <c r="AA207" s="289" t="n">
        <f aca="false">IF($L207=0,0,$L207*MAX(0,NETWORKDAYS(MAX($H207,ASOF,AA$72),MIN(MAX($I207,ASOF),AA$72+6),HOLIDAYS)))</f>
        <v>0</v>
      </c>
      <c r="AB207" s="289" t="n">
        <f aca="false">IF($L207=0,0,$L207*MAX(0,NETWORKDAYS(MAX($H207,ASOF,AB$72),MIN(MAX($I207,ASOF),AB$72+6),HOLIDAYS)))</f>
        <v>0</v>
      </c>
      <c r="AC207" s="289" t="n">
        <f aca="false">IF($L207=0,0,$L207*MAX(0,NETWORKDAYS(MAX($H207,ASOF,AC$72),MIN(MAX($I207,ASOF),AC$72+6),HOLIDAYS)))</f>
        <v>0</v>
      </c>
      <c r="AD207" s="289" t="n">
        <f aca="false">IF($L207=0,0,$L207*MAX(0,NETWORKDAYS(MAX($H207,ASOF,AD$72),MIN(MAX($I207,ASOF),AD$72+6),HOLIDAYS)))</f>
        <v>0</v>
      </c>
      <c r="AE207" s="289" t="n">
        <f aca="false">IF($L207=0,0,$L207*MAX(0,NETWORKDAYS(MAX($H207,ASOF,AE$72),MIN(MAX($I207,ASOF),AE$72+6),HOLIDAYS)))</f>
        <v>0</v>
      </c>
      <c r="AF207" s="289" t="n">
        <f aca="false">IF($L207=0,0,$L207*MAX(0,NETWORKDAYS(MAX($H207,ASOF,AF$72),MIN(MAX($I207,ASOF),AF$72+6),HOLIDAYS)))</f>
        <v>0</v>
      </c>
      <c r="AG207" s="289" t="n">
        <f aca="false">IF($L207=0,0,$L207*MAX(0,NETWORKDAYS(MAX($H207,ASOF,AG$72),MIN(MAX($I207,ASOF),AG$72+6),HOLIDAYS)))</f>
        <v>0</v>
      </c>
      <c r="AH207" s="289" t="n">
        <f aca="false">IF($L207=0,0,$L207*MAX(0,NETWORKDAYS(MAX($H207,ASOF,AH$72),MIN(MAX($I207,ASOF),AH$72+6),HOLIDAYS)))</f>
        <v>0</v>
      </c>
      <c r="AI207" s="289" t="n">
        <f aca="false">IF($L207=0,0,$L207*MAX(0,NETWORKDAYS(MAX($H207,ASOF,AI$72),MIN(MAX($I207,ASOF),AI$72+6),HOLIDAYS)))</f>
        <v>0</v>
      </c>
      <c r="AJ207" s="289" t="n">
        <f aca="false">IF($L207=0,0,$L207*MAX(0,NETWORKDAYS(MAX($H207,ASOF,AJ$72),MIN(MAX($I207,ASOF),AJ$72+6),HOLIDAYS)))</f>
        <v>0</v>
      </c>
      <c r="AK207" s="289" t="n">
        <f aca="false">IF($L207=0,0,$L207*MAX(0,NETWORKDAYS(MAX($H207,ASOF,AK$72),MIN(MAX($I207,ASOF),AK$72+6),HOLIDAYS)))</f>
        <v>0</v>
      </c>
      <c r="AL207" s="289" t="n">
        <f aca="false">IF($L207=0,0,$L207*MAX(0,NETWORKDAYS(MAX($H207,ASOF,AL$72),MIN(MAX($I207,ASOF),AL$72+6),HOLIDAYS)))</f>
        <v>0</v>
      </c>
      <c r="AM207" s="289" t="n">
        <f aca="false">IF($L207=0,0,$L207*MAX(0,NETWORKDAYS(MAX($H207,ASOF,AM$72),MIN(MAX($I207,ASOF),AM$72+6),HOLIDAYS)))</f>
        <v>0</v>
      </c>
      <c r="AN207" s="289" t="n">
        <f aca="false">IF($L207=0,0,$L207*MAX(0,NETWORKDAYS(MAX($H207,ASOF,AN$72),MIN(MAX($I207,ASOF),AN$72+6),HOLIDAYS)))</f>
        <v>0</v>
      </c>
      <c r="AO207" s="289" t="n">
        <f aca="false">IF($L207=0,0,$L207*MAX(0,NETWORKDAYS(MAX($H207,ASOF,AO$72),MIN(MAX($I207,ASOF),AO$72+6),HOLIDAYS)))</f>
        <v>0</v>
      </c>
      <c r="AP207" s="289" t="n">
        <f aca="false">IF($L207=0,0,$L207*MAX(0,NETWORKDAYS(MAX($H207,ASOF,AP$72),MIN(MAX($I207,ASOF),AP$72+6),HOLIDAYS)))</f>
        <v>0</v>
      </c>
      <c r="AQ207" s="289" t="n">
        <f aca="false">IF($L207=0,0,$L207*MAX(0,NETWORKDAYS(MAX($H207,ASOF,AQ$72),MIN(MAX($I207,ASOF),AQ$72+6),HOLIDAYS)))</f>
        <v>0</v>
      </c>
      <c r="AR207" s="289" t="n">
        <f aca="false">IF($L207=0,0,$L207*MAX(0,NETWORKDAYS(MAX($H207,ASOF,AR$72),MIN(MAX($I207,ASOF),AR$72+6),HOLIDAYS)))</f>
        <v>0</v>
      </c>
    </row>
    <row r="208" customFormat="false" ht="15" hidden="false" customHeight="false" outlineLevel="1" collapsed="false">
      <c r="A208" s="282" t="s">
        <v>86</v>
      </c>
      <c r="B208" s="283" t="s">
        <v>88</v>
      </c>
      <c r="C208" s="284" t="s">
        <v>2362</v>
      </c>
      <c r="D208" s="284" t="s">
        <v>2284</v>
      </c>
      <c r="E208" s="285" t="n">
        <v>1</v>
      </c>
      <c r="F208" s="290" t="s">
        <v>35</v>
      </c>
      <c r="G208" s="285" t="n">
        <f aca="false">$F$8*$H$8</f>
        <v>2</v>
      </c>
      <c r="H208" s="286" t="n">
        <f aca="false">IF(ISNUMBER('P9-012'!$N$82),'P9-012'!$N$82,"")</f>
        <v>46345</v>
      </c>
      <c r="I208" s="286" t="n">
        <f aca="false">IF(ISNUMBER('P9-012'!$O$82),'P9-012'!$O$82,"")</f>
        <v>46347</v>
      </c>
      <c r="J208" s="287" t="n">
        <f aca="false">IF(OR(H208="",I208="",N208&gt;=1),0,MAX(1,NETWORKDAYS(MAX(H208,ASOF),MAX(I208,ASOF),HOLIDAYS)))</f>
        <v>2</v>
      </c>
      <c r="K208" s="287" t="n">
        <f aca="false">IF(L208=0,0,ROUNDUP(L208/$F$8,0))</f>
        <v>1</v>
      </c>
      <c r="L208" s="285" t="n">
        <f aca="false">IF(J208=0,0,G208*(1-N208)/J208)</f>
        <v>1</v>
      </c>
      <c r="M208" s="283" t="s">
        <v>1063</v>
      </c>
      <c r="N208" s="288" t="n">
        <f aca="false">IFERROR(MIN(1,'P9-012'!$V$82)+0,0)</f>
        <v>0</v>
      </c>
      <c r="O208" s="289" t="n">
        <f aca="false">IF($L208=0,0,$L208*MAX(0,NETWORKDAYS(MAX($H208,ASOF,O$72),MIN(MAX($I208,ASOF),O$72+6),HOLIDAYS)))</f>
        <v>0</v>
      </c>
      <c r="P208" s="289" t="n">
        <f aca="false">IF($L208=0,0,$L208*MAX(0,NETWORKDAYS(MAX($H208,ASOF,P$72),MIN(MAX($I208,ASOF),P$72+6),HOLIDAYS)))</f>
        <v>0</v>
      </c>
      <c r="Q208" s="289" t="n">
        <f aca="false">IF($L208=0,0,$L208*MAX(0,NETWORKDAYS(MAX($H208,ASOF,Q$72),MIN(MAX($I208,ASOF),Q$72+6),HOLIDAYS)))</f>
        <v>2</v>
      </c>
      <c r="R208" s="289" t="n">
        <f aca="false">IF($L208=0,0,$L208*MAX(0,NETWORKDAYS(MAX($H208,ASOF,R$72),MIN(MAX($I208,ASOF),R$72+6),HOLIDAYS)))</f>
        <v>0</v>
      </c>
      <c r="S208" s="289" t="n">
        <f aca="false">IF($L208=0,0,$L208*MAX(0,NETWORKDAYS(MAX($H208,ASOF,S$72),MIN(MAX($I208,ASOF),S$72+6),HOLIDAYS)))</f>
        <v>0</v>
      </c>
      <c r="T208" s="289" t="n">
        <f aca="false">IF($L208=0,0,$L208*MAX(0,NETWORKDAYS(MAX($H208,ASOF,T$72),MIN(MAX($I208,ASOF),T$72+6),HOLIDAYS)))</f>
        <v>0</v>
      </c>
      <c r="U208" s="289" t="n">
        <f aca="false">IF($L208=0,0,$L208*MAX(0,NETWORKDAYS(MAX($H208,ASOF,U$72),MIN(MAX($I208,ASOF),U$72+6),HOLIDAYS)))</f>
        <v>0</v>
      </c>
      <c r="V208" s="289" t="n">
        <f aca="false">IF($L208=0,0,$L208*MAX(0,NETWORKDAYS(MAX($H208,ASOF,V$72),MIN(MAX($I208,ASOF),V$72+6),HOLIDAYS)))</f>
        <v>0</v>
      </c>
      <c r="W208" s="289" t="n">
        <f aca="false">IF($L208=0,0,$L208*MAX(0,NETWORKDAYS(MAX($H208,ASOF,W$72),MIN(MAX($I208,ASOF),W$72+6),HOLIDAYS)))</f>
        <v>0</v>
      </c>
      <c r="X208" s="289" t="n">
        <f aca="false">IF($L208=0,0,$L208*MAX(0,NETWORKDAYS(MAX($H208,ASOF,X$72),MIN(MAX($I208,ASOF),X$72+6),HOLIDAYS)))</f>
        <v>0</v>
      </c>
      <c r="Y208" s="289" t="n">
        <f aca="false">IF($L208=0,0,$L208*MAX(0,NETWORKDAYS(MAX($H208,ASOF,Y$72),MIN(MAX($I208,ASOF),Y$72+6),HOLIDAYS)))</f>
        <v>0</v>
      </c>
      <c r="Z208" s="289" t="n">
        <f aca="false">IF($L208=0,0,$L208*MAX(0,NETWORKDAYS(MAX($H208,ASOF,Z$72),MIN(MAX($I208,ASOF),Z$72+6),HOLIDAYS)))</f>
        <v>0</v>
      </c>
      <c r="AA208" s="289" t="n">
        <f aca="false">IF($L208=0,0,$L208*MAX(0,NETWORKDAYS(MAX($H208,ASOF,AA$72),MIN(MAX($I208,ASOF),AA$72+6),HOLIDAYS)))</f>
        <v>0</v>
      </c>
      <c r="AB208" s="289" t="n">
        <f aca="false">IF($L208=0,0,$L208*MAX(0,NETWORKDAYS(MAX($H208,ASOF,AB$72),MIN(MAX($I208,ASOF),AB$72+6),HOLIDAYS)))</f>
        <v>0</v>
      </c>
      <c r="AC208" s="289" t="n">
        <f aca="false">IF($L208=0,0,$L208*MAX(0,NETWORKDAYS(MAX($H208,ASOF,AC$72),MIN(MAX($I208,ASOF),AC$72+6),HOLIDAYS)))</f>
        <v>0</v>
      </c>
      <c r="AD208" s="289" t="n">
        <f aca="false">IF($L208=0,0,$L208*MAX(0,NETWORKDAYS(MAX($H208,ASOF,AD$72),MIN(MAX($I208,ASOF),AD$72+6),HOLIDAYS)))</f>
        <v>0</v>
      </c>
      <c r="AE208" s="289" t="n">
        <f aca="false">IF($L208=0,0,$L208*MAX(0,NETWORKDAYS(MAX($H208,ASOF,AE$72),MIN(MAX($I208,ASOF),AE$72+6),HOLIDAYS)))</f>
        <v>0</v>
      </c>
      <c r="AF208" s="289" t="n">
        <f aca="false">IF($L208=0,0,$L208*MAX(0,NETWORKDAYS(MAX($H208,ASOF,AF$72),MIN(MAX($I208,ASOF),AF$72+6),HOLIDAYS)))</f>
        <v>0</v>
      </c>
      <c r="AG208" s="289" t="n">
        <f aca="false">IF($L208=0,0,$L208*MAX(0,NETWORKDAYS(MAX($H208,ASOF,AG$72),MIN(MAX($I208,ASOF),AG$72+6),HOLIDAYS)))</f>
        <v>0</v>
      </c>
      <c r="AH208" s="289" t="n">
        <f aca="false">IF($L208=0,0,$L208*MAX(0,NETWORKDAYS(MAX($H208,ASOF,AH$72),MIN(MAX($I208,ASOF),AH$72+6),HOLIDAYS)))</f>
        <v>0</v>
      </c>
      <c r="AI208" s="289" t="n">
        <f aca="false">IF($L208=0,0,$L208*MAX(0,NETWORKDAYS(MAX($H208,ASOF,AI$72),MIN(MAX($I208,ASOF),AI$72+6),HOLIDAYS)))</f>
        <v>0</v>
      </c>
      <c r="AJ208" s="289" t="n">
        <f aca="false">IF($L208=0,0,$L208*MAX(0,NETWORKDAYS(MAX($H208,ASOF,AJ$72),MIN(MAX($I208,ASOF),AJ$72+6),HOLIDAYS)))</f>
        <v>0</v>
      </c>
      <c r="AK208" s="289" t="n">
        <f aca="false">IF($L208=0,0,$L208*MAX(0,NETWORKDAYS(MAX($H208,ASOF,AK$72),MIN(MAX($I208,ASOF),AK$72+6),HOLIDAYS)))</f>
        <v>0</v>
      </c>
      <c r="AL208" s="289" t="n">
        <f aca="false">IF($L208=0,0,$L208*MAX(0,NETWORKDAYS(MAX($H208,ASOF,AL$72),MIN(MAX($I208,ASOF),AL$72+6),HOLIDAYS)))</f>
        <v>0</v>
      </c>
      <c r="AM208" s="289" t="n">
        <f aca="false">IF($L208=0,0,$L208*MAX(0,NETWORKDAYS(MAX($H208,ASOF,AM$72),MIN(MAX($I208,ASOF),AM$72+6),HOLIDAYS)))</f>
        <v>0</v>
      </c>
      <c r="AN208" s="289" t="n">
        <f aca="false">IF($L208=0,0,$L208*MAX(0,NETWORKDAYS(MAX($H208,ASOF,AN$72),MIN(MAX($I208,ASOF),AN$72+6),HOLIDAYS)))</f>
        <v>0</v>
      </c>
      <c r="AO208" s="289" t="n">
        <f aca="false">IF($L208=0,0,$L208*MAX(0,NETWORKDAYS(MAX($H208,ASOF,AO$72),MIN(MAX($I208,ASOF),AO$72+6),HOLIDAYS)))</f>
        <v>0</v>
      </c>
      <c r="AP208" s="289" t="n">
        <f aca="false">IF($L208=0,0,$L208*MAX(0,NETWORKDAYS(MAX($H208,ASOF,AP$72),MIN(MAX($I208,ASOF),AP$72+6),HOLIDAYS)))</f>
        <v>0</v>
      </c>
      <c r="AQ208" s="289" t="n">
        <f aca="false">IF($L208=0,0,$L208*MAX(0,NETWORKDAYS(MAX($H208,ASOF,AQ$72),MIN(MAX($I208,ASOF),AQ$72+6),HOLIDAYS)))</f>
        <v>0</v>
      </c>
      <c r="AR208" s="289" t="n">
        <f aca="false">IF($L208=0,0,$L208*MAX(0,NETWORKDAYS(MAX($H208,ASOF,AR$72),MIN(MAX($I208,ASOF),AR$72+6),HOLIDAYS)))</f>
        <v>0</v>
      </c>
    </row>
    <row r="209" customFormat="false" ht="15" hidden="false" customHeight="false" outlineLevel="1" collapsed="false">
      <c r="A209" s="282" t="s">
        <v>86</v>
      </c>
      <c r="B209" s="283" t="s">
        <v>88</v>
      </c>
      <c r="C209" s="284" t="s">
        <v>2363</v>
      </c>
      <c r="D209" s="284" t="s">
        <v>2290</v>
      </c>
      <c r="E209" s="285" t="n">
        <v>1</v>
      </c>
      <c r="F209" s="290" t="s">
        <v>35</v>
      </c>
      <c r="G209" s="285" t="n">
        <f aca="false">IF(IFERROR(INDEX(INVS_TYPE,MATCH("P9-012",INVS_ID,0)),"")="สร้างใหม่ (E09)",$F$9*$H$9,0)</f>
        <v>24</v>
      </c>
      <c r="H209" s="286" t="n">
        <f aca="false">IF(ISNUMBER('P9-012'!$N$85),'P9-012'!$N$85,"")</f>
        <v>46343</v>
      </c>
      <c r="I209" s="286" t="n">
        <f aca="false">IF(ISNUMBER('P9-012'!$O$85),'P9-012'!$O$85,"")</f>
        <v>46346</v>
      </c>
      <c r="J209" s="287" t="n">
        <f aca="false">IF(OR(H209="",I209="",N209&gt;=1),0,MAX(1,NETWORKDAYS(MAX(H209,ASOF),MAX(I209,ASOF),HOLIDAYS)))</f>
        <v>4</v>
      </c>
      <c r="K209" s="287" t="n">
        <f aca="false">IF(L209=0,0,ROUNDUP(L209/$F$9,0))</f>
        <v>2</v>
      </c>
      <c r="L209" s="285" t="n">
        <f aca="false">IF(J209=0,0,G209*(1-N209)/J209)</f>
        <v>6</v>
      </c>
      <c r="M209" s="283" t="s">
        <v>2288</v>
      </c>
      <c r="N209" s="288" t="n">
        <f aca="false">IFERROR(MIN(1,'P9-012'!$V$85)+0,0)</f>
        <v>0</v>
      </c>
      <c r="O209" s="289" t="n">
        <f aca="false">IF($L209=0,0,$L209*MAX(0,NETWORKDAYS(MAX($H209,ASOF,O$72),MIN(MAX($I209,ASOF),O$72+6),HOLIDAYS)))</f>
        <v>0</v>
      </c>
      <c r="P209" s="289" t="n">
        <f aca="false">IF($L209=0,0,$L209*MAX(0,NETWORKDAYS(MAX($H209,ASOF,P$72),MIN(MAX($I209,ASOF),P$72+6),HOLIDAYS)))</f>
        <v>0</v>
      </c>
      <c r="Q209" s="289" t="n">
        <f aca="false">IF($L209=0,0,$L209*MAX(0,NETWORKDAYS(MAX($H209,ASOF,Q$72),MIN(MAX($I209,ASOF),Q$72+6),HOLIDAYS)))</f>
        <v>24</v>
      </c>
      <c r="R209" s="289" t="n">
        <f aca="false">IF($L209=0,0,$L209*MAX(0,NETWORKDAYS(MAX($H209,ASOF,R$72),MIN(MAX($I209,ASOF),R$72+6),HOLIDAYS)))</f>
        <v>0</v>
      </c>
      <c r="S209" s="289" t="n">
        <f aca="false">IF($L209=0,0,$L209*MAX(0,NETWORKDAYS(MAX($H209,ASOF,S$72),MIN(MAX($I209,ASOF),S$72+6),HOLIDAYS)))</f>
        <v>0</v>
      </c>
      <c r="T209" s="289" t="n">
        <f aca="false">IF($L209=0,0,$L209*MAX(0,NETWORKDAYS(MAX($H209,ASOF,T$72),MIN(MAX($I209,ASOF),T$72+6),HOLIDAYS)))</f>
        <v>0</v>
      </c>
      <c r="U209" s="289" t="n">
        <f aca="false">IF($L209=0,0,$L209*MAX(0,NETWORKDAYS(MAX($H209,ASOF,U$72),MIN(MAX($I209,ASOF),U$72+6),HOLIDAYS)))</f>
        <v>0</v>
      </c>
      <c r="V209" s="289" t="n">
        <f aca="false">IF($L209=0,0,$L209*MAX(0,NETWORKDAYS(MAX($H209,ASOF,V$72),MIN(MAX($I209,ASOF),V$72+6),HOLIDAYS)))</f>
        <v>0</v>
      </c>
      <c r="W209" s="289" t="n">
        <f aca="false">IF($L209=0,0,$L209*MAX(0,NETWORKDAYS(MAX($H209,ASOF,W$72),MIN(MAX($I209,ASOF),W$72+6),HOLIDAYS)))</f>
        <v>0</v>
      </c>
      <c r="X209" s="289" t="n">
        <f aca="false">IF($L209=0,0,$L209*MAX(0,NETWORKDAYS(MAX($H209,ASOF,X$72),MIN(MAX($I209,ASOF),X$72+6),HOLIDAYS)))</f>
        <v>0</v>
      </c>
      <c r="Y209" s="289" t="n">
        <f aca="false">IF($L209=0,0,$L209*MAX(0,NETWORKDAYS(MAX($H209,ASOF,Y$72),MIN(MAX($I209,ASOF),Y$72+6),HOLIDAYS)))</f>
        <v>0</v>
      </c>
      <c r="Z209" s="289" t="n">
        <f aca="false">IF($L209=0,0,$L209*MAX(0,NETWORKDAYS(MAX($H209,ASOF,Z$72),MIN(MAX($I209,ASOF),Z$72+6),HOLIDAYS)))</f>
        <v>0</v>
      </c>
      <c r="AA209" s="289" t="n">
        <f aca="false">IF($L209=0,0,$L209*MAX(0,NETWORKDAYS(MAX($H209,ASOF,AA$72),MIN(MAX($I209,ASOF),AA$72+6),HOLIDAYS)))</f>
        <v>0</v>
      </c>
      <c r="AB209" s="289" t="n">
        <f aca="false">IF($L209=0,0,$L209*MAX(0,NETWORKDAYS(MAX($H209,ASOF,AB$72),MIN(MAX($I209,ASOF),AB$72+6),HOLIDAYS)))</f>
        <v>0</v>
      </c>
      <c r="AC209" s="289" t="n">
        <f aca="false">IF($L209=0,0,$L209*MAX(0,NETWORKDAYS(MAX($H209,ASOF,AC$72),MIN(MAX($I209,ASOF),AC$72+6),HOLIDAYS)))</f>
        <v>0</v>
      </c>
      <c r="AD209" s="289" t="n">
        <f aca="false">IF($L209=0,0,$L209*MAX(0,NETWORKDAYS(MAX($H209,ASOF,AD$72),MIN(MAX($I209,ASOF),AD$72+6),HOLIDAYS)))</f>
        <v>0</v>
      </c>
      <c r="AE209" s="289" t="n">
        <f aca="false">IF($L209=0,0,$L209*MAX(0,NETWORKDAYS(MAX($H209,ASOF,AE$72),MIN(MAX($I209,ASOF),AE$72+6),HOLIDAYS)))</f>
        <v>0</v>
      </c>
      <c r="AF209" s="289" t="n">
        <f aca="false">IF($L209=0,0,$L209*MAX(0,NETWORKDAYS(MAX($H209,ASOF,AF$72),MIN(MAX($I209,ASOF),AF$72+6),HOLIDAYS)))</f>
        <v>0</v>
      </c>
      <c r="AG209" s="289" t="n">
        <f aca="false">IF($L209=0,0,$L209*MAX(0,NETWORKDAYS(MAX($H209,ASOF,AG$72),MIN(MAX($I209,ASOF),AG$72+6),HOLIDAYS)))</f>
        <v>0</v>
      </c>
      <c r="AH209" s="289" t="n">
        <f aca="false">IF($L209=0,0,$L209*MAX(0,NETWORKDAYS(MAX($H209,ASOF,AH$72),MIN(MAX($I209,ASOF),AH$72+6),HOLIDAYS)))</f>
        <v>0</v>
      </c>
      <c r="AI209" s="289" t="n">
        <f aca="false">IF($L209=0,0,$L209*MAX(0,NETWORKDAYS(MAX($H209,ASOF,AI$72),MIN(MAX($I209,ASOF),AI$72+6),HOLIDAYS)))</f>
        <v>0</v>
      </c>
      <c r="AJ209" s="289" t="n">
        <f aca="false">IF($L209=0,0,$L209*MAX(0,NETWORKDAYS(MAX($H209,ASOF,AJ$72),MIN(MAX($I209,ASOF),AJ$72+6),HOLIDAYS)))</f>
        <v>0</v>
      </c>
      <c r="AK209" s="289" t="n">
        <f aca="false">IF($L209=0,0,$L209*MAX(0,NETWORKDAYS(MAX($H209,ASOF,AK$72),MIN(MAX($I209,ASOF),AK$72+6),HOLIDAYS)))</f>
        <v>0</v>
      </c>
      <c r="AL209" s="289" t="n">
        <f aca="false">IF($L209=0,0,$L209*MAX(0,NETWORKDAYS(MAX($H209,ASOF,AL$72),MIN(MAX($I209,ASOF),AL$72+6),HOLIDAYS)))</f>
        <v>0</v>
      </c>
      <c r="AM209" s="289" t="n">
        <f aca="false">IF($L209=0,0,$L209*MAX(0,NETWORKDAYS(MAX($H209,ASOF,AM$72),MIN(MAX($I209,ASOF),AM$72+6),HOLIDAYS)))</f>
        <v>0</v>
      </c>
      <c r="AN209" s="289" t="n">
        <f aca="false">IF($L209=0,0,$L209*MAX(0,NETWORKDAYS(MAX($H209,ASOF,AN$72),MIN(MAX($I209,ASOF),AN$72+6),HOLIDAYS)))</f>
        <v>0</v>
      </c>
      <c r="AO209" s="289" t="n">
        <f aca="false">IF($L209=0,0,$L209*MAX(0,NETWORKDAYS(MAX($H209,ASOF,AO$72),MIN(MAX($I209,ASOF),AO$72+6),HOLIDAYS)))</f>
        <v>0</v>
      </c>
      <c r="AP209" s="289" t="n">
        <f aca="false">IF($L209=0,0,$L209*MAX(0,NETWORKDAYS(MAX($H209,ASOF,AP$72),MIN(MAX($I209,ASOF),AP$72+6),HOLIDAYS)))</f>
        <v>0</v>
      </c>
      <c r="AQ209" s="289" t="n">
        <f aca="false">IF($L209=0,0,$L209*MAX(0,NETWORKDAYS(MAX($H209,ASOF,AQ$72),MIN(MAX($I209,ASOF),AQ$72+6),HOLIDAYS)))</f>
        <v>0</v>
      </c>
      <c r="AR209" s="289" t="n">
        <f aca="false">IF($L209=0,0,$L209*MAX(0,NETWORKDAYS(MAX($H209,ASOF,AR$72),MIN(MAX($I209,ASOF),AR$72+6),HOLIDAYS)))</f>
        <v>0</v>
      </c>
    </row>
    <row r="210" customFormat="false" ht="15" hidden="false" customHeight="false" outlineLevel="1" collapsed="false">
      <c r="A210" s="282" t="s">
        <v>86</v>
      </c>
      <c r="B210" s="283" t="s">
        <v>88</v>
      </c>
      <c r="C210" s="284" t="s">
        <v>2364</v>
      </c>
      <c r="D210" s="284" t="s">
        <v>2284</v>
      </c>
      <c r="E210" s="285" t="n">
        <f aca="false">IFERROR(INDEX(INVS_N,MATCH("P9-012",INVS_ID,0)),2)</f>
        <v>2</v>
      </c>
      <c r="F210" s="290" t="s">
        <v>2365</v>
      </c>
      <c r="G210" s="285" t="n">
        <f aca="false">$F$10*(E210/$G$10+$H$10)</f>
        <v>4.5</v>
      </c>
      <c r="H210" s="286" t="n">
        <f aca="false">IF(ISNUMBER('P9-012'!$N$85),'P9-012'!$N$85,"")</f>
        <v>46343</v>
      </c>
      <c r="I210" s="286" t="n">
        <f aca="false">IF(ISNUMBER('P9-012'!$O$85),'P9-012'!$O$85,"")</f>
        <v>46346</v>
      </c>
      <c r="J210" s="287" t="n">
        <f aca="false">IF(OR(H210="",I210="",N210&gt;=1),0,MAX(1,NETWORKDAYS(MAX(H210,ASOF),MAX(I210,ASOF),HOLIDAYS)))</f>
        <v>4</v>
      </c>
      <c r="K210" s="287" t="n">
        <f aca="false">IF(L210=0,0,ROUNDUP(L210/$F$10,0))</f>
        <v>1</v>
      </c>
      <c r="L210" s="285" t="n">
        <f aca="false">IF(J210=0,0,G210*(1-N210)/J210)</f>
        <v>1.125</v>
      </c>
      <c r="M210" s="283" t="s">
        <v>2293</v>
      </c>
      <c r="N210" s="288" t="n">
        <f aca="false">IFERROR(MIN(1,'P9-012'!$V$85)+0,0)</f>
        <v>0</v>
      </c>
      <c r="O210" s="289" t="n">
        <f aca="false">IF($L210=0,0,$L210*MAX(0,NETWORKDAYS(MAX($H210,ASOF,O$72),MIN(MAX($I210,ASOF),O$72+6),HOLIDAYS)))</f>
        <v>0</v>
      </c>
      <c r="P210" s="289" t="n">
        <f aca="false">IF($L210=0,0,$L210*MAX(0,NETWORKDAYS(MAX($H210,ASOF,P$72),MIN(MAX($I210,ASOF),P$72+6),HOLIDAYS)))</f>
        <v>0</v>
      </c>
      <c r="Q210" s="289" t="n">
        <f aca="false">IF($L210=0,0,$L210*MAX(0,NETWORKDAYS(MAX($H210,ASOF,Q$72),MIN(MAX($I210,ASOF),Q$72+6),HOLIDAYS)))</f>
        <v>4.5</v>
      </c>
      <c r="R210" s="289" t="n">
        <f aca="false">IF($L210=0,0,$L210*MAX(0,NETWORKDAYS(MAX($H210,ASOF,R$72),MIN(MAX($I210,ASOF),R$72+6),HOLIDAYS)))</f>
        <v>0</v>
      </c>
      <c r="S210" s="289" t="n">
        <f aca="false">IF($L210=0,0,$L210*MAX(0,NETWORKDAYS(MAX($H210,ASOF,S$72),MIN(MAX($I210,ASOF),S$72+6),HOLIDAYS)))</f>
        <v>0</v>
      </c>
      <c r="T210" s="289" t="n">
        <f aca="false">IF($L210=0,0,$L210*MAX(0,NETWORKDAYS(MAX($H210,ASOF,T$72),MIN(MAX($I210,ASOF),T$72+6),HOLIDAYS)))</f>
        <v>0</v>
      </c>
      <c r="U210" s="289" t="n">
        <f aca="false">IF($L210=0,0,$L210*MAX(0,NETWORKDAYS(MAX($H210,ASOF,U$72),MIN(MAX($I210,ASOF),U$72+6),HOLIDAYS)))</f>
        <v>0</v>
      </c>
      <c r="V210" s="289" t="n">
        <f aca="false">IF($L210=0,0,$L210*MAX(0,NETWORKDAYS(MAX($H210,ASOF,V$72),MIN(MAX($I210,ASOF),V$72+6),HOLIDAYS)))</f>
        <v>0</v>
      </c>
      <c r="W210" s="289" t="n">
        <f aca="false">IF($L210=0,0,$L210*MAX(0,NETWORKDAYS(MAX($H210,ASOF,W$72),MIN(MAX($I210,ASOF),W$72+6),HOLIDAYS)))</f>
        <v>0</v>
      </c>
      <c r="X210" s="289" t="n">
        <f aca="false">IF($L210=0,0,$L210*MAX(0,NETWORKDAYS(MAX($H210,ASOF,X$72),MIN(MAX($I210,ASOF),X$72+6),HOLIDAYS)))</f>
        <v>0</v>
      </c>
      <c r="Y210" s="289" t="n">
        <f aca="false">IF($L210=0,0,$L210*MAX(0,NETWORKDAYS(MAX($H210,ASOF,Y$72),MIN(MAX($I210,ASOF),Y$72+6),HOLIDAYS)))</f>
        <v>0</v>
      </c>
      <c r="Z210" s="289" t="n">
        <f aca="false">IF($L210=0,0,$L210*MAX(0,NETWORKDAYS(MAX($H210,ASOF,Z$72),MIN(MAX($I210,ASOF),Z$72+6),HOLIDAYS)))</f>
        <v>0</v>
      </c>
      <c r="AA210" s="289" t="n">
        <f aca="false">IF($L210=0,0,$L210*MAX(0,NETWORKDAYS(MAX($H210,ASOF,AA$72),MIN(MAX($I210,ASOF),AA$72+6),HOLIDAYS)))</f>
        <v>0</v>
      </c>
      <c r="AB210" s="289" t="n">
        <f aca="false">IF($L210=0,0,$L210*MAX(0,NETWORKDAYS(MAX($H210,ASOF,AB$72),MIN(MAX($I210,ASOF),AB$72+6),HOLIDAYS)))</f>
        <v>0</v>
      </c>
      <c r="AC210" s="289" t="n">
        <f aca="false">IF($L210=0,0,$L210*MAX(0,NETWORKDAYS(MAX($H210,ASOF,AC$72),MIN(MAX($I210,ASOF),AC$72+6),HOLIDAYS)))</f>
        <v>0</v>
      </c>
      <c r="AD210" s="289" t="n">
        <f aca="false">IF($L210=0,0,$L210*MAX(0,NETWORKDAYS(MAX($H210,ASOF,AD$72),MIN(MAX($I210,ASOF),AD$72+6),HOLIDAYS)))</f>
        <v>0</v>
      </c>
      <c r="AE210" s="289" t="n">
        <f aca="false">IF($L210=0,0,$L210*MAX(0,NETWORKDAYS(MAX($H210,ASOF,AE$72),MIN(MAX($I210,ASOF),AE$72+6),HOLIDAYS)))</f>
        <v>0</v>
      </c>
      <c r="AF210" s="289" t="n">
        <f aca="false">IF($L210=0,0,$L210*MAX(0,NETWORKDAYS(MAX($H210,ASOF,AF$72),MIN(MAX($I210,ASOF),AF$72+6),HOLIDAYS)))</f>
        <v>0</v>
      </c>
      <c r="AG210" s="289" t="n">
        <f aca="false">IF($L210=0,0,$L210*MAX(0,NETWORKDAYS(MAX($H210,ASOF,AG$72),MIN(MAX($I210,ASOF),AG$72+6),HOLIDAYS)))</f>
        <v>0</v>
      </c>
      <c r="AH210" s="289" t="n">
        <f aca="false">IF($L210=0,0,$L210*MAX(0,NETWORKDAYS(MAX($H210,ASOF,AH$72),MIN(MAX($I210,ASOF),AH$72+6),HOLIDAYS)))</f>
        <v>0</v>
      </c>
      <c r="AI210" s="289" t="n">
        <f aca="false">IF($L210=0,0,$L210*MAX(0,NETWORKDAYS(MAX($H210,ASOF,AI$72),MIN(MAX($I210,ASOF),AI$72+6),HOLIDAYS)))</f>
        <v>0</v>
      </c>
      <c r="AJ210" s="289" t="n">
        <f aca="false">IF($L210=0,0,$L210*MAX(0,NETWORKDAYS(MAX($H210,ASOF,AJ$72),MIN(MAX($I210,ASOF),AJ$72+6),HOLIDAYS)))</f>
        <v>0</v>
      </c>
      <c r="AK210" s="289" t="n">
        <f aca="false">IF($L210=0,0,$L210*MAX(0,NETWORKDAYS(MAX($H210,ASOF,AK$72),MIN(MAX($I210,ASOF),AK$72+6),HOLIDAYS)))</f>
        <v>0</v>
      </c>
      <c r="AL210" s="289" t="n">
        <f aca="false">IF($L210=0,0,$L210*MAX(0,NETWORKDAYS(MAX($H210,ASOF,AL$72),MIN(MAX($I210,ASOF),AL$72+6),HOLIDAYS)))</f>
        <v>0</v>
      </c>
      <c r="AM210" s="289" t="n">
        <f aca="false">IF($L210=0,0,$L210*MAX(0,NETWORKDAYS(MAX($H210,ASOF,AM$72),MIN(MAX($I210,ASOF),AM$72+6),HOLIDAYS)))</f>
        <v>0</v>
      </c>
      <c r="AN210" s="289" t="n">
        <f aca="false">IF($L210=0,0,$L210*MAX(0,NETWORKDAYS(MAX($H210,ASOF,AN$72),MIN(MAX($I210,ASOF),AN$72+6),HOLIDAYS)))</f>
        <v>0</v>
      </c>
      <c r="AO210" s="289" t="n">
        <f aca="false">IF($L210=0,0,$L210*MAX(0,NETWORKDAYS(MAX($H210,ASOF,AO$72),MIN(MAX($I210,ASOF),AO$72+6),HOLIDAYS)))</f>
        <v>0</v>
      </c>
      <c r="AP210" s="289" t="n">
        <f aca="false">IF($L210=0,0,$L210*MAX(0,NETWORKDAYS(MAX($H210,ASOF,AP$72),MIN(MAX($I210,ASOF),AP$72+6),HOLIDAYS)))</f>
        <v>0</v>
      </c>
      <c r="AQ210" s="289" t="n">
        <f aca="false">IF($L210=0,0,$L210*MAX(0,NETWORKDAYS(MAX($H210,ASOF,AQ$72),MIN(MAX($I210,ASOF),AQ$72+6),HOLIDAYS)))</f>
        <v>0</v>
      </c>
      <c r="AR210" s="289" t="n">
        <f aca="false">IF($L210=0,0,$L210*MAX(0,NETWORKDAYS(MAX($H210,ASOF,AR$72),MIN(MAX($I210,ASOF),AR$72+6),HOLIDAYS)))</f>
        <v>0</v>
      </c>
    </row>
    <row r="211" customFormat="false" ht="15" hidden="false" customHeight="false" outlineLevel="1" collapsed="false">
      <c r="A211" s="282" t="s">
        <v>86</v>
      </c>
      <c r="B211" s="283" t="s">
        <v>88</v>
      </c>
      <c r="C211" s="284" t="s">
        <v>2366</v>
      </c>
      <c r="D211" s="284" t="s">
        <v>2284</v>
      </c>
      <c r="E211" s="285" t="n">
        <v>1</v>
      </c>
      <c r="F211" s="290" t="s">
        <v>35</v>
      </c>
      <c r="G211" s="285" t="n">
        <f aca="false">$F$11*$H$11</f>
        <v>16</v>
      </c>
      <c r="H211" s="286" t="n">
        <f aca="false">IF(ISNUMBER('P9-012'!$N$90),'P9-012'!$N$90,"")</f>
        <v>46344</v>
      </c>
      <c r="I211" s="286" t="n">
        <f aca="false">IF(ISNUMBER('P9-012'!$O$90),'P9-012'!$O$90,"")</f>
        <v>46347</v>
      </c>
      <c r="J211" s="287" t="n">
        <f aca="false">IF(OR(H211="",I211="",N211&gt;=1),0,MAX(1,NETWORKDAYS(MAX(H211,ASOF),MAX(I211,ASOF),HOLIDAYS)))</f>
        <v>3</v>
      </c>
      <c r="K211" s="287" t="n">
        <f aca="false">IF(L211=0,0,ROUNDUP(L211/$F$11,0))</f>
        <v>2</v>
      </c>
      <c r="L211" s="285" t="n">
        <f aca="false">IF(J211=0,0,G211*(1-N211)/J211)</f>
        <v>5.33333333333333</v>
      </c>
      <c r="M211" s="283" t="s">
        <v>1113</v>
      </c>
      <c r="N211" s="288" t="n">
        <f aca="false">IFERROR(MIN(1,'P9-012'!$V$90)+0,0)</f>
        <v>0</v>
      </c>
      <c r="O211" s="289" t="n">
        <f aca="false">IF($L211=0,0,$L211*MAX(0,NETWORKDAYS(MAX($H211,ASOF,O$72),MIN(MAX($I211,ASOF),O$72+6),HOLIDAYS)))</f>
        <v>0</v>
      </c>
      <c r="P211" s="289" t="n">
        <f aca="false">IF($L211=0,0,$L211*MAX(0,NETWORKDAYS(MAX($H211,ASOF,P$72),MIN(MAX($I211,ASOF),P$72+6),HOLIDAYS)))</f>
        <v>0</v>
      </c>
      <c r="Q211" s="289" t="n">
        <f aca="false">IF($L211=0,0,$L211*MAX(0,NETWORKDAYS(MAX($H211,ASOF,Q$72),MIN(MAX($I211,ASOF),Q$72+6),HOLIDAYS)))</f>
        <v>16</v>
      </c>
      <c r="R211" s="289" t="n">
        <f aca="false">IF($L211=0,0,$L211*MAX(0,NETWORKDAYS(MAX($H211,ASOF,R$72),MIN(MAX($I211,ASOF),R$72+6),HOLIDAYS)))</f>
        <v>0</v>
      </c>
      <c r="S211" s="289" t="n">
        <f aca="false">IF($L211=0,0,$L211*MAX(0,NETWORKDAYS(MAX($H211,ASOF,S$72),MIN(MAX($I211,ASOF),S$72+6),HOLIDAYS)))</f>
        <v>0</v>
      </c>
      <c r="T211" s="289" t="n">
        <f aca="false">IF($L211=0,0,$L211*MAX(0,NETWORKDAYS(MAX($H211,ASOF,T$72),MIN(MAX($I211,ASOF),T$72+6),HOLIDAYS)))</f>
        <v>0</v>
      </c>
      <c r="U211" s="289" t="n">
        <f aca="false">IF($L211=0,0,$L211*MAX(0,NETWORKDAYS(MAX($H211,ASOF,U$72),MIN(MAX($I211,ASOF),U$72+6),HOLIDAYS)))</f>
        <v>0</v>
      </c>
      <c r="V211" s="289" t="n">
        <f aca="false">IF($L211=0,0,$L211*MAX(0,NETWORKDAYS(MAX($H211,ASOF,V$72),MIN(MAX($I211,ASOF),V$72+6),HOLIDAYS)))</f>
        <v>0</v>
      </c>
      <c r="W211" s="289" t="n">
        <f aca="false">IF($L211=0,0,$L211*MAX(0,NETWORKDAYS(MAX($H211,ASOF,W$72),MIN(MAX($I211,ASOF),W$72+6),HOLIDAYS)))</f>
        <v>0</v>
      </c>
      <c r="X211" s="289" t="n">
        <f aca="false">IF($L211=0,0,$L211*MAX(0,NETWORKDAYS(MAX($H211,ASOF,X$72),MIN(MAX($I211,ASOF),X$72+6),HOLIDAYS)))</f>
        <v>0</v>
      </c>
      <c r="Y211" s="289" t="n">
        <f aca="false">IF($L211=0,0,$L211*MAX(0,NETWORKDAYS(MAX($H211,ASOF,Y$72),MIN(MAX($I211,ASOF),Y$72+6),HOLIDAYS)))</f>
        <v>0</v>
      </c>
      <c r="Z211" s="289" t="n">
        <f aca="false">IF($L211=0,0,$L211*MAX(0,NETWORKDAYS(MAX($H211,ASOF,Z$72),MIN(MAX($I211,ASOF),Z$72+6),HOLIDAYS)))</f>
        <v>0</v>
      </c>
      <c r="AA211" s="289" t="n">
        <f aca="false">IF($L211=0,0,$L211*MAX(0,NETWORKDAYS(MAX($H211,ASOF,AA$72),MIN(MAX($I211,ASOF),AA$72+6),HOLIDAYS)))</f>
        <v>0</v>
      </c>
      <c r="AB211" s="289" t="n">
        <f aca="false">IF($L211=0,0,$L211*MAX(0,NETWORKDAYS(MAX($H211,ASOF,AB$72),MIN(MAX($I211,ASOF),AB$72+6),HOLIDAYS)))</f>
        <v>0</v>
      </c>
      <c r="AC211" s="289" t="n">
        <f aca="false">IF($L211=0,0,$L211*MAX(0,NETWORKDAYS(MAX($H211,ASOF,AC$72),MIN(MAX($I211,ASOF),AC$72+6),HOLIDAYS)))</f>
        <v>0</v>
      </c>
      <c r="AD211" s="289" t="n">
        <f aca="false">IF($L211=0,0,$L211*MAX(0,NETWORKDAYS(MAX($H211,ASOF,AD$72),MIN(MAX($I211,ASOF),AD$72+6),HOLIDAYS)))</f>
        <v>0</v>
      </c>
      <c r="AE211" s="289" t="n">
        <f aca="false">IF($L211=0,0,$L211*MAX(0,NETWORKDAYS(MAX($H211,ASOF,AE$72),MIN(MAX($I211,ASOF),AE$72+6),HOLIDAYS)))</f>
        <v>0</v>
      </c>
      <c r="AF211" s="289" t="n">
        <f aca="false">IF($L211=0,0,$L211*MAX(0,NETWORKDAYS(MAX($H211,ASOF,AF$72),MIN(MAX($I211,ASOF),AF$72+6),HOLIDAYS)))</f>
        <v>0</v>
      </c>
      <c r="AG211" s="289" t="n">
        <f aca="false">IF($L211=0,0,$L211*MAX(0,NETWORKDAYS(MAX($H211,ASOF,AG$72),MIN(MAX($I211,ASOF),AG$72+6),HOLIDAYS)))</f>
        <v>0</v>
      </c>
      <c r="AH211" s="289" t="n">
        <f aca="false">IF($L211=0,0,$L211*MAX(0,NETWORKDAYS(MAX($H211,ASOF,AH$72),MIN(MAX($I211,ASOF),AH$72+6),HOLIDAYS)))</f>
        <v>0</v>
      </c>
      <c r="AI211" s="289" t="n">
        <f aca="false">IF($L211=0,0,$L211*MAX(0,NETWORKDAYS(MAX($H211,ASOF,AI$72),MIN(MAX($I211,ASOF),AI$72+6),HOLIDAYS)))</f>
        <v>0</v>
      </c>
      <c r="AJ211" s="289" t="n">
        <f aca="false">IF($L211=0,0,$L211*MAX(0,NETWORKDAYS(MAX($H211,ASOF,AJ$72),MIN(MAX($I211,ASOF),AJ$72+6),HOLIDAYS)))</f>
        <v>0</v>
      </c>
      <c r="AK211" s="289" t="n">
        <f aca="false">IF($L211=0,0,$L211*MAX(0,NETWORKDAYS(MAX($H211,ASOF,AK$72),MIN(MAX($I211,ASOF),AK$72+6),HOLIDAYS)))</f>
        <v>0</v>
      </c>
      <c r="AL211" s="289" t="n">
        <f aca="false">IF($L211=0,0,$L211*MAX(0,NETWORKDAYS(MAX($H211,ASOF,AL$72),MIN(MAX($I211,ASOF),AL$72+6),HOLIDAYS)))</f>
        <v>0</v>
      </c>
      <c r="AM211" s="289" t="n">
        <f aca="false">IF($L211=0,0,$L211*MAX(0,NETWORKDAYS(MAX($H211,ASOF,AM$72),MIN(MAX($I211,ASOF),AM$72+6),HOLIDAYS)))</f>
        <v>0</v>
      </c>
      <c r="AN211" s="289" t="n">
        <f aca="false">IF($L211=0,0,$L211*MAX(0,NETWORKDAYS(MAX($H211,ASOF,AN$72),MIN(MAX($I211,ASOF),AN$72+6),HOLIDAYS)))</f>
        <v>0</v>
      </c>
      <c r="AO211" s="289" t="n">
        <f aca="false">IF($L211=0,0,$L211*MAX(0,NETWORKDAYS(MAX($H211,ASOF,AO$72),MIN(MAX($I211,ASOF),AO$72+6),HOLIDAYS)))</f>
        <v>0</v>
      </c>
      <c r="AP211" s="289" t="n">
        <f aca="false">IF($L211=0,0,$L211*MAX(0,NETWORKDAYS(MAX($H211,ASOF,AP$72),MIN(MAX($I211,ASOF),AP$72+6),HOLIDAYS)))</f>
        <v>0</v>
      </c>
      <c r="AQ211" s="289" t="n">
        <f aca="false">IF($L211=0,0,$L211*MAX(0,NETWORKDAYS(MAX($H211,ASOF,AQ$72),MIN(MAX($I211,ASOF),AQ$72+6),HOLIDAYS)))</f>
        <v>0</v>
      </c>
      <c r="AR211" s="289" t="n">
        <f aca="false">IF($L211=0,0,$L211*MAX(0,NETWORKDAYS(MAX($H211,ASOF,AR$72),MIN(MAX($I211,ASOF),AR$72+6),HOLIDAYS)))</f>
        <v>0</v>
      </c>
    </row>
    <row r="212" customFormat="false" ht="15" hidden="false" customHeight="false" outlineLevel="1" collapsed="false">
      <c r="A212" s="282" t="s">
        <v>86</v>
      </c>
      <c r="B212" s="283" t="s">
        <v>88</v>
      </c>
      <c r="C212" s="284" t="s">
        <v>2367</v>
      </c>
      <c r="D212" s="284" t="s">
        <v>2284</v>
      </c>
      <c r="E212" s="285" t="n">
        <v>1</v>
      </c>
      <c r="F212" s="290" t="s">
        <v>35</v>
      </c>
      <c r="G212" s="285" t="n">
        <f aca="false">$F$12*$H$12</f>
        <v>4</v>
      </c>
      <c r="H212" s="286" t="n">
        <f aca="false">IF(ISNUMBER('P9-012'!$N$96),'P9-012'!$N$96,"")</f>
        <v>46345</v>
      </c>
      <c r="I212" s="286" t="n">
        <f aca="false">IF(ISNUMBER('P9-012'!$O$96),'P9-012'!$O$96,"")</f>
        <v>46347</v>
      </c>
      <c r="J212" s="287" t="n">
        <f aca="false">IF(OR(H212="",I212="",N212&gt;=1),0,MAX(1,NETWORKDAYS(MAX(H212,ASOF),MAX(I212,ASOF),HOLIDAYS)))</f>
        <v>2</v>
      </c>
      <c r="K212" s="287" t="n">
        <f aca="false">IF(L212=0,0,ROUNDUP(L212/$F$12,0))</f>
        <v>1</v>
      </c>
      <c r="L212" s="285" t="n">
        <f aca="false">IF(J212=0,0,G212*(1-N212)/J212)</f>
        <v>2</v>
      </c>
      <c r="M212" s="283" t="s">
        <v>1147</v>
      </c>
      <c r="N212" s="288" t="n">
        <f aca="false">IFERROR(MIN(1,'P9-012'!$V$96)+0,0)</f>
        <v>0</v>
      </c>
      <c r="O212" s="289" t="n">
        <f aca="false">IF($L212=0,0,$L212*MAX(0,NETWORKDAYS(MAX($H212,ASOF,O$72),MIN(MAX($I212,ASOF),O$72+6),HOLIDAYS)))</f>
        <v>0</v>
      </c>
      <c r="P212" s="289" t="n">
        <f aca="false">IF($L212=0,0,$L212*MAX(0,NETWORKDAYS(MAX($H212,ASOF,P$72),MIN(MAX($I212,ASOF),P$72+6),HOLIDAYS)))</f>
        <v>0</v>
      </c>
      <c r="Q212" s="289" t="n">
        <f aca="false">IF($L212=0,0,$L212*MAX(0,NETWORKDAYS(MAX($H212,ASOF,Q$72),MIN(MAX($I212,ASOF),Q$72+6),HOLIDAYS)))</f>
        <v>4</v>
      </c>
      <c r="R212" s="289" t="n">
        <f aca="false">IF($L212=0,0,$L212*MAX(0,NETWORKDAYS(MAX($H212,ASOF,R$72),MIN(MAX($I212,ASOF),R$72+6),HOLIDAYS)))</f>
        <v>0</v>
      </c>
      <c r="S212" s="289" t="n">
        <f aca="false">IF($L212=0,0,$L212*MAX(0,NETWORKDAYS(MAX($H212,ASOF,S$72),MIN(MAX($I212,ASOF),S$72+6),HOLIDAYS)))</f>
        <v>0</v>
      </c>
      <c r="T212" s="289" t="n">
        <f aca="false">IF($L212=0,0,$L212*MAX(0,NETWORKDAYS(MAX($H212,ASOF,T$72),MIN(MAX($I212,ASOF),T$72+6),HOLIDAYS)))</f>
        <v>0</v>
      </c>
      <c r="U212" s="289" t="n">
        <f aca="false">IF($L212=0,0,$L212*MAX(0,NETWORKDAYS(MAX($H212,ASOF,U$72),MIN(MAX($I212,ASOF),U$72+6),HOLIDAYS)))</f>
        <v>0</v>
      </c>
      <c r="V212" s="289" t="n">
        <f aca="false">IF($L212=0,0,$L212*MAX(0,NETWORKDAYS(MAX($H212,ASOF,V$72),MIN(MAX($I212,ASOF),V$72+6),HOLIDAYS)))</f>
        <v>0</v>
      </c>
      <c r="W212" s="289" t="n">
        <f aca="false">IF($L212=0,0,$L212*MAX(0,NETWORKDAYS(MAX($H212,ASOF,W$72),MIN(MAX($I212,ASOF),W$72+6),HOLIDAYS)))</f>
        <v>0</v>
      </c>
      <c r="X212" s="289" t="n">
        <f aca="false">IF($L212=0,0,$L212*MAX(0,NETWORKDAYS(MAX($H212,ASOF,X$72),MIN(MAX($I212,ASOF),X$72+6),HOLIDAYS)))</f>
        <v>0</v>
      </c>
      <c r="Y212" s="289" t="n">
        <f aca="false">IF($L212=0,0,$L212*MAX(0,NETWORKDAYS(MAX($H212,ASOF,Y$72),MIN(MAX($I212,ASOF),Y$72+6),HOLIDAYS)))</f>
        <v>0</v>
      </c>
      <c r="Z212" s="289" t="n">
        <f aca="false">IF($L212=0,0,$L212*MAX(0,NETWORKDAYS(MAX($H212,ASOF,Z$72),MIN(MAX($I212,ASOF),Z$72+6),HOLIDAYS)))</f>
        <v>0</v>
      </c>
      <c r="AA212" s="289" t="n">
        <f aca="false">IF($L212=0,0,$L212*MAX(0,NETWORKDAYS(MAX($H212,ASOF,AA$72),MIN(MAX($I212,ASOF),AA$72+6),HOLIDAYS)))</f>
        <v>0</v>
      </c>
      <c r="AB212" s="289" t="n">
        <f aca="false">IF($L212=0,0,$L212*MAX(0,NETWORKDAYS(MAX($H212,ASOF,AB$72),MIN(MAX($I212,ASOF),AB$72+6),HOLIDAYS)))</f>
        <v>0</v>
      </c>
      <c r="AC212" s="289" t="n">
        <f aca="false">IF($L212=0,0,$L212*MAX(0,NETWORKDAYS(MAX($H212,ASOF,AC$72),MIN(MAX($I212,ASOF),AC$72+6),HOLIDAYS)))</f>
        <v>0</v>
      </c>
      <c r="AD212" s="289" t="n">
        <f aca="false">IF($L212=0,0,$L212*MAX(0,NETWORKDAYS(MAX($H212,ASOF,AD$72),MIN(MAX($I212,ASOF),AD$72+6),HOLIDAYS)))</f>
        <v>0</v>
      </c>
      <c r="AE212" s="289" t="n">
        <f aca="false">IF($L212=0,0,$L212*MAX(0,NETWORKDAYS(MAX($H212,ASOF,AE$72),MIN(MAX($I212,ASOF),AE$72+6),HOLIDAYS)))</f>
        <v>0</v>
      </c>
      <c r="AF212" s="289" t="n">
        <f aca="false">IF($L212=0,0,$L212*MAX(0,NETWORKDAYS(MAX($H212,ASOF,AF$72),MIN(MAX($I212,ASOF),AF$72+6),HOLIDAYS)))</f>
        <v>0</v>
      </c>
      <c r="AG212" s="289" t="n">
        <f aca="false">IF($L212=0,0,$L212*MAX(0,NETWORKDAYS(MAX($H212,ASOF,AG$72),MIN(MAX($I212,ASOF),AG$72+6),HOLIDAYS)))</f>
        <v>0</v>
      </c>
      <c r="AH212" s="289" t="n">
        <f aca="false">IF($L212=0,0,$L212*MAX(0,NETWORKDAYS(MAX($H212,ASOF,AH$72),MIN(MAX($I212,ASOF),AH$72+6),HOLIDAYS)))</f>
        <v>0</v>
      </c>
      <c r="AI212" s="289" t="n">
        <f aca="false">IF($L212=0,0,$L212*MAX(0,NETWORKDAYS(MAX($H212,ASOF,AI$72),MIN(MAX($I212,ASOF),AI$72+6),HOLIDAYS)))</f>
        <v>0</v>
      </c>
      <c r="AJ212" s="289" t="n">
        <f aca="false">IF($L212=0,0,$L212*MAX(0,NETWORKDAYS(MAX($H212,ASOF,AJ$72),MIN(MAX($I212,ASOF),AJ$72+6),HOLIDAYS)))</f>
        <v>0</v>
      </c>
      <c r="AK212" s="289" t="n">
        <f aca="false">IF($L212=0,0,$L212*MAX(0,NETWORKDAYS(MAX($H212,ASOF,AK$72),MIN(MAX($I212,ASOF),AK$72+6),HOLIDAYS)))</f>
        <v>0</v>
      </c>
      <c r="AL212" s="289" t="n">
        <f aca="false">IF($L212=0,0,$L212*MAX(0,NETWORKDAYS(MAX($H212,ASOF,AL$72),MIN(MAX($I212,ASOF),AL$72+6),HOLIDAYS)))</f>
        <v>0</v>
      </c>
      <c r="AM212" s="289" t="n">
        <f aca="false">IF($L212=0,0,$L212*MAX(0,NETWORKDAYS(MAX($H212,ASOF,AM$72),MIN(MAX($I212,ASOF),AM$72+6),HOLIDAYS)))</f>
        <v>0</v>
      </c>
      <c r="AN212" s="289" t="n">
        <f aca="false">IF($L212=0,0,$L212*MAX(0,NETWORKDAYS(MAX($H212,ASOF,AN$72),MIN(MAX($I212,ASOF),AN$72+6),HOLIDAYS)))</f>
        <v>0</v>
      </c>
      <c r="AO212" s="289" t="n">
        <f aca="false">IF($L212=0,0,$L212*MAX(0,NETWORKDAYS(MAX($H212,ASOF,AO$72),MIN(MAX($I212,ASOF),AO$72+6),HOLIDAYS)))</f>
        <v>0</v>
      </c>
      <c r="AP212" s="289" t="n">
        <f aca="false">IF($L212=0,0,$L212*MAX(0,NETWORKDAYS(MAX($H212,ASOF,AP$72),MIN(MAX($I212,ASOF),AP$72+6),HOLIDAYS)))</f>
        <v>0</v>
      </c>
      <c r="AQ212" s="289" t="n">
        <f aca="false">IF($L212=0,0,$L212*MAX(0,NETWORKDAYS(MAX($H212,ASOF,AQ$72),MIN(MAX($I212,ASOF),AQ$72+6),HOLIDAYS)))</f>
        <v>0</v>
      </c>
      <c r="AR212" s="289" t="n">
        <f aca="false">IF($L212=0,0,$L212*MAX(0,NETWORKDAYS(MAX($H212,ASOF,AR$72),MIN(MAX($I212,ASOF),AR$72+6),HOLIDAYS)))</f>
        <v>0</v>
      </c>
    </row>
    <row r="213" customFormat="false" ht="15" hidden="false" customHeight="false" outlineLevel="1" collapsed="false">
      <c r="A213" s="282" t="s">
        <v>86</v>
      </c>
      <c r="B213" s="283" t="s">
        <v>88</v>
      </c>
      <c r="C213" s="284" t="s">
        <v>2371</v>
      </c>
      <c r="D213" s="284" t="s">
        <v>2284</v>
      </c>
      <c r="E213" s="285" t="n">
        <v>1</v>
      </c>
      <c r="F213" s="290" t="s">
        <v>35</v>
      </c>
      <c r="G213" s="285" t="n">
        <f aca="false">$F$14*$H$14</f>
        <v>3</v>
      </c>
      <c r="H213" s="286" t="n">
        <f aca="false">IF(ISNUMBER('P9-012'!$N$100),'P9-012'!$N$100,"")</f>
        <v>46346</v>
      </c>
      <c r="I213" s="286" t="n">
        <f aca="false">IF(ISNUMBER('P9-012'!$O$100),'P9-012'!$O$100,"")</f>
        <v>46348</v>
      </c>
      <c r="J213" s="287" t="n">
        <f aca="false">IF(OR(H213="",I213="",N213&gt;=1),0,MAX(1,NETWORKDAYS(MAX(H213,ASOF),MAX(I213,ASOF),HOLIDAYS)))</f>
        <v>1</v>
      </c>
      <c r="K213" s="287" t="n">
        <f aca="false">IF(L213=0,0,ROUNDUP(L213/$F$14,0))</f>
        <v>2</v>
      </c>
      <c r="L213" s="285" t="n">
        <f aca="false">IF(J213=0,0,G213*(1-N213)/J213)</f>
        <v>3</v>
      </c>
      <c r="M213" s="283" t="s">
        <v>2304</v>
      </c>
      <c r="N213" s="288" t="n">
        <f aca="false">IFERROR(MIN(1,'P9-012'!$V$100)+0,0)</f>
        <v>0</v>
      </c>
      <c r="O213" s="289" t="n">
        <f aca="false">IF($L213=0,0,$L213*MAX(0,NETWORKDAYS(MAX($H213,ASOF,O$72),MIN(MAX($I213,ASOF),O$72+6),HOLIDAYS)))</f>
        <v>0</v>
      </c>
      <c r="P213" s="289" t="n">
        <f aca="false">IF($L213=0,0,$L213*MAX(0,NETWORKDAYS(MAX($H213,ASOF,P$72),MIN(MAX($I213,ASOF),P$72+6),HOLIDAYS)))</f>
        <v>0</v>
      </c>
      <c r="Q213" s="289" t="n">
        <f aca="false">IF($L213=0,0,$L213*MAX(0,NETWORKDAYS(MAX($H213,ASOF,Q$72),MIN(MAX($I213,ASOF),Q$72+6),HOLIDAYS)))</f>
        <v>3</v>
      </c>
      <c r="R213" s="289" t="n">
        <f aca="false">IF($L213=0,0,$L213*MAX(0,NETWORKDAYS(MAX($H213,ASOF,R$72),MIN(MAX($I213,ASOF),R$72+6),HOLIDAYS)))</f>
        <v>0</v>
      </c>
      <c r="S213" s="289" t="n">
        <f aca="false">IF($L213=0,0,$L213*MAX(0,NETWORKDAYS(MAX($H213,ASOF,S$72),MIN(MAX($I213,ASOF),S$72+6),HOLIDAYS)))</f>
        <v>0</v>
      </c>
      <c r="T213" s="289" t="n">
        <f aca="false">IF($L213=0,0,$L213*MAX(0,NETWORKDAYS(MAX($H213,ASOF,T$72),MIN(MAX($I213,ASOF),T$72+6),HOLIDAYS)))</f>
        <v>0</v>
      </c>
      <c r="U213" s="289" t="n">
        <f aca="false">IF($L213=0,0,$L213*MAX(0,NETWORKDAYS(MAX($H213,ASOF,U$72),MIN(MAX($I213,ASOF),U$72+6),HOLIDAYS)))</f>
        <v>0</v>
      </c>
      <c r="V213" s="289" t="n">
        <f aca="false">IF($L213=0,0,$L213*MAX(0,NETWORKDAYS(MAX($H213,ASOF,V$72),MIN(MAX($I213,ASOF),V$72+6),HOLIDAYS)))</f>
        <v>0</v>
      </c>
      <c r="W213" s="289" t="n">
        <f aca="false">IF($L213=0,0,$L213*MAX(0,NETWORKDAYS(MAX($H213,ASOF,W$72),MIN(MAX($I213,ASOF),W$72+6),HOLIDAYS)))</f>
        <v>0</v>
      </c>
      <c r="X213" s="289" t="n">
        <f aca="false">IF($L213=0,0,$L213*MAX(0,NETWORKDAYS(MAX($H213,ASOF,X$72),MIN(MAX($I213,ASOF),X$72+6),HOLIDAYS)))</f>
        <v>0</v>
      </c>
      <c r="Y213" s="289" t="n">
        <f aca="false">IF($L213=0,0,$L213*MAX(0,NETWORKDAYS(MAX($H213,ASOF,Y$72),MIN(MAX($I213,ASOF),Y$72+6),HOLIDAYS)))</f>
        <v>0</v>
      </c>
      <c r="Z213" s="289" t="n">
        <f aca="false">IF($L213=0,0,$L213*MAX(0,NETWORKDAYS(MAX($H213,ASOF,Z$72),MIN(MAX($I213,ASOF),Z$72+6),HOLIDAYS)))</f>
        <v>0</v>
      </c>
      <c r="AA213" s="289" t="n">
        <f aca="false">IF($L213=0,0,$L213*MAX(0,NETWORKDAYS(MAX($H213,ASOF,AA$72),MIN(MAX($I213,ASOF),AA$72+6),HOLIDAYS)))</f>
        <v>0</v>
      </c>
      <c r="AB213" s="289" t="n">
        <f aca="false">IF($L213=0,0,$L213*MAX(0,NETWORKDAYS(MAX($H213,ASOF,AB$72),MIN(MAX($I213,ASOF),AB$72+6),HOLIDAYS)))</f>
        <v>0</v>
      </c>
      <c r="AC213" s="289" t="n">
        <f aca="false">IF($L213=0,0,$L213*MAX(0,NETWORKDAYS(MAX($H213,ASOF,AC$72),MIN(MAX($I213,ASOF),AC$72+6),HOLIDAYS)))</f>
        <v>0</v>
      </c>
      <c r="AD213" s="289" t="n">
        <f aca="false">IF($L213=0,0,$L213*MAX(0,NETWORKDAYS(MAX($H213,ASOF,AD$72),MIN(MAX($I213,ASOF),AD$72+6),HOLIDAYS)))</f>
        <v>0</v>
      </c>
      <c r="AE213" s="289" t="n">
        <f aca="false">IF($L213=0,0,$L213*MAX(0,NETWORKDAYS(MAX($H213,ASOF,AE$72),MIN(MAX($I213,ASOF),AE$72+6),HOLIDAYS)))</f>
        <v>0</v>
      </c>
      <c r="AF213" s="289" t="n">
        <f aca="false">IF($L213=0,0,$L213*MAX(0,NETWORKDAYS(MAX($H213,ASOF,AF$72),MIN(MAX($I213,ASOF),AF$72+6),HOLIDAYS)))</f>
        <v>0</v>
      </c>
      <c r="AG213" s="289" t="n">
        <f aca="false">IF($L213=0,0,$L213*MAX(0,NETWORKDAYS(MAX($H213,ASOF,AG$72),MIN(MAX($I213,ASOF),AG$72+6),HOLIDAYS)))</f>
        <v>0</v>
      </c>
      <c r="AH213" s="289" t="n">
        <f aca="false">IF($L213=0,0,$L213*MAX(0,NETWORKDAYS(MAX($H213,ASOF,AH$72),MIN(MAX($I213,ASOF),AH$72+6),HOLIDAYS)))</f>
        <v>0</v>
      </c>
      <c r="AI213" s="289" t="n">
        <f aca="false">IF($L213=0,0,$L213*MAX(0,NETWORKDAYS(MAX($H213,ASOF,AI$72),MIN(MAX($I213,ASOF),AI$72+6),HOLIDAYS)))</f>
        <v>0</v>
      </c>
      <c r="AJ213" s="289" t="n">
        <f aca="false">IF($L213=0,0,$L213*MAX(0,NETWORKDAYS(MAX($H213,ASOF,AJ$72),MIN(MAX($I213,ASOF),AJ$72+6),HOLIDAYS)))</f>
        <v>0</v>
      </c>
      <c r="AK213" s="289" t="n">
        <f aca="false">IF($L213=0,0,$L213*MAX(0,NETWORKDAYS(MAX($H213,ASOF,AK$72),MIN(MAX($I213,ASOF),AK$72+6),HOLIDAYS)))</f>
        <v>0</v>
      </c>
      <c r="AL213" s="289" t="n">
        <f aca="false">IF($L213=0,0,$L213*MAX(0,NETWORKDAYS(MAX($H213,ASOF,AL$72),MIN(MAX($I213,ASOF),AL$72+6),HOLIDAYS)))</f>
        <v>0</v>
      </c>
      <c r="AM213" s="289" t="n">
        <f aca="false">IF($L213=0,0,$L213*MAX(0,NETWORKDAYS(MAX($H213,ASOF,AM$72),MIN(MAX($I213,ASOF),AM$72+6),HOLIDAYS)))</f>
        <v>0</v>
      </c>
      <c r="AN213" s="289" t="n">
        <f aca="false">IF($L213=0,0,$L213*MAX(0,NETWORKDAYS(MAX($H213,ASOF,AN$72),MIN(MAX($I213,ASOF),AN$72+6),HOLIDAYS)))</f>
        <v>0</v>
      </c>
      <c r="AO213" s="289" t="n">
        <f aca="false">IF($L213=0,0,$L213*MAX(0,NETWORKDAYS(MAX($H213,ASOF,AO$72),MIN(MAX($I213,ASOF),AO$72+6),HOLIDAYS)))</f>
        <v>0</v>
      </c>
      <c r="AP213" s="289" t="n">
        <f aca="false">IF($L213=0,0,$L213*MAX(0,NETWORKDAYS(MAX($H213,ASOF,AP$72),MIN(MAX($I213,ASOF),AP$72+6),HOLIDAYS)))</f>
        <v>0</v>
      </c>
      <c r="AQ213" s="289" t="n">
        <f aca="false">IF($L213=0,0,$L213*MAX(0,NETWORKDAYS(MAX($H213,ASOF,AQ$72),MIN(MAX($I213,ASOF),AQ$72+6),HOLIDAYS)))</f>
        <v>0</v>
      </c>
      <c r="AR213" s="289" t="n">
        <f aca="false">IF($L213=0,0,$L213*MAX(0,NETWORKDAYS(MAX($H213,ASOF,AR$72),MIN(MAX($I213,ASOF),AR$72+6),HOLIDAYS)))</f>
        <v>0</v>
      </c>
    </row>
    <row r="214" customFormat="false" ht="15" hidden="false" customHeight="false" outlineLevel="1" collapsed="false">
      <c r="A214" s="282" t="s">
        <v>86</v>
      </c>
      <c r="B214" s="283" t="s">
        <v>88</v>
      </c>
      <c r="C214" s="282" t="s">
        <v>1198</v>
      </c>
      <c r="D214" s="284" t="s">
        <v>2284</v>
      </c>
      <c r="E214" s="285" t="n">
        <v>1</v>
      </c>
      <c r="F214" s="290" t="s">
        <v>35</v>
      </c>
      <c r="G214" s="285" t="n">
        <f aca="false">$F$15*$H$15</f>
        <v>2</v>
      </c>
      <c r="H214" s="286" t="n">
        <f aca="false">IF(ISNUMBER('P9-012'!$N$107),'P9-012'!$N$107,"")</f>
        <v>46347</v>
      </c>
      <c r="I214" s="286" t="n">
        <f aca="false">IF(ISNUMBER('P9-012'!$O$107),'P9-012'!$O$107,"")</f>
        <v>46348</v>
      </c>
      <c r="J214" s="287" t="n">
        <f aca="false">IF(OR(H214="",I214="",N214&gt;=1),0,MAX(1,NETWORKDAYS(MAX(H214,ASOF),MAX(I214,ASOF),HOLIDAYS)))</f>
        <v>1</v>
      </c>
      <c r="K214" s="287" t="n">
        <f aca="false">IF(L214=0,0,ROUNDUP(L214/$F$15,0))</f>
        <v>1</v>
      </c>
      <c r="L214" s="285" t="n">
        <f aca="false">IF(J214=0,0,G214*(1-N214)/J214)</f>
        <v>2</v>
      </c>
      <c r="M214" s="283" t="s">
        <v>1192</v>
      </c>
      <c r="N214" s="288" t="n">
        <f aca="false">IFERROR(MIN(1,'P9-012'!$V$107)+0,0)</f>
        <v>0</v>
      </c>
      <c r="O214" s="289" t="n">
        <f aca="false">IF($L214=0,0,$L214*MAX(0,NETWORKDAYS(MAX($H214,ASOF,O$72),MIN(MAX($I214,ASOF),O$72+6),HOLIDAYS)))</f>
        <v>0</v>
      </c>
      <c r="P214" s="289" t="n">
        <f aca="false">IF($L214=0,0,$L214*MAX(0,NETWORKDAYS(MAX($H214,ASOF,P$72),MIN(MAX($I214,ASOF),P$72+6),HOLIDAYS)))</f>
        <v>0</v>
      </c>
      <c r="Q214" s="289" t="n">
        <f aca="false">IF($L214=0,0,$L214*MAX(0,NETWORKDAYS(MAX($H214,ASOF,Q$72),MIN(MAX($I214,ASOF),Q$72+6),HOLIDAYS)))</f>
        <v>0</v>
      </c>
      <c r="R214" s="289" t="n">
        <f aca="false">IF($L214=0,0,$L214*MAX(0,NETWORKDAYS(MAX($H214,ASOF,R$72),MIN(MAX($I214,ASOF),R$72+6),HOLIDAYS)))</f>
        <v>0</v>
      </c>
      <c r="S214" s="289" t="n">
        <f aca="false">IF($L214=0,0,$L214*MAX(0,NETWORKDAYS(MAX($H214,ASOF,S$72),MIN(MAX($I214,ASOF),S$72+6),HOLIDAYS)))</f>
        <v>0</v>
      </c>
      <c r="T214" s="289" t="n">
        <f aca="false">IF($L214=0,0,$L214*MAX(0,NETWORKDAYS(MAX($H214,ASOF,T$72),MIN(MAX($I214,ASOF),T$72+6),HOLIDAYS)))</f>
        <v>0</v>
      </c>
      <c r="U214" s="289" t="n">
        <f aca="false">IF($L214=0,0,$L214*MAX(0,NETWORKDAYS(MAX($H214,ASOF,U$72),MIN(MAX($I214,ASOF),U$72+6),HOLIDAYS)))</f>
        <v>0</v>
      </c>
      <c r="V214" s="289" t="n">
        <f aca="false">IF($L214=0,0,$L214*MAX(0,NETWORKDAYS(MAX($H214,ASOF,V$72),MIN(MAX($I214,ASOF),V$72+6),HOLIDAYS)))</f>
        <v>0</v>
      </c>
      <c r="W214" s="289" t="n">
        <f aca="false">IF($L214=0,0,$L214*MAX(0,NETWORKDAYS(MAX($H214,ASOF,W$72),MIN(MAX($I214,ASOF),W$72+6),HOLIDAYS)))</f>
        <v>0</v>
      </c>
      <c r="X214" s="289" t="n">
        <f aca="false">IF($L214=0,0,$L214*MAX(0,NETWORKDAYS(MAX($H214,ASOF,X$72),MIN(MAX($I214,ASOF),X$72+6),HOLIDAYS)))</f>
        <v>0</v>
      </c>
      <c r="Y214" s="289" t="n">
        <f aca="false">IF($L214=0,0,$L214*MAX(0,NETWORKDAYS(MAX($H214,ASOF,Y$72),MIN(MAX($I214,ASOF),Y$72+6),HOLIDAYS)))</f>
        <v>0</v>
      </c>
      <c r="Z214" s="289" t="n">
        <f aca="false">IF($L214=0,0,$L214*MAX(0,NETWORKDAYS(MAX($H214,ASOF,Z$72),MIN(MAX($I214,ASOF),Z$72+6),HOLIDAYS)))</f>
        <v>0</v>
      </c>
      <c r="AA214" s="289" t="n">
        <f aca="false">IF($L214=0,0,$L214*MAX(0,NETWORKDAYS(MAX($H214,ASOF,AA$72),MIN(MAX($I214,ASOF),AA$72+6),HOLIDAYS)))</f>
        <v>0</v>
      </c>
      <c r="AB214" s="289" t="n">
        <f aca="false">IF($L214=0,0,$L214*MAX(0,NETWORKDAYS(MAX($H214,ASOF,AB$72),MIN(MAX($I214,ASOF),AB$72+6),HOLIDAYS)))</f>
        <v>0</v>
      </c>
      <c r="AC214" s="289" t="n">
        <f aca="false">IF($L214=0,0,$L214*MAX(0,NETWORKDAYS(MAX($H214,ASOF,AC$72),MIN(MAX($I214,ASOF),AC$72+6),HOLIDAYS)))</f>
        <v>0</v>
      </c>
      <c r="AD214" s="289" t="n">
        <f aca="false">IF($L214=0,0,$L214*MAX(0,NETWORKDAYS(MAX($H214,ASOF,AD$72),MIN(MAX($I214,ASOF),AD$72+6),HOLIDAYS)))</f>
        <v>0</v>
      </c>
      <c r="AE214" s="289" t="n">
        <f aca="false">IF($L214=0,0,$L214*MAX(0,NETWORKDAYS(MAX($H214,ASOF,AE$72),MIN(MAX($I214,ASOF),AE$72+6),HOLIDAYS)))</f>
        <v>0</v>
      </c>
      <c r="AF214" s="289" t="n">
        <f aca="false">IF($L214=0,0,$L214*MAX(0,NETWORKDAYS(MAX($H214,ASOF,AF$72),MIN(MAX($I214,ASOF),AF$72+6),HOLIDAYS)))</f>
        <v>0</v>
      </c>
      <c r="AG214" s="289" t="n">
        <f aca="false">IF($L214=0,0,$L214*MAX(0,NETWORKDAYS(MAX($H214,ASOF,AG$72),MIN(MAX($I214,ASOF),AG$72+6),HOLIDAYS)))</f>
        <v>0</v>
      </c>
      <c r="AH214" s="289" t="n">
        <f aca="false">IF($L214=0,0,$L214*MAX(0,NETWORKDAYS(MAX($H214,ASOF,AH$72),MIN(MAX($I214,ASOF),AH$72+6),HOLIDAYS)))</f>
        <v>0</v>
      </c>
      <c r="AI214" s="289" t="n">
        <f aca="false">IF($L214=0,0,$L214*MAX(0,NETWORKDAYS(MAX($H214,ASOF,AI$72),MIN(MAX($I214,ASOF),AI$72+6),HOLIDAYS)))</f>
        <v>0</v>
      </c>
      <c r="AJ214" s="289" t="n">
        <f aca="false">IF($L214=0,0,$L214*MAX(0,NETWORKDAYS(MAX($H214,ASOF,AJ$72),MIN(MAX($I214,ASOF),AJ$72+6),HOLIDAYS)))</f>
        <v>0</v>
      </c>
      <c r="AK214" s="289" t="n">
        <f aca="false">IF($L214=0,0,$L214*MAX(0,NETWORKDAYS(MAX($H214,ASOF,AK$72),MIN(MAX($I214,ASOF),AK$72+6),HOLIDAYS)))</f>
        <v>0</v>
      </c>
      <c r="AL214" s="289" t="n">
        <f aca="false">IF($L214=0,0,$L214*MAX(0,NETWORKDAYS(MAX($H214,ASOF,AL$72),MIN(MAX($I214,ASOF),AL$72+6),HOLIDAYS)))</f>
        <v>0</v>
      </c>
      <c r="AM214" s="289" t="n">
        <f aca="false">IF($L214=0,0,$L214*MAX(0,NETWORKDAYS(MAX($H214,ASOF,AM$72),MIN(MAX($I214,ASOF),AM$72+6),HOLIDAYS)))</f>
        <v>0</v>
      </c>
      <c r="AN214" s="289" t="n">
        <f aca="false">IF($L214=0,0,$L214*MAX(0,NETWORKDAYS(MAX($H214,ASOF,AN$72),MIN(MAX($I214,ASOF),AN$72+6),HOLIDAYS)))</f>
        <v>0</v>
      </c>
      <c r="AO214" s="289" t="n">
        <f aca="false">IF($L214=0,0,$L214*MAX(0,NETWORKDAYS(MAX($H214,ASOF,AO$72),MIN(MAX($I214,ASOF),AO$72+6),HOLIDAYS)))</f>
        <v>0</v>
      </c>
      <c r="AP214" s="289" t="n">
        <f aca="false">IF($L214=0,0,$L214*MAX(0,NETWORKDAYS(MAX($H214,ASOF,AP$72),MIN(MAX($I214,ASOF),AP$72+6),HOLIDAYS)))</f>
        <v>0</v>
      </c>
      <c r="AQ214" s="289" t="n">
        <f aca="false">IF($L214=0,0,$L214*MAX(0,NETWORKDAYS(MAX($H214,ASOF,AQ$72),MIN(MAX($I214,ASOF),AQ$72+6),HOLIDAYS)))</f>
        <v>0</v>
      </c>
      <c r="AR214" s="289" t="n">
        <f aca="false">IF($L214=0,0,$L214*MAX(0,NETWORKDAYS(MAX($H214,ASOF,AR$72),MIN(MAX($I214,ASOF),AR$72+6),HOLIDAYS)))</f>
        <v>0</v>
      </c>
    </row>
    <row r="215" customFormat="false" ht="15" hidden="false" customHeight="false" outlineLevel="1" collapsed="false">
      <c r="A215" s="282" t="s">
        <v>86</v>
      </c>
      <c r="B215" s="283" t="s">
        <v>88</v>
      </c>
      <c r="C215" s="284" t="s">
        <v>2369</v>
      </c>
      <c r="D215" s="284" t="s">
        <v>2308</v>
      </c>
      <c r="E215" s="285" t="n">
        <v>280.44</v>
      </c>
      <c r="F215" s="283" t="s">
        <v>527</v>
      </c>
      <c r="G215" s="285" t="n">
        <f aca="false">$F$16*(E215/$G$16+$H$16)</f>
        <v>14.4132</v>
      </c>
      <c r="H215" s="286" t="n">
        <f aca="false">IF(ISNUMBER('P9-012'!$N$115),'P9-012'!$N$115,"")</f>
        <v>46359</v>
      </c>
      <c r="I215" s="286" t="n">
        <f aca="false">IF(ISNUMBER('P9-012'!$O$115),'P9-012'!$O$115,"")</f>
        <v>46359</v>
      </c>
      <c r="J215" s="287" t="n">
        <f aca="false">IF(OR(H215="",I215="",N215&gt;=1),0,MAX(1,NETWORKDAYS(MAX(H215,ASOF),MAX(I215,ASOF),HOLIDAYS)))</f>
        <v>1</v>
      </c>
      <c r="K215" s="287" t="n">
        <f aca="false">IF(L215=0,0,ROUNDUP(L215/$F$16,0))</f>
        <v>5</v>
      </c>
      <c r="L215" s="285" t="n">
        <f aca="false">IF(J215=0,0,G215*(1-N215)/J215)</f>
        <v>14.4132</v>
      </c>
      <c r="M215" s="283" t="s">
        <v>1205</v>
      </c>
      <c r="N215" s="288" t="n">
        <f aca="false">IFERROR(MIN(1,'P9-012'!$V$115)+0,0)</f>
        <v>0</v>
      </c>
      <c r="O215" s="289" t="n">
        <f aca="false">IF($L215=0,0,$L215*MAX(0,NETWORKDAYS(MAX($H215,ASOF,O$72),MIN(MAX($I215,ASOF),O$72+6),HOLIDAYS)))</f>
        <v>0</v>
      </c>
      <c r="P215" s="289" t="n">
        <f aca="false">IF($L215=0,0,$L215*MAX(0,NETWORKDAYS(MAX($H215,ASOF,P$72),MIN(MAX($I215,ASOF),P$72+6),HOLIDAYS)))</f>
        <v>0</v>
      </c>
      <c r="Q215" s="289" t="n">
        <f aca="false">IF($L215=0,0,$L215*MAX(0,NETWORKDAYS(MAX($H215,ASOF,Q$72),MIN(MAX($I215,ASOF),Q$72+6),HOLIDAYS)))</f>
        <v>0</v>
      </c>
      <c r="R215" s="289" t="n">
        <f aca="false">IF($L215=0,0,$L215*MAX(0,NETWORKDAYS(MAX($H215,ASOF,R$72),MIN(MAX($I215,ASOF),R$72+6),HOLIDAYS)))</f>
        <v>0</v>
      </c>
      <c r="S215" s="289" t="n">
        <f aca="false">IF($L215=0,0,$L215*MAX(0,NETWORKDAYS(MAX($H215,ASOF,S$72),MIN(MAX($I215,ASOF),S$72+6),HOLIDAYS)))</f>
        <v>14.4132</v>
      </c>
      <c r="T215" s="289" t="n">
        <f aca="false">IF($L215=0,0,$L215*MAX(0,NETWORKDAYS(MAX($H215,ASOF,T$72),MIN(MAX($I215,ASOF),T$72+6),HOLIDAYS)))</f>
        <v>0</v>
      </c>
      <c r="U215" s="289" t="n">
        <f aca="false">IF($L215=0,0,$L215*MAX(0,NETWORKDAYS(MAX($H215,ASOF,U$72),MIN(MAX($I215,ASOF),U$72+6),HOLIDAYS)))</f>
        <v>0</v>
      </c>
      <c r="V215" s="289" t="n">
        <f aca="false">IF($L215=0,0,$L215*MAX(0,NETWORKDAYS(MAX($H215,ASOF,V$72),MIN(MAX($I215,ASOF),V$72+6),HOLIDAYS)))</f>
        <v>0</v>
      </c>
      <c r="W215" s="289" t="n">
        <f aca="false">IF($L215=0,0,$L215*MAX(0,NETWORKDAYS(MAX($H215,ASOF,W$72),MIN(MAX($I215,ASOF),W$72+6),HOLIDAYS)))</f>
        <v>0</v>
      </c>
      <c r="X215" s="289" t="n">
        <f aca="false">IF($L215=0,0,$L215*MAX(0,NETWORKDAYS(MAX($H215,ASOF,X$72),MIN(MAX($I215,ASOF),X$72+6),HOLIDAYS)))</f>
        <v>0</v>
      </c>
      <c r="Y215" s="289" t="n">
        <f aca="false">IF($L215=0,0,$L215*MAX(0,NETWORKDAYS(MAX($H215,ASOF,Y$72),MIN(MAX($I215,ASOF),Y$72+6),HOLIDAYS)))</f>
        <v>0</v>
      </c>
      <c r="Z215" s="289" t="n">
        <f aca="false">IF($L215=0,0,$L215*MAX(0,NETWORKDAYS(MAX($H215,ASOF,Z$72),MIN(MAX($I215,ASOF),Z$72+6),HOLIDAYS)))</f>
        <v>0</v>
      </c>
      <c r="AA215" s="289" t="n">
        <f aca="false">IF($L215=0,0,$L215*MAX(0,NETWORKDAYS(MAX($H215,ASOF,AA$72),MIN(MAX($I215,ASOF),AA$72+6),HOLIDAYS)))</f>
        <v>0</v>
      </c>
      <c r="AB215" s="289" t="n">
        <f aca="false">IF($L215=0,0,$L215*MAX(0,NETWORKDAYS(MAX($H215,ASOF,AB$72),MIN(MAX($I215,ASOF),AB$72+6),HOLIDAYS)))</f>
        <v>0</v>
      </c>
      <c r="AC215" s="289" t="n">
        <f aca="false">IF($L215=0,0,$L215*MAX(0,NETWORKDAYS(MAX($H215,ASOF,AC$72),MIN(MAX($I215,ASOF),AC$72+6),HOLIDAYS)))</f>
        <v>0</v>
      </c>
      <c r="AD215" s="289" t="n">
        <f aca="false">IF($L215=0,0,$L215*MAX(0,NETWORKDAYS(MAX($H215,ASOF,AD$72),MIN(MAX($I215,ASOF),AD$72+6),HOLIDAYS)))</f>
        <v>0</v>
      </c>
      <c r="AE215" s="289" t="n">
        <f aca="false">IF($L215=0,0,$L215*MAX(0,NETWORKDAYS(MAX($H215,ASOF,AE$72),MIN(MAX($I215,ASOF),AE$72+6),HOLIDAYS)))</f>
        <v>0</v>
      </c>
      <c r="AF215" s="289" t="n">
        <f aca="false">IF($L215=0,0,$L215*MAX(0,NETWORKDAYS(MAX($H215,ASOF,AF$72),MIN(MAX($I215,ASOF),AF$72+6),HOLIDAYS)))</f>
        <v>0</v>
      </c>
      <c r="AG215" s="289" t="n">
        <f aca="false">IF($L215=0,0,$L215*MAX(0,NETWORKDAYS(MAX($H215,ASOF,AG$72),MIN(MAX($I215,ASOF),AG$72+6),HOLIDAYS)))</f>
        <v>0</v>
      </c>
      <c r="AH215" s="289" t="n">
        <f aca="false">IF($L215=0,0,$L215*MAX(0,NETWORKDAYS(MAX($H215,ASOF,AH$72),MIN(MAX($I215,ASOF),AH$72+6),HOLIDAYS)))</f>
        <v>0</v>
      </c>
      <c r="AI215" s="289" t="n">
        <f aca="false">IF($L215=0,0,$L215*MAX(0,NETWORKDAYS(MAX($H215,ASOF,AI$72),MIN(MAX($I215,ASOF),AI$72+6),HOLIDAYS)))</f>
        <v>0</v>
      </c>
      <c r="AJ215" s="289" t="n">
        <f aca="false">IF($L215=0,0,$L215*MAX(0,NETWORKDAYS(MAX($H215,ASOF,AJ$72),MIN(MAX($I215,ASOF),AJ$72+6),HOLIDAYS)))</f>
        <v>0</v>
      </c>
      <c r="AK215" s="289" t="n">
        <f aca="false">IF($L215=0,0,$L215*MAX(0,NETWORKDAYS(MAX($H215,ASOF,AK$72),MIN(MAX($I215,ASOF),AK$72+6),HOLIDAYS)))</f>
        <v>0</v>
      </c>
      <c r="AL215" s="289" t="n">
        <f aca="false">IF($L215=0,0,$L215*MAX(0,NETWORKDAYS(MAX($H215,ASOF,AL$72),MIN(MAX($I215,ASOF),AL$72+6),HOLIDAYS)))</f>
        <v>0</v>
      </c>
      <c r="AM215" s="289" t="n">
        <f aca="false">IF($L215=0,0,$L215*MAX(0,NETWORKDAYS(MAX($H215,ASOF,AM$72),MIN(MAX($I215,ASOF),AM$72+6),HOLIDAYS)))</f>
        <v>0</v>
      </c>
      <c r="AN215" s="289" t="n">
        <f aca="false">IF($L215=0,0,$L215*MAX(0,NETWORKDAYS(MAX($H215,ASOF,AN$72),MIN(MAX($I215,ASOF),AN$72+6),HOLIDAYS)))</f>
        <v>0</v>
      </c>
      <c r="AO215" s="289" t="n">
        <f aca="false">IF($L215=0,0,$L215*MAX(0,NETWORKDAYS(MAX($H215,ASOF,AO$72),MIN(MAX($I215,ASOF),AO$72+6),HOLIDAYS)))</f>
        <v>0</v>
      </c>
      <c r="AP215" s="289" t="n">
        <f aca="false">IF($L215=0,0,$L215*MAX(0,NETWORKDAYS(MAX($H215,ASOF,AP$72),MIN(MAX($I215,ASOF),AP$72+6),HOLIDAYS)))</f>
        <v>0</v>
      </c>
      <c r="AQ215" s="289" t="n">
        <f aca="false">IF($L215=0,0,$L215*MAX(0,NETWORKDAYS(MAX($H215,ASOF,AQ$72),MIN(MAX($I215,ASOF),AQ$72+6),HOLIDAYS)))</f>
        <v>0</v>
      </c>
      <c r="AR215" s="289" t="n">
        <f aca="false">IF($L215=0,0,$L215*MAX(0,NETWORKDAYS(MAX($H215,ASOF,AR$72),MIN(MAX($I215,ASOF),AR$72+6),HOLIDAYS)))</f>
        <v>0</v>
      </c>
    </row>
    <row r="216" customFormat="false" ht="15" hidden="false" customHeight="false" outlineLevel="1" collapsed="false">
      <c r="A216" s="282" t="s">
        <v>86</v>
      </c>
      <c r="B216" s="283" t="s">
        <v>88</v>
      </c>
      <c r="C216" s="284" t="s">
        <v>2370</v>
      </c>
      <c r="D216" s="284" t="s">
        <v>2313</v>
      </c>
      <c r="E216" s="285" t="n">
        <v>1</v>
      </c>
      <c r="F216" s="290" t="s">
        <v>35</v>
      </c>
      <c r="G216" s="285" t="n">
        <f aca="false">SUM(O216:AR216)</f>
        <v>20</v>
      </c>
      <c r="H216" s="286" t="n">
        <f aca="false">IF(ISNUMBER('P9-012'!$N$62),'P9-012'!$N$62,"")</f>
        <v>46328</v>
      </c>
      <c r="I216" s="286" t="n">
        <f aca="false">IF(ISNUMBER('P9-012'!$O$115),'P9-012'!$O$115,"")</f>
        <v>46359</v>
      </c>
      <c r="J216" s="287"/>
      <c r="K216" s="287" t="n">
        <f aca="false">IF(G216&gt;0,$F$17,0)</f>
        <v>1</v>
      </c>
      <c r="L216" s="285" t="n">
        <v>0</v>
      </c>
      <c r="M216" s="290" t="s">
        <v>2310</v>
      </c>
      <c r="N216" s="288" t="str">
        <f aca="false">""</f>
        <v/>
      </c>
      <c r="O216" s="289" t="n">
        <f aca="false">IF(SUMIFS(O$73:O$312,$A$73:$A$312,"P9-012",$M$73:$M$312,"&lt;&gt;คุม")&gt;0,$F$17*NETWORKDAYS(O$72,O$72+6,HOLIDAYS),0)</f>
        <v>5</v>
      </c>
      <c r="P216" s="289" t="n">
        <f aca="false">IF(SUMIFS(P$73:P$312,$A$73:$A$312,"P9-012",$M$73:$M$312,"&lt;&gt;คุม")&gt;0,$F$17*NETWORKDAYS(P$72,P$72+6,HOLIDAYS),0)</f>
        <v>5</v>
      </c>
      <c r="Q216" s="289" t="n">
        <f aca="false">IF(SUMIFS(Q$73:Q$312,$A$73:$A$312,"P9-012",$M$73:$M$312,"&lt;&gt;คุม")&gt;0,$F$17*NETWORKDAYS(Q$72,Q$72+6,HOLIDAYS),0)</f>
        <v>5</v>
      </c>
      <c r="R216" s="289" t="n">
        <f aca="false">IF(SUMIFS(R$73:R$312,$A$73:$A$312,"P9-012",$M$73:$M$312,"&lt;&gt;คุม")&gt;0,$F$17*NETWORKDAYS(R$72,R$72+6,HOLIDAYS),0)</f>
        <v>0</v>
      </c>
      <c r="S216" s="289" t="n">
        <f aca="false">IF(SUMIFS(S$73:S$312,$A$73:$A$312,"P9-012",$M$73:$M$312,"&lt;&gt;คุม")&gt;0,$F$17*NETWORKDAYS(S$72,S$72+6,HOLIDAYS),0)</f>
        <v>5</v>
      </c>
      <c r="T216" s="289" t="n">
        <f aca="false">IF(SUMIFS(T$73:T$312,$A$73:$A$312,"P9-012",$M$73:$M$312,"&lt;&gt;คุม")&gt;0,$F$17*NETWORKDAYS(T$72,T$72+6,HOLIDAYS),0)</f>
        <v>0</v>
      </c>
      <c r="U216" s="289" t="n">
        <f aca="false">IF(SUMIFS(U$73:U$312,$A$73:$A$312,"P9-012",$M$73:$M$312,"&lt;&gt;คุม")&gt;0,$F$17*NETWORKDAYS(U$72,U$72+6,HOLIDAYS),0)</f>
        <v>0</v>
      </c>
      <c r="V216" s="289" t="n">
        <f aca="false">IF(SUMIFS(V$73:V$312,$A$73:$A$312,"P9-012",$M$73:$M$312,"&lt;&gt;คุม")&gt;0,$F$17*NETWORKDAYS(V$72,V$72+6,HOLIDAYS),0)</f>
        <v>0</v>
      </c>
      <c r="W216" s="289" t="n">
        <f aca="false">IF(SUMIFS(W$73:W$312,$A$73:$A$312,"P9-012",$M$73:$M$312,"&lt;&gt;คุม")&gt;0,$F$17*NETWORKDAYS(W$72,W$72+6,HOLIDAYS),0)</f>
        <v>0</v>
      </c>
      <c r="X216" s="289" t="n">
        <f aca="false">IF(SUMIFS(X$73:X$312,$A$73:$A$312,"P9-012",$M$73:$M$312,"&lt;&gt;คุม")&gt;0,$F$17*NETWORKDAYS(X$72,X$72+6,HOLIDAYS),0)</f>
        <v>0</v>
      </c>
      <c r="Y216" s="289" t="n">
        <f aca="false">IF(SUMIFS(Y$73:Y$312,$A$73:$A$312,"P9-012",$M$73:$M$312,"&lt;&gt;คุม")&gt;0,$F$17*NETWORKDAYS(Y$72,Y$72+6,HOLIDAYS),0)</f>
        <v>0</v>
      </c>
      <c r="Z216" s="289" t="n">
        <f aca="false">IF(SUMIFS(Z$73:Z$312,$A$73:$A$312,"P9-012",$M$73:$M$312,"&lt;&gt;คุม")&gt;0,$F$17*NETWORKDAYS(Z$72,Z$72+6,HOLIDAYS),0)</f>
        <v>0</v>
      </c>
      <c r="AA216" s="289" t="n">
        <f aca="false">IF(SUMIFS(AA$73:AA$312,$A$73:$A$312,"P9-012",$M$73:$M$312,"&lt;&gt;คุม")&gt;0,$F$17*NETWORKDAYS(AA$72,AA$72+6,HOLIDAYS),0)</f>
        <v>0</v>
      </c>
      <c r="AB216" s="289" t="n">
        <f aca="false">IF(SUMIFS(AB$73:AB$312,$A$73:$A$312,"P9-012",$M$73:$M$312,"&lt;&gt;คุม")&gt;0,$F$17*NETWORKDAYS(AB$72,AB$72+6,HOLIDAYS),0)</f>
        <v>0</v>
      </c>
      <c r="AC216" s="289" t="n">
        <f aca="false">IF(SUMIFS(AC$73:AC$312,$A$73:$A$312,"P9-012",$M$73:$M$312,"&lt;&gt;คุม")&gt;0,$F$17*NETWORKDAYS(AC$72,AC$72+6,HOLIDAYS),0)</f>
        <v>0</v>
      </c>
      <c r="AD216" s="289" t="n">
        <f aca="false">IF(SUMIFS(AD$73:AD$312,$A$73:$A$312,"P9-012",$M$73:$M$312,"&lt;&gt;คุม")&gt;0,$F$17*NETWORKDAYS(AD$72,AD$72+6,HOLIDAYS),0)</f>
        <v>0</v>
      </c>
      <c r="AE216" s="289" t="n">
        <f aca="false">IF(SUMIFS(AE$73:AE$312,$A$73:$A$312,"P9-012",$M$73:$M$312,"&lt;&gt;คุม")&gt;0,$F$17*NETWORKDAYS(AE$72,AE$72+6,HOLIDAYS),0)</f>
        <v>0</v>
      </c>
      <c r="AF216" s="289" t="n">
        <f aca="false">IF(SUMIFS(AF$73:AF$312,$A$73:$A$312,"P9-012",$M$73:$M$312,"&lt;&gt;คุม")&gt;0,$F$17*NETWORKDAYS(AF$72,AF$72+6,HOLIDAYS),0)</f>
        <v>0</v>
      </c>
      <c r="AG216" s="289" t="n">
        <f aca="false">IF(SUMIFS(AG$73:AG$312,$A$73:$A$312,"P9-012",$M$73:$M$312,"&lt;&gt;คุม")&gt;0,$F$17*NETWORKDAYS(AG$72,AG$72+6,HOLIDAYS),0)</f>
        <v>0</v>
      </c>
      <c r="AH216" s="289" t="n">
        <f aca="false">IF(SUMIFS(AH$73:AH$312,$A$73:$A$312,"P9-012",$M$73:$M$312,"&lt;&gt;คุม")&gt;0,$F$17*NETWORKDAYS(AH$72,AH$72+6,HOLIDAYS),0)</f>
        <v>0</v>
      </c>
      <c r="AI216" s="289" t="n">
        <f aca="false">IF(SUMIFS(AI$73:AI$312,$A$73:$A$312,"P9-012",$M$73:$M$312,"&lt;&gt;คุม")&gt;0,$F$17*NETWORKDAYS(AI$72,AI$72+6,HOLIDAYS),0)</f>
        <v>0</v>
      </c>
      <c r="AJ216" s="289" t="n">
        <f aca="false">IF(SUMIFS(AJ$73:AJ$312,$A$73:$A$312,"P9-012",$M$73:$M$312,"&lt;&gt;คุม")&gt;0,$F$17*NETWORKDAYS(AJ$72,AJ$72+6,HOLIDAYS),0)</f>
        <v>0</v>
      </c>
      <c r="AK216" s="289" t="n">
        <f aca="false">IF(SUMIFS(AK$73:AK$312,$A$73:$A$312,"P9-012",$M$73:$M$312,"&lt;&gt;คุม")&gt;0,$F$17*NETWORKDAYS(AK$72,AK$72+6,HOLIDAYS),0)</f>
        <v>0</v>
      </c>
      <c r="AL216" s="289" t="n">
        <f aca="false">IF(SUMIFS(AL$73:AL$312,$A$73:$A$312,"P9-012",$M$73:$M$312,"&lt;&gt;คุม")&gt;0,$F$17*NETWORKDAYS(AL$72,AL$72+6,HOLIDAYS),0)</f>
        <v>0</v>
      </c>
      <c r="AM216" s="289" t="n">
        <f aca="false">IF(SUMIFS(AM$73:AM$312,$A$73:$A$312,"P9-012",$M$73:$M$312,"&lt;&gt;คุม")&gt;0,$F$17*NETWORKDAYS(AM$72,AM$72+6,HOLIDAYS),0)</f>
        <v>0</v>
      </c>
      <c r="AN216" s="289" t="n">
        <f aca="false">IF(SUMIFS(AN$73:AN$312,$A$73:$A$312,"P9-012",$M$73:$M$312,"&lt;&gt;คุม")&gt;0,$F$17*NETWORKDAYS(AN$72,AN$72+6,HOLIDAYS),0)</f>
        <v>0</v>
      </c>
      <c r="AO216" s="289" t="n">
        <f aca="false">IF(SUMIFS(AO$73:AO$312,$A$73:$A$312,"P9-012",$M$73:$M$312,"&lt;&gt;คุม")&gt;0,$F$17*NETWORKDAYS(AO$72,AO$72+6,HOLIDAYS),0)</f>
        <v>0</v>
      </c>
      <c r="AP216" s="289" t="n">
        <f aca="false">IF(SUMIFS(AP$73:AP$312,$A$73:$A$312,"P9-012",$M$73:$M$312,"&lt;&gt;คุม")&gt;0,$F$17*NETWORKDAYS(AP$72,AP$72+6,HOLIDAYS),0)</f>
        <v>0</v>
      </c>
      <c r="AQ216" s="289" t="n">
        <f aca="false">IF(SUMIFS(AQ$73:AQ$312,$A$73:$A$312,"P9-012",$M$73:$M$312,"&lt;&gt;คุม")&gt;0,$F$17*NETWORKDAYS(AQ$72,AQ$72+6,HOLIDAYS),0)</f>
        <v>0</v>
      </c>
      <c r="AR216" s="289" t="n">
        <f aca="false">IF(SUMIFS(AR$73:AR$312,$A$73:$A$312,"P9-012",$M$73:$M$312,"&lt;&gt;คุม")&gt;0,$F$17*NETWORKDAYS(AR$72,AR$72+6,HOLIDAYS),0)</f>
        <v>0</v>
      </c>
    </row>
    <row r="217" customFormat="false" ht="15" hidden="false" customHeight="false" outlineLevel="1" collapsed="false">
      <c r="A217" s="282" t="s">
        <v>90</v>
      </c>
      <c r="B217" s="283" t="s">
        <v>92</v>
      </c>
      <c r="C217" s="284" t="s">
        <v>2358</v>
      </c>
      <c r="D217" s="284" t="s">
        <v>2280</v>
      </c>
      <c r="E217" s="285" t="n">
        <v>240.77</v>
      </c>
      <c r="F217" s="283" t="s">
        <v>2359</v>
      </c>
      <c r="G217" s="285" t="n">
        <f aca="false">$F$5*(E217/$G$5+$H$5)</f>
        <v>40.5232</v>
      </c>
      <c r="H217" s="286" t="n">
        <f aca="false">IF(ISNUMBER('P9-013'!$N$62),'P9-013'!$N$62,"")</f>
        <v>46328</v>
      </c>
      <c r="I217" s="286" t="n">
        <f aca="false">IF(ISNUMBER('P9-013'!$O$62),'P9-013'!$O$62,"")</f>
        <v>46341</v>
      </c>
      <c r="J217" s="287" t="n">
        <f aca="false">IF(OR(H217="",I217="",N217&gt;=1),0,MAX(1,NETWORKDAYS(MAX(H217,ASOF),MAX(I217,ASOF),HOLIDAYS)))</f>
        <v>10</v>
      </c>
      <c r="K217" s="287" t="n">
        <f aca="false">IF(L217=0,0,ROUNDUP(L217/$F$5,0))</f>
        <v>2</v>
      </c>
      <c r="L217" s="285" t="n">
        <f aca="false">IF(J217=0,0,G217*(1-N217)/J217)</f>
        <v>4.05232</v>
      </c>
      <c r="M217" s="283" t="s">
        <v>872</v>
      </c>
      <c r="N217" s="288" t="n">
        <f aca="false">IFERROR(MIN(1,'P9-013'!$V$62)+0,0)</f>
        <v>0</v>
      </c>
      <c r="O217" s="289" t="n">
        <f aca="false">IF($L217=0,0,$L217*MAX(0,NETWORKDAYS(MAX($H217,ASOF,O$72),MIN(MAX($I217,ASOF),O$72+6),HOLIDAYS)))</f>
        <v>20.2616</v>
      </c>
      <c r="P217" s="289" t="n">
        <f aca="false">IF($L217=0,0,$L217*MAX(0,NETWORKDAYS(MAX($H217,ASOF,P$72),MIN(MAX($I217,ASOF),P$72+6),HOLIDAYS)))</f>
        <v>20.2616</v>
      </c>
      <c r="Q217" s="289" t="n">
        <f aca="false">IF($L217=0,0,$L217*MAX(0,NETWORKDAYS(MAX($H217,ASOF,Q$72),MIN(MAX($I217,ASOF),Q$72+6),HOLIDAYS)))</f>
        <v>0</v>
      </c>
      <c r="R217" s="289" t="n">
        <f aca="false">IF($L217=0,0,$L217*MAX(0,NETWORKDAYS(MAX($H217,ASOF,R$72),MIN(MAX($I217,ASOF),R$72+6),HOLIDAYS)))</f>
        <v>0</v>
      </c>
      <c r="S217" s="289" t="n">
        <f aca="false">IF($L217=0,0,$L217*MAX(0,NETWORKDAYS(MAX($H217,ASOF,S$72),MIN(MAX($I217,ASOF),S$72+6),HOLIDAYS)))</f>
        <v>0</v>
      </c>
      <c r="T217" s="289" t="n">
        <f aca="false">IF($L217=0,0,$L217*MAX(0,NETWORKDAYS(MAX($H217,ASOF,T$72),MIN(MAX($I217,ASOF),T$72+6),HOLIDAYS)))</f>
        <v>0</v>
      </c>
      <c r="U217" s="289" t="n">
        <f aca="false">IF($L217=0,0,$L217*MAX(0,NETWORKDAYS(MAX($H217,ASOF,U$72),MIN(MAX($I217,ASOF),U$72+6),HOLIDAYS)))</f>
        <v>0</v>
      </c>
      <c r="V217" s="289" t="n">
        <f aca="false">IF($L217=0,0,$L217*MAX(0,NETWORKDAYS(MAX($H217,ASOF,V$72),MIN(MAX($I217,ASOF),V$72+6),HOLIDAYS)))</f>
        <v>0</v>
      </c>
      <c r="W217" s="289" t="n">
        <f aca="false">IF($L217=0,0,$L217*MAX(0,NETWORKDAYS(MAX($H217,ASOF,W$72),MIN(MAX($I217,ASOF),W$72+6),HOLIDAYS)))</f>
        <v>0</v>
      </c>
      <c r="X217" s="289" t="n">
        <f aca="false">IF($L217=0,0,$L217*MAX(0,NETWORKDAYS(MAX($H217,ASOF,X$72),MIN(MAX($I217,ASOF),X$72+6),HOLIDAYS)))</f>
        <v>0</v>
      </c>
      <c r="Y217" s="289" t="n">
        <f aca="false">IF($L217=0,0,$L217*MAX(0,NETWORKDAYS(MAX($H217,ASOF,Y$72),MIN(MAX($I217,ASOF),Y$72+6),HOLIDAYS)))</f>
        <v>0</v>
      </c>
      <c r="Z217" s="289" t="n">
        <f aca="false">IF($L217=0,0,$L217*MAX(0,NETWORKDAYS(MAX($H217,ASOF,Z$72),MIN(MAX($I217,ASOF),Z$72+6),HOLIDAYS)))</f>
        <v>0</v>
      </c>
      <c r="AA217" s="289" t="n">
        <f aca="false">IF($L217=0,0,$L217*MAX(0,NETWORKDAYS(MAX($H217,ASOF,AA$72),MIN(MAX($I217,ASOF),AA$72+6),HOLIDAYS)))</f>
        <v>0</v>
      </c>
      <c r="AB217" s="289" t="n">
        <f aca="false">IF($L217=0,0,$L217*MAX(0,NETWORKDAYS(MAX($H217,ASOF,AB$72),MIN(MAX($I217,ASOF),AB$72+6),HOLIDAYS)))</f>
        <v>0</v>
      </c>
      <c r="AC217" s="289" t="n">
        <f aca="false">IF($L217=0,0,$L217*MAX(0,NETWORKDAYS(MAX($H217,ASOF,AC$72),MIN(MAX($I217,ASOF),AC$72+6),HOLIDAYS)))</f>
        <v>0</v>
      </c>
      <c r="AD217" s="289" t="n">
        <f aca="false">IF($L217=0,0,$L217*MAX(0,NETWORKDAYS(MAX($H217,ASOF,AD$72),MIN(MAX($I217,ASOF),AD$72+6),HOLIDAYS)))</f>
        <v>0</v>
      </c>
      <c r="AE217" s="289" t="n">
        <f aca="false">IF($L217=0,0,$L217*MAX(0,NETWORKDAYS(MAX($H217,ASOF,AE$72),MIN(MAX($I217,ASOF),AE$72+6),HOLIDAYS)))</f>
        <v>0</v>
      </c>
      <c r="AF217" s="289" t="n">
        <f aca="false">IF($L217=0,0,$L217*MAX(0,NETWORKDAYS(MAX($H217,ASOF,AF$72),MIN(MAX($I217,ASOF),AF$72+6),HOLIDAYS)))</f>
        <v>0</v>
      </c>
      <c r="AG217" s="289" t="n">
        <f aca="false">IF($L217=0,0,$L217*MAX(0,NETWORKDAYS(MAX($H217,ASOF,AG$72),MIN(MAX($I217,ASOF),AG$72+6),HOLIDAYS)))</f>
        <v>0</v>
      </c>
      <c r="AH217" s="289" t="n">
        <f aca="false">IF($L217=0,0,$L217*MAX(0,NETWORKDAYS(MAX($H217,ASOF,AH$72),MIN(MAX($I217,ASOF),AH$72+6),HOLIDAYS)))</f>
        <v>0</v>
      </c>
      <c r="AI217" s="289" t="n">
        <f aca="false">IF($L217=0,0,$L217*MAX(0,NETWORKDAYS(MAX($H217,ASOF,AI$72),MIN(MAX($I217,ASOF),AI$72+6),HOLIDAYS)))</f>
        <v>0</v>
      </c>
      <c r="AJ217" s="289" t="n">
        <f aca="false">IF($L217=0,0,$L217*MAX(0,NETWORKDAYS(MAX($H217,ASOF,AJ$72),MIN(MAX($I217,ASOF),AJ$72+6),HOLIDAYS)))</f>
        <v>0</v>
      </c>
      <c r="AK217" s="289" t="n">
        <f aca="false">IF($L217=0,0,$L217*MAX(0,NETWORKDAYS(MAX($H217,ASOF,AK$72),MIN(MAX($I217,ASOF),AK$72+6),HOLIDAYS)))</f>
        <v>0</v>
      </c>
      <c r="AL217" s="289" t="n">
        <f aca="false">IF($L217=0,0,$L217*MAX(0,NETWORKDAYS(MAX($H217,ASOF,AL$72),MIN(MAX($I217,ASOF),AL$72+6),HOLIDAYS)))</f>
        <v>0</v>
      </c>
      <c r="AM217" s="289" t="n">
        <f aca="false">IF($L217=0,0,$L217*MAX(0,NETWORKDAYS(MAX($H217,ASOF,AM$72),MIN(MAX($I217,ASOF),AM$72+6),HOLIDAYS)))</f>
        <v>0</v>
      </c>
      <c r="AN217" s="289" t="n">
        <f aca="false">IF($L217=0,0,$L217*MAX(0,NETWORKDAYS(MAX($H217,ASOF,AN$72),MIN(MAX($I217,ASOF),AN$72+6),HOLIDAYS)))</f>
        <v>0</v>
      </c>
      <c r="AO217" s="289" t="n">
        <f aca="false">IF($L217=0,0,$L217*MAX(0,NETWORKDAYS(MAX($H217,ASOF,AO$72),MIN(MAX($I217,ASOF),AO$72+6),HOLIDAYS)))</f>
        <v>0</v>
      </c>
      <c r="AP217" s="289" t="n">
        <f aca="false">IF($L217=0,0,$L217*MAX(0,NETWORKDAYS(MAX($H217,ASOF,AP$72),MIN(MAX($I217,ASOF),AP$72+6),HOLIDAYS)))</f>
        <v>0</v>
      </c>
      <c r="AQ217" s="289" t="n">
        <f aca="false">IF($L217=0,0,$L217*MAX(0,NETWORKDAYS(MAX($H217,ASOF,AQ$72),MIN(MAX($I217,ASOF),AQ$72+6),HOLIDAYS)))</f>
        <v>0</v>
      </c>
      <c r="AR217" s="289" t="n">
        <f aca="false">IF($L217=0,0,$L217*MAX(0,NETWORKDAYS(MAX($H217,ASOF,AR$72),MIN(MAX($I217,ASOF),AR$72+6),HOLIDAYS)))</f>
        <v>0</v>
      </c>
    </row>
    <row r="218" customFormat="false" ht="15" hidden="false" customHeight="false" outlineLevel="1" collapsed="false">
      <c r="A218" s="282" t="s">
        <v>90</v>
      </c>
      <c r="B218" s="283" t="s">
        <v>92</v>
      </c>
      <c r="C218" s="284" t="s">
        <v>2360</v>
      </c>
      <c r="D218" s="284" t="s">
        <v>2284</v>
      </c>
      <c r="E218" s="285" t="n">
        <v>150.48</v>
      </c>
      <c r="F218" s="283" t="s">
        <v>527</v>
      </c>
      <c r="G218" s="285" t="n">
        <f aca="false">$F$6*(E218/$G$6+$H$6)</f>
        <v>14.286</v>
      </c>
      <c r="H218" s="286" t="n">
        <f aca="false">IF(ISNUMBER('P9-013'!$N$70),'P9-013'!$N$70,"")</f>
        <v>46343</v>
      </c>
      <c r="I218" s="286" t="n">
        <f aca="false">IF(ISNUMBER('P9-013'!$O$70),'P9-013'!$O$70,"")</f>
        <v>46346</v>
      </c>
      <c r="J218" s="287" t="n">
        <f aca="false">IF(OR(H218="",I218="",N218&gt;=1),0,MAX(1,NETWORKDAYS(MAX(H218,ASOF),MAX(I218,ASOF),HOLIDAYS)))</f>
        <v>4</v>
      </c>
      <c r="K218" s="287" t="n">
        <f aca="false">IF(L218=0,0,ROUNDUP(L218/$F$6,0))</f>
        <v>2</v>
      </c>
      <c r="L218" s="285" t="n">
        <f aca="false">IF(J218=0,0,G218*(1-N218)/J218)</f>
        <v>3.5715</v>
      </c>
      <c r="M218" s="283" t="s">
        <v>987</v>
      </c>
      <c r="N218" s="288" t="n">
        <f aca="false">IFERROR(MIN(1,'P9-013'!$V$70)+0,0)</f>
        <v>0</v>
      </c>
      <c r="O218" s="289" t="n">
        <f aca="false">IF($L218=0,0,$L218*MAX(0,NETWORKDAYS(MAX($H218,ASOF,O$72),MIN(MAX($I218,ASOF),O$72+6),HOLIDAYS)))</f>
        <v>0</v>
      </c>
      <c r="P218" s="289" t="n">
        <f aca="false">IF($L218=0,0,$L218*MAX(0,NETWORKDAYS(MAX($H218,ASOF,P$72),MIN(MAX($I218,ASOF),P$72+6),HOLIDAYS)))</f>
        <v>0</v>
      </c>
      <c r="Q218" s="289" t="n">
        <f aca="false">IF($L218=0,0,$L218*MAX(0,NETWORKDAYS(MAX($H218,ASOF,Q$72),MIN(MAX($I218,ASOF),Q$72+6),HOLIDAYS)))</f>
        <v>14.286</v>
      </c>
      <c r="R218" s="289" t="n">
        <f aca="false">IF($L218=0,0,$L218*MAX(0,NETWORKDAYS(MAX($H218,ASOF,R$72),MIN(MAX($I218,ASOF),R$72+6),HOLIDAYS)))</f>
        <v>0</v>
      </c>
      <c r="S218" s="289" t="n">
        <f aca="false">IF($L218=0,0,$L218*MAX(0,NETWORKDAYS(MAX($H218,ASOF,S$72),MIN(MAX($I218,ASOF),S$72+6),HOLIDAYS)))</f>
        <v>0</v>
      </c>
      <c r="T218" s="289" t="n">
        <f aca="false">IF($L218=0,0,$L218*MAX(0,NETWORKDAYS(MAX($H218,ASOF,T$72),MIN(MAX($I218,ASOF),T$72+6),HOLIDAYS)))</f>
        <v>0</v>
      </c>
      <c r="U218" s="289" t="n">
        <f aca="false">IF($L218=0,0,$L218*MAX(0,NETWORKDAYS(MAX($H218,ASOF,U$72),MIN(MAX($I218,ASOF),U$72+6),HOLIDAYS)))</f>
        <v>0</v>
      </c>
      <c r="V218" s="289" t="n">
        <f aca="false">IF($L218=0,0,$L218*MAX(0,NETWORKDAYS(MAX($H218,ASOF,V$72),MIN(MAX($I218,ASOF),V$72+6),HOLIDAYS)))</f>
        <v>0</v>
      </c>
      <c r="W218" s="289" t="n">
        <f aca="false">IF($L218=0,0,$L218*MAX(0,NETWORKDAYS(MAX($H218,ASOF,W$72),MIN(MAX($I218,ASOF),W$72+6),HOLIDAYS)))</f>
        <v>0</v>
      </c>
      <c r="X218" s="289" t="n">
        <f aca="false">IF($L218=0,0,$L218*MAX(0,NETWORKDAYS(MAX($H218,ASOF,X$72),MIN(MAX($I218,ASOF),X$72+6),HOLIDAYS)))</f>
        <v>0</v>
      </c>
      <c r="Y218" s="289" t="n">
        <f aca="false">IF($L218=0,0,$L218*MAX(0,NETWORKDAYS(MAX($H218,ASOF,Y$72),MIN(MAX($I218,ASOF),Y$72+6),HOLIDAYS)))</f>
        <v>0</v>
      </c>
      <c r="Z218" s="289" t="n">
        <f aca="false">IF($L218=0,0,$L218*MAX(0,NETWORKDAYS(MAX($H218,ASOF,Z$72),MIN(MAX($I218,ASOF),Z$72+6),HOLIDAYS)))</f>
        <v>0</v>
      </c>
      <c r="AA218" s="289" t="n">
        <f aca="false">IF($L218=0,0,$L218*MAX(0,NETWORKDAYS(MAX($H218,ASOF,AA$72),MIN(MAX($I218,ASOF),AA$72+6),HOLIDAYS)))</f>
        <v>0</v>
      </c>
      <c r="AB218" s="289" t="n">
        <f aca="false">IF($L218=0,0,$L218*MAX(0,NETWORKDAYS(MAX($H218,ASOF,AB$72),MIN(MAX($I218,ASOF),AB$72+6),HOLIDAYS)))</f>
        <v>0</v>
      </c>
      <c r="AC218" s="289" t="n">
        <f aca="false">IF($L218=0,0,$L218*MAX(0,NETWORKDAYS(MAX($H218,ASOF,AC$72),MIN(MAX($I218,ASOF),AC$72+6),HOLIDAYS)))</f>
        <v>0</v>
      </c>
      <c r="AD218" s="289" t="n">
        <f aca="false">IF($L218=0,0,$L218*MAX(0,NETWORKDAYS(MAX($H218,ASOF,AD$72),MIN(MAX($I218,ASOF),AD$72+6),HOLIDAYS)))</f>
        <v>0</v>
      </c>
      <c r="AE218" s="289" t="n">
        <f aca="false">IF($L218=0,0,$L218*MAX(0,NETWORKDAYS(MAX($H218,ASOF,AE$72),MIN(MAX($I218,ASOF),AE$72+6),HOLIDAYS)))</f>
        <v>0</v>
      </c>
      <c r="AF218" s="289" t="n">
        <f aca="false">IF($L218=0,0,$L218*MAX(0,NETWORKDAYS(MAX($H218,ASOF,AF$72),MIN(MAX($I218,ASOF),AF$72+6),HOLIDAYS)))</f>
        <v>0</v>
      </c>
      <c r="AG218" s="289" t="n">
        <f aca="false">IF($L218=0,0,$L218*MAX(0,NETWORKDAYS(MAX($H218,ASOF,AG$72),MIN(MAX($I218,ASOF),AG$72+6),HOLIDAYS)))</f>
        <v>0</v>
      </c>
      <c r="AH218" s="289" t="n">
        <f aca="false">IF($L218=0,0,$L218*MAX(0,NETWORKDAYS(MAX($H218,ASOF,AH$72),MIN(MAX($I218,ASOF),AH$72+6),HOLIDAYS)))</f>
        <v>0</v>
      </c>
      <c r="AI218" s="289" t="n">
        <f aca="false">IF($L218=0,0,$L218*MAX(0,NETWORKDAYS(MAX($H218,ASOF,AI$72),MIN(MAX($I218,ASOF),AI$72+6),HOLIDAYS)))</f>
        <v>0</v>
      </c>
      <c r="AJ218" s="289" t="n">
        <f aca="false">IF($L218=0,0,$L218*MAX(0,NETWORKDAYS(MAX($H218,ASOF,AJ$72),MIN(MAX($I218,ASOF),AJ$72+6),HOLIDAYS)))</f>
        <v>0</v>
      </c>
      <c r="AK218" s="289" t="n">
        <f aca="false">IF($L218=0,0,$L218*MAX(0,NETWORKDAYS(MAX($H218,ASOF,AK$72),MIN(MAX($I218,ASOF),AK$72+6),HOLIDAYS)))</f>
        <v>0</v>
      </c>
      <c r="AL218" s="289" t="n">
        <f aca="false">IF($L218=0,0,$L218*MAX(0,NETWORKDAYS(MAX($H218,ASOF,AL$72),MIN(MAX($I218,ASOF),AL$72+6),HOLIDAYS)))</f>
        <v>0</v>
      </c>
      <c r="AM218" s="289" t="n">
        <f aca="false">IF($L218=0,0,$L218*MAX(0,NETWORKDAYS(MAX($H218,ASOF,AM$72),MIN(MAX($I218,ASOF),AM$72+6),HOLIDAYS)))</f>
        <v>0</v>
      </c>
      <c r="AN218" s="289" t="n">
        <f aca="false">IF($L218=0,0,$L218*MAX(0,NETWORKDAYS(MAX($H218,ASOF,AN$72),MIN(MAX($I218,ASOF),AN$72+6),HOLIDAYS)))</f>
        <v>0</v>
      </c>
      <c r="AO218" s="289" t="n">
        <f aca="false">IF($L218=0,0,$L218*MAX(0,NETWORKDAYS(MAX($H218,ASOF,AO$72),MIN(MAX($I218,ASOF),AO$72+6),HOLIDAYS)))</f>
        <v>0</v>
      </c>
      <c r="AP218" s="289" t="n">
        <f aca="false">IF($L218=0,0,$L218*MAX(0,NETWORKDAYS(MAX($H218,ASOF,AP$72),MIN(MAX($I218,ASOF),AP$72+6),HOLIDAYS)))</f>
        <v>0</v>
      </c>
      <c r="AQ218" s="289" t="n">
        <f aca="false">IF($L218=0,0,$L218*MAX(0,NETWORKDAYS(MAX($H218,ASOF,AQ$72),MIN(MAX($I218,ASOF),AQ$72+6),HOLIDAYS)))</f>
        <v>0</v>
      </c>
      <c r="AR218" s="289" t="n">
        <f aca="false">IF($L218=0,0,$L218*MAX(0,NETWORKDAYS(MAX($H218,ASOF,AR$72),MIN(MAX($I218,ASOF),AR$72+6),HOLIDAYS)))</f>
        <v>0</v>
      </c>
    </row>
    <row r="219" customFormat="false" ht="15" hidden="false" customHeight="false" outlineLevel="1" collapsed="false">
      <c r="A219" s="282" t="s">
        <v>90</v>
      </c>
      <c r="B219" s="283" t="s">
        <v>92</v>
      </c>
      <c r="C219" s="284" t="s">
        <v>2361</v>
      </c>
      <c r="D219" s="284" t="s">
        <v>2280</v>
      </c>
      <c r="E219" s="285" t="n">
        <v>150.48</v>
      </c>
      <c r="F219" s="283" t="s">
        <v>527</v>
      </c>
      <c r="G219" s="285" t="n">
        <f aca="false">$F$7*(E219/$G$7+$H$7)</f>
        <v>19.1977142857143</v>
      </c>
      <c r="H219" s="286" t="n">
        <f aca="false">IF(ISNUMBER('P9-013'!$N$76),'P9-013'!$N$76,"")</f>
        <v>46342</v>
      </c>
      <c r="I219" s="286" t="n">
        <f aca="false">IF(ISNUMBER('P9-013'!$O$76),'P9-013'!$O$76,"")</f>
        <v>46347</v>
      </c>
      <c r="J219" s="287" t="n">
        <f aca="false">IF(OR(H219="",I219="",N219&gt;=1),0,MAX(1,NETWORKDAYS(MAX(H219,ASOF),MAX(I219,ASOF),HOLIDAYS)))</f>
        <v>5</v>
      </c>
      <c r="K219" s="287" t="n">
        <f aca="false">IF(L219=0,0,ROUNDUP(L219/$F$7,0))</f>
        <v>1</v>
      </c>
      <c r="L219" s="285" t="n">
        <f aca="false">IF(J219=0,0,G219*(1-N219)/J219)</f>
        <v>3.83954285714286</v>
      </c>
      <c r="M219" s="283" t="s">
        <v>1037</v>
      </c>
      <c r="N219" s="288" t="n">
        <f aca="false">IFERROR(MIN(1,'P9-013'!$V$76)+0,0)</f>
        <v>0</v>
      </c>
      <c r="O219" s="289" t="n">
        <f aca="false">IF($L219=0,0,$L219*MAX(0,NETWORKDAYS(MAX($H219,ASOF,O$72),MIN(MAX($I219,ASOF),O$72+6),HOLIDAYS)))</f>
        <v>0</v>
      </c>
      <c r="P219" s="289" t="n">
        <f aca="false">IF($L219=0,0,$L219*MAX(0,NETWORKDAYS(MAX($H219,ASOF,P$72),MIN(MAX($I219,ASOF),P$72+6),HOLIDAYS)))</f>
        <v>0</v>
      </c>
      <c r="Q219" s="289" t="n">
        <f aca="false">IF($L219=0,0,$L219*MAX(0,NETWORKDAYS(MAX($H219,ASOF,Q$72),MIN(MAX($I219,ASOF),Q$72+6),HOLIDAYS)))</f>
        <v>19.1977142857143</v>
      </c>
      <c r="R219" s="289" t="n">
        <f aca="false">IF($L219=0,0,$L219*MAX(0,NETWORKDAYS(MAX($H219,ASOF,R$72),MIN(MAX($I219,ASOF),R$72+6),HOLIDAYS)))</f>
        <v>0</v>
      </c>
      <c r="S219" s="289" t="n">
        <f aca="false">IF($L219=0,0,$L219*MAX(0,NETWORKDAYS(MAX($H219,ASOF,S$72),MIN(MAX($I219,ASOF),S$72+6),HOLIDAYS)))</f>
        <v>0</v>
      </c>
      <c r="T219" s="289" t="n">
        <f aca="false">IF($L219=0,0,$L219*MAX(0,NETWORKDAYS(MAX($H219,ASOF,T$72),MIN(MAX($I219,ASOF),T$72+6),HOLIDAYS)))</f>
        <v>0</v>
      </c>
      <c r="U219" s="289" t="n">
        <f aca="false">IF($L219=0,0,$L219*MAX(0,NETWORKDAYS(MAX($H219,ASOF,U$72),MIN(MAX($I219,ASOF),U$72+6),HOLIDAYS)))</f>
        <v>0</v>
      </c>
      <c r="V219" s="289" t="n">
        <f aca="false">IF($L219=0,0,$L219*MAX(0,NETWORKDAYS(MAX($H219,ASOF,V$72),MIN(MAX($I219,ASOF),V$72+6),HOLIDAYS)))</f>
        <v>0</v>
      </c>
      <c r="W219" s="289" t="n">
        <f aca="false">IF($L219=0,0,$L219*MAX(0,NETWORKDAYS(MAX($H219,ASOF,W$72),MIN(MAX($I219,ASOF),W$72+6),HOLIDAYS)))</f>
        <v>0</v>
      </c>
      <c r="X219" s="289" t="n">
        <f aca="false">IF($L219=0,0,$L219*MAX(0,NETWORKDAYS(MAX($H219,ASOF,X$72),MIN(MAX($I219,ASOF),X$72+6),HOLIDAYS)))</f>
        <v>0</v>
      </c>
      <c r="Y219" s="289" t="n">
        <f aca="false">IF($L219=0,0,$L219*MAX(0,NETWORKDAYS(MAX($H219,ASOF,Y$72),MIN(MAX($I219,ASOF),Y$72+6),HOLIDAYS)))</f>
        <v>0</v>
      </c>
      <c r="Z219" s="289" t="n">
        <f aca="false">IF($L219=0,0,$L219*MAX(0,NETWORKDAYS(MAX($H219,ASOF,Z$72),MIN(MAX($I219,ASOF),Z$72+6),HOLIDAYS)))</f>
        <v>0</v>
      </c>
      <c r="AA219" s="289" t="n">
        <f aca="false">IF($L219=0,0,$L219*MAX(0,NETWORKDAYS(MAX($H219,ASOF,AA$72),MIN(MAX($I219,ASOF),AA$72+6),HOLIDAYS)))</f>
        <v>0</v>
      </c>
      <c r="AB219" s="289" t="n">
        <f aca="false">IF($L219=0,0,$L219*MAX(0,NETWORKDAYS(MAX($H219,ASOF,AB$72),MIN(MAX($I219,ASOF),AB$72+6),HOLIDAYS)))</f>
        <v>0</v>
      </c>
      <c r="AC219" s="289" t="n">
        <f aca="false">IF($L219=0,0,$L219*MAX(0,NETWORKDAYS(MAX($H219,ASOF,AC$72),MIN(MAX($I219,ASOF),AC$72+6),HOLIDAYS)))</f>
        <v>0</v>
      </c>
      <c r="AD219" s="289" t="n">
        <f aca="false">IF($L219=0,0,$L219*MAX(0,NETWORKDAYS(MAX($H219,ASOF,AD$72),MIN(MAX($I219,ASOF),AD$72+6),HOLIDAYS)))</f>
        <v>0</v>
      </c>
      <c r="AE219" s="289" t="n">
        <f aca="false">IF($L219=0,0,$L219*MAX(0,NETWORKDAYS(MAX($H219,ASOF,AE$72),MIN(MAX($I219,ASOF),AE$72+6),HOLIDAYS)))</f>
        <v>0</v>
      </c>
      <c r="AF219" s="289" t="n">
        <f aca="false">IF($L219=0,0,$L219*MAX(0,NETWORKDAYS(MAX($H219,ASOF,AF$72),MIN(MAX($I219,ASOF),AF$72+6),HOLIDAYS)))</f>
        <v>0</v>
      </c>
      <c r="AG219" s="289" t="n">
        <f aca="false">IF($L219=0,0,$L219*MAX(0,NETWORKDAYS(MAX($H219,ASOF,AG$72),MIN(MAX($I219,ASOF),AG$72+6),HOLIDAYS)))</f>
        <v>0</v>
      </c>
      <c r="AH219" s="289" t="n">
        <f aca="false">IF($L219=0,0,$L219*MAX(0,NETWORKDAYS(MAX($H219,ASOF,AH$72),MIN(MAX($I219,ASOF),AH$72+6),HOLIDAYS)))</f>
        <v>0</v>
      </c>
      <c r="AI219" s="289" t="n">
        <f aca="false">IF($L219=0,0,$L219*MAX(0,NETWORKDAYS(MAX($H219,ASOF,AI$72),MIN(MAX($I219,ASOF),AI$72+6),HOLIDAYS)))</f>
        <v>0</v>
      </c>
      <c r="AJ219" s="289" t="n">
        <f aca="false">IF($L219=0,0,$L219*MAX(0,NETWORKDAYS(MAX($H219,ASOF,AJ$72),MIN(MAX($I219,ASOF),AJ$72+6),HOLIDAYS)))</f>
        <v>0</v>
      </c>
      <c r="AK219" s="289" t="n">
        <f aca="false">IF($L219=0,0,$L219*MAX(0,NETWORKDAYS(MAX($H219,ASOF,AK$72),MIN(MAX($I219,ASOF),AK$72+6),HOLIDAYS)))</f>
        <v>0</v>
      </c>
      <c r="AL219" s="289" t="n">
        <f aca="false">IF($L219=0,0,$L219*MAX(0,NETWORKDAYS(MAX($H219,ASOF,AL$72),MIN(MAX($I219,ASOF),AL$72+6),HOLIDAYS)))</f>
        <v>0</v>
      </c>
      <c r="AM219" s="289" t="n">
        <f aca="false">IF($L219=0,0,$L219*MAX(0,NETWORKDAYS(MAX($H219,ASOF,AM$72),MIN(MAX($I219,ASOF),AM$72+6),HOLIDAYS)))</f>
        <v>0</v>
      </c>
      <c r="AN219" s="289" t="n">
        <f aca="false">IF($L219=0,0,$L219*MAX(0,NETWORKDAYS(MAX($H219,ASOF,AN$72),MIN(MAX($I219,ASOF),AN$72+6),HOLIDAYS)))</f>
        <v>0</v>
      </c>
      <c r="AO219" s="289" t="n">
        <f aca="false">IF($L219=0,0,$L219*MAX(0,NETWORKDAYS(MAX($H219,ASOF,AO$72),MIN(MAX($I219,ASOF),AO$72+6),HOLIDAYS)))</f>
        <v>0</v>
      </c>
      <c r="AP219" s="289" t="n">
        <f aca="false">IF($L219=0,0,$L219*MAX(0,NETWORKDAYS(MAX($H219,ASOF,AP$72),MIN(MAX($I219,ASOF),AP$72+6),HOLIDAYS)))</f>
        <v>0</v>
      </c>
      <c r="AQ219" s="289" t="n">
        <f aca="false">IF($L219=0,0,$L219*MAX(0,NETWORKDAYS(MAX($H219,ASOF,AQ$72),MIN(MAX($I219,ASOF),AQ$72+6),HOLIDAYS)))</f>
        <v>0</v>
      </c>
      <c r="AR219" s="289" t="n">
        <f aca="false">IF($L219=0,0,$L219*MAX(0,NETWORKDAYS(MAX($H219,ASOF,AR$72),MIN(MAX($I219,ASOF),AR$72+6),HOLIDAYS)))</f>
        <v>0</v>
      </c>
    </row>
    <row r="220" customFormat="false" ht="15" hidden="false" customHeight="false" outlineLevel="1" collapsed="false">
      <c r="A220" s="282" t="s">
        <v>90</v>
      </c>
      <c r="B220" s="283" t="s">
        <v>92</v>
      </c>
      <c r="C220" s="284" t="s">
        <v>2362</v>
      </c>
      <c r="D220" s="284" t="s">
        <v>2284</v>
      </c>
      <c r="E220" s="285" t="n">
        <v>1</v>
      </c>
      <c r="F220" s="290" t="s">
        <v>35</v>
      </c>
      <c r="G220" s="285" t="n">
        <f aca="false">$F$8*$H$8</f>
        <v>2</v>
      </c>
      <c r="H220" s="286" t="n">
        <f aca="false">IF(ISNUMBER('P9-013'!$N$82),'P9-013'!$N$82,"")</f>
        <v>46345</v>
      </c>
      <c r="I220" s="286" t="n">
        <f aca="false">IF(ISNUMBER('P9-013'!$O$82),'P9-013'!$O$82,"")</f>
        <v>46347</v>
      </c>
      <c r="J220" s="287" t="n">
        <f aca="false">IF(OR(H220="",I220="",N220&gt;=1),0,MAX(1,NETWORKDAYS(MAX(H220,ASOF),MAX(I220,ASOF),HOLIDAYS)))</f>
        <v>2</v>
      </c>
      <c r="K220" s="287" t="n">
        <f aca="false">IF(L220=0,0,ROUNDUP(L220/$F$8,0))</f>
        <v>1</v>
      </c>
      <c r="L220" s="285" t="n">
        <f aca="false">IF(J220=0,0,G220*(1-N220)/J220)</f>
        <v>1</v>
      </c>
      <c r="M220" s="283" t="s">
        <v>1063</v>
      </c>
      <c r="N220" s="288" t="n">
        <f aca="false">IFERROR(MIN(1,'P9-013'!$V$82)+0,0)</f>
        <v>0</v>
      </c>
      <c r="O220" s="289" t="n">
        <f aca="false">IF($L220=0,0,$L220*MAX(0,NETWORKDAYS(MAX($H220,ASOF,O$72),MIN(MAX($I220,ASOF),O$72+6),HOLIDAYS)))</f>
        <v>0</v>
      </c>
      <c r="P220" s="289" t="n">
        <f aca="false">IF($L220=0,0,$L220*MAX(0,NETWORKDAYS(MAX($H220,ASOF,P$72),MIN(MAX($I220,ASOF),P$72+6),HOLIDAYS)))</f>
        <v>0</v>
      </c>
      <c r="Q220" s="289" t="n">
        <f aca="false">IF($L220=0,0,$L220*MAX(0,NETWORKDAYS(MAX($H220,ASOF,Q$72),MIN(MAX($I220,ASOF),Q$72+6),HOLIDAYS)))</f>
        <v>2</v>
      </c>
      <c r="R220" s="289" t="n">
        <f aca="false">IF($L220=0,0,$L220*MAX(0,NETWORKDAYS(MAX($H220,ASOF,R$72),MIN(MAX($I220,ASOF),R$72+6),HOLIDAYS)))</f>
        <v>0</v>
      </c>
      <c r="S220" s="289" t="n">
        <f aca="false">IF($L220=0,0,$L220*MAX(0,NETWORKDAYS(MAX($H220,ASOF,S$72),MIN(MAX($I220,ASOF),S$72+6),HOLIDAYS)))</f>
        <v>0</v>
      </c>
      <c r="T220" s="289" t="n">
        <f aca="false">IF($L220=0,0,$L220*MAX(0,NETWORKDAYS(MAX($H220,ASOF,T$72),MIN(MAX($I220,ASOF),T$72+6),HOLIDAYS)))</f>
        <v>0</v>
      </c>
      <c r="U220" s="289" t="n">
        <f aca="false">IF($L220=0,0,$L220*MAX(0,NETWORKDAYS(MAX($H220,ASOF,U$72),MIN(MAX($I220,ASOF),U$72+6),HOLIDAYS)))</f>
        <v>0</v>
      </c>
      <c r="V220" s="289" t="n">
        <f aca="false">IF($L220=0,0,$L220*MAX(0,NETWORKDAYS(MAX($H220,ASOF,V$72),MIN(MAX($I220,ASOF),V$72+6),HOLIDAYS)))</f>
        <v>0</v>
      </c>
      <c r="W220" s="289" t="n">
        <f aca="false">IF($L220=0,0,$L220*MAX(0,NETWORKDAYS(MAX($H220,ASOF,W$72),MIN(MAX($I220,ASOF),W$72+6),HOLIDAYS)))</f>
        <v>0</v>
      </c>
      <c r="X220" s="289" t="n">
        <f aca="false">IF($L220=0,0,$L220*MAX(0,NETWORKDAYS(MAX($H220,ASOF,X$72),MIN(MAX($I220,ASOF),X$72+6),HOLIDAYS)))</f>
        <v>0</v>
      </c>
      <c r="Y220" s="289" t="n">
        <f aca="false">IF($L220=0,0,$L220*MAX(0,NETWORKDAYS(MAX($H220,ASOF,Y$72),MIN(MAX($I220,ASOF),Y$72+6),HOLIDAYS)))</f>
        <v>0</v>
      </c>
      <c r="Z220" s="289" t="n">
        <f aca="false">IF($L220=0,0,$L220*MAX(0,NETWORKDAYS(MAX($H220,ASOF,Z$72),MIN(MAX($I220,ASOF),Z$72+6),HOLIDAYS)))</f>
        <v>0</v>
      </c>
      <c r="AA220" s="289" t="n">
        <f aca="false">IF($L220=0,0,$L220*MAX(0,NETWORKDAYS(MAX($H220,ASOF,AA$72),MIN(MAX($I220,ASOF),AA$72+6),HOLIDAYS)))</f>
        <v>0</v>
      </c>
      <c r="AB220" s="289" t="n">
        <f aca="false">IF($L220=0,0,$L220*MAX(0,NETWORKDAYS(MAX($H220,ASOF,AB$72),MIN(MAX($I220,ASOF),AB$72+6),HOLIDAYS)))</f>
        <v>0</v>
      </c>
      <c r="AC220" s="289" t="n">
        <f aca="false">IF($L220=0,0,$L220*MAX(0,NETWORKDAYS(MAX($H220,ASOF,AC$72),MIN(MAX($I220,ASOF),AC$72+6),HOLIDAYS)))</f>
        <v>0</v>
      </c>
      <c r="AD220" s="289" t="n">
        <f aca="false">IF($L220=0,0,$L220*MAX(0,NETWORKDAYS(MAX($H220,ASOF,AD$72),MIN(MAX($I220,ASOF),AD$72+6),HOLIDAYS)))</f>
        <v>0</v>
      </c>
      <c r="AE220" s="289" t="n">
        <f aca="false">IF($L220=0,0,$L220*MAX(0,NETWORKDAYS(MAX($H220,ASOF,AE$72),MIN(MAX($I220,ASOF),AE$72+6),HOLIDAYS)))</f>
        <v>0</v>
      </c>
      <c r="AF220" s="289" t="n">
        <f aca="false">IF($L220=0,0,$L220*MAX(0,NETWORKDAYS(MAX($H220,ASOF,AF$72),MIN(MAX($I220,ASOF),AF$72+6),HOLIDAYS)))</f>
        <v>0</v>
      </c>
      <c r="AG220" s="289" t="n">
        <f aca="false">IF($L220=0,0,$L220*MAX(0,NETWORKDAYS(MAX($H220,ASOF,AG$72),MIN(MAX($I220,ASOF),AG$72+6),HOLIDAYS)))</f>
        <v>0</v>
      </c>
      <c r="AH220" s="289" t="n">
        <f aca="false">IF($L220=0,0,$L220*MAX(0,NETWORKDAYS(MAX($H220,ASOF,AH$72),MIN(MAX($I220,ASOF),AH$72+6),HOLIDAYS)))</f>
        <v>0</v>
      </c>
      <c r="AI220" s="289" t="n">
        <f aca="false">IF($L220=0,0,$L220*MAX(0,NETWORKDAYS(MAX($H220,ASOF,AI$72),MIN(MAX($I220,ASOF),AI$72+6),HOLIDAYS)))</f>
        <v>0</v>
      </c>
      <c r="AJ220" s="289" t="n">
        <f aca="false">IF($L220=0,0,$L220*MAX(0,NETWORKDAYS(MAX($H220,ASOF,AJ$72),MIN(MAX($I220,ASOF),AJ$72+6),HOLIDAYS)))</f>
        <v>0</v>
      </c>
      <c r="AK220" s="289" t="n">
        <f aca="false">IF($L220=0,0,$L220*MAX(0,NETWORKDAYS(MAX($H220,ASOF,AK$72),MIN(MAX($I220,ASOF),AK$72+6),HOLIDAYS)))</f>
        <v>0</v>
      </c>
      <c r="AL220" s="289" t="n">
        <f aca="false">IF($L220=0,0,$L220*MAX(0,NETWORKDAYS(MAX($H220,ASOF,AL$72),MIN(MAX($I220,ASOF),AL$72+6),HOLIDAYS)))</f>
        <v>0</v>
      </c>
      <c r="AM220" s="289" t="n">
        <f aca="false">IF($L220=0,0,$L220*MAX(0,NETWORKDAYS(MAX($H220,ASOF,AM$72),MIN(MAX($I220,ASOF),AM$72+6),HOLIDAYS)))</f>
        <v>0</v>
      </c>
      <c r="AN220" s="289" t="n">
        <f aca="false">IF($L220=0,0,$L220*MAX(0,NETWORKDAYS(MAX($H220,ASOF,AN$72),MIN(MAX($I220,ASOF),AN$72+6),HOLIDAYS)))</f>
        <v>0</v>
      </c>
      <c r="AO220" s="289" t="n">
        <f aca="false">IF($L220=0,0,$L220*MAX(0,NETWORKDAYS(MAX($H220,ASOF,AO$72),MIN(MAX($I220,ASOF),AO$72+6),HOLIDAYS)))</f>
        <v>0</v>
      </c>
      <c r="AP220" s="289" t="n">
        <f aca="false">IF($L220=0,0,$L220*MAX(0,NETWORKDAYS(MAX($H220,ASOF,AP$72),MIN(MAX($I220,ASOF),AP$72+6),HOLIDAYS)))</f>
        <v>0</v>
      </c>
      <c r="AQ220" s="289" t="n">
        <f aca="false">IF($L220=0,0,$L220*MAX(0,NETWORKDAYS(MAX($H220,ASOF,AQ$72),MIN(MAX($I220,ASOF),AQ$72+6),HOLIDAYS)))</f>
        <v>0</v>
      </c>
      <c r="AR220" s="289" t="n">
        <f aca="false">IF($L220=0,0,$L220*MAX(0,NETWORKDAYS(MAX($H220,ASOF,AR$72),MIN(MAX($I220,ASOF),AR$72+6),HOLIDAYS)))</f>
        <v>0</v>
      </c>
    </row>
    <row r="221" customFormat="false" ht="15" hidden="false" customHeight="false" outlineLevel="1" collapsed="false">
      <c r="A221" s="282" t="s">
        <v>90</v>
      </c>
      <c r="B221" s="283" t="s">
        <v>92</v>
      </c>
      <c r="C221" s="284" t="s">
        <v>2363</v>
      </c>
      <c r="D221" s="284" t="s">
        <v>2290</v>
      </c>
      <c r="E221" s="285" t="n">
        <v>1</v>
      </c>
      <c r="F221" s="290" t="s">
        <v>35</v>
      </c>
      <c r="G221" s="285" t="n">
        <f aca="false">IF(IFERROR(INDEX(INVS_TYPE,MATCH("P9-013",INVS_ID,0)),"")="สร้างใหม่ (E09)",$F$9*$H$9,0)</f>
        <v>24</v>
      </c>
      <c r="H221" s="286" t="n">
        <f aca="false">IF(ISNUMBER('P9-013'!$N$85),'P9-013'!$N$85,"")</f>
        <v>46343</v>
      </c>
      <c r="I221" s="286" t="n">
        <f aca="false">IF(ISNUMBER('P9-013'!$O$85),'P9-013'!$O$85,"")</f>
        <v>46346</v>
      </c>
      <c r="J221" s="287" t="n">
        <f aca="false">IF(OR(H221="",I221="",N221&gt;=1),0,MAX(1,NETWORKDAYS(MAX(H221,ASOF),MAX(I221,ASOF),HOLIDAYS)))</f>
        <v>4</v>
      </c>
      <c r="K221" s="287" t="n">
        <f aca="false">IF(L221=0,0,ROUNDUP(L221/$F$9,0))</f>
        <v>2</v>
      </c>
      <c r="L221" s="285" t="n">
        <f aca="false">IF(J221=0,0,G221*(1-N221)/J221)</f>
        <v>6</v>
      </c>
      <c r="M221" s="283" t="s">
        <v>2288</v>
      </c>
      <c r="N221" s="288" t="n">
        <f aca="false">IFERROR(MIN(1,'P9-013'!$V$85)+0,0)</f>
        <v>0</v>
      </c>
      <c r="O221" s="289" t="n">
        <f aca="false">IF($L221=0,0,$L221*MAX(0,NETWORKDAYS(MAX($H221,ASOF,O$72),MIN(MAX($I221,ASOF),O$72+6),HOLIDAYS)))</f>
        <v>0</v>
      </c>
      <c r="P221" s="289" t="n">
        <f aca="false">IF($L221=0,0,$L221*MAX(0,NETWORKDAYS(MAX($H221,ASOF,P$72),MIN(MAX($I221,ASOF),P$72+6),HOLIDAYS)))</f>
        <v>0</v>
      </c>
      <c r="Q221" s="289" t="n">
        <f aca="false">IF($L221=0,0,$L221*MAX(0,NETWORKDAYS(MAX($H221,ASOF,Q$72),MIN(MAX($I221,ASOF),Q$72+6),HOLIDAYS)))</f>
        <v>24</v>
      </c>
      <c r="R221" s="289" t="n">
        <f aca="false">IF($L221=0,0,$L221*MAX(0,NETWORKDAYS(MAX($H221,ASOF,R$72),MIN(MAX($I221,ASOF),R$72+6),HOLIDAYS)))</f>
        <v>0</v>
      </c>
      <c r="S221" s="289" t="n">
        <f aca="false">IF($L221=0,0,$L221*MAX(0,NETWORKDAYS(MAX($H221,ASOF,S$72),MIN(MAX($I221,ASOF),S$72+6),HOLIDAYS)))</f>
        <v>0</v>
      </c>
      <c r="T221" s="289" t="n">
        <f aca="false">IF($L221=0,0,$L221*MAX(0,NETWORKDAYS(MAX($H221,ASOF,T$72),MIN(MAX($I221,ASOF),T$72+6),HOLIDAYS)))</f>
        <v>0</v>
      </c>
      <c r="U221" s="289" t="n">
        <f aca="false">IF($L221=0,0,$L221*MAX(0,NETWORKDAYS(MAX($H221,ASOF,U$72),MIN(MAX($I221,ASOF),U$72+6),HOLIDAYS)))</f>
        <v>0</v>
      </c>
      <c r="V221" s="289" t="n">
        <f aca="false">IF($L221=0,0,$L221*MAX(0,NETWORKDAYS(MAX($H221,ASOF,V$72),MIN(MAX($I221,ASOF),V$72+6),HOLIDAYS)))</f>
        <v>0</v>
      </c>
      <c r="W221" s="289" t="n">
        <f aca="false">IF($L221=0,0,$L221*MAX(0,NETWORKDAYS(MAX($H221,ASOF,W$72),MIN(MAX($I221,ASOF),W$72+6),HOLIDAYS)))</f>
        <v>0</v>
      </c>
      <c r="X221" s="289" t="n">
        <f aca="false">IF($L221=0,0,$L221*MAX(0,NETWORKDAYS(MAX($H221,ASOF,X$72),MIN(MAX($I221,ASOF),X$72+6),HOLIDAYS)))</f>
        <v>0</v>
      </c>
      <c r="Y221" s="289" t="n">
        <f aca="false">IF($L221=0,0,$L221*MAX(0,NETWORKDAYS(MAX($H221,ASOF,Y$72),MIN(MAX($I221,ASOF),Y$72+6),HOLIDAYS)))</f>
        <v>0</v>
      </c>
      <c r="Z221" s="289" t="n">
        <f aca="false">IF($L221=0,0,$L221*MAX(0,NETWORKDAYS(MAX($H221,ASOF,Z$72),MIN(MAX($I221,ASOF),Z$72+6),HOLIDAYS)))</f>
        <v>0</v>
      </c>
      <c r="AA221" s="289" t="n">
        <f aca="false">IF($L221=0,0,$L221*MAX(0,NETWORKDAYS(MAX($H221,ASOF,AA$72),MIN(MAX($I221,ASOF),AA$72+6),HOLIDAYS)))</f>
        <v>0</v>
      </c>
      <c r="AB221" s="289" t="n">
        <f aca="false">IF($L221=0,0,$L221*MAX(0,NETWORKDAYS(MAX($H221,ASOF,AB$72),MIN(MAX($I221,ASOF),AB$72+6),HOLIDAYS)))</f>
        <v>0</v>
      </c>
      <c r="AC221" s="289" t="n">
        <f aca="false">IF($L221=0,0,$L221*MAX(0,NETWORKDAYS(MAX($H221,ASOF,AC$72),MIN(MAX($I221,ASOF),AC$72+6),HOLIDAYS)))</f>
        <v>0</v>
      </c>
      <c r="AD221" s="289" t="n">
        <f aca="false">IF($L221=0,0,$L221*MAX(0,NETWORKDAYS(MAX($H221,ASOF,AD$72),MIN(MAX($I221,ASOF),AD$72+6),HOLIDAYS)))</f>
        <v>0</v>
      </c>
      <c r="AE221" s="289" t="n">
        <f aca="false">IF($L221=0,0,$L221*MAX(0,NETWORKDAYS(MAX($H221,ASOF,AE$72),MIN(MAX($I221,ASOF),AE$72+6),HOLIDAYS)))</f>
        <v>0</v>
      </c>
      <c r="AF221" s="289" t="n">
        <f aca="false">IF($L221=0,0,$L221*MAX(0,NETWORKDAYS(MAX($H221,ASOF,AF$72),MIN(MAX($I221,ASOF),AF$72+6),HOLIDAYS)))</f>
        <v>0</v>
      </c>
      <c r="AG221" s="289" t="n">
        <f aca="false">IF($L221=0,0,$L221*MAX(0,NETWORKDAYS(MAX($H221,ASOF,AG$72),MIN(MAX($I221,ASOF),AG$72+6),HOLIDAYS)))</f>
        <v>0</v>
      </c>
      <c r="AH221" s="289" t="n">
        <f aca="false">IF($L221=0,0,$L221*MAX(0,NETWORKDAYS(MAX($H221,ASOF,AH$72),MIN(MAX($I221,ASOF),AH$72+6),HOLIDAYS)))</f>
        <v>0</v>
      </c>
      <c r="AI221" s="289" t="n">
        <f aca="false">IF($L221=0,0,$L221*MAX(0,NETWORKDAYS(MAX($H221,ASOF,AI$72),MIN(MAX($I221,ASOF),AI$72+6),HOLIDAYS)))</f>
        <v>0</v>
      </c>
      <c r="AJ221" s="289" t="n">
        <f aca="false">IF($L221=0,0,$L221*MAX(0,NETWORKDAYS(MAX($H221,ASOF,AJ$72),MIN(MAX($I221,ASOF),AJ$72+6),HOLIDAYS)))</f>
        <v>0</v>
      </c>
      <c r="AK221" s="289" t="n">
        <f aca="false">IF($L221=0,0,$L221*MAX(0,NETWORKDAYS(MAX($H221,ASOF,AK$72),MIN(MAX($I221,ASOF),AK$72+6),HOLIDAYS)))</f>
        <v>0</v>
      </c>
      <c r="AL221" s="289" t="n">
        <f aca="false">IF($L221=0,0,$L221*MAX(0,NETWORKDAYS(MAX($H221,ASOF,AL$72),MIN(MAX($I221,ASOF),AL$72+6),HOLIDAYS)))</f>
        <v>0</v>
      </c>
      <c r="AM221" s="289" t="n">
        <f aca="false">IF($L221=0,0,$L221*MAX(0,NETWORKDAYS(MAX($H221,ASOF,AM$72),MIN(MAX($I221,ASOF),AM$72+6),HOLIDAYS)))</f>
        <v>0</v>
      </c>
      <c r="AN221" s="289" t="n">
        <f aca="false">IF($L221=0,0,$L221*MAX(0,NETWORKDAYS(MAX($H221,ASOF,AN$72),MIN(MAX($I221,ASOF),AN$72+6),HOLIDAYS)))</f>
        <v>0</v>
      </c>
      <c r="AO221" s="289" t="n">
        <f aca="false">IF($L221=0,0,$L221*MAX(0,NETWORKDAYS(MAX($H221,ASOF,AO$72),MIN(MAX($I221,ASOF),AO$72+6),HOLIDAYS)))</f>
        <v>0</v>
      </c>
      <c r="AP221" s="289" t="n">
        <f aca="false">IF($L221=0,0,$L221*MAX(0,NETWORKDAYS(MAX($H221,ASOF,AP$72),MIN(MAX($I221,ASOF),AP$72+6),HOLIDAYS)))</f>
        <v>0</v>
      </c>
      <c r="AQ221" s="289" t="n">
        <f aca="false">IF($L221=0,0,$L221*MAX(0,NETWORKDAYS(MAX($H221,ASOF,AQ$72),MIN(MAX($I221,ASOF),AQ$72+6),HOLIDAYS)))</f>
        <v>0</v>
      </c>
      <c r="AR221" s="289" t="n">
        <f aca="false">IF($L221=0,0,$L221*MAX(0,NETWORKDAYS(MAX($H221,ASOF,AR$72),MIN(MAX($I221,ASOF),AR$72+6),HOLIDAYS)))</f>
        <v>0</v>
      </c>
    </row>
    <row r="222" customFormat="false" ht="15" hidden="false" customHeight="false" outlineLevel="1" collapsed="false">
      <c r="A222" s="282" t="s">
        <v>90</v>
      </c>
      <c r="B222" s="283" t="s">
        <v>92</v>
      </c>
      <c r="C222" s="284" t="s">
        <v>2364</v>
      </c>
      <c r="D222" s="284" t="s">
        <v>2284</v>
      </c>
      <c r="E222" s="285" t="n">
        <f aca="false">IFERROR(INDEX(INVS_N,MATCH("P9-013",INVS_ID,0)),1)</f>
        <v>1</v>
      </c>
      <c r="F222" s="290" t="s">
        <v>2365</v>
      </c>
      <c r="G222" s="285" t="n">
        <f aca="false">$F$10*(E222/$G$10+$H$10)</f>
        <v>3</v>
      </c>
      <c r="H222" s="286" t="n">
        <f aca="false">IF(ISNUMBER('P9-013'!$N$85),'P9-013'!$N$85,"")</f>
        <v>46343</v>
      </c>
      <c r="I222" s="286" t="n">
        <f aca="false">IF(ISNUMBER('P9-013'!$O$85),'P9-013'!$O$85,"")</f>
        <v>46346</v>
      </c>
      <c r="J222" s="287" t="n">
        <f aca="false">IF(OR(H222="",I222="",N222&gt;=1),0,MAX(1,NETWORKDAYS(MAX(H222,ASOF),MAX(I222,ASOF),HOLIDAYS)))</f>
        <v>4</v>
      </c>
      <c r="K222" s="287" t="n">
        <f aca="false">IF(L222=0,0,ROUNDUP(L222/$F$10,0))</f>
        <v>1</v>
      </c>
      <c r="L222" s="285" t="n">
        <f aca="false">IF(J222=0,0,G222*(1-N222)/J222)</f>
        <v>0.75</v>
      </c>
      <c r="M222" s="283" t="s">
        <v>2293</v>
      </c>
      <c r="N222" s="288" t="n">
        <f aca="false">IFERROR(MIN(1,'P9-013'!$V$85)+0,0)</f>
        <v>0</v>
      </c>
      <c r="O222" s="289" t="n">
        <f aca="false">IF($L222=0,0,$L222*MAX(0,NETWORKDAYS(MAX($H222,ASOF,O$72),MIN(MAX($I222,ASOF),O$72+6),HOLIDAYS)))</f>
        <v>0</v>
      </c>
      <c r="P222" s="289" t="n">
        <f aca="false">IF($L222=0,0,$L222*MAX(0,NETWORKDAYS(MAX($H222,ASOF,P$72),MIN(MAX($I222,ASOF),P$72+6),HOLIDAYS)))</f>
        <v>0</v>
      </c>
      <c r="Q222" s="289" t="n">
        <f aca="false">IF($L222=0,0,$L222*MAX(0,NETWORKDAYS(MAX($H222,ASOF,Q$72),MIN(MAX($I222,ASOF),Q$72+6),HOLIDAYS)))</f>
        <v>3</v>
      </c>
      <c r="R222" s="289" t="n">
        <f aca="false">IF($L222=0,0,$L222*MAX(0,NETWORKDAYS(MAX($H222,ASOF,R$72),MIN(MAX($I222,ASOF),R$72+6),HOLIDAYS)))</f>
        <v>0</v>
      </c>
      <c r="S222" s="289" t="n">
        <f aca="false">IF($L222=0,0,$L222*MAX(0,NETWORKDAYS(MAX($H222,ASOF,S$72),MIN(MAX($I222,ASOF),S$72+6),HOLIDAYS)))</f>
        <v>0</v>
      </c>
      <c r="T222" s="289" t="n">
        <f aca="false">IF($L222=0,0,$L222*MAX(0,NETWORKDAYS(MAX($H222,ASOF,T$72),MIN(MAX($I222,ASOF),T$72+6),HOLIDAYS)))</f>
        <v>0</v>
      </c>
      <c r="U222" s="289" t="n">
        <f aca="false">IF($L222=0,0,$L222*MAX(0,NETWORKDAYS(MAX($H222,ASOF,U$72),MIN(MAX($I222,ASOF),U$72+6),HOLIDAYS)))</f>
        <v>0</v>
      </c>
      <c r="V222" s="289" t="n">
        <f aca="false">IF($L222=0,0,$L222*MAX(0,NETWORKDAYS(MAX($H222,ASOF,V$72),MIN(MAX($I222,ASOF),V$72+6),HOLIDAYS)))</f>
        <v>0</v>
      </c>
      <c r="W222" s="289" t="n">
        <f aca="false">IF($L222=0,0,$L222*MAX(0,NETWORKDAYS(MAX($H222,ASOF,W$72),MIN(MAX($I222,ASOF),W$72+6),HOLIDAYS)))</f>
        <v>0</v>
      </c>
      <c r="X222" s="289" t="n">
        <f aca="false">IF($L222=0,0,$L222*MAX(0,NETWORKDAYS(MAX($H222,ASOF,X$72),MIN(MAX($I222,ASOF),X$72+6),HOLIDAYS)))</f>
        <v>0</v>
      </c>
      <c r="Y222" s="289" t="n">
        <f aca="false">IF($L222=0,0,$L222*MAX(0,NETWORKDAYS(MAX($H222,ASOF,Y$72),MIN(MAX($I222,ASOF),Y$72+6),HOLIDAYS)))</f>
        <v>0</v>
      </c>
      <c r="Z222" s="289" t="n">
        <f aca="false">IF($L222=0,0,$L222*MAX(0,NETWORKDAYS(MAX($H222,ASOF,Z$72),MIN(MAX($I222,ASOF),Z$72+6),HOLIDAYS)))</f>
        <v>0</v>
      </c>
      <c r="AA222" s="289" t="n">
        <f aca="false">IF($L222=0,0,$L222*MAX(0,NETWORKDAYS(MAX($H222,ASOF,AA$72),MIN(MAX($I222,ASOF),AA$72+6),HOLIDAYS)))</f>
        <v>0</v>
      </c>
      <c r="AB222" s="289" t="n">
        <f aca="false">IF($L222=0,0,$L222*MAX(0,NETWORKDAYS(MAX($H222,ASOF,AB$72),MIN(MAX($I222,ASOF),AB$72+6),HOLIDAYS)))</f>
        <v>0</v>
      </c>
      <c r="AC222" s="289" t="n">
        <f aca="false">IF($L222=0,0,$L222*MAX(0,NETWORKDAYS(MAX($H222,ASOF,AC$72),MIN(MAX($I222,ASOF),AC$72+6),HOLIDAYS)))</f>
        <v>0</v>
      </c>
      <c r="AD222" s="289" t="n">
        <f aca="false">IF($L222=0,0,$L222*MAX(0,NETWORKDAYS(MAX($H222,ASOF,AD$72),MIN(MAX($I222,ASOF),AD$72+6),HOLIDAYS)))</f>
        <v>0</v>
      </c>
      <c r="AE222" s="289" t="n">
        <f aca="false">IF($L222=0,0,$L222*MAX(0,NETWORKDAYS(MAX($H222,ASOF,AE$72),MIN(MAX($I222,ASOF),AE$72+6),HOLIDAYS)))</f>
        <v>0</v>
      </c>
      <c r="AF222" s="289" t="n">
        <f aca="false">IF($L222=0,0,$L222*MAX(0,NETWORKDAYS(MAX($H222,ASOF,AF$72),MIN(MAX($I222,ASOF),AF$72+6),HOLIDAYS)))</f>
        <v>0</v>
      </c>
      <c r="AG222" s="289" t="n">
        <f aca="false">IF($L222=0,0,$L222*MAX(0,NETWORKDAYS(MAX($H222,ASOF,AG$72),MIN(MAX($I222,ASOF),AG$72+6),HOLIDAYS)))</f>
        <v>0</v>
      </c>
      <c r="AH222" s="289" t="n">
        <f aca="false">IF($L222=0,0,$L222*MAX(0,NETWORKDAYS(MAX($H222,ASOF,AH$72),MIN(MAX($I222,ASOF),AH$72+6),HOLIDAYS)))</f>
        <v>0</v>
      </c>
      <c r="AI222" s="289" t="n">
        <f aca="false">IF($L222=0,0,$L222*MAX(0,NETWORKDAYS(MAX($H222,ASOF,AI$72),MIN(MAX($I222,ASOF),AI$72+6),HOLIDAYS)))</f>
        <v>0</v>
      </c>
      <c r="AJ222" s="289" t="n">
        <f aca="false">IF($L222=0,0,$L222*MAX(0,NETWORKDAYS(MAX($H222,ASOF,AJ$72),MIN(MAX($I222,ASOF),AJ$72+6),HOLIDAYS)))</f>
        <v>0</v>
      </c>
      <c r="AK222" s="289" t="n">
        <f aca="false">IF($L222=0,0,$L222*MAX(0,NETWORKDAYS(MAX($H222,ASOF,AK$72),MIN(MAX($I222,ASOF),AK$72+6),HOLIDAYS)))</f>
        <v>0</v>
      </c>
      <c r="AL222" s="289" t="n">
        <f aca="false">IF($L222=0,0,$L222*MAX(0,NETWORKDAYS(MAX($H222,ASOF,AL$72),MIN(MAX($I222,ASOF),AL$72+6),HOLIDAYS)))</f>
        <v>0</v>
      </c>
      <c r="AM222" s="289" t="n">
        <f aca="false">IF($L222=0,0,$L222*MAX(0,NETWORKDAYS(MAX($H222,ASOF,AM$72),MIN(MAX($I222,ASOF),AM$72+6),HOLIDAYS)))</f>
        <v>0</v>
      </c>
      <c r="AN222" s="289" t="n">
        <f aca="false">IF($L222=0,0,$L222*MAX(0,NETWORKDAYS(MAX($H222,ASOF,AN$72),MIN(MAX($I222,ASOF),AN$72+6),HOLIDAYS)))</f>
        <v>0</v>
      </c>
      <c r="AO222" s="289" t="n">
        <f aca="false">IF($L222=0,0,$L222*MAX(0,NETWORKDAYS(MAX($H222,ASOF,AO$72),MIN(MAX($I222,ASOF),AO$72+6),HOLIDAYS)))</f>
        <v>0</v>
      </c>
      <c r="AP222" s="289" t="n">
        <f aca="false">IF($L222=0,0,$L222*MAX(0,NETWORKDAYS(MAX($H222,ASOF,AP$72),MIN(MAX($I222,ASOF),AP$72+6),HOLIDAYS)))</f>
        <v>0</v>
      </c>
      <c r="AQ222" s="289" t="n">
        <f aca="false">IF($L222=0,0,$L222*MAX(0,NETWORKDAYS(MAX($H222,ASOF,AQ$72),MIN(MAX($I222,ASOF),AQ$72+6),HOLIDAYS)))</f>
        <v>0</v>
      </c>
      <c r="AR222" s="289" t="n">
        <f aca="false">IF($L222=0,0,$L222*MAX(0,NETWORKDAYS(MAX($H222,ASOF,AR$72),MIN(MAX($I222,ASOF),AR$72+6),HOLIDAYS)))</f>
        <v>0</v>
      </c>
    </row>
    <row r="223" customFormat="false" ht="15" hidden="false" customHeight="false" outlineLevel="1" collapsed="false">
      <c r="A223" s="282" t="s">
        <v>90</v>
      </c>
      <c r="B223" s="283" t="s">
        <v>92</v>
      </c>
      <c r="C223" s="284" t="s">
        <v>2366</v>
      </c>
      <c r="D223" s="284" t="s">
        <v>2284</v>
      </c>
      <c r="E223" s="285" t="n">
        <v>1</v>
      </c>
      <c r="F223" s="290" t="s">
        <v>35</v>
      </c>
      <c r="G223" s="285" t="n">
        <f aca="false">$F$11*$H$11</f>
        <v>16</v>
      </c>
      <c r="H223" s="286" t="n">
        <f aca="false">IF(ISNUMBER('P9-013'!$N$90),'P9-013'!$N$90,"")</f>
        <v>46344</v>
      </c>
      <c r="I223" s="286" t="n">
        <f aca="false">IF(ISNUMBER('P9-013'!$O$90),'P9-013'!$O$90,"")</f>
        <v>46347</v>
      </c>
      <c r="J223" s="287" t="n">
        <f aca="false">IF(OR(H223="",I223="",N223&gt;=1),0,MAX(1,NETWORKDAYS(MAX(H223,ASOF),MAX(I223,ASOF),HOLIDAYS)))</f>
        <v>3</v>
      </c>
      <c r="K223" s="287" t="n">
        <f aca="false">IF(L223=0,0,ROUNDUP(L223/$F$11,0))</f>
        <v>2</v>
      </c>
      <c r="L223" s="285" t="n">
        <f aca="false">IF(J223=0,0,G223*(1-N223)/J223)</f>
        <v>5.33333333333333</v>
      </c>
      <c r="M223" s="283" t="s">
        <v>1113</v>
      </c>
      <c r="N223" s="288" t="n">
        <f aca="false">IFERROR(MIN(1,'P9-013'!$V$90)+0,0)</f>
        <v>0</v>
      </c>
      <c r="O223" s="289" t="n">
        <f aca="false">IF($L223=0,0,$L223*MAX(0,NETWORKDAYS(MAX($H223,ASOF,O$72),MIN(MAX($I223,ASOF),O$72+6),HOLIDAYS)))</f>
        <v>0</v>
      </c>
      <c r="P223" s="289" t="n">
        <f aca="false">IF($L223=0,0,$L223*MAX(0,NETWORKDAYS(MAX($H223,ASOF,P$72),MIN(MAX($I223,ASOF),P$72+6),HOLIDAYS)))</f>
        <v>0</v>
      </c>
      <c r="Q223" s="289" t="n">
        <f aca="false">IF($L223=0,0,$L223*MAX(0,NETWORKDAYS(MAX($H223,ASOF,Q$72),MIN(MAX($I223,ASOF),Q$72+6),HOLIDAYS)))</f>
        <v>16</v>
      </c>
      <c r="R223" s="289" t="n">
        <f aca="false">IF($L223=0,0,$L223*MAX(0,NETWORKDAYS(MAX($H223,ASOF,R$72),MIN(MAX($I223,ASOF),R$72+6),HOLIDAYS)))</f>
        <v>0</v>
      </c>
      <c r="S223" s="289" t="n">
        <f aca="false">IF($L223=0,0,$L223*MAX(0,NETWORKDAYS(MAX($H223,ASOF,S$72),MIN(MAX($I223,ASOF),S$72+6),HOLIDAYS)))</f>
        <v>0</v>
      </c>
      <c r="T223" s="289" t="n">
        <f aca="false">IF($L223=0,0,$L223*MAX(0,NETWORKDAYS(MAX($H223,ASOF,T$72),MIN(MAX($I223,ASOF),T$72+6),HOLIDAYS)))</f>
        <v>0</v>
      </c>
      <c r="U223" s="289" t="n">
        <f aca="false">IF($L223=0,0,$L223*MAX(0,NETWORKDAYS(MAX($H223,ASOF,U$72),MIN(MAX($I223,ASOF),U$72+6),HOLIDAYS)))</f>
        <v>0</v>
      </c>
      <c r="V223" s="289" t="n">
        <f aca="false">IF($L223=0,0,$L223*MAX(0,NETWORKDAYS(MAX($H223,ASOF,V$72),MIN(MAX($I223,ASOF),V$72+6),HOLIDAYS)))</f>
        <v>0</v>
      </c>
      <c r="W223" s="289" t="n">
        <f aca="false">IF($L223=0,0,$L223*MAX(0,NETWORKDAYS(MAX($H223,ASOF,W$72),MIN(MAX($I223,ASOF),W$72+6),HOLIDAYS)))</f>
        <v>0</v>
      </c>
      <c r="X223" s="289" t="n">
        <f aca="false">IF($L223=0,0,$L223*MAX(0,NETWORKDAYS(MAX($H223,ASOF,X$72),MIN(MAX($I223,ASOF),X$72+6),HOLIDAYS)))</f>
        <v>0</v>
      </c>
      <c r="Y223" s="289" t="n">
        <f aca="false">IF($L223=0,0,$L223*MAX(0,NETWORKDAYS(MAX($H223,ASOF,Y$72),MIN(MAX($I223,ASOF),Y$72+6),HOLIDAYS)))</f>
        <v>0</v>
      </c>
      <c r="Z223" s="289" t="n">
        <f aca="false">IF($L223=0,0,$L223*MAX(0,NETWORKDAYS(MAX($H223,ASOF,Z$72),MIN(MAX($I223,ASOF),Z$72+6),HOLIDAYS)))</f>
        <v>0</v>
      </c>
      <c r="AA223" s="289" t="n">
        <f aca="false">IF($L223=0,0,$L223*MAX(0,NETWORKDAYS(MAX($H223,ASOF,AA$72),MIN(MAX($I223,ASOF),AA$72+6),HOLIDAYS)))</f>
        <v>0</v>
      </c>
      <c r="AB223" s="289" t="n">
        <f aca="false">IF($L223=0,0,$L223*MAX(0,NETWORKDAYS(MAX($H223,ASOF,AB$72),MIN(MAX($I223,ASOF),AB$72+6),HOLIDAYS)))</f>
        <v>0</v>
      </c>
      <c r="AC223" s="289" t="n">
        <f aca="false">IF($L223=0,0,$L223*MAX(0,NETWORKDAYS(MAX($H223,ASOF,AC$72),MIN(MAX($I223,ASOF),AC$72+6),HOLIDAYS)))</f>
        <v>0</v>
      </c>
      <c r="AD223" s="289" t="n">
        <f aca="false">IF($L223=0,0,$L223*MAX(0,NETWORKDAYS(MAX($H223,ASOF,AD$72),MIN(MAX($I223,ASOF),AD$72+6),HOLIDAYS)))</f>
        <v>0</v>
      </c>
      <c r="AE223" s="289" t="n">
        <f aca="false">IF($L223=0,0,$L223*MAX(0,NETWORKDAYS(MAX($H223,ASOF,AE$72),MIN(MAX($I223,ASOF),AE$72+6),HOLIDAYS)))</f>
        <v>0</v>
      </c>
      <c r="AF223" s="289" t="n">
        <f aca="false">IF($L223=0,0,$L223*MAX(0,NETWORKDAYS(MAX($H223,ASOF,AF$72),MIN(MAX($I223,ASOF),AF$72+6),HOLIDAYS)))</f>
        <v>0</v>
      </c>
      <c r="AG223" s="289" t="n">
        <f aca="false">IF($L223=0,0,$L223*MAX(0,NETWORKDAYS(MAX($H223,ASOF,AG$72),MIN(MAX($I223,ASOF),AG$72+6),HOLIDAYS)))</f>
        <v>0</v>
      </c>
      <c r="AH223" s="289" t="n">
        <f aca="false">IF($L223=0,0,$L223*MAX(0,NETWORKDAYS(MAX($H223,ASOF,AH$72),MIN(MAX($I223,ASOF),AH$72+6),HOLIDAYS)))</f>
        <v>0</v>
      </c>
      <c r="AI223" s="289" t="n">
        <f aca="false">IF($L223=0,0,$L223*MAX(0,NETWORKDAYS(MAX($H223,ASOF,AI$72),MIN(MAX($I223,ASOF),AI$72+6),HOLIDAYS)))</f>
        <v>0</v>
      </c>
      <c r="AJ223" s="289" t="n">
        <f aca="false">IF($L223=0,0,$L223*MAX(0,NETWORKDAYS(MAX($H223,ASOF,AJ$72),MIN(MAX($I223,ASOF),AJ$72+6),HOLIDAYS)))</f>
        <v>0</v>
      </c>
      <c r="AK223" s="289" t="n">
        <f aca="false">IF($L223=0,0,$L223*MAX(0,NETWORKDAYS(MAX($H223,ASOF,AK$72),MIN(MAX($I223,ASOF),AK$72+6),HOLIDAYS)))</f>
        <v>0</v>
      </c>
      <c r="AL223" s="289" t="n">
        <f aca="false">IF($L223=0,0,$L223*MAX(0,NETWORKDAYS(MAX($H223,ASOF,AL$72),MIN(MAX($I223,ASOF),AL$72+6),HOLIDAYS)))</f>
        <v>0</v>
      </c>
      <c r="AM223" s="289" t="n">
        <f aca="false">IF($L223=0,0,$L223*MAX(0,NETWORKDAYS(MAX($H223,ASOF,AM$72),MIN(MAX($I223,ASOF),AM$72+6),HOLIDAYS)))</f>
        <v>0</v>
      </c>
      <c r="AN223" s="289" t="n">
        <f aca="false">IF($L223=0,0,$L223*MAX(0,NETWORKDAYS(MAX($H223,ASOF,AN$72),MIN(MAX($I223,ASOF),AN$72+6),HOLIDAYS)))</f>
        <v>0</v>
      </c>
      <c r="AO223" s="289" t="n">
        <f aca="false">IF($L223=0,0,$L223*MAX(0,NETWORKDAYS(MAX($H223,ASOF,AO$72),MIN(MAX($I223,ASOF),AO$72+6),HOLIDAYS)))</f>
        <v>0</v>
      </c>
      <c r="AP223" s="289" t="n">
        <f aca="false">IF($L223=0,0,$L223*MAX(0,NETWORKDAYS(MAX($H223,ASOF,AP$72),MIN(MAX($I223,ASOF),AP$72+6),HOLIDAYS)))</f>
        <v>0</v>
      </c>
      <c r="AQ223" s="289" t="n">
        <f aca="false">IF($L223=0,0,$L223*MAX(0,NETWORKDAYS(MAX($H223,ASOF,AQ$72),MIN(MAX($I223,ASOF),AQ$72+6),HOLIDAYS)))</f>
        <v>0</v>
      </c>
      <c r="AR223" s="289" t="n">
        <f aca="false">IF($L223=0,0,$L223*MAX(0,NETWORKDAYS(MAX($H223,ASOF,AR$72),MIN(MAX($I223,ASOF),AR$72+6),HOLIDAYS)))</f>
        <v>0</v>
      </c>
    </row>
    <row r="224" customFormat="false" ht="15" hidden="false" customHeight="false" outlineLevel="1" collapsed="false">
      <c r="A224" s="282" t="s">
        <v>90</v>
      </c>
      <c r="B224" s="283" t="s">
        <v>92</v>
      </c>
      <c r="C224" s="284" t="s">
        <v>2367</v>
      </c>
      <c r="D224" s="284" t="s">
        <v>2284</v>
      </c>
      <c r="E224" s="285" t="n">
        <v>1</v>
      </c>
      <c r="F224" s="290" t="s">
        <v>35</v>
      </c>
      <c r="G224" s="285" t="n">
        <f aca="false">$F$12*$H$12</f>
        <v>4</v>
      </c>
      <c r="H224" s="286" t="n">
        <f aca="false">IF(ISNUMBER('P9-013'!$N$96),'P9-013'!$N$96,"")</f>
        <v>46345</v>
      </c>
      <c r="I224" s="286" t="n">
        <f aca="false">IF(ISNUMBER('P9-013'!$O$96),'P9-013'!$O$96,"")</f>
        <v>46347</v>
      </c>
      <c r="J224" s="287" t="n">
        <f aca="false">IF(OR(H224="",I224="",N224&gt;=1),0,MAX(1,NETWORKDAYS(MAX(H224,ASOF),MAX(I224,ASOF),HOLIDAYS)))</f>
        <v>2</v>
      </c>
      <c r="K224" s="287" t="n">
        <f aca="false">IF(L224=0,0,ROUNDUP(L224/$F$12,0))</f>
        <v>1</v>
      </c>
      <c r="L224" s="285" t="n">
        <f aca="false">IF(J224=0,0,G224*(1-N224)/J224)</f>
        <v>2</v>
      </c>
      <c r="M224" s="283" t="s">
        <v>1147</v>
      </c>
      <c r="N224" s="288" t="n">
        <f aca="false">IFERROR(MIN(1,'P9-013'!$V$96)+0,0)</f>
        <v>0</v>
      </c>
      <c r="O224" s="289" t="n">
        <f aca="false">IF($L224=0,0,$L224*MAX(0,NETWORKDAYS(MAX($H224,ASOF,O$72),MIN(MAX($I224,ASOF),O$72+6),HOLIDAYS)))</f>
        <v>0</v>
      </c>
      <c r="P224" s="289" t="n">
        <f aca="false">IF($L224=0,0,$L224*MAX(0,NETWORKDAYS(MAX($H224,ASOF,P$72),MIN(MAX($I224,ASOF),P$72+6),HOLIDAYS)))</f>
        <v>0</v>
      </c>
      <c r="Q224" s="289" t="n">
        <f aca="false">IF($L224=0,0,$L224*MAX(0,NETWORKDAYS(MAX($H224,ASOF,Q$72),MIN(MAX($I224,ASOF),Q$72+6),HOLIDAYS)))</f>
        <v>4</v>
      </c>
      <c r="R224" s="289" t="n">
        <f aca="false">IF($L224=0,0,$L224*MAX(0,NETWORKDAYS(MAX($H224,ASOF,R$72),MIN(MAX($I224,ASOF),R$72+6),HOLIDAYS)))</f>
        <v>0</v>
      </c>
      <c r="S224" s="289" t="n">
        <f aca="false">IF($L224=0,0,$L224*MAX(0,NETWORKDAYS(MAX($H224,ASOF,S$72),MIN(MAX($I224,ASOF),S$72+6),HOLIDAYS)))</f>
        <v>0</v>
      </c>
      <c r="T224" s="289" t="n">
        <f aca="false">IF($L224=0,0,$L224*MAX(0,NETWORKDAYS(MAX($H224,ASOF,T$72),MIN(MAX($I224,ASOF),T$72+6),HOLIDAYS)))</f>
        <v>0</v>
      </c>
      <c r="U224" s="289" t="n">
        <f aca="false">IF($L224=0,0,$L224*MAX(0,NETWORKDAYS(MAX($H224,ASOF,U$72),MIN(MAX($I224,ASOF),U$72+6),HOLIDAYS)))</f>
        <v>0</v>
      </c>
      <c r="V224" s="289" t="n">
        <f aca="false">IF($L224=0,0,$L224*MAX(0,NETWORKDAYS(MAX($H224,ASOF,V$72),MIN(MAX($I224,ASOF),V$72+6),HOLIDAYS)))</f>
        <v>0</v>
      </c>
      <c r="W224" s="289" t="n">
        <f aca="false">IF($L224=0,0,$L224*MAX(0,NETWORKDAYS(MAX($H224,ASOF,W$72),MIN(MAX($I224,ASOF),W$72+6),HOLIDAYS)))</f>
        <v>0</v>
      </c>
      <c r="X224" s="289" t="n">
        <f aca="false">IF($L224=0,0,$L224*MAX(0,NETWORKDAYS(MAX($H224,ASOF,X$72),MIN(MAX($I224,ASOF),X$72+6),HOLIDAYS)))</f>
        <v>0</v>
      </c>
      <c r="Y224" s="289" t="n">
        <f aca="false">IF($L224=0,0,$L224*MAX(0,NETWORKDAYS(MAX($H224,ASOF,Y$72),MIN(MAX($I224,ASOF),Y$72+6),HOLIDAYS)))</f>
        <v>0</v>
      </c>
      <c r="Z224" s="289" t="n">
        <f aca="false">IF($L224=0,0,$L224*MAX(0,NETWORKDAYS(MAX($H224,ASOF,Z$72),MIN(MAX($I224,ASOF),Z$72+6),HOLIDAYS)))</f>
        <v>0</v>
      </c>
      <c r="AA224" s="289" t="n">
        <f aca="false">IF($L224=0,0,$L224*MAX(0,NETWORKDAYS(MAX($H224,ASOF,AA$72),MIN(MAX($I224,ASOF),AA$72+6),HOLIDAYS)))</f>
        <v>0</v>
      </c>
      <c r="AB224" s="289" t="n">
        <f aca="false">IF($L224=0,0,$L224*MAX(0,NETWORKDAYS(MAX($H224,ASOF,AB$72),MIN(MAX($I224,ASOF),AB$72+6),HOLIDAYS)))</f>
        <v>0</v>
      </c>
      <c r="AC224" s="289" t="n">
        <f aca="false">IF($L224=0,0,$L224*MAX(0,NETWORKDAYS(MAX($H224,ASOF,AC$72),MIN(MAX($I224,ASOF),AC$72+6),HOLIDAYS)))</f>
        <v>0</v>
      </c>
      <c r="AD224" s="289" t="n">
        <f aca="false">IF($L224=0,0,$L224*MAX(0,NETWORKDAYS(MAX($H224,ASOF,AD$72),MIN(MAX($I224,ASOF),AD$72+6),HOLIDAYS)))</f>
        <v>0</v>
      </c>
      <c r="AE224" s="289" t="n">
        <f aca="false">IF($L224=0,0,$L224*MAX(0,NETWORKDAYS(MAX($H224,ASOF,AE$72),MIN(MAX($I224,ASOF),AE$72+6),HOLIDAYS)))</f>
        <v>0</v>
      </c>
      <c r="AF224" s="289" t="n">
        <f aca="false">IF($L224=0,0,$L224*MAX(0,NETWORKDAYS(MAX($H224,ASOF,AF$72),MIN(MAX($I224,ASOF),AF$72+6),HOLIDAYS)))</f>
        <v>0</v>
      </c>
      <c r="AG224" s="289" t="n">
        <f aca="false">IF($L224=0,0,$L224*MAX(0,NETWORKDAYS(MAX($H224,ASOF,AG$72),MIN(MAX($I224,ASOF),AG$72+6),HOLIDAYS)))</f>
        <v>0</v>
      </c>
      <c r="AH224" s="289" t="n">
        <f aca="false">IF($L224=0,0,$L224*MAX(0,NETWORKDAYS(MAX($H224,ASOF,AH$72),MIN(MAX($I224,ASOF),AH$72+6),HOLIDAYS)))</f>
        <v>0</v>
      </c>
      <c r="AI224" s="289" t="n">
        <f aca="false">IF($L224=0,0,$L224*MAX(0,NETWORKDAYS(MAX($H224,ASOF,AI$72),MIN(MAX($I224,ASOF),AI$72+6),HOLIDAYS)))</f>
        <v>0</v>
      </c>
      <c r="AJ224" s="289" t="n">
        <f aca="false">IF($L224=0,0,$L224*MAX(0,NETWORKDAYS(MAX($H224,ASOF,AJ$72),MIN(MAX($I224,ASOF),AJ$72+6),HOLIDAYS)))</f>
        <v>0</v>
      </c>
      <c r="AK224" s="289" t="n">
        <f aca="false">IF($L224=0,0,$L224*MAX(0,NETWORKDAYS(MAX($H224,ASOF,AK$72),MIN(MAX($I224,ASOF),AK$72+6),HOLIDAYS)))</f>
        <v>0</v>
      </c>
      <c r="AL224" s="289" t="n">
        <f aca="false">IF($L224=0,0,$L224*MAX(0,NETWORKDAYS(MAX($H224,ASOF,AL$72),MIN(MAX($I224,ASOF),AL$72+6),HOLIDAYS)))</f>
        <v>0</v>
      </c>
      <c r="AM224" s="289" t="n">
        <f aca="false">IF($L224=0,0,$L224*MAX(0,NETWORKDAYS(MAX($H224,ASOF,AM$72),MIN(MAX($I224,ASOF),AM$72+6),HOLIDAYS)))</f>
        <v>0</v>
      </c>
      <c r="AN224" s="289" t="n">
        <f aca="false">IF($L224=0,0,$L224*MAX(0,NETWORKDAYS(MAX($H224,ASOF,AN$72),MIN(MAX($I224,ASOF),AN$72+6),HOLIDAYS)))</f>
        <v>0</v>
      </c>
      <c r="AO224" s="289" t="n">
        <f aca="false">IF($L224=0,0,$L224*MAX(0,NETWORKDAYS(MAX($H224,ASOF,AO$72),MIN(MAX($I224,ASOF),AO$72+6),HOLIDAYS)))</f>
        <v>0</v>
      </c>
      <c r="AP224" s="289" t="n">
        <f aca="false">IF($L224=0,0,$L224*MAX(0,NETWORKDAYS(MAX($H224,ASOF,AP$72),MIN(MAX($I224,ASOF),AP$72+6),HOLIDAYS)))</f>
        <v>0</v>
      </c>
      <c r="AQ224" s="289" t="n">
        <f aca="false">IF($L224=0,0,$L224*MAX(0,NETWORKDAYS(MAX($H224,ASOF,AQ$72),MIN(MAX($I224,ASOF),AQ$72+6),HOLIDAYS)))</f>
        <v>0</v>
      </c>
      <c r="AR224" s="289" t="n">
        <f aca="false">IF($L224=0,0,$L224*MAX(0,NETWORKDAYS(MAX($H224,ASOF,AR$72),MIN(MAX($I224,ASOF),AR$72+6),HOLIDAYS)))</f>
        <v>0</v>
      </c>
    </row>
    <row r="225" customFormat="false" ht="15" hidden="false" customHeight="false" outlineLevel="1" collapsed="false">
      <c r="A225" s="282" t="s">
        <v>90</v>
      </c>
      <c r="B225" s="283" t="s">
        <v>92</v>
      </c>
      <c r="C225" s="284" t="s">
        <v>2368</v>
      </c>
      <c r="D225" s="284" t="s">
        <v>2301</v>
      </c>
      <c r="E225" s="285" t="n">
        <v>1</v>
      </c>
      <c r="F225" s="290" t="s">
        <v>35</v>
      </c>
      <c r="G225" s="285" t="n">
        <f aca="false">$F$13*$H$13</f>
        <v>12</v>
      </c>
      <c r="H225" s="286" t="n">
        <f aca="false">IF(ISNUMBER('P9-013'!$N$100),'P9-013'!$N$100,"")</f>
        <v>46346</v>
      </c>
      <c r="I225" s="286" t="n">
        <f aca="false">IF(ISNUMBER('P9-013'!$O$100),'P9-013'!$O$100,"")</f>
        <v>46348</v>
      </c>
      <c r="J225" s="287" t="n">
        <f aca="false">IF(OR(H225="",I225="",N225&gt;=1),0,MAX(1,NETWORKDAYS(MAX(H225,ASOF),MAX(I225,ASOF),HOLIDAYS)))</f>
        <v>1</v>
      </c>
      <c r="K225" s="287" t="n">
        <f aca="false">IF(L225=0,0,ROUNDUP(L225/$F$13,0))</f>
        <v>3</v>
      </c>
      <c r="L225" s="285" t="n">
        <f aca="false">IF(J225=0,0,G225*(1-N225)/J225)</f>
        <v>12</v>
      </c>
      <c r="M225" s="283" t="s">
        <v>2299</v>
      </c>
      <c r="N225" s="288" t="n">
        <f aca="false">IFERROR(MIN(1,'P9-013'!$V$100)+0,0)</f>
        <v>0</v>
      </c>
      <c r="O225" s="289" t="n">
        <f aca="false">IF($L225=0,0,$L225*MAX(0,NETWORKDAYS(MAX($H225,ASOF,O$72),MIN(MAX($I225,ASOF),O$72+6),HOLIDAYS)))</f>
        <v>0</v>
      </c>
      <c r="P225" s="289" t="n">
        <f aca="false">IF($L225=0,0,$L225*MAX(0,NETWORKDAYS(MAX($H225,ASOF,P$72),MIN(MAX($I225,ASOF),P$72+6),HOLIDAYS)))</f>
        <v>0</v>
      </c>
      <c r="Q225" s="289" t="n">
        <f aca="false">IF($L225=0,0,$L225*MAX(0,NETWORKDAYS(MAX($H225,ASOF,Q$72),MIN(MAX($I225,ASOF),Q$72+6),HOLIDAYS)))</f>
        <v>12</v>
      </c>
      <c r="R225" s="289" t="n">
        <f aca="false">IF($L225=0,0,$L225*MAX(0,NETWORKDAYS(MAX($H225,ASOF,R$72),MIN(MAX($I225,ASOF),R$72+6),HOLIDAYS)))</f>
        <v>0</v>
      </c>
      <c r="S225" s="289" t="n">
        <f aca="false">IF($L225=0,0,$L225*MAX(0,NETWORKDAYS(MAX($H225,ASOF,S$72),MIN(MAX($I225,ASOF),S$72+6),HOLIDAYS)))</f>
        <v>0</v>
      </c>
      <c r="T225" s="289" t="n">
        <f aca="false">IF($L225=0,0,$L225*MAX(0,NETWORKDAYS(MAX($H225,ASOF,T$72),MIN(MAX($I225,ASOF),T$72+6),HOLIDAYS)))</f>
        <v>0</v>
      </c>
      <c r="U225" s="289" t="n">
        <f aca="false">IF($L225=0,0,$L225*MAX(0,NETWORKDAYS(MAX($H225,ASOF,U$72),MIN(MAX($I225,ASOF),U$72+6),HOLIDAYS)))</f>
        <v>0</v>
      </c>
      <c r="V225" s="289" t="n">
        <f aca="false">IF($L225=0,0,$L225*MAX(0,NETWORKDAYS(MAX($H225,ASOF,V$72),MIN(MAX($I225,ASOF),V$72+6),HOLIDAYS)))</f>
        <v>0</v>
      </c>
      <c r="W225" s="289" t="n">
        <f aca="false">IF($L225=0,0,$L225*MAX(0,NETWORKDAYS(MAX($H225,ASOF,W$72),MIN(MAX($I225,ASOF),W$72+6),HOLIDAYS)))</f>
        <v>0</v>
      </c>
      <c r="X225" s="289" t="n">
        <f aca="false">IF($L225=0,0,$L225*MAX(0,NETWORKDAYS(MAX($H225,ASOF,X$72),MIN(MAX($I225,ASOF),X$72+6),HOLIDAYS)))</f>
        <v>0</v>
      </c>
      <c r="Y225" s="289" t="n">
        <f aca="false">IF($L225=0,0,$L225*MAX(0,NETWORKDAYS(MAX($H225,ASOF,Y$72),MIN(MAX($I225,ASOF),Y$72+6),HOLIDAYS)))</f>
        <v>0</v>
      </c>
      <c r="Z225" s="289" t="n">
        <f aca="false">IF($L225=0,0,$L225*MAX(0,NETWORKDAYS(MAX($H225,ASOF,Z$72),MIN(MAX($I225,ASOF),Z$72+6),HOLIDAYS)))</f>
        <v>0</v>
      </c>
      <c r="AA225" s="289" t="n">
        <f aca="false">IF($L225=0,0,$L225*MAX(0,NETWORKDAYS(MAX($H225,ASOF,AA$72),MIN(MAX($I225,ASOF),AA$72+6),HOLIDAYS)))</f>
        <v>0</v>
      </c>
      <c r="AB225" s="289" t="n">
        <f aca="false">IF($L225=0,0,$L225*MAX(0,NETWORKDAYS(MAX($H225,ASOF,AB$72),MIN(MAX($I225,ASOF),AB$72+6),HOLIDAYS)))</f>
        <v>0</v>
      </c>
      <c r="AC225" s="289" t="n">
        <f aca="false">IF($L225=0,0,$L225*MAX(0,NETWORKDAYS(MAX($H225,ASOF,AC$72),MIN(MAX($I225,ASOF),AC$72+6),HOLIDAYS)))</f>
        <v>0</v>
      </c>
      <c r="AD225" s="289" t="n">
        <f aca="false">IF($L225=0,0,$L225*MAX(0,NETWORKDAYS(MAX($H225,ASOF,AD$72),MIN(MAX($I225,ASOF),AD$72+6),HOLIDAYS)))</f>
        <v>0</v>
      </c>
      <c r="AE225" s="289" t="n">
        <f aca="false">IF($L225=0,0,$L225*MAX(0,NETWORKDAYS(MAX($H225,ASOF,AE$72),MIN(MAX($I225,ASOF),AE$72+6),HOLIDAYS)))</f>
        <v>0</v>
      </c>
      <c r="AF225" s="289" t="n">
        <f aca="false">IF($L225=0,0,$L225*MAX(0,NETWORKDAYS(MAX($H225,ASOF,AF$72),MIN(MAX($I225,ASOF),AF$72+6),HOLIDAYS)))</f>
        <v>0</v>
      </c>
      <c r="AG225" s="289" t="n">
        <f aca="false">IF($L225=0,0,$L225*MAX(0,NETWORKDAYS(MAX($H225,ASOF,AG$72),MIN(MAX($I225,ASOF),AG$72+6),HOLIDAYS)))</f>
        <v>0</v>
      </c>
      <c r="AH225" s="289" t="n">
        <f aca="false">IF($L225=0,0,$L225*MAX(0,NETWORKDAYS(MAX($H225,ASOF,AH$72),MIN(MAX($I225,ASOF),AH$72+6),HOLIDAYS)))</f>
        <v>0</v>
      </c>
      <c r="AI225" s="289" t="n">
        <f aca="false">IF($L225=0,0,$L225*MAX(0,NETWORKDAYS(MAX($H225,ASOF,AI$72),MIN(MAX($I225,ASOF),AI$72+6),HOLIDAYS)))</f>
        <v>0</v>
      </c>
      <c r="AJ225" s="289" t="n">
        <f aca="false">IF($L225=0,0,$L225*MAX(0,NETWORKDAYS(MAX($H225,ASOF,AJ$72),MIN(MAX($I225,ASOF),AJ$72+6),HOLIDAYS)))</f>
        <v>0</v>
      </c>
      <c r="AK225" s="289" t="n">
        <f aca="false">IF($L225=0,0,$L225*MAX(0,NETWORKDAYS(MAX($H225,ASOF,AK$72),MIN(MAX($I225,ASOF),AK$72+6),HOLIDAYS)))</f>
        <v>0</v>
      </c>
      <c r="AL225" s="289" t="n">
        <f aca="false">IF($L225=0,0,$L225*MAX(0,NETWORKDAYS(MAX($H225,ASOF,AL$72),MIN(MAX($I225,ASOF),AL$72+6),HOLIDAYS)))</f>
        <v>0</v>
      </c>
      <c r="AM225" s="289" t="n">
        <f aca="false">IF($L225=0,0,$L225*MAX(0,NETWORKDAYS(MAX($H225,ASOF,AM$72),MIN(MAX($I225,ASOF),AM$72+6),HOLIDAYS)))</f>
        <v>0</v>
      </c>
      <c r="AN225" s="289" t="n">
        <f aca="false">IF($L225=0,0,$L225*MAX(0,NETWORKDAYS(MAX($H225,ASOF,AN$72),MIN(MAX($I225,ASOF),AN$72+6),HOLIDAYS)))</f>
        <v>0</v>
      </c>
      <c r="AO225" s="289" t="n">
        <f aca="false">IF($L225=0,0,$L225*MAX(0,NETWORKDAYS(MAX($H225,ASOF,AO$72),MIN(MAX($I225,ASOF),AO$72+6),HOLIDAYS)))</f>
        <v>0</v>
      </c>
      <c r="AP225" s="289" t="n">
        <f aca="false">IF($L225=0,0,$L225*MAX(0,NETWORKDAYS(MAX($H225,ASOF,AP$72),MIN(MAX($I225,ASOF),AP$72+6),HOLIDAYS)))</f>
        <v>0</v>
      </c>
      <c r="AQ225" s="289" t="n">
        <f aca="false">IF($L225=0,0,$L225*MAX(0,NETWORKDAYS(MAX($H225,ASOF,AQ$72),MIN(MAX($I225,ASOF),AQ$72+6),HOLIDAYS)))</f>
        <v>0</v>
      </c>
      <c r="AR225" s="289" t="n">
        <f aca="false">IF($L225=0,0,$L225*MAX(0,NETWORKDAYS(MAX($H225,ASOF,AR$72),MIN(MAX($I225,ASOF),AR$72+6),HOLIDAYS)))</f>
        <v>0</v>
      </c>
    </row>
    <row r="226" customFormat="false" ht="15" hidden="false" customHeight="false" outlineLevel="1" collapsed="false">
      <c r="A226" s="282" t="s">
        <v>90</v>
      </c>
      <c r="B226" s="283" t="s">
        <v>92</v>
      </c>
      <c r="C226" s="282" t="s">
        <v>1198</v>
      </c>
      <c r="D226" s="284" t="s">
        <v>2284</v>
      </c>
      <c r="E226" s="285" t="n">
        <v>1</v>
      </c>
      <c r="F226" s="290" t="s">
        <v>35</v>
      </c>
      <c r="G226" s="285" t="n">
        <f aca="false">$F$15*$H$15</f>
        <v>2</v>
      </c>
      <c r="H226" s="286" t="n">
        <f aca="false">IF(ISNUMBER('P9-013'!$N$107),'P9-013'!$N$107,"")</f>
        <v>46347</v>
      </c>
      <c r="I226" s="286" t="n">
        <f aca="false">IF(ISNUMBER('P9-013'!$O$107),'P9-013'!$O$107,"")</f>
        <v>46348</v>
      </c>
      <c r="J226" s="287" t="n">
        <f aca="false">IF(OR(H226="",I226="",N226&gt;=1),0,MAX(1,NETWORKDAYS(MAX(H226,ASOF),MAX(I226,ASOF),HOLIDAYS)))</f>
        <v>1</v>
      </c>
      <c r="K226" s="287" t="n">
        <f aca="false">IF(L226=0,0,ROUNDUP(L226/$F$15,0))</f>
        <v>1</v>
      </c>
      <c r="L226" s="285" t="n">
        <f aca="false">IF(J226=0,0,G226*(1-N226)/J226)</f>
        <v>2</v>
      </c>
      <c r="M226" s="283" t="s">
        <v>1192</v>
      </c>
      <c r="N226" s="288" t="n">
        <f aca="false">IFERROR(MIN(1,'P9-013'!$V$107)+0,0)</f>
        <v>0</v>
      </c>
      <c r="O226" s="289" t="n">
        <f aca="false">IF($L226=0,0,$L226*MAX(0,NETWORKDAYS(MAX($H226,ASOF,O$72),MIN(MAX($I226,ASOF),O$72+6),HOLIDAYS)))</f>
        <v>0</v>
      </c>
      <c r="P226" s="289" t="n">
        <f aca="false">IF($L226=0,0,$L226*MAX(0,NETWORKDAYS(MAX($H226,ASOF,P$72),MIN(MAX($I226,ASOF),P$72+6),HOLIDAYS)))</f>
        <v>0</v>
      </c>
      <c r="Q226" s="289" t="n">
        <f aca="false">IF($L226=0,0,$L226*MAX(0,NETWORKDAYS(MAX($H226,ASOF,Q$72),MIN(MAX($I226,ASOF),Q$72+6),HOLIDAYS)))</f>
        <v>0</v>
      </c>
      <c r="R226" s="289" t="n">
        <f aca="false">IF($L226=0,0,$L226*MAX(0,NETWORKDAYS(MAX($H226,ASOF,R$72),MIN(MAX($I226,ASOF),R$72+6),HOLIDAYS)))</f>
        <v>0</v>
      </c>
      <c r="S226" s="289" t="n">
        <f aca="false">IF($L226=0,0,$L226*MAX(0,NETWORKDAYS(MAX($H226,ASOF,S$72),MIN(MAX($I226,ASOF),S$72+6),HOLIDAYS)))</f>
        <v>0</v>
      </c>
      <c r="T226" s="289" t="n">
        <f aca="false">IF($L226=0,0,$L226*MAX(0,NETWORKDAYS(MAX($H226,ASOF,T$72),MIN(MAX($I226,ASOF),T$72+6),HOLIDAYS)))</f>
        <v>0</v>
      </c>
      <c r="U226" s="289" t="n">
        <f aca="false">IF($L226=0,0,$L226*MAX(0,NETWORKDAYS(MAX($H226,ASOF,U$72),MIN(MAX($I226,ASOF),U$72+6),HOLIDAYS)))</f>
        <v>0</v>
      </c>
      <c r="V226" s="289" t="n">
        <f aca="false">IF($L226=0,0,$L226*MAX(0,NETWORKDAYS(MAX($H226,ASOF,V$72),MIN(MAX($I226,ASOF),V$72+6),HOLIDAYS)))</f>
        <v>0</v>
      </c>
      <c r="W226" s="289" t="n">
        <f aca="false">IF($L226=0,0,$L226*MAX(0,NETWORKDAYS(MAX($H226,ASOF,W$72),MIN(MAX($I226,ASOF),W$72+6),HOLIDAYS)))</f>
        <v>0</v>
      </c>
      <c r="X226" s="289" t="n">
        <f aca="false">IF($L226=0,0,$L226*MAX(0,NETWORKDAYS(MAX($H226,ASOF,X$72),MIN(MAX($I226,ASOF),X$72+6),HOLIDAYS)))</f>
        <v>0</v>
      </c>
      <c r="Y226" s="289" t="n">
        <f aca="false">IF($L226=0,0,$L226*MAX(0,NETWORKDAYS(MAX($H226,ASOF,Y$72),MIN(MAX($I226,ASOF),Y$72+6),HOLIDAYS)))</f>
        <v>0</v>
      </c>
      <c r="Z226" s="289" t="n">
        <f aca="false">IF($L226=0,0,$L226*MAX(0,NETWORKDAYS(MAX($H226,ASOF,Z$72),MIN(MAX($I226,ASOF),Z$72+6),HOLIDAYS)))</f>
        <v>0</v>
      </c>
      <c r="AA226" s="289" t="n">
        <f aca="false">IF($L226=0,0,$L226*MAX(0,NETWORKDAYS(MAX($H226,ASOF,AA$72),MIN(MAX($I226,ASOF),AA$72+6),HOLIDAYS)))</f>
        <v>0</v>
      </c>
      <c r="AB226" s="289" t="n">
        <f aca="false">IF($L226=0,0,$L226*MAX(0,NETWORKDAYS(MAX($H226,ASOF,AB$72),MIN(MAX($I226,ASOF),AB$72+6),HOLIDAYS)))</f>
        <v>0</v>
      </c>
      <c r="AC226" s="289" t="n">
        <f aca="false">IF($L226=0,0,$L226*MAX(0,NETWORKDAYS(MAX($H226,ASOF,AC$72),MIN(MAX($I226,ASOF),AC$72+6),HOLIDAYS)))</f>
        <v>0</v>
      </c>
      <c r="AD226" s="289" t="n">
        <f aca="false">IF($L226=0,0,$L226*MAX(0,NETWORKDAYS(MAX($H226,ASOF,AD$72),MIN(MAX($I226,ASOF),AD$72+6),HOLIDAYS)))</f>
        <v>0</v>
      </c>
      <c r="AE226" s="289" t="n">
        <f aca="false">IF($L226=0,0,$L226*MAX(0,NETWORKDAYS(MAX($H226,ASOF,AE$72),MIN(MAX($I226,ASOF),AE$72+6),HOLIDAYS)))</f>
        <v>0</v>
      </c>
      <c r="AF226" s="289" t="n">
        <f aca="false">IF($L226=0,0,$L226*MAX(0,NETWORKDAYS(MAX($H226,ASOF,AF$72),MIN(MAX($I226,ASOF),AF$72+6),HOLIDAYS)))</f>
        <v>0</v>
      </c>
      <c r="AG226" s="289" t="n">
        <f aca="false">IF($L226=0,0,$L226*MAX(0,NETWORKDAYS(MAX($H226,ASOF,AG$72),MIN(MAX($I226,ASOF),AG$72+6),HOLIDAYS)))</f>
        <v>0</v>
      </c>
      <c r="AH226" s="289" t="n">
        <f aca="false">IF($L226=0,0,$L226*MAX(0,NETWORKDAYS(MAX($H226,ASOF,AH$72),MIN(MAX($I226,ASOF),AH$72+6),HOLIDAYS)))</f>
        <v>0</v>
      </c>
      <c r="AI226" s="289" t="n">
        <f aca="false">IF($L226=0,0,$L226*MAX(0,NETWORKDAYS(MAX($H226,ASOF,AI$72),MIN(MAX($I226,ASOF),AI$72+6),HOLIDAYS)))</f>
        <v>0</v>
      </c>
      <c r="AJ226" s="289" t="n">
        <f aca="false">IF($L226=0,0,$L226*MAX(0,NETWORKDAYS(MAX($H226,ASOF,AJ$72),MIN(MAX($I226,ASOF),AJ$72+6),HOLIDAYS)))</f>
        <v>0</v>
      </c>
      <c r="AK226" s="289" t="n">
        <f aca="false">IF($L226=0,0,$L226*MAX(0,NETWORKDAYS(MAX($H226,ASOF,AK$72),MIN(MAX($I226,ASOF),AK$72+6),HOLIDAYS)))</f>
        <v>0</v>
      </c>
      <c r="AL226" s="289" t="n">
        <f aca="false">IF($L226=0,0,$L226*MAX(0,NETWORKDAYS(MAX($H226,ASOF,AL$72),MIN(MAX($I226,ASOF),AL$72+6),HOLIDAYS)))</f>
        <v>0</v>
      </c>
      <c r="AM226" s="289" t="n">
        <f aca="false">IF($L226=0,0,$L226*MAX(0,NETWORKDAYS(MAX($H226,ASOF,AM$72),MIN(MAX($I226,ASOF),AM$72+6),HOLIDAYS)))</f>
        <v>0</v>
      </c>
      <c r="AN226" s="289" t="n">
        <f aca="false">IF($L226=0,0,$L226*MAX(0,NETWORKDAYS(MAX($H226,ASOF,AN$72),MIN(MAX($I226,ASOF),AN$72+6),HOLIDAYS)))</f>
        <v>0</v>
      </c>
      <c r="AO226" s="289" t="n">
        <f aca="false">IF($L226=0,0,$L226*MAX(0,NETWORKDAYS(MAX($H226,ASOF,AO$72),MIN(MAX($I226,ASOF),AO$72+6),HOLIDAYS)))</f>
        <v>0</v>
      </c>
      <c r="AP226" s="289" t="n">
        <f aca="false">IF($L226=0,0,$L226*MAX(0,NETWORKDAYS(MAX($H226,ASOF,AP$72),MIN(MAX($I226,ASOF),AP$72+6),HOLIDAYS)))</f>
        <v>0</v>
      </c>
      <c r="AQ226" s="289" t="n">
        <f aca="false">IF($L226=0,0,$L226*MAX(0,NETWORKDAYS(MAX($H226,ASOF,AQ$72),MIN(MAX($I226,ASOF),AQ$72+6),HOLIDAYS)))</f>
        <v>0</v>
      </c>
      <c r="AR226" s="289" t="n">
        <f aca="false">IF($L226=0,0,$L226*MAX(0,NETWORKDAYS(MAX($H226,ASOF,AR$72),MIN(MAX($I226,ASOF),AR$72+6),HOLIDAYS)))</f>
        <v>0</v>
      </c>
    </row>
    <row r="227" customFormat="false" ht="15" hidden="false" customHeight="false" outlineLevel="1" collapsed="false">
      <c r="A227" s="282" t="s">
        <v>90</v>
      </c>
      <c r="B227" s="283" t="s">
        <v>92</v>
      </c>
      <c r="C227" s="284" t="s">
        <v>2369</v>
      </c>
      <c r="D227" s="284" t="s">
        <v>2308</v>
      </c>
      <c r="E227" s="285" t="n">
        <v>150.48</v>
      </c>
      <c r="F227" s="283" t="s">
        <v>527</v>
      </c>
      <c r="G227" s="285" t="n">
        <f aca="false">$F$16*(E227/$G$16+$H$16)</f>
        <v>10.5144</v>
      </c>
      <c r="H227" s="286" t="n">
        <f aca="false">IF(ISNUMBER('P9-013'!$N$115),'P9-013'!$N$115,"")</f>
        <v>46359</v>
      </c>
      <c r="I227" s="286" t="n">
        <f aca="false">IF(ISNUMBER('P9-013'!$O$115),'P9-013'!$O$115,"")</f>
        <v>46359</v>
      </c>
      <c r="J227" s="287" t="n">
        <f aca="false">IF(OR(H227="",I227="",N227&gt;=1),0,MAX(1,NETWORKDAYS(MAX(H227,ASOF),MAX(I227,ASOF),HOLIDAYS)))</f>
        <v>1</v>
      </c>
      <c r="K227" s="287" t="n">
        <f aca="false">IF(L227=0,0,ROUNDUP(L227/$F$16,0))</f>
        <v>4</v>
      </c>
      <c r="L227" s="285" t="n">
        <f aca="false">IF(J227=0,0,G227*(1-N227)/J227)</f>
        <v>10.5144</v>
      </c>
      <c r="M227" s="283" t="s">
        <v>1205</v>
      </c>
      <c r="N227" s="288" t="n">
        <f aca="false">IFERROR(MIN(1,'P9-013'!$V$115)+0,0)</f>
        <v>0</v>
      </c>
      <c r="O227" s="289" t="n">
        <f aca="false">IF($L227=0,0,$L227*MAX(0,NETWORKDAYS(MAX($H227,ASOF,O$72),MIN(MAX($I227,ASOF),O$72+6),HOLIDAYS)))</f>
        <v>0</v>
      </c>
      <c r="P227" s="289" t="n">
        <f aca="false">IF($L227=0,0,$L227*MAX(0,NETWORKDAYS(MAX($H227,ASOF,P$72),MIN(MAX($I227,ASOF),P$72+6),HOLIDAYS)))</f>
        <v>0</v>
      </c>
      <c r="Q227" s="289" t="n">
        <f aca="false">IF($L227=0,0,$L227*MAX(0,NETWORKDAYS(MAX($H227,ASOF,Q$72),MIN(MAX($I227,ASOF),Q$72+6),HOLIDAYS)))</f>
        <v>0</v>
      </c>
      <c r="R227" s="289" t="n">
        <f aca="false">IF($L227=0,0,$L227*MAX(0,NETWORKDAYS(MAX($H227,ASOF,R$72),MIN(MAX($I227,ASOF),R$72+6),HOLIDAYS)))</f>
        <v>0</v>
      </c>
      <c r="S227" s="289" t="n">
        <f aca="false">IF($L227=0,0,$L227*MAX(0,NETWORKDAYS(MAX($H227,ASOF,S$72),MIN(MAX($I227,ASOF),S$72+6),HOLIDAYS)))</f>
        <v>10.5144</v>
      </c>
      <c r="T227" s="289" t="n">
        <f aca="false">IF($L227=0,0,$L227*MAX(0,NETWORKDAYS(MAX($H227,ASOF,T$72),MIN(MAX($I227,ASOF),T$72+6),HOLIDAYS)))</f>
        <v>0</v>
      </c>
      <c r="U227" s="289" t="n">
        <f aca="false">IF($L227=0,0,$L227*MAX(0,NETWORKDAYS(MAX($H227,ASOF,U$72),MIN(MAX($I227,ASOF),U$72+6),HOLIDAYS)))</f>
        <v>0</v>
      </c>
      <c r="V227" s="289" t="n">
        <f aca="false">IF($L227=0,0,$L227*MAX(0,NETWORKDAYS(MAX($H227,ASOF,V$72),MIN(MAX($I227,ASOF),V$72+6),HOLIDAYS)))</f>
        <v>0</v>
      </c>
      <c r="W227" s="289" t="n">
        <f aca="false">IF($L227=0,0,$L227*MAX(0,NETWORKDAYS(MAX($H227,ASOF,W$72),MIN(MAX($I227,ASOF),W$72+6),HOLIDAYS)))</f>
        <v>0</v>
      </c>
      <c r="X227" s="289" t="n">
        <f aca="false">IF($L227=0,0,$L227*MAX(0,NETWORKDAYS(MAX($H227,ASOF,X$72),MIN(MAX($I227,ASOF),X$72+6),HOLIDAYS)))</f>
        <v>0</v>
      </c>
      <c r="Y227" s="289" t="n">
        <f aca="false">IF($L227=0,0,$L227*MAX(0,NETWORKDAYS(MAX($H227,ASOF,Y$72),MIN(MAX($I227,ASOF),Y$72+6),HOLIDAYS)))</f>
        <v>0</v>
      </c>
      <c r="Z227" s="289" t="n">
        <f aca="false">IF($L227=0,0,$L227*MAX(0,NETWORKDAYS(MAX($H227,ASOF,Z$72),MIN(MAX($I227,ASOF),Z$72+6),HOLIDAYS)))</f>
        <v>0</v>
      </c>
      <c r="AA227" s="289" t="n">
        <f aca="false">IF($L227=0,0,$L227*MAX(0,NETWORKDAYS(MAX($H227,ASOF,AA$72),MIN(MAX($I227,ASOF),AA$72+6),HOLIDAYS)))</f>
        <v>0</v>
      </c>
      <c r="AB227" s="289" t="n">
        <f aca="false">IF($L227=0,0,$L227*MAX(0,NETWORKDAYS(MAX($H227,ASOF,AB$72),MIN(MAX($I227,ASOF),AB$72+6),HOLIDAYS)))</f>
        <v>0</v>
      </c>
      <c r="AC227" s="289" t="n">
        <f aca="false">IF($L227=0,0,$L227*MAX(0,NETWORKDAYS(MAX($H227,ASOF,AC$72),MIN(MAX($I227,ASOF),AC$72+6),HOLIDAYS)))</f>
        <v>0</v>
      </c>
      <c r="AD227" s="289" t="n">
        <f aca="false">IF($L227=0,0,$L227*MAX(0,NETWORKDAYS(MAX($H227,ASOF,AD$72),MIN(MAX($I227,ASOF),AD$72+6),HOLIDAYS)))</f>
        <v>0</v>
      </c>
      <c r="AE227" s="289" t="n">
        <f aca="false">IF($L227=0,0,$L227*MAX(0,NETWORKDAYS(MAX($H227,ASOF,AE$72),MIN(MAX($I227,ASOF),AE$72+6),HOLIDAYS)))</f>
        <v>0</v>
      </c>
      <c r="AF227" s="289" t="n">
        <f aca="false">IF($L227=0,0,$L227*MAX(0,NETWORKDAYS(MAX($H227,ASOF,AF$72),MIN(MAX($I227,ASOF),AF$72+6),HOLIDAYS)))</f>
        <v>0</v>
      </c>
      <c r="AG227" s="289" t="n">
        <f aca="false">IF($L227=0,0,$L227*MAX(0,NETWORKDAYS(MAX($H227,ASOF,AG$72),MIN(MAX($I227,ASOF),AG$72+6),HOLIDAYS)))</f>
        <v>0</v>
      </c>
      <c r="AH227" s="289" t="n">
        <f aca="false">IF($L227=0,0,$L227*MAX(0,NETWORKDAYS(MAX($H227,ASOF,AH$72),MIN(MAX($I227,ASOF),AH$72+6),HOLIDAYS)))</f>
        <v>0</v>
      </c>
      <c r="AI227" s="289" t="n">
        <f aca="false">IF($L227=0,0,$L227*MAX(0,NETWORKDAYS(MAX($H227,ASOF,AI$72),MIN(MAX($I227,ASOF),AI$72+6),HOLIDAYS)))</f>
        <v>0</v>
      </c>
      <c r="AJ227" s="289" t="n">
        <f aca="false">IF($L227=0,0,$L227*MAX(0,NETWORKDAYS(MAX($H227,ASOF,AJ$72),MIN(MAX($I227,ASOF),AJ$72+6),HOLIDAYS)))</f>
        <v>0</v>
      </c>
      <c r="AK227" s="289" t="n">
        <f aca="false">IF($L227=0,0,$L227*MAX(0,NETWORKDAYS(MAX($H227,ASOF,AK$72),MIN(MAX($I227,ASOF),AK$72+6),HOLIDAYS)))</f>
        <v>0</v>
      </c>
      <c r="AL227" s="289" t="n">
        <f aca="false">IF($L227=0,0,$L227*MAX(0,NETWORKDAYS(MAX($H227,ASOF,AL$72),MIN(MAX($I227,ASOF),AL$72+6),HOLIDAYS)))</f>
        <v>0</v>
      </c>
      <c r="AM227" s="289" t="n">
        <f aca="false">IF($L227=0,0,$L227*MAX(0,NETWORKDAYS(MAX($H227,ASOF,AM$72),MIN(MAX($I227,ASOF),AM$72+6),HOLIDAYS)))</f>
        <v>0</v>
      </c>
      <c r="AN227" s="289" t="n">
        <f aca="false">IF($L227=0,0,$L227*MAX(0,NETWORKDAYS(MAX($H227,ASOF,AN$72),MIN(MAX($I227,ASOF),AN$72+6),HOLIDAYS)))</f>
        <v>0</v>
      </c>
      <c r="AO227" s="289" t="n">
        <f aca="false">IF($L227=0,0,$L227*MAX(0,NETWORKDAYS(MAX($H227,ASOF,AO$72),MIN(MAX($I227,ASOF),AO$72+6),HOLIDAYS)))</f>
        <v>0</v>
      </c>
      <c r="AP227" s="289" t="n">
        <f aca="false">IF($L227=0,0,$L227*MAX(0,NETWORKDAYS(MAX($H227,ASOF,AP$72),MIN(MAX($I227,ASOF),AP$72+6),HOLIDAYS)))</f>
        <v>0</v>
      </c>
      <c r="AQ227" s="289" t="n">
        <f aca="false">IF($L227=0,0,$L227*MAX(0,NETWORKDAYS(MAX($H227,ASOF,AQ$72),MIN(MAX($I227,ASOF),AQ$72+6),HOLIDAYS)))</f>
        <v>0</v>
      </c>
      <c r="AR227" s="289" t="n">
        <f aca="false">IF($L227=0,0,$L227*MAX(0,NETWORKDAYS(MAX($H227,ASOF,AR$72),MIN(MAX($I227,ASOF),AR$72+6),HOLIDAYS)))</f>
        <v>0</v>
      </c>
    </row>
    <row r="228" customFormat="false" ht="15" hidden="false" customHeight="false" outlineLevel="1" collapsed="false">
      <c r="A228" s="282" t="s">
        <v>90</v>
      </c>
      <c r="B228" s="283" t="s">
        <v>92</v>
      </c>
      <c r="C228" s="284" t="s">
        <v>2370</v>
      </c>
      <c r="D228" s="284" t="s">
        <v>2313</v>
      </c>
      <c r="E228" s="285" t="n">
        <v>1</v>
      </c>
      <c r="F228" s="290" t="s">
        <v>35</v>
      </c>
      <c r="G228" s="285" t="n">
        <f aca="false">SUM(O228:AR228)</f>
        <v>20</v>
      </c>
      <c r="H228" s="286" t="n">
        <f aca="false">IF(ISNUMBER('P9-013'!$N$62),'P9-013'!$N$62,"")</f>
        <v>46328</v>
      </c>
      <c r="I228" s="286" t="n">
        <f aca="false">IF(ISNUMBER('P9-013'!$O$115),'P9-013'!$O$115,"")</f>
        <v>46359</v>
      </c>
      <c r="J228" s="287"/>
      <c r="K228" s="287" t="n">
        <f aca="false">IF(G228&gt;0,$F$17,0)</f>
        <v>1</v>
      </c>
      <c r="L228" s="285" t="n">
        <v>0</v>
      </c>
      <c r="M228" s="290" t="s">
        <v>2310</v>
      </c>
      <c r="N228" s="288" t="str">
        <f aca="false">""</f>
        <v/>
      </c>
      <c r="O228" s="289" t="n">
        <f aca="false">IF(SUMIFS(O$73:O$312,$A$73:$A$312,"P9-013",$M$73:$M$312,"&lt;&gt;คุม")&gt;0,$F$17*NETWORKDAYS(O$72,O$72+6,HOLIDAYS),0)</f>
        <v>5</v>
      </c>
      <c r="P228" s="289" t="n">
        <f aca="false">IF(SUMIFS(P$73:P$312,$A$73:$A$312,"P9-013",$M$73:$M$312,"&lt;&gt;คุม")&gt;0,$F$17*NETWORKDAYS(P$72,P$72+6,HOLIDAYS),0)</f>
        <v>5</v>
      </c>
      <c r="Q228" s="289" t="n">
        <f aca="false">IF(SUMIFS(Q$73:Q$312,$A$73:$A$312,"P9-013",$M$73:$M$312,"&lt;&gt;คุม")&gt;0,$F$17*NETWORKDAYS(Q$72,Q$72+6,HOLIDAYS),0)</f>
        <v>5</v>
      </c>
      <c r="R228" s="289" t="n">
        <f aca="false">IF(SUMIFS(R$73:R$312,$A$73:$A$312,"P9-013",$M$73:$M$312,"&lt;&gt;คุม")&gt;0,$F$17*NETWORKDAYS(R$72,R$72+6,HOLIDAYS),0)</f>
        <v>0</v>
      </c>
      <c r="S228" s="289" t="n">
        <f aca="false">IF(SUMIFS(S$73:S$312,$A$73:$A$312,"P9-013",$M$73:$M$312,"&lt;&gt;คุม")&gt;0,$F$17*NETWORKDAYS(S$72,S$72+6,HOLIDAYS),0)</f>
        <v>5</v>
      </c>
      <c r="T228" s="289" t="n">
        <f aca="false">IF(SUMIFS(T$73:T$312,$A$73:$A$312,"P9-013",$M$73:$M$312,"&lt;&gt;คุม")&gt;0,$F$17*NETWORKDAYS(T$72,T$72+6,HOLIDAYS),0)</f>
        <v>0</v>
      </c>
      <c r="U228" s="289" t="n">
        <f aca="false">IF(SUMIFS(U$73:U$312,$A$73:$A$312,"P9-013",$M$73:$M$312,"&lt;&gt;คุม")&gt;0,$F$17*NETWORKDAYS(U$72,U$72+6,HOLIDAYS),0)</f>
        <v>0</v>
      </c>
      <c r="V228" s="289" t="n">
        <f aca="false">IF(SUMIFS(V$73:V$312,$A$73:$A$312,"P9-013",$M$73:$M$312,"&lt;&gt;คุม")&gt;0,$F$17*NETWORKDAYS(V$72,V$72+6,HOLIDAYS),0)</f>
        <v>0</v>
      </c>
      <c r="W228" s="289" t="n">
        <f aca="false">IF(SUMIFS(W$73:W$312,$A$73:$A$312,"P9-013",$M$73:$M$312,"&lt;&gt;คุม")&gt;0,$F$17*NETWORKDAYS(W$72,W$72+6,HOLIDAYS),0)</f>
        <v>0</v>
      </c>
      <c r="X228" s="289" t="n">
        <f aca="false">IF(SUMIFS(X$73:X$312,$A$73:$A$312,"P9-013",$M$73:$M$312,"&lt;&gt;คุม")&gt;0,$F$17*NETWORKDAYS(X$72,X$72+6,HOLIDAYS),0)</f>
        <v>0</v>
      </c>
      <c r="Y228" s="289" t="n">
        <f aca="false">IF(SUMIFS(Y$73:Y$312,$A$73:$A$312,"P9-013",$M$73:$M$312,"&lt;&gt;คุม")&gt;0,$F$17*NETWORKDAYS(Y$72,Y$72+6,HOLIDAYS),0)</f>
        <v>0</v>
      </c>
      <c r="Z228" s="289" t="n">
        <f aca="false">IF(SUMIFS(Z$73:Z$312,$A$73:$A$312,"P9-013",$M$73:$M$312,"&lt;&gt;คุม")&gt;0,$F$17*NETWORKDAYS(Z$72,Z$72+6,HOLIDAYS),0)</f>
        <v>0</v>
      </c>
      <c r="AA228" s="289" t="n">
        <f aca="false">IF(SUMIFS(AA$73:AA$312,$A$73:$A$312,"P9-013",$M$73:$M$312,"&lt;&gt;คุม")&gt;0,$F$17*NETWORKDAYS(AA$72,AA$72+6,HOLIDAYS),0)</f>
        <v>0</v>
      </c>
      <c r="AB228" s="289" t="n">
        <f aca="false">IF(SUMIFS(AB$73:AB$312,$A$73:$A$312,"P9-013",$M$73:$M$312,"&lt;&gt;คุม")&gt;0,$F$17*NETWORKDAYS(AB$72,AB$72+6,HOLIDAYS),0)</f>
        <v>0</v>
      </c>
      <c r="AC228" s="289" t="n">
        <f aca="false">IF(SUMIFS(AC$73:AC$312,$A$73:$A$312,"P9-013",$M$73:$M$312,"&lt;&gt;คุม")&gt;0,$F$17*NETWORKDAYS(AC$72,AC$72+6,HOLIDAYS),0)</f>
        <v>0</v>
      </c>
      <c r="AD228" s="289" t="n">
        <f aca="false">IF(SUMIFS(AD$73:AD$312,$A$73:$A$312,"P9-013",$M$73:$M$312,"&lt;&gt;คุม")&gt;0,$F$17*NETWORKDAYS(AD$72,AD$72+6,HOLIDAYS),0)</f>
        <v>0</v>
      </c>
      <c r="AE228" s="289" t="n">
        <f aca="false">IF(SUMIFS(AE$73:AE$312,$A$73:$A$312,"P9-013",$M$73:$M$312,"&lt;&gt;คุม")&gt;0,$F$17*NETWORKDAYS(AE$72,AE$72+6,HOLIDAYS),0)</f>
        <v>0</v>
      </c>
      <c r="AF228" s="289" t="n">
        <f aca="false">IF(SUMIFS(AF$73:AF$312,$A$73:$A$312,"P9-013",$M$73:$M$312,"&lt;&gt;คุม")&gt;0,$F$17*NETWORKDAYS(AF$72,AF$72+6,HOLIDAYS),0)</f>
        <v>0</v>
      </c>
      <c r="AG228" s="289" t="n">
        <f aca="false">IF(SUMIFS(AG$73:AG$312,$A$73:$A$312,"P9-013",$M$73:$M$312,"&lt;&gt;คุม")&gt;0,$F$17*NETWORKDAYS(AG$72,AG$72+6,HOLIDAYS),0)</f>
        <v>0</v>
      </c>
      <c r="AH228" s="289" t="n">
        <f aca="false">IF(SUMIFS(AH$73:AH$312,$A$73:$A$312,"P9-013",$M$73:$M$312,"&lt;&gt;คุม")&gt;0,$F$17*NETWORKDAYS(AH$72,AH$72+6,HOLIDAYS),0)</f>
        <v>0</v>
      </c>
      <c r="AI228" s="289" t="n">
        <f aca="false">IF(SUMIFS(AI$73:AI$312,$A$73:$A$312,"P9-013",$M$73:$M$312,"&lt;&gt;คุม")&gt;0,$F$17*NETWORKDAYS(AI$72,AI$72+6,HOLIDAYS),0)</f>
        <v>0</v>
      </c>
      <c r="AJ228" s="289" t="n">
        <f aca="false">IF(SUMIFS(AJ$73:AJ$312,$A$73:$A$312,"P9-013",$M$73:$M$312,"&lt;&gt;คุม")&gt;0,$F$17*NETWORKDAYS(AJ$72,AJ$72+6,HOLIDAYS),0)</f>
        <v>0</v>
      </c>
      <c r="AK228" s="289" t="n">
        <f aca="false">IF(SUMIFS(AK$73:AK$312,$A$73:$A$312,"P9-013",$M$73:$M$312,"&lt;&gt;คุม")&gt;0,$F$17*NETWORKDAYS(AK$72,AK$72+6,HOLIDAYS),0)</f>
        <v>0</v>
      </c>
      <c r="AL228" s="289" t="n">
        <f aca="false">IF(SUMIFS(AL$73:AL$312,$A$73:$A$312,"P9-013",$M$73:$M$312,"&lt;&gt;คุม")&gt;0,$F$17*NETWORKDAYS(AL$72,AL$72+6,HOLIDAYS),0)</f>
        <v>0</v>
      </c>
      <c r="AM228" s="289" t="n">
        <f aca="false">IF(SUMIFS(AM$73:AM$312,$A$73:$A$312,"P9-013",$M$73:$M$312,"&lt;&gt;คุม")&gt;0,$F$17*NETWORKDAYS(AM$72,AM$72+6,HOLIDAYS),0)</f>
        <v>0</v>
      </c>
      <c r="AN228" s="289" t="n">
        <f aca="false">IF(SUMIFS(AN$73:AN$312,$A$73:$A$312,"P9-013",$M$73:$M$312,"&lt;&gt;คุม")&gt;0,$F$17*NETWORKDAYS(AN$72,AN$72+6,HOLIDAYS),0)</f>
        <v>0</v>
      </c>
      <c r="AO228" s="289" t="n">
        <f aca="false">IF(SUMIFS(AO$73:AO$312,$A$73:$A$312,"P9-013",$M$73:$M$312,"&lt;&gt;คุม")&gt;0,$F$17*NETWORKDAYS(AO$72,AO$72+6,HOLIDAYS),0)</f>
        <v>0</v>
      </c>
      <c r="AP228" s="289" t="n">
        <f aca="false">IF(SUMIFS(AP$73:AP$312,$A$73:$A$312,"P9-013",$M$73:$M$312,"&lt;&gt;คุม")&gt;0,$F$17*NETWORKDAYS(AP$72,AP$72+6,HOLIDAYS),0)</f>
        <v>0</v>
      </c>
      <c r="AQ228" s="289" t="n">
        <f aca="false">IF(SUMIFS(AQ$73:AQ$312,$A$73:$A$312,"P9-013",$M$73:$M$312,"&lt;&gt;คุม")&gt;0,$F$17*NETWORKDAYS(AQ$72,AQ$72+6,HOLIDAYS),0)</f>
        <v>0</v>
      </c>
      <c r="AR228" s="289" t="n">
        <f aca="false">IF(SUMIFS(AR$73:AR$312,$A$73:$A$312,"P9-013",$M$73:$M$312,"&lt;&gt;คุม")&gt;0,$F$17*NETWORKDAYS(AR$72,AR$72+6,HOLIDAYS),0)</f>
        <v>0</v>
      </c>
    </row>
    <row r="229" customFormat="false" ht="15" hidden="false" customHeight="false" outlineLevel="1" collapsed="false">
      <c r="A229" s="282" t="s">
        <v>94</v>
      </c>
      <c r="B229" s="283" t="s">
        <v>96</v>
      </c>
      <c r="C229" s="284" t="s">
        <v>2358</v>
      </c>
      <c r="D229" s="284" t="s">
        <v>2280</v>
      </c>
      <c r="E229" s="285" t="n">
        <v>448.7</v>
      </c>
      <c r="F229" s="283" t="s">
        <v>2359</v>
      </c>
      <c r="G229" s="285" t="n">
        <f aca="false">$F$5*(E229/$G$5+$H$5)</f>
        <v>73.792</v>
      </c>
      <c r="H229" s="286" t="n">
        <f aca="false">IF(ISNUMBER('P9-014'!$N$62),'P9-014'!$N$62,"")</f>
        <v>46328</v>
      </c>
      <c r="I229" s="286" t="n">
        <f aca="false">IF(ISNUMBER('P9-014'!$O$62),'P9-014'!$O$62,"")</f>
        <v>46336</v>
      </c>
      <c r="J229" s="287" t="n">
        <f aca="false">IF(OR(H229="",I229="",N229&gt;=1),0,MAX(1,NETWORKDAYS(MAX(H229,ASOF),MAX(I229,ASOF),HOLIDAYS)))</f>
        <v>7</v>
      </c>
      <c r="K229" s="287" t="n">
        <f aca="false">IF(L229=0,0,ROUNDUP(L229/$F$5,0))</f>
        <v>3</v>
      </c>
      <c r="L229" s="285" t="n">
        <f aca="false">IF(J229=0,0,G229*(1-N229)/J229)</f>
        <v>10.5417142857143</v>
      </c>
      <c r="M229" s="283" t="s">
        <v>872</v>
      </c>
      <c r="N229" s="288" t="n">
        <f aca="false">IFERROR(MIN(1,'P9-014'!$V$62)+0,0)</f>
        <v>0</v>
      </c>
      <c r="O229" s="289" t="n">
        <f aca="false">IF($L229=0,0,$L229*MAX(0,NETWORKDAYS(MAX($H229,ASOF,O$72),MIN(MAX($I229,ASOF),O$72+6),HOLIDAYS)))</f>
        <v>52.7085714285714</v>
      </c>
      <c r="P229" s="289" t="n">
        <f aca="false">IF($L229=0,0,$L229*MAX(0,NETWORKDAYS(MAX($H229,ASOF,P$72),MIN(MAX($I229,ASOF),P$72+6),HOLIDAYS)))</f>
        <v>21.0834285714286</v>
      </c>
      <c r="Q229" s="289" t="n">
        <f aca="false">IF($L229=0,0,$L229*MAX(0,NETWORKDAYS(MAX($H229,ASOF,Q$72),MIN(MAX($I229,ASOF),Q$72+6),HOLIDAYS)))</f>
        <v>0</v>
      </c>
      <c r="R229" s="289" t="n">
        <f aca="false">IF($L229=0,0,$L229*MAX(0,NETWORKDAYS(MAX($H229,ASOF,R$72),MIN(MAX($I229,ASOF),R$72+6),HOLIDAYS)))</f>
        <v>0</v>
      </c>
      <c r="S229" s="289" t="n">
        <f aca="false">IF($L229=0,0,$L229*MAX(0,NETWORKDAYS(MAX($H229,ASOF,S$72),MIN(MAX($I229,ASOF),S$72+6),HOLIDAYS)))</f>
        <v>0</v>
      </c>
      <c r="T229" s="289" t="n">
        <f aca="false">IF($L229=0,0,$L229*MAX(0,NETWORKDAYS(MAX($H229,ASOF,T$72),MIN(MAX($I229,ASOF),T$72+6),HOLIDAYS)))</f>
        <v>0</v>
      </c>
      <c r="U229" s="289" t="n">
        <f aca="false">IF($L229=0,0,$L229*MAX(0,NETWORKDAYS(MAX($H229,ASOF,U$72),MIN(MAX($I229,ASOF),U$72+6),HOLIDAYS)))</f>
        <v>0</v>
      </c>
      <c r="V229" s="289" t="n">
        <f aca="false">IF($L229=0,0,$L229*MAX(0,NETWORKDAYS(MAX($H229,ASOF,V$72),MIN(MAX($I229,ASOF),V$72+6),HOLIDAYS)))</f>
        <v>0</v>
      </c>
      <c r="W229" s="289" t="n">
        <f aca="false">IF($L229=0,0,$L229*MAX(0,NETWORKDAYS(MAX($H229,ASOF,W$72),MIN(MAX($I229,ASOF),W$72+6),HOLIDAYS)))</f>
        <v>0</v>
      </c>
      <c r="X229" s="289" t="n">
        <f aca="false">IF($L229=0,0,$L229*MAX(0,NETWORKDAYS(MAX($H229,ASOF,X$72),MIN(MAX($I229,ASOF),X$72+6),HOLIDAYS)))</f>
        <v>0</v>
      </c>
      <c r="Y229" s="289" t="n">
        <f aca="false">IF($L229=0,0,$L229*MAX(0,NETWORKDAYS(MAX($H229,ASOF,Y$72),MIN(MAX($I229,ASOF),Y$72+6),HOLIDAYS)))</f>
        <v>0</v>
      </c>
      <c r="Z229" s="289" t="n">
        <f aca="false">IF($L229=0,0,$L229*MAX(0,NETWORKDAYS(MAX($H229,ASOF,Z$72),MIN(MAX($I229,ASOF),Z$72+6),HOLIDAYS)))</f>
        <v>0</v>
      </c>
      <c r="AA229" s="289" t="n">
        <f aca="false">IF($L229=0,0,$L229*MAX(0,NETWORKDAYS(MAX($H229,ASOF,AA$72),MIN(MAX($I229,ASOF),AA$72+6),HOLIDAYS)))</f>
        <v>0</v>
      </c>
      <c r="AB229" s="289" t="n">
        <f aca="false">IF($L229=0,0,$L229*MAX(0,NETWORKDAYS(MAX($H229,ASOF,AB$72),MIN(MAX($I229,ASOF),AB$72+6),HOLIDAYS)))</f>
        <v>0</v>
      </c>
      <c r="AC229" s="289" t="n">
        <f aca="false">IF($L229=0,0,$L229*MAX(0,NETWORKDAYS(MAX($H229,ASOF,AC$72),MIN(MAX($I229,ASOF),AC$72+6),HOLIDAYS)))</f>
        <v>0</v>
      </c>
      <c r="AD229" s="289" t="n">
        <f aca="false">IF($L229=0,0,$L229*MAX(0,NETWORKDAYS(MAX($H229,ASOF,AD$72),MIN(MAX($I229,ASOF),AD$72+6),HOLIDAYS)))</f>
        <v>0</v>
      </c>
      <c r="AE229" s="289" t="n">
        <f aca="false">IF($L229=0,0,$L229*MAX(0,NETWORKDAYS(MAX($H229,ASOF,AE$72),MIN(MAX($I229,ASOF),AE$72+6),HOLIDAYS)))</f>
        <v>0</v>
      </c>
      <c r="AF229" s="289" t="n">
        <f aca="false">IF($L229=0,0,$L229*MAX(0,NETWORKDAYS(MAX($H229,ASOF,AF$72),MIN(MAX($I229,ASOF),AF$72+6),HOLIDAYS)))</f>
        <v>0</v>
      </c>
      <c r="AG229" s="289" t="n">
        <f aca="false">IF($L229=0,0,$L229*MAX(0,NETWORKDAYS(MAX($H229,ASOF,AG$72),MIN(MAX($I229,ASOF),AG$72+6),HOLIDAYS)))</f>
        <v>0</v>
      </c>
      <c r="AH229" s="289" t="n">
        <f aca="false">IF($L229=0,0,$L229*MAX(0,NETWORKDAYS(MAX($H229,ASOF,AH$72),MIN(MAX($I229,ASOF),AH$72+6),HOLIDAYS)))</f>
        <v>0</v>
      </c>
      <c r="AI229" s="289" t="n">
        <f aca="false">IF($L229=0,0,$L229*MAX(0,NETWORKDAYS(MAX($H229,ASOF,AI$72),MIN(MAX($I229,ASOF),AI$72+6),HOLIDAYS)))</f>
        <v>0</v>
      </c>
      <c r="AJ229" s="289" t="n">
        <f aca="false">IF($L229=0,0,$L229*MAX(0,NETWORKDAYS(MAX($H229,ASOF,AJ$72),MIN(MAX($I229,ASOF),AJ$72+6),HOLIDAYS)))</f>
        <v>0</v>
      </c>
      <c r="AK229" s="289" t="n">
        <f aca="false">IF($L229=0,0,$L229*MAX(0,NETWORKDAYS(MAX($H229,ASOF,AK$72),MIN(MAX($I229,ASOF),AK$72+6),HOLIDAYS)))</f>
        <v>0</v>
      </c>
      <c r="AL229" s="289" t="n">
        <f aca="false">IF($L229=0,0,$L229*MAX(0,NETWORKDAYS(MAX($H229,ASOF,AL$72),MIN(MAX($I229,ASOF),AL$72+6),HOLIDAYS)))</f>
        <v>0</v>
      </c>
      <c r="AM229" s="289" t="n">
        <f aca="false">IF($L229=0,0,$L229*MAX(0,NETWORKDAYS(MAX($H229,ASOF,AM$72),MIN(MAX($I229,ASOF),AM$72+6),HOLIDAYS)))</f>
        <v>0</v>
      </c>
      <c r="AN229" s="289" t="n">
        <f aca="false">IF($L229=0,0,$L229*MAX(0,NETWORKDAYS(MAX($H229,ASOF,AN$72),MIN(MAX($I229,ASOF),AN$72+6),HOLIDAYS)))</f>
        <v>0</v>
      </c>
      <c r="AO229" s="289" t="n">
        <f aca="false">IF($L229=0,0,$L229*MAX(0,NETWORKDAYS(MAX($H229,ASOF,AO$72),MIN(MAX($I229,ASOF),AO$72+6),HOLIDAYS)))</f>
        <v>0</v>
      </c>
      <c r="AP229" s="289" t="n">
        <f aca="false">IF($L229=0,0,$L229*MAX(0,NETWORKDAYS(MAX($H229,ASOF,AP$72),MIN(MAX($I229,ASOF),AP$72+6),HOLIDAYS)))</f>
        <v>0</v>
      </c>
      <c r="AQ229" s="289" t="n">
        <f aca="false">IF($L229=0,0,$L229*MAX(0,NETWORKDAYS(MAX($H229,ASOF,AQ$72),MIN(MAX($I229,ASOF),AQ$72+6),HOLIDAYS)))</f>
        <v>0</v>
      </c>
      <c r="AR229" s="289" t="n">
        <f aca="false">IF($L229=0,0,$L229*MAX(0,NETWORKDAYS(MAX($H229,ASOF,AR$72),MIN(MAX($I229,ASOF),AR$72+6),HOLIDAYS)))</f>
        <v>0</v>
      </c>
    </row>
    <row r="230" customFormat="false" ht="15" hidden="false" customHeight="false" outlineLevel="1" collapsed="false">
      <c r="A230" s="282" t="s">
        <v>94</v>
      </c>
      <c r="B230" s="283" t="s">
        <v>96</v>
      </c>
      <c r="C230" s="284" t="s">
        <v>2360</v>
      </c>
      <c r="D230" s="284" t="s">
        <v>2284</v>
      </c>
      <c r="E230" s="285" t="n">
        <v>280.44</v>
      </c>
      <c r="F230" s="283" t="s">
        <v>527</v>
      </c>
      <c r="G230" s="285" t="n">
        <f aca="false">$F$6*(E230/$G$6+$H$6)</f>
        <v>24.033</v>
      </c>
      <c r="H230" s="286" t="n">
        <f aca="false">IF(ISNUMBER('P9-014'!$N$70),'P9-014'!$N$70,"")</f>
        <v>46343</v>
      </c>
      <c r="I230" s="286" t="n">
        <f aca="false">IF(ISNUMBER('P9-014'!$O$70),'P9-014'!$O$70,"")</f>
        <v>46346</v>
      </c>
      <c r="J230" s="287" t="n">
        <f aca="false">IF(OR(H230="",I230="",N230&gt;=1),0,MAX(1,NETWORKDAYS(MAX(H230,ASOF),MAX(I230,ASOF),HOLIDAYS)))</f>
        <v>4</v>
      </c>
      <c r="K230" s="287" t="n">
        <f aca="false">IF(L230=0,0,ROUNDUP(L230/$F$6,0))</f>
        <v>3</v>
      </c>
      <c r="L230" s="285" t="n">
        <f aca="false">IF(J230=0,0,G230*(1-N230)/J230)</f>
        <v>6.00825</v>
      </c>
      <c r="M230" s="283" t="s">
        <v>987</v>
      </c>
      <c r="N230" s="288" t="n">
        <f aca="false">IFERROR(MIN(1,'P9-014'!$V$70)+0,0)</f>
        <v>0</v>
      </c>
      <c r="O230" s="289" t="n">
        <f aca="false">IF($L230=0,0,$L230*MAX(0,NETWORKDAYS(MAX($H230,ASOF,O$72),MIN(MAX($I230,ASOF),O$72+6),HOLIDAYS)))</f>
        <v>0</v>
      </c>
      <c r="P230" s="289" t="n">
        <f aca="false">IF($L230=0,0,$L230*MAX(0,NETWORKDAYS(MAX($H230,ASOF,P$72),MIN(MAX($I230,ASOF),P$72+6),HOLIDAYS)))</f>
        <v>0</v>
      </c>
      <c r="Q230" s="289" t="n">
        <f aca="false">IF($L230=0,0,$L230*MAX(0,NETWORKDAYS(MAX($H230,ASOF,Q$72),MIN(MAX($I230,ASOF),Q$72+6),HOLIDAYS)))</f>
        <v>24.033</v>
      </c>
      <c r="R230" s="289" t="n">
        <f aca="false">IF($L230=0,0,$L230*MAX(0,NETWORKDAYS(MAX($H230,ASOF,R$72),MIN(MAX($I230,ASOF),R$72+6),HOLIDAYS)))</f>
        <v>0</v>
      </c>
      <c r="S230" s="289" t="n">
        <f aca="false">IF($L230=0,0,$L230*MAX(0,NETWORKDAYS(MAX($H230,ASOF,S$72),MIN(MAX($I230,ASOF),S$72+6),HOLIDAYS)))</f>
        <v>0</v>
      </c>
      <c r="T230" s="289" t="n">
        <f aca="false">IF($L230=0,0,$L230*MAX(0,NETWORKDAYS(MAX($H230,ASOF,T$72),MIN(MAX($I230,ASOF),T$72+6),HOLIDAYS)))</f>
        <v>0</v>
      </c>
      <c r="U230" s="289" t="n">
        <f aca="false">IF($L230=0,0,$L230*MAX(0,NETWORKDAYS(MAX($H230,ASOF,U$72),MIN(MAX($I230,ASOF),U$72+6),HOLIDAYS)))</f>
        <v>0</v>
      </c>
      <c r="V230" s="289" t="n">
        <f aca="false">IF($L230=0,0,$L230*MAX(0,NETWORKDAYS(MAX($H230,ASOF,V$72),MIN(MAX($I230,ASOF),V$72+6),HOLIDAYS)))</f>
        <v>0</v>
      </c>
      <c r="W230" s="289" t="n">
        <f aca="false">IF($L230=0,0,$L230*MAX(0,NETWORKDAYS(MAX($H230,ASOF,W$72),MIN(MAX($I230,ASOF),W$72+6),HOLIDAYS)))</f>
        <v>0</v>
      </c>
      <c r="X230" s="289" t="n">
        <f aca="false">IF($L230=0,0,$L230*MAX(0,NETWORKDAYS(MAX($H230,ASOF,X$72),MIN(MAX($I230,ASOF),X$72+6),HOLIDAYS)))</f>
        <v>0</v>
      </c>
      <c r="Y230" s="289" t="n">
        <f aca="false">IF($L230=0,0,$L230*MAX(0,NETWORKDAYS(MAX($H230,ASOF,Y$72),MIN(MAX($I230,ASOF),Y$72+6),HOLIDAYS)))</f>
        <v>0</v>
      </c>
      <c r="Z230" s="289" t="n">
        <f aca="false">IF($L230=0,0,$L230*MAX(0,NETWORKDAYS(MAX($H230,ASOF,Z$72),MIN(MAX($I230,ASOF),Z$72+6),HOLIDAYS)))</f>
        <v>0</v>
      </c>
      <c r="AA230" s="289" t="n">
        <f aca="false">IF($L230=0,0,$L230*MAX(0,NETWORKDAYS(MAX($H230,ASOF,AA$72),MIN(MAX($I230,ASOF),AA$72+6),HOLIDAYS)))</f>
        <v>0</v>
      </c>
      <c r="AB230" s="289" t="n">
        <f aca="false">IF($L230=0,0,$L230*MAX(0,NETWORKDAYS(MAX($H230,ASOF,AB$72),MIN(MAX($I230,ASOF),AB$72+6),HOLIDAYS)))</f>
        <v>0</v>
      </c>
      <c r="AC230" s="289" t="n">
        <f aca="false">IF($L230=0,0,$L230*MAX(0,NETWORKDAYS(MAX($H230,ASOF,AC$72),MIN(MAX($I230,ASOF),AC$72+6),HOLIDAYS)))</f>
        <v>0</v>
      </c>
      <c r="AD230" s="289" t="n">
        <f aca="false">IF($L230=0,0,$L230*MAX(0,NETWORKDAYS(MAX($H230,ASOF,AD$72),MIN(MAX($I230,ASOF),AD$72+6),HOLIDAYS)))</f>
        <v>0</v>
      </c>
      <c r="AE230" s="289" t="n">
        <f aca="false">IF($L230=0,0,$L230*MAX(0,NETWORKDAYS(MAX($H230,ASOF,AE$72),MIN(MAX($I230,ASOF),AE$72+6),HOLIDAYS)))</f>
        <v>0</v>
      </c>
      <c r="AF230" s="289" t="n">
        <f aca="false">IF($L230=0,0,$L230*MAX(0,NETWORKDAYS(MAX($H230,ASOF,AF$72),MIN(MAX($I230,ASOF),AF$72+6),HOLIDAYS)))</f>
        <v>0</v>
      </c>
      <c r="AG230" s="289" t="n">
        <f aca="false">IF($L230=0,0,$L230*MAX(0,NETWORKDAYS(MAX($H230,ASOF,AG$72),MIN(MAX($I230,ASOF),AG$72+6),HOLIDAYS)))</f>
        <v>0</v>
      </c>
      <c r="AH230" s="289" t="n">
        <f aca="false">IF($L230=0,0,$L230*MAX(0,NETWORKDAYS(MAX($H230,ASOF,AH$72),MIN(MAX($I230,ASOF),AH$72+6),HOLIDAYS)))</f>
        <v>0</v>
      </c>
      <c r="AI230" s="289" t="n">
        <f aca="false">IF($L230=0,0,$L230*MAX(0,NETWORKDAYS(MAX($H230,ASOF,AI$72),MIN(MAX($I230,ASOF),AI$72+6),HOLIDAYS)))</f>
        <v>0</v>
      </c>
      <c r="AJ230" s="289" t="n">
        <f aca="false">IF($L230=0,0,$L230*MAX(0,NETWORKDAYS(MAX($H230,ASOF,AJ$72),MIN(MAX($I230,ASOF),AJ$72+6),HOLIDAYS)))</f>
        <v>0</v>
      </c>
      <c r="AK230" s="289" t="n">
        <f aca="false">IF($L230=0,0,$L230*MAX(0,NETWORKDAYS(MAX($H230,ASOF,AK$72),MIN(MAX($I230,ASOF),AK$72+6),HOLIDAYS)))</f>
        <v>0</v>
      </c>
      <c r="AL230" s="289" t="n">
        <f aca="false">IF($L230=0,0,$L230*MAX(0,NETWORKDAYS(MAX($H230,ASOF,AL$72),MIN(MAX($I230,ASOF),AL$72+6),HOLIDAYS)))</f>
        <v>0</v>
      </c>
      <c r="AM230" s="289" t="n">
        <f aca="false">IF($L230=0,0,$L230*MAX(0,NETWORKDAYS(MAX($H230,ASOF,AM$72),MIN(MAX($I230,ASOF),AM$72+6),HOLIDAYS)))</f>
        <v>0</v>
      </c>
      <c r="AN230" s="289" t="n">
        <f aca="false">IF($L230=0,0,$L230*MAX(0,NETWORKDAYS(MAX($H230,ASOF,AN$72),MIN(MAX($I230,ASOF),AN$72+6),HOLIDAYS)))</f>
        <v>0</v>
      </c>
      <c r="AO230" s="289" t="n">
        <f aca="false">IF($L230=0,0,$L230*MAX(0,NETWORKDAYS(MAX($H230,ASOF,AO$72),MIN(MAX($I230,ASOF),AO$72+6),HOLIDAYS)))</f>
        <v>0</v>
      </c>
      <c r="AP230" s="289" t="n">
        <f aca="false">IF($L230=0,0,$L230*MAX(0,NETWORKDAYS(MAX($H230,ASOF,AP$72),MIN(MAX($I230,ASOF),AP$72+6),HOLIDAYS)))</f>
        <v>0</v>
      </c>
      <c r="AQ230" s="289" t="n">
        <f aca="false">IF($L230=0,0,$L230*MAX(0,NETWORKDAYS(MAX($H230,ASOF,AQ$72),MIN(MAX($I230,ASOF),AQ$72+6),HOLIDAYS)))</f>
        <v>0</v>
      </c>
      <c r="AR230" s="289" t="n">
        <f aca="false">IF($L230=0,0,$L230*MAX(0,NETWORKDAYS(MAX($H230,ASOF,AR$72),MIN(MAX($I230,ASOF),AR$72+6),HOLIDAYS)))</f>
        <v>0</v>
      </c>
    </row>
    <row r="231" customFormat="false" ht="15" hidden="false" customHeight="false" outlineLevel="1" collapsed="false">
      <c r="A231" s="282" t="s">
        <v>94</v>
      </c>
      <c r="B231" s="283" t="s">
        <v>96</v>
      </c>
      <c r="C231" s="284" t="s">
        <v>2361</v>
      </c>
      <c r="D231" s="284" t="s">
        <v>2280</v>
      </c>
      <c r="E231" s="285" t="n">
        <v>280.44</v>
      </c>
      <c r="F231" s="283" t="s">
        <v>527</v>
      </c>
      <c r="G231" s="285" t="n">
        <f aca="false">$F$7*(E231/$G$7+$H$7)</f>
        <v>34.0502857142857</v>
      </c>
      <c r="H231" s="286" t="n">
        <f aca="false">IF(ISNUMBER('P9-014'!$N$76),'P9-014'!$N$76,"")</f>
        <v>46337</v>
      </c>
      <c r="I231" s="286" t="n">
        <f aca="false">IF(ISNUMBER('P9-014'!$O$76),'P9-014'!$O$76,"")</f>
        <v>46347</v>
      </c>
      <c r="J231" s="287" t="n">
        <f aca="false">IF(OR(H231="",I231="",N231&gt;=1),0,MAX(1,NETWORKDAYS(MAX(H231,ASOF),MAX(I231,ASOF),HOLIDAYS)))</f>
        <v>8</v>
      </c>
      <c r="K231" s="287" t="n">
        <f aca="false">IF(L231=0,0,ROUNDUP(L231/$F$7,0))</f>
        <v>2</v>
      </c>
      <c r="L231" s="285" t="n">
        <f aca="false">IF(J231=0,0,G231*(1-N231)/J231)</f>
        <v>4.25628571428571</v>
      </c>
      <c r="M231" s="283" t="s">
        <v>1037</v>
      </c>
      <c r="N231" s="288" t="n">
        <f aca="false">IFERROR(MIN(1,'P9-014'!$V$76)+0,0)</f>
        <v>0</v>
      </c>
      <c r="O231" s="289" t="n">
        <f aca="false">IF($L231=0,0,$L231*MAX(0,NETWORKDAYS(MAX($H231,ASOF,O$72),MIN(MAX($I231,ASOF),O$72+6),HOLIDAYS)))</f>
        <v>0</v>
      </c>
      <c r="P231" s="289" t="n">
        <f aca="false">IF($L231=0,0,$L231*MAX(0,NETWORKDAYS(MAX($H231,ASOF,P$72),MIN(MAX($I231,ASOF),P$72+6),HOLIDAYS)))</f>
        <v>12.7688571428571</v>
      </c>
      <c r="Q231" s="289" t="n">
        <f aca="false">IF($L231=0,0,$L231*MAX(0,NETWORKDAYS(MAX($H231,ASOF,Q$72),MIN(MAX($I231,ASOF),Q$72+6),HOLIDAYS)))</f>
        <v>21.2814285714286</v>
      </c>
      <c r="R231" s="289" t="n">
        <f aca="false">IF($L231=0,0,$L231*MAX(0,NETWORKDAYS(MAX($H231,ASOF,R$72),MIN(MAX($I231,ASOF),R$72+6),HOLIDAYS)))</f>
        <v>0</v>
      </c>
      <c r="S231" s="289" t="n">
        <f aca="false">IF($L231=0,0,$L231*MAX(0,NETWORKDAYS(MAX($H231,ASOF,S$72),MIN(MAX($I231,ASOF),S$72+6),HOLIDAYS)))</f>
        <v>0</v>
      </c>
      <c r="T231" s="289" t="n">
        <f aca="false">IF($L231=0,0,$L231*MAX(0,NETWORKDAYS(MAX($H231,ASOF,T$72),MIN(MAX($I231,ASOF),T$72+6),HOLIDAYS)))</f>
        <v>0</v>
      </c>
      <c r="U231" s="289" t="n">
        <f aca="false">IF($L231=0,0,$L231*MAX(0,NETWORKDAYS(MAX($H231,ASOF,U$72),MIN(MAX($I231,ASOF),U$72+6),HOLIDAYS)))</f>
        <v>0</v>
      </c>
      <c r="V231" s="289" t="n">
        <f aca="false">IF($L231=0,0,$L231*MAX(0,NETWORKDAYS(MAX($H231,ASOF,V$72),MIN(MAX($I231,ASOF),V$72+6),HOLIDAYS)))</f>
        <v>0</v>
      </c>
      <c r="W231" s="289" t="n">
        <f aca="false">IF($L231=0,0,$L231*MAX(0,NETWORKDAYS(MAX($H231,ASOF,W$72),MIN(MAX($I231,ASOF),W$72+6),HOLIDAYS)))</f>
        <v>0</v>
      </c>
      <c r="X231" s="289" t="n">
        <f aca="false">IF($L231=0,0,$L231*MAX(0,NETWORKDAYS(MAX($H231,ASOF,X$72),MIN(MAX($I231,ASOF),X$72+6),HOLIDAYS)))</f>
        <v>0</v>
      </c>
      <c r="Y231" s="289" t="n">
        <f aca="false">IF($L231=0,0,$L231*MAX(0,NETWORKDAYS(MAX($H231,ASOF,Y$72),MIN(MAX($I231,ASOF),Y$72+6),HOLIDAYS)))</f>
        <v>0</v>
      </c>
      <c r="Z231" s="289" t="n">
        <f aca="false">IF($L231=0,0,$L231*MAX(0,NETWORKDAYS(MAX($H231,ASOF,Z$72),MIN(MAX($I231,ASOF),Z$72+6),HOLIDAYS)))</f>
        <v>0</v>
      </c>
      <c r="AA231" s="289" t="n">
        <f aca="false">IF($L231=0,0,$L231*MAX(0,NETWORKDAYS(MAX($H231,ASOF,AA$72),MIN(MAX($I231,ASOF),AA$72+6),HOLIDAYS)))</f>
        <v>0</v>
      </c>
      <c r="AB231" s="289" t="n">
        <f aca="false">IF($L231=0,0,$L231*MAX(0,NETWORKDAYS(MAX($H231,ASOF,AB$72),MIN(MAX($I231,ASOF),AB$72+6),HOLIDAYS)))</f>
        <v>0</v>
      </c>
      <c r="AC231" s="289" t="n">
        <f aca="false">IF($L231=0,0,$L231*MAX(0,NETWORKDAYS(MAX($H231,ASOF,AC$72),MIN(MAX($I231,ASOF),AC$72+6),HOLIDAYS)))</f>
        <v>0</v>
      </c>
      <c r="AD231" s="289" t="n">
        <f aca="false">IF($L231=0,0,$L231*MAX(0,NETWORKDAYS(MAX($H231,ASOF,AD$72),MIN(MAX($I231,ASOF),AD$72+6),HOLIDAYS)))</f>
        <v>0</v>
      </c>
      <c r="AE231" s="289" t="n">
        <f aca="false">IF($L231=0,0,$L231*MAX(0,NETWORKDAYS(MAX($H231,ASOF,AE$72),MIN(MAX($I231,ASOF),AE$72+6),HOLIDAYS)))</f>
        <v>0</v>
      </c>
      <c r="AF231" s="289" t="n">
        <f aca="false">IF($L231=0,0,$L231*MAX(0,NETWORKDAYS(MAX($H231,ASOF,AF$72),MIN(MAX($I231,ASOF),AF$72+6),HOLIDAYS)))</f>
        <v>0</v>
      </c>
      <c r="AG231" s="289" t="n">
        <f aca="false">IF($L231=0,0,$L231*MAX(0,NETWORKDAYS(MAX($H231,ASOF,AG$72),MIN(MAX($I231,ASOF),AG$72+6),HOLIDAYS)))</f>
        <v>0</v>
      </c>
      <c r="AH231" s="289" t="n">
        <f aca="false">IF($L231=0,0,$L231*MAX(0,NETWORKDAYS(MAX($H231,ASOF,AH$72),MIN(MAX($I231,ASOF),AH$72+6),HOLIDAYS)))</f>
        <v>0</v>
      </c>
      <c r="AI231" s="289" t="n">
        <f aca="false">IF($L231=0,0,$L231*MAX(0,NETWORKDAYS(MAX($H231,ASOF,AI$72),MIN(MAX($I231,ASOF),AI$72+6),HOLIDAYS)))</f>
        <v>0</v>
      </c>
      <c r="AJ231" s="289" t="n">
        <f aca="false">IF($L231=0,0,$L231*MAX(0,NETWORKDAYS(MAX($H231,ASOF,AJ$72),MIN(MAX($I231,ASOF),AJ$72+6),HOLIDAYS)))</f>
        <v>0</v>
      </c>
      <c r="AK231" s="289" t="n">
        <f aca="false">IF($L231=0,0,$L231*MAX(0,NETWORKDAYS(MAX($H231,ASOF,AK$72),MIN(MAX($I231,ASOF),AK$72+6),HOLIDAYS)))</f>
        <v>0</v>
      </c>
      <c r="AL231" s="289" t="n">
        <f aca="false">IF($L231=0,0,$L231*MAX(0,NETWORKDAYS(MAX($H231,ASOF,AL$72),MIN(MAX($I231,ASOF),AL$72+6),HOLIDAYS)))</f>
        <v>0</v>
      </c>
      <c r="AM231" s="289" t="n">
        <f aca="false">IF($L231=0,0,$L231*MAX(0,NETWORKDAYS(MAX($H231,ASOF,AM$72),MIN(MAX($I231,ASOF),AM$72+6),HOLIDAYS)))</f>
        <v>0</v>
      </c>
      <c r="AN231" s="289" t="n">
        <f aca="false">IF($L231=0,0,$L231*MAX(0,NETWORKDAYS(MAX($H231,ASOF,AN$72),MIN(MAX($I231,ASOF),AN$72+6),HOLIDAYS)))</f>
        <v>0</v>
      </c>
      <c r="AO231" s="289" t="n">
        <f aca="false">IF($L231=0,0,$L231*MAX(0,NETWORKDAYS(MAX($H231,ASOF,AO$72),MIN(MAX($I231,ASOF),AO$72+6),HOLIDAYS)))</f>
        <v>0</v>
      </c>
      <c r="AP231" s="289" t="n">
        <f aca="false">IF($L231=0,0,$L231*MAX(0,NETWORKDAYS(MAX($H231,ASOF,AP$72),MIN(MAX($I231,ASOF),AP$72+6),HOLIDAYS)))</f>
        <v>0</v>
      </c>
      <c r="AQ231" s="289" t="n">
        <f aca="false">IF($L231=0,0,$L231*MAX(0,NETWORKDAYS(MAX($H231,ASOF,AQ$72),MIN(MAX($I231,ASOF),AQ$72+6),HOLIDAYS)))</f>
        <v>0</v>
      </c>
      <c r="AR231" s="289" t="n">
        <f aca="false">IF($L231=0,0,$L231*MAX(0,NETWORKDAYS(MAX($H231,ASOF,AR$72),MIN(MAX($I231,ASOF),AR$72+6),HOLIDAYS)))</f>
        <v>0</v>
      </c>
    </row>
    <row r="232" customFormat="false" ht="15" hidden="false" customHeight="false" outlineLevel="1" collapsed="false">
      <c r="A232" s="282" t="s">
        <v>94</v>
      </c>
      <c r="B232" s="283" t="s">
        <v>96</v>
      </c>
      <c r="C232" s="284" t="s">
        <v>2362</v>
      </c>
      <c r="D232" s="284" t="s">
        <v>2284</v>
      </c>
      <c r="E232" s="285" t="n">
        <v>1</v>
      </c>
      <c r="F232" s="290" t="s">
        <v>35</v>
      </c>
      <c r="G232" s="285" t="n">
        <f aca="false">$F$8*$H$8</f>
        <v>2</v>
      </c>
      <c r="H232" s="286" t="n">
        <f aca="false">IF(ISNUMBER('P9-014'!$N$82),'P9-014'!$N$82,"")</f>
        <v>46345</v>
      </c>
      <c r="I232" s="286" t="n">
        <f aca="false">IF(ISNUMBER('P9-014'!$O$82),'P9-014'!$O$82,"")</f>
        <v>46347</v>
      </c>
      <c r="J232" s="287" t="n">
        <f aca="false">IF(OR(H232="",I232="",N232&gt;=1),0,MAX(1,NETWORKDAYS(MAX(H232,ASOF),MAX(I232,ASOF),HOLIDAYS)))</f>
        <v>2</v>
      </c>
      <c r="K232" s="287" t="n">
        <f aca="false">IF(L232=0,0,ROUNDUP(L232/$F$8,0))</f>
        <v>1</v>
      </c>
      <c r="L232" s="285" t="n">
        <f aca="false">IF(J232=0,0,G232*(1-N232)/J232)</f>
        <v>1</v>
      </c>
      <c r="M232" s="283" t="s">
        <v>1063</v>
      </c>
      <c r="N232" s="288" t="n">
        <f aca="false">IFERROR(MIN(1,'P9-014'!$V$82)+0,0)</f>
        <v>0</v>
      </c>
      <c r="O232" s="289" t="n">
        <f aca="false">IF($L232=0,0,$L232*MAX(0,NETWORKDAYS(MAX($H232,ASOF,O$72),MIN(MAX($I232,ASOF),O$72+6),HOLIDAYS)))</f>
        <v>0</v>
      </c>
      <c r="P232" s="289" t="n">
        <f aca="false">IF($L232=0,0,$L232*MAX(0,NETWORKDAYS(MAX($H232,ASOF,P$72),MIN(MAX($I232,ASOF),P$72+6),HOLIDAYS)))</f>
        <v>0</v>
      </c>
      <c r="Q232" s="289" t="n">
        <f aca="false">IF($L232=0,0,$L232*MAX(0,NETWORKDAYS(MAX($H232,ASOF,Q$72),MIN(MAX($I232,ASOF),Q$72+6),HOLIDAYS)))</f>
        <v>2</v>
      </c>
      <c r="R232" s="289" t="n">
        <f aca="false">IF($L232=0,0,$L232*MAX(0,NETWORKDAYS(MAX($H232,ASOF,R$72),MIN(MAX($I232,ASOF),R$72+6),HOLIDAYS)))</f>
        <v>0</v>
      </c>
      <c r="S232" s="289" t="n">
        <f aca="false">IF($L232=0,0,$L232*MAX(0,NETWORKDAYS(MAX($H232,ASOF,S$72),MIN(MAX($I232,ASOF),S$72+6),HOLIDAYS)))</f>
        <v>0</v>
      </c>
      <c r="T232" s="289" t="n">
        <f aca="false">IF($L232=0,0,$L232*MAX(0,NETWORKDAYS(MAX($H232,ASOF,T$72),MIN(MAX($I232,ASOF),T$72+6),HOLIDAYS)))</f>
        <v>0</v>
      </c>
      <c r="U232" s="289" t="n">
        <f aca="false">IF($L232=0,0,$L232*MAX(0,NETWORKDAYS(MAX($H232,ASOF,U$72),MIN(MAX($I232,ASOF),U$72+6),HOLIDAYS)))</f>
        <v>0</v>
      </c>
      <c r="V232" s="289" t="n">
        <f aca="false">IF($L232=0,0,$L232*MAX(0,NETWORKDAYS(MAX($H232,ASOF,V$72),MIN(MAX($I232,ASOF),V$72+6),HOLIDAYS)))</f>
        <v>0</v>
      </c>
      <c r="W232" s="289" t="n">
        <f aca="false">IF($L232=0,0,$L232*MAX(0,NETWORKDAYS(MAX($H232,ASOF,W$72),MIN(MAX($I232,ASOF),W$72+6),HOLIDAYS)))</f>
        <v>0</v>
      </c>
      <c r="X232" s="289" t="n">
        <f aca="false">IF($L232=0,0,$L232*MAX(0,NETWORKDAYS(MAX($H232,ASOF,X$72),MIN(MAX($I232,ASOF),X$72+6),HOLIDAYS)))</f>
        <v>0</v>
      </c>
      <c r="Y232" s="289" t="n">
        <f aca="false">IF($L232=0,0,$L232*MAX(0,NETWORKDAYS(MAX($H232,ASOF,Y$72),MIN(MAX($I232,ASOF),Y$72+6),HOLIDAYS)))</f>
        <v>0</v>
      </c>
      <c r="Z232" s="289" t="n">
        <f aca="false">IF($L232=0,0,$L232*MAX(0,NETWORKDAYS(MAX($H232,ASOF,Z$72),MIN(MAX($I232,ASOF),Z$72+6),HOLIDAYS)))</f>
        <v>0</v>
      </c>
      <c r="AA232" s="289" t="n">
        <f aca="false">IF($L232=0,0,$L232*MAX(0,NETWORKDAYS(MAX($H232,ASOF,AA$72),MIN(MAX($I232,ASOF),AA$72+6),HOLIDAYS)))</f>
        <v>0</v>
      </c>
      <c r="AB232" s="289" t="n">
        <f aca="false">IF($L232=0,0,$L232*MAX(0,NETWORKDAYS(MAX($H232,ASOF,AB$72),MIN(MAX($I232,ASOF),AB$72+6),HOLIDAYS)))</f>
        <v>0</v>
      </c>
      <c r="AC232" s="289" t="n">
        <f aca="false">IF($L232=0,0,$L232*MAX(0,NETWORKDAYS(MAX($H232,ASOF,AC$72),MIN(MAX($I232,ASOF),AC$72+6),HOLIDAYS)))</f>
        <v>0</v>
      </c>
      <c r="AD232" s="289" t="n">
        <f aca="false">IF($L232=0,0,$L232*MAX(0,NETWORKDAYS(MAX($H232,ASOF,AD$72),MIN(MAX($I232,ASOF),AD$72+6),HOLIDAYS)))</f>
        <v>0</v>
      </c>
      <c r="AE232" s="289" t="n">
        <f aca="false">IF($L232=0,0,$L232*MAX(0,NETWORKDAYS(MAX($H232,ASOF,AE$72),MIN(MAX($I232,ASOF),AE$72+6),HOLIDAYS)))</f>
        <v>0</v>
      </c>
      <c r="AF232" s="289" t="n">
        <f aca="false">IF($L232=0,0,$L232*MAX(0,NETWORKDAYS(MAX($H232,ASOF,AF$72),MIN(MAX($I232,ASOF),AF$72+6),HOLIDAYS)))</f>
        <v>0</v>
      </c>
      <c r="AG232" s="289" t="n">
        <f aca="false">IF($L232=0,0,$L232*MAX(0,NETWORKDAYS(MAX($H232,ASOF,AG$72),MIN(MAX($I232,ASOF),AG$72+6),HOLIDAYS)))</f>
        <v>0</v>
      </c>
      <c r="AH232" s="289" t="n">
        <f aca="false">IF($L232=0,0,$L232*MAX(0,NETWORKDAYS(MAX($H232,ASOF,AH$72),MIN(MAX($I232,ASOF),AH$72+6),HOLIDAYS)))</f>
        <v>0</v>
      </c>
      <c r="AI232" s="289" t="n">
        <f aca="false">IF($L232=0,0,$L232*MAX(0,NETWORKDAYS(MAX($H232,ASOF,AI$72),MIN(MAX($I232,ASOF),AI$72+6),HOLIDAYS)))</f>
        <v>0</v>
      </c>
      <c r="AJ232" s="289" t="n">
        <f aca="false">IF($L232=0,0,$L232*MAX(0,NETWORKDAYS(MAX($H232,ASOF,AJ$72),MIN(MAX($I232,ASOF),AJ$72+6),HOLIDAYS)))</f>
        <v>0</v>
      </c>
      <c r="AK232" s="289" t="n">
        <f aca="false">IF($L232=0,0,$L232*MAX(0,NETWORKDAYS(MAX($H232,ASOF,AK$72),MIN(MAX($I232,ASOF),AK$72+6),HOLIDAYS)))</f>
        <v>0</v>
      </c>
      <c r="AL232" s="289" t="n">
        <f aca="false">IF($L232=0,0,$L232*MAX(0,NETWORKDAYS(MAX($H232,ASOF,AL$72),MIN(MAX($I232,ASOF),AL$72+6),HOLIDAYS)))</f>
        <v>0</v>
      </c>
      <c r="AM232" s="289" t="n">
        <f aca="false">IF($L232=0,0,$L232*MAX(0,NETWORKDAYS(MAX($H232,ASOF,AM$72),MIN(MAX($I232,ASOF),AM$72+6),HOLIDAYS)))</f>
        <v>0</v>
      </c>
      <c r="AN232" s="289" t="n">
        <f aca="false">IF($L232=0,0,$L232*MAX(0,NETWORKDAYS(MAX($H232,ASOF,AN$72),MIN(MAX($I232,ASOF),AN$72+6),HOLIDAYS)))</f>
        <v>0</v>
      </c>
      <c r="AO232" s="289" t="n">
        <f aca="false">IF($L232=0,0,$L232*MAX(0,NETWORKDAYS(MAX($H232,ASOF,AO$72),MIN(MAX($I232,ASOF),AO$72+6),HOLIDAYS)))</f>
        <v>0</v>
      </c>
      <c r="AP232" s="289" t="n">
        <f aca="false">IF($L232=0,0,$L232*MAX(0,NETWORKDAYS(MAX($H232,ASOF,AP$72),MIN(MAX($I232,ASOF),AP$72+6),HOLIDAYS)))</f>
        <v>0</v>
      </c>
      <c r="AQ232" s="289" t="n">
        <f aca="false">IF($L232=0,0,$L232*MAX(0,NETWORKDAYS(MAX($H232,ASOF,AQ$72),MIN(MAX($I232,ASOF),AQ$72+6),HOLIDAYS)))</f>
        <v>0</v>
      </c>
      <c r="AR232" s="289" t="n">
        <f aca="false">IF($L232=0,0,$L232*MAX(0,NETWORKDAYS(MAX($H232,ASOF,AR$72),MIN(MAX($I232,ASOF),AR$72+6),HOLIDAYS)))</f>
        <v>0</v>
      </c>
    </row>
    <row r="233" customFormat="false" ht="15" hidden="false" customHeight="false" outlineLevel="1" collapsed="false">
      <c r="A233" s="282" t="s">
        <v>94</v>
      </c>
      <c r="B233" s="283" t="s">
        <v>96</v>
      </c>
      <c r="C233" s="284" t="s">
        <v>2363</v>
      </c>
      <c r="D233" s="284" t="s">
        <v>2290</v>
      </c>
      <c r="E233" s="285" t="n">
        <v>1</v>
      </c>
      <c r="F233" s="290" t="s">
        <v>35</v>
      </c>
      <c r="G233" s="285" t="n">
        <f aca="false">IF(IFERROR(INDEX(INVS_TYPE,MATCH("P9-014",INVS_ID,0)),"")="สร้างใหม่ (E09)",$F$9*$H$9,0)</f>
        <v>24</v>
      </c>
      <c r="H233" s="286" t="n">
        <f aca="false">IF(ISNUMBER('P9-014'!$N$85),'P9-014'!$N$85,"")</f>
        <v>46343</v>
      </c>
      <c r="I233" s="286" t="n">
        <f aca="false">IF(ISNUMBER('P9-014'!$O$85),'P9-014'!$O$85,"")</f>
        <v>46346</v>
      </c>
      <c r="J233" s="287" t="n">
        <f aca="false">IF(OR(H233="",I233="",N233&gt;=1),0,MAX(1,NETWORKDAYS(MAX(H233,ASOF),MAX(I233,ASOF),HOLIDAYS)))</f>
        <v>4</v>
      </c>
      <c r="K233" s="287" t="n">
        <f aca="false">IF(L233=0,0,ROUNDUP(L233/$F$9,0))</f>
        <v>2</v>
      </c>
      <c r="L233" s="285" t="n">
        <f aca="false">IF(J233=0,0,G233*(1-N233)/J233)</f>
        <v>6</v>
      </c>
      <c r="M233" s="283" t="s">
        <v>2288</v>
      </c>
      <c r="N233" s="288" t="n">
        <f aca="false">IFERROR(MIN(1,'P9-014'!$V$85)+0,0)</f>
        <v>0</v>
      </c>
      <c r="O233" s="289" t="n">
        <f aca="false">IF($L233=0,0,$L233*MAX(0,NETWORKDAYS(MAX($H233,ASOF,O$72),MIN(MAX($I233,ASOF),O$72+6),HOLIDAYS)))</f>
        <v>0</v>
      </c>
      <c r="P233" s="289" t="n">
        <f aca="false">IF($L233=0,0,$L233*MAX(0,NETWORKDAYS(MAX($H233,ASOF,P$72),MIN(MAX($I233,ASOF),P$72+6),HOLIDAYS)))</f>
        <v>0</v>
      </c>
      <c r="Q233" s="289" t="n">
        <f aca="false">IF($L233=0,0,$L233*MAX(0,NETWORKDAYS(MAX($H233,ASOF,Q$72),MIN(MAX($I233,ASOF),Q$72+6),HOLIDAYS)))</f>
        <v>24</v>
      </c>
      <c r="R233" s="289" t="n">
        <f aca="false">IF($L233=0,0,$L233*MAX(0,NETWORKDAYS(MAX($H233,ASOF,R$72),MIN(MAX($I233,ASOF),R$72+6),HOLIDAYS)))</f>
        <v>0</v>
      </c>
      <c r="S233" s="289" t="n">
        <f aca="false">IF($L233=0,0,$L233*MAX(0,NETWORKDAYS(MAX($H233,ASOF,S$72),MIN(MAX($I233,ASOF),S$72+6),HOLIDAYS)))</f>
        <v>0</v>
      </c>
      <c r="T233" s="289" t="n">
        <f aca="false">IF($L233=0,0,$L233*MAX(0,NETWORKDAYS(MAX($H233,ASOF,T$72),MIN(MAX($I233,ASOF),T$72+6),HOLIDAYS)))</f>
        <v>0</v>
      </c>
      <c r="U233" s="289" t="n">
        <f aca="false">IF($L233=0,0,$L233*MAX(0,NETWORKDAYS(MAX($H233,ASOF,U$72),MIN(MAX($I233,ASOF),U$72+6),HOLIDAYS)))</f>
        <v>0</v>
      </c>
      <c r="V233" s="289" t="n">
        <f aca="false">IF($L233=0,0,$L233*MAX(0,NETWORKDAYS(MAX($H233,ASOF,V$72),MIN(MAX($I233,ASOF),V$72+6),HOLIDAYS)))</f>
        <v>0</v>
      </c>
      <c r="W233" s="289" t="n">
        <f aca="false">IF($L233=0,0,$L233*MAX(0,NETWORKDAYS(MAX($H233,ASOF,W$72),MIN(MAX($I233,ASOF),W$72+6),HOLIDAYS)))</f>
        <v>0</v>
      </c>
      <c r="X233" s="289" t="n">
        <f aca="false">IF($L233=0,0,$L233*MAX(0,NETWORKDAYS(MAX($H233,ASOF,X$72),MIN(MAX($I233,ASOF),X$72+6),HOLIDAYS)))</f>
        <v>0</v>
      </c>
      <c r="Y233" s="289" t="n">
        <f aca="false">IF($L233=0,0,$L233*MAX(0,NETWORKDAYS(MAX($H233,ASOF,Y$72),MIN(MAX($I233,ASOF),Y$72+6),HOLIDAYS)))</f>
        <v>0</v>
      </c>
      <c r="Z233" s="289" t="n">
        <f aca="false">IF($L233=0,0,$L233*MAX(0,NETWORKDAYS(MAX($H233,ASOF,Z$72),MIN(MAX($I233,ASOF),Z$72+6),HOLIDAYS)))</f>
        <v>0</v>
      </c>
      <c r="AA233" s="289" t="n">
        <f aca="false">IF($L233=0,0,$L233*MAX(0,NETWORKDAYS(MAX($H233,ASOF,AA$72),MIN(MAX($I233,ASOF),AA$72+6),HOLIDAYS)))</f>
        <v>0</v>
      </c>
      <c r="AB233" s="289" t="n">
        <f aca="false">IF($L233=0,0,$L233*MAX(0,NETWORKDAYS(MAX($H233,ASOF,AB$72),MIN(MAX($I233,ASOF),AB$72+6),HOLIDAYS)))</f>
        <v>0</v>
      </c>
      <c r="AC233" s="289" t="n">
        <f aca="false">IF($L233=0,0,$L233*MAX(0,NETWORKDAYS(MAX($H233,ASOF,AC$72),MIN(MAX($I233,ASOF),AC$72+6),HOLIDAYS)))</f>
        <v>0</v>
      </c>
      <c r="AD233" s="289" t="n">
        <f aca="false">IF($L233=0,0,$L233*MAX(0,NETWORKDAYS(MAX($H233,ASOF,AD$72),MIN(MAX($I233,ASOF),AD$72+6),HOLIDAYS)))</f>
        <v>0</v>
      </c>
      <c r="AE233" s="289" t="n">
        <f aca="false">IF($L233=0,0,$L233*MAX(0,NETWORKDAYS(MAX($H233,ASOF,AE$72),MIN(MAX($I233,ASOF),AE$72+6),HOLIDAYS)))</f>
        <v>0</v>
      </c>
      <c r="AF233" s="289" t="n">
        <f aca="false">IF($L233=0,0,$L233*MAX(0,NETWORKDAYS(MAX($H233,ASOF,AF$72),MIN(MAX($I233,ASOF),AF$72+6),HOLIDAYS)))</f>
        <v>0</v>
      </c>
      <c r="AG233" s="289" t="n">
        <f aca="false">IF($L233=0,0,$L233*MAX(0,NETWORKDAYS(MAX($H233,ASOF,AG$72),MIN(MAX($I233,ASOF),AG$72+6),HOLIDAYS)))</f>
        <v>0</v>
      </c>
      <c r="AH233" s="289" t="n">
        <f aca="false">IF($L233=0,0,$L233*MAX(0,NETWORKDAYS(MAX($H233,ASOF,AH$72),MIN(MAX($I233,ASOF),AH$72+6),HOLIDAYS)))</f>
        <v>0</v>
      </c>
      <c r="AI233" s="289" t="n">
        <f aca="false">IF($L233=0,0,$L233*MAX(0,NETWORKDAYS(MAX($H233,ASOF,AI$72),MIN(MAX($I233,ASOF),AI$72+6),HOLIDAYS)))</f>
        <v>0</v>
      </c>
      <c r="AJ233" s="289" t="n">
        <f aca="false">IF($L233=0,0,$L233*MAX(0,NETWORKDAYS(MAX($H233,ASOF,AJ$72),MIN(MAX($I233,ASOF),AJ$72+6),HOLIDAYS)))</f>
        <v>0</v>
      </c>
      <c r="AK233" s="289" t="n">
        <f aca="false">IF($L233=0,0,$L233*MAX(0,NETWORKDAYS(MAX($H233,ASOF,AK$72),MIN(MAX($I233,ASOF),AK$72+6),HOLIDAYS)))</f>
        <v>0</v>
      </c>
      <c r="AL233" s="289" t="n">
        <f aca="false">IF($L233=0,0,$L233*MAX(0,NETWORKDAYS(MAX($H233,ASOF,AL$72),MIN(MAX($I233,ASOF),AL$72+6),HOLIDAYS)))</f>
        <v>0</v>
      </c>
      <c r="AM233" s="289" t="n">
        <f aca="false">IF($L233=0,0,$L233*MAX(0,NETWORKDAYS(MAX($H233,ASOF,AM$72),MIN(MAX($I233,ASOF),AM$72+6),HOLIDAYS)))</f>
        <v>0</v>
      </c>
      <c r="AN233" s="289" t="n">
        <f aca="false">IF($L233=0,0,$L233*MAX(0,NETWORKDAYS(MAX($H233,ASOF,AN$72),MIN(MAX($I233,ASOF),AN$72+6),HOLIDAYS)))</f>
        <v>0</v>
      </c>
      <c r="AO233" s="289" t="n">
        <f aca="false">IF($L233=0,0,$L233*MAX(0,NETWORKDAYS(MAX($H233,ASOF,AO$72),MIN(MAX($I233,ASOF),AO$72+6),HOLIDAYS)))</f>
        <v>0</v>
      </c>
      <c r="AP233" s="289" t="n">
        <f aca="false">IF($L233=0,0,$L233*MAX(0,NETWORKDAYS(MAX($H233,ASOF,AP$72),MIN(MAX($I233,ASOF),AP$72+6),HOLIDAYS)))</f>
        <v>0</v>
      </c>
      <c r="AQ233" s="289" t="n">
        <f aca="false">IF($L233=0,0,$L233*MAX(0,NETWORKDAYS(MAX($H233,ASOF,AQ$72),MIN(MAX($I233,ASOF),AQ$72+6),HOLIDAYS)))</f>
        <v>0</v>
      </c>
      <c r="AR233" s="289" t="n">
        <f aca="false">IF($L233=0,0,$L233*MAX(0,NETWORKDAYS(MAX($H233,ASOF,AR$72),MIN(MAX($I233,ASOF),AR$72+6),HOLIDAYS)))</f>
        <v>0</v>
      </c>
    </row>
    <row r="234" customFormat="false" ht="15" hidden="false" customHeight="false" outlineLevel="1" collapsed="false">
      <c r="A234" s="282" t="s">
        <v>94</v>
      </c>
      <c r="B234" s="283" t="s">
        <v>96</v>
      </c>
      <c r="C234" s="284" t="s">
        <v>2364</v>
      </c>
      <c r="D234" s="284" t="s">
        <v>2284</v>
      </c>
      <c r="E234" s="285" t="n">
        <f aca="false">IFERROR(INDEX(INVS_N,MATCH("P9-014",INVS_ID,0)),2)</f>
        <v>2</v>
      </c>
      <c r="F234" s="290" t="s">
        <v>2365</v>
      </c>
      <c r="G234" s="285" t="n">
        <f aca="false">$F$10*(E234/$G$10+$H$10)</f>
        <v>4.5</v>
      </c>
      <c r="H234" s="286" t="n">
        <f aca="false">IF(ISNUMBER('P9-014'!$N$85),'P9-014'!$N$85,"")</f>
        <v>46343</v>
      </c>
      <c r="I234" s="286" t="n">
        <f aca="false">IF(ISNUMBER('P9-014'!$O$85),'P9-014'!$O$85,"")</f>
        <v>46346</v>
      </c>
      <c r="J234" s="287" t="n">
        <f aca="false">IF(OR(H234="",I234="",N234&gt;=1),0,MAX(1,NETWORKDAYS(MAX(H234,ASOF),MAX(I234,ASOF),HOLIDAYS)))</f>
        <v>4</v>
      </c>
      <c r="K234" s="287" t="n">
        <f aca="false">IF(L234=0,0,ROUNDUP(L234/$F$10,0))</f>
        <v>1</v>
      </c>
      <c r="L234" s="285" t="n">
        <f aca="false">IF(J234=0,0,G234*(1-N234)/J234)</f>
        <v>1.125</v>
      </c>
      <c r="M234" s="283" t="s">
        <v>2293</v>
      </c>
      <c r="N234" s="288" t="n">
        <f aca="false">IFERROR(MIN(1,'P9-014'!$V$85)+0,0)</f>
        <v>0</v>
      </c>
      <c r="O234" s="289" t="n">
        <f aca="false">IF($L234=0,0,$L234*MAX(0,NETWORKDAYS(MAX($H234,ASOF,O$72),MIN(MAX($I234,ASOF),O$72+6),HOLIDAYS)))</f>
        <v>0</v>
      </c>
      <c r="P234" s="289" t="n">
        <f aca="false">IF($L234=0,0,$L234*MAX(0,NETWORKDAYS(MAX($H234,ASOF,P$72),MIN(MAX($I234,ASOF),P$72+6),HOLIDAYS)))</f>
        <v>0</v>
      </c>
      <c r="Q234" s="289" t="n">
        <f aca="false">IF($L234=0,0,$L234*MAX(0,NETWORKDAYS(MAX($H234,ASOF,Q$72),MIN(MAX($I234,ASOF),Q$72+6),HOLIDAYS)))</f>
        <v>4.5</v>
      </c>
      <c r="R234" s="289" t="n">
        <f aca="false">IF($L234=0,0,$L234*MAX(0,NETWORKDAYS(MAX($H234,ASOF,R$72),MIN(MAX($I234,ASOF),R$72+6),HOLIDAYS)))</f>
        <v>0</v>
      </c>
      <c r="S234" s="289" t="n">
        <f aca="false">IF($L234=0,0,$L234*MAX(0,NETWORKDAYS(MAX($H234,ASOF,S$72),MIN(MAX($I234,ASOF),S$72+6),HOLIDAYS)))</f>
        <v>0</v>
      </c>
      <c r="T234" s="289" t="n">
        <f aca="false">IF($L234=0,0,$L234*MAX(0,NETWORKDAYS(MAX($H234,ASOF,T$72),MIN(MAX($I234,ASOF),T$72+6),HOLIDAYS)))</f>
        <v>0</v>
      </c>
      <c r="U234" s="289" t="n">
        <f aca="false">IF($L234=0,0,$L234*MAX(0,NETWORKDAYS(MAX($H234,ASOF,U$72),MIN(MAX($I234,ASOF),U$72+6),HOLIDAYS)))</f>
        <v>0</v>
      </c>
      <c r="V234" s="289" t="n">
        <f aca="false">IF($L234=0,0,$L234*MAX(0,NETWORKDAYS(MAX($H234,ASOF,V$72),MIN(MAX($I234,ASOF),V$72+6),HOLIDAYS)))</f>
        <v>0</v>
      </c>
      <c r="W234" s="289" t="n">
        <f aca="false">IF($L234=0,0,$L234*MAX(0,NETWORKDAYS(MAX($H234,ASOF,W$72),MIN(MAX($I234,ASOF),W$72+6),HOLIDAYS)))</f>
        <v>0</v>
      </c>
      <c r="X234" s="289" t="n">
        <f aca="false">IF($L234=0,0,$L234*MAX(0,NETWORKDAYS(MAX($H234,ASOF,X$72),MIN(MAX($I234,ASOF),X$72+6),HOLIDAYS)))</f>
        <v>0</v>
      </c>
      <c r="Y234" s="289" t="n">
        <f aca="false">IF($L234=0,0,$L234*MAX(0,NETWORKDAYS(MAX($H234,ASOF,Y$72),MIN(MAX($I234,ASOF),Y$72+6),HOLIDAYS)))</f>
        <v>0</v>
      </c>
      <c r="Z234" s="289" t="n">
        <f aca="false">IF($L234=0,0,$L234*MAX(0,NETWORKDAYS(MAX($H234,ASOF,Z$72),MIN(MAX($I234,ASOF),Z$72+6),HOLIDAYS)))</f>
        <v>0</v>
      </c>
      <c r="AA234" s="289" t="n">
        <f aca="false">IF($L234=0,0,$L234*MAX(0,NETWORKDAYS(MAX($H234,ASOF,AA$72),MIN(MAX($I234,ASOF),AA$72+6),HOLIDAYS)))</f>
        <v>0</v>
      </c>
      <c r="AB234" s="289" t="n">
        <f aca="false">IF($L234=0,0,$L234*MAX(0,NETWORKDAYS(MAX($H234,ASOF,AB$72),MIN(MAX($I234,ASOF),AB$72+6),HOLIDAYS)))</f>
        <v>0</v>
      </c>
      <c r="AC234" s="289" t="n">
        <f aca="false">IF($L234=0,0,$L234*MAX(0,NETWORKDAYS(MAX($H234,ASOF,AC$72),MIN(MAX($I234,ASOF),AC$72+6),HOLIDAYS)))</f>
        <v>0</v>
      </c>
      <c r="AD234" s="289" t="n">
        <f aca="false">IF($L234=0,0,$L234*MAX(0,NETWORKDAYS(MAX($H234,ASOF,AD$72),MIN(MAX($I234,ASOF),AD$72+6),HOLIDAYS)))</f>
        <v>0</v>
      </c>
      <c r="AE234" s="289" t="n">
        <f aca="false">IF($L234=0,0,$L234*MAX(0,NETWORKDAYS(MAX($H234,ASOF,AE$72),MIN(MAX($I234,ASOF),AE$72+6),HOLIDAYS)))</f>
        <v>0</v>
      </c>
      <c r="AF234" s="289" t="n">
        <f aca="false">IF($L234=0,0,$L234*MAX(0,NETWORKDAYS(MAX($H234,ASOF,AF$72),MIN(MAX($I234,ASOF),AF$72+6),HOLIDAYS)))</f>
        <v>0</v>
      </c>
      <c r="AG234" s="289" t="n">
        <f aca="false">IF($L234=0,0,$L234*MAX(0,NETWORKDAYS(MAX($H234,ASOF,AG$72),MIN(MAX($I234,ASOF),AG$72+6),HOLIDAYS)))</f>
        <v>0</v>
      </c>
      <c r="AH234" s="289" t="n">
        <f aca="false">IF($L234=0,0,$L234*MAX(0,NETWORKDAYS(MAX($H234,ASOF,AH$72),MIN(MAX($I234,ASOF),AH$72+6),HOLIDAYS)))</f>
        <v>0</v>
      </c>
      <c r="AI234" s="289" t="n">
        <f aca="false">IF($L234=0,0,$L234*MAX(0,NETWORKDAYS(MAX($H234,ASOF,AI$72),MIN(MAX($I234,ASOF),AI$72+6),HOLIDAYS)))</f>
        <v>0</v>
      </c>
      <c r="AJ234" s="289" t="n">
        <f aca="false">IF($L234=0,0,$L234*MAX(0,NETWORKDAYS(MAX($H234,ASOF,AJ$72),MIN(MAX($I234,ASOF),AJ$72+6),HOLIDAYS)))</f>
        <v>0</v>
      </c>
      <c r="AK234" s="289" t="n">
        <f aca="false">IF($L234=0,0,$L234*MAX(0,NETWORKDAYS(MAX($H234,ASOF,AK$72),MIN(MAX($I234,ASOF),AK$72+6),HOLIDAYS)))</f>
        <v>0</v>
      </c>
      <c r="AL234" s="289" t="n">
        <f aca="false">IF($L234=0,0,$L234*MAX(0,NETWORKDAYS(MAX($H234,ASOF,AL$72),MIN(MAX($I234,ASOF),AL$72+6),HOLIDAYS)))</f>
        <v>0</v>
      </c>
      <c r="AM234" s="289" t="n">
        <f aca="false">IF($L234=0,0,$L234*MAX(0,NETWORKDAYS(MAX($H234,ASOF,AM$72),MIN(MAX($I234,ASOF),AM$72+6),HOLIDAYS)))</f>
        <v>0</v>
      </c>
      <c r="AN234" s="289" t="n">
        <f aca="false">IF($L234=0,0,$L234*MAX(0,NETWORKDAYS(MAX($H234,ASOF,AN$72),MIN(MAX($I234,ASOF),AN$72+6),HOLIDAYS)))</f>
        <v>0</v>
      </c>
      <c r="AO234" s="289" t="n">
        <f aca="false">IF($L234=0,0,$L234*MAX(0,NETWORKDAYS(MAX($H234,ASOF,AO$72),MIN(MAX($I234,ASOF),AO$72+6),HOLIDAYS)))</f>
        <v>0</v>
      </c>
      <c r="AP234" s="289" t="n">
        <f aca="false">IF($L234=0,0,$L234*MAX(0,NETWORKDAYS(MAX($H234,ASOF,AP$72),MIN(MAX($I234,ASOF),AP$72+6),HOLIDAYS)))</f>
        <v>0</v>
      </c>
      <c r="AQ234" s="289" t="n">
        <f aca="false">IF($L234=0,0,$L234*MAX(0,NETWORKDAYS(MAX($H234,ASOF,AQ$72),MIN(MAX($I234,ASOF),AQ$72+6),HOLIDAYS)))</f>
        <v>0</v>
      </c>
      <c r="AR234" s="289" t="n">
        <f aca="false">IF($L234=0,0,$L234*MAX(0,NETWORKDAYS(MAX($H234,ASOF,AR$72),MIN(MAX($I234,ASOF),AR$72+6),HOLIDAYS)))</f>
        <v>0</v>
      </c>
    </row>
    <row r="235" customFormat="false" ht="15" hidden="false" customHeight="false" outlineLevel="1" collapsed="false">
      <c r="A235" s="282" t="s">
        <v>94</v>
      </c>
      <c r="B235" s="283" t="s">
        <v>96</v>
      </c>
      <c r="C235" s="284" t="s">
        <v>2366</v>
      </c>
      <c r="D235" s="284" t="s">
        <v>2284</v>
      </c>
      <c r="E235" s="285" t="n">
        <v>1</v>
      </c>
      <c r="F235" s="290" t="s">
        <v>35</v>
      </c>
      <c r="G235" s="285" t="n">
        <f aca="false">$F$11*$H$11</f>
        <v>16</v>
      </c>
      <c r="H235" s="286" t="n">
        <f aca="false">IF(ISNUMBER('P9-014'!$N$90),'P9-014'!$N$90,"")</f>
        <v>46344</v>
      </c>
      <c r="I235" s="286" t="n">
        <f aca="false">IF(ISNUMBER('P9-014'!$O$90),'P9-014'!$O$90,"")</f>
        <v>46347</v>
      </c>
      <c r="J235" s="287" t="n">
        <f aca="false">IF(OR(H235="",I235="",N235&gt;=1),0,MAX(1,NETWORKDAYS(MAX(H235,ASOF),MAX(I235,ASOF),HOLIDAYS)))</f>
        <v>3</v>
      </c>
      <c r="K235" s="287" t="n">
        <f aca="false">IF(L235=0,0,ROUNDUP(L235/$F$11,0))</f>
        <v>2</v>
      </c>
      <c r="L235" s="285" t="n">
        <f aca="false">IF(J235=0,0,G235*(1-N235)/J235)</f>
        <v>5.33333333333333</v>
      </c>
      <c r="M235" s="283" t="s">
        <v>1113</v>
      </c>
      <c r="N235" s="288" t="n">
        <f aca="false">IFERROR(MIN(1,'P9-014'!$V$90)+0,0)</f>
        <v>0</v>
      </c>
      <c r="O235" s="289" t="n">
        <f aca="false">IF($L235=0,0,$L235*MAX(0,NETWORKDAYS(MAX($H235,ASOF,O$72),MIN(MAX($I235,ASOF),O$72+6),HOLIDAYS)))</f>
        <v>0</v>
      </c>
      <c r="P235" s="289" t="n">
        <f aca="false">IF($L235=0,0,$L235*MAX(0,NETWORKDAYS(MAX($H235,ASOF,P$72),MIN(MAX($I235,ASOF),P$72+6),HOLIDAYS)))</f>
        <v>0</v>
      </c>
      <c r="Q235" s="289" t="n">
        <f aca="false">IF($L235=0,0,$L235*MAX(0,NETWORKDAYS(MAX($H235,ASOF,Q$72),MIN(MAX($I235,ASOF),Q$72+6),HOLIDAYS)))</f>
        <v>16</v>
      </c>
      <c r="R235" s="289" t="n">
        <f aca="false">IF($L235=0,0,$L235*MAX(0,NETWORKDAYS(MAX($H235,ASOF,R$72),MIN(MAX($I235,ASOF),R$72+6),HOLIDAYS)))</f>
        <v>0</v>
      </c>
      <c r="S235" s="289" t="n">
        <f aca="false">IF($L235=0,0,$L235*MAX(0,NETWORKDAYS(MAX($H235,ASOF,S$72),MIN(MAX($I235,ASOF),S$72+6),HOLIDAYS)))</f>
        <v>0</v>
      </c>
      <c r="T235" s="289" t="n">
        <f aca="false">IF($L235=0,0,$L235*MAX(0,NETWORKDAYS(MAX($H235,ASOF,T$72),MIN(MAX($I235,ASOF),T$72+6),HOLIDAYS)))</f>
        <v>0</v>
      </c>
      <c r="U235" s="289" t="n">
        <f aca="false">IF($L235=0,0,$L235*MAX(0,NETWORKDAYS(MAX($H235,ASOF,U$72),MIN(MAX($I235,ASOF),U$72+6),HOLIDAYS)))</f>
        <v>0</v>
      </c>
      <c r="V235" s="289" t="n">
        <f aca="false">IF($L235=0,0,$L235*MAX(0,NETWORKDAYS(MAX($H235,ASOF,V$72),MIN(MAX($I235,ASOF),V$72+6),HOLIDAYS)))</f>
        <v>0</v>
      </c>
      <c r="W235" s="289" t="n">
        <f aca="false">IF($L235=0,0,$L235*MAX(0,NETWORKDAYS(MAX($H235,ASOF,W$72),MIN(MAX($I235,ASOF),W$72+6),HOLIDAYS)))</f>
        <v>0</v>
      </c>
      <c r="X235" s="289" t="n">
        <f aca="false">IF($L235=0,0,$L235*MAX(0,NETWORKDAYS(MAX($H235,ASOF,X$72),MIN(MAX($I235,ASOF),X$72+6),HOLIDAYS)))</f>
        <v>0</v>
      </c>
      <c r="Y235" s="289" t="n">
        <f aca="false">IF($L235=0,0,$L235*MAX(0,NETWORKDAYS(MAX($H235,ASOF,Y$72),MIN(MAX($I235,ASOF),Y$72+6),HOLIDAYS)))</f>
        <v>0</v>
      </c>
      <c r="Z235" s="289" t="n">
        <f aca="false">IF($L235=0,0,$L235*MAX(0,NETWORKDAYS(MAX($H235,ASOF,Z$72),MIN(MAX($I235,ASOF),Z$72+6),HOLIDAYS)))</f>
        <v>0</v>
      </c>
      <c r="AA235" s="289" t="n">
        <f aca="false">IF($L235=0,0,$L235*MAX(0,NETWORKDAYS(MAX($H235,ASOF,AA$72),MIN(MAX($I235,ASOF),AA$72+6),HOLIDAYS)))</f>
        <v>0</v>
      </c>
      <c r="AB235" s="289" t="n">
        <f aca="false">IF($L235=0,0,$L235*MAX(0,NETWORKDAYS(MAX($H235,ASOF,AB$72),MIN(MAX($I235,ASOF),AB$72+6),HOLIDAYS)))</f>
        <v>0</v>
      </c>
      <c r="AC235" s="289" t="n">
        <f aca="false">IF($L235=0,0,$L235*MAX(0,NETWORKDAYS(MAX($H235,ASOF,AC$72),MIN(MAX($I235,ASOF),AC$72+6),HOLIDAYS)))</f>
        <v>0</v>
      </c>
      <c r="AD235" s="289" t="n">
        <f aca="false">IF($L235=0,0,$L235*MAX(0,NETWORKDAYS(MAX($H235,ASOF,AD$72),MIN(MAX($I235,ASOF),AD$72+6),HOLIDAYS)))</f>
        <v>0</v>
      </c>
      <c r="AE235" s="289" t="n">
        <f aca="false">IF($L235=0,0,$L235*MAX(0,NETWORKDAYS(MAX($H235,ASOF,AE$72),MIN(MAX($I235,ASOF),AE$72+6),HOLIDAYS)))</f>
        <v>0</v>
      </c>
      <c r="AF235" s="289" t="n">
        <f aca="false">IF($L235=0,0,$L235*MAX(0,NETWORKDAYS(MAX($H235,ASOF,AF$72),MIN(MAX($I235,ASOF),AF$72+6),HOLIDAYS)))</f>
        <v>0</v>
      </c>
      <c r="AG235" s="289" t="n">
        <f aca="false">IF($L235=0,0,$L235*MAX(0,NETWORKDAYS(MAX($H235,ASOF,AG$72),MIN(MAX($I235,ASOF),AG$72+6),HOLIDAYS)))</f>
        <v>0</v>
      </c>
      <c r="AH235" s="289" t="n">
        <f aca="false">IF($L235=0,0,$L235*MAX(0,NETWORKDAYS(MAX($H235,ASOF,AH$72),MIN(MAX($I235,ASOF),AH$72+6),HOLIDAYS)))</f>
        <v>0</v>
      </c>
      <c r="AI235" s="289" t="n">
        <f aca="false">IF($L235=0,0,$L235*MAX(0,NETWORKDAYS(MAX($H235,ASOF,AI$72),MIN(MAX($I235,ASOF),AI$72+6),HOLIDAYS)))</f>
        <v>0</v>
      </c>
      <c r="AJ235" s="289" t="n">
        <f aca="false">IF($L235=0,0,$L235*MAX(0,NETWORKDAYS(MAX($H235,ASOF,AJ$72),MIN(MAX($I235,ASOF),AJ$72+6),HOLIDAYS)))</f>
        <v>0</v>
      </c>
      <c r="AK235" s="289" t="n">
        <f aca="false">IF($L235=0,0,$L235*MAX(0,NETWORKDAYS(MAX($H235,ASOF,AK$72),MIN(MAX($I235,ASOF),AK$72+6),HOLIDAYS)))</f>
        <v>0</v>
      </c>
      <c r="AL235" s="289" t="n">
        <f aca="false">IF($L235=0,0,$L235*MAX(0,NETWORKDAYS(MAX($H235,ASOF,AL$72),MIN(MAX($I235,ASOF),AL$72+6),HOLIDAYS)))</f>
        <v>0</v>
      </c>
      <c r="AM235" s="289" t="n">
        <f aca="false">IF($L235=0,0,$L235*MAX(0,NETWORKDAYS(MAX($H235,ASOF,AM$72),MIN(MAX($I235,ASOF),AM$72+6),HOLIDAYS)))</f>
        <v>0</v>
      </c>
      <c r="AN235" s="289" t="n">
        <f aca="false">IF($L235=0,0,$L235*MAX(0,NETWORKDAYS(MAX($H235,ASOF,AN$72),MIN(MAX($I235,ASOF),AN$72+6),HOLIDAYS)))</f>
        <v>0</v>
      </c>
      <c r="AO235" s="289" t="n">
        <f aca="false">IF($L235=0,0,$L235*MAX(0,NETWORKDAYS(MAX($H235,ASOF,AO$72),MIN(MAX($I235,ASOF),AO$72+6),HOLIDAYS)))</f>
        <v>0</v>
      </c>
      <c r="AP235" s="289" t="n">
        <f aca="false">IF($L235=0,0,$L235*MAX(0,NETWORKDAYS(MAX($H235,ASOF,AP$72),MIN(MAX($I235,ASOF),AP$72+6),HOLIDAYS)))</f>
        <v>0</v>
      </c>
      <c r="AQ235" s="289" t="n">
        <f aca="false">IF($L235=0,0,$L235*MAX(0,NETWORKDAYS(MAX($H235,ASOF,AQ$72),MIN(MAX($I235,ASOF),AQ$72+6),HOLIDAYS)))</f>
        <v>0</v>
      </c>
      <c r="AR235" s="289" t="n">
        <f aca="false">IF($L235=0,0,$L235*MAX(0,NETWORKDAYS(MAX($H235,ASOF,AR$72),MIN(MAX($I235,ASOF),AR$72+6),HOLIDAYS)))</f>
        <v>0</v>
      </c>
    </row>
    <row r="236" customFormat="false" ht="15" hidden="false" customHeight="false" outlineLevel="1" collapsed="false">
      <c r="A236" s="282" t="s">
        <v>94</v>
      </c>
      <c r="B236" s="283" t="s">
        <v>96</v>
      </c>
      <c r="C236" s="284" t="s">
        <v>2367</v>
      </c>
      <c r="D236" s="284" t="s">
        <v>2284</v>
      </c>
      <c r="E236" s="285" t="n">
        <v>1</v>
      </c>
      <c r="F236" s="290" t="s">
        <v>35</v>
      </c>
      <c r="G236" s="285" t="n">
        <f aca="false">$F$12*$H$12</f>
        <v>4</v>
      </c>
      <c r="H236" s="286" t="n">
        <f aca="false">IF(ISNUMBER('P9-014'!$N$96),'P9-014'!$N$96,"")</f>
        <v>46345</v>
      </c>
      <c r="I236" s="286" t="n">
        <f aca="false">IF(ISNUMBER('P9-014'!$O$96),'P9-014'!$O$96,"")</f>
        <v>46347</v>
      </c>
      <c r="J236" s="287" t="n">
        <f aca="false">IF(OR(H236="",I236="",N236&gt;=1),0,MAX(1,NETWORKDAYS(MAX(H236,ASOF),MAX(I236,ASOF),HOLIDAYS)))</f>
        <v>2</v>
      </c>
      <c r="K236" s="287" t="n">
        <f aca="false">IF(L236=0,0,ROUNDUP(L236/$F$12,0))</f>
        <v>1</v>
      </c>
      <c r="L236" s="285" t="n">
        <f aca="false">IF(J236=0,0,G236*(1-N236)/J236)</f>
        <v>2</v>
      </c>
      <c r="M236" s="283" t="s">
        <v>1147</v>
      </c>
      <c r="N236" s="288" t="n">
        <f aca="false">IFERROR(MIN(1,'P9-014'!$V$96)+0,0)</f>
        <v>0</v>
      </c>
      <c r="O236" s="289" t="n">
        <f aca="false">IF($L236=0,0,$L236*MAX(0,NETWORKDAYS(MAX($H236,ASOF,O$72),MIN(MAX($I236,ASOF),O$72+6),HOLIDAYS)))</f>
        <v>0</v>
      </c>
      <c r="P236" s="289" t="n">
        <f aca="false">IF($L236=0,0,$L236*MAX(0,NETWORKDAYS(MAX($H236,ASOF,P$72),MIN(MAX($I236,ASOF),P$72+6),HOLIDAYS)))</f>
        <v>0</v>
      </c>
      <c r="Q236" s="289" t="n">
        <f aca="false">IF($L236=0,0,$L236*MAX(0,NETWORKDAYS(MAX($H236,ASOF,Q$72),MIN(MAX($I236,ASOF),Q$72+6),HOLIDAYS)))</f>
        <v>4</v>
      </c>
      <c r="R236" s="289" t="n">
        <f aca="false">IF($L236=0,0,$L236*MAX(0,NETWORKDAYS(MAX($H236,ASOF,R$72),MIN(MAX($I236,ASOF),R$72+6),HOLIDAYS)))</f>
        <v>0</v>
      </c>
      <c r="S236" s="289" t="n">
        <f aca="false">IF($L236=0,0,$L236*MAX(0,NETWORKDAYS(MAX($H236,ASOF,S$72),MIN(MAX($I236,ASOF),S$72+6),HOLIDAYS)))</f>
        <v>0</v>
      </c>
      <c r="T236" s="289" t="n">
        <f aca="false">IF($L236=0,0,$L236*MAX(0,NETWORKDAYS(MAX($H236,ASOF,T$72),MIN(MAX($I236,ASOF),T$72+6),HOLIDAYS)))</f>
        <v>0</v>
      </c>
      <c r="U236" s="289" t="n">
        <f aca="false">IF($L236=0,0,$L236*MAX(0,NETWORKDAYS(MAX($H236,ASOF,U$72),MIN(MAX($I236,ASOF),U$72+6),HOLIDAYS)))</f>
        <v>0</v>
      </c>
      <c r="V236" s="289" t="n">
        <f aca="false">IF($L236=0,0,$L236*MAX(0,NETWORKDAYS(MAX($H236,ASOF,V$72),MIN(MAX($I236,ASOF),V$72+6),HOLIDAYS)))</f>
        <v>0</v>
      </c>
      <c r="W236" s="289" t="n">
        <f aca="false">IF($L236=0,0,$L236*MAX(0,NETWORKDAYS(MAX($H236,ASOF,W$72),MIN(MAX($I236,ASOF),W$72+6),HOLIDAYS)))</f>
        <v>0</v>
      </c>
      <c r="X236" s="289" t="n">
        <f aca="false">IF($L236=0,0,$L236*MAX(0,NETWORKDAYS(MAX($H236,ASOF,X$72),MIN(MAX($I236,ASOF),X$72+6),HOLIDAYS)))</f>
        <v>0</v>
      </c>
      <c r="Y236" s="289" t="n">
        <f aca="false">IF($L236=0,0,$L236*MAX(0,NETWORKDAYS(MAX($H236,ASOF,Y$72),MIN(MAX($I236,ASOF),Y$72+6),HOLIDAYS)))</f>
        <v>0</v>
      </c>
      <c r="Z236" s="289" t="n">
        <f aca="false">IF($L236=0,0,$L236*MAX(0,NETWORKDAYS(MAX($H236,ASOF,Z$72),MIN(MAX($I236,ASOF),Z$72+6),HOLIDAYS)))</f>
        <v>0</v>
      </c>
      <c r="AA236" s="289" t="n">
        <f aca="false">IF($L236=0,0,$L236*MAX(0,NETWORKDAYS(MAX($H236,ASOF,AA$72),MIN(MAX($I236,ASOF),AA$72+6),HOLIDAYS)))</f>
        <v>0</v>
      </c>
      <c r="AB236" s="289" t="n">
        <f aca="false">IF($L236=0,0,$L236*MAX(0,NETWORKDAYS(MAX($H236,ASOF,AB$72),MIN(MAX($I236,ASOF),AB$72+6),HOLIDAYS)))</f>
        <v>0</v>
      </c>
      <c r="AC236" s="289" t="n">
        <f aca="false">IF($L236=0,0,$L236*MAX(0,NETWORKDAYS(MAX($H236,ASOF,AC$72),MIN(MAX($I236,ASOF),AC$72+6),HOLIDAYS)))</f>
        <v>0</v>
      </c>
      <c r="AD236" s="289" t="n">
        <f aca="false">IF($L236=0,0,$L236*MAX(0,NETWORKDAYS(MAX($H236,ASOF,AD$72),MIN(MAX($I236,ASOF),AD$72+6),HOLIDAYS)))</f>
        <v>0</v>
      </c>
      <c r="AE236" s="289" t="n">
        <f aca="false">IF($L236=0,0,$L236*MAX(0,NETWORKDAYS(MAX($H236,ASOF,AE$72),MIN(MAX($I236,ASOF),AE$72+6),HOLIDAYS)))</f>
        <v>0</v>
      </c>
      <c r="AF236" s="289" t="n">
        <f aca="false">IF($L236=0,0,$L236*MAX(0,NETWORKDAYS(MAX($H236,ASOF,AF$72),MIN(MAX($I236,ASOF),AF$72+6),HOLIDAYS)))</f>
        <v>0</v>
      </c>
      <c r="AG236" s="289" t="n">
        <f aca="false">IF($L236=0,0,$L236*MAX(0,NETWORKDAYS(MAX($H236,ASOF,AG$72),MIN(MAX($I236,ASOF),AG$72+6),HOLIDAYS)))</f>
        <v>0</v>
      </c>
      <c r="AH236" s="289" t="n">
        <f aca="false">IF($L236=0,0,$L236*MAX(0,NETWORKDAYS(MAX($H236,ASOF,AH$72),MIN(MAX($I236,ASOF),AH$72+6),HOLIDAYS)))</f>
        <v>0</v>
      </c>
      <c r="AI236" s="289" t="n">
        <f aca="false">IF($L236=0,0,$L236*MAX(0,NETWORKDAYS(MAX($H236,ASOF,AI$72),MIN(MAX($I236,ASOF),AI$72+6),HOLIDAYS)))</f>
        <v>0</v>
      </c>
      <c r="AJ236" s="289" t="n">
        <f aca="false">IF($L236=0,0,$L236*MAX(0,NETWORKDAYS(MAX($H236,ASOF,AJ$72),MIN(MAX($I236,ASOF),AJ$72+6),HOLIDAYS)))</f>
        <v>0</v>
      </c>
      <c r="AK236" s="289" t="n">
        <f aca="false">IF($L236=0,0,$L236*MAX(0,NETWORKDAYS(MAX($H236,ASOF,AK$72),MIN(MAX($I236,ASOF),AK$72+6),HOLIDAYS)))</f>
        <v>0</v>
      </c>
      <c r="AL236" s="289" t="n">
        <f aca="false">IF($L236=0,0,$L236*MAX(0,NETWORKDAYS(MAX($H236,ASOF,AL$72),MIN(MAX($I236,ASOF),AL$72+6),HOLIDAYS)))</f>
        <v>0</v>
      </c>
      <c r="AM236" s="289" t="n">
        <f aca="false">IF($L236=0,0,$L236*MAX(0,NETWORKDAYS(MAX($H236,ASOF,AM$72),MIN(MAX($I236,ASOF),AM$72+6),HOLIDAYS)))</f>
        <v>0</v>
      </c>
      <c r="AN236" s="289" t="n">
        <f aca="false">IF($L236=0,0,$L236*MAX(0,NETWORKDAYS(MAX($H236,ASOF,AN$72),MIN(MAX($I236,ASOF),AN$72+6),HOLIDAYS)))</f>
        <v>0</v>
      </c>
      <c r="AO236" s="289" t="n">
        <f aca="false">IF($L236=0,0,$L236*MAX(0,NETWORKDAYS(MAX($H236,ASOF,AO$72),MIN(MAX($I236,ASOF),AO$72+6),HOLIDAYS)))</f>
        <v>0</v>
      </c>
      <c r="AP236" s="289" t="n">
        <f aca="false">IF($L236=0,0,$L236*MAX(0,NETWORKDAYS(MAX($H236,ASOF,AP$72),MIN(MAX($I236,ASOF),AP$72+6),HOLIDAYS)))</f>
        <v>0</v>
      </c>
      <c r="AQ236" s="289" t="n">
        <f aca="false">IF($L236=0,0,$L236*MAX(0,NETWORKDAYS(MAX($H236,ASOF,AQ$72),MIN(MAX($I236,ASOF),AQ$72+6),HOLIDAYS)))</f>
        <v>0</v>
      </c>
      <c r="AR236" s="289" t="n">
        <f aca="false">IF($L236=0,0,$L236*MAX(0,NETWORKDAYS(MAX($H236,ASOF,AR$72),MIN(MAX($I236,ASOF),AR$72+6),HOLIDAYS)))</f>
        <v>0</v>
      </c>
    </row>
    <row r="237" customFormat="false" ht="15" hidden="false" customHeight="false" outlineLevel="1" collapsed="false">
      <c r="A237" s="282" t="s">
        <v>94</v>
      </c>
      <c r="B237" s="283" t="s">
        <v>96</v>
      </c>
      <c r="C237" s="284" t="s">
        <v>2368</v>
      </c>
      <c r="D237" s="284" t="s">
        <v>2301</v>
      </c>
      <c r="E237" s="285" t="n">
        <v>1</v>
      </c>
      <c r="F237" s="290" t="s">
        <v>35</v>
      </c>
      <c r="G237" s="285" t="n">
        <f aca="false">$F$13*$H$13</f>
        <v>12</v>
      </c>
      <c r="H237" s="286" t="n">
        <f aca="false">IF(ISNUMBER('P9-014'!$N$100),'P9-014'!$N$100,"")</f>
        <v>46346</v>
      </c>
      <c r="I237" s="286" t="n">
        <f aca="false">IF(ISNUMBER('P9-014'!$O$100),'P9-014'!$O$100,"")</f>
        <v>46348</v>
      </c>
      <c r="J237" s="287" t="n">
        <f aca="false">IF(OR(H237="",I237="",N237&gt;=1),0,MAX(1,NETWORKDAYS(MAX(H237,ASOF),MAX(I237,ASOF),HOLIDAYS)))</f>
        <v>1</v>
      </c>
      <c r="K237" s="287" t="n">
        <f aca="false">IF(L237=0,0,ROUNDUP(L237/$F$13,0))</f>
        <v>3</v>
      </c>
      <c r="L237" s="285" t="n">
        <f aca="false">IF(J237=0,0,G237*(1-N237)/J237)</f>
        <v>12</v>
      </c>
      <c r="M237" s="283" t="s">
        <v>2299</v>
      </c>
      <c r="N237" s="288" t="n">
        <f aca="false">IFERROR(MIN(1,'P9-014'!$V$100)+0,0)</f>
        <v>0</v>
      </c>
      <c r="O237" s="289" t="n">
        <f aca="false">IF($L237=0,0,$L237*MAX(0,NETWORKDAYS(MAX($H237,ASOF,O$72),MIN(MAX($I237,ASOF),O$72+6),HOLIDAYS)))</f>
        <v>0</v>
      </c>
      <c r="P237" s="289" t="n">
        <f aca="false">IF($L237=0,0,$L237*MAX(0,NETWORKDAYS(MAX($H237,ASOF,P$72),MIN(MAX($I237,ASOF),P$72+6),HOLIDAYS)))</f>
        <v>0</v>
      </c>
      <c r="Q237" s="289" t="n">
        <f aca="false">IF($L237=0,0,$L237*MAX(0,NETWORKDAYS(MAX($H237,ASOF,Q$72),MIN(MAX($I237,ASOF),Q$72+6),HOLIDAYS)))</f>
        <v>12</v>
      </c>
      <c r="R237" s="289" t="n">
        <f aca="false">IF($L237=0,0,$L237*MAX(0,NETWORKDAYS(MAX($H237,ASOF,R$72),MIN(MAX($I237,ASOF),R$72+6),HOLIDAYS)))</f>
        <v>0</v>
      </c>
      <c r="S237" s="289" t="n">
        <f aca="false">IF($L237=0,0,$L237*MAX(0,NETWORKDAYS(MAX($H237,ASOF,S$72),MIN(MAX($I237,ASOF),S$72+6),HOLIDAYS)))</f>
        <v>0</v>
      </c>
      <c r="T237" s="289" t="n">
        <f aca="false">IF($L237=0,0,$L237*MAX(0,NETWORKDAYS(MAX($H237,ASOF,T$72),MIN(MAX($I237,ASOF),T$72+6),HOLIDAYS)))</f>
        <v>0</v>
      </c>
      <c r="U237" s="289" t="n">
        <f aca="false">IF($L237=0,0,$L237*MAX(0,NETWORKDAYS(MAX($H237,ASOF,U$72),MIN(MAX($I237,ASOF),U$72+6),HOLIDAYS)))</f>
        <v>0</v>
      </c>
      <c r="V237" s="289" t="n">
        <f aca="false">IF($L237=0,0,$L237*MAX(0,NETWORKDAYS(MAX($H237,ASOF,V$72),MIN(MAX($I237,ASOF),V$72+6),HOLIDAYS)))</f>
        <v>0</v>
      </c>
      <c r="W237" s="289" t="n">
        <f aca="false">IF($L237=0,0,$L237*MAX(0,NETWORKDAYS(MAX($H237,ASOF,W$72),MIN(MAX($I237,ASOF),W$72+6),HOLIDAYS)))</f>
        <v>0</v>
      </c>
      <c r="X237" s="289" t="n">
        <f aca="false">IF($L237=0,0,$L237*MAX(0,NETWORKDAYS(MAX($H237,ASOF,X$72),MIN(MAX($I237,ASOF),X$72+6),HOLIDAYS)))</f>
        <v>0</v>
      </c>
      <c r="Y237" s="289" t="n">
        <f aca="false">IF($L237=0,0,$L237*MAX(0,NETWORKDAYS(MAX($H237,ASOF,Y$72),MIN(MAX($I237,ASOF),Y$72+6),HOLIDAYS)))</f>
        <v>0</v>
      </c>
      <c r="Z237" s="289" t="n">
        <f aca="false">IF($L237=0,0,$L237*MAX(0,NETWORKDAYS(MAX($H237,ASOF,Z$72),MIN(MAX($I237,ASOF),Z$72+6),HOLIDAYS)))</f>
        <v>0</v>
      </c>
      <c r="AA237" s="289" t="n">
        <f aca="false">IF($L237=0,0,$L237*MAX(0,NETWORKDAYS(MAX($H237,ASOF,AA$72),MIN(MAX($I237,ASOF),AA$72+6),HOLIDAYS)))</f>
        <v>0</v>
      </c>
      <c r="AB237" s="289" t="n">
        <f aca="false">IF($L237=0,0,$L237*MAX(0,NETWORKDAYS(MAX($H237,ASOF,AB$72),MIN(MAX($I237,ASOF),AB$72+6),HOLIDAYS)))</f>
        <v>0</v>
      </c>
      <c r="AC237" s="289" t="n">
        <f aca="false">IF($L237=0,0,$L237*MAX(0,NETWORKDAYS(MAX($H237,ASOF,AC$72),MIN(MAX($I237,ASOF),AC$72+6),HOLIDAYS)))</f>
        <v>0</v>
      </c>
      <c r="AD237" s="289" t="n">
        <f aca="false">IF($L237=0,0,$L237*MAX(0,NETWORKDAYS(MAX($H237,ASOF,AD$72),MIN(MAX($I237,ASOF),AD$72+6),HOLIDAYS)))</f>
        <v>0</v>
      </c>
      <c r="AE237" s="289" t="n">
        <f aca="false">IF($L237=0,0,$L237*MAX(0,NETWORKDAYS(MAX($H237,ASOF,AE$72),MIN(MAX($I237,ASOF),AE$72+6),HOLIDAYS)))</f>
        <v>0</v>
      </c>
      <c r="AF237" s="289" t="n">
        <f aca="false">IF($L237=0,0,$L237*MAX(0,NETWORKDAYS(MAX($H237,ASOF,AF$72),MIN(MAX($I237,ASOF),AF$72+6),HOLIDAYS)))</f>
        <v>0</v>
      </c>
      <c r="AG237" s="289" t="n">
        <f aca="false">IF($L237=0,0,$L237*MAX(0,NETWORKDAYS(MAX($H237,ASOF,AG$72),MIN(MAX($I237,ASOF),AG$72+6),HOLIDAYS)))</f>
        <v>0</v>
      </c>
      <c r="AH237" s="289" t="n">
        <f aca="false">IF($L237=0,0,$L237*MAX(0,NETWORKDAYS(MAX($H237,ASOF,AH$72),MIN(MAX($I237,ASOF),AH$72+6),HOLIDAYS)))</f>
        <v>0</v>
      </c>
      <c r="AI237" s="289" t="n">
        <f aca="false">IF($L237=0,0,$L237*MAX(0,NETWORKDAYS(MAX($H237,ASOF,AI$72),MIN(MAX($I237,ASOF),AI$72+6),HOLIDAYS)))</f>
        <v>0</v>
      </c>
      <c r="AJ237" s="289" t="n">
        <f aca="false">IF($L237=0,0,$L237*MAX(0,NETWORKDAYS(MAX($H237,ASOF,AJ$72),MIN(MAX($I237,ASOF),AJ$72+6),HOLIDAYS)))</f>
        <v>0</v>
      </c>
      <c r="AK237" s="289" t="n">
        <f aca="false">IF($L237=0,0,$L237*MAX(0,NETWORKDAYS(MAX($H237,ASOF,AK$72),MIN(MAX($I237,ASOF),AK$72+6),HOLIDAYS)))</f>
        <v>0</v>
      </c>
      <c r="AL237" s="289" t="n">
        <f aca="false">IF($L237=0,0,$L237*MAX(0,NETWORKDAYS(MAX($H237,ASOF,AL$72),MIN(MAX($I237,ASOF),AL$72+6),HOLIDAYS)))</f>
        <v>0</v>
      </c>
      <c r="AM237" s="289" t="n">
        <f aca="false">IF($L237=0,0,$L237*MAX(0,NETWORKDAYS(MAX($H237,ASOF,AM$72),MIN(MAX($I237,ASOF),AM$72+6),HOLIDAYS)))</f>
        <v>0</v>
      </c>
      <c r="AN237" s="289" t="n">
        <f aca="false">IF($L237=0,0,$L237*MAX(0,NETWORKDAYS(MAX($H237,ASOF,AN$72),MIN(MAX($I237,ASOF),AN$72+6),HOLIDAYS)))</f>
        <v>0</v>
      </c>
      <c r="AO237" s="289" t="n">
        <f aca="false">IF($L237=0,0,$L237*MAX(0,NETWORKDAYS(MAX($H237,ASOF,AO$72),MIN(MAX($I237,ASOF),AO$72+6),HOLIDAYS)))</f>
        <v>0</v>
      </c>
      <c r="AP237" s="289" t="n">
        <f aca="false">IF($L237=0,0,$L237*MAX(0,NETWORKDAYS(MAX($H237,ASOF,AP$72),MIN(MAX($I237,ASOF),AP$72+6),HOLIDAYS)))</f>
        <v>0</v>
      </c>
      <c r="AQ237" s="289" t="n">
        <f aca="false">IF($L237=0,0,$L237*MAX(0,NETWORKDAYS(MAX($H237,ASOF,AQ$72),MIN(MAX($I237,ASOF),AQ$72+6),HOLIDAYS)))</f>
        <v>0</v>
      </c>
      <c r="AR237" s="289" t="n">
        <f aca="false">IF($L237=0,0,$L237*MAX(0,NETWORKDAYS(MAX($H237,ASOF,AR$72),MIN(MAX($I237,ASOF),AR$72+6),HOLIDAYS)))</f>
        <v>0</v>
      </c>
    </row>
    <row r="238" customFormat="false" ht="15" hidden="false" customHeight="false" outlineLevel="1" collapsed="false">
      <c r="A238" s="282" t="s">
        <v>94</v>
      </c>
      <c r="B238" s="283" t="s">
        <v>96</v>
      </c>
      <c r="C238" s="282" t="s">
        <v>1198</v>
      </c>
      <c r="D238" s="284" t="s">
        <v>2284</v>
      </c>
      <c r="E238" s="285" t="n">
        <v>1</v>
      </c>
      <c r="F238" s="290" t="s">
        <v>35</v>
      </c>
      <c r="G238" s="285" t="n">
        <f aca="false">$F$15*$H$15</f>
        <v>2</v>
      </c>
      <c r="H238" s="286" t="n">
        <f aca="false">IF(ISNUMBER('P9-014'!$N$107),'P9-014'!$N$107,"")</f>
        <v>46347</v>
      </c>
      <c r="I238" s="286" t="n">
        <f aca="false">IF(ISNUMBER('P9-014'!$O$107),'P9-014'!$O$107,"")</f>
        <v>46348</v>
      </c>
      <c r="J238" s="287" t="n">
        <f aca="false">IF(OR(H238="",I238="",N238&gt;=1),0,MAX(1,NETWORKDAYS(MAX(H238,ASOF),MAX(I238,ASOF),HOLIDAYS)))</f>
        <v>1</v>
      </c>
      <c r="K238" s="287" t="n">
        <f aca="false">IF(L238=0,0,ROUNDUP(L238/$F$15,0))</f>
        <v>1</v>
      </c>
      <c r="L238" s="285" t="n">
        <f aca="false">IF(J238=0,0,G238*(1-N238)/J238)</f>
        <v>2</v>
      </c>
      <c r="M238" s="283" t="s">
        <v>1192</v>
      </c>
      <c r="N238" s="288" t="n">
        <f aca="false">IFERROR(MIN(1,'P9-014'!$V$107)+0,0)</f>
        <v>0</v>
      </c>
      <c r="O238" s="289" t="n">
        <f aca="false">IF($L238=0,0,$L238*MAX(0,NETWORKDAYS(MAX($H238,ASOF,O$72),MIN(MAX($I238,ASOF),O$72+6),HOLIDAYS)))</f>
        <v>0</v>
      </c>
      <c r="P238" s="289" t="n">
        <f aca="false">IF($L238=0,0,$L238*MAX(0,NETWORKDAYS(MAX($H238,ASOF,P$72),MIN(MAX($I238,ASOF),P$72+6),HOLIDAYS)))</f>
        <v>0</v>
      </c>
      <c r="Q238" s="289" t="n">
        <f aca="false">IF($L238=0,0,$L238*MAX(0,NETWORKDAYS(MAX($H238,ASOF,Q$72),MIN(MAX($I238,ASOF),Q$72+6),HOLIDAYS)))</f>
        <v>0</v>
      </c>
      <c r="R238" s="289" t="n">
        <f aca="false">IF($L238=0,0,$L238*MAX(0,NETWORKDAYS(MAX($H238,ASOF,R$72),MIN(MAX($I238,ASOF),R$72+6),HOLIDAYS)))</f>
        <v>0</v>
      </c>
      <c r="S238" s="289" t="n">
        <f aca="false">IF($L238=0,0,$L238*MAX(0,NETWORKDAYS(MAX($H238,ASOF,S$72),MIN(MAX($I238,ASOF),S$72+6),HOLIDAYS)))</f>
        <v>0</v>
      </c>
      <c r="T238" s="289" t="n">
        <f aca="false">IF($L238=0,0,$L238*MAX(0,NETWORKDAYS(MAX($H238,ASOF,T$72),MIN(MAX($I238,ASOF),T$72+6),HOLIDAYS)))</f>
        <v>0</v>
      </c>
      <c r="U238" s="289" t="n">
        <f aca="false">IF($L238=0,0,$L238*MAX(0,NETWORKDAYS(MAX($H238,ASOF,U$72),MIN(MAX($I238,ASOF),U$72+6),HOLIDAYS)))</f>
        <v>0</v>
      </c>
      <c r="V238" s="289" t="n">
        <f aca="false">IF($L238=0,0,$L238*MAX(0,NETWORKDAYS(MAX($H238,ASOF,V$72),MIN(MAX($I238,ASOF),V$72+6),HOLIDAYS)))</f>
        <v>0</v>
      </c>
      <c r="W238" s="289" t="n">
        <f aca="false">IF($L238=0,0,$L238*MAX(0,NETWORKDAYS(MAX($H238,ASOF,W$72),MIN(MAX($I238,ASOF),W$72+6),HOLIDAYS)))</f>
        <v>0</v>
      </c>
      <c r="X238" s="289" t="n">
        <f aca="false">IF($L238=0,0,$L238*MAX(0,NETWORKDAYS(MAX($H238,ASOF,X$72),MIN(MAX($I238,ASOF),X$72+6),HOLIDAYS)))</f>
        <v>0</v>
      </c>
      <c r="Y238" s="289" t="n">
        <f aca="false">IF($L238=0,0,$L238*MAX(0,NETWORKDAYS(MAX($H238,ASOF,Y$72),MIN(MAX($I238,ASOF),Y$72+6),HOLIDAYS)))</f>
        <v>0</v>
      </c>
      <c r="Z238" s="289" t="n">
        <f aca="false">IF($L238=0,0,$L238*MAX(0,NETWORKDAYS(MAX($H238,ASOF,Z$72),MIN(MAX($I238,ASOF),Z$72+6),HOLIDAYS)))</f>
        <v>0</v>
      </c>
      <c r="AA238" s="289" t="n">
        <f aca="false">IF($L238=0,0,$L238*MAX(0,NETWORKDAYS(MAX($H238,ASOF,AA$72),MIN(MAX($I238,ASOF),AA$72+6),HOLIDAYS)))</f>
        <v>0</v>
      </c>
      <c r="AB238" s="289" t="n">
        <f aca="false">IF($L238=0,0,$L238*MAX(0,NETWORKDAYS(MAX($H238,ASOF,AB$72),MIN(MAX($I238,ASOF),AB$72+6),HOLIDAYS)))</f>
        <v>0</v>
      </c>
      <c r="AC238" s="289" t="n">
        <f aca="false">IF($L238=0,0,$L238*MAX(0,NETWORKDAYS(MAX($H238,ASOF,AC$72),MIN(MAX($I238,ASOF),AC$72+6),HOLIDAYS)))</f>
        <v>0</v>
      </c>
      <c r="AD238" s="289" t="n">
        <f aca="false">IF($L238=0,0,$L238*MAX(0,NETWORKDAYS(MAX($H238,ASOF,AD$72),MIN(MAX($I238,ASOF),AD$72+6),HOLIDAYS)))</f>
        <v>0</v>
      </c>
      <c r="AE238" s="289" t="n">
        <f aca="false">IF($L238=0,0,$L238*MAX(0,NETWORKDAYS(MAX($H238,ASOF,AE$72),MIN(MAX($I238,ASOF),AE$72+6),HOLIDAYS)))</f>
        <v>0</v>
      </c>
      <c r="AF238" s="289" t="n">
        <f aca="false">IF($L238=0,0,$L238*MAX(0,NETWORKDAYS(MAX($H238,ASOF,AF$72),MIN(MAX($I238,ASOF),AF$72+6),HOLIDAYS)))</f>
        <v>0</v>
      </c>
      <c r="AG238" s="289" t="n">
        <f aca="false">IF($L238=0,0,$L238*MAX(0,NETWORKDAYS(MAX($H238,ASOF,AG$72),MIN(MAX($I238,ASOF),AG$72+6),HOLIDAYS)))</f>
        <v>0</v>
      </c>
      <c r="AH238" s="289" t="n">
        <f aca="false">IF($L238=0,0,$L238*MAX(0,NETWORKDAYS(MAX($H238,ASOF,AH$72),MIN(MAX($I238,ASOF),AH$72+6),HOLIDAYS)))</f>
        <v>0</v>
      </c>
      <c r="AI238" s="289" t="n">
        <f aca="false">IF($L238=0,0,$L238*MAX(0,NETWORKDAYS(MAX($H238,ASOF,AI$72),MIN(MAX($I238,ASOF),AI$72+6),HOLIDAYS)))</f>
        <v>0</v>
      </c>
      <c r="AJ238" s="289" t="n">
        <f aca="false">IF($L238=0,0,$L238*MAX(0,NETWORKDAYS(MAX($H238,ASOF,AJ$72),MIN(MAX($I238,ASOF),AJ$72+6),HOLIDAYS)))</f>
        <v>0</v>
      </c>
      <c r="AK238" s="289" t="n">
        <f aca="false">IF($L238=0,0,$L238*MAX(0,NETWORKDAYS(MAX($H238,ASOF,AK$72),MIN(MAX($I238,ASOF),AK$72+6),HOLIDAYS)))</f>
        <v>0</v>
      </c>
      <c r="AL238" s="289" t="n">
        <f aca="false">IF($L238=0,0,$L238*MAX(0,NETWORKDAYS(MAX($H238,ASOF,AL$72),MIN(MAX($I238,ASOF),AL$72+6),HOLIDAYS)))</f>
        <v>0</v>
      </c>
      <c r="AM238" s="289" t="n">
        <f aca="false">IF($L238=0,0,$L238*MAX(0,NETWORKDAYS(MAX($H238,ASOF,AM$72),MIN(MAX($I238,ASOF),AM$72+6),HOLIDAYS)))</f>
        <v>0</v>
      </c>
      <c r="AN238" s="289" t="n">
        <f aca="false">IF($L238=0,0,$L238*MAX(0,NETWORKDAYS(MAX($H238,ASOF,AN$72),MIN(MAX($I238,ASOF),AN$72+6),HOLIDAYS)))</f>
        <v>0</v>
      </c>
      <c r="AO238" s="289" t="n">
        <f aca="false">IF($L238=0,0,$L238*MAX(0,NETWORKDAYS(MAX($H238,ASOF,AO$72),MIN(MAX($I238,ASOF),AO$72+6),HOLIDAYS)))</f>
        <v>0</v>
      </c>
      <c r="AP238" s="289" t="n">
        <f aca="false">IF($L238=0,0,$L238*MAX(0,NETWORKDAYS(MAX($H238,ASOF,AP$72),MIN(MAX($I238,ASOF),AP$72+6),HOLIDAYS)))</f>
        <v>0</v>
      </c>
      <c r="AQ238" s="289" t="n">
        <f aca="false">IF($L238=0,0,$L238*MAX(0,NETWORKDAYS(MAX($H238,ASOF,AQ$72),MIN(MAX($I238,ASOF),AQ$72+6),HOLIDAYS)))</f>
        <v>0</v>
      </c>
      <c r="AR238" s="289" t="n">
        <f aca="false">IF($L238=0,0,$L238*MAX(0,NETWORKDAYS(MAX($H238,ASOF,AR$72),MIN(MAX($I238,ASOF),AR$72+6),HOLIDAYS)))</f>
        <v>0</v>
      </c>
    </row>
    <row r="239" customFormat="false" ht="15" hidden="false" customHeight="false" outlineLevel="1" collapsed="false">
      <c r="A239" s="282" t="s">
        <v>94</v>
      </c>
      <c r="B239" s="283" t="s">
        <v>96</v>
      </c>
      <c r="C239" s="284" t="s">
        <v>2369</v>
      </c>
      <c r="D239" s="284" t="s">
        <v>2308</v>
      </c>
      <c r="E239" s="285" t="n">
        <v>280.44</v>
      </c>
      <c r="F239" s="283" t="s">
        <v>527</v>
      </c>
      <c r="G239" s="285" t="n">
        <f aca="false">$F$16*(E239/$G$16+$H$16)</f>
        <v>14.4132</v>
      </c>
      <c r="H239" s="286" t="n">
        <f aca="false">IF(ISNUMBER('P9-014'!$N$115),'P9-014'!$N$115,"")</f>
        <v>46359</v>
      </c>
      <c r="I239" s="286" t="n">
        <f aca="false">IF(ISNUMBER('P9-014'!$O$115),'P9-014'!$O$115,"")</f>
        <v>46359</v>
      </c>
      <c r="J239" s="287" t="n">
        <f aca="false">IF(OR(H239="",I239="",N239&gt;=1),0,MAX(1,NETWORKDAYS(MAX(H239,ASOF),MAX(I239,ASOF),HOLIDAYS)))</f>
        <v>1</v>
      </c>
      <c r="K239" s="287" t="n">
        <f aca="false">IF(L239=0,0,ROUNDUP(L239/$F$16,0))</f>
        <v>5</v>
      </c>
      <c r="L239" s="285" t="n">
        <f aca="false">IF(J239=0,0,G239*(1-N239)/J239)</f>
        <v>14.4132</v>
      </c>
      <c r="M239" s="283" t="s">
        <v>1205</v>
      </c>
      <c r="N239" s="288" t="n">
        <f aca="false">IFERROR(MIN(1,'P9-014'!$V$115)+0,0)</f>
        <v>0</v>
      </c>
      <c r="O239" s="289" t="n">
        <f aca="false">IF($L239=0,0,$L239*MAX(0,NETWORKDAYS(MAX($H239,ASOF,O$72),MIN(MAX($I239,ASOF),O$72+6),HOLIDAYS)))</f>
        <v>0</v>
      </c>
      <c r="P239" s="289" t="n">
        <f aca="false">IF($L239=0,0,$L239*MAX(0,NETWORKDAYS(MAX($H239,ASOF,P$72),MIN(MAX($I239,ASOF),P$72+6),HOLIDAYS)))</f>
        <v>0</v>
      </c>
      <c r="Q239" s="289" t="n">
        <f aca="false">IF($L239=0,0,$L239*MAX(0,NETWORKDAYS(MAX($H239,ASOF,Q$72),MIN(MAX($I239,ASOF),Q$72+6),HOLIDAYS)))</f>
        <v>0</v>
      </c>
      <c r="R239" s="289" t="n">
        <f aca="false">IF($L239=0,0,$L239*MAX(0,NETWORKDAYS(MAX($H239,ASOF,R$72),MIN(MAX($I239,ASOF),R$72+6),HOLIDAYS)))</f>
        <v>0</v>
      </c>
      <c r="S239" s="289" t="n">
        <f aca="false">IF($L239=0,0,$L239*MAX(0,NETWORKDAYS(MAX($H239,ASOF,S$72),MIN(MAX($I239,ASOF),S$72+6),HOLIDAYS)))</f>
        <v>14.4132</v>
      </c>
      <c r="T239" s="289" t="n">
        <f aca="false">IF($L239=0,0,$L239*MAX(0,NETWORKDAYS(MAX($H239,ASOF,T$72),MIN(MAX($I239,ASOF),T$72+6),HOLIDAYS)))</f>
        <v>0</v>
      </c>
      <c r="U239" s="289" t="n">
        <f aca="false">IF($L239=0,0,$L239*MAX(0,NETWORKDAYS(MAX($H239,ASOF,U$72),MIN(MAX($I239,ASOF),U$72+6),HOLIDAYS)))</f>
        <v>0</v>
      </c>
      <c r="V239" s="289" t="n">
        <f aca="false">IF($L239=0,0,$L239*MAX(0,NETWORKDAYS(MAX($H239,ASOF,V$72),MIN(MAX($I239,ASOF),V$72+6),HOLIDAYS)))</f>
        <v>0</v>
      </c>
      <c r="W239" s="289" t="n">
        <f aca="false">IF($L239=0,0,$L239*MAX(0,NETWORKDAYS(MAX($H239,ASOF,W$72),MIN(MAX($I239,ASOF),W$72+6),HOLIDAYS)))</f>
        <v>0</v>
      </c>
      <c r="X239" s="289" t="n">
        <f aca="false">IF($L239=0,0,$L239*MAX(0,NETWORKDAYS(MAX($H239,ASOF,X$72),MIN(MAX($I239,ASOF),X$72+6),HOLIDAYS)))</f>
        <v>0</v>
      </c>
      <c r="Y239" s="289" t="n">
        <f aca="false">IF($L239=0,0,$L239*MAX(0,NETWORKDAYS(MAX($H239,ASOF,Y$72),MIN(MAX($I239,ASOF),Y$72+6),HOLIDAYS)))</f>
        <v>0</v>
      </c>
      <c r="Z239" s="289" t="n">
        <f aca="false">IF($L239=0,0,$L239*MAX(0,NETWORKDAYS(MAX($H239,ASOF,Z$72),MIN(MAX($I239,ASOF),Z$72+6),HOLIDAYS)))</f>
        <v>0</v>
      </c>
      <c r="AA239" s="289" t="n">
        <f aca="false">IF($L239=0,0,$L239*MAX(0,NETWORKDAYS(MAX($H239,ASOF,AA$72),MIN(MAX($I239,ASOF),AA$72+6),HOLIDAYS)))</f>
        <v>0</v>
      </c>
      <c r="AB239" s="289" t="n">
        <f aca="false">IF($L239=0,0,$L239*MAX(0,NETWORKDAYS(MAX($H239,ASOF,AB$72),MIN(MAX($I239,ASOF),AB$72+6),HOLIDAYS)))</f>
        <v>0</v>
      </c>
      <c r="AC239" s="289" t="n">
        <f aca="false">IF($L239=0,0,$L239*MAX(0,NETWORKDAYS(MAX($H239,ASOF,AC$72),MIN(MAX($I239,ASOF),AC$72+6),HOLIDAYS)))</f>
        <v>0</v>
      </c>
      <c r="AD239" s="289" t="n">
        <f aca="false">IF($L239=0,0,$L239*MAX(0,NETWORKDAYS(MAX($H239,ASOF,AD$72),MIN(MAX($I239,ASOF),AD$72+6),HOLIDAYS)))</f>
        <v>0</v>
      </c>
      <c r="AE239" s="289" t="n">
        <f aca="false">IF($L239=0,0,$L239*MAX(0,NETWORKDAYS(MAX($H239,ASOF,AE$72),MIN(MAX($I239,ASOF),AE$72+6),HOLIDAYS)))</f>
        <v>0</v>
      </c>
      <c r="AF239" s="289" t="n">
        <f aca="false">IF($L239=0,0,$L239*MAX(0,NETWORKDAYS(MAX($H239,ASOF,AF$72),MIN(MAX($I239,ASOF),AF$72+6),HOLIDAYS)))</f>
        <v>0</v>
      </c>
      <c r="AG239" s="289" t="n">
        <f aca="false">IF($L239=0,0,$L239*MAX(0,NETWORKDAYS(MAX($H239,ASOF,AG$72),MIN(MAX($I239,ASOF),AG$72+6),HOLIDAYS)))</f>
        <v>0</v>
      </c>
      <c r="AH239" s="289" t="n">
        <f aca="false">IF($L239=0,0,$L239*MAX(0,NETWORKDAYS(MAX($H239,ASOF,AH$72),MIN(MAX($I239,ASOF),AH$72+6),HOLIDAYS)))</f>
        <v>0</v>
      </c>
      <c r="AI239" s="289" t="n">
        <f aca="false">IF($L239=0,0,$L239*MAX(0,NETWORKDAYS(MAX($H239,ASOF,AI$72),MIN(MAX($I239,ASOF),AI$72+6),HOLIDAYS)))</f>
        <v>0</v>
      </c>
      <c r="AJ239" s="289" t="n">
        <f aca="false">IF($L239=0,0,$L239*MAX(0,NETWORKDAYS(MAX($H239,ASOF,AJ$72),MIN(MAX($I239,ASOF),AJ$72+6),HOLIDAYS)))</f>
        <v>0</v>
      </c>
      <c r="AK239" s="289" t="n">
        <f aca="false">IF($L239=0,0,$L239*MAX(0,NETWORKDAYS(MAX($H239,ASOF,AK$72),MIN(MAX($I239,ASOF),AK$72+6),HOLIDAYS)))</f>
        <v>0</v>
      </c>
      <c r="AL239" s="289" t="n">
        <f aca="false">IF($L239=0,0,$L239*MAX(0,NETWORKDAYS(MAX($H239,ASOF,AL$72),MIN(MAX($I239,ASOF),AL$72+6),HOLIDAYS)))</f>
        <v>0</v>
      </c>
      <c r="AM239" s="289" t="n">
        <f aca="false">IF($L239=0,0,$L239*MAX(0,NETWORKDAYS(MAX($H239,ASOF,AM$72),MIN(MAX($I239,ASOF),AM$72+6),HOLIDAYS)))</f>
        <v>0</v>
      </c>
      <c r="AN239" s="289" t="n">
        <f aca="false">IF($L239=0,0,$L239*MAX(0,NETWORKDAYS(MAX($H239,ASOF,AN$72),MIN(MAX($I239,ASOF),AN$72+6),HOLIDAYS)))</f>
        <v>0</v>
      </c>
      <c r="AO239" s="289" t="n">
        <f aca="false">IF($L239=0,0,$L239*MAX(0,NETWORKDAYS(MAX($H239,ASOF,AO$72),MIN(MAX($I239,ASOF),AO$72+6),HOLIDAYS)))</f>
        <v>0</v>
      </c>
      <c r="AP239" s="289" t="n">
        <f aca="false">IF($L239=0,0,$L239*MAX(0,NETWORKDAYS(MAX($H239,ASOF,AP$72),MIN(MAX($I239,ASOF),AP$72+6),HOLIDAYS)))</f>
        <v>0</v>
      </c>
      <c r="AQ239" s="289" t="n">
        <f aca="false">IF($L239=0,0,$L239*MAX(0,NETWORKDAYS(MAX($H239,ASOF,AQ$72),MIN(MAX($I239,ASOF),AQ$72+6),HOLIDAYS)))</f>
        <v>0</v>
      </c>
      <c r="AR239" s="289" t="n">
        <f aca="false">IF($L239=0,0,$L239*MAX(0,NETWORKDAYS(MAX($H239,ASOF,AR$72),MIN(MAX($I239,ASOF),AR$72+6),HOLIDAYS)))</f>
        <v>0</v>
      </c>
    </row>
    <row r="240" customFormat="false" ht="15" hidden="false" customHeight="false" outlineLevel="1" collapsed="false">
      <c r="A240" s="282" t="s">
        <v>94</v>
      </c>
      <c r="B240" s="283" t="s">
        <v>96</v>
      </c>
      <c r="C240" s="284" t="s">
        <v>2370</v>
      </c>
      <c r="D240" s="284" t="s">
        <v>2313</v>
      </c>
      <c r="E240" s="285" t="n">
        <v>1</v>
      </c>
      <c r="F240" s="290" t="s">
        <v>35</v>
      </c>
      <c r="G240" s="285" t="n">
        <f aca="false">SUM(O240:AR240)</f>
        <v>20</v>
      </c>
      <c r="H240" s="286" t="n">
        <f aca="false">IF(ISNUMBER('P9-014'!$N$62),'P9-014'!$N$62,"")</f>
        <v>46328</v>
      </c>
      <c r="I240" s="286" t="n">
        <f aca="false">IF(ISNUMBER('P9-014'!$O$115),'P9-014'!$O$115,"")</f>
        <v>46359</v>
      </c>
      <c r="J240" s="287"/>
      <c r="K240" s="287" t="n">
        <f aca="false">IF(G240&gt;0,$F$17,0)</f>
        <v>1</v>
      </c>
      <c r="L240" s="285" t="n">
        <v>0</v>
      </c>
      <c r="M240" s="290" t="s">
        <v>2310</v>
      </c>
      <c r="N240" s="288" t="str">
        <f aca="false">""</f>
        <v/>
      </c>
      <c r="O240" s="289" t="n">
        <f aca="false">IF(SUMIFS(O$73:O$312,$A$73:$A$312,"P9-014",$M$73:$M$312,"&lt;&gt;คุม")&gt;0,$F$17*NETWORKDAYS(O$72,O$72+6,HOLIDAYS),0)</f>
        <v>5</v>
      </c>
      <c r="P240" s="289" t="n">
        <f aca="false">IF(SUMIFS(P$73:P$312,$A$73:$A$312,"P9-014",$M$73:$M$312,"&lt;&gt;คุม")&gt;0,$F$17*NETWORKDAYS(P$72,P$72+6,HOLIDAYS),0)</f>
        <v>5</v>
      </c>
      <c r="Q240" s="289" t="n">
        <f aca="false">IF(SUMIFS(Q$73:Q$312,$A$73:$A$312,"P9-014",$M$73:$M$312,"&lt;&gt;คุม")&gt;0,$F$17*NETWORKDAYS(Q$72,Q$72+6,HOLIDAYS),0)</f>
        <v>5</v>
      </c>
      <c r="R240" s="289" t="n">
        <f aca="false">IF(SUMIFS(R$73:R$312,$A$73:$A$312,"P9-014",$M$73:$M$312,"&lt;&gt;คุม")&gt;0,$F$17*NETWORKDAYS(R$72,R$72+6,HOLIDAYS),0)</f>
        <v>0</v>
      </c>
      <c r="S240" s="289" t="n">
        <f aca="false">IF(SUMIFS(S$73:S$312,$A$73:$A$312,"P9-014",$M$73:$M$312,"&lt;&gt;คุม")&gt;0,$F$17*NETWORKDAYS(S$72,S$72+6,HOLIDAYS),0)</f>
        <v>5</v>
      </c>
      <c r="T240" s="289" t="n">
        <f aca="false">IF(SUMIFS(T$73:T$312,$A$73:$A$312,"P9-014",$M$73:$M$312,"&lt;&gt;คุม")&gt;0,$F$17*NETWORKDAYS(T$72,T$72+6,HOLIDAYS),0)</f>
        <v>0</v>
      </c>
      <c r="U240" s="289" t="n">
        <f aca="false">IF(SUMIFS(U$73:U$312,$A$73:$A$312,"P9-014",$M$73:$M$312,"&lt;&gt;คุม")&gt;0,$F$17*NETWORKDAYS(U$72,U$72+6,HOLIDAYS),0)</f>
        <v>0</v>
      </c>
      <c r="V240" s="289" t="n">
        <f aca="false">IF(SUMIFS(V$73:V$312,$A$73:$A$312,"P9-014",$M$73:$M$312,"&lt;&gt;คุม")&gt;0,$F$17*NETWORKDAYS(V$72,V$72+6,HOLIDAYS),0)</f>
        <v>0</v>
      </c>
      <c r="W240" s="289" t="n">
        <f aca="false">IF(SUMIFS(W$73:W$312,$A$73:$A$312,"P9-014",$M$73:$M$312,"&lt;&gt;คุม")&gt;0,$F$17*NETWORKDAYS(W$72,W$72+6,HOLIDAYS),0)</f>
        <v>0</v>
      </c>
      <c r="X240" s="289" t="n">
        <f aca="false">IF(SUMIFS(X$73:X$312,$A$73:$A$312,"P9-014",$M$73:$M$312,"&lt;&gt;คุม")&gt;0,$F$17*NETWORKDAYS(X$72,X$72+6,HOLIDAYS),0)</f>
        <v>0</v>
      </c>
      <c r="Y240" s="289" t="n">
        <f aca="false">IF(SUMIFS(Y$73:Y$312,$A$73:$A$312,"P9-014",$M$73:$M$312,"&lt;&gt;คุม")&gt;0,$F$17*NETWORKDAYS(Y$72,Y$72+6,HOLIDAYS),0)</f>
        <v>0</v>
      </c>
      <c r="Z240" s="289" t="n">
        <f aca="false">IF(SUMIFS(Z$73:Z$312,$A$73:$A$312,"P9-014",$M$73:$M$312,"&lt;&gt;คุม")&gt;0,$F$17*NETWORKDAYS(Z$72,Z$72+6,HOLIDAYS),0)</f>
        <v>0</v>
      </c>
      <c r="AA240" s="289" t="n">
        <f aca="false">IF(SUMIFS(AA$73:AA$312,$A$73:$A$312,"P9-014",$M$73:$M$312,"&lt;&gt;คุม")&gt;0,$F$17*NETWORKDAYS(AA$72,AA$72+6,HOLIDAYS),0)</f>
        <v>0</v>
      </c>
      <c r="AB240" s="289" t="n">
        <f aca="false">IF(SUMIFS(AB$73:AB$312,$A$73:$A$312,"P9-014",$M$73:$M$312,"&lt;&gt;คุม")&gt;0,$F$17*NETWORKDAYS(AB$72,AB$72+6,HOLIDAYS),0)</f>
        <v>0</v>
      </c>
      <c r="AC240" s="289" t="n">
        <f aca="false">IF(SUMIFS(AC$73:AC$312,$A$73:$A$312,"P9-014",$M$73:$M$312,"&lt;&gt;คุม")&gt;0,$F$17*NETWORKDAYS(AC$72,AC$72+6,HOLIDAYS),0)</f>
        <v>0</v>
      </c>
      <c r="AD240" s="289" t="n">
        <f aca="false">IF(SUMIFS(AD$73:AD$312,$A$73:$A$312,"P9-014",$M$73:$M$312,"&lt;&gt;คุม")&gt;0,$F$17*NETWORKDAYS(AD$72,AD$72+6,HOLIDAYS),0)</f>
        <v>0</v>
      </c>
      <c r="AE240" s="289" t="n">
        <f aca="false">IF(SUMIFS(AE$73:AE$312,$A$73:$A$312,"P9-014",$M$73:$M$312,"&lt;&gt;คุม")&gt;0,$F$17*NETWORKDAYS(AE$72,AE$72+6,HOLIDAYS),0)</f>
        <v>0</v>
      </c>
      <c r="AF240" s="289" t="n">
        <f aca="false">IF(SUMIFS(AF$73:AF$312,$A$73:$A$312,"P9-014",$M$73:$M$312,"&lt;&gt;คุม")&gt;0,$F$17*NETWORKDAYS(AF$72,AF$72+6,HOLIDAYS),0)</f>
        <v>0</v>
      </c>
      <c r="AG240" s="289" t="n">
        <f aca="false">IF(SUMIFS(AG$73:AG$312,$A$73:$A$312,"P9-014",$M$73:$M$312,"&lt;&gt;คุม")&gt;0,$F$17*NETWORKDAYS(AG$72,AG$72+6,HOLIDAYS),0)</f>
        <v>0</v>
      </c>
      <c r="AH240" s="289" t="n">
        <f aca="false">IF(SUMIFS(AH$73:AH$312,$A$73:$A$312,"P9-014",$M$73:$M$312,"&lt;&gt;คุม")&gt;0,$F$17*NETWORKDAYS(AH$72,AH$72+6,HOLIDAYS),0)</f>
        <v>0</v>
      </c>
      <c r="AI240" s="289" t="n">
        <f aca="false">IF(SUMIFS(AI$73:AI$312,$A$73:$A$312,"P9-014",$M$73:$M$312,"&lt;&gt;คุม")&gt;0,$F$17*NETWORKDAYS(AI$72,AI$72+6,HOLIDAYS),0)</f>
        <v>0</v>
      </c>
      <c r="AJ240" s="289" t="n">
        <f aca="false">IF(SUMIFS(AJ$73:AJ$312,$A$73:$A$312,"P9-014",$M$73:$M$312,"&lt;&gt;คุม")&gt;0,$F$17*NETWORKDAYS(AJ$72,AJ$72+6,HOLIDAYS),0)</f>
        <v>0</v>
      </c>
      <c r="AK240" s="289" t="n">
        <f aca="false">IF(SUMIFS(AK$73:AK$312,$A$73:$A$312,"P9-014",$M$73:$M$312,"&lt;&gt;คุม")&gt;0,$F$17*NETWORKDAYS(AK$72,AK$72+6,HOLIDAYS),0)</f>
        <v>0</v>
      </c>
      <c r="AL240" s="289" t="n">
        <f aca="false">IF(SUMIFS(AL$73:AL$312,$A$73:$A$312,"P9-014",$M$73:$M$312,"&lt;&gt;คุม")&gt;0,$F$17*NETWORKDAYS(AL$72,AL$72+6,HOLIDAYS),0)</f>
        <v>0</v>
      </c>
      <c r="AM240" s="289" t="n">
        <f aca="false">IF(SUMIFS(AM$73:AM$312,$A$73:$A$312,"P9-014",$M$73:$M$312,"&lt;&gt;คุม")&gt;0,$F$17*NETWORKDAYS(AM$72,AM$72+6,HOLIDAYS),0)</f>
        <v>0</v>
      </c>
      <c r="AN240" s="289" t="n">
        <f aca="false">IF(SUMIFS(AN$73:AN$312,$A$73:$A$312,"P9-014",$M$73:$M$312,"&lt;&gt;คุม")&gt;0,$F$17*NETWORKDAYS(AN$72,AN$72+6,HOLIDAYS),0)</f>
        <v>0</v>
      </c>
      <c r="AO240" s="289" t="n">
        <f aca="false">IF(SUMIFS(AO$73:AO$312,$A$73:$A$312,"P9-014",$M$73:$M$312,"&lt;&gt;คุม")&gt;0,$F$17*NETWORKDAYS(AO$72,AO$72+6,HOLIDAYS),0)</f>
        <v>0</v>
      </c>
      <c r="AP240" s="289" t="n">
        <f aca="false">IF(SUMIFS(AP$73:AP$312,$A$73:$A$312,"P9-014",$M$73:$M$312,"&lt;&gt;คุม")&gt;0,$F$17*NETWORKDAYS(AP$72,AP$72+6,HOLIDAYS),0)</f>
        <v>0</v>
      </c>
      <c r="AQ240" s="289" t="n">
        <f aca="false">IF(SUMIFS(AQ$73:AQ$312,$A$73:$A$312,"P9-014",$M$73:$M$312,"&lt;&gt;คุม")&gt;0,$F$17*NETWORKDAYS(AQ$72,AQ$72+6,HOLIDAYS),0)</f>
        <v>0</v>
      </c>
      <c r="AR240" s="289" t="n">
        <f aca="false">IF(SUMIFS(AR$73:AR$312,$A$73:$A$312,"P9-014",$M$73:$M$312,"&lt;&gt;คุม")&gt;0,$F$17*NETWORKDAYS(AR$72,AR$72+6,HOLIDAYS),0)</f>
        <v>0</v>
      </c>
    </row>
    <row r="241" customFormat="false" ht="15" hidden="false" customHeight="false" outlineLevel="1" collapsed="false">
      <c r="A241" s="282" t="s">
        <v>98</v>
      </c>
      <c r="B241" s="283" t="s">
        <v>100</v>
      </c>
      <c r="C241" s="284" t="s">
        <v>2358</v>
      </c>
      <c r="D241" s="284" t="s">
        <v>2280</v>
      </c>
      <c r="E241" s="285" t="n">
        <v>240.77</v>
      </c>
      <c r="F241" s="283" t="s">
        <v>2359</v>
      </c>
      <c r="G241" s="285" t="n">
        <f aca="false">$F$5*(E241/$G$5+$H$5)</f>
        <v>40.5232</v>
      </c>
      <c r="H241" s="286" t="n">
        <f aca="false">IF(ISNUMBER('P9-015'!$N$62),'P9-015'!$N$62,"")</f>
        <v>46328</v>
      </c>
      <c r="I241" s="286" t="n">
        <f aca="false">IF(ISNUMBER('P9-015'!$O$62),'P9-015'!$O$62,"")</f>
        <v>46341</v>
      </c>
      <c r="J241" s="287" t="n">
        <f aca="false">IF(OR(H241="",I241="",N241&gt;=1),0,MAX(1,NETWORKDAYS(MAX(H241,ASOF),MAX(I241,ASOF),HOLIDAYS)))</f>
        <v>10</v>
      </c>
      <c r="K241" s="287" t="n">
        <f aca="false">IF(L241=0,0,ROUNDUP(L241/$F$5,0))</f>
        <v>2</v>
      </c>
      <c r="L241" s="285" t="n">
        <f aca="false">IF(J241=0,0,G241*(1-N241)/J241)</f>
        <v>4.05232</v>
      </c>
      <c r="M241" s="283" t="s">
        <v>872</v>
      </c>
      <c r="N241" s="288" t="n">
        <f aca="false">IFERROR(MIN(1,'P9-015'!$V$62)+0,0)</f>
        <v>0</v>
      </c>
      <c r="O241" s="289" t="n">
        <f aca="false">IF($L241=0,0,$L241*MAX(0,NETWORKDAYS(MAX($H241,ASOF,O$72),MIN(MAX($I241,ASOF),O$72+6),HOLIDAYS)))</f>
        <v>20.2616</v>
      </c>
      <c r="P241" s="289" t="n">
        <f aca="false">IF($L241=0,0,$L241*MAX(0,NETWORKDAYS(MAX($H241,ASOF,P$72),MIN(MAX($I241,ASOF),P$72+6),HOLIDAYS)))</f>
        <v>20.2616</v>
      </c>
      <c r="Q241" s="289" t="n">
        <f aca="false">IF($L241=0,0,$L241*MAX(0,NETWORKDAYS(MAX($H241,ASOF,Q$72),MIN(MAX($I241,ASOF),Q$72+6),HOLIDAYS)))</f>
        <v>0</v>
      </c>
      <c r="R241" s="289" t="n">
        <f aca="false">IF($L241=0,0,$L241*MAX(0,NETWORKDAYS(MAX($H241,ASOF,R$72),MIN(MAX($I241,ASOF),R$72+6),HOLIDAYS)))</f>
        <v>0</v>
      </c>
      <c r="S241" s="289" t="n">
        <f aca="false">IF($L241=0,0,$L241*MAX(0,NETWORKDAYS(MAX($H241,ASOF,S$72),MIN(MAX($I241,ASOF),S$72+6),HOLIDAYS)))</f>
        <v>0</v>
      </c>
      <c r="T241" s="289" t="n">
        <f aca="false">IF($L241=0,0,$L241*MAX(0,NETWORKDAYS(MAX($H241,ASOF,T$72),MIN(MAX($I241,ASOF),T$72+6),HOLIDAYS)))</f>
        <v>0</v>
      </c>
      <c r="U241" s="289" t="n">
        <f aca="false">IF($L241=0,0,$L241*MAX(0,NETWORKDAYS(MAX($H241,ASOF,U$72),MIN(MAX($I241,ASOF),U$72+6),HOLIDAYS)))</f>
        <v>0</v>
      </c>
      <c r="V241" s="289" t="n">
        <f aca="false">IF($L241=0,0,$L241*MAX(0,NETWORKDAYS(MAX($H241,ASOF,V$72),MIN(MAX($I241,ASOF),V$72+6),HOLIDAYS)))</f>
        <v>0</v>
      </c>
      <c r="W241" s="289" t="n">
        <f aca="false">IF($L241=0,0,$L241*MAX(0,NETWORKDAYS(MAX($H241,ASOF,W$72),MIN(MAX($I241,ASOF),W$72+6),HOLIDAYS)))</f>
        <v>0</v>
      </c>
      <c r="X241" s="289" t="n">
        <f aca="false">IF($L241=0,0,$L241*MAX(0,NETWORKDAYS(MAX($H241,ASOF,X$72),MIN(MAX($I241,ASOF),X$72+6),HOLIDAYS)))</f>
        <v>0</v>
      </c>
      <c r="Y241" s="289" t="n">
        <f aca="false">IF($L241=0,0,$L241*MAX(0,NETWORKDAYS(MAX($H241,ASOF,Y$72),MIN(MAX($I241,ASOF),Y$72+6),HOLIDAYS)))</f>
        <v>0</v>
      </c>
      <c r="Z241" s="289" t="n">
        <f aca="false">IF($L241=0,0,$L241*MAX(0,NETWORKDAYS(MAX($H241,ASOF,Z$72),MIN(MAX($I241,ASOF),Z$72+6),HOLIDAYS)))</f>
        <v>0</v>
      </c>
      <c r="AA241" s="289" t="n">
        <f aca="false">IF($L241=0,0,$L241*MAX(0,NETWORKDAYS(MAX($H241,ASOF,AA$72),MIN(MAX($I241,ASOF),AA$72+6),HOLIDAYS)))</f>
        <v>0</v>
      </c>
      <c r="AB241" s="289" t="n">
        <f aca="false">IF($L241=0,0,$L241*MAX(0,NETWORKDAYS(MAX($H241,ASOF,AB$72),MIN(MAX($I241,ASOF),AB$72+6),HOLIDAYS)))</f>
        <v>0</v>
      </c>
      <c r="AC241" s="289" t="n">
        <f aca="false">IF($L241=0,0,$L241*MAX(0,NETWORKDAYS(MAX($H241,ASOF,AC$72),MIN(MAX($I241,ASOF),AC$72+6),HOLIDAYS)))</f>
        <v>0</v>
      </c>
      <c r="AD241" s="289" t="n">
        <f aca="false">IF($L241=0,0,$L241*MAX(0,NETWORKDAYS(MAX($H241,ASOF,AD$72),MIN(MAX($I241,ASOF),AD$72+6),HOLIDAYS)))</f>
        <v>0</v>
      </c>
      <c r="AE241" s="289" t="n">
        <f aca="false">IF($L241=0,0,$L241*MAX(0,NETWORKDAYS(MAX($H241,ASOF,AE$72),MIN(MAX($I241,ASOF),AE$72+6),HOLIDAYS)))</f>
        <v>0</v>
      </c>
      <c r="AF241" s="289" t="n">
        <f aca="false">IF($L241=0,0,$L241*MAX(0,NETWORKDAYS(MAX($H241,ASOF,AF$72),MIN(MAX($I241,ASOF),AF$72+6),HOLIDAYS)))</f>
        <v>0</v>
      </c>
      <c r="AG241" s="289" t="n">
        <f aca="false">IF($L241=0,0,$L241*MAX(0,NETWORKDAYS(MAX($H241,ASOF,AG$72),MIN(MAX($I241,ASOF),AG$72+6),HOLIDAYS)))</f>
        <v>0</v>
      </c>
      <c r="AH241" s="289" t="n">
        <f aca="false">IF($L241=0,0,$L241*MAX(0,NETWORKDAYS(MAX($H241,ASOF,AH$72),MIN(MAX($I241,ASOF),AH$72+6),HOLIDAYS)))</f>
        <v>0</v>
      </c>
      <c r="AI241" s="289" t="n">
        <f aca="false">IF($L241=0,0,$L241*MAX(0,NETWORKDAYS(MAX($H241,ASOF,AI$72),MIN(MAX($I241,ASOF),AI$72+6),HOLIDAYS)))</f>
        <v>0</v>
      </c>
      <c r="AJ241" s="289" t="n">
        <f aca="false">IF($L241=0,0,$L241*MAX(0,NETWORKDAYS(MAX($H241,ASOF,AJ$72),MIN(MAX($I241,ASOF),AJ$72+6),HOLIDAYS)))</f>
        <v>0</v>
      </c>
      <c r="AK241" s="289" t="n">
        <f aca="false">IF($L241=0,0,$L241*MAX(0,NETWORKDAYS(MAX($H241,ASOF,AK$72),MIN(MAX($I241,ASOF),AK$72+6),HOLIDAYS)))</f>
        <v>0</v>
      </c>
      <c r="AL241" s="289" t="n">
        <f aca="false">IF($L241=0,0,$L241*MAX(0,NETWORKDAYS(MAX($H241,ASOF,AL$72),MIN(MAX($I241,ASOF),AL$72+6),HOLIDAYS)))</f>
        <v>0</v>
      </c>
      <c r="AM241" s="289" t="n">
        <f aca="false">IF($L241=0,0,$L241*MAX(0,NETWORKDAYS(MAX($H241,ASOF,AM$72),MIN(MAX($I241,ASOF),AM$72+6),HOLIDAYS)))</f>
        <v>0</v>
      </c>
      <c r="AN241" s="289" t="n">
        <f aca="false">IF($L241=0,0,$L241*MAX(0,NETWORKDAYS(MAX($H241,ASOF,AN$72),MIN(MAX($I241,ASOF),AN$72+6),HOLIDAYS)))</f>
        <v>0</v>
      </c>
      <c r="AO241" s="289" t="n">
        <f aca="false">IF($L241=0,0,$L241*MAX(0,NETWORKDAYS(MAX($H241,ASOF,AO$72),MIN(MAX($I241,ASOF),AO$72+6),HOLIDAYS)))</f>
        <v>0</v>
      </c>
      <c r="AP241" s="289" t="n">
        <f aca="false">IF($L241=0,0,$L241*MAX(0,NETWORKDAYS(MAX($H241,ASOF,AP$72),MIN(MAX($I241,ASOF),AP$72+6),HOLIDAYS)))</f>
        <v>0</v>
      </c>
      <c r="AQ241" s="289" t="n">
        <f aca="false">IF($L241=0,0,$L241*MAX(0,NETWORKDAYS(MAX($H241,ASOF,AQ$72),MIN(MAX($I241,ASOF),AQ$72+6),HOLIDAYS)))</f>
        <v>0</v>
      </c>
      <c r="AR241" s="289" t="n">
        <f aca="false">IF($L241=0,0,$L241*MAX(0,NETWORKDAYS(MAX($H241,ASOF,AR$72),MIN(MAX($I241,ASOF),AR$72+6),HOLIDAYS)))</f>
        <v>0</v>
      </c>
    </row>
    <row r="242" customFormat="false" ht="15" hidden="false" customHeight="false" outlineLevel="1" collapsed="false">
      <c r="A242" s="282" t="s">
        <v>98</v>
      </c>
      <c r="B242" s="283" t="s">
        <v>100</v>
      </c>
      <c r="C242" s="284" t="s">
        <v>2360</v>
      </c>
      <c r="D242" s="284" t="s">
        <v>2284</v>
      </c>
      <c r="E242" s="285" t="n">
        <v>150.48</v>
      </c>
      <c r="F242" s="283" t="s">
        <v>527</v>
      </c>
      <c r="G242" s="285" t="n">
        <f aca="false">$F$6*(E242/$G$6+$H$6)</f>
        <v>14.286</v>
      </c>
      <c r="H242" s="286" t="n">
        <f aca="false">IF(ISNUMBER('P9-015'!$N$70),'P9-015'!$N$70,"")</f>
        <v>46343</v>
      </c>
      <c r="I242" s="286" t="n">
        <f aca="false">IF(ISNUMBER('P9-015'!$O$70),'P9-015'!$O$70,"")</f>
        <v>46346</v>
      </c>
      <c r="J242" s="287" t="n">
        <f aca="false">IF(OR(H242="",I242="",N242&gt;=1),0,MAX(1,NETWORKDAYS(MAX(H242,ASOF),MAX(I242,ASOF),HOLIDAYS)))</f>
        <v>4</v>
      </c>
      <c r="K242" s="287" t="n">
        <f aca="false">IF(L242=0,0,ROUNDUP(L242/$F$6,0))</f>
        <v>2</v>
      </c>
      <c r="L242" s="285" t="n">
        <f aca="false">IF(J242=0,0,G242*(1-N242)/J242)</f>
        <v>3.5715</v>
      </c>
      <c r="M242" s="283" t="s">
        <v>987</v>
      </c>
      <c r="N242" s="288" t="n">
        <f aca="false">IFERROR(MIN(1,'P9-015'!$V$70)+0,0)</f>
        <v>0</v>
      </c>
      <c r="O242" s="289" t="n">
        <f aca="false">IF($L242=0,0,$L242*MAX(0,NETWORKDAYS(MAX($H242,ASOF,O$72),MIN(MAX($I242,ASOF),O$72+6),HOLIDAYS)))</f>
        <v>0</v>
      </c>
      <c r="P242" s="289" t="n">
        <f aca="false">IF($L242=0,0,$L242*MAX(0,NETWORKDAYS(MAX($H242,ASOF,P$72),MIN(MAX($I242,ASOF),P$72+6),HOLIDAYS)))</f>
        <v>0</v>
      </c>
      <c r="Q242" s="289" t="n">
        <f aca="false">IF($L242=0,0,$L242*MAX(0,NETWORKDAYS(MAX($H242,ASOF,Q$72),MIN(MAX($I242,ASOF),Q$72+6),HOLIDAYS)))</f>
        <v>14.286</v>
      </c>
      <c r="R242" s="289" t="n">
        <f aca="false">IF($L242=0,0,$L242*MAX(0,NETWORKDAYS(MAX($H242,ASOF,R$72),MIN(MAX($I242,ASOF),R$72+6),HOLIDAYS)))</f>
        <v>0</v>
      </c>
      <c r="S242" s="289" t="n">
        <f aca="false">IF($L242=0,0,$L242*MAX(0,NETWORKDAYS(MAX($H242,ASOF,S$72),MIN(MAX($I242,ASOF),S$72+6),HOLIDAYS)))</f>
        <v>0</v>
      </c>
      <c r="T242" s="289" t="n">
        <f aca="false">IF($L242=0,0,$L242*MAX(0,NETWORKDAYS(MAX($H242,ASOF,T$72),MIN(MAX($I242,ASOF),T$72+6),HOLIDAYS)))</f>
        <v>0</v>
      </c>
      <c r="U242" s="289" t="n">
        <f aca="false">IF($L242=0,0,$L242*MAX(0,NETWORKDAYS(MAX($H242,ASOF,U$72),MIN(MAX($I242,ASOF),U$72+6),HOLIDAYS)))</f>
        <v>0</v>
      </c>
      <c r="V242" s="289" t="n">
        <f aca="false">IF($L242=0,0,$L242*MAX(0,NETWORKDAYS(MAX($H242,ASOF,V$72),MIN(MAX($I242,ASOF),V$72+6),HOLIDAYS)))</f>
        <v>0</v>
      </c>
      <c r="W242" s="289" t="n">
        <f aca="false">IF($L242=0,0,$L242*MAX(0,NETWORKDAYS(MAX($H242,ASOF,W$72),MIN(MAX($I242,ASOF),W$72+6),HOLIDAYS)))</f>
        <v>0</v>
      </c>
      <c r="X242" s="289" t="n">
        <f aca="false">IF($L242=0,0,$L242*MAX(0,NETWORKDAYS(MAX($H242,ASOF,X$72),MIN(MAX($I242,ASOF),X$72+6),HOLIDAYS)))</f>
        <v>0</v>
      </c>
      <c r="Y242" s="289" t="n">
        <f aca="false">IF($L242=0,0,$L242*MAX(0,NETWORKDAYS(MAX($H242,ASOF,Y$72),MIN(MAX($I242,ASOF),Y$72+6),HOLIDAYS)))</f>
        <v>0</v>
      </c>
      <c r="Z242" s="289" t="n">
        <f aca="false">IF($L242=0,0,$L242*MAX(0,NETWORKDAYS(MAX($H242,ASOF,Z$72),MIN(MAX($I242,ASOF),Z$72+6),HOLIDAYS)))</f>
        <v>0</v>
      </c>
      <c r="AA242" s="289" t="n">
        <f aca="false">IF($L242=0,0,$L242*MAX(0,NETWORKDAYS(MAX($H242,ASOF,AA$72),MIN(MAX($I242,ASOF),AA$72+6),HOLIDAYS)))</f>
        <v>0</v>
      </c>
      <c r="AB242" s="289" t="n">
        <f aca="false">IF($L242=0,0,$L242*MAX(0,NETWORKDAYS(MAX($H242,ASOF,AB$72),MIN(MAX($I242,ASOF),AB$72+6),HOLIDAYS)))</f>
        <v>0</v>
      </c>
      <c r="AC242" s="289" t="n">
        <f aca="false">IF($L242=0,0,$L242*MAX(0,NETWORKDAYS(MAX($H242,ASOF,AC$72),MIN(MAX($I242,ASOF),AC$72+6),HOLIDAYS)))</f>
        <v>0</v>
      </c>
      <c r="AD242" s="289" t="n">
        <f aca="false">IF($L242=0,0,$L242*MAX(0,NETWORKDAYS(MAX($H242,ASOF,AD$72),MIN(MAX($I242,ASOF),AD$72+6),HOLIDAYS)))</f>
        <v>0</v>
      </c>
      <c r="AE242" s="289" t="n">
        <f aca="false">IF($L242=0,0,$L242*MAX(0,NETWORKDAYS(MAX($H242,ASOF,AE$72),MIN(MAX($I242,ASOF),AE$72+6),HOLIDAYS)))</f>
        <v>0</v>
      </c>
      <c r="AF242" s="289" t="n">
        <f aca="false">IF($L242=0,0,$L242*MAX(0,NETWORKDAYS(MAX($H242,ASOF,AF$72),MIN(MAX($I242,ASOF),AF$72+6),HOLIDAYS)))</f>
        <v>0</v>
      </c>
      <c r="AG242" s="289" t="n">
        <f aca="false">IF($L242=0,0,$L242*MAX(0,NETWORKDAYS(MAX($H242,ASOF,AG$72),MIN(MAX($I242,ASOF),AG$72+6),HOLIDAYS)))</f>
        <v>0</v>
      </c>
      <c r="AH242" s="289" t="n">
        <f aca="false">IF($L242=0,0,$L242*MAX(0,NETWORKDAYS(MAX($H242,ASOF,AH$72),MIN(MAX($I242,ASOF),AH$72+6),HOLIDAYS)))</f>
        <v>0</v>
      </c>
      <c r="AI242" s="289" t="n">
        <f aca="false">IF($L242=0,0,$L242*MAX(0,NETWORKDAYS(MAX($H242,ASOF,AI$72),MIN(MAX($I242,ASOF),AI$72+6),HOLIDAYS)))</f>
        <v>0</v>
      </c>
      <c r="AJ242" s="289" t="n">
        <f aca="false">IF($L242=0,0,$L242*MAX(0,NETWORKDAYS(MAX($H242,ASOF,AJ$72),MIN(MAX($I242,ASOF),AJ$72+6),HOLIDAYS)))</f>
        <v>0</v>
      </c>
      <c r="AK242" s="289" t="n">
        <f aca="false">IF($L242=0,0,$L242*MAX(0,NETWORKDAYS(MAX($H242,ASOF,AK$72),MIN(MAX($I242,ASOF),AK$72+6),HOLIDAYS)))</f>
        <v>0</v>
      </c>
      <c r="AL242" s="289" t="n">
        <f aca="false">IF($L242=0,0,$L242*MAX(0,NETWORKDAYS(MAX($H242,ASOF,AL$72),MIN(MAX($I242,ASOF),AL$72+6),HOLIDAYS)))</f>
        <v>0</v>
      </c>
      <c r="AM242" s="289" t="n">
        <f aca="false">IF($L242=0,0,$L242*MAX(0,NETWORKDAYS(MAX($H242,ASOF,AM$72),MIN(MAX($I242,ASOF),AM$72+6),HOLIDAYS)))</f>
        <v>0</v>
      </c>
      <c r="AN242" s="289" t="n">
        <f aca="false">IF($L242=0,0,$L242*MAX(0,NETWORKDAYS(MAX($H242,ASOF,AN$72),MIN(MAX($I242,ASOF),AN$72+6),HOLIDAYS)))</f>
        <v>0</v>
      </c>
      <c r="AO242" s="289" t="n">
        <f aca="false">IF($L242=0,0,$L242*MAX(0,NETWORKDAYS(MAX($H242,ASOF,AO$72),MIN(MAX($I242,ASOF),AO$72+6),HOLIDAYS)))</f>
        <v>0</v>
      </c>
      <c r="AP242" s="289" t="n">
        <f aca="false">IF($L242=0,0,$L242*MAX(0,NETWORKDAYS(MAX($H242,ASOF,AP$72),MIN(MAX($I242,ASOF),AP$72+6),HOLIDAYS)))</f>
        <v>0</v>
      </c>
      <c r="AQ242" s="289" t="n">
        <f aca="false">IF($L242=0,0,$L242*MAX(0,NETWORKDAYS(MAX($H242,ASOF,AQ$72),MIN(MAX($I242,ASOF),AQ$72+6),HOLIDAYS)))</f>
        <v>0</v>
      </c>
      <c r="AR242" s="289" t="n">
        <f aca="false">IF($L242=0,0,$L242*MAX(0,NETWORKDAYS(MAX($H242,ASOF,AR$72),MIN(MAX($I242,ASOF),AR$72+6),HOLIDAYS)))</f>
        <v>0</v>
      </c>
    </row>
    <row r="243" customFormat="false" ht="15" hidden="false" customHeight="false" outlineLevel="1" collapsed="false">
      <c r="A243" s="282" t="s">
        <v>98</v>
      </c>
      <c r="B243" s="283" t="s">
        <v>100</v>
      </c>
      <c r="C243" s="284" t="s">
        <v>2361</v>
      </c>
      <c r="D243" s="284" t="s">
        <v>2280</v>
      </c>
      <c r="E243" s="285" t="n">
        <v>150.48</v>
      </c>
      <c r="F243" s="283" t="s">
        <v>527</v>
      </c>
      <c r="G243" s="285" t="n">
        <f aca="false">$F$7*(E243/$G$7+$H$7)</f>
        <v>19.1977142857143</v>
      </c>
      <c r="H243" s="286" t="n">
        <f aca="false">IF(ISNUMBER('P9-015'!$N$76),'P9-015'!$N$76,"")</f>
        <v>46342</v>
      </c>
      <c r="I243" s="286" t="n">
        <f aca="false">IF(ISNUMBER('P9-015'!$O$76),'P9-015'!$O$76,"")</f>
        <v>46347</v>
      </c>
      <c r="J243" s="287" t="n">
        <f aca="false">IF(OR(H243="",I243="",N243&gt;=1),0,MAX(1,NETWORKDAYS(MAX(H243,ASOF),MAX(I243,ASOF),HOLIDAYS)))</f>
        <v>5</v>
      </c>
      <c r="K243" s="287" t="n">
        <f aca="false">IF(L243=0,0,ROUNDUP(L243/$F$7,0))</f>
        <v>1</v>
      </c>
      <c r="L243" s="285" t="n">
        <f aca="false">IF(J243=0,0,G243*(1-N243)/J243)</f>
        <v>3.83954285714286</v>
      </c>
      <c r="M243" s="283" t="s">
        <v>1037</v>
      </c>
      <c r="N243" s="288" t="n">
        <f aca="false">IFERROR(MIN(1,'P9-015'!$V$76)+0,0)</f>
        <v>0</v>
      </c>
      <c r="O243" s="289" t="n">
        <f aca="false">IF($L243=0,0,$L243*MAX(0,NETWORKDAYS(MAX($H243,ASOF,O$72),MIN(MAX($I243,ASOF),O$72+6),HOLIDAYS)))</f>
        <v>0</v>
      </c>
      <c r="P243" s="289" t="n">
        <f aca="false">IF($L243=0,0,$L243*MAX(0,NETWORKDAYS(MAX($H243,ASOF,P$72),MIN(MAX($I243,ASOF),P$72+6),HOLIDAYS)))</f>
        <v>0</v>
      </c>
      <c r="Q243" s="289" t="n">
        <f aca="false">IF($L243=0,0,$L243*MAX(0,NETWORKDAYS(MAX($H243,ASOF,Q$72),MIN(MAX($I243,ASOF),Q$72+6),HOLIDAYS)))</f>
        <v>19.1977142857143</v>
      </c>
      <c r="R243" s="289" t="n">
        <f aca="false">IF($L243=0,0,$L243*MAX(0,NETWORKDAYS(MAX($H243,ASOF,R$72),MIN(MAX($I243,ASOF),R$72+6),HOLIDAYS)))</f>
        <v>0</v>
      </c>
      <c r="S243" s="289" t="n">
        <f aca="false">IF($L243=0,0,$L243*MAX(0,NETWORKDAYS(MAX($H243,ASOF,S$72),MIN(MAX($I243,ASOF),S$72+6),HOLIDAYS)))</f>
        <v>0</v>
      </c>
      <c r="T243" s="289" t="n">
        <f aca="false">IF($L243=0,0,$L243*MAX(0,NETWORKDAYS(MAX($H243,ASOF,T$72),MIN(MAX($I243,ASOF),T$72+6),HOLIDAYS)))</f>
        <v>0</v>
      </c>
      <c r="U243" s="289" t="n">
        <f aca="false">IF($L243=0,0,$L243*MAX(0,NETWORKDAYS(MAX($H243,ASOF,U$72),MIN(MAX($I243,ASOF),U$72+6),HOLIDAYS)))</f>
        <v>0</v>
      </c>
      <c r="V243" s="289" t="n">
        <f aca="false">IF($L243=0,0,$L243*MAX(0,NETWORKDAYS(MAX($H243,ASOF,V$72),MIN(MAX($I243,ASOF),V$72+6),HOLIDAYS)))</f>
        <v>0</v>
      </c>
      <c r="W243" s="289" t="n">
        <f aca="false">IF($L243=0,0,$L243*MAX(0,NETWORKDAYS(MAX($H243,ASOF,W$72),MIN(MAX($I243,ASOF),W$72+6),HOLIDAYS)))</f>
        <v>0</v>
      </c>
      <c r="X243" s="289" t="n">
        <f aca="false">IF($L243=0,0,$L243*MAX(0,NETWORKDAYS(MAX($H243,ASOF,X$72),MIN(MAX($I243,ASOF),X$72+6),HOLIDAYS)))</f>
        <v>0</v>
      </c>
      <c r="Y243" s="289" t="n">
        <f aca="false">IF($L243=0,0,$L243*MAX(0,NETWORKDAYS(MAX($H243,ASOF,Y$72),MIN(MAX($I243,ASOF),Y$72+6),HOLIDAYS)))</f>
        <v>0</v>
      </c>
      <c r="Z243" s="289" t="n">
        <f aca="false">IF($L243=0,0,$L243*MAX(0,NETWORKDAYS(MAX($H243,ASOF,Z$72),MIN(MAX($I243,ASOF),Z$72+6),HOLIDAYS)))</f>
        <v>0</v>
      </c>
      <c r="AA243" s="289" t="n">
        <f aca="false">IF($L243=0,0,$L243*MAX(0,NETWORKDAYS(MAX($H243,ASOF,AA$72),MIN(MAX($I243,ASOF),AA$72+6),HOLIDAYS)))</f>
        <v>0</v>
      </c>
      <c r="AB243" s="289" t="n">
        <f aca="false">IF($L243=0,0,$L243*MAX(0,NETWORKDAYS(MAX($H243,ASOF,AB$72),MIN(MAX($I243,ASOF),AB$72+6),HOLIDAYS)))</f>
        <v>0</v>
      </c>
      <c r="AC243" s="289" t="n">
        <f aca="false">IF($L243=0,0,$L243*MAX(0,NETWORKDAYS(MAX($H243,ASOF,AC$72),MIN(MAX($I243,ASOF),AC$72+6),HOLIDAYS)))</f>
        <v>0</v>
      </c>
      <c r="AD243" s="289" t="n">
        <f aca="false">IF($L243=0,0,$L243*MAX(0,NETWORKDAYS(MAX($H243,ASOF,AD$72),MIN(MAX($I243,ASOF),AD$72+6),HOLIDAYS)))</f>
        <v>0</v>
      </c>
      <c r="AE243" s="289" t="n">
        <f aca="false">IF($L243=0,0,$L243*MAX(0,NETWORKDAYS(MAX($H243,ASOF,AE$72),MIN(MAX($I243,ASOF),AE$72+6),HOLIDAYS)))</f>
        <v>0</v>
      </c>
      <c r="AF243" s="289" t="n">
        <f aca="false">IF($L243=0,0,$L243*MAX(0,NETWORKDAYS(MAX($H243,ASOF,AF$72),MIN(MAX($I243,ASOF),AF$72+6),HOLIDAYS)))</f>
        <v>0</v>
      </c>
      <c r="AG243" s="289" t="n">
        <f aca="false">IF($L243=0,0,$L243*MAX(0,NETWORKDAYS(MAX($H243,ASOF,AG$72),MIN(MAX($I243,ASOF),AG$72+6),HOLIDAYS)))</f>
        <v>0</v>
      </c>
      <c r="AH243" s="289" t="n">
        <f aca="false">IF($L243=0,0,$L243*MAX(0,NETWORKDAYS(MAX($H243,ASOF,AH$72),MIN(MAX($I243,ASOF),AH$72+6),HOLIDAYS)))</f>
        <v>0</v>
      </c>
      <c r="AI243" s="289" t="n">
        <f aca="false">IF($L243=0,0,$L243*MAX(0,NETWORKDAYS(MAX($H243,ASOF,AI$72),MIN(MAX($I243,ASOF),AI$72+6),HOLIDAYS)))</f>
        <v>0</v>
      </c>
      <c r="AJ243" s="289" t="n">
        <f aca="false">IF($L243=0,0,$L243*MAX(0,NETWORKDAYS(MAX($H243,ASOF,AJ$72),MIN(MAX($I243,ASOF),AJ$72+6),HOLIDAYS)))</f>
        <v>0</v>
      </c>
      <c r="AK243" s="289" t="n">
        <f aca="false">IF($L243=0,0,$L243*MAX(0,NETWORKDAYS(MAX($H243,ASOF,AK$72),MIN(MAX($I243,ASOF),AK$72+6),HOLIDAYS)))</f>
        <v>0</v>
      </c>
      <c r="AL243" s="289" t="n">
        <f aca="false">IF($L243=0,0,$L243*MAX(0,NETWORKDAYS(MAX($H243,ASOF,AL$72),MIN(MAX($I243,ASOF),AL$72+6),HOLIDAYS)))</f>
        <v>0</v>
      </c>
      <c r="AM243" s="289" t="n">
        <f aca="false">IF($L243=0,0,$L243*MAX(0,NETWORKDAYS(MAX($H243,ASOF,AM$72),MIN(MAX($I243,ASOF),AM$72+6),HOLIDAYS)))</f>
        <v>0</v>
      </c>
      <c r="AN243" s="289" t="n">
        <f aca="false">IF($L243=0,0,$L243*MAX(0,NETWORKDAYS(MAX($H243,ASOF,AN$72),MIN(MAX($I243,ASOF),AN$72+6),HOLIDAYS)))</f>
        <v>0</v>
      </c>
      <c r="AO243" s="289" t="n">
        <f aca="false">IF($L243=0,0,$L243*MAX(0,NETWORKDAYS(MAX($H243,ASOF,AO$72),MIN(MAX($I243,ASOF),AO$72+6),HOLIDAYS)))</f>
        <v>0</v>
      </c>
      <c r="AP243" s="289" t="n">
        <f aca="false">IF($L243=0,0,$L243*MAX(0,NETWORKDAYS(MAX($H243,ASOF,AP$72),MIN(MAX($I243,ASOF),AP$72+6),HOLIDAYS)))</f>
        <v>0</v>
      </c>
      <c r="AQ243" s="289" t="n">
        <f aca="false">IF($L243=0,0,$L243*MAX(0,NETWORKDAYS(MAX($H243,ASOF,AQ$72),MIN(MAX($I243,ASOF),AQ$72+6),HOLIDAYS)))</f>
        <v>0</v>
      </c>
      <c r="AR243" s="289" t="n">
        <f aca="false">IF($L243=0,0,$L243*MAX(0,NETWORKDAYS(MAX($H243,ASOF,AR$72),MIN(MAX($I243,ASOF),AR$72+6),HOLIDAYS)))</f>
        <v>0</v>
      </c>
    </row>
    <row r="244" customFormat="false" ht="15" hidden="false" customHeight="false" outlineLevel="1" collapsed="false">
      <c r="A244" s="282" t="s">
        <v>98</v>
      </c>
      <c r="B244" s="283" t="s">
        <v>100</v>
      </c>
      <c r="C244" s="284" t="s">
        <v>2362</v>
      </c>
      <c r="D244" s="284" t="s">
        <v>2284</v>
      </c>
      <c r="E244" s="285" t="n">
        <v>1</v>
      </c>
      <c r="F244" s="290" t="s">
        <v>35</v>
      </c>
      <c r="G244" s="285" t="n">
        <f aca="false">$F$8*$H$8</f>
        <v>2</v>
      </c>
      <c r="H244" s="286" t="n">
        <f aca="false">IF(ISNUMBER('P9-015'!$N$82),'P9-015'!$N$82,"")</f>
        <v>46345</v>
      </c>
      <c r="I244" s="286" t="n">
        <f aca="false">IF(ISNUMBER('P9-015'!$O$82),'P9-015'!$O$82,"")</f>
        <v>46347</v>
      </c>
      <c r="J244" s="287" t="n">
        <f aca="false">IF(OR(H244="",I244="",N244&gt;=1),0,MAX(1,NETWORKDAYS(MAX(H244,ASOF),MAX(I244,ASOF),HOLIDAYS)))</f>
        <v>2</v>
      </c>
      <c r="K244" s="287" t="n">
        <f aca="false">IF(L244=0,0,ROUNDUP(L244/$F$8,0))</f>
        <v>1</v>
      </c>
      <c r="L244" s="285" t="n">
        <f aca="false">IF(J244=0,0,G244*(1-N244)/J244)</f>
        <v>1</v>
      </c>
      <c r="M244" s="283" t="s">
        <v>1063</v>
      </c>
      <c r="N244" s="288" t="n">
        <f aca="false">IFERROR(MIN(1,'P9-015'!$V$82)+0,0)</f>
        <v>0</v>
      </c>
      <c r="O244" s="289" t="n">
        <f aca="false">IF($L244=0,0,$L244*MAX(0,NETWORKDAYS(MAX($H244,ASOF,O$72),MIN(MAX($I244,ASOF),O$72+6),HOLIDAYS)))</f>
        <v>0</v>
      </c>
      <c r="P244" s="289" t="n">
        <f aca="false">IF($L244=0,0,$L244*MAX(0,NETWORKDAYS(MAX($H244,ASOF,P$72),MIN(MAX($I244,ASOF),P$72+6),HOLIDAYS)))</f>
        <v>0</v>
      </c>
      <c r="Q244" s="289" t="n">
        <f aca="false">IF($L244=0,0,$L244*MAX(0,NETWORKDAYS(MAX($H244,ASOF,Q$72),MIN(MAX($I244,ASOF),Q$72+6),HOLIDAYS)))</f>
        <v>2</v>
      </c>
      <c r="R244" s="289" t="n">
        <f aca="false">IF($L244=0,0,$L244*MAX(0,NETWORKDAYS(MAX($H244,ASOF,R$72),MIN(MAX($I244,ASOF),R$72+6),HOLIDAYS)))</f>
        <v>0</v>
      </c>
      <c r="S244" s="289" t="n">
        <f aca="false">IF($L244=0,0,$L244*MAX(0,NETWORKDAYS(MAX($H244,ASOF,S$72),MIN(MAX($I244,ASOF),S$72+6),HOLIDAYS)))</f>
        <v>0</v>
      </c>
      <c r="T244" s="289" t="n">
        <f aca="false">IF($L244=0,0,$L244*MAX(0,NETWORKDAYS(MAX($H244,ASOF,T$72),MIN(MAX($I244,ASOF),T$72+6),HOLIDAYS)))</f>
        <v>0</v>
      </c>
      <c r="U244" s="289" t="n">
        <f aca="false">IF($L244=0,0,$L244*MAX(0,NETWORKDAYS(MAX($H244,ASOF,U$72),MIN(MAX($I244,ASOF),U$72+6),HOLIDAYS)))</f>
        <v>0</v>
      </c>
      <c r="V244" s="289" t="n">
        <f aca="false">IF($L244=0,0,$L244*MAX(0,NETWORKDAYS(MAX($H244,ASOF,V$72),MIN(MAX($I244,ASOF),V$72+6),HOLIDAYS)))</f>
        <v>0</v>
      </c>
      <c r="W244" s="289" t="n">
        <f aca="false">IF($L244=0,0,$L244*MAX(0,NETWORKDAYS(MAX($H244,ASOF,W$72),MIN(MAX($I244,ASOF),W$72+6),HOLIDAYS)))</f>
        <v>0</v>
      </c>
      <c r="X244" s="289" t="n">
        <f aca="false">IF($L244=0,0,$L244*MAX(0,NETWORKDAYS(MAX($H244,ASOF,X$72),MIN(MAX($I244,ASOF),X$72+6),HOLIDAYS)))</f>
        <v>0</v>
      </c>
      <c r="Y244" s="289" t="n">
        <f aca="false">IF($L244=0,0,$L244*MAX(0,NETWORKDAYS(MAX($H244,ASOF,Y$72),MIN(MAX($I244,ASOF),Y$72+6),HOLIDAYS)))</f>
        <v>0</v>
      </c>
      <c r="Z244" s="289" t="n">
        <f aca="false">IF($L244=0,0,$L244*MAX(0,NETWORKDAYS(MAX($H244,ASOF,Z$72),MIN(MAX($I244,ASOF),Z$72+6),HOLIDAYS)))</f>
        <v>0</v>
      </c>
      <c r="AA244" s="289" t="n">
        <f aca="false">IF($L244=0,0,$L244*MAX(0,NETWORKDAYS(MAX($H244,ASOF,AA$72),MIN(MAX($I244,ASOF),AA$72+6),HOLIDAYS)))</f>
        <v>0</v>
      </c>
      <c r="AB244" s="289" t="n">
        <f aca="false">IF($L244=0,0,$L244*MAX(0,NETWORKDAYS(MAX($H244,ASOF,AB$72),MIN(MAX($I244,ASOF),AB$72+6),HOLIDAYS)))</f>
        <v>0</v>
      </c>
      <c r="AC244" s="289" t="n">
        <f aca="false">IF($L244=0,0,$L244*MAX(0,NETWORKDAYS(MAX($H244,ASOF,AC$72),MIN(MAX($I244,ASOF),AC$72+6),HOLIDAYS)))</f>
        <v>0</v>
      </c>
      <c r="AD244" s="289" t="n">
        <f aca="false">IF($L244=0,0,$L244*MAX(0,NETWORKDAYS(MAX($H244,ASOF,AD$72),MIN(MAX($I244,ASOF),AD$72+6),HOLIDAYS)))</f>
        <v>0</v>
      </c>
      <c r="AE244" s="289" t="n">
        <f aca="false">IF($L244=0,0,$L244*MAX(0,NETWORKDAYS(MAX($H244,ASOF,AE$72),MIN(MAX($I244,ASOF),AE$72+6),HOLIDAYS)))</f>
        <v>0</v>
      </c>
      <c r="AF244" s="289" t="n">
        <f aca="false">IF($L244=0,0,$L244*MAX(0,NETWORKDAYS(MAX($H244,ASOF,AF$72),MIN(MAX($I244,ASOF),AF$72+6),HOLIDAYS)))</f>
        <v>0</v>
      </c>
      <c r="AG244" s="289" t="n">
        <f aca="false">IF($L244=0,0,$L244*MAX(0,NETWORKDAYS(MAX($H244,ASOF,AG$72),MIN(MAX($I244,ASOF),AG$72+6),HOLIDAYS)))</f>
        <v>0</v>
      </c>
      <c r="AH244" s="289" t="n">
        <f aca="false">IF($L244=0,0,$L244*MAX(0,NETWORKDAYS(MAX($H244,ASOF,AH$72),MIN(MAX($I244,ASOF),AH$72+6),HOLIDAYS)))</f>
        <v>0</v>
      </c>
      <c r="AI244" s="289" t="n">
        <f aca="false">IF($L244=0,0,$L244*MAX(0,NETWORKDAYS(MAX($H244,ASOF,AI$72),MIN(MAX($I244,ASOF),AI$72+6),HOLIDAYS)))</f>
        <v>0</v>
      </c>
      <c r="AJ244" s="289" t="n">
        <f aca="false">IF($L244=0,0,$L244*MAX(0,NETWORKDAYS(MAX($H244,ASOF,AJ$72),MIN(MAX($I244,ASOF),AJ$72+6),HOLIDAYS)))</f>
        <v>0</v>
      </c>
      <c r="AK244" s="289" t="n">
        <f aca="false">IF($L244=0,0,$L244*MAX(0,NETWORKDAYS(MAX($H244,ASOF,AK$72),MIN(MAX($I244,ASOF),AK$72+6),HOLIDAYS)))</f>
        <v>0</v>
      </c>
      <c r="AL244" s="289" t="n">
        <f aca="false">IF($L244=0,0,$L244*MAX(0,NETWORKDAYS(MAX($H244,ASOF,AL$72),MIN(MAX($I244,ASOF),AL$72+6),HOLIDAYS)))</f>
        <v>0</v>
      </c>
      <c r="AM244" s="289" t="n">
        <f aca="false">IF($L244=0,0,$L244*MAX(0,NETWORKDAYS(MAX($H244,ASOF,AM$72),MIN(MAX($I244,ASOF),AM$72+6),HOLIDAYS)))</f>
        <v>0</v>
      </c>
      <c r="AN244" s="289" t="n">
        <f aca="false">IF($L244=0,0,$L244*MAX(0,NETWORKDAYS(MAX($H244,ASOF,AN$72),MIN(MAX($I244,ASOF),AN$72+6),HOLIDAYS)))</f>
        <v>0</v>
      </c>
      <c r="AO244" s="289" t="n">
        <f aca="false">IF($L244=0,0,$L244*MAX(0,NETWORKDAYS(MAX($H244,ASOF,AO$72),MIN(MAX($I244,ASOF),AO$72+6),HOLIDAYS)))</f>
        <v>0</v>
      </c>
      <c r="AP244" s="289" t="n">
        <f aca="false">IF($L244=0,0,$L244*MAX(0,NETWORKDAYS(MAX($H244,ASOF,AP$72),MIN(MAX($I244,ASOF),AP$72+6),HOLIDAYS)))</f>
        <v>0</v>
      </c>
      <c r="AQ244" s="289" t="n">
        <f aca="false">IF($L244=0,0,$L244*MAX(0,NETWORKDAYS(MAX($H244,ASOF,AQ$72),MIN(MAX($I244,ASOF),AQ$72+6),HOLIDAYS)))</f>
        <v>0</v>
      </c>
      <c r="AR244" s="289" t="n">
        <f aca="false">IF($L244=0,0,$L244*MAX(0,NETWORKDAYS(MAX($H244,ASOF,AR$72),MIN(MAX($I244,ASOF),AR$72+6),HOLIDAYS)))</f>
        <v>0</v>
      </c>
    </row>
    <row r="245" customFormat="false" ht="15" hidden="false" customHeight="false" outlineLevel="1" collapsed="false">
      <c r="A245" s="282" t="s">
        <v>98</v>
      </c>
      <c r="B245" s="283" t="s">
        <v>100</v>
      </c>
      <c r="C245" s="284" t="s">
        <v>2363</v>
      </c>
      <c r="D245" s="284" t="s">
        <v>2290</v>
      </c>
      <c r="E245" s="285" t="n">
        <v>1</v>
      </c>
      <c r="F245" s="290" t="s">
        <v>35</v>
      </c>
      <c r="G245" s="285" t="n">
        <f aca="false">IF(IFERROR(INDEX(INVS_TYPE,MATCH("P9-015",INVS_ID,0)),"")="สร้างใหม่ (E09)",$F$9*$H$9,0)</f>
        <v>24</v>
      </c>
      <c r="H245" s="286" t="n">
        <f aca="false">IF(ISNUMBER('P9-015'!$N$85),'P9-015'!$N$85,"")</f>
        <v>46343</v>
      </c>
      <c r="I245" s="286" t="n">
        <f aca="false">IF(ISNUMBER('P9-015'!$O$85),'P9-015'!$O$85,"")</f>
        <v>46346</v>
      </c>
      <c r="J245" s="287" t="n">
        <f aca="false">IF(OR(H245="",I245="",N245&gt;=1),0,MAX(1,NETWORKDAYS(MAX(H245,ASOF),MAX(I245,ASOF),HOLIDAYS)))</f>
        <v>4</v>
      </c>
      <c r="K245" s="287" t="n">
        <f aca="false">IF(L245=0,0,ROUNDUP(L245/$F$9,0))</f>
        <v>2</v>
      </c>
      <c r="L245" s="285" t="n">
        <f aca="false">IF(J245=0,0,G245*(1-N245)/J245)</f>
        <v>6</v>
      </c>
      <c r="M245" s="283" t="s">
        <v>2288</v>
      </c>
      <c r="N245" s="288" t="n">
        <f aca="false">IFERROR(MIN(1,'P9-015'!$V$85)+0,0)</f>
        <v>0</v>
      </c>
      <c r="O245" s="289" t="n">
        <f aca="false">IF($L245=0,0,$L245*MAX(0,NETWORKDAYS(MAX($H245,ASOF,O$72),MIN(MAX($I245,ASOF),O$72+6),HOLIDAYS)))</f>
        <v>0</v>
      </c>
      <c r="P245" s="289" t="n">
        <f aca="false">IF($L245=0,0,$L245*MAX(0,NETWORKDAYS(MAX($H245,ASOF,P$72),MIN(MAX($I245,ASOF),P$72+6),HOLIDAYS)))</f>
        <v>0</v>
      </c>
      <c r="Q245" s="289" t="n">
        <f aca="false">IF($L245=0,0,$L245*MAX(0,NETWORKDAYS(MAX($H245,ASOF,Q$72),MIN(MAX($I245,ASOF),Q$72+6),HOLIDAYS)))</f>
        <v>24</v>
      </c>
      <c r="R245" s="289" t="n">
        <f aca="false">IF($L245=0,0,$L245*MAX(0,NETWORKDAYS(MAX($H245,ASOF,R$72),MIN(MAX($I245,ASOF),R$72+6),HOLIDAYS)))</f>
        <v>0</v>
      </c>
      <c r="S245" s="289" t="n">
        <f aca="false">IF($L245=0,0,$L245*MAX(0,NETWORKDAYS(MAX($H245,ASOF,S$72),MIN(MAX($I245,ASOF),S$72+6),HOLIDAYS)))</f>
        <v>0</v>
      </c>
      <c r="T245" s="289" t="n">
        <f aca="false">IF($L245=0,0,$L245*MAX(0,NETWORKDAYS(MAX($H245,ASOF,T$72),MIN(MAX($I245,ASOF),T$72+6),HOLIDAYS)))</f>
        <v>0</v>
      </c>
      <c r="U245" s="289" t="n">
        <f aca="false">IF($L245=0,0,$L245*MAX(0,NETWORKDAYS(MAX($H245,ASOF,U$72),MIN(MAX($I245,ASOF),U$72+6),HOLIDAYS)))</f>
        <v>0</v>
      </c>
      <c r="V245" s="289" t="n">
        <f aca="false">IF($L245=0,0,$L245*MAX(0,NETWORKDAYS(MAX($H245,ASOF,V$72),MIN(MAX($I245,ASOF),V$72+6),HOLIDAYS)))</f>
        <v>0</v>
      </c>
      <c r="W245" s="289" t="n">
        <f aca="false">IF($L245=0,0,$L245*MAX(0,NETWORKDAYS(MAX($H245,ASOF,W$72),MIN(MAX($I245,ASOF),W$72+6),HOLIDAYS)))</f>
        <v>0</v>
      </c>
      <c r="X245" s="289" t="n">
        <f aca="false">IF($L245=0,0,$L245*MAX(0,NETWORKDAYS(MAX($H245,ASOF,X$72),MIN(MAX($I245,ASOF),X$72+6),HOLIDAYS)))</f>
        <v>0</v>
      </c>
      <c r="Y245" s="289" t="n">
        <f aca="false">IF($L245=0,0,$L245*MAX(0,NETWORKDAYS(MAX($H245,ASOF,Y$72),MIN(MAX($I245,ASOF),Y$72+6),HOLIDAYS)))</f>
        <v>0</v>
      </c>
      <c r="Z245" s="289" t="n">
        <f aca="false">IF($L245=0,0,$L245*MAX(0,NETWORKDAYS(MAX($H245,ASOF,Z$72),MIN(MAX($I245,ASOF),Z$72+6),HOLIDAYS)))</f>
        <v>0</v>
      </c>
      <c r="AA245" s="289" t="n">
        <f aca="false">IF($L245=0,0,$L245*MAX(0,NETWORKDAYS(MAX($H245,ASOF,AA$72),MIN(MAX($I245,ASOF),AA$72+6),HOLIDAYS)))</f>
        <v>0</v>
      </c>
      <c r="AB245" s="289" t="n">
        <f aca="false">IF($L245=0,0,$L245*MAX(0,NETWORKDAYS(MAX($H245,ASOF,AB$72),MIN(MAX($I245,ASOF),AB$72+6),HOLIDAYS)))</f>
        <v>0</v>
      </c>
      <c r="AC245" s="289" t="n">
        <f aca="false">IF($L245=0,0,$L245*MAX(0,NETWORKDAYS(MAX($H245,ASOF,AC$72),MIN(MAX($I245,ASOF),AC$72+6),HOLIDAYS)))</f>
        <v>0</v>
      </c>
      <c r="AD245" s="289" t="n">
        <f aca="false">IF($L245=0,0,$L245*MAX(0,NETWORKDAYS(MAX($H245,ASOF,AD$72),MIN(MAX($I245,ASOF),AD$72+6),HOLIDAYS)))</f>
        <v>0</v>
      </c>
      <c r="AE245" s="289" t="n">
        <f aca="false">IF($L245=0,0,$L245*MAX(0,NETWORKDAYS(MAX($H245,ASOF,AE$72),MIN(MAX($I245,ASOF),AE$72+6),HOLIDAYS)))</f>
        <v>0</v>
      </c>
      <c r="AF245" s="289" t="n">
        <f aca="false">IF($L245=0,0,$L245*MAX(0,NETWORKDAYS(MAX($H245,ASOF,AF$72),MIN(MAX($I245,ASOF),AF$72+6),HOLIDAYS)))</f>
        <v>0</v>
      </c>
      <c r="AG245" s="289" t="n">
        <f aca="false">IF($L245=0,0,$L245*MAX(0,NETWORKDAYS(MAX($H245,ASOF,AG$72),MIN(MAX($I245,ASOF),AG$72+6),HOLIDAYS)))</f>
        <v>0</v>
      </c>
      <c r="AH245" s="289" t="n">
        <f aca="false">IF($L245=0,0,$L245*MAX(0,NETWORKDAYS(MAX($H245,ASOF,AH$72),MIN(MAX($I245,ASOF),AH$72+6),HOLIDAYS)))</f>
        <v>0</v>
      </c>
      <c r="AI245" s="289" t="n">
        <f aca="false">IF($L245=0,0,$L245*MAX(0,NETWORKDAYS(MAX($H245,ASOF,AI$72),MIN(MAX($I245,ASOF),AI$72+6),HOLIDAYS)))</f>
        <v>0</v>
      </c>
      <c r="AJ245" s="289" t="n">
        <f aca="false">IF($L245=0,0,$L245*MAX(0,NETWORKDAYS(MAX($H245,ASOF,AJ$72),MIN(MAX($I245,ASOF),AJ$72+6),HOLIDAYS)))</f>
        <v>0</v>
      </c>
      <c r="AK245" s="289" t="n">
        <f aca="false">IF($L245=0,0,$L245*MAX(0,NETWORKDAYS(MAX($H245,ASOF,AK$72),MIN(MAX($I245,ASOF),AK$72+6),HOLIDAYS)))</f>
        <v>0</v>
      </c>
      <c r="AL245" s="289" t="n">
        <f aca="false">IF($L245=0,0,$L245*MAX(0,NETWORKDAYS(MAX($H245,ASOF,AL$72),MIN(MAX($I245,ASOF),AL$72+6),HOLIDAYS)))</f>
        <v>0</v>
      </c>
      <c r="AM245" s="289" t="n">
        <f aca="false">IF($L245=0,0,$L245*MAX(0,NETWORKDAYS(MAX($H245,ASOF,AM$72),MIN(MAX($I245,ASOF),AM$72+6),HOLIDAYS)))</f>
        <v>0</v>
      </c>
      <c r="AN245" s="289" t="n">
        <f aca="false">IF($L245=0,0,$L245*MAX(0,NETWORKDAYS(MAX($H245,ASOF,AN$72),MIN(MAX($I245,ASOF),AN$72+6),HOLIDAYS)))</f>
        <v>0</v>
      </c>
      <c r="AO245" s="289" t="n">
        <f aca="false">IF($L245=0,0,$L245*MAX(0,NETWORKDAYS(MAX($H245,ASOF,AO$72),MIN(MAX($I245,ASOF),AO$72+6),HOLIDAYS)))</f>
        <v>0</v>
      </c>
      <c r="AP245" s="289" t="n">
        <f aca="false">IF($L245=0,0,$L245*MAX(0,NETWORKDAYS(MAX($H245,ASOF,AP$72),MIN(MAX($I245,ASOF),AP$72+6),HOLIDAYS)))</f>
        <v>0</v>
      </c>
      <c r="AQ245" s="289" t="n">
        <f aca="false">IF($L245=0,0,$L245*MAX(0,NETWORKDAYS(MAX($H245,ASOF,AQ$72),MIN(MAX($I245,ASOF),AQ$72+6),HOLIDAYS)))</f>
        <v>0</v>
      </c>
      <c r="AR245" s="289" t="n">
        <f aca="false">IF($L245=0,0,$L245*MAX(0,NETWORKDAYS(MAX($H245,ASOF,AR$72),MIN(MAX($I245,ASOF),AR$72+6),HOLIDAYS)))</f>
        <v>0</v>
      </c>
    </row>
    <row r="246" customFormat="false" ht="15" hidden="false" customHeight="false" outlineLevel="1" collapsed="false">
      <c r="A246" s="282" t="s">
        <v>98</v>
      </c>
      <c r="B246" s="283" t="s">
        <v>100</v>
      </c>
      <c r="C246" s="284" t="s">
        <v>2364</v>
      </c>
      <c r="D246" s="284" t="s">
        <v>2284</v>
      </c>
      <c r="E246" s="285" t="n">
        <f aca="false">IFERROR(INDEX(INVS_N,MATCH("P9-015",INVS_ID,0)),1)</f>
        <v>1</v>
      </c>
      <c r="F246" s="290" t="s">
        <v>2365</v>
      </c>
      <c r="G246" s="285" t="n">
        <f aca="false">$F$10*(E246/$G$10+$H$10)</f>
        <v>3</v>
      </c>
      <c r="H246" s="286" t="n">
        <f aca="false">IF(ISNUMBER('P9-015'!$N$85),'P9-015'!$N$85,"")</f>
        <v>46343</v>
      </c>
      <c r="I246" s="286" t="n">
        <f aca="false">IF(ISNUMBER('P9-015'!$O$85),'P9-015'!$O$85,"")</f>
        <v>46346</v>
      </c>
      <c r="J246" s="287" t="n">
        <f aca="false">IF(OR(H246="",I246="",N246&gt;=1),0,MAX(1,NETWORKDAYS(MAX(H246,ASOF),MAX(I246,ASOF),HOLIDAYS)))</f>
        <v>4</v>
      </c>
      <c r="K246" s="287" t="n">
        <f aca="false">IF(L246=0,0,ROUNDUP(L246/$F$10,0))</f>
        <v>1</v>
      </c>
      <c r="L246" s="285" t="n">
        <f aca="false">IF(J246=0,0,G246*(1-N246)/J246)</f>
        <v>0.75</v>
      </c>
      <c r="M246" s="283" t="s">
        <v>2293</v>
      </c>
      <c r="N246" s="288" t="n">
        <f aca="false">IFERROR(MIN(1,'P9-015'!$V$85)+0,0)</f>
        <v>0</v>
      </c>
      <c r="O246" s="289" t="n">
        <f aca="false">IF($L246=0,0,$L246*MAX(0,NETWORKDAYS(MAX($H246,ASOF,O$72),MIN(MAX($I246,ASOF),O$72+6),HOLIDAYS)))</f>
        <v>0</v>
      </c>
      <c r="P246" s="289" t="n">
        <f aca="false">IF($L246=0,0,$L246*MAX(0,NETWORKDAYS(MAX($H246,ASOF,P$72),MIN(MAX($I246,ASOF),P$72+6),HOLIDAYS)))</f>
        <v>0</v>
      </c>
      <c r="Q246" s="289" t="n">
        <f aca="false">IF($L246=0,0,$L246*MAX(0,NETWORKDAYS(MAX($H246,ASOF,Q$72),MIN(MAX($I246,ASOF),Q$72+6),HOLIDAYS)))</f>
        <v>3</v>
      </c>
      <c r="R246" s="289" t="n">
        <f aca="false">IF($L246=0,0,$L246*MAX(0,NETWORKDAYS(MAX($H246,ASOF,R$72),MIN(MAX($I246,ASOF),R$72+6),HOLIDAYS)))</f>
        <v>0</v>
      </c>
      <c r="S246" s="289" t="n">
        <f aca="false">IF($L246=0,0,$L246*MAX(0,NETWORKDAYS(MAX($H246,ASOF,S$72),MIN(MAX($I246,ASOF),S$72+6),HOLIDAYS)))</f>
        <v>0</v>
      </c>
      <c r="T246" s="289" t="n">
        <f aca="false">IF($L246=0,0,$L246*MAX(0,NETWORKDAYS(MAX($H246,ASOF,T$72),MIN(MAX($I246,ASOF),T$72+6),HOLIDAYS)))</f>
        <v>0</v>
      </c>
      <c r="U246" s="289" t="n">
        <f aca="false">IF($L246=0,0,$L246*MAX(0,NETWORKDAYS(MAX($H246,ASOF,U$72),MIN(MAX($I246,ASOF),U$72+6),HOLIDAYS)))</f>
        <v>0</v>
      </c>
      <c r="V246" s="289" t="n">
        <f aca="false">IF($L246=0,0,$L246*MAX(0,NETWORKDAYS(MAX($H246,ASOF,V$72),MIN(MAX($I246,ASOF),V$72+6),HOLIDAYS)))</f>
        <v>0</v>
      </c>
      <c r="W246" s="289" t="n">
        <f aca="false">IF($L246=0,0,$L246*MAX(0,NETWORKDAYS(MAX($H246,ASOF,W$72),MIN(MAX($I246,ASOF),W$72+6),HOLIDAYS)))</f>
        <v>0</v>
      </c>
      <c r="X246" s="289" t="n">
        <f aca="false">IF($L246=0,0,$L246*MAX(0,NETWORKDAYS(MAX($H246,ASOF,X$72),MIN(MAX($I246,ASOF),X$72+6),HOLIDAYS)))</f>
        <v>0</v>
      </c>
      <c r="Y246" s="289" t="n">
        <f aca="false">IF($L246=0,0,$L246*MAX(0,NETWORKDAYS(MAX($H246,ASOF,Y$72),MIN(MAX($I246,ASOF),Y$72+6),HOLIDAYS)))</f>
        <v>0</v>
      </c>
      <c r="Z246" s="289" t="n">
        <f aca="false">IF($L246=0,0,$L246*MAX(0,NETWORKDAYS(MAX($H246,ASOF,Z$72),MIN(MAX($I246,ASOF),Z$72+6),HOLIDAYS)))</f>
        <v>0</v>
      </c>
      <c r="AA246" s="289" t="n">
        <f aca="false">IF($L246=0,0,$L246*MAX(0,NETWORKDAYS(MAX($H246,ASOF,AA$72),MIN(MAX($I246,ASOF),AA$72+6),HOLIDAYS)))</f>
        <v>0</v>
      </c>
      <c r="AB246" s="289" t="n">
        <f aca="false">IF($L246=0,0,$L246*MAX(0,NETWORKDAYS(MAX($H246,ASOF,AB$72),MIN(MAX($I246,ASOF),AB$72+6),HOLIDAYS)))</f>
        <v>0</v>
      </c>
      <c r="AC246" s="289" t="n">
        <f aca="false">IF($L246=0,0,$L246*MAX(0,NETWORKDAYS(MAX($H246,ASOF,AC$72),MIN(MAX($I246,ASOF),AC$72+6),HOLIDAYS)))</f>
        <v>0</v>
      </c>
      <c r="AD246" s="289" t="n">
        <f aca="false">IF($L246=0,0,$L246*MAX(0,NETWORKDAYS(MAX($H246,ASOF,AD$72),MIN(MAX($I246,ASOF),AD$72+6),HOLIDAYS)))</f>
        <v>0</v>
      </c>
      <c r="AE246" s="289" t="n">
        <f aca="false">IF($L246=0,0,$L246*MAX(0,NETWORKDAYS(MAX($H246,ASOF,AE$72),MIN(MAX($I246,ASOF),AE$72+6),HOLIDAYS)))</f>
        <v>0</v>
      </c>
      <c r="AF246" s="289" t="n">
        <f aca="false">IF($L246=0,0,$L246*MAX(0,NETWORKDAYS(MAX($H246,ASOF,AF$72),MIN(MAX($I246,ASOF),AF$72+6),HOLIDAYS)))</f>
        <v>0</v>
      </c>
      <c r="AG246" s="289" t="n">
        <f aca="false">IF($L246=0,0,$L246*MAX(0,NETWORKDAYS(MAX($H246,ASOF,AG$72),MIN(MAX($I246,ASOF),AG$72+6),HOLIDAYS)))</f>
        <v>0</v>
      </c>
      <c r="AH246" s="289" t="n">
        <f aca="false">IF($L246=0,0,$L246*MAX(0,NETWORKDAYS(MAX($H246,ASOF,AH$72),MIN(MAX($I246,ASOF),AH$72+6),HOLIDAYS)))</f>
        <v>0</v>
      </c>
      <c r="AI246" s="289" t="n">
        <f aca="false">IF($L246=0,0,$L246*MAX(0,NETWORKDAYS(MAX($H246,ASOF,AI$72),MIN(MAX($I246,ASOF),AI$72+6),HOLIDAYS)))</f>
        <v>0</v>
      </c>
      <c r="AJ246" s="289" t="n">
        <f aca="false">IF($L246=0,0,$L246*MAX(0,NETWORKDAYS(MAX($H246,ASOF,AJ$72),MIN(MAX($I246,ASOF),AJ$72+6),HOLIDAYS)))</f>
        <v>0</v>
      </c>
      <c r="AK246" s="289" t="n">
        <f aca="false">IF($L246=0,0,$L246*MAX(0,NETWORKDAYS(MAX($H246,ASOF,AK$72),MIN(MAX($I246,ASOF),AK$72+6),HOLIDAYS)))</f>
        <v>0</v>
      </c>
      <c r="AL246" s="289" t="n">
        <f aca="false">IF($L246=0,0,$L246*MAX(0,NETWORKDAYS(MAX($H246,ASOF,AL$72),MIN(MAX($I246,ASOF),AL$72+6),HOLIDAYS)))</f>
        <v>0</v>
      </c>
      <c r="AM246" s="289" t="n">
        <f aca="false">IF($L246=0,0,$L246*MAX(0,NETWORKDAYS(MAX($H246,ASOF,AM$72),MIN(MAX($I246,ASOF),AM$72+6),HOLIDAYS)))</f>
        <v>0</v>
      </c>
      <c r="AN246" s="289" t="n">
        <f aca="false">IF($L246=0,0,$L246*MAX(0,NETWORKDAYS(MAX($H246,ASOF,AN$72),MIN(MAX($I246,ASOF),AN$72+6),HOLIDAYS)))</f>
        <v>0</v>
      </c>
      <c r="AO246" s="289" t="n">
        <f aca="false">IF($L246=0,0,$L246*MAX(0,NETWORKDAYS(MAX($H246,ASOF,AO$72),MIN(MAX($I246,ASOF),AO$72+6),HOLIDAYS)))</f>
        <v>0</v>
      </c>
      <c r="AP246" s="289" t="n">
        <f aca="false">IF($L246=0,0,$L246*MAX(0,NETWORKDAYS(MAX($H246,ASOF,AP$72),MIN(MAX($I246,ASOF),AP$72+6),HOLIDAYS)))</f>
        <v>0</v>
      </c>
      <c r="AQ246" s="289" t="n">
        <f aca="false">IF($L246=0,0,$L246*MAX(0,NETWORKDAYS(MAX($H246,ASOF,AQ$72),MIN(MAX($I246,ASOF),AQ$72+6),HOLIDAYS)))</f>
        <v>0</v>
      </c>
      <c r="AR246" s="289" t="n">
        <f aca="false">IF($L246=0,0,$L246*MAX(0,NETWORKDAYS(MAX($H246,ASOF,AR$72),MIN(MAX($I246,ASOF),AR$72+6),HOLIDAYS)))</f>
        <v>0</v>
      </c>
    </row>
    <row r="247" customFormat="false" ht="15" hidden="false" customHeight="false" outlineLevel="1" collapsed="false">
      <c r="A247" s="282" t="s">
        <v>98</v>
      </c>
      <c r="B247" s="283" t="s">
        <v>100</v>
      </c>
      <c r="C247" s="284" t="s">
        <v>2366</v>
      </c>
      <c r="D247" s="284" t="s">
        <v>2284</v>
      </c>
      <c r="E247" s="285" t="n">
        <v>1</v>
      </c>
      <c r="F247" s="290" t="s">
        <v>35</v>
      </c>
      <c r="G247" s="285" t="n">
        <f aca="false">$F$11*$H$11</f>
        <v>16</v>
      </c>
      <c r="H247" s="286" t="n">
        <f aca="false">IF(ISNUMBER('P9-015'!$N$90),'P9-015'!$N$90,"")</f>
        <v>46344</v>
      </c>
      <c r="I247" s="286" t="n">
        <f aca="false">IF(ISNUMBER('P9-015'!$O$90),'P9-015'!$O$90,"")</f>
        <v>46347</v>
      </c>
      <c r="J247" s="287" t="n">
        <f aca="false">IF(OR(H247="",I247="",N247&gt;=1),0,MAX(1,NETWORKDAYS(MAX(H247,ASOF),MAX(I247,ASOF),HOLIDAYS)))</f>
        <v>3</v>
      </c>
      <c r="K247" s="287" t="n">
        <f aca="false">IF(L247=0,0,ROUNDUP(L247/$F$11,0))</f>
        <v>2</v>
      </c>
      <c r="L247" s="285" t="n">
        <f aca="false">IF(J247=0,0,G247*(1-N247)/J247)</f>
        <v>5.33333333333333</v>
      </c>
      <c r="M247" s="283" t="s">
        <v>1113</v>
      </c>
      <c r="N247" s="288" t="n">
        <f aca="false">IFERROR(MIN(1,'P9-015'!$V$90)+0,0)</f>
        <v>0</v>
      </c>
      <c r="O247" s="289" t="n">
        <f aca="false">IF($L247=0,0,$L247*MAX(0,NETWORKDAYS(MAX($H247,ASOF,O$72),MIN(MAX($I247,ASOF),O$72+6),HOLIDAYS)))</f>
        <v>0</v>
      </c>
      <c r="P247" s="289" t="n">
        <f aca="false">IF($L247=0,0,$L247*MAX(0,NETWORKDAYS(MAX($H247,ASOF,P$72),MIN(MAX($I247,ASOF),P$72+6),HOLIDAYS)))</f>
        <v>0</v>
      </c>
      <c r="Q247" s="289" t="n">
        <f aca="false">IF($L247=0,0,$L247*MAX(0,NETWORKDAYS(MAX($H247,ASOF,Q$72),MIN(MAX($I247,ASOF),Q$72+6),HOLIDAYS)))</f>
        <v>16</v>
      </c>
      <c r="R247" s="289" t="n">
        <f aca="false">IF($L247=0,0,$L247*MAX(0,NETWORKDAYS(MAX($H247,ASOF,R$72),MIN(MAX($I247,ASOF),R$72+6),HOLIDAYS)))</f>
        <v>0</v>
      </c>
      <c r="S247" s="289" t="n">
        <f aca="false">IF($L247=0,0,$L247*MAX(0,NETWORKDAYS(MAX($H247,ASOF,S$72),MIN(MAX($I247,ASOF),S$72+6),HOLIDAYS)))</f>
        <v>0</v>
      </c>
      <c r="T247" s="289" t="n">
        <f aca="false">IF($L247=0,0,$L247*MAX(0,NETWORKDAYS(MAX($H247,ASOF,T$72),MIN(MAX($I247,ASOF),T$72+6),HOLIDAYS)))</f>
        <v>0</v>
      </c>
      <c r="U247" s="289" t="n">
        <f aca="false">IF($L247=0,0,$L247*MAX(0,NETWORKDAYS(MAX($H247,ASOF,U$72),MIN(MAX($I247,ASOF),U$72+6),HOLIDAYS)))</f>
        <v>0</v>
      </c>
      <c r="V247" s="289" t="n">
        <f aca="false">IF($L247=0,0,$L247*MAX(0,NETWORKDAYS(MAX($H247,ASOF,V$72),MIN(MAX($I247,ASOF),V$72+6),HOLIDAYS)))</f>
        <v>0</v>
      </c>
      <c r="W247" s="289" t="n">
        <f aca="false">IF($L247=0,0,$L247*MAX(0,NETWORKDAYS(MAX($H247,ASOF,W$72),MIN(MAX($I247,ASOF),W$72+6),HOLIDAYS)))</f>
        <v>0</v>
      </c>
      <c r="X247" s="289" t="n">
        <f aca="false">IF($L247=0,0,$L247*MAX(0,NETWORKDAYS(MAX($H247,ASOF,X$72),MIN(MAX($I247,ASOF),X$72+6),HOLIDAYS)))</f>
        <v>0</v>
      </c>
      <c r="Y247" s="289" t="n">
        <f aca="false">IF($L247=0,0,$L247*MAX(0,NETWORKDAYS(MAX($H247,ASOF,Y$72),MIN(MAX($I247,ASOF),Y$72+6),HOLIDAYS)))</f>
        <v>0</v>
      </c>
      <c r="Z247" s="289" t="n">
        <f aca="false">IF($L247=0,0,$L247*MAX(0,NETWORKDAYS(MAX($H247,ASOF,Z$72),MIN(MAX($I247,ASOF),Z$72+6),HOLIDAYS)))</f>
        <v>0</v>
      </c>
      <c r="AA247" s="289" t="n">
        <f aca="false">IF($L247=0,0,$L247*MAX(0,NETWORKDAYS(MAX($H247,ASOF,AA$72),MIN(MAX($I247,ASOF),AA$72+6),HOLIDAYS)))</f>
        <v>0</v>
      </c>
      <c r="AB247" s="289" t="n">
        <f aca="false">IF($L247=0,0,$L247*MAX(0,NETWORKDAYS(MAX($H247,ASOF,AB$72),MIN(MAX($I247,ASOF),AB$72+6),HOLIDAYS)))</f>
        <v>0</v>
      </c>
      <c r="AC247" s="289" t="n">
        <f aca="false">IF($L247=0,0,$L247*MAX(0,NETWORKDAYS(MAX($H247,ASOF,AC$72),MIN(MAX($I247,ASOF),AC$72+6),HOLIDAYS)))</f>
        <v>0</v>
      </c>
      <c r="AD247" s="289" t="n">
        <f aca="false">IF($L247=0,0,$L247*MAX(0,NETWORKDAYS(MAX($H247,ASOF,AD$72),MIN(MAX($I247,ASOF),AD$72+6),HOLIDAYS)))</f>
        <v>0</v>
      </c>
      <c r="AE247" s="289" t="n">
        <f aca="false">IF($L247=0,0,$L247*MAX(0,NETWORKDAYS(MAX($H247,ASOF,AE$72),MIN(MAX($I247,ASOF),AE$72+6),HOLIDAYS)))</f>
        <v>0</v>
      </c>
      <c r="AF247" s="289" t="n">
        <f aca="false">IF($L247=0,0,$L247*MAX(0,NETWORKDAYS(MAX($H247,ASOF,AF$72),MIN(MAX($I247,ASOF),AF$72+6),HOLIDAYS)))</f>
        <v>0</v>
      </c>
      <c r="AG247" s="289" t="n">
        <f aca="false">IF($L247=0,0,$L247*MAX(0,NETWORKDAYS(MAX($H247,ASOF,AG$72),MIN(MAX($I247,ASOF),AG$72+6),HOLIDAYS)))</f>
        <v>0</v>
      </c>
      <c r="AH247" s="289" t="n">
        <f aca="false">IF($L247=0,0,$L247*MAX(0,NETWORKDAYS(MAX($H247,ASOF,AH$72),MIN(MAX($I247,ASOF),AH$72+6),HOLIDAYS)))</f>
        <v>0</v>
      </c>
      <c r="AI247" s="289" t="n">
        <f aca="false">IF($L247=0,0,$L247*MAX(0,NETWORKDAYS(MAX($H247,ASOF,AI$72),MIN(MAX($I247,ASOF),AI$72+6),HOLIDAYS)))</f>
        <v>0</v>
      </c>
      <c r="AJ247" s="289" t="n">
        <f aca="false">IF($L247=0,0,$L247*MAX(0,NETWORKDAYS(MAX($H247,ASOF,AJ$72),MIN(MAX($I247,ASOF),AJ$72+6),HOLIDAYS)))</f>
        <v>0</v>
      </c>
      <c r="AK247" s="289" t="n">
        <f aca="false">IF($L247=0,0,$L247*MAX(0,NETWORKDAYS(MAX($H247,ASOF,AK$72),MIN(MAX($I247,ASOF),AK$72+6),HOLIDAYS)))</f>
        <v>0</v>
      </c>
      <c r="AL247" s="289" t="n">
        <f aca="false">IF($L247=0,0,$L247*MAX(0,NETWORKDAYS(MAX($H247,ASOF,AL$72),MIN(MAX($I247,ASOF),AL$72+6),HOLIDAYS)))</f>
        <v>0</v>
      </c>
      <c r="AM247" s="289" t="n">
        <f aca="false">IF($L247=0,0,$L247*MAX(0,NETWORKDAYS(MAX($H247,ASOF,AM$72),MIN(MAX($I247,ASOF),AM$72+6),HOLIDAYS)))</f>
        <v>0</v>
      </c>
      <c r="AN247" s="289" t="n">
        <f aca="false">IF($L247=0,0,$L247*MAX(0,NETWORKDAYS(MAX($H247,ASOF,AN$72),MIN(MAX($I247,ASOF),AN$72+6),HOLIDAYS)))</f>
        <v>0</v>
      </c>
      <c r="AO247" s="289" t="n">
        <f aca="false">IF($L247=0,0,$L247*MAX(0,NETWORKDAYS(MAX($H247,ASOF,AO$72),MIN(MAX($I247,ASOF),AO$72+6),HOLIDAYS)))</f>
        <v>0</v>
      </c>
      <c r="AP247" s="289" t="n">
        <f aca="false">IF($L247=0,0,$L247*MAX(0,NETWORKDAYS(MAX($H247,ASOF,AP$72),MIN(MAX($I247,ASOF),AP$72+6),HOLIDAYS)))</f>
        <v>0</v>
      </c>
      <c r="AQ247" s="289" t="n">
        <f aca="false">IF($L247=0,0,$L247*MAX(0,NETWORKDAYS(MAX($H247,ASOF,AQ$72),MIN(MAX($I247,ASOF),AQ$72+6),HOLIDAYS)))</f>
        <v>0</v>
      </c>
      <c r="AR247" s="289" t="n">
        <f aca="false">IF($L247=0,0,$L247*MAX(0,NETWORKDAYS(MAX($H247,ASOF,AR$72),MIN(MAX($I247,ASOF),AR$72+6),HOLIDAYS)))</f>
        <v>0</v>
      </c>
    </row>
    <row r="248" customFormat="false" ht="15" hidden="false" customHeight="false" outlineLevel="1" collapsed="false">
      <c r="A248" s="282" t="s">
        <v>98</v>
      </c>
      <c r="B248" s="283" t="s">
        <v>100</v>
      </c>
      <c r="C248" s="284" t="s">
        <v>2367</v>
      </c>
      <c r="D248" s="284" t="s">
        <v>2284</v>
      </c>
      <c r="E248" s="285" t="n">
        <v>1</v>
      </c>
      <c r="F248" s="290" t="s">
        <v>35</v>
      </c>
      <c r="G248" s="285" t="n">
        <f aca="false">$F$12*$H$12</f>
        <v>4</v>
      </c>
      <c r="H248" s="286" t="n">
        <f aca="false">IF(ISNUMBER('P9-015'!$N$96),'P9-015'!$N$96,"")</f>
        <v>46345</v>
      </c>
      <c r="I248" s="286" t="n">
        <f aca="false">IF(ISNUMBER('P9-015'!$O$96),'P9-015'!$O$96,"")</f>
        <v>46347</v>
      </c>
      <c r="J248" s="287" t="n">
        <f aca="false">IF(OR(H248="",I248="",N248&gt;=1),0,MAX(1,NETWORKDAYS(MAX(H248,ASOF),MAX(I248,ASOF),HOLIDAYS)))</f>
        <v>2</v>
      </c>
      <c r="K248" s="287" t="n">
        <f aca="false">IF(L248=0,0,ROUNDUP(L248/$F$12,0))</f>
        <v>1</v>
      </c>
      <c r="L248" s="285" t="n">
        <f aca="false">IF(J248=0,0,G248*(1-N248)/J248)</f>
        <v>2</v>
      </c>
      <c r="M248" s="283" t="s">
        <v>1147</v>
      </c>
      <c r="N248" s="288" t="n">
        <f aca="false">IFERROR(MIN(1,'P9-015'!$V$96)+0,0)</f>
        <v>0</v>
      </c>
      <c r="O248" s="289" t="n">
        <f aca="false">IF($L248=0,0,$L248*MAX(0,NETWORKDAYS(MAX($H248,ASOF,O$72),MIN(MAX($I248,ASOF),O$72+6),HOLIDAYS)))</f>
        <v>0</v>
      </c>
      <c r="P248" s="289" t="n">
        <f aca="false">IF($L248=0,0,$L248*MAX(0,NETWORKDAYS(MAX($H248,ASOF,P$72),MIN(MAX($I248,ASOF),P$72+6),HOLIDAYS)))</f>
        <v>0</v>
      </c>
      <c r="Q248" s="289" t="n">
        <f aca="false">IF($L248=0,0,$L248*MAX(0,NETWORKDAYS(MAX($H248,ASOF,Q$72),MIN(MAX($I248,ASOF),Q$72+6),HOLIDAYS)))</f>
        <v>4</v>
      </c>
      <c r="R248" s="289" t="n">
        <f aca="false">IF($L248=0,0,$L248*MAX(0,NETWORKDAYS(MAX($H248,ASOF,R$72),MIN(MAX($I248,ASOF),R$72+6),HOLIDAYS)))</f>
        <v>0</v>
      </c>
      <c r="S248" s="289" t="n">
        <f aca="false">IF($L248=0,0,$L248*MAX(0,NETWORKDAYS(MAX($H248,ASOF,S$72),MIN(MAX($I248,ASOF),S$72+6),HOLIDAYS)))</f>
        <v>0</v>
      </c>
      <c r="T248" s="289" t="n">
        <f aca="false">IF($L248=0,0,$L248*MAX(0,NETWORKDAYS(MAX($H248,ASOF,T$72),MIN(MAX($I248,ASOF),T$72+6),HOLIDAYS)))</f>
        <v>0</v>
      </c>
      <c r="U248" s="289" t="n">
        <f aca="false">IF($L248=0,0,$L248*MAX(0,NETWORKDAYS(MAX($H248,ASOF,U$72),MIN(MAX($I248,ASOF),U$72+6),HOLIDAYS)))</f>
        <v>0</v>
      </c>
      <c r="V248" s="289" t="n">
        <f aca="false">IF($L248=0,0,$L248*MAX(0,NETWORKDAYS(MAX($H248,ASOF,V$72),MIN(MAX($I248,ASOF),V$72+6),HOLIDAYS)))</f>
        <v>0</v>
      </c>
      <c r="W248" s="289" t="n">
        <f aca="false">IF($L248=0,0,$L248*MAX(0,NETWORKDAYS(MAX($H248,ASOF,W$72),MIN(MAX($I248,ASOF),W$72+6),HOLIDAYS)))</f>
        <v>0</v>
      </c>
      <c r="X248" s="289" t="n">
        <f aca="false">IF($L248=0,0,$L248*MAX(0,NETWORKDAYS(MAX($H248,ASOF,X$72),MIN(MAX($I248,ASOF),X$72+6),HOLIDAYS)))</f>
        <v>0</v>
      </c>
      <c r="Y248" s="289" t="n">
        <f aca="false">IF($L248=0,0,$L248*MAX(0,NETWORKDAYS(MAX($H248,ASOF,Y$72),MIN(MAX($I248,ASOF),Y$72+6),HOLIDAYS)))</f>
        <v>0</v>
      </c>
      <c r="Z248" s="289" t="n">
        <f aca="false">IF($L248=0,0,$L248*MAX(0,NETWORKDAYS(MAX($H248,ASOF,Z$72),MIN(MAX($I248,ASOF),Z$72+6),HOLIDAYS)))</f>
        <v>0</v>
      </c>
      <c r="AA248" s="289" t="n">
        <f aca="false">IF($L248=0,0,$L248*MAX(0,NETWORKDAYS(MAX($H248,ASOF,AA$72),MIN(MAX($I248,ASOF),AA$72+6),HOLIDAYS)))</f>
        <v>0</v>
      </c>
      <c r="AB248" s="289" t="n">
        <f aca="false">IF($L248=0,0,$L248*MAX(0,NETWORKDAYS(MAX($H248,ASOF,AB$72),MIN(MAX($I248,ASOF),AB$72+6),HOLIDAYS)))</f>
        <v>0</v>
      </c>
      <c r="AC248" s="289" t="n">
        <f aca="false">IF($L248=0,0,$L248*MAX(0,NETWORKDAYS(MAX($H248,ASOF,AC$72),MIN(MAX($I248,ASOF),AC$72+6),HOLIDAYS)))</f>
        <v>0</v>
      </c>
      <c r="AD248" s="289" t="n">
        <f aca="false">IF($L248=0,0,$L248*MAX(0,NETWORKDAYS(MAX($H248,ASOF,AD$72),MIN(MAX($I248,ASOF),AD$72+6),HOLIDAYS)))</f>
        <v>0</v>
      </c>
      <c r="AE248" s="289" t="n">
        <f aca="false">IF($L248=0,0,$L248*MAX(0,NETWORKDAYS(MAX($H248,ASOF,AE$72),MIN(MAX($I248,ASOF),AE$72+6),HOLIDAYS)))</f>
        <v>0</v>
      </c>
      <c r="AF248" s="289" t="n">
        <f aca="false">IF($L248=0,0,$L248*MAX(0,NETWORKDAYS(MAX($H248,ASOF,AF$72),MIN(MAX($I248,ASOF),AF$72+6),HOLIDAYS)))</f>
        <v>0</v>
      </c>
      <c r="AG248" s="289" t="n">
        <f aca="false">IF($L248=0,0,$L248*MAX(0,NETWORKDAYS(MAX($H248,ASOF,AG$72),MIN(MAX($I248,ASOF),AG$72+6),HOLIDAYS)))</f>
        <v>0</v>
      </c>
      <c r="AH248" s="289" t="n">
        <f aca="false">IF($L248=0,0,$L248*MAX(0,NETWORKDAYS(MAX($H248,ASOF,AH$72),MIN(MAX($I248,ASOF),AH$72+6),HOLIDAYS)))</f>
        <v>0</v>
      </c>
      <c r="AI248" s="289" t="n">
        <f aca="false">IF($L248=0,0,$L248*MAX(0,NETWORKDAYS(MAX($H248,ASOF,AI$72),MIN(MAX($I248,ASOF),AI$72+6),HOLIDAYS)))</f>
        <v>0</v>
      </c>
      <c r="AJ248" s="289" t="n">
        <f aca="false">IF($L248=0,0,$L248*MAX(0,NETWORKDAYS(MAX($H248,ASOF,AJ$72),MIN(MAX($I248,ASOF),AJ$72+6),HOLIDAYS)))</f>
        <v>0</v>
      </c>
      <c r="AK248" s="289" t="n">
        <f aca="false">IF($L248=0,0,$L248*MAX(0,NETWORKDAYS(MAX($H248,ASOF,AK$72),MIN(MAX($I248,ASOF),AK$72+6),HOLIDAYS)))</f>
        <v>0</v>
      </c>
      <c r="AL248" s="289" t="n">
        <f aca="false">IF($L248=0,0,$L248*MAX(0,NETWORKDAYS(MAX($H248,ASOF,AL$72),MIN(MAX($I248,ASOF),AL$72+6),HOLIDAYS)))</f>
        <v>0</v>
      </c>
      <c r="AM248" s="289" t="n">
        <f aca="false">IF($L248=0,0,$L248*MAX(0,NETWORKDAYS(MAX($H248,ASOF,AM$72),MIN(MAX($I248,ASOF),AM$72+6),HOLIDAYS)))</f>
        <v>0</v>
      </c>
      <c r="AN248" s="289" t="n">
        <f aca="false">IF($L248=0,0,$L248*MAX(0,NETWORKDAYS(MAX($H248,ASOF,AN$72),MIN(MAX($I248,ASOF),AN$72+6),HOLIDAYS)))</f>
        <v>0</v>
      </c>
      <c r="AO248" s="289" t="n">
        <f aca="false">IF($L248=0,0,$L248*MAX(0,NETWORKDAYS(MAX($H248,ASOF,AO$72),MIN(MAX($I248,ASOF),AO$72+6),HOLIDAYS)))</f>
        <v>0</v>
      </c>
      <c r="AP248" s="289" t="n">
        <f aca="false">IF($L248=0,0,$L248*MAX(0,NETWORKDAYS(MAX($H248,ASOF,AP$72),MIN(MAX($I248,ASOF),AP$72+6),HOLIDAYS)))</f>
        <v>0</v>
      </c>
      <c r="AQ248" s="289" t="n">
        <f aca="false">IF($L248=0,0,$L248*MAX(0,NETWORKDAYS(MAX($H248,ASOF,AQ$72),MIN(MAX($I248,ASOF),AQ$72+6),HOLIDAYS)))</f>
        <v>0</v>
      </c>
      <c r="AR248" s="289" t="n">
        <f aca="false">IF($L248=0,0,$L248*MAX(0,NETWORKDAYS(MAX($H248,ASOF,AR$72),MIN(MAX($I248,ASOF),AR$72+6),HOLIDAYS)))</f>
        <v>0</v>
      </c>
    </row>
    <row r="249" customFormat="false" ht="15" hidden="false" customHeight="false" outlineLevel="1" collapsed="false">
      <c r="A249" s="282" t="s">
        <v>98</v>
      </c>
      <c r="B249" s="283" t="s">
        <v>100</v>
      </c>
      <c r="C249" s="284" t="s">
        <v>2371</v>
      </c>
      <c r="D249" s="284" t="s">
        <v>2284</v>
      </c>
      <c r="E249" s="285" t="n">
        <v>1</v>
      </c>
      <c r="F249" s="290" t="s">
        <v>35</v>
      </c>
      <c r="G249" s="285" t="n">
        <f aca="false">$F$14*$H$14</f>
        <v>3</v>
      </c>
      <c r="H249" s="286" t="n">
        <f aca="false">IF(ISNUMBER('P9-015'!$N$100),'P9-015'!$N$100,"")</f>
        <v>46346</v>
      </c>
      <c r="I249" s="286" t="n">
        <f aca="false">IF(ISNUMBER('P9-015'!$O$100),'P9-015'!$O$100,"")</f>
        <v>46348</v>
      </c>
      <c r="J249" s="287" t="n">
        <f aca="false">IF(OR(H249="",I249="",N249&gt;=1),0,MAX(1,NETWORKDAYS(MAX(H249,ASOF),MAX(I249,ASOF),HOLIDAYS)))</f>
        <v>1</v>
      </c>
      <c r="K249" s="287" t="n">
        <f aca="false">IF(L249=0,0,ROUNDUP(L249/$F$14,0))</f>
        <v>2</v>
      </c>
      <c r="L249" s="285" t="n">
        <f aca="false">IF(J249=0,0,G249*(1-N249)/J249)</f>
        <v>3</v>
      </c>
      <c r="M249" s="283" t="s">
        <v>2304</v>
      </c>
      <c r="N249" s="288" t="n">
        <f aca="false">IFERROR(MIN(1,'P9-015'!$V$100)+0,0)</f>
        <v>0</v>
      </c>
      <c r="O249" s="289" t="n">
        <f aca="false">IF($L249=0,0,$L249*MAX(0,NETWORKDAYS(MAX($H249,ASOF,O$72),MIN(MAX($I249,ASOF),O$72+6),HOLIDAYS)))</f>
        <v>0</v>
      </c>
      <c r="P249" s="289" t="n">
        <f aca="false">IF($L249=0,0,$L249*MAX(0,NETWORKDAYS(MAX($H249,ASOF,P$72),MIN(MAX($I249,ASOF),P$72+6),HOLIDAYS)))</f>
        <v>0</v>
      </c>
      <c r="Q249" s="289" t="n">
        <f aca="false">IF($L249=0,0,$L249*MAX(0,NETWORKDAYS(MAX($H249,ASOF,Q$72),MIN(MAX($I249,ASOF),Q$72+6),HOLIDAYS)))</f>
        <v>3</v>
      </c>
      <c r="R249" s="289" t="n">
        <f aca="false">IF($L249=0,0,$L249*MAX(0,NETWORKDAYS(MAX($H249,ASOF,R$72),MIN(MAX($I249,ASOF),R$72+6),HOLIDAYS)))</f>
        <v>0</v>
      </c>
      <c r="S249" s="289" t="n">
        <f aca="false">IF($L249=0,0,$L249*MAX(0,NETWORKDAYS(MAX($H249,ASOF,S$72),MIN(MAX($I249,ASOF),S$72+6),HOLIDAYS)))</f>
        <v>0</v>
      </c>
      <c r="T249" s="289" t="n">
        <f aca="false">IF($L249=0,0,$L249*MAX(0,NETWORKDAYS(MAX($H249,ASOF,T$72),MIN(MAX($I249,ASOF),T$72+6),HOLIDAYS)))</f>
        <v>0</v>
      </c>
      <c r="U249" s="289" t="n">
        <f aca="false">IF($L249=0,0,$L249*MAX(0,NETWORKDAYS(MAX($H249,ASOF,U$72),MIN(MAX($I249,ASOF),U$72+6),HOLIDAYS)))</f>
        <v>0</v>
      </c>
      <c r="V249" s="289" t="n">
        <f aca="false">IF($L249=0,0,$L249*MAX(0,NETWORKDAYS(MAX($H249,ASOF,V$72),MIN(MAX($I249,ASOF),V$72+6),HOLIDAYS)))</f>
        <v>0</v>
      </c>
      <c r="W249" s="289" t="n">
        <f aca="false">IF($L249=0,0,$L249*MAX(0,NETWORKDAYS(MAX($H249,ASOF,W$72),MIN(MAX($I249,ASOF),W$72+6),HOLIDAYS)))</f>
        <v>0</v>
      </c>
      <c r="X249" s="289" t="n">
        <f aca="false">IF($L249=0,0,$L249*MAX(0,NETWORKDAYS(MAX($H249,ASOF,X$72),MIN(MAX($I249,ASOF),X$72+6),HOLIDAYS)))</f>
        <v>0</v>
      </c>
      <c r="Y249" s="289" t="n">
        <f aca="false">IF($L249=0,0,$L249*MAX(0,NETWORKDAYS(MAX($H249,ASOF,Y$72),MIN(MAX($I249,ASOF),Y$72+6),HOLIDAYS)))</f>
        <v>0</v>
      </c>
      <c r="Z249" s="289" t="n">
        <f aca="false">IF($L249=0,0,$L249*MAX(0,NETWORKDAYS(MAX($H249,ASOF,Z$72),MIN(MAX($I249,ASOF),Z$72+6),HOLIDAYS)))</f>
        <v>0</v>
      </c>
      <c r="AA249" s="289" t="n">
        <f aca="false">IF($L249=0,0,$L249*MAX(0,NETWORKDAYS(MAX($H249,ASOF,AA$72),MIN(MAX($I249,ASOF),AA$72+6),HOLIDAYS)))</f>
        <v>0</v>
      </c>
      <c r="AB249" s="289" t="n">
        <f aca="false">IF($L249=0,0,$L249*MAX(0,NETWORKDAYS(MAX($H249,ASOF,AB$72),MIN(MAX($I249,ASOF),AB$72+6),HOLIDAYS)))</f>
        <v>0</v>
      </c>
      <c r="AC249" s="289" t="n">
        <f aca="false">IF($L249=0,0,$L249*MAX(0,NETWORKDAYS(MAX($H249,ASOF,AC$72),MIN(MAX($I249,ASOF),AC$72+6),HOLIDAYS)))</f>
        <v>0</v>
      </c>
      <c r="AD249" s="289" t="n">
        <f aca="false">IF($L249=0,0,$L249*MAX(0,NETWORKDAYS(MAX($H249,ASOF,AD$72),MIN(MAX($I249,ASOF),AD$72+6),HOLIDAYS)))</f>
        <v>0</v>
      </c>
      <c r="AE249" s="289" t="n">
        <f aca="false">IF($L249=0,0,$L249*MAX(0,NETWORKDAYS(MAX($H249,ASOF,AE$72),MIN(MAX($I249,ASOF),AE$72+6),HOLIDAYS)))</f>
        <v>0</v>
      </c>
      <c r="AF249" s="289" t="n">
        <f aca="false">IF($L249=0,0,$L249*MAX(0,NETWORKDAYS(MAX($H249,ASOF,AF$72),MIN(MAX($I249,ASOF),AF$72+6),HOLIDAYS)))</f>
        <v>0</v>
      </c>
      <c r="AG249" s="289" t="n">
        <f aca="false">IF($L249=0,0,$L249*MAX(0,NETWORKDAYS(MAX($H249,ASOF,AG$72),MIN(MAX($I249,ASOF),AG$72+6),HOLIDAYS)))</f>
        <v>0</v>
      </c>
      <c r="AH249" s="289" t="n">
        <f aca="false">IF($L249=0,0,$L249*MAX(0,NETWORKDAYS(MAX($H249,ASOF,AH$72),MIN(MAX($I249,ASOF),AH$72+6),HOLIDAYS)))</f>
        <v>0</v>
      </c>
      <c r="AI249" s="289" t="n">
        <f aca="false">IF($L249=0,0,$L249*MAX(0,NETWORKDAYS(MAX($H249,ASOF,AI$72),MIN(MAX($I249,ASOF),AI$72+6),HOLIDAYS)))</f>
        <v>0</v>
      </c>
      <c r="AJ249" s="289" t="n">
        <f aca="false">IF($L249=0,0,$L249*MAX(0,NETWORKDAYS(MAX($H249,ASOF,AJ$72),MIN(MAX($I249,ASOF),AJ$72+6),HOLIDAYS)))</f>
        <v>0</v>
      </c>
      <c r="AK249" s="289" t="n">
        <f aca="false">IF($L249=0,0,$L249*MAX(0,NETWORKDAYS(MAX($H249,ASOF,AK$72),MIN(MAX($I249,ASOF),AK$72+6),HOLIDAYS)))</f>
        <v>0</v>
      </c>
      <c r="AL249" s="289" t="n">
        <f aca="false">IF($L249=0,0,$L249*MAX(0,NETWORKDAYS(MAX($H249,ASOF,AL$72),MIN(MAX($I249,ASOF),AL$72+6),HOLIDAYS)))</f>
        <v>0</v>
      </c>
      <c r="AM249" s="289" t="n">
        <f aca="false">IF($L249=0,0,$L249*MAX(0,NETWORKDAYS(MAX($H249,ASOF,AM$72),MIN(MAX($I249,ASOF),AM$72+6),HOLIDAYS)))</f>
        <v>0</v>
      </c>
      <c r="AN249" s="289" t="n">
        <f aca="false">IF($L249=0,0,$L249*MAX(0,NETWORKDAYS(MAX($H249,ASOF,AN$72),MIN(MAX($I249,ASOF),AN$72+6),HOLIDAYS)))</f>
        <v>0</v>
      </c>
      <c r="AO249" s="289" t="n">
        <f aca="false">IF($L249=0,0,$L249*MAX(0,NETWORKDAYS(MAX($H249,ASOF,AO$72),MIN(MAX($I249,ASOF),AO$72+6),HOLIDAYS)))</f>
        <v>0</v>
      </c>
      <c r="AP249" s="289" t="n">
        <f aca="false">IF($L249=0,0,$L249*MAX(0,NETWORKDAYS(MAX($H249,ASOF,AP$72),MIN(MAX($I249,ASOF),AP$72+6),HOLIDAYS)))</f>
        <v>0</v>
      </c>
      <c r="AQ249" s="289" t="n">
        <f aca="false">IF($L249=0,0,$L249*MAX(0,NETWORKDAYS(MAX($H249,ASOF,AQ$72),MIN(MAX($I249,ASOF),AQ$72+6),HOLIDAYS)))</f>
        <v>0</v>
      </c>
      <c r="AR249" s="289" t="n">
        <f aca="false">IF($L249=0,0,$L249*MAX(0,NETWORKDAYS(MAX($H249,ASOF,AR$72),MIN(MAX($I249,ASOF),AR$72+6),HOLIDAYS)))</f>
        <v>0</v>
      </c>
    </row>
    <row r="250" customFormat="false" ht="15" hidden="false" customHeight="false" outlineLevel="1" collapsed="false">
      <c r="A250" s="282" t="s">
        <v>98</v>
      </c>
      <c r="B250" s="283" t="s">
        <v>100</v>
      </c>
      <c r="C250" s="282" t="s">
        <v>1198</v>
      </c>
      <c r="D250" s="284" t="s">
        <v>2284</v>
      </c>
      <c r="E250" s="285" t="n">
        <v>1</v>
      </c>
      <c r="F250" s="290" t="s">
        <v>35</v>
      </c>
      <c r="G250" s="285" t="n">
        <f aca="false">$F$15*$H$15</f>
        <v>2</v>
      </c>
      <c r="H250" s="286" t="n">
        <f aca="false">IF(ISNUMBER('P9-015'!$N$107),'P9-015'!$N$107,"")</f>
        <v>46347</v>
      </c>
      <c r="I250" s="286" t="n">
        <f aca="false">IF(ISNUMBER('P9-015'!$O$107),'P9-015'!$O$107,"")</f>
        <v>46348</v>
      </c>
      <c r="J250" s="287" t="n">
        <f aca="false">IF(OR(H250="",I250="",N250&gt;=1),0,MAX(1,NETWORKDAYS(MAX(H250,ASOF),MAX(I250,ASOF),HOLIDAYS)))</f>
        <v>1</v>
      </c>
      <c r="K250" s="287" t="n">
        <f aca="false">IF(L250=0,0,ROUNDUP(L250/$F$15,0))</f>
        <v>1</v>
      </c>
      <c r="L250" s="285" t="n">
        <f aca="false">IF(J250=0,0,G250*(1-N250)/J250)</f>
        <v>2</v>
      </c>
      <c r="M250" s="283" t="s">
        <v>1192</v>
      </c>
      <c r="N250" s="288" t="n">
        <f aca="false">IFERROR(MIN(1,'P9-015'!$V$107)+0,0)</f>
        <v>0</v>
      </c>
      <c r="O250" s="289" t="n">
        <f aca="false">IF($L250=0,0,$L250*MAX(0,NETWORKDAYS(MAX($H250,ASOF,O$72),MIN(MAX($I250,ASOF),O$72+6),HOLIDAYS)))</f>
        <v>0</v>
      </c>
      <c r="P250" s="289" t="n">
        <f aca="false">IF($L250=0,0,$L250*MAX(0,NETWORKDAYS(MAX($H250,ASOF,P$72),MIN(MAX($I250,ASOF),P$72+6),HOLIDAYS)))</f>
        <v>0</v>
      </c>
      <c r="Q250" s="289" t="n">
        <f aca="false">IF($L250=0,0,$L250*MAX(0,NETWORKDAYS(MAX($H250,ASOF,Q$72),MIN(MAX($I250,ASOF),Q$72+6),HOLIDAYS)))</f>
        <v>0</v>
      </c>
      <c r="R250" s="289" t="n">
        <f aca="false">IF($L250=0,0,$L250*MAX(0,NETWORKDAYS(MAX($H250,ASOF,R$72),MIN(MAX($I250,ASOF),R$72+6),HOLIDAYS)))</f>
        <v>0</v>
      </c>
      <c r="S250" s="289" t="n">
        <f aca="false">IF($L250=0,0,$L250*MAX(0,NETWORKDAYS(MAX($H250,ASOF,S$72),MIN(MAX($I250,ASOF),S$72+6),HOLIDAYS)))</f>
        <v>0</v>
      </c>
      <c r="T250" s="289" t="n">
        <f aca="false">IF($L250=0,0,$L250*MAX(0,NETWORKDAYS(MAX($H250,ASOF,T$72),MIN(MAX($I250,ASOF),T$72+6),HOLIDAYS)))</f>
        <v>0</v>
      </c>
      <c r="U250" s="289" t="n">
        <f aca="false">IF($L250=0,0,$L250*MAX(0,NETWORKDAYS(MAX($H250,ASOF,U$72),MIN(MAX($I250,ASOF),U$72+6),HOLIDAYS)))</f>
        <v>0</v>
      </c>
      <c r="V250" s="289" t="n">
        <f aca="false">IF($L250=0,0,$L250*MAX(0,NETWORKDAYS(MAX($H250,ASOF,V$72),MIN(MAX($I250,ASOF),V$72+6),HOLIDAYS)))</f>
        <v>0</v>
      </c>
      <c r="W250" s="289" t="n">
        <f aca="false">IF($L250=0,0,$L250*MAX(0,NETWORKDAYS(MAX($H250,ASOF,W$72),MIN(MAX($I250,ASOF),W$72+6),HOLIDAYS)))</f>
        <v>0</v>
      </c>
      <c r="X250" s="289" t="n">
        <f aca="false">IF($L250=0,0,$L250*MAX(0,NETWORKDAYS(MAX($H250,ASOF,X$72),MIN(MAX($I250,ASOF),X$72+6),HOLIDAYS)))</f>
        <v>0</v>
      </c>
      <c r="Y250" s="289" t="n">
        <f aca="false">IF($L250=0,0,$L250*MAX(0,NETWORKDAYS(MAX($H250,ASOF,Y$72),MIN(MAX($I250,ASOF),Y$72+6),HOLIDAYS)))</f>
        <v>0</v>
      </c>
      <c r="Z250" s="289" t="n">
        <f aca="false">IF($L250=0,0,$L250*MAX(0,NETWORKDAYS(MAX($H250,ASOF,Z$72),MIN(MAX($I250,ASOF),Z$72+6),HOLIDAYS)))</f>
        <v>0</v>
      </c>
      <c r="AA250" s="289" t="n">
        <f aca="false">IF($L250=0,0,$L250*MAX(0,NETWORKDAYS(MAX($H250,ASOF,AA$72),MIN(MAX($I250,ASOF),AA$72+6),HOLIDAYS)))</f>
        <v>0</v>
      </c>
      <c r="AB250" s="289" t="n">
        <f aca="false">IF($L250=0,0,$L250*MAX(0,NETWORKDAYS(MAX($H250,ASOF,AB$72),MIN(MAX($I250,ASOF),AB$72+6),HOLIDAYS)))</f>
        <v>0</v>
      </c>
      <c r="AC250" s="289" t="n">
        <f aca="false">IF($L250=0,0,$L250*MAX(0,NETWORKDAYS(MAX($H250,ASOF,AC$72),MIN(MAX($I250,ASOF),AC$72+6),HOLIDAYS)))</f>
        <v>0</v>
      </c>
      <c r="AD250" s="289" t="n">
        <f aca="false">IF($L250=0,0,$L250*MAX(0,NETWORKDAYS(MAX($H250,ASOF,AD$72),MIN(MAX($I250,ASOF),AD$72+6),HOLIDAYS)))</f>
        <v>0</v>
      </c>
      <c r="AE250" s="289" t="n">
        <f aca="false">IF($L250=0,0,$L250*MAX(0,NETWORKDAYS(MAX($H250,ASOF,AE$72),MIN(MAX($I250,ASOF),AE$72+6),HOLIDAYS)))</f>
        <v>0</v>
      </c>
      <c r="AF250" s="289" t="n">
        <f aca="false">IF($L250=0,0,$L250*MAX(0,NETWORKDAYS(MAX($H250,ASOF,AF$72),MIN(MAX($I250,ASOF),AF$72+6),HOLIDAYS)))</f>
        <v>0</v>
      </c>
      <c r="AG250" s="289" t="n">
        <f aca="false">IF($L250=0,0,$L250*MAX(0,NETWORKDAYS(MAX($H250,ASOF,AG$72),MIN(MAX($I250,ASOF),AG$72+6),HOLIDAYS)))</f>
        <v>0</v>
      </c>
      <c r="AH250" s="289" t="n">
        <f aca="false">IF($L250=0,0,$L250*MAX(0,NETWORKDAYS(MAX($H250,ASOF,AH$72),MIN(MAX($I250,ASOF),AH$72+6),HOLIDAYS)))</f>
        <v>0</v>
      </c>
      <c r="AI250" s="289" t="n">
        <f aca="false">IF($L250=0,0,$L250*MAX(0,NETWORKDAYS(MAX($H250,ASOF,AI$72),MIN(MAX($I250,ASOF),AI$72+6),HOLIDAYS)))</f>
        <v>0</v>
      </c>
      <c r="AJ250" s="289" t="n">
        <f aca="false">IF($L250=0,0,$L250*MAX(0,NETWORKDAYS(MAX($H250,ASOF,AJ$72),MIN(MAX($I250,ASOF),AJ$72+6),HOLIDAYS)))</f>
        <v>0</v>
      </c>
      <c r="AK250" s="289" t="n">
        <f aca="false">IF($L250=0,0,$L250*MAX(0,NETWORKDAYS(MAX($H250,ASOF,AK$72),MIN(MAX($I250,ASOF),AK$72+6),HOLIDAYS)))</f>
        <v>0</v>
      </c>
      <c r="AL250" s="289" t="n">
        <f aca="false">IF($L250=0,0,$L250*MAX(0,NETWORKDAYS(MAX($H250,ASOF,AL$72),MIN(MAX($I250,ASOF),AL$72+6),HOLIDAYS)))</f>
        <v>0</v>
      </c>
      <c r="AM250" s="289" t="n">
        <f aca="false">IF($L250=0,0,$L250*MAX(0,NETWORKDAYS(MAX($H250,ASOF,AM$72),MIN(MAX($I250,ASOF),AM$72+6),HOLIDAYS)))</f>
        <v>0</v>
      </c>
      <c r="AN250" s="289" t="n">
        <f aca="false">IF($L250=0,0,$L250*MAX(0,NETWORKDAYS(MAX($H250,ASOF,AN$72),MIN(MAX($I250,ASOF),AN$72+6),HOLIDAYS)))</f>
        <v>0</v>
      </c>
      <c r="AO250" s="289" t="n">
        <f aca="false">IF($L250=0,0,$L250*MAX(0,NETWORKDAYS(MAX($H250,ASOF,AO$72),MIN(MAX($I250,ASOF),AO$72+6),HOLIDAYS)))</f>
        <v>0</v>
      </c>
      <c r="AP250" s="289" t="n">
        <f aca="false">IF($L250=0,0,$L250*MAX(0,NETWORKDAYS(MAX($H250,ASOF,AP$72),MIN(MAX($I250,ASOF),AP$72+6),HOLIDAYS)))</f>
        <v>0</v>
      </c>
      <c r="AQ250" s="289" t="n">
        <f aca="false">IF($L250=0,0,$L250*MAX(0,NETWORKDAYS(MAX($H250,ASOF,AQ$72),MIN(MAX($I250,ASOF),AQ$72+6),HOLIDAYS)))</f>
        <v>0</v>
      </c>
      <c r="AR250" s="289" t="n">
        <f aca="false">IF($L250=0,0,$L250*MAX(0,NETWORKDAYS(MAX($H250,ASOF,AR$72),MIN(MAX($I250,ASOF),AR$72+6),HOLIDAYS)))</f>
        <v>0</v>
      </c>
    </row>
    <row r="251" customFormat="false" ht="15" hidden="false" customHeight="false" outlineLevel="1" collapsed="false">
      <c r="A251" s="282" t="s">
        <v>98</v>
      </c>
      <c r="B251" s="283" t="s">
        <v>100</v>
      </c>
      <c r="C251" s="284" t="s">
        <v>2369</v>
      </c>
      <c r="D251" s="284" t="s">
        <v>2308</v>
      </c>
      <c r="E251" s="285" t="n">
        <v>150.48</v>
      </c>
      <c r="F251" s="283" t="s">
        <v>527</v>
      </c>
      <c r="G251" s="285" t="n">
        <f aca="false">$F$16*(E251/$G$16+$H$16)</f>
        <v>10.5144</v>
      </c>
      <c r="H251" s="286" t="n">
        <f aca="false">IF(ISNUMBER('P9-015'!$N$115),'P9-015'!$N$115,"")</f>
        <v>46359</v>
      </c>
      <c r="I251" s="286" t="n">
        <f aca="false">IF(ISNUMBER('P9-015'!$O$115),'P9-015'!$O$115,"")</f>
        <v>46359</v>
      </c>
      <c r="J251" s="287" t="n">
        <f aca="false">IF(OR(H251="",I251="",N251&gt;=1),0,MAX(1,NETWORKDAYS(MAX(H251,ASOF),MAX(I251,ASOF),HOLIDAYS)))</f>
        <v>1</v>
      </c>
      <c r="K251" s="287" t="n">
        <f aca="false">IF(L251=0,0,ROUNDUP(L251/$F$16,0))</f>
        <v>4</v>
      </c>
      <c r="L251" s="285" t="n">
        <f aca="false">IF(J251=0,0,G251*(1-N251)/J251)</f>
        <v>10.5144</v>
      </c>
      <c r="M251" s="283" t="s">
        <v>1205</v>
      </c>
      <c r="N251" s="288" t="n">
        <f aca="false">IFERROR(MIN(1,'P9-015'!$V$115)+0,0)</f>
        <v>0</v>
      </c>
      <c r="O251" s="289" t="n">
        <f aca="false">IF($L251=0,0,$L251*MAX(0,NETWORKDAYS(MAX($H251,ASOF,O$72),MIN(MAX($I251,ASOF),O$72+6),HOLIDAYS)))</f>
        <v>0</v>
      </c>
      <c r="P251" s="289" t="n">
        <f aca="false">IF($L251=0,0,$L251*MAX(0,NETWORKDAYS(MAX($H251,ASOF,P$72),MIN(MAX($I251,ASOF),P$72+6),HOLIDAYS)))</f>
        <v>0</v>
      </c>
      <c r="Q251" s="289" t="n">
        <f aca="false">IF($L251=0,0,$L251*MAX(0,NETWORKDAYS(MAX($H251,ASOF,Q$72),MIN(MAX($I251,ASOF),Q$72+6),HOLIDAYS)))</f>
        <v>0</v>
      </c>
      <c r="R251" s="289" t="n">
        <f aca="false">IF($L251=0,0,$L251*MAX(0,NETWORKDAYS(MAX($H251,ASOF,R$72),MIN(MAX($I251,ASOF),R$72+6),HOLIDAYS)))</f>
        <v>0</v>
      </c>
      <c r="S251" s="289" t="n">
        <f aca="false">IF($L251=0,0,$L251*MAX(0,NETWORKDAYS(MAX($H251,ASOF,S$72),MIN(MAX($I251,ASOF),S$72+6),HOLIDAYS)))</f>
        <v>10.5144</v>
      </c>
      <c r="T251" s="289" t="n">
        <f aca="false">IF($L251=0,0,$L251*MAX(0,NETWORKDAYS(MAX($H251,ASOF,T$72),MIN(MAX($I251,ASOF),T$72+6),HOLIDAYS)))</f>
        <v>0</v>
      </c>
      <c r="U251" s="289" t="n">
        <f aca="false">IF($L251=0,0,$L251*MAX(0,NETWORKDAYS(MAX($H251,ASOF,U$72),MIN(MAX($I251,ASOF),U$72+6),HOLIDAYS)))</f>
        <v>0</v>
      </c>
      <c r="V251" s="289" t="n">
        <f aca="false">IF($L251=0,0,$L251*MAX(0,NETWORKDAYS(MAX($H251,ASOF,V$72),MIN(MAX($I251,ASOF),V$72+6),HOLIDAYS)))</f>
        <v>0</v>
      </c>
      <c r="W251" s="289" t="n">
        <f aca="false">IF($L251=0,0,$L251*MAX(0,NETWORKDAYS(MAX($H251,ASOF,W$72),MIN(MAX($I251,ASOF),W$72+6),HOLIDAYS)))</f>
        <v>0</v>
      </c>
      <c r="X251" s="289" t="n">
        <f aca="false">IF($L251=0,0,$L251*MAX(0,NETWORKDAYS(MAX($H251,ASOF,X$72),MIN(MAX($I251,ASOF),X$72+6),HOLIDAYS)))</f>
        <v>0</v>
      </c>
      <c r="Y251" s="289" t="n">
        <f aca="false">IF($L251=0,0,$L251*MAX(0,NETWORKDAYS(MAX($H251,ASOF,Y$72),MIN(MAX($I251,ASOF),Y$72+6),HOLIDAYS)))</f>
        <v>0</v>
      </c>
      <c r="Z251" s="289" t="n">
        <f aca="false">IF($L251=0,0,$L251*MAX(0,NETWORKDAYS(MAX($H251,ASOF,Z$72),MIN(MAX($I251,ASOF),Z$72+6),HOLIDAYS)))</f>
        <v>0</v>
      </c>
      <c r="AA251" s="289" t="n">
        <f aca="false">IF($L251=0,0,$L251*MAX(0,NETWORKDAYS(MAX($H251,ASOF,AA$72),MIN(MAX($I251,ASOF),AA$72+6),HOLIDAYS)))</f>
        <v>0</v>
      </c>
      <c r="AB251" s="289" t="n">
        <f aca="false">IF($L251=0,0,$L251*MAX(0,NETWORKDAYS(MAX($H251,ASOF,AB$72),MIN(MAX($I251,ASOF),AB$72+6),HOLIDAYS)))</f>
        <v>0</v>
      </c>
      <c r="AC251" s="289" t="n">
        <f aca="false">IF($L251=0,0,$L251*MAX(0,NETWORKDAYS(MAX($H251,ASOF,AC$72),MIN(MAX($I251,ASOF),AC$72+6),HOLIDAYS)))</f>
        <v>0</v>
      </c>
      <c r="AD251" s="289" t="n">
        <f aca="false">IF($L251=0,0,$L251*MAX(0,NETWORKDAYS(MAX($H251,ASOF,AD$72),MIN(MAX($I251,ASOF),AD$72+6),HOLIDAYS)))</f>
        <v>0</v>
      </c>
      <c r="AE251" s="289" t="n">
        <f aca="false">IF($L251=0,0,$L251*MAX(0,NETWORKDAYS(MAX($H251,ASOF,AE$72),MIN(MAX($I251,ASOF),AE$72+6),HOLIDAYS)))</f>
        <v>0</v>
      </c>
      <c r="AF251" s="289" t="n">
        <f aca="false">IF($L251=0,0,$L251*MAX(0,NETWORKDAYS(MAX($H251,ASOF,AF$72),MIN(MAX($I251,ASOF),AF$72+6),HOLIDAYS)))</f>
        <v>0</v>
      </c>
      <c r="AG251" s="289" t="n">
        <f aca="false">IF($L251=0,0,$L251*MAX(0,NETWORKDAYS(MAX($H251,ASOF,AG$72),MIN(MAX($I251,ASOF),AG$72+6),HOLIDAYS)))</f>
        <v>0</v>
      </c>
      <c r="AH251" s="289" t="n">
        <f aca="false">IF($L251=0,0,$L251*MAX(0,NETWORKDAYS(MAX($H251,ASOF,AH$72),MIN(MAX($I251,ASOF),AH$72+6),HOLIDAYS)))</f>
        <v>0</v>
      </c>
      <c r="AI251" s="289" t="n">
        <f aca="false">IF($L251=0,0,$L251*MAX(0,NETWORKDAYS(MAX($H251,ASOF,AI$72),MIN(MAX($I251,ASOF),AI$72+6),HOLIDAYS)))</f>
        <v>0</v>
      </c>
      <c r="AJ251" s="289" t="n">
        <f aca="false">IF($L251=0,0,$L251*MAX(0,NETWORKDAYS(MAX($H251,ASOF,AJ$72),MIN(MAX($I251,ASOF),AJ$72+6),HOLIDAYS)))</f>
        <v>0</v>
      </c>
      <c r="AK251" s="289" t="n">
        <f aca="false">IF($L251=0,0,$L251*MAX(0,NETWORKDAYS(MAX($H251,ASOF,AK$72),MIN(MAX($I251,ASOF),AK$72+6),HOLIDAYS)))</f>
        <v>0</v>
      </c>
      <c r="AL251" s="289" t="n">
        <f aca="false">IF($L251=0,0,$L251*MAX(0,NETWORKDAYS(MAX($H251,ASOF,AL$72),MIN(MAX($I251,ASOF),AL$72+6),HOLIDAYS)))</f>
        <v>0</v>
      </c>
      <c r="AM251" s="289" t="n">
        <f aca="false">IF($L251=0,0,$L251*MAX(0,NETWORKDAYS(MAX($H251,ASOF,AM$72),MIN(MAX($I251,ASOF),AM$72+6),HOLIDAYS)))</f>
        <v>0</v>
      </c>
      <c r="AN251" s="289" t="n">
        <f aca="false">IF($L251=0,0,$L251*MAX(0,NETWORKDAYS(MAX($H251,ASOF,AN$72),MIN(MAX($I251,ASOF),AN$72+6),HOLIDAYS)))</f>
        <v>0</v>
      </c>
      <c r="AO251" s="289" t="n">
        <f aca="false">IF($L251=0,0,$L251*MAX(0,NETWORKDAYS(MAX($H251,ASOF,AO$72),MIN(MAX($I251,ASOF),AO$72+6),HOLIDAYS)))</f>
        <v>0</v>
      </c>
      <c r="AP251" s="289" t="n">
        <f aca="false">IF($L251=0,0,$L251*MAX(0,NETWORKDAYS(MAX($H251,ASOF,AP$72),MIN(MAX($I251,ASOF),AP$72+6),HOLIDAYS)))</f>
        <v>0</v>
      </c>
      <c r="AQ251" s="289" t="n">
        <f aca="false">IF($L251=0,0,$L251*MAX(0,NETWORKDAYS(MAX($H251,ASOF,AQ$72),MIN(MAX($I251,ASOF),AQ$72+6),HOLIDAYS)))</f>
        <v>0</v>
      </c>
      <c r="AR251" s="289" t="n">
        <f aca="false">IF($L251=0,0,$L251*MAX(0,NETWORKDAYS(MAX($H251,ASOF,AR$72),MIN(MAX($I251,ASOF),AR$72+6),HOLIDAYS)))</f>
        <v>0</v>
      </c>
    </row>
    <row r="252" customFormat="false" ht="15" hidden="false" customHeight="false" outlineLevel="1" collapsed="false">
      <c r="A252" s="282" t="s">
        <v>98</v>
      </c>
      <c r="B252" s="283" t="s">
        <v>100</v>
      </c>
      <c r="C252" s="284" t="s">
        <v>2370</v>
      </c>
      <c r="D252" s="284" t="s">
        <v>2313</v>
      </c>
      <c r="E252" s="285" t="n">
        <v>1</v>
      </c>
      <c r="F252" s="290" t="s">
        <v>35</v>
      </c>
      <c r="G252" s="285" t="n">
        <f aca="false">SUM(O252:AR252)</f>
        <v>20</v>
      </c>
      <c r="H252" s="286" t="n">
        <f aca="false">IF(ISNUMBER('P9-015'!$N$62),'P9-015'!$N$62,"")</f>
        <v>46328</v>
      </c>
      <c r="I252" s="286" t="n">
        <f aca="false">IF(ISNUMBER('P9-015'!$O$115),'P9-015'!$O$115,"")</f>
        <v>46359</v>
      </c>
      <c r="J252" s="287"/>
      <c r="K252" s="287" t="n">
        <f aca="false">IF(G252&gt;0,$F$17,0)</f>
        <v>1</v>
      </c>
      <c r="L252" s="285" t="n">
        <v>0</v>
      </c>
      <c r="M252" s="290" t="s">
        <v>2310</v>
      </c>
      <c r="N252" s="288" t="str">
        <f aca="false">""</f>
        <v/>
      </c>
      <c r="O252" s="289" t="n">
        <f aca="false">IF(SUMIFS(O$73:O$312,$A$73:$A$312,"P9-015",$M$73:$M$312,"&lt;&gt;คุม")&gt;0,$F$17*NETWORKDAYS(O$72,O$72+6,HOLIDAYS),0)</f>
        <v>5</v>
      </c>
      <c r="P252" s="289" t="n">
        <f aca="false">IF(SUMIFS(P$73:P$312,$A$73:$A$312,"P9-015",$M$73:$M$312,"&lt;&gt;คุม")&gt;0,$F$17*NETWORKDAYS(P$72,P$72+6,HOLIDAYS),0)</f>
        <v>5</v>
      </c>
      <c r="Q252" s="289" t="n">
        <f aca="false">IF(SUMIFS(Q$73:Q$312,$A$73:$A$312,"P9-015",$M$73:$M$312,"&lt;&gt;คุม")&gt;0,$F$17*NETWORKDAYS(Q$72,Q$72+6,HOLIDAYS),0)</f>
        <v>5</v>
      </c>
      <c r="R252" s="289" t="n">
        <f aca="false">IF(SUMIFS(R$73:R$312,$A$73:$A$312,"P9-015",$M$73:$M$312,"&lt;&gt;คุม")&gt;0,$F$17*NETWORKDAYS(R$72,R$72+6,HOLIDAYS),0)</f>
        <v>0</v>
      </c>
      <c r="S252" s="289" t="n">
        <f aca="false">IF(SUMIFS(S$73:S$312,$A$73:$A$312,"P9-015",$M$73:$M$312,"&lt;&gt;คุม")&gt;0,$F$17*NETWORKDAYS(S$72,S$72+6,HOLIDAYS),0)</f>
        <v>5</v>
      </c>
      <c r="T252" s="289" t="n">
        <f aca="false">IF(SUMIFS(T$73:T$312,$A$73:$A$312,"P9-015",$M$73:$M$312,"&lt;&gt;คุม")&gt;0,$F$17*NETWORKDAYS(T$72,T$72+6,HOLIDAYS),0)</f>
        <v>0</v>
      </c>
      <c r="U252" s="289" t="n">
        <f aca="false">IF(SUMIFS(U$73:U$312,$A$73:$A$312,"P9-015",$M$73:$M$312,"&lt;&gt;คุม")&gt;0,$F$17*NETWORKDAYS(U$72,U$72+6,HOLIDAYS),0)</f>
        <v>0</v>
      </c>
      <c r="V252" s="289" t="n">
        <f aca="false">IF(SUMIFS(V$73:V$312,$A$73:$A$312,"P9-015",$M$73:$M$312,"&lt;&gt;คุม")&gt;0,$F$17*NETWORKDAYS(V$72,V$72+6,HOLIDAYS),0)</f>
        <v>0</v>
      </c>
      <c r="W252" s="289" t="n">
        <f aca="false">IF(SUMIFS(W$73:W$312,$A$73:$A$312,"P9-015",$M$73:$M$312,"&lt;&gt;คุม")&gt;0,$F$17*NETWORKDAYS(W$72,W$72+6,HOLIDAYS),0)</f>
        <v>0</v>
      </c>
      <c r="X252" s="289" t="n">
        <f aca="false">IF(SUMIFS(X$73:X$312,$A$73:$A$312,"P9-015",$M$73:$M$312,"&lt;&gt;คุม")&gt;0,$F$17*NETWORKDAYS(X$72,X$72+6,HOLIDAYS),0)</f>
        <v>0</v>
      </c>
      <c r="Y252" s="289" t="n">
        <f aca="false">IF(SUMIFS(Y$73:Y$312,$A$73:$A$312,"P9-015",$M$73:$M$312,"&lt;&gt;คุม")&gt;0,$F$17*NETWORKDAYS(Y$72,Y$72+6,HOLIDAYS),0)</f>
        <v>0</v>
      </c>
      <c r="Z252" s="289" t="n">
        <f aca="false">IF(SUMIFS(Z$73:Z$312,$A$73:$A$312,"P9-015",$M$73:$M$312,"&lt;&gt;คุม")&gt;0,$F$17*NETWORKDAYS(Z$72,Z$72+6,HOLIDAYS),0)</f>
        <v>0</v>
      </c>
      <c r="AA252" s="289" t="n">
        <f aca="false">IF(SUMIFS(AA$73:AA$312,$A$73:$A$312,"P9-015",$M$73:$M$312,"&lt;&gt;คุม")&gt;0,$F$17*NETWORKDAYS(AA$72,AA$72+6,HOLIDAYS),0)</f>
        <v>0</v>
      </c>
      <c r="AB252" s="289" t="n">
        <f aca="false">IF(SUMIFS(AB$73:AB$312,$A$73:$A$312,"P9-015",$M$73:$M$312,"&lt;&gt;คุม")&gt;0,$F$17*NETWORKDAYS(AB$72,AB$72+6,HOLIDAYS),0)</f>
        <v>0</v>
      </c>
      <c r="AC252" s="289" t="n">
        <f aca="false">IF(SUMIFS(AC$73:AC$312,$A$73:$A$312,"P9-015",$M$73:$M$312,"&lt;&gt;คุม")&gt;0,$F$17*NETWORKDAYS(AC$72,AC$72+6,HOLIDAYS),0)</f>
        <v>0</v>
      </c>
      <c r="AD252" s="289" t="n">
        <f aca="false">IF(SUMIFS(AD$73:AD$312,$A$73:$A$312,"P9-015",$M$73:$M$312,"&lt;&gt;คุม")&gt;0,$F$17*NETWORKDAYS(AD$72,AD$72+6,HOLIDAYS),0)</f>
        <v>0</v>
      </c>
      <c r="AE252" s="289" t="n">
        <f aca="false">IF(SUMIFS(AE$73:AE$312,$A$73:$A$312,"P9-015",$M$73:$M$312,"&lt;&gt;คุม")&gt;0,$F$17*NETWORKDAYS(AE$72,AE$72+6,HOLIDAYS),0)</f>
        <v>0</v>
      </c>
      <c r="AF252" s="289" t="n">
        <f aca="false">IF(SUMIFS(AF$73:AF$312,$A$73:$A$312,"P9-015",$M$73:$M$312,"&lt;&gt;คุม")&gt;0,$F$17*NETWORKDAYS(AF$72,AF$72+6,HOLIDAYS),0)</f>
        <v>0</v>
      </c>
      <c r="AG252" s="289" t="n">
        <f aca="false">IF(SUMIFS(AG$73:AG$312,$A$73:$A$312,"P9-015",$M$73:$M$312,"&lt;&gt;คุม")&gt;0,$F$17*NETWORKDAYS(AG$72,AG$72+6,HOLIDAYS),0)</f>
        <v>0</v>
      </c>
      <c r="AH252" s="289" t="n">
        <f aca="false">IF(SUMIFS(AH$73:AH$312,$A$73:$A$312,"P9-015",$M$73:$M$312,"&lt;&gt;คุม")&gt;0,$F$17*NETWORKDAYS(AH$72,AH$72+6,HOLIDAYS),0)</f>
        <v>0</v>
      </c>
      <c r="AI252" s="289" t="n">
        <f aca="false">IF(SUMIFS(AI$73:AI$312,$A$73:$A$312,"P9-015",$M$73:$M$312,"&lt;&gt;คุม")&gt;0,$F$17*NETWORKDAYS(AI$72,AI$72+6,HOLIDAYS),0)</f>
        <v>0</v>
      </c>
      <c r="AJ252" s="289" t="n">
        <f aca="false">IF(SUMIFS(AJ$73:AJ$312,$A$73:$A$312,"P9-015",$M$73:$M$312,"&lt;&gt;คุม")&gt;0,$F$17*NETWORKDAYS(AJ$72,AJ$72+6,HOLIDAYS),0)</f>
        <v>0</v>
      </c>
      <c r="AK252" s="289" t="n">
        <f aca="false">IF(SUMIFS(AK$73:AK$312,$A$73:$A$312,"P9-015",$M$73:$M$312,"&lt;&gt;คุม")&gt;0,$F$17*NETWORKDAYS(AK$72,AK$72+6,HOLIDAYS),0)</f>
        <v>0</v>
      </c>
      <c r="AL252" s="289" t="n">
        <f aca="false">IF(SUMIFS(AL$73:AL$312,$A$73:$A$312,"P9-015",$M$73:$M$312,"&lt;&gt;คุม")&gt;0,$F$17*NETWORKDAYS(AL$72,AL$72+6,HOLIDAYS),0)</f>
        <v>0</v>
      </c>
      <c r="AM252" s="289" t="n">
        <f aca="false">IF(SUMIFS(AM$73:AM$312,$A$73:$A$312,"P9-015",$M$73:$M$312,"&lt;&gt;คุม")&gt;0,$F$17*NETWORKDAYS(AM$72,AM$72+6,HOLIDAYS),0)</f>
        <v>0</v>
      </c>
      <c r="AN252" s="289" t="n">
        <f aca="false">IF(SUMIFS(AN$73:AN$312,$A$73:$A$312,"P9-015",$M$73:$M$312,"&lt;&gt;คุม")&gt;0,$F$17*NETWORKDAYS(AN$72,AN$72+6,HOLIDAYS),0)</f>
        <v>0</v>
      </c>
      <c r="AO252" s="289" t="n">
        <f aca="false">IF(SUMIFS(AO$73:AO$312,$A$73:$A$312,"P9-015",$M$73:$M$312,"&lt;&gt;คุม")&gt;0,$F$17*NETWORKDAYS(AO$72,AO$72+6,HOLIDAYS),0)</f>
        <v>0</v>
      </c>
      <c r="AP252" s="289" t="n">
        <f aca="false">IF(SUMIFS(AP$73:AP$312,$A$73:$A$312,"P9-015",$M$73:$M$312,"&lt;&gt;คุม")&gt;0,$F$17*NETWORKDAYS(AP$72,AP$72+6,HOLIDAYS),0)</f>
        <v>0</v>
      </c>
      <c r="AQ252" s="289" t="n">
        <f aca="false">IF(SUMIFS(AQ$73:AQ$312,$A$73:$A$312,"P9-015",$M$73:$M$312,"&lt;&gt;คุม")&gt;0,$F$17*NETWORKDAYS(AQ$72,AQ$72+6,HOLIDAYS),0)</f>
        <v>0</v>
      </c>
      <c r="AR252" s="289" t="n">
        <f aca="false">IF(SUMIFS(AR$73:AR$312,$A$73:$A$312,"P9-015",$M$73:$M$312,"&lt;&gt;คุม")&gt;0,$F$17*NETWORKDAYS(AR$72,AR$72+6,HOLIDAYS),0)</f>
        <v>0</v>
      </c>
    </row>
    <row r="253" customFormat="false" ht="15" hidden="false" customHeight="false" outlineLevel="1" collapsed="false">
      <c r="A253" s="282" t="s">
        <v>102</v>
      </c>
      <c r="B253" s="283" t="s">
        <v>104</v>
      </c>
      <c r="C253" s="284" t="s">
        <v>2358</v>
      </c>
      <c r="D253" s="284" t="s">
        <v>2280</v>
      </c>
      <c r="E253" s="285" t="n">
        <v>448.7</v>
      </c>
      <c r="F253" s="283" t="s">
        <v>2359</v>
      </c>
      <c r="G253" s="285" t="n">
        <f aca="false">$F$5*(E253/$G$5+$H$5)</f>
        <v>73.792</v>
      </c>
      <c r="H253" s="286" t="n">
        <f aca="false">IF(ISNUMBER('P9-016'!$N$62),'P9-016'!$N$62,"")</f>
        <v>46328</v>
      </c>
      <c r="I253" s="286" t="n">
        <f aca="false">IF(ISNUMBER('P9-016'!$O$62),'P9-016'!$O$62,"")</f>
        <v>46336</v>
      </c>
      <c r="J253" s="287" t="n">
        <f aca="false">IF(OR(H253="",I253="",N253&gt;=1),0,MAX(1,NETWORKDAYS(MAX(H253,ASOF),MAX(I253,ASOF),HOLIDAYS)))</f>
        <v>7</v>
      </c>
      <c r="K253" s="287" t="n">
        <f aca="false">IF(L253=0,0,ROUNDUP(L253/$F$5,0))</f>
        <v>3</v>
      </c>
      <c r="L253" s="285" t="n">
        <f aca="false">IF(J253=0,0,G253*(1-N253)/J253)</f>
        <v>10.5417142857143</v>
      </c>
      <c r="M253" s="283" t="s">
        <v>872</v>
      </c>
      <c r="N253" s="288" t="n">
        <f aca="false">IFERROR(MIN(1,'P9-016'!$V$62)+0,0)</f>
        <v>0</v>
      </c>
      <c r="O253" s="289" t="n">
        <f aca="false">IF($L253=0,0,$L253*MAX(0,NETWORKDAYS(MAX($H253,ASOF,O$72),MIN(MAX($I253,ASOF),O$72+6),HOLIDAYS)))</f>
        <v>52.7085714285714</v>
      </c>
      <c r="P253" s="289" t="n">
        <f aca="false">IF($L253=0,0,$L253*MAX(0,NETWORKDAYS(MAX($H253,ASOF,P$72),MIN(MAX($I253,ASOF),P$72+6),HOLIDAYS)))</f>
        <v>21.0834285714286</v>
      </c>
      <c r="Q253" s="289" t="n">
        <f aca="false">IF($L253=0,0,$L253*MAX(0,NETWORKDAYS(MAX($H253,ASOF,Q$72),MIN(MAX($I253,ASOF),Q$72+6),HOLIDAYS)))</f>
        <v>0</v>
      </c>
      <c r="R253" s="289" t="n">
        <f aca="false">IF($L253=0,0,$L253*MAX(0,NETWORKDAYS(MAX($H253,ASOF,R$72),MIN(MAX($I253,ASOF),R$72+6),HOLIDAYS)))</f>
        <v>0</v>
      </c>
      <c r="S253" s="289" t="n">
        <f aca="false">IF($L253=0,0,$L253*MAX(0,NETWORKDAYS(MAX($H253,ASOF,S$72),MIN(MAX($I253,ASOF),S$72+6),HOLIDAYS)))</f>
        <v>0</v>
      </c>
      <c r="T253" s="289" t="n">
        <f aca="false">IF($L253=0,0,$L253*MAX(0,NETWORKDAYS(MAX($H253,ASOF,T$72),MIN(MAX($I253,ASOF),T$72+6),HOLIDAYS)))</f>
        <v>0</v>
      </c>
      <c r="U253" s="289" t="n">
        <f aca="false">IF($L253=0,0,$L253*MAX(0,NETWORKDAYS(MAX($H253,ASOF,U$72),MIN(MAX($I253,ASOF),U$72+6),HOLIDAYS)))</f>
        <v>0</v>
      </c>
      <c r="V253" s="289" t="n">
        <f aca="false">IF($L253=0,0,$L253*MAX(0,NETWORKDAYS(MAX($H253,ASOF,V$72),MIN(MAX($I253,ASOF),V$72+6),HOLIDAYS)))</f>
        <v>0</v>
      </c>
      <c r="W253" s="289" t="n">
        <f aca="false">IF($L253=0,0,$L253*MAX(0,NETWORKDAYS(MAX($H253,ASOF,W$72),MIN(MAX($I253,ASOF),W$72+6),HOLIDAYS)))</f>
        <v>0</v>
      </c>
      <c r="X253" s="289" t="n">
        <f aca="false">IF($L253=0,0,$L253*MAX(0,NETWORKDAYS(MAX($H253,ASOF,X$72),MIN(MAX($I253,ASOF),X$72+6),HOLIDAYS)))</f>
        <v>0</v>
      </c>
      <c r="Y253" s="289" t="n">
        <f aca="false">IF($L253=0,0,$L253*MAX(0,NETWORKDAYS(MAX($H253,ASOF,Y$72),MIN(MAX($I253,ASOF),Y$72+6),HOLIDAYS)))</f>
        <v>0</v>
      </c>
      <c r="Z253" s="289" t="n">
        <f aca="false">IF($L253=0,0,$L253*MAX(0,NETWORKDAYS(MAX($H253,ASOF,Z$72),MIN(MAX($I253,ASOF),Z$72+6),HOLIDAYS)))</f>
        <v>0</v>
      </c>
      <c r="AA253" s="289" t="n">
        <f aca="false">IF($L253=0,0,$L253*MAX(0,NETWORKDAYS(MAX($H253,ASOF,AA$72),MIN(MAX($I253,ASOF),AA$72+6),HOLIDAYS)))</f>
        <v>0</v>
      </c>
      <c r="AB253" s="289" t="n">
        <f aca="false">IF($L253=0,0,$L253*MAX(0,NETWORKDAYS(MAX($H253,ASOF,AB$72),MIN(MAX($I253,ASOF),AB$72+6),HOLIDAYS)))</f>
        <v>0</v>
      </c>
      <c r="AC253" s="289" t="n">
        <f aca="false">IF($L253=0,0,$L253*MAX(0,NETWORKDAYS(MAX($H253,ASOF,AC$72),MIN(MAX($I253,ASOF),AC$72+6),HOLIDAYS)))</f>
        <v>0</v>
      </c>
      <c r="AD253" s="289" t="n">
        <f aca="false">IF($L253=0,0,$L253*MAX(0,NETWORKDAYS(MAX($H253,ASOF,AD$72),MIN(MAX($I253,ASOF),AD$72+6),HOLIDAYS)))</f>
        <v>0</v>
      </c>
      <c r="AE253" s="289" t="n">
        <f aca="false">IF($L253=0,0,$L253*MAX(0,NETWORKDAYS(MAX($H253,ASOF,AE$72),MIN(MAX($I253,ASOF),AE$72+6),HOLIDAYS)))</f>
        <v>0</v>
      </c>
      <c r="AF253" s="289" t="n">
        <f aca="false">IF($L253=0,0,$L253*MAX(0,NETWORKDAYS(MAX($H253,ASOF,AF$72),MIN(MAX($I253,ASOF),AF$72+6),HOLIDAYS)))</f>
        <v>0</v>
      </c>
      <c r="AG253" s="289" t="n">
        <f aca="false">IF($L253=0,0,$L253*MAX(0,NETWORKDAYS(MAX($H253,ASOF,AG$72),MIN(MAX($I253,ASOF),AG$72+6),HOLIDAYS)))</f>
        <v>0</v>
      </c>
      <c r="AH253" s="289" t="n">
        <f aca="false">IF($L253=0,0,$L253*MAX(0,NETWORKDAYS(MAX($H253,ASOF,AH$72),MIN(MAX($I253,ASOF),AH$72+6),HOLIDAYS)))</f>
        <v>0</v>
      </c>
      <c r="AI253" s="289" t="n">
        <f aca="false">IF($L253=0,0,$L253*MAX(0,NETWORKDAYS(MAX($H253,ASOF,AI$72),MIN(MAX($I253,ASOF),AI$72+6),HOLIDAYS)))</f>
        <v>0</v>
      </c>
      <c r="AJ253" s="289" t="n">
        <f aca="false">IF($L253=0,0,$L253*MAX(0,NETWORKDAYS(MAX($H253,ASOF,AJ$72),MIN(MAX($I253,ASOF),AJ$72+6),HOLIDAYS)))</f>
        <v>0</v>
      </c>
      <c r="AK253" s="289" t="n">
        <f aca="false">IF($L253=0,0,$L253*MAX(0,NETWORKDAYS(MAX($H253,ASOF,AK$72),MIN(MAX($I253,ASOF),AK$72+6),HOLIDAYS)))</f>
        <v>0</v>
      </c>
      <c r="AL253" s="289" t="n">
        <f aca="false">IF($L253=0,0,$L253*MAX(0,NETWORKDAYS(MAX($H253,ASOF,AL$72),MIN(MAX($I253,ASOF),AL$72+6),HOLIDAYS)))</f>
        <v>0</v>
      </c>
      <c r="AM253" s="289" t="n">
        <f aca="false">IF($L253=0,0,$L253*MAX(0,NETWORKDAYS(MAX($H253,ASOF,AM$72),MIN(MAX($I253,ASOF),AM$72+6),HOLIDAYS)))</f>
        <v>0</v>
      </c>
      <c r="AN253" s="289" t="n">
        <f aca="false">IF($L253=0,0,$L253*MAX(0,NETWORKDAYS(MAX($H253,ASOF,AN$72),MIN(MAX($I253,ASOF),AN$72+6),HOLIDAYS)))</f>
        <v>0</v>
      </c>
      <c r="AO253" s="289" t="n">
        <f aca="false">IF($L253=0,0,$L253*MAX(0,NETWORKDAYS(MAX($H253,ASOF,AO$72),MIN(MAX($I253,ASOF),AO$72+6),HOLIDAYS)))</f>
        <v>0</v>
      </c>
      <c r="AP253" s="289" t="n">
        <f aca="false">IF($L253=0,0,$L253*MAX(0,NETWORKDAYS(MAX($H253,ASOF,AP$72),MIN(MAX($I253,ASOF),AP$72+6),HOLIDAYS)))</f>
        <v>0</v>
      </c>
      <c r="AQ253" s="289" t="n">
        <f aca="false">IF($L253=0,0,$L253*MAX(0,NETWORKDAYS(MAX($H253,ASOF,AQ$72),MIN(MAX($I253,ASOF),AQ$72+6),HOLIDAYS)))</f>
        <v>0</v>
      </c>
      <c r="AR253" s="289" t="n">
        <f aca="false">IF($L253=0,0,$L253*MAX(0,NETWORKDAYS(MAX($H253,ASOF,AR$72),MIN(MAX($I253,ASOF),AR$72+6),HOLIDAYS)))</f>
        <v>0</v>
      </c>
    </row>
    <row r="254" customFormat="false" ht="15" hidden="false" customHeight="false" outlineLevel="1" collapsed="false">
      <c r="A254" s="282" t="s">
        <v>102</v>
      </c>
      <c r="B254" s="283" t="s">
        <v>104</v>
      </c>
      <c r="C254" s="284" t="s">
        <v>2360</v>
      </c>
      <c r="D254" s="284" t="s">
        <v>2284</v>
      </c>
      <c r="E254" s="285" t="n">
        <v>280.44</v>
      </c>
      <c r="F254" s="283" t="s">
        <v>527</v>
      </c>
      <c r="G254" s="285" t="n">
        <f aca="false">$F$6*(E254/$G$6+$H$6)</f>
        <v>24.033</v>
      </c>
      <c r="H254" s="286" t="n">
        <f aca="false">IF(ISNUMBER('P9-016'!$N$70),'P9-016'!$N$70,"")</f>
        <v>46343</v>
      </c>
      <c r="I254" s="286" t="n">
        <f aca="false">IF(ISNUMBER('P9-016'!$O$70),'P9-016'!$O$70,"")</f>
        <v>46346</v>
      </c>
      <c r="J254" s="287" t="n">
        <f aca="false">IF(OR(H254="",I254="",N254&gt;=1),0,MAX(1,NETWORKDAYS(MAX(H254,ASOF),MAX(I254,ASOF),HOLIDAYS)))</f>
        <v>4</v>
      </c>
      <c r="K254" s="287" t="n">
        <f aca="false">IF(L254=0,0,ROUNDUP(L254/$F$6,0))</f>
        <v>3</v>
      </c>
      <c r="L254" s="285" t="n">
        <f aca="false">IF(J254=0,0,G254*(1-N254)/J254)</f>
        <v>6.00825</v>
      </c>
      <c r="M254" s="283" t="s">
        <v>987</v>
      </c>
      <c r="N254" s="288" t="n">
        <f aca="false">IFERROR(MIN(1,'P9-016'!$V$70)+0,0)</f>
        <v>0</v>
      </c>
      <c r="O254" s="289" t="n">
        <f aca="false">IF($L254=0,0,$L254*MAX(0,NETWORKDAYS(MAX($H254,ASOF,O$72),MIN(MAX($I254,ASOF),O$72+6),HOLIDAYS)))</f>
        <v>0</v>
      </c>
      <c r="P254" s="289" t="n">
        <f aca="false">IF($L254=0,0,$L254*MAX(0,NETWORKDAYS(MAX($H254,ASOF,P$72),MIN(MAX($I254,ASOF),P$72+6),HOLIDAYS)))</f>
        <v>0</v>
      </c>
      <c r="Q254" s="289" t="n">
        <f aca="false">IF($L254=0,0,$L254*MAX(0,NETWORKDAYS(MAX($H254,ASOF,Q$72),MIN(MAX($I254,ASOF),Q$72+6),HOLIDAYS)))</f>
        <v>24.033</v>
      </c>
      <c r="R254" s="289" t="n">
        <f aca="false">IF($L254=0,0,$L254*MAX(0,NETWORKDAYS(MAX($H254,ASOF,R$72),MIN(MAX($I254,ASOF),R$72+6),HOLIDAYS)))</f>
        <v>0</v>
      </c>
      <c r="S254" s="289" t="n">
        <f aca="false">IF($L254=0,0,$L254*MAX(0,NETWORKDAYS(MAX($H254,ASOF,S$72),MIN(MAX($I254,ASOF),S$72+6),HOLIDAYS)))</f>
        <v>0</v>
      </c>
      <c r="T254" s="289" t="n">
        <f aca="false">IF($L254=0,0,$L254*MAX(0,NETWORKDAYS(MAX($H254,ASOF,T$72),MIN(MAX($I254,ASOF),T$72+6),HOLIDAYS)))</f>
        <v>0</v>
      </c>
      <c r="U254" s="289" t="n">
        <f aca="false">IF($L254=0,0,$L254*MAX(0,NETWORKDAYS(MAX($H254,ASOF,U$72),MIN(MAX($I254,ASOF),U$72+6),HOLIDAYS)))</f>
        <v>0</v>
      </c>
      <c r="V254" s="289" t="n">
        <f aca="false">IF($L254=0,0,$L254*MAX(0,NETWORKDAYS(MAX($H254,ASOF,V$72),MIN(MAX($I254,ASOF),V$72+6),HOLIDAYS)))</f>
        <v>0</v>
      </c>
      <c r="W254" s="289" t="n">
        <f aca="false">IF($L254=0,0,$L254*MAX(0,NETWORKDAYS(MAX($H254,ASOF,W$72),MIN(MAX($I254,ASOF),W$72+6),HOLIDAYS)))</f>
        <v>0</v>
      </c>
      <c r="X254" s="289" t="n">
        <f aca="false">IF($L254=0,0,$L254*MAX(0,NETWORKDAYS(MAX($H254,ASOF,X$72),MIN(MAX($I254,ASOF),X$72+6),HOLIDAYS)))</f>
        <v>0</v>
      </c>
      <c r="Y254" s="289" t="n">
        <f aca="false">IF($L254=0,0,$L254*MAX(0,NETWORKDAYS(MAX($H254,ASOF,Y$72),MIN(MAX($I254,ASOF),Y$72+6),HOLIDAYS)))</f>
        <v>0</v>
      </c>
      <c r="Z254" s="289" t="n">
        <f aca="false">IF($L254=0,0,$L254*MAX(0,NETWORKDAYS(MAX($H254,ASOF,Z$72),MIN(MAX($I254,ASOF),Z$72+6),HOLIDAYS)))</f>
        <v>0</v>
      </c>
      <c r="AA254" s="289" t="n">
        <f aca="false">IF($L254=0,0,$L254*MAX(0,NETWORKDAYS(MAX($H254,ASOF,AA$72),MIN(MAX($I254,ASOF),AA$72+6),HOLIDAYS)))</f>
        <v>0</v>
      </c>
      <c r="AB254" s="289" t="n">
        <f aca="false">IF($L254=0,0,$L254*MAX(0,NETWORKDAYS(MAX($H254,ASOF,AB$72),MIN(MAX($I254,ASOF),AB$72+6),HOLIDAYS)))</f>
        <v>0</v>
      </c>
      <c r="AC254" s="289" t="n">
        <f aca="false">IF($L254=0,0,$L254*MAX(0,NETWORKDAYS(MAX($H254,ASOF,AC$72),MIN(MAX($I254,ASOF),AC$72+6),HOLIDAYS)))</f>
        <v>0</v>
      </c>
      <c r="AD254" s="289" t="n">
        <f aca="false">IF($L254=0,0,$L254*MAX(0,NETWORKDAYS(MAX($H254,ASOF,AD$72),MIN(MAX($I254,ASOF),AD$72+6),HOLIDAYS)))</f>
        <v>0</v>
      </c>
      <c r="AE254" s="289" t="n">
        <f aca="false">IF($L254=0,0,$L254*MAX(0,NETWORKDAYS(MAX($H254,ASOF,AE$72),MIN(MAX($I254,ASOF),AE$72+6),HOLIDAYS)))</f>
        <v>0</v>
      </c>
      <c r="AF254" s="289" t="n">
        <f aca="false">IF($L254=0,0,$L254*MAX(0,NETWORKDAYS(MAX($H254,ASOF,AF$72),MIN(MAX($I254,ASOF),AF$72+6),HOLIDAYS)))</f>
        <v>0</v>
      </c>
      <c r="AG254" s="289" t="n">
        <f aca="false">IF($L254=0,0,$L254*MAX(0,NETWORKDAYS(MAX($H254,ASOF,AG$72),MIN(MAX($I254,ASOF),AG$72+6),HOLIDAYS)))</f>
        <v>0</v>
      </c>
      <c r="AH254" s="289" t="n">
        <f aca="false">IF($L254=0,0,$L254*MAX(0,NETWORKDAYS(MAX($H254,ASOF,AH$72),MIN(MAX($I254,ASOF),AH$72+6),HOLIDAYS)))</f>
        <v>0</v>
      </c>
      <c r="AI254" s="289" t="n">
        <f aca="false">IF($L254=0,0,$L254*MAX(0,NETWORKDAYS(MAX($H254,ASOF,AI$72),MIN(MAX($I254,ASOF),AI$72+6),HOLIDAYS)))</f>
        <v>0</v>
      </c>
      <c r="AJ254" s="289" t="n">
        <f aca="false">IF($L254=0,0,$L254*MAX(0,NETWORKDAYS(MAX($H254,ASOF,AJ$72),MIN(MAX($I254,ASOF),AJ$72+6),HOLIDAYS)))</f>
        <v>0</v>
      </c>
      <c r="AK254" s="289" t="n">
        <f aca="false">IF($L254=0,0,$L254*MAX(0,NETWORKDAYS(MAX($H254,ASOF,AK$72),MIN(MAX($I254,ASOF),AK$72+6),HOLIDAYS)))</f>
        <v>0</v>
      </c>
      <c r="AL254" s="289" t="n">
        <f aca="false">IF($L254=0,0,$L254*MAX(0,NETWORKDAYS(MAX($H254,ASOF,AL$72),MIN(MAX($I254,ASOF),AL$72+6),HOLIDAYS)))</f>
        <v>0</v>
      </c>
      <c r="AM254" s="289" t="n">
        <f aca="false">IF($L254=0,0,$L254*MAX(0,NETWORKDAYS(MAX($H254,ASOF,AM$72),MIN(MAX($I254,ASOF),AM$72+6),HOLIDAYS)))</f>
        <v>0</v>
      </c>
      <c r="AN254" s="289" t="n">
        <f aca="false">IF($L254=0,0,$L254*MAX(0,NETWORKDAYS(MAX($H254,ASOF,AN$72),MIN(MAX($I254,ASOF),AN$72+6),HOLIDAYS)))</f>
        <v>0</v>
      </c>
      <c r="AO254" s="289" t="n">
        <f aca="false">IF($L254=0,0,$L254*MAX(0,NETWORKDAYS(MAX($H254,ASOF,AO$72),MIN(MAX($I254,ASOF),AO$72+6),HOLIDAYS)))</f>
        <v>0</v>
      </c>
      <c r="AP254" s="289" t="n">
        <f aca="false">IF($L254=0,0,$L254*MAX(0,NETWORKDAYS(MAX($H254,ASOF,AP$72),MIN(MAX($I254,ASOF),AP$72+6),HOLIDAYS)))</f>
        <v>0</v>
      </c>
      <c r="AQ254" s="289" t="n">
        <f aca="false">IF($L254=0,0,$L254*MAX(0,NETWORKDAYS(MAX($H254,ASOF,AQ$72),MIN(MAX($I254,ASOF),AQ$72+6),HOLIDAYS)))</f>
        <v>0</v>
      </c>
      <c r="AR254" s="289" t="n">
        <f aca="false">IF($L254=0,0,$L254*MAX(0,NETWORKDAYS(MAX($H254,ASOF,AR$72),MIN(MAX($I254,ASOF),AR$72+6),HOLIDAYS)))</f>
        <v>0</v>
      </c>
    </row>
    <row r="255" customFormat="false" ht="15" hidden="false" customHeight="false" outlineLevel="1" collapsed="false">
      <c r="A255" s="282" t="s">
        <v>102</v>
      </c>
      <c r="B255" s="283" t="s">
        <v>104</v>
      </c>
      <c r="C255" s="284" t="s">
        <v>2361</v>
      </c>
      <c r="D255" s="284" t="s">
        <v>2280</v>
      </c>
      <c r="E255" s="285" t="n">
        <v>280.44</v>
      </c>
      <c r="F255" s="283" t="s">
        <v>527</v>
      </c>
      <c r="G255" s="285" t="n">
        <f aca="false">$F$7*(E255/$G$7+$H$7)</f>
        <v>34.0502857142857</v>
      </c>
      <c r="H255" s="286" t="n">
        <f aca="false">IF(ISNUMBER('P9-016'!$N$76),'P9-016'!$N$76,"")</f>
        <v>46337</v>
      </c>
      <c r="I255" s="286" t="n">
        <f aca="false">IF(ISNUMBER('P9-016'!$O$76),'P9-016'!$O$76,"")</f>
        <v>46347</v>
      </c>
      <c r="J255" s="287" t="n">
        <f aca="false">IF(OR(H255="",I255="",N255&gt;=1),0,MAX(1,NETWORKDAYS(MAX(H255,ASOF),MAX(I255,ASOF),HOLIDAYS)))</f>
        <v>8</v>
      </c>
      <c r="K255" s="287" t="n">
        <f aca="false">IF(L255=0,0,ROUNDUP(L255/$F$7,0))</f>
        <v>2</v>
      </c>
      <c r="L255" s="285" t="n">
        <f aca="false">IF(J255=0,0,G255*(1-N255)/J255)</f>
        <v>4.25628571428571</v>
      </c>
      <c r="M255" s="283" t="s">
        <v>1037</v>
      </c>
      <c r="N255" s="288" t="n">
        <f aca="false">IFERROR(MIN(1,'P9-016'!$V$76)+0,0)</f>
        <v>0</v>
      </c>
      <c r="O255" s="289" t="n">
        <f aca="false">IF($L255=0,0,$L255*MAX(0,NETWORKDAYS(MAX($H255,ASOF,O$72),MIN(MAX($I255,ASOF),O$72+6),HOLIDAYS)))</f>
        <v>0</v>
      </c>
      <c r="P255" s="289" t="n">
        <f aca="false">IF($L255=0,0,$L255*MAX(0,NETWORKDAYS(MAX($H255,ASOF,P$72),MIN(MAX($I255,ASOF),P$72+6),HOLIDAYS)))</f>
        <v>12.7688571428571</v>
      </c>
      <c r="Q255" s="289" t="n">
        <f aca="false">IF($L255=0,0,$L255*MAX(0,NETWORKDAYS(MAX($H255,ASOF,Q$72),MIN(MAX($I255,ASOF),Q$72+6),HOLIDAYS)))</f>
        <v>21.2814285714286</v>
      </c>
      <c r="R255" s="289" t="n">
        <f aca="false">IF($L255=0,0,$L255*MAX(0,NETWORKDAYS(MAX($H255,ASOF,R$72),MIN(MAX($I255,ASOF),R$72+6),HOLIDAYS)))</f>
        <v>0</v>
      </c>
      <c r="S255" s="289" t="n">
        <f aca="false">IF($L255=0,0,$L255*MAX(0,NETWORKDAYS(MAX($H255,ASOF,S$72),MIN(MAX($I255,ASOF),S$72+6),HOLIDAYS)))</f>
        <v>0</v>
      </c>
      <c r="T255" s="289" t="n">
        <f aca="false">IF($L255=0,0,$L255*MAX(0,NETWORKDAYS(MAX($H255,ASOF,T$72),MIN(MAX($I255,ASOF),T$72+6),HOLIDAYS)))</f>
        <v>0</v>
      </c>
      <c r="U255" s="289" t="n">
        <f aca="false">IF($L255=0,0,$L255*MAX(0,NETWORKDAYS(MAX($H255,ASOF,U$72),MIN(MAX($I255,ASOF),U$72+6),HOLIDAYS)))</f>
        <v>0</v>
      </c>
      <c r="V255" s="289" t="n">
        <f aca="false">IF($L255=0,0,$L255*MAX(0,NETWORKDAYS(MAX($H255,ASOF,V$72),MIN(MAX($I255,ASOF),V$72+6),HOLIDAYS)))</f>
        <v>0</v>
      </c>
      <c r="W255" s="289" t="n">
        <f aca="false">IF($L255=0,0,$L255*MAX(0,NETWORKDAYS(MAX($H255,ASOF,W$72),MIN(MAX($I255,ASOF),W$72+6),HOLIDAYS)))</f>
        <v>0</v>
      </c>
      <c r="X255" s="289" t="n">
        <f aca="false">IF($L255=0,0,$L255*MAX(0,NETWORKDAYS(MAX($H255,ASOF,X$72),MIN(MAX($I255,ASOF),X$72+6),HOLIDAYS)))</f>
        <v>0</v>
      </c>
      <c r="Y255" s="289" t="n">
        <f aca="false">IF($L255=0,0,$L255*MAX(0,NETWORKDAYS(MAX($H255,ASOF,Y$72),MIN(MAX($I255,ASOF),Y$72+6),HOLIDAYS)))</f>
        <v>0</v>
      </c>
      <c r="Z255" s="289" t="n">
        <f aca="false">IF($L255=0,0,$L255*MAX(0,NETWORKDAYS(MAX($H255,ASOF,Z$72),MIN(MAX($I255,ASOF),Z$72+6),HOLIDAYS)))</f>
        <v>0</v>
      </c>
      <c r="AA255" s="289" t="n">
        <f aca="false">IF($L255=0,0,$L255*MAX(0,NETWORKDAYS(MAX($H255,ASOF,AA$72),MIN(MAX($I255,ASOF),AA$72+6),HOLIDAYS)))</f>
        <v>0</v>
      </c>
      <c r="AB255" s="289" t="n">
        <f aca="false">IF($L255=0,0,$L255*MAX(0,NETWORKDAYS(MAX($H255,ASOF,AB$72),MIN(MAX($I255,ASOF),AB$72+6),HOLIDAYS)))</f>
        <v>0</v>
      </c>
      <c r="AC255" s="289" t="n">
        <f aca="false">IF($L255=0,0,$L255*MAX(0,NETWORKDAYS(MAX($H255,ASOF,AC$72),MIN(MAX($I255,ASOF),AC$72+6),HOLIDAYS)))</f>
        <v>0</v>
      </c>
      <c r="AD255" s="289" t="n">
        <f aca="false">IF($L255=0,0,$L255*MAX(0,NETWORKDAYS(MAX($H255,ASOF,AD$72),MIN(MAX($I255,ASOF),AD$72+6),HOLIDAYS)))</f>
        <v>0</v>
      </c>
      <c r="AE255" s="289" t="n">
        <f aca="false">IF($L255=0,0,$L255*MAX(0,NETWORKDAYS(MAX($H255,ASOF,AE$72),MIN(MAX($I255,ASOF),AE$72+6),HOLIDAYS)))</f>
        <v>0</v>
      </c>
      <c r="AF255" s="289" t="n">
        <f aca="false">IF($L255=0,0,$L255*MAX(0,NETWORKDAYS(MAX($H255,ASOF,AF$72),MIN(MAX($I255,ASOF),AF$72+6),HOLIDAYS)))</f>
        <v>0</v>
      </c>
      <c r="AG255" s="289" t="n">
        <f aca="false">IF($L255=0,0,$L255*MAX(0,NETWORKDAYS(MAX($H255,ASOF,AG$72),MIN(MAX($I255,ASOF),AG$72+6),HOLIDAYS)))</f>
        <v>0</v>
      </c>
      <c r="AH255" s="289" t="n">
        <f aca="false">IF($L255=0,0,$L255*MAX(0,NETWORKDAYS(MAX($H255,ASOF,AH$72),MIN(MAX($I255,ASOF),AH$72+6),HOLIDAYS)))</f>
        <v>0</v>
      </c>
      <c r="AI255" s="289" t="n">
        <f aca="false">IF($L255=0,0,$L255*MAX(0,NETWORKDAYS(MAX($H255,ASOF,AI$72),MIN(MAX($I255,ASOF),AI$72+6),HOLIDAYS)))</f>
        <v>0</v>
      </c>
      <c r="AJ255" s="289" t="n">
        <f aca="false">IF($L255=0,0,$L255*MAX(0,NETWORKDAYS(MAX($H255,ASOF,AJ$72),MIN(MAX($I255,ASOF),AJ$72+6),HOLIDAYS)))</f>
        <v>0</v>
      </c>
      <c r="AK255" s="289" t="n">
        <f aca="false">IF($L255=0,0,$L255*MAX(0,NETWORKDAYS(MAX($H255,ASOF,AK$72),MIN(MAX($I255,ASOF),AK$72+6),HOLIDAYS)))</f>
        <v>0</v>
      </c>
      <c r="AL255" s="289" t="n">
        <f aca="false">IF($L255=0,0,$L255*MAX(0,NETWORKDAYS(MAX($H255,ASOF,AL$72),MIN(MAX($I255,ASOF),AL$72+6),HOLIDAYS)))</f>
        <v>0</v>
      </c>
      <c r="AM255" s="289" t="n">
        <f aca="false">IF($L255=0,0,$L255*MAX(0,NETWORKDAYS(MAX($H255,ASOF,AM$72),MIN(MAX($I255,ASOF),AM$72+6),HOLIDAYS)))</f>
        <v>0</v>
      </c>
      <c r="AN255" s="289" t="n">
        <f aca="false">IF($L255=0,0,$L255*MAX(0,NETWORKDAYS(MAX($H255,ASOF,AN$72),MIN(MAX($I255,ASOF),AN$72+6),HOLIDAYS)))</f>
        <v>0</v>
      </c>
      <c r="AO255" s="289" t="n">
        <f aca="false">IF($L255=0,0,$L255*MAX(0,NETWORKDAYS(MAX($H255,ASOF,AO$72),MIN(MAX($I255,ASOF),AO$72+6),HOLIDAYS)))</f>
        <v>0</v>
      </c>
      <c r="AP255" s="289" t="n">
        <f aca="false">IF($L255=0,0,$L255*MAX(0,NETWORKDAYS(MAX($H255,ASOF,AP$72),MIN(MAX($I255,ASOF),AP$72+6),HOLIDAYS)))</f>
        <v>0</v>
      </c>
      <c r="AQ255" s="289" t="n">
        <f aca="false">IF($L255=0,0,$L255*MAX(0,NETWORKDAYS(MAX($H255,ASOF,AQ$72),MIN(MAX($I255,ASOF),AQ$72+6),HOLIDAYS)))</f>
        <v>0</v>
      </c>
      <c r="AR255" s="289" t="n">
        <f aca="false">IF($L255=0,0,$L255*MAX(0,NETWORKDAYS(MAX($H255,ASOF,AR$72),MIN(MAX($I255,ASOF),AR$72+6),HOLIDAYS)))</f>
        <v>0</v>
      </c>
    </row>
    <row r="256" customFormat="false" ht="15" hidden="false" customHeight="false" outlineLevel="1" collapsed="false">
      <c r="A256" s="282" t="s">
        <v>102</v>
      </c>
      <c r="B256" s="283" t="s">
        <v>104</v>
      </c>
      <c r="C256" s="284" t="s">
        <v>2362</v>
      </c>
      <c r="D256" s="284" t="s">
        <v>2284</v>
      </c>
      <c r="E256" s="285" t="n">
        <v>1</v>
      </c>
      <c r="F256" s="290" t="s">
        <v>35</v>
      </c>
      <c r="G256" s="285" t="n">
        <f aca="false">$F$8*$H$8</f>
        <v>2</v>
      </c>
      <c r="H256" s="286" t="n">
        <f aca="false">IF(ISNUMBER('P9-016'!$N$82),'P9-016'!$N$82,"")</f>
        <v>46345</v>
      </c>
      <c r="I256" s="286" t="n">
        <f aca="false">IF(ISNUMBER('P9-016'!$O$82),'P9-016'!$O$82,"")</f>
        <v>46347</v>
      </c>
      <c r="J256" s="287" t="n">
        <f aca="false">IF(OR(H256="",I256="",N256&gt;=1),0,MAX(1,NETWORKDAYS(MAX(H256,ASOF),MAX(I256,ASOF),HOLIDAYS)))</f>
        <v>2</v>
      </c>
      <c r="K256" s="287" t="n">
        <f aca="false">IF(L256=0,0,ROUNDUP(L256/$F$8,0))</f>
        <v>1</v>
      </c>
      <c r="L256" s="285" t="n">
        <f aca="false">IF(J256=0,0,G256*(1-N256)/J256)</f>
        <v>1</v>
      </c>
      <c r="M256" s="283" t="s">
        <v>1063</v>
      </c>
      <c r="N256" s="288" t="n">
        <f aca="false">IFERROR(MIN(1,'P9-016'!$V$82)+0,0)</f>
        <v>0</v>
      </c>
      <c r="O256" s="289" t="n">
        <f aca="false">IF($L256=0,0,$L256*MAX(0,NETWORKDAYS(MAX($H256,ASOF,O$72),MIN(MAX($I256,ASOF),O$72+6),HOLIDAYS)))</f>
        <v>0</v>
      </c>
      <c r="P256" s="289" t="n">
        <f aca="false">IF($L256=0,0,$L256*MAX(0,NETWORKDAYS(MAX($H256,ASOF,P$72),MIN(MAX($I256,ASOF),P$72+6),HOLIDAYS)))</f>
        <v>0</v>
      </c>
      <c r="Q256" s="289" t="n">
        <f aca="false">IF($L256=0,0,$L256*MAX(0,NETWORKDAYS(MAX($H256,ASOF,Q$72),MIN(MAX($I256,ASOF),Q$72+6),HOLIDAYS)))</f>
        <v>2</v>
      </c>
      <c r="R256" s="289" t="n">
        <f aca="false">IF($L256=0,0,$L256*MAX(0,NETWORKDAYS(MAX($H256,ASOF,R$72),MIN(MAX($I256,ASOF),R$72+6),HOLIDAYS)))</f>
        <v>0</v>
      </c>
      <c r="S256" s="289" t="n">
        <f aca="false">IF($L256=0,0,$L256*MAX(0,NETWORKDAYS(MAX($H256,ASOF,S$72),MIN(MAX($I256,ASOF),S$72+6),HOLIDAYS)))</f>
        <v>0</v>
      </c>
      <c r="T256" s="289" t="n">
        <f aca="false">IF($L256=0,0,$L256*MAX(0,NETWORKDAYS(MAX($H256,ASOF,T$72),MIN(MAX($I256,ASOF),T$72+6),HOLIDAYS)))</f>
        <v>0</v>
      </c>
      <c r="U256" s="289" t="n">
        <f aca="false">IF($L256=0,0,$L256*MAX(0,NETWORKDAYS(MAX($H256,ASOF,U$72),MIN(MAX($I256,ASOF),U$72+6),HOLIDAYS)))</f>
        <v>0</v>
      </c>
      <c r="V256" s="289" t="n">
        <f aca="false">IF($L256=0,0,$L256*MAX(0,NETWORKDAYS(MAX($H256,ASOF,V$72),MIN(MAX($I256,ASOF),V$72+6),HOLIDAYS)))</f>
        <v>0</v>
      </c>
      <c r="W256" s="289" t="n">
        <f aca="false">IF($L256=0,0,$L256*MAX(0,NETWORKDAYS(MAX($H256,ASOF,W$72),MIN(MAX($I256,ASOF),W$72+6),HOLIDAYS)))</f>
        <v>0</v>
      </c>
      <c r="X256" s="289" t="n">
        <f aca="false">IF($L256=0,0,$L256*MAX(0,NETWORKDAYS(MAX($H256,ASOF,X$72),MIN(MAX($I256,ASOF),X$72+6),HOLIDAYS)))</f>
        <v>0</v>
      </c>
      <c r="Y256" s="289" t="n">
        <f aca="false">IF($L256=0,0,$L256*MAX(0,NETWORKDAYS(MAX($H256,ASOF,Y$72),MIN(MAX($I256,ASOF),Y$72+6),HOLIDAYS)))</f>
        <v>0</v>
      </c>
      <c r="Z256" s="289" t="n">
        <f aca="false">IF($L256=0,0,$L256*MAX(0,NETWORKDAYS(MAX($H256,ASOF,Z$72),MIN(MAX($I256,ASOF),Z$72+6),HOLIDAYS)))</f>
        <v>0</v>
      </c>
      <c r="AA256" s="289" t="n">
        <f aca="false">IF($L256=0,0,$L256*MAX(0,NETWORKDAYS(MAX($H256,ASOF,AA$72),MIN(MAX($I256,ASOF),AA$72+6),HOLIDAYS)))</f>
        <v>0</v>
      </c>
      <c r="AB256" s="289" t="n">
        <f aca="false">IF($L256=0,0,$L256*MAX(0,NETWORKDAYS(MAX($H256,ASOF,AB$72),MIN(MAX($I256,ASOF),AB$72+6),HOLIDAYS)))</f>
        <v>0</v>
      </c>
      <c r="AC256" s="289" t="n">
        <f aca="false">IF($L256=0,0,$L256*MAX(0,NETWORKDAYS(MAX($H256,ASOF,AC$72),MIN(MAX($I256,ASOF),AC$72+6),HOLIDAYS)))</f>
        <v>0</v>
      </c>
      <c r="AD256" s="289" t="n">
        <f aca="false">IF($L256=0,0,$L256*MAX(0,NETWORKDAYS(MAX($H256,ASOF,AD$72),MIN(MAX($I256,ASOF),AD$72+6),HOLIDAYS)))</f>
        <v>0</v>
      </c>
      <c r="AE256" s="289" t="n">
        <f aca="false">IF($L256=0,0,$L256*MAX(0,NETWORKDAYS(MAX($H256,ASOF,AE$72),MIN(MAX($I256,ASOF),AE$72+6),HOLIDAYS)))</f>
        <v>0</v>
      </c>
      <c r="AF256" s="289" t="n">
        <f aca="false">IF($L256=0,0,$L256*MAX(0,NETWORKDAYS(MAX($H256,ASOF,AF$72),MIN(MAX($I256,ASOF),AF$72+6),HOLIDAYS)))</f>
        <v>0</v>
      </c>
      <c r="AG256" s="289" t="n">
        <f aca="false">IF($L256=0,0,$L256*MAX(0,NETWORKDAYS(MAX($H256,ASOF,AG$72),MIN(MAX($I256,ASOF),AG$72+6),HOLIDAYS)))</f>
        <v>0</v>
      </c>
      <c r="AH256" s="289" t="n">
        <f aca="false">IF($L256=0,0,$L256*MAX(0,NETWORKDAYS(MAX($H256,ASOF,AH$72),MIN(MAX($I256,ASOF),AH$72+6),HOLIDAYS)))</f>
        <v>0</v>
      </c>
      <c r="AI256" s="289" t="n">
        <f aca="false">IF($L256=0,0,$L256*MAX(0,NETWORKDAYS(MAX($H256,ASOF,AI$72),MIN(MAX($I256,ASOF),AI$72+6),HOLIDAYS)))</f>
        <v>0</v>
      </c>
      <c r="AJ256" s="289" t="n">
        <f aca="false">IF($L256=0,0,$L256*MAX(0,NETWORKDAYS(MAX($H256,ASOF,AJ$72),MIN(MAX($I256,ASOF),AJ$72+6),HOLIDAYS)))</f>
        <v>0</v>
      </c>
      <c r="AK256" s="289" t="n">
        <f aca="false">IF($L256=0,0,$L256*MAX(0,NETWORKDAYS(MAX($H256,ASOF,AK$72),MIN(MAX($I256,ASOF),AK$72+6),HOLIDAYS)))</f>
        <v>0</v>
      </c>
      <c r="AL256" s="289" t="n">
        <f aca="false">IF($L256=0,0,$L256*MAX(0,NETWORKDAYS(MAX($H256,ASOF,AL$72),MIN(MAX($I256,ASOF),AL$72+6),HOLIDAYS)))</f>
        <v>0</v>
      </c>
      <c r="AM256" s="289" t="n">
        <f aca="false">IF($L256=0,0,$L256*MAX(0,NETWORKDAYS(MAX($H256,ASOF,AM$72),MIN(MAX($I256,ASOF),AM$72+6),HOLIDAYS)))</f>
        <v>0</v>
      </c>
      <c r="AN256" s="289" t="n">
        <f aca="false">IF($L256=0,0,$L256*MAX(0,NETWORKDAYS(MAX($H256,ASOF,AN$72),MIN(MAX($I256,ASOF),AN$72+6),HOLIDAYS)))</f>
        <v>0</v>
      </c>
      <c r="AO256" s="289" t="n">
        <f aca="false">IF($L256=0,0,$L256*MAX(0,NETWORKDAYS(MAX($H256,ASOF,AO$72),MIN(MAX($I256,ASOF),AO$72+6),HOLIDAYS)))</f>
        <v>0</v>
      </c>
      <c r="AP256" s="289" t="n">
        <f aca="false">IF($L256=0,0,$L256*MAX(0,NETWORKDAYS(MAX($H256,ASOF,AP$72),MIN(MAX($I256,ASOF),AP$72+6),HOLIDAYS)))</f>
        <v>0</v>
      </c>
      <c r="AQ256" s="289" t="n">
        <f aca="false">IF($L256=0,0,$L256*MAX(0,NETWORKDAYS(MAX($H256,ASOF,AQ$72),MIN(MAX($I256,ASOF),AQ$72+6),HOLIDAYS)))</f>
        <v>0</v>
      </c>
      <c r="AR256" s="289" t="n">
        <f aca="false">IF($L256=0,0,$L256*MAX(0,NETWORKDAYS(MAX($H256,ASOF,AR$72),MIN(MAX($I256,ASOF),AR$72+6),HOLIDAYS)))</f>
        <v>0</v>
      </c>
    </row>
    <row r="257" customFormat="false" ht="15" hidden="false" customHeight="false" outlineLevel="1" collapsed="false">
      <c r="A257" s="282" t="s">
        <v>102</v>
      </c>
      <c r="B257" s="283" t="s">
        <v>104</v>
      </c>
      <c r="C257" s="284" t="s">
        <v>2363</v>
      </c>
      <c r="D257" s="284" t="s">
        <v>2290</v>
      </c>
      <c r="E257" s="285" t="n">
        <v>1</v>
      </c>
      <c r="F257" s="290" t="s">
        <v>35</v>
      </c>
      <c r="G257" s="285" t="n">
        <f aca="false">IF(IFERROR(INDEX(INVS_TYPE,MATCH("P9-016",INVS_ID,0)),"")="สร้างใหม่ (E09)",$F$9*$H$9,0)</f>
        <v>24</v>
      </c>
      <c r="H257" s="286" t="n">
        <f aca="false">IF(ISNUMBER('P9-016'!$N$85),'P9-016'!$N$85,"")</f>
        <v>46343</v>
      </c>
      <c r="I257" s="286" t="n">
        <f aca="false">IF(ISNUMBER('P9-016'!$O$85),'P9-016'!$O$85,"")</f>
        <v>46346</v>
      </c>
      <c r="J257" s="287" t="n">
        <f aca="false">IF(OR(H257="",I257="",N257&gt;=1),0,MAX(1,NETWORKDAYS(MAX(H257,ASOF),MAX(I257,ASOF),HOLIDAYS)))</f>
        <v>4</v>
      </c>
      <c r="K257" s="287" t="n">
        <f aca="false">IF(L257=0,0,ROUNDUP(L257/$F$9,0))</f>
        <v>2</v>
      </c>
      <c r="L257" s="285" t="n">
        <f aca="false">IF(J257=0,0,G257*(1-N257)/J257)</f>
        <v>6</v>
      </c>
      <c r="M257" s="283" t="s">
        <v>2288</v>
      </c>
      <c r="N257" s="288" t="n">
        <f aca="false">IFERROR(MIN(1,'P9-016'!$V$85)+0,0)</f>
        <v>0</v>
      </c>
      <c r="O257" s="289" t="n">
        <f aca="false">IF($L257=0,0,$L257*MAX(0,NETWORKDAYS(MAX($H257,ASOF,O$72),MIN(MAX($I257,ASOF),O$72+6),HOLIDAYS)))</f>
        <v>0</v>
      </c>
      <c r="P257" s="289" t="n">
        <f aca="false">IF($L257=0,0,$L257*MAX(0,NETWORKDAYS(MAX($H257,ASOF,P$72),MIN(MAX($I257,ASOF),P$72+6),HOLIDAYS)))</f>
        <v>0</v>
      </c>
      <c r="Q257" s="289" t="n">
        <f aca="false">IF($L257=0,0,$L257*MAX(0,NETWORKDAYS(MAX($H257,ASOF,Q$72),MIN(MAX($I257,ASOF),Q$72+6),HOLIDAYS)))</f>
        <v>24</v>
      </c>
      <c r="R257" s="289" t="n">
        <f aca="false">IF($L257=0,0,$L257*MAX(0,NETWORKDAYS(MAX($H257,ASOF,R$72),MIN(MAX($I257,ASOF),R$72+6),HOLIDAYS)))</f>
        <v>0</v>
      </c>
      <c r="S257" s="289" t="n">
        <f aca="false">IF($L257=0,0,$L257*MAX(0,NETWORKDAYS(MAX($H257,ASOF,S$72),MIN(MAX($I257,ASOF),S$72+6),HOLIDAYS)))</f>
        <v>0</v>
      </c>
      <c r="T257" s="289" t="n">
        <f aca="false">IF($L257=0,0,$L257*MAX(0,NETWORKDAYS(MAX($H257,ASOF,T$72),MIN(MAX($I257,ASOF),T$72+6),HOLIDAYS)))</f>
        <v>0</v>
      </c>
      <c r="U257" s="289" t="n">
        <f aca="false">IF($L257=0,0,$L257*MAX(0,NETWORKDAYS(MAX($H257,ASOF,U$72),MIN(MAX($I257,ASOF),U$72+6),HOLIDAYS)))</f>
        <v>0</v>
      </c>
      <c r="V257" s="289" t="n">
        <f aca="false">IF($L257=0,0,$L257*MAX(0,NETWORKDAYS(MAX($H257,ASOF,V$72),MIN(MAX($I257,ASOF),V$72+6),HOLIDAYS)))</f>
        <v>0</v>
      </c>
      <c r="W257" s="289" t="n">
        <f aca="false">IF($L257=0,0,$L257*MAX(0,NETWORKDAYS(MAX($H257,ASOF,W$72),MIN(MAX($I257,ASOF),W$72+6),HOLIDAYS)))</f>
        <v>0</v>
      </c>
      <c r="X257" s="289" t="n">
        <f aca="false">IF($L257=0,0,$L257*MAX(0,NETWORKDAYS(MAX($H257,ASOF,X$72),MIN(MAX($I257,ASOF),X$72+6),HOLIDAYS)))</f>
        <v>0</v>
      </c>
      <c r="Y257" s="289" t="n">
        <f aca="false">IF($L257=0,0,$L257*MAX(0,NETWORKDAYS(MAX($H257,ASOF,Y$72),MIN(MAX($I257,ASOF),Y$72+6),HOLIDAYS)))</f>
        <v>0</v>
      </c>
      <c r="Z257" s="289" t="n">
        <f aca="false">IF($L257=0,0,$L257*MAX(0,NETWORKDAYS(MAX($H257,ASOF,Z$72),MIN(MAX($I257,ASOF),Z$72+6),HOLIDAYS)))</f>
        <v>0</v>
      </c>
      <c r="AA257" s="289" t="n">
        <f aca="false">IF($L257=0,0,$L257*MAX(0,NETWORKDAYS(MAX($H257,ASOF,AA$72),MIN(MAX($I257,ASOF),AA$72+6),HOLIDAYS)))</f>
        <v>0</v>
      </c>
      <c r="AB257" s="289" t="n">
        <f aca="false">IF($L257=0,0,$L257*MAX(0,NETWORKDAYS(MAX($H257,ASOF,AB$72),MIN(MAX($I257,ASOF),AB$72+6),HOLIDAYS)))</f>
        <v>0</v>
      </c>
      <c r="AC257" s="289" t="n">
        <f aca="false">IF($L257=0,0,$L257*MAX(0,NETWORKDAYS(MAX($H257,ASOF,AC$72),MIN(MAX($I257,ASOF),AC$72+6),HOLIDAYS)))</f>
        <v>0</v>
      </c>
      <c r="AD257" s="289" t="n">
        <f aca="false">IF($L257=0,0,$L257*MAX(0,NETWORKDAYS(MAX($H257,ASOF,AD$72),MIN(MAX($I257,ASOF),AD$72+6),HOLIDAYS)))</f>
        <v>0</v>
      </c>
      <c r="AE257" s="289" t="n">
        <f aca="false">IF($L257=0,0,$L257*MAX(0,NETWORKDAYS(MAX($H257,ASOF,AE$72),MIN(MAX($I257,ASOF),AE$72+6),HOLIDAYS)))</f>
        <v>0</v>
      </c>
      <c r="AF257" s="289" t="n">
        <f aca="false">IF($L257=0,0,$L257*MAX(0,NETWORKDAYS(MAX($H257,ASOF,AF$72),MIN(MAX($I257,ASOF),AF$72+6),HOLIDAYS)))</f>
        <v>0</v>
      </c>
      <c r="AG257" s="289" t="n">
        <f aca="false">IF($L257=0,0,$L257*MAX(0,NETWORKDAYS(MAX($H257,ASOF,AG$72),MIN(MAX($I257,ASOF),AG$72+6),HOLIDAYS)))</f>
        <v>0</v>
      </c>
      <c r="AH257" s="289" t="n">
        <f aca="false">IF($L257=0,0,$L257*MAX(0,NETWORKDAYS(MAX($H257,ASOF,AH$72),MIN(MAX($I257,ASOF),AH$72+6),HOLIDAYS)))</f>
        <v>0</v>
      </c>
      <c r="AI257" s="289" t="n">
        <f aca="false">IF($L257=0,0,$L257*MAX(0,NETWORKDAYS(MAX($H257,ASOF,AI$72),MIN(MAX($I257,ASOF),AI$72+6),HOLIDAYS)))</f>
        <v>0</v>
      </c>
      <c r="AJ257" s="289" t="n">
        <f aca="false">IF($L257=0,0,$L257*MAX(0,NETWORKDAYS(MAX($H257,ASOF,AJ$72),MIN(MAX($I257,ASOF),AJ$72+6),HOLIDAYS)))</f>
        <v>0</v>
      </c>
      <c r="AK257" s="289" t="n">
        <f aca="false">IF($L257=0,0,$L257*MAX(0,NETWORKDAYS(MAX($H257,ASOF,AK$72),MIN(MAX($I257,ASOF),AK$72+6),HOLIDAYS)))</f>
        <v>0</v>
      </c>
      <c r="AL257" s="289" t="n">
        <f aca="false">IF($L257=0,0,$L257*MAX(0,NETWORKDAYS(MAX($H257,ASOF,AL$72),MIN(MAX($I257,ASOF),AL$72+6),HOLIDAYS)))</f>
        <v>0</v>
      </c>
      <c r="AM257" s="289" t="n">
        <f aca="false">IF($L257=0,0,$L257*MAX(0,NETWORKDAYS(MAX($H257,ASOF,AM$72),MIN(MAX($I257,ASOF),AM$72+6),HOLIDAYS)))</f>
        <v>0</v>
      </c>
      <c r="AN257" s="289" t="n">
        <f aca="false">IF($L257=0,0,$L257*MAX(0,NETWORKDAYS(MAX($H257,ASOF,AN$72),MIN(MAX($I257,ASOF),AN$72+6),HOLIDAYS)))</f>
        <v>0</v>
      </c>
      <c r="AO257" s="289" t="n">
        <f aca="false">IF($L257=0,0,$L257*MAX(0,NETWORKDAYS(MAX($H257,ASOF,AO$72),MIN(MAX($I257,ASOF),AO$72+6),HOLIDAYS)))</f>
        <v>0</v>
      </c>
      <c r="AP257" s="289" t="n">
        <f aca="false">IF($L257=0,0,$L257*MAX(0,NETWORKDAYS(MAX($H257,ASOF,AP$72),MIN(MAX($I257,ASOF),AP$72+6),HOLIDAYS)))</f>
        <v>0</v>
      </c>
      <c r="AQ257" s="289" t="n">
        <f aca="false">IF($L257=0,0,$L257*MAX(0,NETWORKDAYS(MAX($H257,ASOF,AQ$72),MIN(MAX($I257,ASOF),AQ$72+6),HOLIDAYS)))</f>
        <v>0</v>
      </c>
      <c r="AR257" s="289" t="n">
        <f aca="false">IF($L257=0,0,$L257*MAX(0,NETWORKDAYS(MAX($H257,ASOF,AR$72),MIN(MAX($I257,ASOF),AR$72+6),HOLIDAYS)))</f>
        <v>0</v>
      </c>
    </row>
    <row r="258" customFormat="false" ht="15" hidden="false" customHeight="false" outlineLevel="1" collapsed="false">
      <c r="A258" s="282" t="s">
        <v>102</v>
      </c>
      <c r="B258" s="283" t="s">
        <v>104</v>
      </c>
      <c r="C258" s="284" t="s">
        <v>2364</v>
      </c>
      <c r="D258" s="284" t="s">
        <v>2284</v>
      </c>
      <c r="E258" s="285" t="n">
        <f aca="false">IFERROR(INDEX(INVS_N,MATCH("P9-016",INVS_ID,0)),2)</f>
        <v>2</v>
      </c>
      <c r="F258" s="290" t="s">
        <v>2365</v>
      </c>
      <c r="G258" s="285" t="n">
        <f aca="false">$F$10*(E258/$G$10+$H$10)</f>
        <v>4.5</v>
      </c>
      <c r="H258" s="286" t="n">
        <f aca="false">IF(ISNUMBER('P9-016'!$N$85),'P9-016'!$N$85,"")</f>
        <v>46343</v>
      </c>
      <c r="I258" s="286" t="n">
        <f aca="false">IF(ISNUMBER('P9-016'!$O$85),'P9-016'!$O$85,"")</f>
        <v>46346</v>
      </c>
      <c r="J258" s="287" t="n">
        <f aca="false">IF(OR(H258="",I258="",N258&gt;=1),0,MAX(1,NETWORKDAYS(MAX(H258,ASOF),MAX(I258,ASOF),HOLIDAYS)))</f>
        <v>4</v>
      </c>
      <c r="K258" s="287" t="n">
        <f aca="false">IF(L258=0,0,ROUNDUP(L258/$F$10,0))</f>
        <v>1</v>
      </c>
      <c r="L258" s="285" t="n">
        <f aca="false">IF(J258=0,0,G258*(1-N258)/J258)</f>
        <v>1.125</v>
      </c>
      <c r="M258" s="283" t="s">
        <v>2293</v>
      </c>
      <c r="N258" s="288" t="n">
        <f aca="false">IFERROR(MIN(1,'P9-016'!$V$85)+0,0)</f>
        <v>0</v>
      </c>
      <c r="O258" s="289" t="n">
        <f aca="false">IF($L258=0,0,$L258*MAX(0,NETWORKDAYS(MAX($H258,ASOF,O$72),MIN(MAX($I258,ASOF),O$72+6),HOLIDAYS)))</f>
        <v>0</v>
      </c>
      <c r="P258" s="289" t="n">
        <f aca="false">IF($L258=0,0,$L258*MAX(0,NETWORKDAYS(MAX($H258,ASOF,P$72),MIN(MAX($I258,ASOF),P$72+6),HOLIDAYS)))</f>
        <v>0</v>
      </c>
      <c r="Q258" s="289" t="n">
        <f aca="false">IF($L258=0,0,$L258*MAX(0,NETWORKDAYS(MAX($H258,ASOF,Q$72),MIN(MAX($I258,ASOF),Q$72+6),HOLIDAYS)))</f>
        <v>4.5</v>
      </c>
      <c r="R258" s="289" t="n">
        <f aca="false">IF($L258=0,0,$L258*MAX(0,NETWORKDAYS(MAX($H258,ASOF,R$72),MIN(MAX($I258,ASOF),R$72+6),HOLIDAYS)))</f>
        <v>0</v>
      </c>
      <c r="S258" s="289" t="n">
        <f aca="false">IF($L258=0,0,$L258*MAX(0,NETWORKDAYS(MAX($H258,ASOF,S$72),MIN(MAX($I258,ASOF),S$72+6),HOLIDAYS)))</f>
        <v>0</v>
      </c>
      <c r="T258" s="289" t="n">
        <f aca="false">IF($L258=0,0,$L258*MAX(0,NETWORKDAYS(MAX($H258,ASOF,T$72),MIN(MAX($I258,ASOF),T$72+6),HOLIDAYS)))</f>
        <v>0</v>
      </c>
      <c r="U258" s="289" t="n">
        <f aca="false">IF($L258=0,0,$L258*MAX(0,NETWORKDAYS(MAX($H258,ASOF,U$72),MIN(MAX($I258,ASOF),U$72+6),HOLIDAYS)))</f>
        <v>0</v>
      </c>
      <c r="V258" s="289" t="n">
        <f aca="false">IF($L258=0,0,$L258*MAX(0,NETWORKDAYS(MAX($H258,ASOF,V$72),MIN(MAX($I258,ASOF),V$72+6),HOLIDAYS)))</f>
        <v>0</v>
      </c>
      <c r="W258" s="289" t="n">
        <f aca="false">IF($L258=0,0,$L258*MAX(0,NETWORKDAYS(MAX($H258,ASOF,W$72),MIN(MAX($I258,ASOF),W$72+6),HOLIDAYS)))</f>
        <v>0</v>
      </c>
      <c r="X258" s="289" t="n">
        <f aca="false">IF($L258=0,0,$L258*MAX(0,NETWORKDAYS(MAX($H258,ASOF,X$72),MIN(MAX($I258,ASOF),X$72+6),HOLIDAYS)))</f>
        <v>0</v>
      </c>
      <c r="Y258" s="289" t="n">
        <f aca="false">IF($L258=0,0,$L258*MAX(0,NETWORKDAYS(MAX($H258,ASOF,Y$72),MIN(MAX($I258,ASOF),Y$72+6),HOLIDAYS)))</f>
        <v>0</v>
      </c>
      <c r="Z258" s="289" t="n">
        <f aca="false">IF($L258=0,0,$L258*MAX(0,NETWORKDAYS(MAX($H258,ASOF,Z$72),MIN(MAX($I258,ASOF),Z$72+6),HOLIDAYS)))</f>
        <v>0</v>
      </c>
      <c r="AA258" s="289" t="n">
        <f aca="false">IF($L258=0,0,$L258*MAX(0,NETWORKDAYS(MAX($H258,ASOF,AA$72),MIN(MAX($I258,ASOF),AA$72+6),HOLIDAYS)))</f>
        <v>0</v>
      </c>
      <c r="AB258" s="289" t="n">
        <f aca="false">IF($L258=0,0,$L258*MAX(0,NETWORKDAYS(MAX($H258,ASOF,AB$72),MIN(MAX($I258,ASOF),AB$72+6),HOLIDAYS)))</f>
        <v>0</v>
      </c>
      <c r="AC258" s="289" t="n">
        <f aca="false">IF($L258=0,0,$L258*MAX(0,NETWORKDAYS(MAX($H258,ASOF,AC$72),MIN(MAX($I258,ASOF),AC$72+6),HOLIDAYS)))</f>
        <v>0</v>
      </c>
      <c r="AD258" s="289" t="n">
        <f aca="false">IF($L258=0,0,$L258*MAX(0,NETWORKDAYS(MAX($H258,ASOF,AD$72),MIN(MAX($I258,ASOF),AD$72+6),HOLIDAYS)))</f>
        <v>0</v>
      </c>
      <c r="AE258" s="289" t="n">
        <f aca="false">IF($L258=0,0,$L258*MAX(0,NETWORKDAYS(MAX($H258,ASOF,AE$72),MIN(MAX($I258,ASOF),AE$72+6),HOLIDAYS)))</f>
        <v>0</v>
      </c>
      <c r="AF258" s="289" t="n">
        <f aca="false">IF($L258=0,0,$L258*MAX(0,NETWORKDAYS(MAX($H258,ASOF,AF$72),MIN(MAX($I258,ASOF),AF$72+6),HOLIDAYS)))</f>
        <v>0</v>
      </c>
      <c r="AG258" s="289" t="n">
        <f aca="false">IF($L258=0,0,$L258*MAX(0,NETWORKDAYS(MAX($H258,ASOF,AG$72),MIN(MAX($I258,ASOF),AG$72+6),HOLIDAYS)))</f>
        <v>0</v>
      </c>
      <c r="AH258" s="289" t="n">
        <f aca="false">IF($L258=0,0,$L258*MAX(0,NETWORKDAYS(MAX($H258,ASOF,AH$72),MIN(MAX($I258,ASOF),AH$72+6),HOLIDAYS)))</f>
        <v>0</v>
      </c>
      <c r="AI258" s="289" t="n">
        <f aca="false">IF($L258=0,0,$L258*MAX(0,NETWORKDAYS(MAX($H258,ASOF,AI$72),MIN(MAX($I258,ASOF),AI$72+6),HOLIDAYS)))</f>
        <v>0</v>
      </c>
      <c r="AJ258" s="289" t="n">
        <f aca="false">IF($L258=0,0,$L258*MAX(0,NETWORKDAYS(MAX($H258,ASOF,AJ$72),MIN(MAX($I258,ASOF),AJ$72+6),HOLIDAYS)))</f>
        <v>0</v>
      </c>
      <c r="AK258" s="289" t="n">
        <f aca="false">IF($L258=0,0,$L258*MAX(0,NETWORKDAYS(MAX($H258,ASOF,AK$72),MIN(MAX($I258,ASOF),AK$72+6),HOLIDAYS)))</f>
        <v>0</v>
      </c>
      <c r="AL258" s="289" t="n">
        <f aca="false">IF($L258=0,0,$L258*MAX(0,NETWORKDAYS(MAX($H258,ASOF,AL$72),MIN(MAX($I258,ASOF),AL$72+6),HOLIDAYS)))</f>
        <v>0</v>
      </c>
      <c r="AM258" s="289" t="n">
        <f aca="false">IF($L258=0,0,$L258*MAX(0,NETWORKDAYS(MAX($H258,ASOF,AM$72),MIN(MAX($I258,ASOF),AM$72+6),HOLIDAYS)))</f>
        <v>0</v>
      </c>
      <c r="AN258" s="289" t="n">
        <f aca="false">IF($L258=0,0,$L258*MAX(0,NETWORKDAYS(MAX($H258,ASOF,AN$72),MIN(MAX($I258,ASOF),AN$72+6),HOLIDAYS)))</f>
        <v>0</v>
      </c>
      <c r="AO258" s="289" t="n">
        <f aca="false">IF($L258=0,0,$L258*MAX(0,NETWORKDAYS(MAX($H258,ASOF,AO$72),MIN(MAX($I258,ASOF),AO$72+6),HOLIDAYS)))</f>
        <v>0</v>
      </c>
      <c r="AP258" s="289" t="n">
        <f aca="false">IF($L258=0,0,$L258*MAX(0,NETWORKDAYS(MAX($H258,ASOF,AP$72),MIN(MAX($I258,ASOF),AP$72+6),HOLIDAYS)))</f>
        <v>0</v>
      </c>
      <c r="AQ258" s="289" t="n">
        <f aca="false">IF($L258=0,0,$L258*MAX(0,NETWORKDAYS(MAX($H258,ASOF,AQ$72),MIN(MAX($I258,ASOF),AQ$72+6),HOLIDAYS)))</f>
        <v>0</v>
      </c>
      <c r="AR258" s="289" t="n">
        <f aca="false">IF($L258=0,0,$L258*MAX(0,NETWORKDAYS(MAX($H258,ASOF,AR$72),MIN(MAX($I258,ASOF),AR$72+6),HOLIDAYS)))</f>
        <v>0</v>
      </c>
    </row>
    <row r="259" customFormat="false" ht="15" hidden="false" customHeight="false" outlineLevel="1" collapsed="false">
      <c r="A259" s="282" t="s">
        <v>102</v>
      </c>
      <c r="B259" s="283" t="s">
        <v>104</v>
      </c>
      <c r="C259" s="284" t="s">
        <v>2366</v>
      </c>
      <c r="D259" s="284" t="s">
        <v>2284</v>
      </c>
      <c r="E259" s="285" t="n">
        <v>1</v>
      </c>
      <c r="F259" s="290" t="s">
        <v>35</v>
      </c>
      <c r="G259" s="285" t="n">
        <f aca="false">$F$11*$H$11</f>
        <v>16</v>
      </c>
      <c r="H259" s="286" t="n">
        <f aca="false">IF(ISNUMBER('P9-016'!$N$90),'P9-016'!$N$90,"")</f>
        <v>46344</v>
      </c>
      <c r="I259" s="286" t="n">
        <f aca="false">IF(ISNUMBER('P9-016'!$O$90),'P9-016'!$O$90,"")</f>
        <v>46347</v>
      </c>
      <c r="J259" s="287" t="n">
        <f aca="false">IF(OR(H259="",I259="",N259&gt;=1),0,MAX(1,NETWORKDAYS(MAX(H259,ASOF),MAX(I259,ASOF),HOLIDAYS)))</f>
        <v>3</v>
      </c>
      <c r="K259" s="287" t="n">
        <f aca="false">IF(L259=0,0,ROUNDUP(L259/$F$11,0))</f>
        <v>2</v>
      </c>
      <c r="L259" s="285" t="n">
        <f aca="false">IF(J259=0,0,G259*(1-N259)/J259)</f>
        <v>5.33333333333333</v>
      </c>
      <c r="M259" s="283" t="s">
        <v>1113</v>
      </c>
      <c r="N259" s="288" t="n">
        <f aca="false">IFERROR(MIN(1,'P9-016'!$V$90)+0,0)</f>
        <v>0</v>
      </c>
      <c r="O259" s="289" t="n">
        <f aca="false">IF($L259=0,0,$L259*MAX(0,NETWORKDAYS(MAX($H259,ASOF,O$72),MIN(MAX($I259,ASOF),O$72+6),HOLIDAYS)))</f>
        <v>0</v>
      </c>
      <c r="P259" s="289" t="n">
        <f aca="false">IF($L259=0,0,$L259*MAX(0,NETWORKDAYS(MAX($H259,ASOF,P$72),MIN(MAX($I259,ASOF),P$72+6),HOLIDAYS)))</f>
        <v>0</v>
      </c>
      <c r="Q259" s="289" t="n">
        <f aca="false">IF($L259=0,0,$L259*MAX(0,NETWORKDAYS(MAX($H259,ASOF,Q$72),MIN(MAX($I259,ASOF),Q$72+6),HOLIDAYS)))</f>
        <v>16</v>
      </c>
      <c r="R259" s="289" t="n">
        <f aca="false">IF($L259=0,0,$L259*MAX(0,NETWORKDAYS(MAX($H259,ASOF,R$72),MIN(MAX($I259,ASOF),R$72+6),HOLIDAYS)))</f>
        <v>0</v>
      </c>
      <c r="S259" s="289" t="n">
        <f aca="false">IF($L259=0,0,$L259*MAX(0,NETWORKDAYS(MAX($H259,ASOF,S$72),MIN(MAX($I259,ASOF),S$72+6),HOLIDAYS)))</f>
        <v>0</v>
      </c>
      <c r="T259" s="289" t="n">
        <f aca="false">IF($L259=0,0,$L259*MAX(0,NETWORKDAYS(MAX($H259,ASOF,T$72),MIN(MAX($I259,ASOF),T$72+6),HOLIDAYS)))</f>
        <v>0</v>
      </c>
      <c r="U259" s="289" t="n">
        <f aca="false">IF($L259=0,0,$L259*MAX(0,NETWORKDAYS(MAX($H259,ASOF,U$72),MIN(MAX($I259,ASOF),U$72+6),HOLIDAYS)))</f>
        <v>0</v>
      </c>
      <c r="V259" s="289" t="n">
        <f aca="false">IF($L259=0,0,$L259*MAX(0,NETWORKDAYS(MAX($H259,ASOF,V$72),MIN(MAX($I259,ASOF),V$72+6),HOLIDAYS)))</f>
        <v>0</v>
      </c>
      <c r="W259" s="289" t="n">
        <f aca="false">IF($L259=0,0,$L259*MAX(0,NETWORKDAYS(MAX($H259,ASOF,W$72),MIN(MAX($I259,ASOF),W$72+6),HOLIDAYS)))</f>
        <v>0</v>
      </c>
      <c r="X259" s="289" t="n">
        <f aca="false">IF($L259=0,0,$L259*MAX(0,NETWORKDAYS(MAX($H259,ASOF,X$72),MIN(MAX($I259,ASOF),X$72+6),HOLIDAYS)))</f>
        <v>0</v>
      </c>
      <c r="Y259" s="289" t="n">
        <f aca="false">IF($L259=0,0,$L259*MAX(0,NETWORKDAYS(MAX($H259,ASOF,Y$72),MIN(MAX($I259,ASOF),Y$72+6),HOLIDAYS)))</f>
        <v>0</v>
      </c>
      <c r="Z259" s="289" t="n">
        <f aca="false">IF($L259=0,0,$L259*MAX(0,NETWORKDAYS(MAX($H259,ASOF,Z$72),MIN(MAX($I259,ASOF),Z$72+6),HOLIDAYS)))</f>
        <v>0</v>
      </c>
      <c r="AA259" s="289" t="n">
        <f aca="false">IF($L259=0,0,$L259*MAX(0,NETWORKDAYS(MAX($H259,ASOF,AA$72),MIN(MAX($I259,ASOF),AA$72+6),HOLIDAYS)))</f>
        <v>0</v>
      </c>
      <c r="AB259" s="289" t="n">
        <f aca="false">IF($L259=0,0,$L259*MAX(0,NETWORKDAYS(MAX($H259,ASOF,AB$72),MIN(MAX($I259,ASOF),AB$72+6),HOLIDAYS)))</f>
        <v>0</v>
      </c>
      <c r="AC259" s="289" t="n">
        <f aca="false">IF($L259=0,0,$L259*MAX(0,NETWORKDAYS(MAX($H259,ASOF,AC$72),MIN(MAX($I259,ASOF),AC$72+6),HOLIDAYS)))</f>
        <v>0</v>
      </c>
      <c r="AD259" s="289" t="n">
        <f aca="false">IF($L259=0,0,$L259*MAX(0,NETWORKDAYS(MAX($H259,ASOF,AD$72),MIN(MAX($I259,ASOF),AD$72+6),HOLIDAYS)))</f>
        <v>0</v>
      </c>
      <c r="AE259" s="289" t="n">
        <f aca="false">IF($L259=0,0,$L259*MAX(0,NETWORKDAYS(MAX($H259,ASOF,AE$72),MIN(MAX($I259,ASOF),AE$72+6),HOLIDAYS)))</f>
        <v>0</v>
      </c>
      <c r="AF259" s="289" t="n">
        <f aca="false">IF($L259=0,0,$L259*MAX(0,NETWORKDAYS(MAX($H259,ASOF,AF$72),MIN(MAX($I259,ASOF),AF$72+6),HOLIDAYS)))</f>
        <v>0</v>
      </c>
      <c r="AG259" s="289" t="n">
        <f aca="false">IF($L259=0,0,$L259*MAX(0,NETWORKDAYS(MAX($H259,ASOF,AG$72),MIN(MAX($I259,ASOF),AG$72+6),HOLIDAYS)))</f>
        <v>0</v>
      </c>
      <c r="AH259" s="289" t="n">
        <f aca="false">IF($L259=0,0,$L259*MAX(0,NETWORKDAYS(MAX($H259,ASOF,AH$72),MIN(MAX($I259,ASOF),AH$72+6),HOLIDAYS)))</f>
        <v>0</v>
      </c>
      <c r="AI259" s="289" t="n">
        <f aca="false">IF($L259=0,0,$L259*MAX(0,NETWORKDAYS(MAX($H259,ASOF,AI$72),MIN(MAX($I259,ASOF),AI$72+6),HOLIDAYS)))</f>
        <v>0</v>
      </c>
      <c r="AJ259" s="289" t="n">
        <f aca="false">IF($L259=0,0,$L259*MAX(0,NETWORKDAYS(MAX($H259,ASOF,AJ$72),MIN(MAX($I259,ASOF),AJ$72+6),HOLIDAYS)))</f>
        <v>0</v>
      </c>
      <c r="AK259" s="289" t="n">
        <f aca="false">IF($L259=0,0,$L259*MAX(0,NETWORKDAYS(MAX($H259,ASOF,AK$72),MIN(MAX($I259,ASOF),AK$72+6),HOLIDAYS)))</f>
        <v>0</v>
      </c>
      <c r="AL259" s="289" t="n">
        <f aca="false">IF($L259=0,0,$L259*MAX(0,NETWORKDAYS(MAX($H259,ASOF,AL$72),MIN(MAX($I259,ASOF),AL$72+6),HOLIDAYS)))</f>
        <v>0</v>
      </c>
      <c r="AM259" s="289" t="n">
        <f aca="false">IF($L259=0,0,$L259*MAX(0,NETWORKDAYS(MAX($H259,ASOF,AM$72),MIN(MAX($I259,ASOF),AM$72+6),HOLIDAYS)))</f>
        <v>0</v>
      </c>
      <c r="AN259" s="289" t="n">
        <f aca="false">IF($L259=0,0,$L259*MAX(0,NETWORKDAYS(MAX($H259,ASOF,AN$72),MIN(MAX($I259,ASOF),AN$72+6),HOLIDAYS)))</f>
        <v>0</v>
      </c>
      <c r="AO259" s="289" t="n">
        <f aca="false">IF($L259=0,0,$L259*MAX(0,NETWORKDAYS(MAX($H259,ASOF,AO$72),MIN(MAX($I259,ASOF),AO$72+6),HOLIDAYS)))</f>
        <v>0</v>
      </c>
      <c r="AP259" s="289" t="n">
        <f aca="false">IF($L259=0,0,$L259*MAX(0,NETWORKDAYS(MAX($H259,ASOF,AP$72),MIN(MAX($I259,ASOF),AP$72+6),HOLIDAYS)))</f>
        <v>0</v>
      </c>
      <c r="AQ259" s="289" t="n">
        <f aca="false">IF($L259=0,0,$L259*MAX(0,NETWORKDAYS(MAX($H259,ASOF,AQ$72),MIN(MAX($I259,ASOF),AQ$72+6),HOLIDAYS)))</f>
        <v>0</v>
      </c>
      <c r="AR259" s="289" t="n">
        <f aca="false">IF($L259=0,0,$L259*MAX(0,NETWORKDAYS(MAX($H259,ASOF,AR$72),MIN(MAX($I259,ASOF),AR$72+6),HOLIDAYS)))</f>
        <v>0</v>
      </c>
    </row>
    <row r="260" customFormat="false" ht="15" hidden="false" customHeight="false" outlineLevel="1" collapsed="false">
      <c r="A260" s="282" t="s">
        <v>102</v>
      </c>
      <c r="B260" s="283" t="s">
        <v>104</v>
      </c>
      <c r="C260" s="284" t="s">
        <v>2367</v>
      </c>
      <c r="D260" s="284" t="s">
        <v>2284</v>
      </c>
      <c r="E260" s="285" t="n">
        <v>1</v>
      </c>
      <c r="F260" s="290" t="s">
        <v>35</v>
      </c>
      <c r="G260" s="285" t="n">
        <f aca="false">$F$12*$H$12</f>
        <v>4</v>
      </c>
      <c r="H260" s="286" t="n">
        <f aca="false">IF(ISNUMBER('P9-016'!$N$96),'P9-016'!$N$96,"")</f>
        <v>46345</v>
      </c>
      <c r="I260" s="286" t="n">
        <f aca="false">IF(ISNUMBER('P9-016'!$O$96),'P9-016'!$O$96,"")</f>
        <v>46347</v>
      </c>
      <c r="J260" s="287" t="n">
        <f aca="false">IF(OR(H260="",I260="",N260&gt;=1),0,MAX(1,NETWORKDAYS(MAX(H260,ASOF),MAX(I260,ASOF),HOLIDAYS)))</f>
        <v>2</v>
      </c>
      <c r="K260" s="287" t="n">
        <f aca="false">IF(L260=0,0,ROUNDUP(L260/$F$12,0))</f>
        <v>1</v>
      </c>
      <c r="L260" s="285" t="n">
        <f aca="false">IF(J260=0,0,G260*(1-N260)/J260)</f>
        <v>2</v>
      </c>
      <c r="M260" s="283" t="s">
        <v>1147</v>
      </c>
      <c r="N260" s="288" t="n">
        <f aca="false">IFERROR(MIN(1,'P9-016'!$V$96)+0,0)</f>
        <v>0</v>
      </c>
      <c r="O260" s="289" t="n">
        <f aca="false">IF($L260=0,0,$L260*MAX(0,NETWORKDAYS(MAX($H260,ASOF,O$72),MIN(MAX($I260,ASOF),O$72+6),HOLIDAYS)))</f>
        <v>0</v>
      </c>
      <c r="P260" s="289" t="n">
        <f aca="false">IF($L260=0,0,$L260*MAX(0,NETWORKDAYS(MAX($H260,ASOF,P$72),MIN(MAX($I260,ASOF),P$72+6),HOLIDAYS)))</f>
        <v>0</v>
      </c>
      <c r="Q260" s="289" t="n">
        <f aca="false">IF($L260=0,0,$L260*MAX(0,NETWORKDAYS(MAX($H260,ASOF,Q$72),MIN(MAX($I260,ASOF),Q$72+6),HOLIDAYS)))</f>
        <v>4</v>
      </c>
      <c r="R260" s="289" t="n">
        <f aca="false">IF($L260=0,0,$L260*MAX(0,NETWORKDAYS(MAX($H260,ASOF,R$72),MIN(MAX($I260,ASOF),R$72+6),HOLIDAYS)))</f>
        <v>0</v>
      </c>
      <c r="S260" s="289" t="n">
        <f aca="false">IF($L260=0,0,$L260*MAX(0,NETWORKDAYS(MAX($H260,ASOF,S$72),MIN(MAX($I260,ASOF),S$72+6),HOLIDAYS)))</f>
        <v>0</v>
      </c>
      <c r="T260" s="289" t="n">
        <f aca="false">IF($L260=0,0,$L260*MAX(0,NETWORKDAYS(MAX($H260,ASOF,T$72),MIN(MAX($I260,ASOF),T$72+6),HOLIDAYS)))</f>
        <v>0</v>
      </c>
      <c r="U260" s="289" t="n">
        <f aca="false">IF($L260=0,0,$L260*MAX(0,NETWORKDAYS(MAX($H260,ASOF,U$72),MIN(MAX($I260,ASOF),U$72+6),HOLIDAYS)))</f>
        <v>0</v>
      </c>
      <c r="V260" s="289" t="n">
        <f aca="false">IF($L260=0,0,$L260*MAX(0,NETWORKDAYS(MAX($H260,ASOF,V$72),MIN(MAX($I260,ASOF),V$72+6),HOLIDAYS)))</f>
        <v>0</v>
      </c>
      <c r="W260" s="289" t="n">
        <f aca="false">IF($L260=0,0,$L260*MAX(0,NETWORKDAYS(MAX($H260,ASOF,W$72),MIN(MAX($I260,ASOF),W$72+6),HOLIDAYS)))</f>
        <v>0</v>
      </c>
      <c r="X260" s="289" t="n">
        <f aca="false">IF($L260=0,0,$L260*MAX(0,NETWORKDAYS(MAX($H260,ASOF,X$72),MIN(MAX($I260,ASOF),X$72+6),HOLIDAYS)))</f>
        <v>0</v>
      </c>
      <c r="Y260" s="289" t="n">
        <f aca="false">IF($L260=0,0,$L260*MAX(0,NETWORKDAYS(MAX($H260,ASOF,Y$72),MIN(MAX($I260,ASOF),Y$72+6),HOLIDAYS)))</f>
        <v>0</v>
      </c>
      <c r="Z260" s="289" t="n">
        <f aca="false">IF($L260=0,0,$L260*MAX(0,NETWORKDAYS(MAX($H260,ASOF,Z$72),MIN(MAX($I260,ASOF),Z$72+6),HOLIDAYS)))</f>
        <v>0</v>
      </c>
      <c r="AA260" s="289" t="n">
        <f aca="false">IF($L260=0,0,$L260*MAX(0,NETWORKDAYS(MAX($H260,ASOF,AA$72),MIN(MAX($I260,ASOF),AA$72+6),HOLIDAYS)))</f>
        <v>0</v>
      </c>
      <c r="AB260" s="289" t="n">
        <f aca="false">IF($L260=0,0,$L260*MAX(0,NETWORKDAYS(MAX($H260,ASOF,AB$72),MIN(MAX($I260,ASOF),AB$72+6),HOLIDAYS)))</f>
        <v>0</v>
      </c>
      <c r="AC260" s="289" t="n">
        <f aca="false">IF($L260=0,0,$L260*MAX(0,NETWORKDAYS(MAX($H260,ASOF,AC$72),MIN(MAX($I260,ASOF),AC$72+6),HOLIDAYS)))</f>
        <v>0</v>
      </c>
      <c r="AD260" s="289" t="n">
        <f aca="false">IF($L260=0,0,$L260*MAX(0,NETWORKDAYS(MAX($H260,ASOF,AD$72),MIN(MAX($I260,ASOF),AD$72+6),HOLIDAYS)))</f>
        <v>0</v>
      </c>
      <c r="AE260" s="289" t="n">
        <f aca="false">IF($L260=0,0,$L260*MAX(0,NETWORKDAYS(MAX($H260,ASOF,AE$72),MIN(MAX($I260,ASOF),AE$72+6),HOLIDAYS)))</f>
        <v>0</v>
      </c>
      <c r="AF260" s="289" t="n">
        <f aca="false">IF($L260=0,0,$L260*MAX(0,NETWORKDAYS(MAX($H260,ASOF,AF$72),MIN(MAX($I260,ASOF),AF$72+6),HOLIDAYS)))</f>
        <v>0</v>
      </c>
      <c r="AG260" s="289" t="n">
        <f aca="false">IF($L260=0,0,$L260*MAX(0,NETWORKDAYS(MAX($H260,ASOF,AG$72),MIN(MAX($I260,ASOF),AG$72+6),HOLIDAYS)))</f>
        <v>0</v>
      </c>
      <c r="AH260" s="289" t="n">
        <f aca="false">IF($L260=0,0,$L260*MAX(0,NETWORKDAYS(MAX($H260,ASOF,AH$72),MIN(MAX($I260,ASOF),AH$72+6),HOLIDAYS)))</f>
        <v>0</v>
      </c>
      <c r="AI260" s="289" t="n">
        <f aca="false">IF($L260=0,0,$L260*MAX(0,NETWORKDAYS(MAX($H260,ASOF,AI$72),MIN(MAX($I260,ASOF),AI$72+6),HOLIDAYS)))</f>
        <v>0</v>
      </c>
      <c r="AJ260" s="289" t="n">
        <f aca="false">IF($L260=0,0,$L260*MAX(0,NETWORKDAYS(MAX($H260,ASOF,AJ$72),MIN(MAX($I260,ASOF),AJ$72+6),HOLIDAYS)))</f>
        <v>0</v>
      </c>
      <c r="AK260" s="289" t="n">
        <f aca="false">IF($L260=0,0,$L260*MAX(0,NETWORKDAYS(MAX($H260,ASOF,AK$72),MIN(MAX($I260,ASOF),AK$72+6),HOLIDAYS)))</f>
        <v>0</v>
      </c>
      <c r="AL260" s="289" t="n">
        <f aca="false">IF($L260=0,0,$L260*MAX(0,NETWORKDAYS(MAX($H260,ASOF,AL$72),MIN(MAX($I260,ASOF),AL$72+6),HOLIDAYS)))</f>
        <v>0</v>
      </c>
      <c r="AM260" s="289" t="n">
        <f aca="false">IF($L260=0,0,$L260*MAX(0,NETWORKDAYS(MAX($H260,ASOF,AM$72),MIN(MAX($I260,ASOF),AM$72+6),HOLIDAYS)))</f>
        <v>0</v>
      </c>
      <c r="AN260" s="289" t="n">
        <f aca="false">IF($L260=0,0,$L260*MAX(0,NETWORKDAYS(MAX($H260,ASOF,AN$72),MIN(MAX($I260,ASOF),AN$72+6),HOLIDAYS)))</f>
        <v>0</v>
      </c>
      <c r="AO260" s="289" t="n">
        <f aca="false">IF($L260=0,0,$L260*MAX(0,NETWORKDAYS(MAX($H260,ASOF,AO$72),MIN(MAX($I260,ASOF),AO$72+6),HOLIDAYS)))</f>
        <v>0</v>
      </c>
      <c r="AP260" s="289" t="n">
        <f aca="false">IF($L260=0,0,$L260*MAX(0,NETWORKDAYS(MAX($H260,ASOF,AP$72),MIN(MAX($I260,ASOF),AP$72+6),HOLIDAYS)))</f>
        <v>0</v>
      </c>
      <c r="AQ260" s="289" t="n">
        <f aca="false">IF($L260=0,0,$L260*MAX(0,NETWORKDAYS(MAX($H260,ASOF,AQ$72),MIN(MAX($I260,ASOF),AQ$72+6),HOLIDAYS)))</f>
        <v>0</v>
      </c>
      <c r="AR260" s="289" t="n">
        <f aca="false">IF($L260=0,0,$L260*MAX(0,NETWORKDAYS(MAX($H260,ASOF,AR$72),MIN(MAX($I260,ASOF),AR$72+6),HOLIDAYS)))</f>
        <v>0</v>
      </c>
    </row>
    <row r="261" customFormat="false" ht="15" hidden="false" customHeight="false" outlineLevel="1" collapsed="false">
      <c r="A261" s="282" t="s">
        <v>102</v>
      </c>
      <c r="B261" s="283" t="s">
        <v>104</v>
      </c>
      <c r="C261" s="284" t="s">
        <v>2371</v>
      </c>
      <c r="D261" s="284" t="s">
        <v>2284</v>
      </c>
      <c r="E261" s="285" t="n">
        <v>1</v>
      </c>
      <c r="F261" s="290" t="s">
        <v>35</v>
      </c>
      <c r="G261" s="285" t="n">
        <f aca="false">$F$14*$H$14</f>
        <v>3</v>
      </c>
      <c r="H261" s="286" t="n">
        <f aca="false">IF(ISNUMBER('P9-016'!$N$100),'P9-016'!$N$100,"")</f>
        <v>46346</v>
      </c>
      <c r="I261" s="286" t="n">
        <f aca="false">IF(ISNUMBER('P9-016'!$O$100),'P9-016'!$O$100,"")</f>
        <v>46348</v>
      </c>
      <c r="J261" s="287" t="n">
        <f aca="false">IF(OR(H261="",I261="",N261&gt;=1),0,MAX(1,NETWORKDAYS(MAX(H261,ASOF),MAX(I261,ASOF),HOLIDAYS)))</f>
        <v>1</v>
      </c>
      <c r="K261" s="287" t="n">
        <f aca="false">IF(L261=0,0,ROUNDUP(L261/$F$14,0))</f>
        <v>2</v>
      </c>
      <c r="L261" s="285" t="n">
        <f aca="false">IF(J261=0,0,G261*(1-N261)/J261)</f>
        <v>3</v>
      </c>
      <c r="M261" s="283" t="s">
        <v>2304</v>
      </c>
      <c r="N261" s="288" t="n">
        <f aca="false">IFERROR(MIN(1,'P9-016'!$V$100)+0,0)</f>
        <v>0</v>
      </c>
      <c r="O261" s="289" t="n">
        <f aca="false">IF($L261=0,0,$L261*MAX(0,NETWORKDAYS(MAX($H261,ASOF,O$72),MIN(MAX($I261,ASOF),O$72+6),HOLIDAYS)))</f>
        <v>0</v>
      </c>
      <c r="P261" s="289" t="n">
        <f aca="false">IF($L261=0,0,$L261*MAX(0,NETWORKDAYS(MAX($H261,ASOF,P$72),MIN(MAX($I261,ASOF),P$72+6),HOLIDAYS)))</f>
        <v>0</v>
      </c>
      <c r="Q261" s="289" t="n">
        <f aca="false">IF($L261=0,0,$L261*MAX(0,NETWORKDAYS(MAX($H261,ASOF,Q$72),MIN(MAX($I261,ASOF),Q$72+6),HOLIDAYS)))</f>
        <v>3</v>
      </c>
      <c r="R261" s="289" t="n">
        <f aca="false">IF($L261=0,0,$L261*MAX(0,NETWORKDAYS(MAX($H261,ASOF,R$72),MIN(MAX($I261,ASOF),R$72+6),HOLIDAYS)))</f>
        <v>0</v>
      </c>
      <c r="S261" s="289" t="n">
        <f aca="false">IF($L261=0,0,$L261*MAX(0,NETWORKDAYS(MAX($H261,ASOF,S$72),MIN(MAX($I261,ASOF),S$72+6),HOLIDAYS)))</f>
        <v>0</v>
      </c>
      <c r="T261" s="289" t="n">
        <f aca="false">IF($L261=0,0,$L261*MAX(0,NETWORKDAYS(MAX($H261,ASOF,T$72),MIN(MAX($I261,ASOF),T$72+6),HOLIDAYS)))</f>
        <v>0</v>
      </c>
      <c r="U261" s="289" t="n">
        <f aca="false">IF($L261=0,0,$L261*MAX(0,NETWORKDAYS(MAX($H261,ASOF,U$72),MIN(MAX($I261,ASOF),U$72+6),HOLIDAYS)))</f>
        <v>0</v>
      </c>
      <c r="V261" s="289" t="n">
        <f aca="false">IF($L261=0,0,$L261*MAX(0,NETWORKDAYS(MAX($H261,ASOF,V$72),MIN(MAX($I261,ASOF),V$72+6),HOLIDAYS)))</f>
        <v>0</v>
      </c>
      <c r="W261" s="289" t="n">
        <f aca="false">IF($L261=0,0,$L261*MAX(0,NETWORKDAYS(MAX($H261,ASOF,W$72),MIN(MAX($I261,ASOF),W$72+6),HOLIDAYS)))</f>
        <v>0</v>
      </c>
      <c r="X261" s="289" t="n">
        <f aca="false">IF($L261=0,0,$L261*MAX(0,NETWORKDAYS(MAX($H261,ASOF,X$72),MIN(MAX($I261,ASOF),X$72+6),HOLIDAYS)))</f>
        <v>0</v>
      </c>
      <c r="Y261" s="289" t="n">
        <f aca="false">IF($L261=0,0,$L261*MAX(0,NETWORKDAYS(MAX($H261,ASOF,Y$72),MIN(MAX($I261,ASOF),Y$72+6),HOLIDAYS)))</f>
        <v>0</v>
      </c>
      <c r="Z261" s="289" t="n">
        <f aca="false">IF($L261=0,0,$L261*MAX(0,NETWORKDAYS(MAX($H261,ASOF,Z$72),MIN(MAX($I261,ASOF),Z$72+6),HOLIDAYS)))</f>
        <v>0</v>
      </c>
      <c r="AA261" s="289" t="n">
        <f aca="false">IF($L261=0,0,$L261*MAX(0,NETWORKDAYS(MAX($H261,ASOF,AA$72),MIN(MAX($I261,ASOF),AA$72+6),HOLIDAYS)))</f>
        <v>0</v>
      </c>
      <c r="AB261" s="289" t="n">
        <f aca="false">IF($L261=0,0,$L261*MAX(0,NETWORKDAYS(MAX($H261,ASOF,AB$72),MIN(MAX($I261,ASOF),AB$72+6),HOLIDAYS)))</f>
        <v>0</v>
      </c>
      <c r="AC261" s="289" t="n">
        <f aca="false">IF($L261=0,0,$L261*MAX(0,NETWORKDAYS(MAX($H261,ASOF,AC$72),MIN(MAX($I261,ASOF),AC$72+6),HOLIDAYS)))</f>
        <v>0</v>
      </c>
      <c r="AD261" s="289" t="n">
        <f aca="false">IF($L261=0,0,$L261*MAX(0,NETWORKDAYS(MAX($H261,ASOF,AD$72),MIN(MAX($I261,ASOF),AD$72+6),HOLIDAYS)))</f>
        <v>0</v>
      </c>
      <c r="AE261" s="289" t="n">
        <f aca="false">IF($L261=0,0,$L261*MAX(0,NETWORKDAYS(MAX($H261,ASOF,AE$72),MIN(MAX($I261,ASOF),AE$72+6),HOLIDAYS)))</f>
        <v>0</v>
      </c>
      <c r="AF261" s="289" t="n">
        <f aca="false">IF($L261=0,0,$L261*MAX(0,NETWORKDAYS(MAX($H261,ASOF,AF$72),MIN(MAX($I261,ASOF),AF$72+6),HOLIDAYS)))</f>
        <v>0</v>
      </c>
      <c r="AG261" s="289" t="n">
        <f aca="false">IF($L261=0,0,$L261*MAX(0,NETWORKDAYS(MAX($H261,ASOF,AG$72),MIN(MAX($I261,ASOF),AG$72+6),HOLIDAYS)))</f>
        <v>0</v>
      </c>
      <c r="AH261" s="289" t="n">
        <f aca="false">IF($L261=0,0,$L261*MAX(0,NETWORKDAYS(MAX($H261,ASOF,AH$72),MIN(MAX($I261,ASOF),AH$72+6),HOLIDAYS)))</f>
        <v>0</v>
      </c>
      <c r="AI261" s="289" t="n">
        <f aca="false">IF($L261=0,0,$L261*MAX(0,NETWORKDAYS(MAX($H261,ASOF,AI$72),MIN(MAX($I261,ASOF),AI$72+6),HOLIDAYS)))</f>
        <v>0</v>
      </c>
      <c r="AJ261" s="289" t="n">
        <f aca="false">IF($L261=0,0,$L261*MAX(0,NETWORKDAYS(MAX($H261,ASOF,AJ$72),MIN(MAX($I261,ASOF),AJ$72+6),HOLIDAYS)))</f>
        <v>0</v>
      </c>
      <c r="AK261" s="289" t="n">
        <f aca="false">IF($L261=0,0,$L261*MAX(0,NETWORKDAYS(MAX($H261,ASOF,AK$72),MIN(MAX($I261,ASOF),AK$72+6),HOLIDAYS)))</f>
        <v>0</v>
      </c>
      <c r="AL261" s="289" t="n">
        <f aca="false">IF($L261=0,0,$L261*MAX(0,NETWORKDAYS(MAX($H261,ASOF,AL$72),MIN(MAX($I261,ASOF),AL$72+6),HOLIDAYS)))</f>
        <v>0</v>
      </c>
      <c r="AM261" s="289" t="n">
        <f aca="false">IF($L261=0,0,$L261*MAX(0,NETWORKDAYS(MAX($H261,ASOF,AM$72),MIN(MAX($I261,ASOF),AM$72+6),HOLIDAYS)))</f>
        <v>0</v>
      </c>
      <c r="AN261" s="289" t="n">
        <f aca="false">IF($L261=0,0,$L261*MAX(0,NETWORKDAYS(MAX($H261,ASOF,AN$72),MIN(MAX($I261,ASOF),AN$72+6),HOLIDAYS)))</f>
        <v>0</v>
      </c>
      <c r="AO261" s="289" t="n">
        <f aca="false">IF($L261=0,0,$L261*MAX(0,NETWORKDAYS(MAX($H261,ASOF,AO$72),MIN(MAX($I261,ASOF),AO$72+6),HOLIDAYS)))</f>
        <v>0</v>
      </c>
      <c r="AP261" s="289" t="n">
        <f aca="false">IF($L261=0,0,$L261*MAX(0,NETWORKDAYS(MAX($H261,ASOF,AP$72),MIN(MAX($I261,ASOF),AP$72+6),HOLIDAYS)))</f>
        <v>0</v>
      </c>
      <c r="AQ261" s="289" t="n">
        <f aca="false">IF($L261=0,0,$L261*MAX(0,NETWORKDAYS(MAX($H261,ASOF,AQ$72),MIN(MAX($I261,ASOF),AQ$72+6),HOLIDAYS)))</f>
        <v>0</v>
      </c>
      <c r="AR261" s="289" t="n">
        <f aca="false">IF($L261=0,0,$L261*MAX(0,NETWORKDAYS(MAX($H261,ASOF,AR$72),MIN(MAX($I261,ASOF),AR$72+6),HOLIDAYS)))</f>
        <v>0</v>
      </c>
    </row>
    <row r="262" customFormat="false" ht="15" hidden="false" customHeight="false" outlineLevel="1" collapsed="false">
      <c r="A262" s="282" t="s">
        <v>102</v>
      </c>
      <c r="B262" s="283" t="s">
        <v>104</v>
      </c>
      <c r="C262" s="282" t="s">
        <v>1198</v>
      </c>
      <c r="D262" s="284" t="s">
        <v>2284</v>
      </c>
      <c r="E262" s="285" t="n">
        <v>1</v>
      </c>
      <c r="F262" s="290" t="s">
        <v>35</v>
      </c>
      <c r="G262" s="285" t="n">
        <f aca="false">$F$15*$H$15</f>
        <v>2</v>
      </c>
      <c r="H262" s="286" t="n">
        <f aca="false">IF(ISNUMBER('P9-016'!$N$107),'P9-016'!$N$107,"")</f>
        <v>46347</v>
      </c>
      <c r="I262" s="286" t="n">
        <f aca="false">IF(ISNUMBER('P9-016'!$O$107),'P9-016'!$O$107,"")</f>
        <v>46348</v>
      </c>
      <c r="J262" s="287" t="n">
        <f aca="false">IF(OR(H262="",I262="",N262&gt;=1),0,MAX(1,NETWORKDAYS(MAX(H262,ASOF),MAX(I262,ASOF),HOLIDAYS)))</f>
        <v>1</v>
      </c>
      <c r="K262" s="287" t="n">
        <f aca="false">IF(L262=0,0,ROUNDUP(L262/$F$15,0))</f>
        <v>1</v>
      </c>
      <c r="L262" s="285" t="n">
        <f aca="false">IF(J262=0,0,G262*(1-N262)/J262)</f>
        <v>2</v>
      </c>
      <c r="M262" s="283" t="s">
        <v>1192</v>
      </c>
      <c r="N262" s="288" t="n">
        <f aca="false">IFERROR(MIN(1,'P9-016'!$V$107)+0,0)</f>
        <v>0</v>
      </c>
      <c r="O262" s="289" t="n">
        <f aca="false">IF($L262=0,0,$L262*MAX(0,NETWORKDAYS(MAX($H262,ASOF,O$72),MIN(MAX($I262,ASOF),O$72+6),HOLIDAYS)))</f>
        <v>0</v>
      </c>
      <c r="P262" s="289" t="n">
        <f aca="false">IF($L262=0,0,$L262*MAX(0,NETWORKDAYS(MAX($H262,ASOF,P$72),MIN(MAX($I262,ASOF),P$72+6),HOLIDAYS)))</f>
        <v>0</v>
      </c>
      <c r="Q262" s="289" t="n">
        <f aca="false">IF($L262=0,0,$L262*MAX(0,NETWORKDAYS(MAX($H262,ASOF,Q$72),MIN(MAX($I262,ASOF),Q$72+6),HOLIDAYS)))</f>
        <v>0</v>
      </c>
      <c r="R262" s="289" t="n">
        <f aca="false">IF($L262=0,0,$L262*MAX(0,NETWORKDAYS(MAX($H262,ASOF,R$72),MIN(MAX($I262,ASOF),R$72+6),HOLIDAYS)))</f>
        <v>0</v>
      </c>
      <c r="S262" s="289" t="n">
        <f aca="false">IF($L262=0,0,$L262*MAX(0,NETWORKDAYS(MAX($H262,ASOF,S$72),MIN(MAX($I262,ASOF),S$72+6),HOLIDAYS)))</f>
        <v>0</v>
      </c>
      <c r="T262" s="289" t="n">
        <f aca="false">IF($L262=0,0,$L262*MAX(0,NETWORKDAYS(MAX($H262,ASOF,T$72),MIN(MAX($I262,ASOF),T$72+6),HOLIDAYS)))</f>
        <v>0</v>
      </c>
      <c r="U262" s="289" t="n">
        <f aca="false">IF($L262=0,0,$L262*MAX(0,NETWORKDAYS(MAX($H262,ASOF,U$72),MIN(MAX($I262,ASOF),U$72+6),HOLIDAYS)))</f>
        <v>0</v>
      </c>
      <c r="V262" s="289" t="n">
        <f aca="false">IF($L262=0,0,$L262*MAX(0,NETWORKDAYS(MAX($H262,ASOF,V$72),MIN(MAX($I262,ASOF),V$72+6),HOLIDAYS)))</f>
        <v>0</v>
      </c>
      <c r="W262" s="289" t="n">
        <f aca="false">IF($L262=0,0,$L262*MAX(0,NETWORKDAYS(MAX($H262,ASOF,W$72),MIN(MAX($I262,ASOF),W$72+6),HOLIDAYS)))</f>
        <v>0</v>
      </c>
      <c r="X262" s="289" t="n">
        <f aca="false">IF($L262=0,0,$L262*MAX(0,NETWORKDAYS(MAX($H262,ASOF,X$72),MIN(MAX($I262,ASOF),X$72+6),HOLIDAYS)))</f>
        <v>0</v>
      </c>
      <c r="Y262" s="289" t="n">
        <f aca="false">IF($L262=0,0,$L262*MAX(0,NETWORKDAYS(MAX($H262,ASOF,Y$72),MIN(MAX($I262,ASOF),Y$72+6),HOLIDAYS)))</f>
        <v>0</v>
      </c>
      <c r="Z262" s="289" t="n">
        <f aca="false">IF($L262=0,0,$L262*MAX(0,NETWORKDAYS(MAX($H262,ASOF,Z$72),MIN(MAX($I262,ASOF),Z$72+6),HOLIDAYS)))</f>
        <v>0</v>
      </c>
      <c r="AA262" s="289" t="n">
        <f aca="false">IF($L262=0,0,$L262*MAX(0,NETWORKDAYS(MAX($H262,ASOF,AA$72),MIN(MAX($I262,ASOF),AA$72+6),HOLIDAYS)))</f>
        <v>0</v>
      </c>
      <c r="AB262" s="289" t="n">
        <f aca="false">IF($L262=0,0,$L262*MAX(0,NETWORKDAYS(MAX($H262,ASOF,AB$72),MIN(MAX($I262,ASOF),AB$72+6),HOLIDAYS)))</f>
        <v>0</v>
      </c>
      <c r="AC262" s="289" t="n">
        <f aca="false">IF($L262=0,0,$L262*MAX(0,NETWORKDAYS(MAX($H262,ASOF,AC$72),MIN(MAX($I262,ASOF),AC$72+6),HOLIDAYS)))</f>
        <v>0</v>
      </c>
      <c r="AD262" s="289" t="n">
        <f aca="false">IF($L262=0,0,$L262*MAX(0,NETWORKDAYS(MAX($H262,ASOF,AD$72),MIN(MAX($I262,ASOF),AD$72+6),HOLIDAYS)))</f>
        <v>0</v>
      </c>
      <c r="AE262" s="289" t="n">
        <f aca="false">IF($L262=0,0,$L262*MAX(0,NETWORKDAYS(MAX($H262,ASOF,AE$72),MIN(MAX($I262,ASOF),AE$72+6),HOLIDAYS)))</f>
        <v>0</v>
      </c>
      <c r="AF262" s="289" t="n">
        <f aca="false">IF($L262=0,0,$L262*MAX(0,NETWORKDAYS(MAX($H262,ASOF,AF$72),MIN(MAX($I262,ASOF),AF$72+6),HOLIDAYS)))</f>
        <v>0</v>
      </c>
      <c r="AG262" s="289" t="n">
        <f aca="false">IF($L262=0,0,$L262*MAX(0,NETWORKDAYS(MAX($H262,ASOF,AG$72),MIN(MAX($I262,ASOF),AG$72+6),HOLIDAYS)))</f>
        <v>0</v>
      </c>
      <c r="AH262" s="289" t="n">
        <f aca="false">IF($L262=0,0,$L262*MAX(0,NETWORKDAYS(MAX($H262,ASOF,AH$72),MIN(MAX($I262,ASOF),AH$72+6),HOLIDAYS)))</f>
        <v>0</v>
      </c>
      <c r="AI262" s="289" t="n">
        <f aca="false">IF($L262=0,0,$L262*MAX(0,NETWORKDAYS(MAX($H262,ASOF,AI$72),MIN(MAX($I262,ASOF),AI$72+6),HOLIDAYS)))</f>
        <v>0</v>
      </c>
      <c r="AJ262" s="289" t="n">
        <f aca="false">IF($L262=0,0,$L262*MAX(0,NETWORKDAYS(MAX($H262,ASOF,AJ$72),MIN(MAX($I262,ASOF),AJ$72+6),HOLIDAYS)))</f>
        <v>0</v>
      </c>
      <c r="AK262" s="289" t="n">
        <f aca="false">IF($L262=0,0,$L262*MAX(0,NETWORKDAYS(MAX($H262,ASOF,AK$72),MIN(MAX($I262,ASOF),AK$72+6),HOLIDAYS)))</f>
        <v>0</v>
      </c>
      <c r="AL262" s="289" t="n">
        <f aca="false">IF($L262=0,0,$L262*MAX(0,NETWORKDAYS(MAX($H262,ASOF,AL$72),MIN(MAX($I262,ASOF),AL$72+6),HOLIDAYS)))</f>
        <v>0</v>
      </c>
      <c r="AM262" s="289" t="n">
        <f aca="false">IF($L262=0,0,$L262*MAX(0,NETWORKDAYS(MAX($H262,ASOF,AM$72),MIN(MAX($I262,ASOF),AM$72+6),HOLIDAYS)))</f>
        <v>0</v>
      </c>
      <c r="AN262" s="289" t="n">
        <f aca="false">IF($L262=0,0,$L262*MAX(0,NETWORKDAYS(MAX($H262,ASOF,AN$72),MIN(MAX($I262,ASOF),AN$72+6),HOLIDAYS)))</f>
        <v>0</v>
      </c>
      <c r="AO262" s="289" t="n">
        <f aca="false">IF($L262=0,0,$L262*MAX(0,NETWORKDAYS(MAX($H262,ASOF,AO$72),MIN(MAX($I262,ASOF),AO$72+6),HOLIDAYS)))</f>
        <v>0</v>
      </c>
      <c r="AP262" s="289" t="n">
        <f aca="false">IF($L262=0,0,$L262*MAX(0,NETWORKDAYS(MAX($H262,ASOF,AP$72),MIN(MAX($I262,ASOF),AP$72+6),HOLIDAYS)))</f>
        <v>0</v>
      </c>
      <c r="AQ262" s="289" t="n">
        <f aca="false">IF($L262=0,0,$L262*MAX(0,NETWORKDAYS(MAX($H262,ASOF,AQ$72),MIN(MAX($I262,ASOF),AQ$72+6),HOLIDAYS)))</f>
        <v>0</v>
      </c>
      <c r="AR262" s="289" t="n">
        <f aca="false">IF($L262=0,0,$L262*MAX(0,NETWORKDAYS(MAX($H262,ASOF,AR$72),MIN(MAX($I262,ASOF),AR$72+6),HOLIDAYS)))</f>
        <v>0</v>
      </c>
    </row>
    <row r="263" customFormat="false" ht="15" hidden="false" customHeight="false" outlineLevel="1" collapsed="false">
      <c r="A263" s="282" t="s">
        <v>102</v>
      </c>
      <c r="B263" s="283" t="s">
        <v>104</v>
      </c>
      <c r="C263" s="284" t="s">
        <v>2369</v>
      </c>
      <c r="D263" s="284" t="s">
        <v>2308</v>
      </c>
      <c r="E263" s="285" t="n">
        <v>280.44</v>
      </c>
      <c r="F263" s="283" t="s">
        <v>527</v>
      </c>
      <c r="G263" s="285" t="n">
        <f aca="false">$F$16*(E263/$G$16+$H$16)</f>
        <v>14.4132</v>
      </c>
      <c r="H263" s="286" t="n">
        <f aca="false">IF(ISNUMBER('P9-016'!$N$115),'P9-016'!$N$115,"")</f>
        <v>46359</v>
      </c>
      <c r="I263" s="286" t="n">
        <f aca="false">IF(ISNUMBER('P9-016'!$O$115),'P9-016'!$O$115,"")</f>
        <v>46359</v>
      </c>
      <c r="J263" s="287" t="n">
        <f aca="false">IF(OR(H263="",I263="",N263&gt;=1),0,MAX(1,NETWORKDAYS(MAX(H263,ASOF),MAX(I263,ASOF),HOLIDAYS)))</f>
        <v>1</v>
      </c>
      <c r="K263" s="287" t="n">
        <f aca="false">IF(L263=0,0,ROUNDUP(L263/$F$16,0))</f>
        <v>5</v>
      </c>
      <c r="L263" s="285" t="n">
        <f aca="false">IF(J263=0,0,G263*(1-N263)/J263)</f>
        <v>14.4132</v>
      </c>
      <c r="M263" s="283" t="s">
        <v>1205</v>
      </c>
      <c r="N263" s="288" t="n">
        <f aca="false">IFERROR(MIN(1,'P9-016'!$V$115)+0,0)</f>
        <v>0</v>
      </c>
      <c r="O263" s="289" t="n">
        <f aca="false">IF($L263=0,0,$L263*MAX(0,NETWORKDAYS(MAX($H263,ASOF,O$72),MIN(MAX($I263,ASOF),O$72+6),HOLIDAYS)))</f>
        <v>0</v>
      </c>
      <c r="P263" s="289" t="n">
        <f aca="false">IF($L263=0,0,$L263*MAX(0,NETWORKDAYS(MAX($H263,ASOF,P$72),MIN(MAX($I263,ASOF),P$72+6),HOLIDAYS)))</f>
        <v>0</v>
      </c>
      <c r="Q263" s="289" t="n">
        <f aca="false">IF($L263=0,0,$L263*MAX(0,NETWORKDAYS(MAX($H263,ASOF,Q$72),MIN(MAX($I263,ASOF),Q$72+6),HOLIDAYS)))</f>
        <v>0</v>
      </c>
      <c r="R263" s="289" t="n">
        <f aca="false">IF($L263=0,0,$L263*MAX(0,NETWORKDAYS(MAX($H263,ASOF,R$72),MIN(MAX($I263,ASOF),R$72+6),HOLIDAYS)))</f>
        <v>0</v>
      </c>
      <c r="S263" s="289" t="n">
        <f aca="false">IF($L263=0,0,$L263*MAX(0,NETWORKDAYS(MAX($H263,ASOF,S$72),MIN(MAX($I263,ASOF),S$72+6),HOLIDAYS)))</f>
        <v>14.4132</v>
      </c>
      <c r="T263" s="289" t="n">
        <f aca="false">IF($L263=0,0,$L263*MAX(0,NETWORKDAYS(MAX($H263,ASOF,T$72),MIN(MAX($I263,ASOF),T$72+6),HOLIDAYS)))</f>
        <v>0</v>
      </c>
      <c r="U263" s="289" t="n">
        <f aca="false">IF($L263=0,0,$L263*MAX(0,NETWORKDAYS(MAX($H263,ASOF,U$72),MIN(MAX($I263,ASOF),U$72+6),HOLIDAYS)))</f>
        <v>0</v>
      </c>
      <c r="V263" s="289" t="n">
        <f aca="false">IF($L263=0,0,$L263*MAX(0,NETWORKDAYS(MAX($H263,ASOF,V$72),MIN(MAX($I263,ASOF),V$72+6),HOLIDAYS)))</f>
        <v>0</v>
      </c>
      <c r="W263" s="289" t="n">
        <f aca="false">IF($L263=0,0,$L263*MAX(0,NETWORKDAYS(MAX($H263,ASOF,W$72),MIN(MAX($I263,ASOF),W$72+6),HOLIDAYS)))</f>
        <v>0</v>
      </c>
      <c r="X263" s="289" t="n">
        <f aca="false">IF($L263=0,0,$L263*MAX(0,NETWORKDAYS(MAX($H263,ASOF,X$72),MIN(MAX($I263,ASOF),X$72+6),HOLIDAYS)))</f>
        <v>0</v>
      </c>
      <c r="Y263" s="289" t="n">
        <f aca="false">IF($L263=0,0,$L263*MAX(0,NETWORKDAYS(MAX($H263,ASOF,Y$72),MIN(MAX($I263,ASOF),Y$72+6),HOLIDAYS)))</f>
        <v>0</v>
      </c>
      <c r="Z263" s="289" t="n">
        <f aca="false">IF($L263=0,0,$L263*MAX(0,NETWORKDAYS(MAX($H263,ASOF,Z$72),MIN(MAX($I263,ASOF),Z$72+6),HOLIDAYS)))</f>
        <v>0</v>
      </c>
      <c r="AA263" s="289" t="n">
        <f aca="false">IF($L263=0,0,$L263*MAX(0,NETWORKDAYS(MAX($H263,ASOF,AA$72),MIN(MAX($I263,ASOF),AA$72+6),HOLIDAYS)))</f>
        <v>0</v>
      </c>
      <c r="AB263" s="289" t="n">
        <f aca="false">IF($L263=0,0,$L263*MAX(0,NETWORKDAYS(MAX($H263,ASOF,AB$72),MIN(MAX($I263,ASOF),AB$72+6),HOLIDAYS)))</f>
        <v>0</v>
      </c>
      <c r="AC263" s="289" t="n">
        <f aca="false">IF($L263=0,0,$L263*MAX(0,NETWORKDAYS(MAX($H263,ASOF,AC$72),MIN(MAX($I263,ASOF),AC$72+6),HOLIDAYS)))</f>
        <v>0</v>
      </c>
      <c r="AD263" s="289" t="n">
        <f aca="false">IF($L263=0,0,$L263*MAX(0,NETWORKDAYS(MAX($H263,ASOF,AD$72),MIN(MAX($I263,ASOF),AD$72+6),HOLIDAYS)))</f>
        <v>0</v>
      </c>
      <c r="AE263" s="289" t="n">
        <f aca="false">IF($L263=0,0,$L263*MAX(0,NETWORKDAYS(MAX($H263,ASOF,AE$72),MIN(MAX($I263,ASOF),AE$72+6),HOLIDAYS)))</f>
        <v>0</v>
      </c>
      <c r="AF263" s="289" t="n">
        <f aca="false">IF($L263=0,0,$L263*MAX(0,NETWORKDAYS(MAX($H263,ASOF,AF$72),MIN(MAX($I263,ASOF),AF$72+6),HOLIDAYS)))</f>
        <v>0</v>
      </c>
      <c r="AG263" s="289" t="n">
        <f aca="false">IF($L263=0,0,$L263*MAX(0,NETWORKDAYS(MAX($H263,ASOF,AG$72),MIN(MAX($I263,ASOF),AG$72+6),HOLIDAYS)))</f>
        <v>0</v>
      </c>
      <c r="AH263" s="289" t="n">
        <f aca="false">IF($L263=0,0,$L263*MAX(0,NETWORKDAYS(MAX($H263,ASOF,AH$72),MIN(MAX($I263,ASOF),AH$72+6),HOLIDAYS)))</f>
        <v>0</v>
      </c>
      <c r="AI263" s="289" t="n">
        <f aca="false">IF($L263=0,0,$L263*MAX(0,NETWORKDAYS(MAX($H263,ASOF,AI$72),MIN(MAX($I263,ASOF),AI$72+6),HOLIDAYS)))</f>
        <v>0</v>
      </c>
      <c r="AJ263" s="289" t="n">
        <f aca="false">IF($L263=0,0,$L263*MAX(0,NETWORKDAYS(MAX($H263,ASOF,AJ$72),MIN(MAX($I263,ASOF),AJ$72+6),HOLIDAYS)))</f>
        <v>0</v>
      </c>
      <c r="AK263" s="289" t="n">
        <f aca="false">IF($L263=0,0,$L263*MAX(0,NETWORKDAYS(MAX($H263,ASOF,AK$72),MIN(MAX($I263,ASOF),AK$72+6),HOLIDAYS)))</f>
        <v>0</v>
      </c>
      <c r="AL263" s="289" t="n">
        <f aca="false">IF($L263=0,0,$L263*MAX(0,NETWORKDAYS(MAX($H263,ASOF,AL$72),MIN(MAX($I263,ASOF),AL$72+6),HOLIDAYS)))</f>
        <v>0</v>
      </c>
      <c r="AM263" s="289" t="n">
        <f aca="false">IF($L263=0,0,$L263*MAX(0,NETWORKDAYS(MAX($H263,ASOF,AM$72),MIN(MAX($I263,ASOF),AM$72+6),HOLIDAYS)))</f>
        <v>0</v>
      </c>
      <c r="AN263" s="289" t="n">
        <f aca="false">IF($L263=0,0,$L263*MAX(0,NETWORKDAYS(MAX($H263,ASOF,AN$72),MIN(MAX($I263,ASOF),AN$72+6),HOLIDAYS)))</f>
        <v>0</v>
      </c>
      <c r="AO263" s="289" t="n">
        <f aca="false">IF($L263=0,0,$L263*MAX(0,NETWORKDAYS(MAX($H263,ASOF,AO$72),MIN(MAX($I263,ASOF),AO$72+6),HOLIDAYS)))</f>
        <v>0</v>
      </c>
      <c r="AP263" s="289" t="n">
        <f aca="false">IF($L263=0,0,$L263*MAX(0,NETWORKDAYS(MAX($H263,ASOF,AP$72),MIN(MAX($I263,ASOF),AP$72+6),HOLIDAYS)))</f>
        <v>0</v>
      </c>
      <c r="AQ263" s="289" t="n">
        <f aca="false">IF($L263=0,0,$L263*MAX(0,NETWORKDAYS(MAX($H263,ASOF,AQ$72),MIN(MAX($I263,ASOF),AQ$72+6),HOLIDAYS)))</f>
        <v>0</v>
      </c>
      <c r="AR263" s="289" t="n">
        <f aca="false">IF($L263=0,0,$L263*MAX(0,NETWORKDAYS(MAX($H263,ASOF,AR$72),MIN(MAX($I263,ASOF),AR$72+6),HOLIDAYS)))</f>
        <v>0</v>
      </c>
    </row>
    <row r="264" customFormat="false" ht="15" hidden="false" customHeight="false" outlineLevel="1" collapsed="false">
      <c r="A264" s="282" t="s">
        <v>102</v>
      </c>
      <c r="B264" s="283" t="s">
        <v>104</v>
      </c>
      <c r="C264" s="284" t="s">
        <v>2370</v>
      </c>
      <c r="D264" s="284" t="s">
        <v>2313</v>
      </c>
      <c r="E264" s="285" t="n">
        <v>1</v>
      </c>
      <c r="F264" s="290" t="s">
        <v>35</v>
      </c>
      <c r="G264" s="285" t="n">
        <f aca="false">SUM(O264:AR264)</f>
        <v>20</v>
      </c>
      <c r="H264" s="286" t="n">
        <f aca="false">IF(ISNUMBER('P9-016'!$N$62),'P9-016'!$N$62,"")</f>
        <v>46328</v>
      </c>
      <c r="I264" s="286" t="n">
        <f aca="false">IF(ISNUMBER('P9-016'!$O$115),'P9-016'!$O$115,"")</f>
        <v>46359</v>
      </c>
      <c r="J264" s="287"/>
      <c r="K264" s="287" t="n">
        <f aca="false">IF(G264&gt;0,$F$17,0)</f>
        <v>1</v>
      </c>
      <c r="L264" s="285" t="n">
        <v>0</v>
      </c>
      <c r="M264" s="290" t="s">
        <v>2310</v>
      </c>
      <c r="N264" s="288" t="str">
        <f aca="false">""</f>
        <v/>
      </c>
      <c r="O264" s="289" t="n">
        <f aca="false">IF(SUMIFS(O$73:O$312,$A$73:$A$312,"P9-016",$M$73:$M$312,"&lt;&gt;คุม")&gt;0,$F$17*NETWORKDAYS(O$72,O$72+6,HOLIDAYS),0)</f>
        <v>5</v>
      </c>
      <c r="P264" s="289" t="n">
        <f aca="false">IF(SUMIFS(P$73:P$312,$A$73:$A$312,"P9-016",$M$73:$M$312,"&lt;&gt;คุม")&gt;0,$F$17*NETWORKDAYS(P$72,P$72+6,HOLIDAYS),0)</f>
        <v>5</v>
      </c>
      <c r="Q264" s="289" t="n">
        <f aca="false">IF(SUMIFS(Q$73:Q$312,$A$73:$A$312,"P9-016",$M$73:$M$312,"&lt;&gt;คุม")&gt;0,$F$17*NETWORKDAYS(Q$72,Q$72+6,HOLIDAYS),0)</f>
        <v>5</v>
      </c>
      <c r="R264" s="289" t="n">
        <f aca="false">IF(SUMIFS(R$73:R$312,$A$73:$A$312,"P9-016",$M$73:$M$312,"&lt;&gt;คุม")&gt;0,$F$17*NETWORKDAYS(R$72,R$72+6,HOLIDAYS),0)</f>
        <v>0</v>
      </c>
      <c r="S264" s="289" t="n">
        <f aca="false">IF(SUMIFS(S$73:S$312,$A$73:$A$312,"P9-016",$M$73:$M$312,"&lt;&gt;คุม")&gt;0,$F$17*NETWORKDAYS(S$72,S$72+6,HOLIDAYS),0)</f>
        <v>5</v>
      </c>
      <c r="T264" s="289" t="n">
        <f aca="false">IF(SUMIFS(T$73:T$312,$A$73:$A$312,"P9-016",$M$73:$M$312,"&lt;&gt;คุม")&gt;0,$F$17*NETWORKDAYS(T$72,T$72+6,HOLIDAYS),0)</f>
        <v>0</v>
      </c>
      <c r="U264" s="289" t="n">
        <f aca="false">IF(SUMIFS(U$73:U$312,$A$73:$A$312,"P9-016",$M$73:$M$312,"&lt;&gt;คุม")&gt;0,$F$17*NETWORKDAYS(U$72,U$72+6,HOLIDAYS),0)</f>
        <v>0</v>
      </c>
      <c r="V264" s="289" t="n">
        <f aca="false">IF(SUMIFS(V$73:V$312,$A$73:$A$312,"P9-016",$M$73:$M$312,"&lt;&gt;คุม")&gt;0,$F$17*NETWORKDAYS(V$72,V$72+6,HOLIDAYS),0)</f>
        <v>0</v>
      </c>
      <c r="W264" s="289" t="n">
        <f aca="false">IF(SUMIFS(W$73:W$312,$A$73:$A$312,"P9-016",$M$73:$M$312,"&lt;&gt;คุม")&gt;0,$F$17*NETWORKDAYS(W$72,W$72+6,HOLIDAYS),0)</f>
        <v>0</v>
      </c>
      <c r="X264" s="289" t="n">
        <f aca="false">IF(SUMIFS(X$73:X$312,$A$73:$A$312,"P9-016",$M$73:$M$312,"&lt;&gt;คุม")&gt;0,$F$17*NETWORKDAYS(X$72,X$72+6,HOLIDAYS),0)</f>
        <v>0</v>
      </c>
      <c r="Y264" s="289" t="n">
        <f aca="false">IF(SUMIFS(Y$73:Y$312,$A$73:$A$312,"P9-016",$M$73:$M$312,"&lt;&gt;คุม")&gt;0,$F$17*NETWORKDAYS(Y$72,Y$72+6,HOLIDAYS),0)</f>
        <v>0</v>
      </c>
      <c r="Z264" s="289" t="n">
        <f aca="false">IF(SUMIFS(Z$73:Z$312,$A$73:$A$312,"P9-016",$M$73:$M$312,"&lt;&gt;คุม")&gt;0,$F$17*NETWORKDAYS(Z$72,Z$72+6,HOLIDAYS),0)</f>
        <v>0</v>
      </c>
      <c r="AA264" s="289" t="n">
        <f aca="false">IF(SUMIFS(AA$73:AA$312,$A$73:$A$312,"P9-016",$M$73:$M$312,"&lt;&gt;คุม")&gt;0,$F$17*NETWORKDAYS(AA$72,AA$72+6,HOLIDAYS),0)</f>
        <v>0</v>
      </c>
      <c r="AB264" s="289" t="n">
        <f aca="false">IF(SUMIFS(AB$73:AB$312,$A$73:$A$312,"P9-016",$M$73:$M$312,"&lt;&gt;คุม")&gt;0,$F$17*NETWORKDAYS(AB$72,AB$72+6,HOLIDAYS),0)</f>
        <v>0</v>
      </c>
      <c r="AC264" s="289" t="n">
        <f aca="false">IF(SUMIFS(AC$73:AC$312,$A$73:$A$312,"P9-016",$M$73:$M$312,"&lt;&gt;คุม")&gt;0,$F$17*NETWORKDAYS(AC$72,AC$72+6,HOLIDAYS),0)</f>
        <v>0</v>
      </c>
      <c r="AD264" s="289" t="n">
        <f aca="false">IF(SUMIFS(AD$73:AD$312,$A$73:$A$312,"P9-016",$M$73:$M$312,"&lt;&gt;คุม")&gt;0,$F$17*NETWORKDAYS(AD$72,AD$72+6,HOLIDAYS),0)</f>
        <v>0</v>
      </c>
      <c r="AE264" s="289" t="n">
        <f aca="false">IF(SUMIFS(AE$73:AE$312,$A$73:$A$312,"P9-016",$M$73:$M$312,"&lt;&gt;คุม")&gt;0,$F$17*NETWORKDAYS(AE$72,AE$72+6,HOLIDAYS),0)</f>
        <v>0</v>
      </c>
      <c r="AF264" s="289" t="n">
        <f aca="false">IF(SUMIFS(AF$73:AF$312,$A$73:$A$312,"P9-016",$M$73:$M$312,"&lt;&gt;คุม")&gt;0,$F$17*NETWORKDAYS(AF$72,AF$72+6,HOLIDAYS),0)</f>
        <v>0</v>
      </c>
      <c r="AG264" s="289" t="n">
        <f aca="false">IF(SUMIFS(AG$73:AG$312,$A$73:$A$312,"P9-016",$M$73:$M$312,"&lt;&gt;คุม")&gt;0,$F$17*NETWORKDAYS(AG$72,AG$72+6,HOLIDAYS),0)</f>
        <v>0</v>
      </c>
      <c r="AH264" s="289" t="n">
        <f aca="false">IF(SUMIFS(AH$73:AH$312,$A$73:$A$312,"P9-016",$M$73:$M$312,"&lt;&gt;คุม")&gt;0,$F$17*NETWORKDAYS(AH$72,AH$72+6,HOLIDAYS),0)</f>
        <v>0</v>
      </c>
      <c r="AI264" s="289" t="n">
        <f aca="false">IF(SUMIFS(AI$73:AI$312,$A$73:$A$312,"P9-016",$M$73:$M$312,"&lt;&gt;คุม")&gt;0,$F$17*NETWORKDAYS(AI$72,AI$72+6,HOLIDAYS),0)</f>
        <v>0</v>
      </c>
      <c r="AJ264" s="289" t="n">
        <f aca="false">IF(SUMIFS(AJ$73:AJ$312,$A$73:$A$312,"P9-016",$M$73:$M$312,"&lt;&gt;คุม")&gt;0,$F$17*NETWORKDAYS(AJ$72,AJ$72+6,HOLIDAYS),0)</f>
        <v>0</v>
      </c>
      <c r="AK264" s="289" t="n">
        <f aca="false">IF(SUMIFS(AK$73:AK$312,$A$73:$A$312,"P9-016",$M$73:$M$312,"&lt;&gt;คุม")&gt;0,$F$17*NETWORKDAYS(AK$72,AK$72+6,HOLIDAYS),0)</f>
        <v>0</v>
      </c>
      <c r="AL264" s="289" t="n">
        <f aca="false">IF(SUMIFS(AL$73:AL$312,$A$73:$A$312,"P9-016",$M$73:$M$312,"&lt;&gt;คุม")&gt;0,$F$17*NETWORKDAYS(AL$72,AL$72+6,HOLIDAYS),0)</f>
        <v>0</v>
      </c>
      <c r="AM264" s="289" t="n">
        <f aca="false">IF(SUMIFS(AM$73:AM$312,$A$73:$A$312,"P9-016",$M$73:$M$312,"&lt;&gt;คุม")&gt;0,$F$17*NETWORKDAYS(AM$72,AM$72+6,HOLIDAYS),0)</f>
        <v>0</v>
      </c>
      <c r="AN264" s="289" t="n">
        <f aca="false">IF(SUMIFS(AN$73:AN$312,$A$73:$A$312,"P9-016",$M$73:$M$312,"&lt;&gt;คุม")&gt;0,$F$17*NETWORKDAYS(AN$72,AN$72+6,HOLIDAYS),0)</f>
        <v>0</v>
      </c>
      <c r="AO264" s="289" t="n">
        <f aca="false">IF(SUMIFS(AO$73:AO$312,$A$73:$A$312,"P9-016",$M$73:$M$312,"&lt;&gt;คุม")&gt;0,$F$17*NETWORKDAYS(AO$72,AO$72+6,HOLIDAYS),0)</f>
        <v>0</v>
      </c>
      <c r="AP264" s="289" t="n">
        <f aca="false">IF(SUMIFS(AP$73:AP$312,$A$73:$A$312,"P9-016",$M$73:$M$312,"&lt;&gt;คุม")&gt;0,$F$17*NETWORKDAYS(AP$72,AP$72+6,HOLIDAYS),0)</f>
        <v>0</v>
      </c>
      <c r="AQ264" s="289" t="n">
        <f aca="false">IF(SUMIFS(AQ$73:AQ$312,$A$73:$A$312,"P9-016",$M$73:$M$312,"&lt;&gt;คุม")&gt;0,$F$17*NETWORKDAYS(AQ$72,AQ$72+6,HOLIDAYS),0)</f>
        <v>0</v>
      </c>
      <c r="AR264" s="289" t="n">
        <f aca="false">IF(SUMIFS(AR$73:AR$312,$A$73:$A$312,"P9-016",$M$73:$M$312,"&lt;&gt;คุม")&gt;0,$F$17*NETWORKDAYS(AR$72,AR$72+6,HOLIDAYS),0)</f>
        <v>0</v>
      </c>
    </row>
    <row r="265" customFormat="false" ht="15" hidden="false" customHeight="false" outlineLevel="1" collapsed="false">
      <c r="A265" s="282" t="s">
        <v>106</v>
      </c>
      <c r="B265" s="283" t="s">
        <v>108</v>
      </c>
      <c r="C265" s="284" t="s">
        <v>2358</v>
      </c>
      <c r="D265" s="284" t="s">
        <v>2280</v>
      </c>
      <c r="E265" s="285" t="n">
        <v>451.44</v>
      </c>
      <c r="F265" s="283" t="s">
        <v>2359</v>
      </c>
      <c r="G265" s="285" t="n">
        <f aca="false">$F$5*(E265/$G$5+$H$5)</f>
        <v>74.2304</v>
      </c>
      <c r="H265" s="286" t="n">
        <f aca="false">IF(ISNUMBER('P9-017'!$N$62),'P9-017'!$N$62,"")</f>
        <v>46328</v>
      </c>
      <c r="I265" s="286" t="n">
        <f aca="false">IF(ISNUMBER('P9-017'!$O$62),'P9-017'!$O$62,"")</f>
        <v>46341</v>
      </c>
      <c r="J265" s="287" t="n">
        <f aca="false">IF(OR(H265="",I265="",N265&gt;=1),0,MAX(1,NETWORKDAYS(MAX(H265,ASOF),MAX(I265,ASOF),HOLIDAYS)))</f>
        <v>10</v>
      </c>
      <c r="K265" s="287" t="n">
        <f aca="false">IF(L265=0,0,ROUNDUP(L265/$F$5,0))</f>
        <v>2</v>
      </c>
      <c r="L265" s="285" t="n">
        <f aca="false">IF(J265=0,0,G265*(1-N265)/J265)</f>
        <v>7.42304</v>
      </c>
      <c r="M265" s="283" t="s">
        <v>872</v>
      </c>
      <c r="N265" s="288" t="n">
        <f aca="false">IFERROR(MIN(1,'P9-017'!$V$62)+0,0)</f>
        <v>0</v>
      </c>
      <c r="O265" s="289" t="n">
        <f aca="false">IF($L265=0,0,$L265*MAX(0,NETWORKDAYS(MAX($H265,ASOF,O$72),MIN(MAX($I265,ASOF),O$72+6),HOLIDAYS)))</f>
        <v>37.1152</v>
      </c>
      <c r="P265" s="289" t="n">
        <f aca="false">IF($L265=0,0,$L265*MAX(0,NETWORKDAYS(MAX($H265,ASOF,P$72),MIN(MAX($I265,ASOF),P$72+6),HOLIDAYS)))</f>
        <v>37.1152</v>
      </c>
      <c r="Q265" s="289" t="n">
        <f aca="false">IF($L265=0,0,$L265*MAX(0,NETWORKDAYS(MAX($H265,ASOF,Q$72),MIN(MAX($I265,ASOF),Q$72+6),HOLIDAYS)))</f>
        <v>0</v>
      </c>
      <c r="R265" s="289" t="n">
        <f aca="false">IF($L265=0,0,$L265*MAX(0,NETWORKDAYS(MAX($H265,ASOF,R$72),MIN(MAX($I265,ASOF),R$72+6),HOLIDAYS)))</f>
        <v>0</v>
      </c>
      <c r="S265" s="289" t="n">
        <f aca="false">IF($L265=0,0,$L265*MAX(0,NETWORKDAYS(MAX($H265,ASOF,S$72),MIN(MAX($I265,ASOF),S$72+6),HOLIDAYS)))</f>
        <v>0</v>
      </c>
      <c r="T265" s="289" t="n">
        <f aca="false">IF($L265=0,0,$L265*MAX(0,NETWORKDAYS(MAX($H265,ASOF,T$72),MIN(MAX($I265,ASOF),T$72+6),HOLIDAYS)))</f>
        <v>0</v>
      </c>
      <c r="U265" s="289" t="n">
        <f aca="false">IF($L265=0,0,$L265*MAX(0,NETWORKDAYS(MAX($H265,ASOF,U$72),MIN(MAX($I265,ASOF),U$72+6),HOLIDAYS)))</f>
        <v>0</v>
      </c>
      <c r="V265" s="289" t="n">
        <f aca="false">IF($L265=0,0,$L265*MAX(0,NETWORKDAYS(MAX($H265,ASOF,V$72),MIN(MAX($I265,ASOF),V$72+6),HOLIDAYS)))</f>
        <v>0</v>
      </c>
      <c r="W265" s="289" t="n">
        <f aca="false">IF($L265=0,0,$L265*MAX(0,NETWORKDAYS(MAX($H265,ASOF,W$72),MIN(MAX($I265,ASOF),W$72+6),HOLIDAYS)))</f>
        <v>0</v>
      </c>
      <c r="X265" s="289" t="n">
        <f aca="false">IF($L265=0,0,$L265*MAX(0,NETWORKDAYS(MAX($H265,ASOF,X$72),MIN(MAX($I265,ASOF),X$72+6),HOLIDAYS)))</f>
        <v>0</v>
      </c>
      <c r="Y265" s="289" t="n">
        <f aca="false">IF($L265=0,0,$L265*MAX(0,NETWORKDAYS(MAX($H265,ASOF,Y$72),MIN(MAX($I265,ASOF),Y$72+6),HOLIDAYS)))</f>
        <v>0</v>
      </c>
      <c r="Z265" s="289" t="n">
        <f aca="false">IF($L265=0,0,$L265*MAX(0,NETWORKDAYS(MAX($H265,ASOF,Z$72),MIN(MAX($I265,ASOF),Z$72+6),HOLIDAYS)))</f>
        <v>0</v>
      </c>
      <c r="AA265" s="289" t="n">
        <f aca="false">IF($L265=0,0,$L265*MAX(0,NETWORKDAYS(MAX($H265,ASOF,AA$72),MIN(MAX($I265,ASOF),AA$72+6),HOLIDAYS)))</f>
        <v>0</v>
      </c>
      <c r="AB265" s="289" t="n">
        <f aca="false">IF($L265=0,0,$L265*MAX(0,NETWORKDAYS(MAX($H265,ASOF,AB$72),MIN(MAX($I265,ASOF),AB$72+6),HOLIDAYS)))</f>
        <v>0</v>
      </c>
      <c r="AC265" s="289" t="n">
        <f aca="false">IF($L265=0,0,$L265*MAX(0,NETWORKDAYS(MAX($H265,ASOF,AC$72),MIN(MAX($I265,ASOF),AC$72+6),HOLIDAYS)))</f>
        <v>0</v>
      </c>
      <c r="AD265" s="289" t="n">
        <f aca="false">IF($L265=0,0,$L265*MAX(0,NETWORKDAYS(MAX($H265,ASOF,AD$72),MIN(MAX($I265,ASOF),AD$72+6),HOLIDAYS)))</f>
        <v>0</v>
      </c>
      <c r="AE265" s="289" t="n">
        <f aca="false">IF($L265=0,0,$L265*MAX(0,NETWORKDAYS(MAX($H265,ASOF,AE$72),MIN(MAX($I265,ASOF),AE$72+6),HOLIDAYS)))</f>
        <v>0</v>
      </c>
      <c r="AF265" s="289" t="n">
        <f aca="false">IF($L265=0,0,$L265*MAX(0,NETWORKDAYS(MAX($H265,ASOF,AF$72),MIN(MAX($I265,ASOF),AF$72+6),HOLIDAYS)))</f>
        <v>0</v>
      </c>
      <c r="AG265" s="289" t="n">
        <f aca="false">IF($L265=0,0,$L265*MAX(0,NETWORKDAYS(MAX($H265,ASOF,AG$72),MIN(MAX($I265,ASOF),AG$72+6),HOLIDAYS)))</f>
        <v>0</v>
      </c>
      <c r="AH265" s="289" t="n">
        <f aca="false">IF($L265=0,0,$L265*MAX(0,NETWORKDAYS(MAX($H265,ASOF,AH$72),MIN(MAX($I265,ASOF),AH$72+6),HOLIDAYS)))</f>
        <v>0</v>
      </c>
      <c r="AI265" s="289" t="n">
        <f aca="false">IF($L265=0,0,$L265*MAX(0,NETWORKDAYS(MAX($H265,ASOF,AI$72),MIN(MAX($I265,ASOF),AI$72+6),HOLIDAYS)))</f>
        <v>0</v>
      </c>
      <c r="AJ265" s="289" t="n">
        <f aca="false">IF($L265=0,0,$L265*MAX(0,NETWORKDAYS(MAX($H265,ASOF,AJ$72),MIN(MAX($I265,ASOF),AJ$72+6),HOLIDAYS)))</f>
        <v>0</v>
      </c>
      <c r="AK265" s="289" t="n">
        <f aca="false">IF($L265=0,0,$L265*MAX(0,NETWORKDAYS(MAX($H265,ASOF,AK$72),MIN(MAX($I265,ASOF),AK$72+6),HOLIDAYS)))</f>
        <v>0</v>
      </c>
      <c r="AL265" s="289" t="n">
        <f aca="false">IF($L265=0,0,$L265*MAX(0,NETWORKDAYS(MAX($H265,ASOF,AL$72),MIN(MAX($I265,ASOF),AL$72+6),HOLIDAYS)))</f>
        <v>0</v>
      </c>
      <c r="AM265" s="289" t="n">
        <f aca="false">IF($L265=0,0,$L265*MAX(0,NETWORKDAYS(MAX($H265,ASOF,AM$72),MIN(MAX($I265,ASOF),AM$72+6),HOLIDAYS)))</f>
        <v>0</v>
      </c>
      <c r="AN265" s="289" t="n">
        <f aca="false">IF($L265=0,0,$L265*MAX(0,NETWORKDAYS(MAX($H265,ASOF,AN$72),MIN(MAX($I265,ASOF),AN$72+6),HOLIDAYS)))</f>
        <v>0</v>
      </c>
      <c r="AO265" s="289" t="n">
        <f aca="false">IF($L265=0,0,$L265*MAX(0,NETWORKDAYS(MAX($H265,ASOF,AO$72),MIN(MAX($I265,ASOF),AO$72+6),HOLIDAYS)))</f>
        <v>0</v>
      </c>
      <c r="AP265" s="289" t="n">
        <f aca="false">IF($L265=0,0,$L265*MAX(0,NETWORKDAYS(MAX($H265,ASOF,AP$72),MIN(MAX($I265,ASOF),AP$72+6),HOLIDAYS)))</f>
        <v>0</v>
      </c>
      <c r="AQ265" s="289" t="n">
        <f aca="false">IF($L265=0,0,$L265*MAX(0,NETWORKDAYS(MAX($H265,ASOF,AQ$72),MIN(MAX($I265,ASOF),AQ$72+6),HOLIDAYS)))</f>
        <v>0</v>
      </c>
      <c r="AR265" s="289" t="n">
        <f aca="false">IF($L265=0,0,$L265*MAX(0,NETWORKDAYS(MAX($H265,ASOF,AR$72),MIN(MAX($I265,ASOF),AR$72+6),HOLIDAYS)))</f>
        <v>0</v>
      </c>
    </row>
    <row r="266" customFormat="false" ht="15" hidden="false" customHeight="false" outlineLevel="1" collapsed="false">
      <c r="A266" s="282" t="s">
        <v>106</v>
      </c>
      <c r="B266" s="283" t="s">
        <v>108</v>
      </c>
      <c r="C266" s="284" t="s">
        <v>2360</v>
      </c>
      <c r="D266" s="284" t="s">
        <v>2284</v>
      </c>
      <c r="E266" s="285" t="n">
        <v>150.48</v>
      </c>
      <c r="F266" s="283" t="s">
        <v>527</v>
      </c>
      <c r="G266" s="285" t="n">
        <f aca="false">$F$6*(E266/$G$6+$H$6)</f>
        <v>14.286</v>
      </c>
      <c r="H266" s="286" t="n">
        <f aca="false">IF(ISNUMBER('P9-017'!$N$70),'P9-017'!$N$70,"")</f>
        <v>46343</v>
      </c>
      <c r="I266" s="286" t="n">
        <f aca="false">IF(ISNUMBER('P9-017'!$O$70),'P9-017'!$O$70,"")</f>
        <v>46346</v>
      </c>
      <c r="J266" s="287" t="n">
        <f aca="false">IF(OR(H266="",I266="",N266&gt;=1),0,MAX(1,NETWORKDAYS(MAX(H266,ASOF),MAX(I266,ASOF),HOLIDAYS)))</f>
        <v>4</v>
      </c>
      <c r="K266" s="287" t="n">
        <f aca="false">IF(L266=0,0,ROUNDUP(L266/$F$6,0))</f>
        <v>2</v>
      </c>
      <c r="L266" s="285" t="n">
        <f aca="false">IF(J266=0,0,G266*(1-N266)/J266)</f>
        <v>3.5715</v>
      </c>
      <c r="M266" s="283" t="s">
        <v>987</v>
      </c>
      <c r="N266" s="288" t="n">
        <f aca="false">IFERROR(MIN(1,'P9-017'!$V$70)+0,0)</f>
        <v>0</v>
      </c>
      <c r="O266" s="289" t="n">
        <f aca="false">IF($L266=0,0,$L266*MAX(0,NETWORKDAYS(MAX($H266,ASOF,O$72),MIN(MAX($I266,ASOF),O$72+6),HOLIDAYS)))</f>
        <v>0</v>
      </c>
      <c r="P266" s="289" t="n">
        <f aca="false">IF($L266=0,0,$L266*MAX(0,NETWORKDAYS(MAX($H266,ASOF,P$72),MIN(MAX($I266,ASOF),P$72+6),HOLIDAYS)))</f>
        <v>0</v>
      </c>
      <c r="Q266" s="289" t="n">
        <f aca="false">IF($L266=0,0,$L266*MAX(0,NETWORKDAYS(MAX($H266,ASOF,Q$72),MIN(MAX($I266,ASOF),Q$72+6),HOLIDAYS)))</f>
        <v>14.286</v>
      </c>
      <c r="R266" s="289" t="n">
        <f aca="false">IF($L266=0,0,$L266*MAX(0,NETWORKDAYS(MAX($H266,ASOF,R$72),MIN(MAX($I266,ASOF),R$72+6),HOLIDAYS)))</f>
        <v>0</v>
      </c>
      <c r="S266" s="289" t="n">
        <f aca="false">IF($L266=0,0,$L266*MAX(0,NETWORKDAYS(MAX($H266,ASOF,S$72),MIN(MAX($I266,ASOF),S$72+6),HOLIDAYS)))</f>
        <v>0</v>
      </c>
      <c r="T266" s="289" t="n">
        <f aca="false">IF($L266=0,0,$L266*MAX(0,NETWORKDAYS(MAX($H266,ASOF,T$72),MIN(MAX($I266,ASOF),T$72+6),HOLIDAYS)))</f>
        <v>0</v>
      </c>
      <c r="U266" s="289" t="n">
        <f aca="false">IF($L266=0,0,$L266*MAX(0,NETWORKDAYS(MAX($H266,ASOF,U$72),MIN(MAX($I266,ASOF),U$72+6),HOLIDAYS)))</f>
        <v>0</v>
      </c>
      <c r="V266" s="289" t="n">
        <f aca="false">IF($L266=0,0,$L266*MAX(0,NETWORKDAYS(MAX($H266,ASOF,V$72),MIN(MAX($I266,ASOF),V$72+6),HOLIDAYS)))</f>
        <v>0</v>
      </c>
      <c r="W266" s="289" t="n">
        <f aca="false">IF($L266=0,0,$L266*MAX(0,NETWORKDAYS(MAX($H266,ASOF,W$72),MIN(MAX($I266,ASOF),W$72+6),HOLIDAYS)))</f>
        <v>0</v>
      </c>
      <c r="X266" s="289" t="n">
        <f aca="false">IF($L266=0,0,$L266*MAX(0,NETWORKDAYS(MAX($H266,ASOF,X$72),MIN(MAX($I266,ASOF),X$72+6),HOLIDAYS)))</f>
        <v>0</v>
      </c>
      <c r="Y266" s="289" t="n">
        <f aca="false">IF($L266=0,0,$L266*MAX(0,NETWORKDAYS(MAX($H266,ASOF,Y$72),MIN(MAX($I266,ASOF),Y$72+6),HOLIDAYS)))</f>
        <v>0</v>
      </c>
      <c r="Z266" s="289" t="n">
        <f aca="false">IF($L266=0,0,$L266*MAX(0,NETWORKDAYS(MAX($H266,ASOF,Z$72),MIN(MAX($I266,ASOF),Z$72+6),HOLIDAYS)))</f>
        <v>0</v>
      </c>
      <c r="AA266" s="289" t="n">
        <f aca="false">IF($L266=0,0,$L266*MAX(0,NETWORKDAYS(MAX($H266,ASOF,AA$72),MIN(MAX($I266,ASOF),AA$72+6),HOLIDAYS)))</f>
        <v>0</v>
      </c>
      <c r="AB266" s="289" t="n">
        <f aca="false">IF($L266=0,0,$L266*MAX(0,NETWORKDAYS(MAX($H266,ASOF,AB$72),MIN(MAX($I266,ASOF),AB$72+6),HOLIDAYS)))</f>
        <v>0</v>
      </c>
      <c r="AC266" s="289" t="n">
        <f aca="false">IF($L266=0,0,$L266*MAX(0,NETWORKDAYS(MAX($H266,ASOF,AC$72),MIN(MAX($I266,ASOF),AC$72+6),HOLIDAYS)))</f>
        <v>0</v>
      </c>
      <c r="AD266" s="289" t="n">
        <f aca="false">IF($L266=0,0,$L266*MAX(0,NETWORKDAYS(MAX($H266,ASOF,AD$72),MIN(MAX($I266,ASOF),AD$72+6),HOLIDAYS)))</f>
        <v>0</v>
      </c>
      <c r="AE266" s="289" t="n">
        <f aca="false">IF($L266=0,0,$L266*MAX(0,NETWORKDAYS(MAX($H266,ASOF,AE$72),MIN(MAX($I266,ASOF),AE$72+6),HOLIDAYS)))</f>
        <v>0</v>
      </c>
      <c r="AF266" s="289" t="n">
        <f aca="false">IF($L266=0,0,$L266*MAX(0,NETWORKDAYS(MAX($H266,ASOF,AF$72),MIN(MAX($I266,ASOF),AF$72+6),HOLIDAYS)))</f>
        <v>0</v>
      </c>
      <c r="AG266" s="289" t="n">
        <f aca="false">IF($L266=0,0,$L266*MAX(0,NETWORKDAYS(MAX($H266,ASOF,AG$72),MIN(MAX($I266,ASOF),AG$72+6),HOLIDAYS)))</f>
        <v>0</v>
      </c>
      <c r="AH266" s="289" t="n">
        <f aca="false">IF($L266=0,0,$L266*MAX(0,NETWORKDAYS(MAX($H266,ASOF,AH$72),MIN(MAX($I266,ASOF),AH$72+6),HOLIDAYS)))</f>
        <v>0</v>
      </c>
      <c r="AI266" s="289" t="n">
        <f aca="false">IF($L266=0,0,$L266*MAX(0,NETWORKDAYS(MAX($H266,ASOF,AI$72),MIN(MAX($I266,ASOF),AI$72+6),HOLIDAYS)))</f>
        <v>0</v>
      </c>
      <c r="AJ266" s="289" t="n">
        <f aca="false">IF($L266=0,0,$L266*MAX(0,NETWORKDAYS(MAX($H266,ASOF,AJ$72),MIN(MAX($I266,ASOF),AJ$72+6),HOLIDAYS)))</f>
        <v>0</v>
      </c>
      <c r="AK266" s="289" t="n">
        <f aca="false">IF($L266=0,0,$L266*MAX(0,NETWORKDAYS(MAX($H266,ASOF,AK$72),MIN(MAX($I266,ASOF),AK$72+6),HOLIDAYS)))</f>
        <v>0</v>
      </c>
      <c r="AL266" s="289" t="n">
        <f aca="false">IF($L266=0,0,$L266*MAX(0,NETWORKDAYS(MAX($H266,ASOF,AL$72),MIN(MAX($I266,ASOF),AL$72+6),HOLIDAYS)))</f>
        <v>0</v>
      </c>
      <c r="AM266" s="289" t="n">
        <f aca="false">IF($L266=0,0,$L266*MAX(0,NETWORKDAYS(MAX($H266,ASOF,AM$72),MIN(MAX($I266,ASOF),AM$72+6),HOLIDAYS)))</f>
        <v>0</v>
      </c>
      <c r="AN266" s="289" t="n">
        <f aca="false">IF($L266=0,0,$L266*MAX(0,NETWORKDAYS(MAX($H266,ASOF,AN$72),MIN(MAX($I266,ASOF),AN$72+6),HOLIDAYS)))</f>
        <v>0</v>
      </c>
      <c r="AO266" s="289" t="n">
        <f aca="false">IF($L266=0,0,$L266*MAX(0,NETWORKDAYS(MAX($H266,ASOF,AO$72),MIN(MAX($I266,ASOF),AO$72+6),HOLIDAYS)))</f>
        <v>0</v>
      </c>
      <c r="AP266" s="289" t="n">
        <f aca="false">IF($L266=0,0,$L266*MAX(0,NETWORKDAYS(MAX($H266,ASOF,AP$72),MIN(MAX($I266,ASOF),AP$72+6),HOLIDAYS)))</f>
        <v>0</v>
      </c>
      <c r="AQ266" s="289" t="n">
        <f aca="false">IF($L266=0,0,$L266*MAX(0,NETWORKDAYS(MAX($H266,ASOF,AQ$72),MIN(MAX($I266,ASOF),AQ$72+6),HOLIDAYS)))</f>
        <v>0</v>
      </c>
      <c r="AR266" s="289" t="n">
        <f aca="false">IF($L266=0,0,$L266*MAX(0,NETWORKDAYS(MAX($H266,ASOF,AR$72),MIN(MAX($I266,ASOF),AR$72+6),HOLIDAYS)))</f>
        <v>0</v>
      </c>
    </row>
    <row r="267" customFormat="false" ht="15" hidden="false" customHeight="false" outlineLevel="1" collapsed="false">
      <c r="A267" s="282" t="s">
        <v>106</v>
      </c>
      <c r="B267" s="283" t="s">
        <v>108</v>
      </c>
      <c r="C267" s="284" t="s">
        <v>2361</v>
      </c>
      <c r="D267" s="284" t="s">
        <v>2280</v>
      </c>
      <c r="E267" s="285" t="n">
        <v>150.48</v>
      </c>
      <c r="F267" s="283" t="s">
        <v>527</v>
      </c>
      <c r="G267" s="285" t="n">
        <f aca="false">$F$7*(E267/$G$7+$H$7)</f>
        <v>19.1977142857143</v>
      </c>
      <c r="H267" s="286" t="n">
        <f aca="false">IF(ISNUMBER('P9-017'!$N$76),'P9-017'!$N$76,"")</f>
        <v>46342</v>
      </c>
      <c r="I267" s="286" t="n">
        <f aca="false">IF(ISNUMBER('P9-017'!$O$76),'P9-017'!$O$76,"")</f>
        <v>46347</v>
      </c>
      <c r="J267" s="287" t="n">
        <f aca="false">IF(OR(H267="",I267="",N267&gt;=1),0,MAX(1,NETWORKDAYS(MAX(H267,ASOF),MAX(I267,ASOF),HOLIDAYS)))</f>
        <v>5</v>
      </c>
      <c r="K267" s="287" t="n">
        <f aca="false">IF(L267=0,0,ROUNDUP(L267/$F$7,0))</f>
        <v>1</v>
      </c>
      <c r="L267" s="285" t="n">
        <f aca="false">IF(J267=0,0,G267*(1-N267)/J267)</f>
        <v>3.83954285714286</v>
      </c>
      <c r="M267" s="283" t="s">
        <v>1037</v>
      </c>
      <c r="N267" s="288" t="n">
        <f aca="false">IFERROR(MIN(1,'P9-017'!$V$76)+0,0)</f>
        <v>0</v>
      </c>
      <c r="O267" s="289" t="n">
        <f aca="false">IF($L267=0,0,$L267*MAX(0,NETWORKDAYS(MAX($H267,ASOF,O$72),MIN(MAX($I267,ASOF),O$72+6),HOLIDAYS)))</f>
        <v>0</v>
      </c>
      <c r="P267" s="289" t="n">
        <f aca="false">IF($L267=0,0,$L267*MAX(0,NETWORKDAYS(MAX($H267,ASOF,P$72),MIN(MAX($I267,ASOF),P$72+6),HOLIDAYS)))</f>
        <v>0</v>
      </c>
      <c r="Q267" s="289" t="n">
        <f aca="false">IF($L267=0,0,$L267*MAX(0,NETWORKDAYS(MAX($H267,ASOF,Q$72),MIN(MAX($I267,ASOF),Q$72+6),HOLIDAYS)))</f>
        <v>19.1977142857143</v>
      </c>
      <c r="R267" s="289" t="n">
        <f aca="false">IF($L267=0,0,$L267*MAX(0,NETWORKDAYS(MAX($H267,ASOF,R$72),MIN(MAX($I267,ASOF),R$72+6),HOLIDAYS)))</f>
        <v>0</v>
      </c>
      <c r="S267" s="289" t="n">
        <f aca="false">IF($L267=0,0,$L267*MAX(0,NETWORKDAYS(MAX($H267,ASOF,S$72),MIN(MAX($I267,ASOF),S$72+6),HOLIDAYS)))</f>
        <v>0</v>
      </c>
      <c r="T267" s="289" t="n">
        <f aca="false">IF($L267=0,0,$L267*MAX(0,NETWORKDAYS(MAX($H267,ASOF,T$72),MIN(MAX($I267,ASOF),T$72+6),HOLIDAYS)))</f>
        <v>0</v>
      </c>
      <c r="U267" s="289" t="n">
        <f aca="false">IF($L267=0,0,$L267*MAX(0,NETWORKDAYS(MAX($H267,ASOF,U$72),MIN(MAX($I267,ASOF),U$72+6),HOLIDAYS)))</f>
        <v>0</v>
      </c>
      <c r="V267" s="289" t="n">
        <f aca="false">IF($L267=0,0,$L267*MAX(0,NETWORKDAYS(MAX($H267,ASOF,V$72),MIN(MAX($I267,ASOF),V$72+6),HOLIDAYS)))</f>
        <v>0</v>
      </c>
      <c r="W267" s="289" t="n">
        <f aca="false">IF($L267=0,0,$L267*MAX(0,NETWORKDAYS(MAX($H267,ASOF,W$72),MIN(MAX($I267,ASOF),W$72+6),HOLIDAYS)))</f>
        <v>0</v>
      </c>
      <c r="X267" s="289" t="n">
        <f aca="false">IF($L267=0,0,$L267*MAX(0,NETWORKDAYS(MAX($H267,ASOF,X$72),MIN(MAX($I267,ASOF),X$72+6),HOLIDAYS)))</f>
        <v>0</v>
      </c>
      <c r="Y267" s="289" t="n">
        <f aca="false">IF($L267=0,0,$L267*MAX(0,NETWORKDAYS(MAX($H267,ASOF,Y$72),MIN(MAX($I267,ASOF),Y$72+6),HOLIDAYS)))</f>
        <v>0</v>
      </c>
      <c r="Z267" s="289" t="n">
        <f aca="false">IF($L267=0,0,$L267*MAX(0,NETWORKDAYS(MAX($H267,ASOF,Z$72),MIN(MAX($I267,ASOF),Z$72+6),HOLIDAYS)))</f>
        <v>0</v>
      </c>
      <c r="AA267" s="289" t="n">
        <f aca="false">IF($L267=0,0,$L267*MAX(0,NETWORKDAYS(MAX($H267,ASOF,AA$72),MIN(MAX($I267,ASOF),AA$72+6),HOLIDAYS)))</f>
        <v>0</v>
      </c>
      <c r="AB267" s="289" t="n">
        <f aca="false">IF($L267=0,0,$L267*MAX(0,NETWORKDAYS(MAX($H267,ASOF,AB$72),MIN(MAX($I267,ASOF),AB$72+6),HOLIDAYS)))</f>
        <v>0</v>
      </c>
      <c r="AC267" s="289" t="n">
        <f aca="false">IF($L267=0,0,$L267*MAX(0,NETWORKDAYS(MAX($H267,ASOF,AC$72),MIN(MAX($I267,ASOF),AC$72+6),HOLIDAYS)))</f>
        <v>0</v>
      </c>
      <c r="AD267" s="289" t="n">
        <f aca="false">IF($L267=0,0,$L267*MAX(0,NETWORKDAYS(MAX($H267,ASOF,AD$72),MIN(MAX($I267,ASOF),AD$72+6),HOLIDAYS)))</f>
        <v>0</v>
      </c>
      <c r="AE267" s="289" t="n">
        <f aca="false">IF($L267=0,0,$L267*MAX(0,NETWORKDAYS(MAX($H267,ASOF,AE$72),MIN(MAX($I267,ASOF),AE$72+6),HOLIDAYS)))</f>
        <v>0</v>
      </c>
      <c r="AF267" s="289" t="n">
        <f aca="false">IF($L267=0,0,$L267*MAX(0,NETWORKDAYS(MAX($H267,ASOF,AF$72),MIN(MAX($I267,ASOF),AF$72+6),HOLIDAYS)))</f>
        <v>0</v>
      </c>
      <c r="AG267" s="289" t="n">
        <f aca="false">IF($L267=0,0,$L267*MAX(0,NETWORKDAYS(MAX($H267,ASOF,AG$72),MIN(MAX($I267,ASOF),AG$72+6),HOLIDAYS)))</f>
        <v>0</v>
      </c>
      <c r="AH267" s="289" t="n">
        <f aca="false">IF($L267=0,0,$L267*MAX(0,NETWORKDAYS(MAX($H267,ASOF,AH$72),MIN(MAX($I267,ASOF),AH$72+6),HOLIDAYS)))</f>
        <v>0</v>
      </c>
      <c r="AI267" s="289" t="n">
        <f aca="false">IF($L267=0,0,$L267*MAX(0,NETWORKDAYS(MAX($H267,ASOF,AI$72),MIN(MAX($I267,ASOF),AI$72+6),HOLIDAYS)))</f>
        <v>0</v>
      </c>
      <c r="AJ267" s="289" t="n">
        <f aca="false">IF($L267=0,0,$L267*MAX(0,NETWORKDAYS(MAX($H267,ASOF,AJ$72),MIN(MAX($I267,ASOF),AJ$72+6),HOLIDAYS)))</f>
        <v>0</v>
      </c>
      <c r="AK267" s="289" t="n">
        <f aca="false">IF($L267=0,0,$L267*MAX(0,NETWORKDAYS(MAX($H267,ASOF,AK$72),MIN(MAX($I267,ASOF),AK$72+6),HOLIDAYS)))</f>
        <v>0</v>
      </c>
      <c r="AL267" s="289" t="n">
        <f aca="false">IF($L267=0,0,$L267*MAX(0,NETWORKDAYS(MAX($H267,ASOF,AL$72),MIN(MAX($I267,ASOF),AL$72+6),HOLIDAYS)))</f>
        <v>0</v>
      </c>
      <c r="AM267" s="289" t="n">
        <f aca="false">IF($L267=0,0,$L267*MAX(0,NETWORKDAYS(MAX($H267,ASOF,AM$72),MIN(MAX($I267,ASOF),AM$72+6),HOLIDAYS)))</f>
        <v>0</v>
      </c>
      <c r="AN267" s="289" t="n">
        <f aca="false">IF($L267=0,0,$L267*MAX(0,NETWORKDAYS(MAX($H267,ASOF,AN$72),MIN(MAX($I267,ASOF),AN$72+6),HOLIDAYS)))</f>
        <v>0</v>
      </c>
      <c r="AO267" s="289" t="n">
        <f aca="false">IF($L267=0,0,$L267*MAX(0,NETWORKDAYS(MAX($H267,ASOF,AO$72),MIN(MAX($I267,ASOF),AO$72+6),HOLIDAYS)))</f>
        <v>0</v>
      </c>
      <c r="AP267" s="289" t="n">
        <f aca="false">IF($L267=0,0,$L267*MAX(0,NETWORKDAYS(MAX($H267,ASOF,AP$72),MIN(MAX($I267,ASOF),AP$72+6),HOLIDAYS)))</f>
        <v>0</v>
      </c>
      <c r="AQ267" s="289" t="n">
        <f aca="false">IF($L267=0,0,$L267*MAX(0,NETWORKDAYS(MAX($H267,ASOF,AQ$72),MIN(MAX($I267,ASOF),AQ$72+6),HOLIDAYS)))</f>
        <v>0</v>
      </c>
      <c r="AR267" s="289" t="n">
        <f aca="false">IF($L267=0,0,$L267*MAX(0,NETWORKDAYS(MAX($H267,ASOF,AR$72),MIN(MAX($I267,ASOF),AR$72+6),HOLIDAYS)))</f>
        <v>0</v>
      </c>
    </row>
    <row r="268" customFormat="false" ht="15" hidden="false" customHeight="false" outlineLevel="1" collapsed="false">
      <c r="A268" s="282" t="s">
        <v>106</v>
      </c>
      <c r="B268" s="283" t="s">
        <v>108</v>
      </c>
      <c r="C268" s="284" t="s">
        <v>2362</v>
      </c>
      <c r="D268" s="284" t="s">
        <v>2284</v>
      </c>
      <c r="E268" s="285" t="n">
        <v>1</v>
      </c>
      <c r="F268" s="290" t="s">
        <v>35</v>
      </c>
      <c r="G268" s="285" t="n">
        <f aca="false">$F$8*$H$8</f>
        <v>2</v>
      </c>
      <c r="H268" s="286" t="n">
        <f aca="false">IF(ISNUMBER('P9-017'!$N$82),'P9-017'!$N$82,"")</f>
        <v>46345</v>
      </c>
      <c r="I268" s="286" t="n">
        <f aca="false">IF(ISNUMBER('P9-017'!$O$82),'P9-017'!$O$82,"")</f>
        <v>46347</v>
      </c>
      <c r="J268" s="287" t="n">
        <f aca="false">IF(OR(H268="",I268="",N268&gt;=1),0,MAX(1,NETWORKDAYS(MAX(H268,ASOF),MAX(I268,ASOF),HOLIDAYS)))</f>
        <v>2</v>
      </c>
      <c r="K268" s="287" t="n">
        <f aca="false">IF(L268=0,0,ROUNDUP(L268/$F$8,0))</f>
        <v>1</v>
      </c>
      <c r="L268" s="285" t="n">
        <f aca="false">IF(J268=0,0,G268*(1-N268)/J268)</f>
        <v>1</v>
      </c>
      <c r="M268" s="283" t="s">
        <v>1063</v>
      </c>
      <c r="N268" s="288" t="n">
        <f aca="false">IFERROR(MIN(1,'P9-017'!$V$82)+0,0)</f>
        <v>0</v>
      </c>
      <c r="O268" s="289" t="n">
        <f aca="false">IF($L268=0,0,$L268*MAX(0,NETWORKDAYS(MAX($H268,ASOF,O$72),MIN(MAX($I268,ASOF),O$72+6),HOLIDAYS)))</f>
        <v>0</v>
      </c>
      <c r="P268" s="289" t="n">
        <f aca="false">IF($L268=0,0,$L268*MAX(0,NETWORKDAYS(MAX($H268,ASOF,P$72),MIN(MAX($I268,ASOF),P$72+6),HOLIDAYS)))</f>
        <v>0</v>
      </c>
      <c r="Q268" s="289" t="n">
        <f aca="false">IF($L268=0,0,$L268*MAX(0,NETWORKDAYS(MAX($H268,ASOF,Q$72),MIN(MAX($I268,ASOF),Q$72+6),HOLIDAYS)))</f>
        <v>2</v>
      </c>
      <c r="R268" s="289" t="n">
        <f aca="false">IF($L268=0,0,$L268*MAX(0,NETWORKDAYS(MAX($H268,ASOF,R$72),MIN(MAX($I268,ASOF),R$72+6),HOLIDAYS)))</f>
        <v>0</v>
      </c>
      <c r="S268" s="289" t="n">
        <f aca="false">IF($L268=0,0,$L268*MAX(0,NETWORKDAYS(MAX($H268,ASOF,S$72),MIN(MAX($I268,ASOF),S$72+6),HOLIDAYS)))</f>
        <v>0</v>
      </c>
      <c r="T268" s="289" t="n">
        <f aca="false">IF($L268=0,0,$L268*MAX(0,NETWORKDAYS(MAX($H268,ASOF,T$72),MIN(MAX($I268,ASOF),T$72+6),HOLIDAYS)))</f>
        <v>0</v>
      </c>
      <c r="U268" s="289" t="n">
        <f aca="false">IF($L268=0,0,$L268*MAX(0,NETWORKDAYS(MAX($H268,ASOF,U$72),MIN(MAX($I268,ASOF),U$72+6),HOLIDAYS)))</f>
        <v>0</v>
      </c>
      <c r="V268" s="289" t="n">
        <f aca="false">IF($L268=0,0,$L268*MAX(0,NETWORKDAYS(MAX($H268,ASOF,V$72),MIN(MAX($I268,ASOF),V$72+6),HOLIDAYS)))</f>
        <v>0</v>
      </c>
      <c r="W268" s="289" t="n">
        <f aca="false">IF($L268=0,0,$L268*MAX(0,NETWORKDAYS(MAX($H268,ASOF,W$72),MIN(MAX($I268,ASOF),W$72+6),HOLIDAYS)))</f>
        <v>0</v>
      </c>
      <c r="X268" s="289" t="n">
        <f aca="false">IF($L268=0,0,$L268*MAX(0,NETWORKDAYS(MAX($H268,ASOF,X$72),MIN(MAX($I268,ASOF),X$72+6),HOLIDAYS)))</f>
        <v>0</v>
      </c>
      <c r="Y268" s="289" t="n">
        <f aca="false">IF($L268=0,0,$L268*MAX(0,NETWORKDAYS(MAX($H268,ASOF,Y$72),MIN(MAX($I268,ASOF),Y$72+6),HOLIDAYS)))</f>
        <v>0</v>
      </c>
      <c r="Z268" s="289" t="n">
        <f aca="false">IF($L268=0,0,$L268*MAX(0,NETWORKDAYS(MAX($H268,ASOF,Z$72),MIN(MAX($I268,ASOF),Z$72+6),HOLIDAYS)))</f>
        <v>0</v>
      </c>
      <c r="AA268" s="289" t="n">
        <f aca="false">IF($L268=0,0,$L268*MAX(0,NETWORKDAYS(MAX($H268,ASOF,AA$72),MIN(MAX($I268,ASOF),AA$72+6),HOLIDAYS)))</f>
        <v>0</v>
      </c>
      <c r="AB268" s="289" t="n">
        <f aca="false">IF($L268=0,0,$L268*MAX(0,NETWORKDAYS(MAX($H268,ASOF,AB$72),MIN(MAX($I268,ASOF),AB$72+6),HOLIDAYS)))</f>
        <v>0</v>
      </c>
      <c r="AC268" s="289" t="n">
        <f aca="false">IF($L268=0,0,$L268*MAX(0,NETWORKDAYS(MAX($H268,ASOF,AC$72),MIN(MAX($I268,ASOF),AC$72+6),HOLIDAYS)))</f>
        <v>0</v>
      </c>
      <c r="AD268" s="289" t="n">
        <f aca="false">IF($L268=0,0,$L268*MAX(0,NETWORKDAYS(MAX($H268,ASOF,AD$72),MIN(MAX($I268,ASOF),AD$72+6),HOLIDAYS)))</f>
        <v>0</v>
      </c>
      <c r="AE268" s="289" t="n">
        <f aca="false">IF($L268=0,0,$L268*MAX(0,NETWORKDAYS(MAX($H268,ASOF,AE$72),MIN(MAX($I268,ASOF),AE$72+6),HOLIDAYS)))</f>
        <v>0</v>
      </c>
      <c r="AF268" s="289" t="n">
        <f aca="false">IF($L268=0,0,$L268*MAX(0,NETWORKDAYS(MAX($H268,ASOF,AF$72),MIN(MAX($I268,ASOF),AF$72+6),HOLIDAYS)))</f>
        <v>0</v>
      </c>
      <c r="AG268" s="289" t="n">
        <f aca="false">IF($L268=0,0,$L268*MAX(0,NETWORKDAYS(MAX($H268,ASOF,AG$72),MIN(MAX($I268,ASOF),AG$72+6),HOLIDAYS)))</f>
        <v>0</v>
      </c>
      <c r="AH268" s="289" t="n">
        <f aca="false">IF($L268=0,0,$L268*MAX(0,NETWORKDAYS(MAX($H268,ASOF,AH$72),MIN(MAX($I268,ASOF),AH$72+6),HOLIDAYS)))</f>
        <v>0</v>
      </c>
      <c r="AI268" s="289" t="n">
        <f aca="false">IF($L268=0,0,$L268*MAX(0,NETWORKDAYS(MAX($H268,ASOF,AI$72),MIN(MAX($I268,ASOF),AI$72+6),HOLIDAYS)))</f>
        <v>0</v>
      </c>
      <c r="AJ268" s="289" t="n">
        <f aca="false">IF($L268=0,0,$L268*MAX(0,NETWORKDAYS(MAX($H268,ASOF,AJ$72),MIN(MAX($I268,ASOF),AJ$72+6),HOLIDAYS)))</f>
        <v>0</v>
      </c>
      <c r="AK268" s="289" t="n">
        <f aca="false">IF($L268=0,0,$L268*MAX(0,NETWORKDAYS(MAX($H268,ASOF,AK$72),MIN(MAX($I268,ASOF),AK$72+6),HOLIDAYS)))</f>
        <v>0</v>
      </c>
      <c r="AL268" s="289" t="n">
        <f aca="false">IF($L268=0,0,$L268*MAX(0,NETWORKDAYS(MAX($H268,ASOF,AL$72),MIN(MAX($I268,ASOF),AL$72+6),HOLIDAYS)))</f>
        <v>0</v>
      </c>
      <c r="AM268" s="289" t="n">
        <f aca="false">IF($L268=0,0,$L268*MAX(0,NETWORKDAYS(MAX($H268,ASOF,AM$72),MIN(MAX($I268,ASOF),AM$72+6),HOLIDAYS)))</f>
        <v>0</v>
      </c>
      <c r="AN268" s="289" t="n">
        <f aca="false">IF($L268=0,0,$L268*MAX(0,NETWORKDAYS(MAX($H268,ASOF,AN$72),MIN(MAX($I268,ASOF),AN$72+6),HOLIDAYS)))</f>
        <v>0</v>
      </c>
      <c r="AO268" s="289" t="n">
        <f aca="false">IF($L268=0,0,$L268*MAX(0,NETWORKDAYS(MAX($H268,ASOF,AO$72),MIN(MAX($I268,ASOF),AO$72+6),HOLIDAYS)))</f>
        <v>0</v>
      </c>
      <c r="AP268" s="289" t="n">
        <f aca="false">IF($L268=0,0,$L268*MAX(0,NETWORKDAYS(MAX($H268,ASOF,AP$72),MIN(MAX($I268,ASOF),AP$72+6),HOLIDAYS)))</f>
        <v>0</v>
      </c>
      <c r="AQ268" s="289" t="n">
        <f aca="false">IF($L268=0,0,$L268*MAX(0,NETWORKDAYS(MAX($H268,ASOF,AQ$72),MIN(MAX($I268,ASOF),AQ$72+6),HOLIDAYS)))</f>
        <v>0</v>
      </c>
      <c r="AR268" s="289" t="n">
        <f aca="false">IF($L268=0,0,$L268*MAX(0,NETWORKDAYS(MAX($H268,ASOF,AR$72),MIN(MAX($I268,ASOF),AR$72+6),HOLIDAYS)))</f>
        <v>0</v>
      </c>
    </row>
    <row r="269" customFormat="false" ht="15" hidden="false" customHeight="false" outlineLevel="1" collapsed="false">
      <c r="A269" s="282" t="s">
        <v>106</v>
      </c>
      <c r="B269" s="283" t="s">
        <v>108</v>
      </c>
      <c r="C269" s="284" t="s">
        <v>2363</v>
      </c>
      <c r="D269" s="284" t="s">
        <v>2290</v>
      </c>
      <c r="E269" s="285" t="n">
        <v>1</v>
      </c>
      <c r="F269" s="290" t="s">
        <v>35</v>
      </c>
      <c r="G269" s="285" t="n">
        <f aca="false">IF(IFERROR(INDEX(INVS_TYPE,MATCH("P9-017",INVS_ID,0)),"")="สร้างใหม่ (E09)",$F$9*$H$9,0)</f>
        <v>24</v>
      </c>
      <c r="H269" s="286" t="n">
        <f aca="false">IF(ISNUMBER('P9-017'!$N$85),'P9-017'!$N$85,"")</f>
        <v>46343</v>
      </c>
      <c r="I269" s="286" t="n">
        <f aca="false">IF(ISNUMBER('P9-017'!$O$85),'P9-017'!$O$85,"")</f>
        <v>46346</v>
      </c>
      <c r="J269" s="287" t="n">
        <f aca="false">IF(OR(H269="",I269="",N269&gt;=1),0,MAX(1,NETWORKDAYS(MAX(H269,ASOF),MAX(I269,ASOF),HOLIDAYS)))</f>
        <v>4</v>
      </c>
      <c r="K269" s="287" t="n">
        <f aca="false">IF(L269=0,0,ROUNDUP(L269/$F$9,0))</f>
        <v>2</v>
      </c>
      <c r="L269" s="285" t="n">
        <f aca="false">IF(J269=0,0,G269*(1-N269)/J269)</f>
        <v>6</v>
      </c>
      <c r="M269" s="283" t="s">
        <v>2288</v>
      </c>
      <c r="N269" s="288" t="n">
        <f aca="false">IFERROR(MIN(1,'P9-017'!$V$85)+0,0)</f>
        <v>0</v>
      </c>
      <c r="O269" s="289" t="n">
        <f aca="false">IF($L269=0,0,$L269*MAX(0,NETWORKDAYS(MAX($H269,ASOF,O$72),MIN(MAX($I269,ASOF),O$72+6),HOLIDAYS)))</f>
        <v>0</v>
      </c>
      <c r="P269" s="289" t="n">
        <f aca="false">IF($L269=0,0,$L269*MAX(0,NETWORKDAYS(MAX($H269,ASOF,P$72),MIN(MAX($I269,ASOF),P$72+6),HOLIDAYS)))</f>
        <v>0</v>
      </c>
      <c r="Q269" s="289" t="n">
        <f aca="false">IF($L269=0,0,$L269*MAX(0,NETWORKDAYS(MAX($H269,ASOF,Q$72),MIN(MAX($I269,ASOF),Q$72+6),HOLIDAYS)))</f>
        <v>24</v>
      </c>
      <c r="R269" s="289" t="n">
        <f aca="false">IF($L269=0,0,$L269*MAX(0,NETWORKDAYS(MAX($H269,ASOF,R$72),MIN(MAX($I269,ASOF),R$72+6),HOLIDAYS)))</f>
        <v>0</v>
      </c>
      <c r="S269" s="289" t="n">
        <f aca="false">IF($L269=0,0,$L269*MAX(0,NETWORKDAYS(MAX($H269,ASOF,S$72),MIN(MAX($I269,ASOF),S$72+6),HOLIDAYS)))</f>
        <v>0</v>
      </c>
      <c r="T269" s="289" t="n">
        <f aca="false">IF($L269=0,0,$L269*MAX(0,NETWORKDAYS(MAX($H269,ASOF,T$72),MIN(MAX($I269,ASOF),T$72+6),HOLIDAYS)))</f>
        <v>0</v>
      </c>
      <c r="U269" s="289" t="n">
        <f aca="false">IF($L269=0,0,$L269*MAX(0,NETWORKDAYS(MAX($H269,ASOF,U$72),MIN(MAX($I269,ASOF),U$72+6),HOLIDAYS)))</f>
        <v>0</v>
      </c>
      <c r="V269" s="289" t="n">
        <f aca="false">IF($L269=0,0,$L269*MAX(0,NETWORKDAYS(MAX($H269,ASOF,V$72),MIN(MAX($I269,ASOF),V$72+6),HOLIDAYS)))</f>
        <v>0</v>
      </c>
      <c r="W269" s="289" t="n">
        <f aca="false">IF($L269=0,0,$L269*MAX(0,NETWORKDAYS(MAX($H269,ASOF,W$72),MIN(MAX($I269,ASOF),W$72+6),HOLIDAYS)))</f>
        <v>0</v>
      </c>
      <c r="X269" s="289" t="n">
        <f aca="false">IF($L269=0,0,$L269*MAX(0,NETWORKDAYS(MAX($H269,ASOF,X$72),MIN(MAX($I269,ASOF),X$72+6),HOLIDAYS)))</f>
        <v>0</v>
      </c>
      <c r="Y269" s="289" t="n">
        <f aca="false">IF($L269=0,0,$L269*MAX(0,NETWORKDAYS(MAX($H269,ASOF,Y$72),MIN(MAX($I269,ASOF),Y$72+6),HOLIDAYS)))</f>
        <v>0</v>
      </c>
      <c r="Z269" s="289" t="n">
        <f aca="false">IF($L269=0,0,$L269*MAX(0,NETWORKDAYS(MAX($H269,ASOF,Z$72),MIN(MAX($I269,ASOF),Z$72+6),HOLIDAYS)))</f>
        <v>0</v>
      </c>
      <c r="AA269" s="289" t="n">
        <f aca="false">IF($L269=0,0,$L269*MAX(0,NETWORKDAYS(MAX($H269,ASOF,AA$72),MIN(MAX($I269,ASOF),AA$72+6),HOLIDAYS)))</f>
        <v>0</v>
      </c>
      <c r="AB269" s="289" t="n">
        <f aca="false">IF($L269=0,0,$L269*MAX(0,NETWORKDAYS(MAX($H269,ASOF,AB$72),MIN(MAX($I269,ASOF),AB$72+6),HOLIDAYS)))</f>
        <v>0</v>
      </c>
      <c r="AC269" s="289" t="n">
        <f aca="false">IF($L269=0,0,$L269*MAX(0,NETWORKDAYS(MAX($H269,ASOF,AC$72),MIN(MAX($I269,ASOF),AC$72+6),HOLIDAYS)))</f>
        <v>0</v>
      </c>
      <c r="AD269" s="289" t="n">
        <f aca="false">IF($L269=0,0,$L269*MAX(0,NETWORKDAYS(MAX($H269,ASOF,AD$72),MIN(MAX($I269,ASOF),AD$72+6),HOLIDAYS)))</f>
        <v>0</v>
      </c>
      <c r="AE269" s="289" t="n">
        <f aca="false">IF($L269=0,0,$L269*MAX(0,NETWORKDAYS(MAX($H269,ASOF,AE$72),MIN(MAX($I269,ASOF),AE$72+6),HOLIDAYS)))</f>
        <v>0</v>
      </c>
      <c r="AF269" s="289" t="n">
        <f aca="false">IF($L269=0,0,$L269*MAX(0,NETWORKDAYS(MAX($H269,ASOF,AF$72),MIN(MAX($I269,ASOF),AF$72+6),HOLIDAYS)))</f>
        <v>0</v>
      </c>
      <c r="AG269" s="289" t="n">
        <f aca="false">IF($L269=0,0,$L269*MAX(0,NETWORKDAYS(MAX($H269,ASOF,AG$72),MIN(MAX($I269,ASOF),AG$72+6),HOLIDAYS)))</f>
        <v>0</v>
      </c>
      <c r="AH269" s="289" t="n">
        <f aca="false">IF($L269=0,0,$L269*MAX(0,NETWORKDAYS(MAX($H269,ASOF,AH$72),MIN(MAX($I269,ASOF),AH$72+6),HOLIDAYS)))</f>
        <v>0</v>
      </c>
      <c r="AI269" s="289" t="n">
        <f aca="false">IF($L269=0,0,$L269*MAX(0,NETWORKDAYS(MAX($H269,ASOF,AI$72),MIN(MAX($I269,ASOF),AI$72+6),HOLIDAYS)))</f>
        <v>0</v>
      </c>
      <c r="AJ269" s="289" t="n">
        <f aca="false">IF($L269=0,0,$L269*MAX(0,NETWORKDAYS(MAX($H269,ASOF,AJ$72),MIN(MAX($I269,ASOF),AJ$72+6),HOLIDAYS)))</f>
        <v>0</v>
      </c>
      <c r="AK269" s="289" t="n">
        <f aca="false">IF($L269=0,0,$L269*MAX(0,NETWORKDAYS(MAX($H269,ASOF,AK$72),MIN(MAX($I269,ASOF),AK$72+6),HOLIDAYS)))</f>
        <v>0</v>
      </c>
      <c r="AL269" s="289" t="n">
        <f aca="false">IF($L269=0,0,$L269*MAX(0,NETWORKDAYS(MAX($H269,ASOF,AL$72),MIN(MAX($I269,ASOF),AL$72+6),HOLIDAYS)))</f>
        <v>0</v>
      </c>
      <c r="AM269" s="289" t="n">
        <f aca="false">IF($L269=0,0,$L269*MAX(0,NETWORKDAYS(MAX($H269,ASOF,AM$72),MIN(MAX($I269,ASOF),AM$72+6),HOLIDAYS)))</f>
        <v>0</v>
      </c>
      <c r="AN269" s="289" t="n">
        <f aca="false">IF($L269=0,0,$L269*MAX(0,NETWORKDAYS(MAX($H269,ASOF,AN$72),MIN(MAX($I269,ASOF),AN$72+6),HOLIDAYS)))</f>
        <v>0</v>
      </c>
      <c r="AO269" s="289" t="n">
        <f aca="false">IF($L269=0,0,$L269*MAX(0,NETWORKDAYS(MAX($H269,ASOF,AO$72),MIN(MAX($I269,ASOF),AO$72+6),HOLIDAYS)))</f>
        <v>0</v>
      </c>
      <c r="AP269" s="289" t="n">
        <f aca="false">IF($L269=0,0,$L269*MAX(0,NETWORKDAYS(MAX($H269,ASOF,AP$72),MIN(MAX($I269,ASOF),AP$72+6),HOLIDAYS)))</f>
        <v>0</v>
      </c>
      <c r="AQ269" s="289" t="n">
        <f aca="false">IF($L269=0,0,$L269*MAX(0,NETWORKDAYS(MAX($H269,ASOF,AQ$72),MIN(MAX($I269,ASOF),AQ$72+6),HOLIDAYS)))</f>
        <v>0</v>
      </c>
      <c r="AR269" s="289" t="n">
        <f aca="false">IF($L269=0,0,$L269*MAX(0,NETWORKDAYS(MAX($H269,ASOF,AR$72),MIN(MAX($I269,ASOF),AR$72+6),HOLIDAYS)))</f>
        <v>0</v>
      </c>
    </row>
    <row r="270" customFormat="false" ht="15" hidden="false" customHeight="false" outlineLevel="1" collapsed="false">
      <c r="A270" s="282" t="s">
        <v>106</v>
      </c>
      <c r="B270" s="283" t="s">
        <v>108</v>
      </c>
      <c r="C270" s="284" t="s">
        <v>2364</v>
      </c>
      <c r="D270" s="284" t="s">
        <v>2284</v>
      </c>
      <c r="E270" s="285" t="n">
        <f aca="false">IFERROR(INDEX(INVS_N,MATCH("P9-017",INVS_ID,0)),1)</f>
        <v>1</v>
      </c>
      <c r="F270" s="290" t="s">
        <v>2365</v>
      </c>
      <c r="G270" s="285" t="n">
        <f aca="false">$F$10*(E270/$G$10+$H$10)</f>
        <v>3</v>
      </c>
      <c r="H270" s="286" t="n">
        <f aca="false">IF(ISNUMBER('P9-017'!$N$85),'P9-017'!$N$85,"")</f>
        <v>46343</v>
      </c>
      <c r="I270" s="286" t="n">
        <f aca="false">IF(ISNUMBER('P9-017'!$O$85),'P9-017'!$O$85,"")</f>
        <v>46346</v>
      </c>
      <c r="J270" s="287" t="n">
        <f aca="false">IF(OR(H270="",I270="",N270&gt;=1),0,MAX(1,NETWORKDAYS(MAX(H270,ASOF),MAX(I270,ASOF),HOLIDAYS)))</f>
        <v>4</v>
      </c>
      <c r="K270" s="287" t="n">
        <f aca="false">IF(L270=0,0,ROUNDUP(L270/$F$10,0))</f>
        <v>1</v>
      </c>
      <c r="L270" s="285" t="n">
        <f aca="false">IF(J270=0,0,G270*(1-N270)/J270)</f>
        <v>0.75</v>
      </c>
      <c r="M270" s="283" t="s">
        <v>2293</v>
      </c>
      <c r="N270" s="288" t="n">
        <f aca="false">IFERROR(MIN(1,'P9-017'!$V$85)+0,0)</f>
        <v>0</v>
      </c>
      <c r="O270" s="289" t="n">
        <f aca="false">IF($L270=0,0,$L270*MAX(0,NETWORKDAYS(MAX($H270,ASOF,O$72),MIN(MAX($I270,ASOF),O$72+6),HOLIDAYS)))</f>
        <v>0</v>
      </c>
      <c r="P270" s="289" t="n">
        <f aca="false">IF($L270=0,0,$L270*MAX(0,NETWORKDAYS(MAX($H270,ASOF,P$72),MIN(MAX($I270,ASOF),P$72+6),HOLIDAYS)))</f>
        <v>0</v>
      </c>
      <c r="Q270" s="289" t="n">
        <f aca="false">IF($L270=0,0,$L270*MAX(0,NETWORKDAYS(MAX($H270,ASOF,Q$72),MIN(MAX($I270,ASOF),Q$72+6),HOLIDAYS)))</f>
        <v>3</v>
      </c>
      <c r="R270" s="289" t="n">
        <f aca="false">IF($L270=0,0,$L270*MAX(0,NETWORKDAYS(MAX($H270,ASOF,R$72),MIN(MAX($I270,ASOF),R$72+6),HOLIDAYS)))</f>
        <v>0</v>
      </c>
      <c r="S270" s="289" t="n">
        <f aca="false">IF($L270=0,0,$L270*MAX(0,NETWORKDAYS(MAX($H270,ASOF,S$72),MIN(MAX($I270,ASOF),S$72+6),HOLIDAYS)))</f>
        <v>0</v>
      </c>
      <c r="T270" s="289" t="n">
        <f aca="false">IF($L270=0,0,$L270*MAX(0,NETWORKDAYS(MAX($H270,ASOF,T$72),MIN(MAX($I270,ASOF),T$72+6),HOLIDAYS)))</f>
        <v>0</v>
      </c>
      <c r="U270" s="289" t="n">
        <f aca="false">IF($L270=0,0,$L270*MAX(0,NETWORKDAYS(MAX($H270,ASOF,U$72),MIN(MAX($I270,ASOF),U$72+6),HOLIDAYS)))</f>
        <v>0</v>
      </c>
      <c r="V270" s="289" t="n">
        <f aca="false">IF($L270=0,0,$L270*MAX(0,NETWORKDAYS(MAX($H270,ASOF,V$72),MIN(MAX($I270,ASOF),V$72+6),HOLIDAYS)))</f>
        <v>0</v>
      </c>
      <c r="W270" s="289" t="n">
        <f aca="false">IF($L270=0,0,$L270*MAX(0,NETWORKDAYS(MAX($H270,ASOF,W$72),MIN(MAX($I270,ASOF),W$72+6),HOLIDAYS)))</f>
        <v>0</v>
      </c>
      <c r="X270" s="289" t="n">
        <f aca="false">IF($L270=0,0,$L270*MAX(0,NETWORKDAYS(MAX($H270,ASOF,X$72),MIN(MAX($I270,ASOF),X$72+6),HOLIDAYS)))</f>
        <v>0</v>
      </c>
      <c r="Y270" s="289" t="n">
        <f aca="false">IF($L270=0,0,$L270*MAX(0,NETWORKDAYS(MAX($H270,ASOF,Y$72),MIN(MAX($I270,ASOF),Y$72+6),HOLIDAYS)))</f>
        <v>0</v>
      </c>
      <c r="Z270" s="289" t="n">
        <f aca="false">IF($L270=0,0,$L270*MAX(0,NETWORKDAYS(MAX($H270,ASOF,Z$72),MIN(MAX($I270,ASOF),Z$72+6),HOLIDAYS)))</f>
        <v>0</v>
      </c>
      <c r="AA270" s="289" t="n">
        <f aca="false">IF($L270=0,0,$L270*MAX(0,NETWORKDAYS(MAX($H270,ASOF,AA$72),MIN(MAX($I270,ASOF),AA$72+6),HOLIDAYS)))</f>
        <v>0</v>
      </c>
      <c r="AB270" s="289" t="n">
        <f aca="false">IF($L270=0,0,$L270*MAX(0,NETWORKDAYS(MAX($H270,ASOF,AB$72),MIN(MAX($I270,ASOF),AB$72+6),HOLIDAYS)))</f>
        <v>0</v>
      </c>
      <c r="AC270" s="289" t="n">
        <f aca="false">IF($L270=0,0,$L270*MAX(0,NETWORKDAYS(MAX($H270,ASOF,AC$72),MIN(MAX($I270,ASOF),AC$72+6),HOLIDAYS)))</f>
        <v>0</v>
      </c>
      <c r="AD270" s="289" t="n">
        <f aca="false">IF($L270=0,0,$L270*MAX(0,NETWORKDAYS(MAX($H270,ASOF,AD$72),MIN(MAX($I270,ASOF),AD$72+6),HOLIDAYS)))</f>
        <v>0</v>
      </c>
      <c r="AE270" s="289" t="n">
        <f aca="false">IF($L270=0,0,$L270*MAX(0,NETWORKDAYS(MAX($H270,ASOF,AE$72),MIN(MAX($I270,ASOF),AE$72+6),HOLIDAYS)))</f>
        <v>0</v>
      </c>
      <c r="AF270" s="289" t="n">
        <f aca="false">IF($L270=0,0,$L270*MAX(0,NETWORKDAYS(MAX($H270,ASOF,AF$72),MIN(MAX($I270,ASOF),AF$72+6),HOLIDAYS)))</f>
        <v>0</v>
      </c>
      <c r="AG270" s="289" t="n">
        <f aca="false">IF($L270=0,0,$L270*MAX(0,NETWORKDAYS(MAX($H270,ASOF,AG$72),MIN(MAX($I270,ASOF),AG$72+6),HOLIDAYS)))</f>
        <v>0</v>
      </c>
      <c r="AH270" s="289" t="n">
        <f aca="false">IF($L270=0,0,$L270*MAX(0,NETWORKDAYS(MAX($H270,ASOF,AH$72),MIN(MAX($I270,ASOF),AH$72+6),HOLIDAYS)))</f>
        <v>0</v>
      </c>
      <c r="AI270" s="289" t="n">
        <f aca="false">IF($L270=0,0,$L270*MAX(0,NETWORKDAYS(MAX($H270,ASOF,AI$72),MIN(MAX($I270,ASOF),AI$72+6),HOLIDAYS)))</f>
        <v>0</v>
      </c>
      <c r="AJ270" s="289" t="n">
        <f aca="false">IF($L270=0,0,$L270*MAX(0,NETWORKDAYS(MAX($H270,ASOF,AJ$72),MIN(MAX($I270,ASOF),AJ$72+6),HOLIDAYS)))</f>
        <v>0</v>
      </c>
      <c r="AK270" s="289" t="n">
        <f aca="false">IF($L270=0,0,$L270*MAX(0,NETWORKDAYS(MAX($H270,ASOF,AK$72),MIN(MAX($I270,ASOF),AK$72+6),HOLIDAYS)))</f>
        <v>0</v>
      </c>
      <c r="AL270" s="289" t="n">
        <f aca="false">IF($L270=0,0,$L270*MAX(0,NETWORKDAYS(MAX($H270,ASOF,AL$72),MIN(MAX($I270,ASOF),AL$72+6),HOLIDAYS)))</f>
        <v>0</v>
      </c>
      <c r="AM270" s="289" t="n">
        <f aca="false">IF($L270=0,0,$L270*MAX(0,NETWORKDAYS(MAX($H270,ASOF,AM$72),MIN(MAX($I270,ASOF),AM$72+6),HOLIDAYS)))</f>
        <v>0</v>
      </c>
      <c r="AN270" s="289" t="n">
        <f aca="false">IF($L270=0,0,$L270*MAX(0,NETWORKDAYS(MAX($H270,ASOF,AN$72),MIN(MAX($I270,ASOF),AN$72+6),HOLIDAYS)))</f>
        <v>0</v>
      </c>
      <c r="AO270" s="289" t="n">
        <f aca="false">IF($L270=0,0,$L270*MAX(0,NETWORKDAYS(MAX($H270,ASOF,AO$72),MIN(MAX($I270,ASOF),AO$72+6),HOLIDAYS)))</f>
        <v>0</v>
      </c>
      <c r="AP270" s="289" t="n">
        <f aca="false">IF($L270=0,0,$L270*MAX(0,NETWORKDAYS(MAX($H270,ASOF,AP$72),MIN(MAX($I270,ASOF),AP$72+6),HOLIDAYS)))</f>
        <v>0</v>
      </c>
      <c r="AQ270" s="289" t="n">
        <f aca="false">IF($L270=0,0,$L270*MAX(0,NETWORKDAYS(MAX($H270,ASOF,AQ$72),MIN(MAX($I270,ASOF),AQ$72+6),HOLIDAYS)))</f>
        <v>0</v>
      </c>
      <c r="AR270" s="289" t="n">
        <f aca="false">IF($L270=0,0,$L270*MAX(0,NETWORKDAYS(MAX($H270,ASOF,AR$72),MIN(MAX($I270,ASOF),AR$72+6),HOLIDAYS)))</f>
        <v>0</v>
      </c>
    </row>
    <row r="271" customFormat="false" ht="15" hidden="false" customHeight="false" outlineLevel="1" collapsed="false">
      <c r="A271" s="282" t="s">
        <v>106</v>
      </c>
      <c r="B271" s="283" t="s">
        <v>108</v>
      </c>
      <c r="C271" s="284" t="s">
        <v>2366</v>
      </c>
      <c r="D271" s="284" t="s">
        <v>2284</v>
      </c>
      <c r="E271" s="285" t="n">
        <v>1</v>
      </c>
      <c r="F271" s="290" t="s">
        <v>35</v>
      </c>
      <c r="G271" s="285" t="n">
        <f aca="false">$F$11*$H$11</f>
        <v>16</v>
      </c>
      <c r="H271" s="286" t="n">
        <f aca="false">IF(ISNUMBER('P9-017'!$N$90),'P9-017'!$N$90,"")</f>
        <v>46344</v>
      </c>
      <c r="I271" s="286" t="n">
        <f aca="false">IF(ISNUMBER('P9-017'!$O$90),'P9-017'!$O$90,"")</f>
        <v>46347</v>
      </c>
      <c r="J271" s="287" t="n">
        <f aca="false">IF(OR(H271="",I271="",N271&gt;=1),0,MAX(1,NETWORKDAYS(MAX(H271,ASOF),MAX(I271,ASOF),HOLIDAYS)))</f>
        <v>3</v>
      </c>
      <c r="K271" s="287" t="n">
        <f aca="false">IF(L271=0,0,ROUNDUP(L271/$F$11,0))</f>
        <v>2</v>
      </c>
      <c r="L271" s="285" t="n">
        <f aca="false">IF(J271=0,0,G271*(1-N271)/J271)</f>
        <v>5.33333333333333</v>
      </c>
      <c r="M271" s="283" t="s">
        <v>1113</v>
      </c>
      <c r="N271" s="288" t="n">
        <f aca="false">IFERROR(MIN(1,'P9-017'!$V$90)+0,0)</f>
        <v>0</v>
      </c>
      <c r="O271" s="289" t="n">
        <f aca="false">IF($L271=0,0,$L271*MAX(0,NETWORKDAYS(MAX($H271,ASOF,O$72),MIN(MAX($I271,ASOF),O$72+6),HOLIDAYS)))</f>
        <v>0</v>
      </c>
      <c r="P271" s="289" t="n">
        <f aca="false">IF($L271=0,0,$L271*MAX(0,NETWORKDAYS(MAX($H271,ASOF,P$72),MIN(MAX($I271,ASOF),P$72+6),HOLIDAYS)))</f>
        <v>0</v>
      </c>
      <c r="Q271" s="289" t="n">
        <f aca="false">IF($L271=0,0,$L271*MAX(0,NETWORKDAYS(MAX($H271,ASOF,Q$72),MIN(MAX($I271,ASOF),Q$72+6),HOLIDAYS)))</f>
        <v>16</v>
      </c>
      <c r="R271" s="289" t="n">
        <f aca="false">IF($L271=0,0,$L271*MAX(0,NETWORKDAYS(MAX($H271,ASOF,R$72),MIN(MAX($I271,ASOF),R$72+6),HOLIDAYS)))</f>
        <v>0</v>
      </c>
      <c r="S271" s="289" t="n">
        <f aca="false">IF($L271=0,0,$L271*MAX(0,NETWORKDAYS(MAX($H271,ASOF,S$72),MIN(MAX($I271,ASOF),S$72+6),HOLIDAYS)))</f>
        <v>0</v>
      </c>
      <c r="T271" s="289" t="n">
        <f aca="false">IF($L271=0,0,$L271*MAX(0,NETWORKDAYS(MAX($H271,ASOF,T$72),MIN(MAX($I271,ASOF),T$72+6),HOLIDAYS)))</f>
        <v>0</v>
      </c>
      <c r="U271" s="289" t="n">
        <f aca="false">IF($L271=0,0,$L271*MAX(0,NETWORKDAYS(MAX($H271,ASOF,U$72),MIN(MAX($I271,ASOF),U$72+6),HOLIDAYS)))</f>
        <v>0</v>
      </c>
      <c r="V271" s="289" t="n">
        <f aca="false">IF($L271=0,0,$L271*MAX(0,NETWORKDAYS(MAX($H271,ASOF,V$72),MIN(MAX($I271,ASOF),V$72+6),HOLIDAYS)))</f>
        <v>0</v>
      </c>
      <c r="W271" s="289" t="n">
        <f aca="false">IF($L271=0,0,$L271*MAX(0,NETWORKDAYS(MAX($H271,ASOF,W$72),MIN(MAX($I271,ASOF),W$72+6),HOLIDAYS)))</f>
        <v>0</v>
      </c>
      <c r="X271" s="289" t="n">
        <f aca="false">IF($L271=0,0,$L271*MAX(0,NETWORKDAYS(MAX($H271,ASOF,X$72),MIN(MAX($I271,ASOF),X$72+6),HOLIDAYS)))</f>
        <v>0</v>
      </c>
      <c r="Y271" s="289" t="n">
        <f aca="false">IF($L271=0,0,$L271*MAX(0,NETWORKDAYS(MAX($H271,ASOF,Y$72),MIN(MAX($I271,ASOF),Y$72+6),HOLIDAYS)))</f>
        <v>0</v>
      </c>
      <c r="Z271" s="289" t="n">
        <f aca="false">IF($L271=0,0,$L271*MAX(0,NETWORKDAYS(MAX($H271,ASOF,Z$72),MIN(MAX($I271,ASOF),Z$72+6),HOLIDAYS)))</f>
        <v>0</v>
      </c>
      <c r="AA271" s="289" t="n">
        <f aca="false">IF($L271=0,0,$L271*MAX(0,NETWORKDAYS(MAX($H271,ASOF,AA$72),MIN(MAX($I271,ASOF),AA$72+6),HOLIDAYS)))</f>
        <v>0</v>
      </c>
      <c r="AB271" s="289" t="n">
        <f aca="false">IF($L271=0,0,$L271*MAX(0,NETWORKDAYS(MAX($H271,ASOF,AB$72),MIN(MAX($I271,ASOF),AB$72+6),HOLIDAYS)))</f>
        <v>0</v>
      </c>
      <c r="AC271" s="289" t="n">
        <f aca="false">IF($L271=0,0,$L271*MAX(0,NETWORKDAYS(MAX($H271,ASOF,AC$72),MIN(MAX($I271,ASOF),AC$72+6),HOLIDAYS)))</f>
        <v>0</v>
      </c>
      <c r="AD271" s="289" t="n">
        <f aca="false">IF($L271=0,0,$L271*MAX(0,NETWORKDAYS(MAX($H271,ASOF,AD$72),MIN(MAX($I271,ASOF),AD$72+6),HOLIDAYS)))</f>
        <v>0</v>
      </c>
      <c r="AE271" s="289" t="n">
        <f aca="false">IF($L271=0,0,$L271*MAX(0,NETWORKDAYS(MAX($H271,ASOF,AE$72),MIN(MAX($I271,ASOF),AE$72+6),HOLIDAYS)))</f>
        <v>0</v>
      </c>
      <c r="AF271" s="289" t="n">
        <f aca="false">IF($L271=0,0,$L271*MAX(0,NETWORKDAYS(MAX($H271,ASOF,AF$72),MIN(MAX($I271,ASOF),AF$72+6),HOLIDAYS)))</f>
        <v>0</v>
      </c>
      <c r="AG271" s="289" t="n">
        <f aca="false">IF($L271=0,0,$L271*MAX(0,NETWORKDAYS(MAX($H271,ASOF,AG$72),MIN(MAX($I271,ASOF),AG$72+6),HOLIDAYS)))</f>
        <v>0</v>
      </c>
      <c r="AH271" s="289" t="n">
        <f aca="false">IF($L271=0,0,$L271*MAX(0,NETWORKDAYS(MAX($H271,ASOF,AH$72),MIN(MAX($I271,ASOF),AH$72+6),HOLIDAYS)))</f>
        <v>0</v>
      </c>
      <c r="AI271" s="289" t="n">
        <f aca="false">IF($L271=0,0,$L271*MAX(0,NETWORKDAYS(MAX($H271,ASOF,AI$72),MIN(MAX($I271,ASOF),AI$72+6),HOLIDAYS)))</f>
        <v>0</v>
      </c>
      <c r="AJ271" s="289" t="n">
        <f aca="false">IF($L271=0,0,$L271*MAX(0,NETWORKDAYS(MAX($H271,ASOF,AJ$72),MIN(MAX($I271,ASOF),AJ$72+6),HOLIDAYS)))</f>
        <v>0</v>
      </c>
      <c r="AK271" s="289" t="n">
        <f aca="false">IF($L271=0,0,$L271*MAX(0,NETWORKDAYS(MAX($H271,ASOF,AK$72),MIN(MAX($I271,ASOF),AK$72+6),HOLIDAYS)))</f>
        <v>0</v>
      </c>
      <c r="AL271" s="289" t="n">
        <f aca="false">IF($L271=0,0,$L271*MAX(0,NETWORKDAYS(MAX($H271,ASOF,AL$72),MIN(MAX($I271,ASOF),AL$72+6),HOLIDAYS)))</f>
        <v>0</v>
      </c>
      <c r="AM271" s="289" t="n">
        <f aca="false">IF($L271=0,0,$L271*MAX(0,NETWORKDAYS(MAX($H271,ASOF,AM$72),MIN(MAX($I271,ASOF),AM$72+6),HOLIDAYS)))</f>
        <v>0</v>
      </c>
      <c r="AN271" s="289" t="n">
        <f aca="false">IF($L271=0,0,$L271*MAX(0,NETWORKDAYS(MAX($H271,ASOF,AN$72),MIN(MAX($I271,ASOF),AN$72+6),HOLIDAYS)))</f>
        <v>0</v>
      </c>
      <c r="AO271" s="289" t="n">
        <f aca="false">IF($L271=0,0,$L271*MAX(0,NETWORKDAYS(MAX($H271,ASOF,AO$72),MIN(MAX($I271,ASOF),AO$72+6),HOLIDAYS)))</f>
        <v>0</v>
      </c>
      <c r="AP271" s="289" t="n">
        <f aca="false">IF($L271=0,0,$L271*MAX(0,NETWORKDAYS(MAX($H271,ASOF,AP$72),MIN(MAX($I271,ASOF),AP$72+6),HOLIDAYS)))</f>
        <v>0</v>
      </c>
      <c r="AQ271" s="289" t="n">
        <f aca="false">IF($L271=0,0,$L271*MAX(0,NETWORKDAYS(MAX($H271,ASOF,AQ$72),MIN(MAX($I271,ASOF),AQ$72+6),HOLIDAYS)))</f>
        <v>0</v>
      </c>
      <c r="AR271" s="289" t="n">
        <f aca="false">IF($L271=0,0,$L271*MAX(0,NETWORKDAYS(MAX($H271,ASOF,AR$72),MIN(MAX($I271,ASOF),AR$72+6),HOLIDAYS)))</f>
        <v>0</v>
      </c>
    </row>
    <row r="272" customFormat="false" ht="15" hidden="false" customHeight="false" outlineLevel="1" collapsed="false">
      <c r="A272" s="282" t="s">
        <v>106</v>
      </c>
      <c r="B272" s="283" t="s">
        <v>108</v>
      </c>
      <c r="C272" s="284" t="s">
        <v>2367</v>
      </c>
      <c r="D272" s="284" t="s">
        <v>2284</v>
      </c>
      <c r="E272" s="285" t="n">
        <v>1</v>
      </c>
      <c r="F272" s="290" t="s">
        <v>35</v>
      </c>
      <c r="G272" s="285" t="n">
        <f aca="false">$F$12*$H$12</f>
        <v>4</v>
      </c>
      <c r="H272" s="286" t="n">
        <f aca="false">IF(ISNUMBER('P9-017'!$N$96),'P9-017'!$N$96,"")</f>
        <v>46345</v>
      </c>
      <c r="I272" s="286" t="n">
        <f aca="false">IF(ISNUMBER('P9-017'!$O$96),'P9-017'!$O$96,"")</f>
        <v>46347</v>
      </c>
      <c r="J272" s="287" t="n">
        <f aca="false">IF(OR(H272="",I272="",N272&gt;=1),0,MAX(1,NETWORKDAYS(MAX(H272,ASOF),MAX(I272,ASOF),HOLIDAYS)))</f>
        <v>2</v>
      </c>
      <c r="K272" s="287" t="n">
        <f aca="false">IF(L272=0,0,ROUNDUP(L272/$F$12,0))</f>
        <v>1</v>
      </c>
      <c r="L272" s="285" t="n">
        <f aca="false">IF(J272=0,0,G272*(1-N272)/J272)</f>
        <v>2</v>
      </c>
      <c r="M272" s="283" t="s">
        <v>1147</v>
      </c>
      <c r="N272" s="288" t="n">
        <f aca="false">IFERROR(MIN(1,'P9-017'!$V$96)+0,0)</f>
        <v>0</v>
      </c>
      <c r="O272" s="289" t="n">
        <f aca="false">IF($L272=0,0,$L272*MAX(0,NETWORKDAYS(MAX($H272,ASOF,O$72),MIN(MAX($I272,ASOF),O$72+6),HOLIDAYS)))</f>
        <v>0</v>
      </c>
      <c r="P272" s="289" t="n">
        <f aca="false">IF($L272=0,0,$L272*MAX(0,NETWORKDAYS(MAX($H272,ASOF,P$72),MIN(MAX($I272,ASOF),P$72+6),HOLIDAYS)))</f>
        <v>0</v>
      </c>
      <c r="Q272" s="289" t="n">
        <f aca="false">IF($L272=0,0,$L272*MAX(0,NETWORKDAYS(MAX($H272,ASOF,Q$72),MIN(MAX($I272,ASOF),Q$72+6),HOLIDAYS)))</f>
        <v>4</v>
      </c>
      <c r="R272" s="289" t="n">
        <f aca="false">IF($L272=0,0,$L272*MAX(0,NETWORKDAYS(MAX($H272,ASOF,R$72),MIN(MAX($I272,ASOF),R$72+6),HOLIDAYS)))</f>
        <v>0</v>
      </c>
      <c r="S272" s="289" t="n">
        <f aca="false">IF($L272=0,0,$L272*MAX(0,NETWORKDAYS(MAX($H272,ASOF,S$72),MIN(MAX($I272,ASOF),S$72+6),HOLIDAYS)))</f>
        <v>0</v>
      </c>
      <c r="T272" s="289" t="n">
        <f aca="false">IF($L272=0,0,$L272*MAX(0,NETWORKDAYS(MAX($H272,ASOF,T$72),MIN(MAX($I272,ASOF),T$72+6),HOLIDAYS)))</f>
        <v>0</v>
      </c>
      <c r="U272" s="289" t="n">
        <f aca="false">IF($L272=0,0,$L272*MAX(0,NETWORKDAYS(MAX($H272,ASOF,U$72),MIN(MAX($I272,ASOF),U$72+6),HOLIDAYS)))</f>
        <v>0</v>
      </c>
      <c r="V272" s="289" t="n">
        <f aca="false">IF($L272=0,0,$L272*MAX(0,NETWORKDAYS(MAX($H272,ASOF,V$72),MIN(MAX($I272,ASOF),V$72+6),HOLIDAYS)))</f>
        <v>0</v>
      </c>
      <c r="W272" s="289" t="n">
        <f aca="false">IF($L272=0,0,$L272*MAX(0,NETWORKDAYS(MAX($H272,ASOF,W$72),MIN(MAX($I272,ASOF),W$72+6),HOLIDAYS)))</f>
        <v>0</v>
      </c>
      <c r="X272" s="289" t="n">
        <f aca="false">IF($L272=0,0,$L272*MAX(0,NETWORKDAYS(MAX($H272,ASOF,X$72),MIN(MAX($I272,ASOF),X$72+6),HOLIDAYS)))</f>
        <v>0</v>
      </c>
      <c r="Y272" s="289" t="n">
        <f aca="false">IF($L272=0,0,$L272*MAX(0,NETWORKDAYS(MAX($H272,ASOF,Y$72),MIN(MAX($I272,ASOF),Y$72+6),HOLIDAYS)))</f>
        <v>0</v>
      </c>
      <c r="Z272" s="289" t="n">
        <f aca="false">IF($L272=0,0,$L272*MAX(0,NETWORKDAYS(MAX($H272,ASOF,Z$72),MIN(MAX($I272,ASOF),Z$72+6),HOLIDAYS)))</f>
        <v>0</v>
      </c>
      <c r="AA272" s="289" t="n">
        <f aca="false">IF($L272=0,0,$L272*MAX(0,NETWORKDAYS(MAX($H272,ASOF,AA$72),MIN(MAX($I272,ASOF),AA$72+6),HOLIDAYS)))</f>
        <v>0</v>
      </c>
      <c r="AB272" s="289" t="n">
        <f aca="false">IF($L272=0,0,$L272*MAX(0,NETWORKDAYS(MAX($H272,ASOF,AB$72),MIN(MAX($I272,ASOF),AB$72+6),HOLIDAYS)))</f>
        <v>0</v>
      </c>
      <c r="AC272" s="289" t="n">
        <f aca="false">IF($L272=0,0,$L272*MAX(0,NETWORKDAYS(MAX($H272,ASOF,AC$72),MIN(MAX($I272,ASOF),AC$72+6),HOLIDAYS)))</f>
        <v>0</v>
      </c>
      <c r="AD272" s="289" t="n">
        <f aca="false">IF($L272=0,0,$L272*MAX(0,NETWORKDAYS(MAX($H272,ASOF,AD$72),MIN(MAX($I272,ASOF),AD$72+6),HOLIDAYS)))</f>
        <v>0</v>
      </c>
      <c r="AE272" s="289" t="n">
        <f aca="false">IF($L272=0,0,$L272*MAX(0,NETWORKDAYS(MAX($H272,ASOF,AE$72),MIN(MAX($I272,ASOF),AE$72+6),HOLIDAYS)))</f>
        <v>0</v>
      </c>
      <c r="AF272" s="289" t="n">
        <f aca="false">IF($L272=0,0,$L272*MAX(0,NETWORKDAYS(MAX($H272,ASOF,AF$72),MIN(MAX($I272,ASOF),AF$72+6),HOLIDAYS)))</f>
        <v>0</v>
      </c>
      <c r="AG272" s="289" t="n">
        <f aca="false">IF($L272=0,0,$L272*MAX(0,NETWORKDAYS(MAX($H272,ASOF,AG$72),MIN(MAX($I272,ASOF),AG$72+6),HOLIDAYS)))</f>
        <v>0</v>
      </c>
      <c r="AH272" s="289" t="n">
        <f aca="false">IF($L272=0,0,$L272*MAX(0,NETWORKDAYS(MAX($H272,ASOF,AH$72),MIN(MAX($I272,ASOF),AH$72+6),HOLIDAYS)))</f>
        <v>0</v>
      </c>
      <c r="AI272" s="289" t="n">
        <f aca="false">IF($L272=0,0,$L272*MAX(0,NETWORKDAYS(MAX($H272,ASOF,AI$72),MIN(MAX($I272,ASOF),AI$72+6),HOLIDAYS)))</f>
        <v>0</v>
      </c>
      <c r="AJ272" s="289" t="n">
        <f aca="false">IF($L272=0,0,$L272*MAX(0,NETWORKDAYS(MAX($H272,ASOF,AJ$72),MIN(MAX($I272,ASOF),AJ$72+6),HOLIDAYS)))</f>
        <v>0</v>
      </c>
      <c r="AK272" s="289" t="n">
        <f aca="false">IF($L272=0,0,$L272*MAX(0,NETWORKDAYS(MAX($H272,ASOF,AK$72),MIN(MAX($I272,ASOF),AK$72+6),HOLIDAYS)))</f>
        <v>0</v>
      </c>
      <c r="AL272" s="289" t="n">
        <f aca="false">IF($L272=0,0,$L272*MAX(0,NETWORKDAYS(MAX($H272,ASOF,AL$72),MIN(MAX($I272,ASOF),AL$72+6),HOLIDAYS)))</f>
        <v>0</v>
      </c>
      <c r="AM272" s="289" t="n">
        <f aca="false">IF($L272=0,0,$L272*MAX(0,NETWORKDAYS(MAX($H272,ASOF,AM$72),MIN(MAX($I272,ASOF),AM$72+6),HOLIDAYS)))</f>
        <v>0</v>
      </c>
      <c r="AN272" s="289" t="n">
        <f aca="false">IF($L272=0,0,$L272*MAX(0,NETWORKDAYS(MAX($H272,ASOF,AN$72),MIN(MAX($I272,ASOF),AN$72+6),HOLIDAYS)))</f>
        <v>0</v>
      </c>
      <c r="AO272" s="289" t="n">
        <f aca="false">IF($L272=0,0,$L272*MAX(0,NETWORKDAYS(MAX($H272,ASOF,AO$72),MIN(MAX($I272,ASOF),AO$72+6),HOLIDAYS)))</f>
        <v>0</v>
      </c>
      <c r="AP272" s="289" t="n">
        <f aca="false">IF($L272=0,0,$L272*MAX(0,NETWORKDAYS(MAX($H272,ASOF,AP$72),MIN(MAX($I272,ASOF),AP$72+6),HOLIDAYS)))</f>
        <v>0</v>
      </c>
      <c r="AQ272" s="289" t="n">
        <f aca="false">IF($L272=0,0,$L272*MAX(0,NETWORKDAYS(MAX($H272,ASOF,AQ$72),MIN(MAX($I272,ASOF),AQ$72+6),HOLIDAYS)))</f>
        <v>0</v>
      </c>
      <c r="AR272" s="289" t="n">
        <f aca="false">IF($L272=0,0,$L272*MAX(0,NETWORKDAYS(MAX($H272,ASOF,AR$72),MIN(MAX($I272,ASOF),AR$72+6),HOLIDAYS)))</f>
        <v>0</v>
      </c>
    </row>
    <row r="273" customFormat="false" ht="15" hidden="false" customHeight="false" outlineLevel="1" collapsed="false">
      <c r="A273" s="282" t="s">
        <v>106</v>
      </c>
      <c r="B273" s="283" t="s">
        <v>108</v>
      </c>
      <c r="C273" s="284" t="s">
        <v>2368</v>
      </c>
      <c r="D273" s="284" t="s">
        <v>2301</v>
      </c>
      <c r="E273" s="285" t="n">
        <v>1</v>
      </c>
      <c r="F273" s="290" t="s">
        <v>35</v>
      </c>
      <c r="G273" s="285" t="n">
        <f aca="false">$F$13*$H$13</f>
        <v>12</v>
      </c>
      <c r="H273" s="286" t="n">
        <f aca="false">IF(ISNUMBER('P9-017'!$N$100),'P9-017'!$N$100,"")</f>
        <v>46346</v>
      </c>
      <c r="I273" s="286" t="n">
        <f aca="false">IF(ISNUMBER('P9-017'!$O$100),'P9-017'!$O$100,"")</f>
        <v>46348</v>
      </c>
      <c r="J273" s="287" t="n">
        <f aca="false">IF(OR(H273="",I273="",N273&gt;=1),0,MAX(1,NETWORKDAYS(MAX(H273,ASOF),MAX(I273,ASOF),HOLIDAYS)))</f>
        <v>1</v>
      </c>
      <c r="K273" s="287" t="n">
        <f aca="false">IF(L273=0,0,ROUNDUP(L273/$F$13,0))</f>
        <v>3</v>
      </c>
      <c r="L273" s="285" t="n">
        <f aca="false">IF(J273=0,0,G273*(1-N273)/J273)</f>
        <v>12</v>
      </c>
      <c r="M273" s="283" t="s">
        <v>2299</v>
      </c>
      <c r="N273" s="288" t="n">
        <f aca="false">IFERROR(MIN(1,'P9-017'!$V$100)+0,0)</f>
        <v>0</v>
      </c>
      <c r="O273" s="289" t="n">
        <f aca="false">IF($L273=0,0,$L273*MAX(0,NETWORKDAYS(MAX($H273,ASOF,O$72),MIN(MAX($I273,ASOF),O$72+6),HOLIDAYS)))</f>
        <v>0</v>
      </c>
      <c r="P273" s="289" t="n">
        <f aca="false">IF($L273=0,0,$L273*MAX(0,NETWORKDAYS(MAX($H273,ASOF,P$72),MIN(MAX($I273,ASOF),P$72+6),HOLIDAYS)))</f>
        <v>0</v>
      </c>
      <c r="Q273" s="289" t="n">
        <f aca="false">IF($L273=0,0,$L273*MAX(0,NETWORKDAYS(MAX($H273,ASOF,Q$72),MIN(MAX($I273,ASOF),Q$72+6),HOLIDAYS)))</f>
        <v>12</v>
      </c>
      <c r="R273" s="289" t="n">
        <f aca="false">IF($L273=0,0,$L273*MAX(0,NETWORKDAYS(MAX($H273,ASOF,R$72),MIN(MAX($I273,ASOF),R$72+6),HOLIDAYS)))</f>
        <v>0</v>
      </c>
      <c r="S273" s="289" t="n">
        <f aca="false">IF($L273=0,0,$L273*MAX(0,NETWORKDAYS(MAX($H273,ASOF,S$72),MIN(MAX($I273,ASOF),S$72+6),HOLIDAYS)))</f>
        <v>0</v>
      </c>
      <c r="T273" s="289" t="n">
        <f aca="false">IF($L273=0,0,$L273*MAX(0,NETWORKDAYS(MAX($H273,ASOF,T$72),MIN(MAX($I273,ASOF),T$72+6),HOLIDAYS)))</f>
        <v>0</v>
      </c>
      <c r="U273" s="289" t="n">
        <f aca="false">IF($L273=0,0,$L273*MAX(0,NETWORKDAYS(MAX($H273,ASOF,U$72),MIN(MAX($I273,ASOF),U$72+6),HOLIDAYS)))</f>
        <v>0</v>
      </c>
      <c r="V273" s="289" t="n">
        <f aca="false">IF($L273=0,0,$L273*MAX(0,NETWORKDAYS(MAX($H273,ASOF,V$72),MIN(MAX($I273,ASOF),V$72+6),HOLIDAYS)))</f>
        <v>0</v>
      </c>
      <c r="W273" s="289" t="n">
        <f aca="false">IF($L273=0,0,$L273*MAX(0,NETWORKDAYS(MAX($H273,ASOF,W$72),MIN(MAX($I273,ASOF),W$72+6),HOLIDAYS)))</f>
        <v>0</v>
      </c>
      <c r="X273" s="289" t="n">
        <f aca="false">IF($L273=0,0,$L273*MAX(0,NETWORKDAYS(MAX($H273,ASOF,X$72),MIN(MAX($I273,ASOF),X$72+6),HOLIDAYS)))</f>
        <v>0</v>
      </c>
      <c r="Y273" s="289" t="n">
        <f aca="false">IF($L273=0,0,$L273*MAX(0,NETWORKDAYS(MAX($H273,ASOF,Y$72),MIN(MAX($I273,ASOF),Y$72+6),HOLIDAYS)))</f>
        <v>0</v>
      </c>
      <c r="Z273" s="289" t="n">
        <f aca="false">IF($L273=0,0,$L273*MAX(0,NETWORKDAYS(MAX($H273,ASOF,Z$72),MIN(MAX($I273,ASOF),Z$72+6),HOLIDAYS)))</f>
        <v>0</v>
      </c>
      <c r="AA273" s="289" t="n">
        <f aca="false">IF($L273=0,0,$L273*MAX(0,NETWORKDAYS(MAX($H273,ASOF,AA$72),MIN(MAX($I273,ASOF),AA$72+6),HOLIDAYS)))</f>
        <v>0</v>
      </c>
      <c r="AB273" s="289" t="n">
        <f aca="false">IF($L273=0,0,$L273*MAX(0,NETWORKDAYS(MAX($H273,ASOF,AB$72),MIN(MAX($I273,ASOF),AB$72+6),HOLIDAYS)))</f>
        <v>0</v>
      </c>
      <c r="AC273" s="289" t="n">
        <f aca="false">IF($L273=0,0,$L273*MAX(0,NETWORKDAYS(MAX($H273,ASOF,AC$72),MIN(MAX($I273,ASOF),AC$72+6),HOLIDAYS)))</f>
        <v>0</v>
      </c>
      <c r="AD273" s="289" t="n">
        <f aca="false">IF($L273=0,0,$L273*MAX(0,NETWORKDAYS(MAX($H273,ASOF,AD$72),MIN(MAX($I273,ASOF),AD$72+6),HOLIDAYS)))</f>
        <v>0</v>
      </c>
      <c r="AE273" s="289" t="n">
        <f aca="false">IF($L273=0,0,$L273*MAX(0,NETWORKDAYS(MAX($H273,ASOF,AE$72),MIN(MAX($I273,ASOF),AE$72+6),HOLIDAYS)))</f>
        <v>0</v>
      </c>
      <c r="AF273" s="289" t="n">
        <f aca="false">IF($L273=0,0,$L273*MAX(0,NETWORKDAYS(MAX($H273,ASOF,AF$72),MIN(MAX($I273,ASOF),AF$72+6),HOLIDAYS)))</f>
        <v>0</v>
      </c>
      <c r="AG273" s="289" t="n">
        <f aca="false">IF($L273=0,0,$L273*MAX(0,NETWORKDAYS(MAX($H273,ASOF,AG$72),MIN(MAX($I273,ASOF),AG$72+6),HOLIDAYS)))</f>
        <v>0</v>
      </c>
      <c r="AH273" s="289" t="n">
        <f aca="false">IF($L273=0,0,$L273*MAX(0,NETWORKDAYS(MAX($H273,ASOF,AH$72),MIN(MAX($I273,ASOF),AH$72+6),HOLIDAYS)))</f>
        <v>0</v>
      </c>
      <c r="AI273" s="289" t="n">
        <f aca="false">IF($L273=0,0,$L273*MAX(0,NETWORKDAYS(MAX($H273,ASOF,AI$72),MIN(MAX($I273,ASOF),AI$72+6),HOLIDAYS)))</f>
        <v>0</v>
      </c>
      <c r="AJ273" s="289" t="n">
        <f aca="false">IF($L273=0,0,$L273*MAX(0,NETWORKDAYS(MAX($H273,ASOF,AJ$72),MIN(MAX($I273,ASOF),AJ$72+6),HOLIDAYS)))</f>
        <v>0</v>
      </c>
      <c r="AK273" s="289" t="n">
        <f aca="false">IF($L273=0,0,$L273*MAX(0,NETWORKDAYS(MAX($H273,ASOF,AK$72),MIN(MAX($I273,ASOF),AK$72+6),HOLIDAYS)))</f>
        <v>0</v>
      </c>
      <c r="AL273" s="289" t="n">
        <f aca="false">IF($L273=0,0,$L273*MAX(0,NETWORKDAYS(MAX($H273,ASOF,AL$72),MIN(MAX($I273,ASOF),AL$72+6),HOLIDAYS)))</f>
        <v>0</v>
      </c>
      <c r="AM273" s="289" t="n">
        <f aca="false">IF($L273=0,0,$L273*MAX(0,NETWORKDAYS(MAX($H273,ASOF,AM$72),MIN(MAX($I273,ASOF),AM$72+6),HOLIDAYS)))</f>
        <v>0</v>
      </c>
      <c r="AN273" s="289" t="n">
        <f aca="false">IF($L273=0,0,$L273*MAX(0,NETWORKDAYS(MAX($H273,ASOF,AN$72),MIN(MAX($I273,ASOF),AN$72+6),HOLIDAYS)))</f>
        <v>0</v>
      </c>
      <c r="AO273" s="289" t="n">
        <f aca="false">IF($L273=0,0,$L273*MAX(0,NETWORKDAYS(MAX($H273,ASOF,AO$72),MIN(MAX($I273,ASOF),AO$72+6),HOLIDAYS)))</f>
        <v>0</v>
      </c>
      <c r="AP273" s="289" t="n">
        <f aca="false">IF($L273=0,0,$L273*MAX(0,NETWORKDAYS(MAX($H273,ASOF,AP$72),MIN(MAX($I273,ASOF),AP$72+6),HOLIDAYS)))</f>
        <v>0</v>
      </c>
      <c r="AQ273" s="289" t="n">
        <f aca="false">IF($L273=0,0,$L273*MAX(0,NETWORKDAYS(MAX($H273,ASOF,AQ$72),MIN(MAX($I273,ASOF),AQ$72+6),HOLIDAYS)))</f>
        <v>0</v>
      </c>
      <c r="AR273" s="289" t="n">
        <f aca="false">IF($L273=0,0,$L273*MAX(0,NETWORKDAYS(MAX($H273,ASOF,AR$72),MIN(MAX($I273,ASOF),AR$72+6),HOLIDAYS)))</f>
        <v>0</v>
      </c>
    </row>
    <row r="274" customFormat="false" ht="15" hidden="false" customHeight="false" outlineLevel="1" collapsed="false">
      <c r="A274" s="282" t="s">
        <v>106</v>
      </c>
      <c r="B274" s="283" t="s">
        <v>108</v>
      </c>
      <c r="C274" s="282" t="s">
        <v>1198</v>
      </c>
      <c r="D274" s="284" t="s">
        <v>2284</v>
      </c>
      <c r="E274" s="285" t="n">
        <v>1</v>
      </c>
      <c r="F274" s="290" t="s">
        <v>35</v>
      </c>
      <c r="G274" s="285" t="n">
        <f aca="false">$F$15*$H$15</f>
        <v>2</v>
      </c>
      <c r="H274" s="286" t="n">
        <f aca="false">IF(ISNUMBER('P9-017'!$N$107),'P9-017'!$N$107,"")</f>
        <v>46347</v>
      </c>
      <c r="I274" s="286" t="n">
        <f aca="false">IF(ISNUMBER('P9-017'!$O$107),'P9-017'!$O$107,"")</f>
        <v>46348</v>
      </c>
      <c r="J274" s="287" t="n">
        <f aca="false">IF(OR(H274="",I274="",N274&gt;=1),0,MAX(1,NETWORKDAYS(MAX(H274,ASOF),MAX(I274,ASOF),HOLIDAYS)))</f>
        <v>1</v>
      </c>
      <c r="K274" s="287" t="n">
        <f aca="false">IF(L274=0,0,ROUNDUP(L274/$F$15,0))</f>
        <v>1</v>
      </c>
      <c r="L274" s="285" t="n">
        <f aca="false">IF(J274=0,0,G274*(1-N274)/J274)</f>
        <v>2</v>
      </c>
      <c r="M274" s="283" t="s">
        <v>1192</v>
      </c>
      <c r="N274" s="288" t="n">
        <f aca="false">IFERROR(MIN(1,'P9-017'!$V$107)+0,0)</f>
        <v>0</v>
      </c>
      <c r="O274" s="289" t="n">
        <f aca="false">IF($L274=0,0,$L274*MAX(0,NETWORKDAYS(MAX($H274,ASOF,O$72),MIN(MAX($I274,ASOF),O$72+6),HOLIDAYS)))</f>
        <v>0</v>
      </c>
      <c r="P274" s="289" t="n">
        <f aca="false">IF($L274=0,0,$L274*MAX(0,NETWORKDAYS(MAX($H274,ASOF,P$72),MIN(MAX($I274,ASOF),P$72+6),HOLIDAYS)))</f>
        <v>0</v>
      </c>
      <c r="Q274" s="289" t="n">
        <f aca="false">IF($L274=0,0,$L274*MAX(0,NETWORKDAYS(MAX($H274,ASOF,Q$72),MIN(MAX($I274,ASOF),Q$72+6),HOLIDAYS)))</f>
        <v>0</v>
      </c>
      <c r="R274" s="289" t="n">
        <f aca="false">IF($L274=0,0,$L274*MAX(0,NETWORKDAYS(MAX($H274,ASOF,R$72),MIN(MAX($I274,ASOF),R$72+6),HOLIDAYS)))</f>
        <v>0</v>
      </c>
      <c r="S274" s="289" t="n">
        <f aca="false">IF($L274=0,0,$L274*MAX(0,NETWORKDAYS(MAX($H274,ASOF,S$72),MIN(MAX($I274,ASOF),S$72+6),HOLIDAYS)))</f>
        <v>0</v>
      </c>
      <c r="T274" s="289" t="n">
        <f aca="false">IF($L274=0,0,$L274*MAX(0,NETWORKDAYS(MAX($H274,ASOF,T$72),MIN(MAX($I274,ASOF),T$72+6),HOLIDAYS)))</f>
        <v>0</v>
      </c>
      <c r="U274" s="289" t="n">
        <f aca="false">IF($L274=0,0,$L274*MAX(0,NETWORKDAYS(MAX($H274,ASOF,U$72),MIN(MAX($I274,ASOF),U$72+6),HOLIDAYS)))</f>
        <v>0</v>
      </c>
      <c r="V274" s="289" t="n">
        <f aca="false">IF($L274=0,0,$L274*MAX(0,NETWORKDAYS(MAX($H274,ASOF,V$72),MIN(MAX($I274,ASOF),V$72+6),HOLIDAYS)))</f>
        <v>0</v>
      </c>
      <c r="W274" s="289" t="n">
        <f aca="false">IF($L274=0,0,$L274*MAX(0,NETWORKDAYS(MAX($H274,ASOF,W$72),MIN(MAX($I274,ASOF),W$72+6),HOLIDAYS)))</f>
        <v>0</v>
      </c>
      <c r="X274" s="289" t="n">
        <f aca="false">IF($L274=0,0,$L274*MAX(0,NETWORKDAYS(MAX($H274,ASOF,X$72),MIN(MAX($I274,ASOF),X$72+6),HOLIDAYS)))</f>
        <v>0</v>
      </c>
      <c r="Y274" s="289" t="n">
        <f aca="false">IF($L274=0,0,$L274*MAX(0,NETWORKDAYS(MAX($H274,ASOF,Y$72),MIN(MAX($I274,ASOF),Y$72+6),HOLIDAYS)))</f>
        <v>0</v>
      </c>
      <c r="Z274" s="289" t="n">
        <f aca="false">IF($L274=0,0,$L274*MAX(0,NETWORKDAYS(MAX($H274,ASOF,Z$72),MIN(MAX($I274,ASOF),Z$72+6),HOLIDAYS)))</f>
        <v>0</v>
      </c>
      <c r="AA274" s="289" t="n">
        <f aca="false">IF($L274=0,0,$L274*MAX(0,NETWORKDAYS(MAX($H274,ASOF,AA$72),MIN(MAX($I274,ASOF),AA$72+6),HOLIDAYS)))</f>
        <v>0</v>
      </c>
      <c r="AB274" s="289" t="n">
        <f aca="false">IF($L274=0,0,$L274*MAX(0,NETWORKDAYS(MAX($H274,ASOF,AB$72),MIN(MAX($I274,ASOF),AB$72+6),HOLIDAYS)))</f>
        <v>0</v>
      </c>
      <c r="AC274" s="289" t="n">
        <f aca="false">IF($L274=0,0,$L274*MAX(0,NETWORKDAYS(MAX($H274,ASOF,AC$72),MIN(MAX($I274,ASOF),AC$72+6),HOLIDAYS)))</f>
        <v>0</v>
      </c>
      <c r="AD274" s="289" t="n">
        <f aca="false">IF($L274=0,0,$L274*MAX(0,NETWORKDAYS(MAX($H274,ASOF,AD$72),MIN(MAX($I274,ASOF),AD$72+6),HOLIDAYS)))</f>
        <v>0</v>
      </c>
      <c r="AE274" s="289" t="n">
        <f aca="false">IF($L274=0,0,$L274*MAX(0,NETWORKDAYS(MAX($H274,ASOF,AE$72),MIN(MAX($I274,ASOF),AE$72+6),HOLIDAYS)))</f>
        <v>0</v>
      </c>
      <c r="AF274" s="289" t="n">
        <f aca="false">IF($L274=0,0,$L274*MAX(0,NETWORKDAYS(MAX($H274,ASOF,AF$72),MIN(MAX($I274,ASOF),AF$72+6),HOLIDAYS)))</f>
        <v>0</v>
      </c>
      <c r="AG274" s="289" t="n">
        <f aca="false">IF($L274=0,0,$L274*MAX(0,NETWORKDAYS(MAX($H274,ASOF,AG$72),MIN(MAX($I274,ASOF),AG$72+6),HOLIDAYS)))</f>
        <v>0</v>
      </c>
      <c r="AH274" s="289" t="n">
        <f aca="false">IF($L274=0,0,$L274*MAX(0,NETWORKDAYS(MAX($H274,ASOF,AH$72),MIN(MAX($I274,ASOF),AH$72+6),HOLIDAYS)))</f>
        <v>0</v>
      </c>
      <c r="AI274" s="289" t="n">
        <f aca="false">IF($L274=0,0,$L274*MAX(0,NETWORKDAYS(MAX($H274,ASOF,AI$72),MIN(MAX($I274,ASOF),AI$72+6),HOLIDAYS)))</f>
        <v>0</v>
      </c>
      <c r="AJ274" s="289" t="n">
        <f aca="false">IF($L274=0,0,$L274*MAX(0,NETWORKDAYS(MAX($H274,ASOF,AJ$72),MIN(MAX($I274,ASOF),AJ$72+6),HOLIDAYS)))</f>
        <v>0</v>
      </c>
      <c r="AK274" s="289" t="n">
        <f aca="false">IF($L274=0,0,$L274*MAX(0,NETWORKDAYS(MAX($H274,ASOF,AK$72),MIN(MAX($I274,ASOF),AK$72+6),HOLIDAYS)))</f>
        <v>0</v>
      </c>
      <c r="AL274" s="289" t="n">
        <f aca="false">IF($L274=0,0,$L274*MAX(0,NETWORKDAYS(MAX($H274,ASOF,AL$72),MIN(MAX($I274,ASOF),AL$72+6),HOLIDAYS)))</f>
        <v>0</v>
      </c>
      <c r="AM274" s="289" t="n">
        <f aca="false">IF($L274=0,0,$L274*MAX(0,NETWORKDAYS(MAX($H274,ASOF,AM$72),MIN(MAX($I274,ASOF),AM$72+6),HOLIDAYS)))</f>
        <v>0</v>
      </c>
      <c r="AN274" s="289" t="n">
        <f aca="false">IF($L274=0,0,$L274*MAX(0,NETWORKDAYS(MAX($H274,ASOF,AN$72),MIN(MAX($I274,ASOF),AN$72+6),HOLIDAYS)))</f>
        <v>0</v>
      </c>
      <c r="AO274" s="289" t="n">
        <f aca="false">IF($L274=0,0,$L274*MAX(0,NETWORKDAYS(MAX($H274,ASOF,AO$72),MIN(MAX($I274,ASOF),AO$72+6),HOLIDAYS)))</f>
        <v>0</v>
      </c>
      <c r="AP274" s="289" t="n">
        <f aca="false">IF($L274=0,0,$L274*MAX(0,NETWORKDAYS(MAX($H274,ASOF,AP$72),MIN(MAX($I274,ASOF),AP$72+6),HOLIDAYS)))</f>
        <v>0</v>
      </c>
      <c r="AQ274" s="289" t="n">
        <f aca="false">IF($L274=0,0,$L274*MAX(0,NETWORKDAYS(MAX($H274,ASOF,AQ$72),MIN(MAX($I274,ASOF),AQ$72+6),HOLIDAYS)))</f>
        <v>0</v>
      </c>
      <c r="AR274" s="289" t="n">
        <f aca="false">IF($L274=0,0,$L274*MAX(0,NETWORKDAYS(MAX($H274,ASOF,AR$72),MIN(MAX($I274,ASOF),AR$72+6),HOLIDAYS)))</f>
        <v>0</v>
      </c>
    </row>
    <row r="275" customFormat="false" ht="15" hidden="false" customHeight="false" outlineLevel="1" collapsed="false">
      <c r="A275" s="282" t="s">
        <v>106</v>
      </c>
      <c r="B275" s="283" t="s">
        <v>108</v>
      </c>
      <c r="C275" s="284" t="s">
        <v>2369</v>
      </c>
      <c r="D275" s="284" t="s">
        <v>2308</v>
      </c>
      <c r="E275" s="285" t="n">
        <v>150.48</v>
      </c>
      <c r="F275" s="283" t="s">
        <v>527</v>
      </c>
      <c r="G275" s="285" t="n">
        <f aca="false">$F$16*(E275/$G$16+$H$16)</f>
        <v>10.5144</v>
      </c>
      <c r="H275" s="286" t="n">
        <f aca="false">IF(ISNUMBER('P9-017'!$N$115),'P9-017'!$N$115,"")</f>
        <v>46359</v>
      </c>
      <c r="I275" s="286" t="n">
        <f aca="false">IF(ISNUMBER('P9-017'!$O$115),'P9-017'!$O$115,"")</f>
        <v>46359</v>
      </c>
      <c r="J275" s="287" t="n">
        <f aca="false">IF(OR(H275="",I275="",N275&gt;=1),0,MAX(1,NETWORKDAYS(MAX(H275,ASOF),MAX(I275,ASOF),HOLIDAYS)))</f>
        <v>1</v>
      </c>
      <c r="K275" s="287" t="n">
        <f aca="false">IF(L275=0,0,ROUNDUP(L275/$F$16,0))</f>
        <v>4</v>
      </c>
      <c r="L275" s="285" t="n">
        <f aca="false">IF(J275=0,0,G275*(1-N275)/J275)</f>
        <v>10.5144</v>
      </c>
      <c r="M275" s="283" t="s">
        <v>1205</v>
      </c>
      <c r="N275" s="288" t="n">
        <f aca="false">IFERROR(MIN(1,'P9-017'!$V$115)+0,0)</f>
        <v>0</v>
      </c>
      <c r="O275" s="289" t="n">
        <f aca="false">IF($L275=0,0,$L275*MAX(0,NETWORKDAYS(MAX($H275,ASOF,O$72),MIN(MAX($I275,ASOF),O$72+6),HOLIDAYS)))</f>
        <v>0</v>
      </c>
      <c r="P275" s="289" t="n">
        <f aca="false">IF($L275=0,0,$L275*MAX(0,NETWORKDAYS(MAX($H275,ASOF,P$72),MIN(MAX($I275,ASOF),P$72+6),HOLIDAYS)))</f>
        <v>0</v>
      </c>
      <c r="Q275" s="289" t="n">
        <f aca="false">IF($L275=0,0,$L275*MAX(0,NETWORKDAYS(MAX($H275,ASOF,Q$72),MIN(MAX($I275,ASOF),Q$72+6),HOLIDAYS)))</f>
        <v>0</v>
      </c>
      <c r="R275" s="289" t="n">
        <f aca="false">IF($L275=0,0,$L275*MAX(0,NETWORKDAYS(MAX($H275,ASOF,R$72),MIN(MAX($I275,ASOF),R$72+6),HOLIDAYS)))</f>
        <v>0</v>
      </c>
      <c r="S275" s="289" t="n">
        <f aca="false">IF($L275=0,0,$L275*MAX(0,NETWORKDAYS(MAX($H275,ASOF,S$72),MIN(MAX($I275,ASOF),S$72+6),HOLIDAYS)))</f>
        <v>10.5144</v>
      </c>
      <c r="T275" s="289" t="n">
        <f aca="false">IF($L275=0,0,$L275*MAX(0,NETWORKDAYS(MAX($H275,ASOF,T$72),MIN(MAX($I275,ASOF),T$72+6),HOLIDAYS)))</f>
        <v>0</v>
      </c>
      <c r="U275" s="289" t="n">
        <f aca="false">IF($L275=0,0,$L275*MAX(0,NETWORKDAYS(MAX($H275,ASOF,U$72),MIN(MAX($I275,ASOF),U$72+6),HOLIDAYS)))</f>
        <v>0</v>
      </c>
      <c r="V275" s="289" t="n">
        <f aca="false">IF($L275=0,0,$L275*MAX(0,NETWORKDAYS(MAX($H275,ASOF,V$72),MIN(MAX($I275,ASOF),V$72+6),HOLIDAYS)))</f>
        <v>0</v>
      </c>
      <c r="W275" s="289" t="n">
        <f aca="false">IF($L275=0,0,$L275*MAX(0,NETWORKDAYS(MAX($H275,ASOF,W$72),MIN(MAX($I275,ASOF),W$72+6),HOLIDAYS)))</f>
        <v>0</v>
      </c>
      <c r="X275" s="289" t="n">
        <f aca="false">IF($L275=0,0,$L275*MAX(0,NETWORKDAYS(MAX($H275,ASOF,X$72),MIN(MAX($I275,ASOF),X$72+6),HOLIDAYS)))</f>
        <v>0</v>
      </c>
      <c r="Y275" s="289" t="n">
        <f aca="false">IF($L275=0,0,$L275*MAX(0,NETWORKDAYS(MAX($H275,ASOF,Y$72),MIN(MAX($I275,ASOF),Y$72+6),HOLIDAYS)))</f>
        <v>0</v>
      </c>
      <c r="Z275" s="289" t="n">
        <f aca="false">IF($L275=0,0,$L275*MAX(0,NETWORKDAYS(MAX($H275,ASOF,Z$72),MIN(MAX($I275,ASOF),Z$72+6),HOLIDAYS)))</f>
        <v>0</v>
      </c>
      <c r="AA275" s="289" t="n">
        <f aca="false">IF($L275=0,0,$L275*MAX(0,NETWORKDAYS(MAX($H275,ASOF,AA$72),MIN(MAX($I275,ASOF),AA$72+6),HOLIDAYS)))</f>
        <v>0</v>
      </c>
      <c r="AB275" s="289" t="n">
        <f aca="false">IF($L275=0,0,$L275*MAX(0,NETWORKDAYS(MAX($H275,ASOF,AB$72),MIN(MAX($I275,ASOF),AB$72+6),HOLIDAYS)))</f>
        <v>0</v>
      </c>
      <c r="AC275" s="289" t="n">
        <f aca="false">IF($L275=0,0,$L275*MAX(0,NETWORKDAYS(MAX($H275,ASOF,AC$72),MIN(MAX($I275,ASOF),AC$72+6),HOLIDAYS)))</f>
        <v>0</v>
      </c>
      <c r="AD275" s="289" t="n">
        <f aca="false">IF($L275=0,0,$L275*MAX(0,NETWORKDAYS(MAX($H275,ASOF,AD$72),MIN(MAX($I275,ASOF),AD$72+6),HOLIDAYS)))</f>
        <v>0</v>
      </c>
      <c r="AE275" s="289" t="n">
        <f aca="false">IF($L275=0,0,$L275*MAX(0,NETWORKDAYS(MAX($H275,ASOF,AE$72),MIN(MAX($I275,ASOF),AE$72+6),HOLIDAYS)))</f>
        <v>0</v>
      </c>
      <c r="AF275" s="289" t="n">
        <f aca="false">IF($L275=0,0,$L275*MAX(0,NETWORKDAYS(MAX($H275,ASOF,AF$72),MIN(MAX($I275,ASOF),AF$72+6),HOLIDAYS)))</f>
        <v>0</v>
      </c>
      <c r="AG275" s="289" t="n">
        <f aca="false">IF($L275=0,0,$L275*MAX(0,NETWORKDAYS(MAX($H275,ASOF,AG$72),MIN(MAX($I275,ASOF),AG$72+6),HOLIDAYS)))</f>
        <v>0</v>
      </c>
      <c r="AH275" s="289" t="n">
        <f aca="false">IF($L275=0,0,$L275*MAX(0,NETWORKDAYS(MAX($H275,ASOF,AH$72),MIN(MAX($I275,ASOF),AH$72+6),HOLIDAYS)))</f>
        <v>0</v>
      </c>
      <c r="AI275" s="289" t="n">
        <f aca="false">IF($L275=0,0,$L275*MAX(0,NETWORKDAYS(MAX($H275,ASOF,AI$72),MIN(MAX($I275,ASOF),AI$72+6),HOLIDAYS)))</f>
        <v>0</v>
      </c>
      <c r="AJ275" s="289" t="n">
        <f aca="false">IF($L275=0,0,$L275*MAX(0,NETWORKDAYS(MAX($H275,ASOF,AJ$72),MIN(MAX($I275,ASOF),AJ$72+6),HOLIDAYS)))</f>
        <v>0</v>
      </c>
      <c r="AK275" s="289" t="n">
        <f aca="false">IF($L275=0,0,$L275*MAX(0,NETWORKDAYS(MAX($H275,ASOF,AK$72),MIN(MAX($I275,ASOF),AK$72+6),HOLIDAYS)))</f>
        <v>0</v>
      </c>
      <c r="AL275" s="289" t="n">
        <f aca="false">IF($L275=0,0,$L275*MAX(0,NETWORKDAYS(MAX($H275,ASOF,AL$72),MIN(MAX($I275,ASOF),AL$72+6),HOLIDAYS)))</f>
        <v>0</v>
      </c>
      <c r="AM275" s="289" t="n">
        <f aca="false">IF($L275=0,0,$L275*MAX(0,NETWORKDAYS(MAX($H275,ASOF,AM$72),MIN(MAX($I275,ASOF),AM$72+6),HOLIDAYS)))</f>
        <v>0</v>
      </c>
      <c r="AN275" s="289" t="n">
        <f aca="false">IF($L275=0,0,$L275*MAX(0,NETWORKDAYS(MAX($H275,ASOF,AN$72),MIN(MAX($I275,ASOF),AN$72+6),HOLIDAYS)))</f>
        <v>0</v>
      </c>
      <c r="AO275" s="289" t="n">
        <f aca="false">IF($L275=0,0,$L275*MAX(0,NETWORKDAYS(MAX($H275,ASOF,AO$72),MIN(MAX($I275,ASOF),AO$72+6),HOLIDAYS)))</f>
        <v>0</v>
      </c>
      <c r="AP275" s="289" t="n">
        <f aca="false">IF($L275=0,0,$L275*MAX(0,NETWORKDAYS(MAX($H275,ASOF,AP$72),MIN(MAX($I275,ASOF),AP$72+6),HOLIDAYS)))</f>
        <v>0</v>
      </c>
      <c r="AQ275" s="289" t="n">
        <f aca="false">IF($L275=0,0,$L275*MAX(0,NETWORKDAYS(MAX($H275,ASOF,AQ$72),MIN(MAX($I275,ASOF),AQ$72+6),HOLIDAYS)))</f>
        <v>0</v>
      </c>
      <c r="AR275" s="289" t="n">
        <f aca="false">IF($L275=0,0,$L275*MAX(0,NETWORKDAYS(MAX($H275,ASOF,AR$72),MIN(MAX($I275,ASOF),AR$72+6),HOLIDAYS)))</f>
        <v>0</v>
      </c>
    </row>
    <row r="276" customFormat="false" ht="15" hidden="false" customHeight="false" outlineLevel="1" collapsed="false">
      <c r="A276" s="282" t="s">
        <v>106</v>
      </c>
      <c r="B276" s="283" t="s">
        <v>108</v>
      </c>
      <c r="C276" s="284" t="s">
        <v>2370</v>
      </c>
      <c r="D276" s="284" t="s">
        <v>2313</v>
      </c>
      <c r="E276" s="285" t="n">
        <v>1</v>
      </c>
      <c r="F276" s="290" t="s">
        <v>35</v>
      </c>
      <c r="G276" s="285" t="n">
        <f aca="false">SUM(O276:AR276)</f>
        <v>20</v>
      </c>
      <c r="H276" s="286" t="n">
        <f aca="false">IF(ISNUMBER('P9-017'!$N$62),'P9-017'!$N$62,"")</f>
        <v>46328</v>
      </c>
      <c r="I276" s="286" t="n">
        <f aca="false">IF(ISNUMBER('P9-017'!$O$115),'P9-017'!$O$115,"")</f>
        <v>46359</v>
      </c>
      <c r="J276" s="287"/>
      <c r="K276" s="287" t="n">
        <f aca="false">IF(G276&gt;0,$F$17,0)</f>
        <v>1</v>
      </c>
      <c r="L276" s="285" t="n">
        <v>0</v>
      </c>
      <c r="M276" s="290" t="s">
        <v>2310</v>
      </c>
      <c r="N276" s="288" t="str">
        <f aca="false">""</f>
        <v/>
      </c>
      <c r="O276" s="289" t="n">
        <f aca="false">IF(SUMIFS(O$73:O$312,$A$73:$A$312,"P9-017",$M$73:$M$312,"&lt;&gt;คุม")&gt;0,$F$17*NETWORKDAYS(O$72,O$72+6,HOLIDAYS),0)</f>
        <v>5</v>
      </c>
      <c r="P276" s="289" t="n">
        <f aca="false">IF(SUMIFS(P$73:P$312,$A$73:$A$312,"P9-017",$M$73:$M$312,"&lt;&gt;คุม")&gt;0,$F$17*NETWORKDAYS(P$72,P$72+6,HOLIDAYS),0)</f>
        <v>5</v>
      </c>
      <c r="Q276" s="289" t="n">
        <f aca="false">IF(SUMIFS(Q$73:Q$312,$A$73:$A$312,"P9-017",$M$73:$M$312,"&lt;&gt;คุม")&gt;0,$F$17*NETWORKDAYS(Q$72,Q$72+6,HOLIDAYS),0)</f>
        <v>5</v>
      </c>
      <c r="R276" s="289" t="n">
        <f aca="false">IF(SUMIFS(R$73:R$312,$A$73:$A$312,"P9-017",$M$73:$M$312,"&lt;&gt;คุม")&gt;0,$F$17*NETWORKDAYS(R$72,R$72+6,HOLIDAYS),0)</f>
        <v>0</v>
      </c>
      <c r="S276" s="289" t="n">
        <f aca="false">IF(SUMIFS(S$73:S$312,$A$73:$A$312,"P9-017",$M$73:$M$312,"&lt;&gt;คุม")&gt;0,$F$17*NETWORKDAYS(S$72,S$72+6,HOLIDAYS),0)</f>
        <v>5</v>
      </c>
      <c r="T276" s="289" t="n">
        <f aca="false">IF(SUMIFS(T$73:T$312,$A$73:$A$312,"P9-017",$M$73:$M$312,"&lt;&gt;คุม")&gt;0,$F$17*NETWORKDAYS(T$72,T$72+6,HOLIDAYS),0)</f>
        <v>0</v>
      </c>
      <c r="U276" s="289" t="n">
        <f aca="false">IF(SUMIFS(U$73:U$312,$A$73:$A$312,"P9-017",$M$73:$M$312,"&lt;&gt;คุม")&gt;0,$F$17*NETWORKDAYS(U$72,U$72+6,HOLIDAYS),0)</f>
        <v>0</v>
      </c>
      <c r="V276" s="289" t="n">
        <f aca="false">IF(SUMIFS(V$73:V$312,$A$73:$A$312,"P9-017",$M$73:$M$312,"&lt;&gt;คุม")&gt;0,$F$17*NETWORKDAYS(V$72,V$72+6,HOLIDAYS),0)</f>
        <v>0</v>
      </c>
      <c r="W276" s="289" t="n">
        <f aca="false">IF(SUMIFS(W$73:W$312,$A$73:$A$312,"P9-017",$M$73:$M$312,"&lt;&gt;คุม")&gt;0,$F$17*NETWORKDAYS(W$72,W$72+6,HOLIDAYS),0)</f>
        <v>0</v>
      </c>
      <c r="X276" s="289" t="n">
        <f aca="false">IF(SUMIFS(X$73:X$312,$A$73:$A$312,"P9-017",$M$73:$M$312,"&lt;&gt;คุม")&gt;0,$F$17*NETWORKDAYS(X$72,X$72+6,HOLIDAYS),0)</f>
        <v>0</v>
      </c>
      <c r="Y276" s="289" t="n">
        <f aca="false">IF(SUMIFS(Y$73:Y$312,$A$73:$A$312,"P9-017",$M$73:$M$312,"&lt;&gt;คุม")&gt;0,$F$17*NETWORKDAYS(Y$72,Y$72+6,HOLIDAYS),0)</f>
        <v>0</v>
      </c>
      <c r="Z276" s="289" t="n">
        <f aca="false">IF(SUMIFS(Z$73:Z$312,$A$73:$A$312,"P9-017",$M$73:$M$312,"&lt;&gt;คุม")&gt;0,$F$17*NETWORKDAYS(Z$72,Z$72+6,HOLIDAYS),0)</f>
        <v>0</v>
      </c>
      <c r="AA276" s="289" t="n">
        <f aca="false">IF(SUMIFS(AA$73:AA$312,$A$73:$A$312,"P9-017",$M$73:$M$312,"&lt;&gt;คุม")&gt;0,$F$17*NETWORKDAYS(AA$72,AA$72+6,HOLIDAYS),0)</f>
        <v>0</v>
      </c>
      <c r="AB276" s="289" t="n">
        <f aca="false">IF(SUMIFS(AB$73:AB$312,$A$73:$A$312,"P9-017",$M$73:$M$312,"&lt;&gt;คุม")&gt;0,$F$17*NETWORKDAYS(AB$72,AB$72+6,HOLIDAYS),0)</f>
        <v>0</v>
      </c>
      <c r="AC276" s="289" t="n">
        <f aca="false">IF(SUMIFS(AC$73:AC$312,$A$73:$A$312,"P9-017",$M$73:$M$312,"&lt;&gt;คุม")&gt;0,$F$17*NETWORKDAYS(AC$72,AC$72+6,HOLIDAYS),0)</f>
        <v>0</v>
      </c>
      <c r="AD276" s="289" t="n">
        <f aca="false">IF(SUMIFS(AD$73:AD$312,$A$73:$A$312,"P9-017",$M$73:$M$312,"&lt;&gt;คุม")&gt;0,$F$17*NETWORKDAYS(AD$72,AD$72+6,HOLIDAYS),0)</f>
        <v>0</v>
      </c>
      <c r="AE276" s="289" t="n">
        <f aca="false">IF(SUMIFS(AE$73:AE$312,$A$73:$A$312,"P9-017",$M$73:$M$312,"&lt;&gt;คุม")&gt;0,$F$17*NETWORKDAYS(AE$72,AE$72+6,HOLIDAYS),0)</f>
        <v>0</v>
      </c>
      <c r="AF276" s="289" t="n">
        <f aca="false">IF(SUMIFS(AF$73:AF$312,$A$73:$A$312,"P9-017",$M$73:$M$312,"&lt;&gt;คุม")&gt;0,$F$17*NETWORKDAYS(AF$72,AF$72+6,HOLIDAYS),0)</f>
        <v>0</v>
      </c>
      <c r="AG276" s="289" t="n">
        <f aca="false">IF(SUMIFS(AG$73:AG$312,$A$73:$A$312,"P9-017",$M$73:$M$312,"&lt;&gt;คุม")&gt;0,$F$17*NETWORKDAYS(AG$72,AG$72+6,HOLIDAYS),0)</f>
        <v>0</v>
      </c>
      <c r="AH276" s="289" t="n">
        <f aca="false">IF(SUMIFS(AH$73:AH$312,$A$73:$A$312,"P9-017",$M$73:$M$312,"&lt;&gt;คุม")&gt;0,$F$17*NETWORKDAYS(AH$72,AH$72+6,HOLIDAYS),0)</f>
        <v>0</v>
      </c>
      <c r="AI276" s="289" t="n">
        <f aca="false">IF(SUMIFS(AI$73:AI$312,$A$73:$A$312,"P9-017",$M$73:$M$312,"&lt;&gt;คุม")&gt;0,$F$17*NETWORKDAYS(AI$72,AI$72+6,HOLIDAYS),0)</f>
        <v>0</v>
      </c>
      <c r="AJ276" s="289" t="n">
        <f aca="false">IF(SUMIFS(AJ$73:AJ$312,$A$73:$A$312,"P9-017",$M$73:$M$312,"&lt;&gt;คุม")&gt;0,$F$17*NETWORKDAYS(AJ$72,AJ$72+6,HOLIDAYS),0)</f>
        <v>0</v>
      </c>
      <c r="AK276" s="289" t="n">
        <f aca="false">IF(SUMIFS(AK$73:AK$312,$A$73:$A$312,"P9-017",$M$73:$M$312,"&lt;&gt;คุม")&gt;0,$F$17*NETWORKDAYS(AK$72,AK$72+6,HOLIDAYS),0)</f>
        <v>0</v>
      </c>
      <c r="AL276" s="289" t="n">
        <f aca="false">IF(SUMIFS(AL$73:AL$312,$A$73:$A$312,"P9-017",$M$73:$M$312,"&lt;&gt;คุม")&gt;0,$F$17*NETWORKDAYS(AL$72,AL$72+6,HOLIDAYS),0)</f>
        <v>0</v>
      </c>
      <c r="AM276" s="289" t="n">
        <f aca="false">IF(SUMIFS(AM$73:AM$312,$A$73:$A$312,"P9-017",$M$73:$M$312,"&lt;&gt;คุม")&gt;0,$F$17*NETWORKDAYS(AM$72,AM$72+6,HOLIDAYS),0)</f>
        <v>0</v>
      </c>
      <c r="AN276" s="289" t="n">
        <f aca="false">IF(SUMIFS(AN$73:AN$312,$A$73:$A$312,"P9-017",$M$73:$M$312,"&lt;&gt;คุม")&gt;0,$F$17*NETWORKDAYS(AN$72,AN$72+6,HOLIDAYS),0)</f>
        <v>0</v>
      </c>
      <c r="AO276" s="289" t="n">
        <f aca="false">IF(SUMIFS(AO$73:AO$312,$A$73:$A$312,"P9-017",$M$73:$M$312,"&lt;&gt;คุม")&gt;0,$F$17*NETWORKDAYS(AO$72,AO$72+6,HOLIDAYS),0)</f>
        <v>0</v>
      </c>
      <c r="AP276" s="289" t="n">
        <f aca="false">IF(SUMIFS(AP$73:AP$312,$A$73:$A$312,"P9-017",$M$73:$M$312,"&lt;&gt;คุม")&gt;0,$F$17*NETWORKDAYS(AP$72,AP$72+6,HOLIDAYS),0)</f>
        <v>0</v>
      </c>
      <c r="AQ276" s="289" t="n">
        <f aca="false">IF(SUMIFS(AQ$73:AQ$312,$A$73:$A$312,"P9-017",$M$73:$M$312,"&lt;&gt;คุม")&gt;0,$F$17*NETWORKDAYS(AQ$72,AQ$72+6,HOLIDAYS),0)</f>
        <v>0</v>
      </c>
      <c r="AR276" s="289" t="n">
        <f aca="false">IF(SUMIFS(AR$73:AR$312,$A$73:$A$312,"P9-017",$M$73:$M$312,"&lt;&gt;คุม")&gt;0,$F$17*NETWORKDAYS(AR$72,AR$72+6,HOLIDAYS),0)</f>
        <v>0</v>
      </c>
    </row>
    <row r="277" customFormat="false" ht="15" hidden="false" customHeight="false" outlineLevel="1" collapsed="false">
      <c r="A277" s="282" t="s">
        <v>110</v>
      </c>
      <c r="B277" s="283" t="s">
        <v>112</v>
      </c>
      <c r="C277" s="284" t="s">
        <v>2358</v>
      </c>
      <c r="D277" s="284" t="s">
        <v>2280</v>
      </c>
      <c r="E277" s="285" t="n">
        <v>841.32</v>
      </c>
      <c r="F277" s="283" t="s">
        <v>2359</v>
      </c>
      <c r="G277" s="285" t="n">
        <f aca="false">$F$5*(E277/$G$5+$H$5)</f>
        <v>136.6112</v>
      </c>
      <c r="H277" s="286" t="n">
        <f aca="false">IF(ISNUMBER('P9-018'!$N$62),'P9-018'!$N$62,"")</f>
        <v>46328</v>
      </c>
      <c r="I277" s="286" t="n">
        <f aca="false">IF(ISNUMBER('P9-018'!$O$62),'P9-018'!$O$62,"")</f>
        <v>46336</v>
      </c>
      <c r="J277" s="287" t="n">
        <f aca="false">IF(OR(H277="",I277="",N277&gt;=1),0,MAX(1,NETWORKDAYS(MAX(H277,ASOF),MAX(I277,ASOF),HOLIDAYS)))</f>
        <v>7</v>
      </c>
      <c r="K277" s="287" t="n">
        <f aca="false">IF(L277=0,0,ROUNDUP(L277/$F$5,0))</f>
        <v>5</v>
      </c>
      <c r="L277" s="285" t="n">
        <f aca="false">IF(J277=0,0,G277*(1-N277)/J277)</f>
        <v>19.5158857142857</v>
      </c>
      <c r="M277" s="283" t="s">
        <v>872</v>
      </c>
      <c r="N277" s="288" t="n">
        <f aca="false">IFERROR(MIN(1,'P9-018'!$V$62)+0,0)</f>
        <v>0</v>
      </c>
      <c r="O277" s="289" t="n">
        <f aca="false">IF($L277=0,0,$L277*MAX(0,NETWORKDAYS(MAX($H277,ASOF,O$72),MIN(MAX($I277,ASOF),O$72+6),HOLIDAYS)))</f>
        <v>97.5794285714286</v>
      </c>
      <c r="P277" s="289" t="n">
        <f aca="false">IF($L277=0,0,$L277*MAX(0,NETWORKDAYS(MAX($H277,ASOF,P$72),MIN(MAX($I277,ASOF),P$72+6),HOLIDAYS)))</f>
        <v>39.0317714285714</v>
      </c>
      <c r="Q277" s="289" t="n">
        <f aca="false">IF($L277=0,0,$L277*MAX(0,NETWORKDAYS(MAX($H277,ASOF,Q$72),MIN(MAX($I277,ASOF),Q$72+6),HOLIDAYS)))</f>
        <v>0</v>
      </c>
      <c r="R277" s="289" t="n">
        <f aca="false">IF($L277=0,0,$L277*MAX(0,NETWORKDAYS(MAX($H277,ASOF,R$72),MIN(MAX($I277,ASOF),R$72+6),HOLIDAYS)))</f>
        <v>0</v>
      </c>
      <c r="S277" s="289" t="n">
        <f aca="false">IF($L277=0,0,$L277*MAX(0,NETWORKDAYS(MAX($H277,ASOF,S$72),MIN(MAX($I277,ASOF),S$72+6),HOLIDAYS)))</f>
        <v>0</v>
      </c>
      <c r="T277" s="289" t="n">
        <f aca="false">IF($L277=0,0,$L277*MAX(0,NETWORKDAYS(MAX($H277,ASOF,T$72),MIN(MAX($I277,ASOF),T$72+6),HOLIDAYS)))</f>
        <v>0</v>
      </c>
      <c r="U277" s="289" t="n">
        <f aca="false">IF($L277=0,0,$L277*MAX(0,NETWORKDAYS(MAX($H277,ASOF,U$72),MIN(MAX($I277,ASOF),U$72+6),HOLIDAYS)))</f>
        <v>0</v>
      </c>
      <c r="V277" s="289" t="n">
        <f aca="false">IF($L277=0,0,$L277*MAX(0,NETWORKDAYS(MAX($H277,ASOF,V$72),MIN(MAX($I277,ASOF),V$72+6),HOLIDAYS)))</f>
        <v>0</v>
      </c>
      <c r="W277" s="289" t="n">
        <f aca="false">IF($L277=0,0,$L277*MAX(0,NETWORKDAYS(MAX($H277,ASOF,W$72),MIN(MAX($I277,ASOF),W$72+6),HOLIDAYS)))</f>
        <v>0</v>
      </c>
      <c r="X277" s="289" t="n">
        <f aca="false">IF($L277=0,0,$L277*MAX(0,NETWORKDAYS(MAX($H277,ASOF,X$72),MIN(MAX($I277,ASOF),X$72+6),HOLIDAYS)))</f>
        <v>0</v>
      </c>
      <c r="Y277" s="289" t="n">
        <f aca="false">IF($L277=0,0,$L277*MAX(0,NETWORKDAYS(MAX($H277,ASOF,Y$72),MIN(MAX($I277,ASOF),Y$72+6),HOLIDAYS)))</f>
        <v>0</v>
      </c>
      <c r="Z277" s="289" t="n">
        <f aca="false">IF($L277=0,0,$L277*MAX(0,NETWORKDAYS(MAX($H277,ASOF,Z$72),MIN(MAX($I277,ASOF),Z$72+6),HOLIDAYS)))</f>
        <v>0</v>
      </c>
      <c r="AA277" s="289" t="n">
        <f aca="false">IF($L277=0,0,$L277*MAX(0,NETWORKDAYS(MAX($H277,ASOF,AA$72),MIN(MAX($I277,ASOF),AA$72+6),HOLIDAYS)))</f>
        <v>0</v>
      </c>
      <c r="AB277" s="289" t="n">
        <f aca="false">IF($L277=0,0,$L277*MAX(0,NETWORKDAYS(MAX($H277,ASOF,AB$72),MIN(MAX($I277,ASOF),AB$72+6),HOLIDAYS)))</f>
        <v>0</v>
      </c>
      <c r="AC277" s="289" t="n">
        <f aca="false">IF($L277=0,0,$L277*MAX(0,NETWORKDAYS(MAX($H277,ASOF,AC$72),MIN(MAX($I277,ASOF),AC$72+6),HOLIDAYS)))</f>
        <v>0</v>
      </c>
      <c r="AD277" s="289" t="n">
        <f aca="false">IF($L277=0,0,$L277*MAX(0,NETWORKDAYS(MAX($H277,ASOF,AD$72),MIN(MAX($I277,ASOF),AD$72+6),HOLIDAYS)))</f>
        <v>0</v>
      </c>
      <c r="AE277" s="289" t="n">
        <f aca="false">IF($L277=0,0,$L277*MAX(0,NETWORKDAYS(MAX($H277,ASOF,AE$72),MIN(MAX($I277,ASOF),AE$72+6),HOLIDAYS)))</f>
        <v>0</v>
      </c>
      <c r="AF277" s="289" t="n">
        <f aca="false">IF($L277=0,0,$L277*MAX(0,NETWORKDAYS(MAX($H277,ASOF,AF$72),MIN(MAX($I277,ASOF),AF$72+6),HOLIDAYS)))</f>
        <v>0</v>
      </c>
      <c r="AG277" s="289" t="n">
        <f aca="false">IF($L277=0,0,$L277*MAX(0,NETWORKDAYS(MAX($H277,ASOF,AG$72),MIN(MAX($I277,ASOF),AG$72+6),HOLIDAYS)))</f>
        <v>0</v>
      </c>
      <c r="AH277" s="289" t="n">
        <f aca="false">IF($L277=0,0,$L277*MAX(0,NETWORKDAYS(MAX($H277,ASOF,AH$72),MIN(MAX($I277,ASOF),AH$72+6),HOLIDAYS)))</f>
        <v>0</v>
      </c>
      <c r="AI277" s="289" t="n">
        <f aca="false">IF($L277=0,0,$L277*MAX(0,NETWORKDAYS(MAX($H277,ASOF,AI$72),MIN(MAX($I277,ASOF),AI$72+6),HOLIDAYS)))</f>
        <v>0</v>
      </c>
      <c r="AJ277" s="289" t="n">
        <f aca="false">IF($L277=0,0,$L277*MAX(0,NETWORKDAYS(MAX($H277,ASOF,AJ$72),MIN(MAX($I277,ASOF),AJ$72+6),HOLIDAYS)))</f>
        <v>0</v>
      </c>
      <c r="AK277" s="289" t="n">
        <f aca="false">IF($L277=0,0,$L277*MAX(0,NETWORKDAYS(MAX($H277,ASOF,AK$72),MIN(MAX($I277,ASOF),AK$72+6),HOLIDAYS)))</f>
        <v>0</v>
      </c>
      <c r="AL277" s="289" t="n">
        <f aca="false">IF($L277=0,0,$L277*MAX(0,NETWORKDAYS(MAX($H277,ASOF,AL$72),MIN(MAX($I277,ASOF),AL$72+6),HOLIDAYS)))</f>
        <v>0</v>
      </c>
      <c r="AM277" s="289" t="n">
        <f aca="false">IF($L277=0,0,$L277*MAX(0,NETWORKDAYS(MAX($H277,ASOF,AM$72),MIN(MAX($I277,ASOF),AM$72+6),HOLIDAYS)))</f>
        <v>0</v>
      </c>
      <c r="AN277" s="289" t="n">
        <f aca="false">IF($L277=0,0,$L277*MAX(0,NETWORKDAYS(MAX($H277,ASOF,AN$72),MIN(MAX($I277,ASOF),AN$72+6),HOLIDAYS)))</f>
        <v>0</v>
      </c>
      <c r="AO277" s="289" t="n">
        <f aca="false">IF($L277=0,0,$L277*MAX(0,NETWORKDAYS(MAX($H277,ASOF,AO$72),MIN(MAX($I277,ASOF),AO$72+6),HOLIDAYS)))</f>
        <v>0</v>
      </c>
      <c r="AP277" s="289" t="n">
        <f aca="false">IF($L277=0,0,$L277*MAX(0,NETWORKDAYS(MAX($H277,ASOF,AP$72),MIN(MAX($I277,ASOF),AP$72+6),HOLIDAYS)))</f>
        <v>0</v>
      </c>
      <c r="AQ277" s="289" t="n">
        <f aca="false">IF($L277=0,0,$L277*MAX(0,NETWORKDAYS(MAX($H277,ASOF,AQ$72),MIN(MAX($I277,ASOF),AQ$72+6),HOLIDAYS)))</f>
        <v>0</v>
      </c>
      <c r="AR277" s="289" t="n">
        <f aca="false">IF($L277=0,0,$L277*MAX(0,NETWORKDAYS(MAX($H277,ASOF,AR$72),MIN(MAX($I277,ASOF),AR$72+6),HOLIDAYS)))</f>
        <v>0</v>
      </c>
    </row>
    <row r="278" customFormat="false" ht="15" hidden="false" customHeight="false" outlineLevel="1" collapsed="false">
      <c r="A278" s="282" t="s">
        <v>110</v>
      </c>
      <c r="B278" s="283" t="s">
        <v>112</v>
      </c>
      <c r="C278" s="284" t="s">
        <v>2360</v>
      </c>
      <c r="D278" s="284" t="s">
        <v>2284</v>
      </c>
      <c r="E278" s="285" t="n">
        <v>280.44</v>
      </c>
      <c r="F278" s="283" t="s">
        <v>527</v>
      </c>
      <c r="G278" s="285" t="n">
        <f aca="false">$F$6*(E278/$G$6+$H$6)</f>
        <v>24.033</v>
      </c>
      <c r="H278" s="286" t="n">
        <f aca="false">IF(ISNUMBER('P9-018'!$N$70),'P9-018'!$N$70,"")</f>
        <v>46343</v>
      </c>
      <c r="I278" s="286" t="n">
        <f aca="false">IF(ISNUMBER('P9-018'!$O$70),'P9-018'!$O$70,"")</f>
        <v>46346</v>
      </c>
      <c r="J278" s="287" t="n">
        <f aca="false">IF(OR(H278="",I278="",N278&gt;=1),0,MAX(1,NETWORKDAYS(MAX(H278,ASOF),MAX(I278,ASOF),HOLIDAYS)))</f>
        <v>4</v>
      </c>
      <c r="K278" s="287" t="n">
        <f aca="false">IF(L278=0,0,ROUNDUP(L278/$F$6,0))</f>
        <v>3</v>
      </c>
      <c r="L278" s="285" t="n">
        <f aca="false">IF(J278=0,0,G278*(1-N278)/J278)</f>
        <v>6.00825</v>
      </c>
      <c r="M278" s="283" t="s">
        <v>987</v>
      </c>
      <c r="N278" s="288" t="n">
        <f aca="false">IFERROR(MIN(1,'P9-018'!$V$70)+0,0)</f>
        <v>0</v>
      </c>
      <c r="O278" s="289" t="n">
        <f aca="false">IF($L278=0,0,$L278*MAX(0,NETWORKDAYS(MAX($H278,ASOF,O$72),MIN(MAX($I278,ASOF),O$72+6),HOLIDAYS)))</f>
        <v>0</v>
      </c>
      <c r="P278" s="289" t="n">
        <f aca="false">IF($L278=0,0,$L278*MAX(0,NETWORKDAYS(MAX($H278,ASOF,P$72),MIN(MAX($I278,ASOF),P$72+6),HOLIDAYS)))</f>
        <v>0</v>
      </c>
      <c r="Q278" s="289" t="n">
        <f aca="false">IF($L278=0,0,$L278*MAX(0,NETWORKDAYS(MAX($H278,ASOF,Q$72),MIN(MAX($I278,ASOF),Q$72+6),HOLIDAYS)))</f>
        <v>24.033</v>
      </c>
      <c r="R278" s="289" t="n">
        <f aca="false">IF($L278=0,0,$L278*MAX(0,NETWORKDAYS(MAX($H278,ASOF,R$72),MIN(MAX($I278,ASOF),R$72+6),HOLIDAYS)))</f>
        <v>0</v>
      </c>
      <c r="S278" s="289" t="n">
        <f aca="false">IF($L278=0,0,$L278*MAX(0,NETWORKDAYS(MAX($H278,ASOF,S$72),MIN(MAX($I278,ASOF),S$72+6),HOLIDAYS)))</f>
        <v>0</v>
      </c>
      <c r="T278" s="289" t="n">
        <f aca="false">IF($L278=0,0,$L278*MAX(0,NETWORKDAYS(MAX($H278,ASOF,T$72),MIN(MAX($I278,ASOF),T$72+6),HOLIDAYS)))</f>
        <v>0</v>
      </c>
      <c r="U278" s="289" t="n">
        <f aca="false">IF($L278=0,0,$L278*MAX(0,NETWORKDAYS(MAX($H278,ASOF,U$72),MIN(MAX($I278,ASOF),U$72+6),HOLIDAYS)))</f>
        <v>0</v>
      </c>
      <c r="V278" s="289" t="n">
        <f aca="false">IF($L278=0,0,$L278*MAX(0,NETWORKDAYS(MAX($H278,ASOF,V$72),MIN(MAX($I278,ASOF),V$72+6),HOLIDAYS)))</f>
        <v>0</v>
      </c>
      <c r="W278" s="289" t="n">
        <f aca="false">IF($L278=0,0,$L278*MAX(0,NETWORKDAYS(MAX($H278,ASOF,W$72),MIN(MAX($I278,ASOF),W$72+6),HOLIDAYS)))</f>
        <v>0</v>
      </c>
      <c r="X278" s="289" t="n">
        <f aca="false">IF($L278=0,0,$L278*MAX(0,NETWORKDAYS(MAX($H278,ASOF,X$72),MIN(MAX($I278,ASOF),X$72+6),HOLIDAYS)))</f>
        <v>0</v>
      </c>
      <c r="Y278" s="289" t="n">
        <f aca="false">IF($L278=0,0,$L278*MAX(0,NETWORKDAYS(MAX($H278,ASOF,Y$72),MIN(MAX($I278,ASOF),Y$72+6),HOLIDAYS)))</f>
        <v>0</v>
      </c>
      <c r="Z278" s="289" t="n">
        <f aca="false">IF($L278=0,0,$L278*MAX(0,NETWORKDAYS(MAX($H278,ASOF,Z$72),MIN(MAX($I278,ASOF),Z$72+6),HOLIDAYS)))</f>
        <v>0</v>
      </c>
      <c r="AA278" s="289" t="n">
        <f aca="false">IF($L278=0,0,$L278*MAX(0,NETWORKDAYS(MAX($H278,ASOF,AA$72),MIN(MAX($I278,ASOF),AA$72+6),HOLIDAYS)))</f>
        <v>0</v>
      </c>
      <c r="AB278" s="289" t="n">
        <f aca="false">IF($L278=0,0,$L278*MAX(0,NETWORKDAYS(MAX($H278,ASOF,AB$72),MIN(MAX($I278,ASOF),AB$72+6),HOLIDAYS)))</f>
        <v>0</v>
      </c>
      <c r="AC278" s="289" t="n">
        <f aca="false">IF($L278=0,0,$L278*MAX(0,NETWORKDAYS(MAX($H278,ASOF,AC$72),MIN(MAX($I278,ASOF),AC$72+6),HOLIDAYS)))</f>
        <v>0</v>
      </c>
      <c r="AD278" s="289" t="n">
        <f aca="false">IF($L278=0,0,$L278*MAX(0,NETWORKDAYS(MAX($H278,ASOF,AD$72),MIN(MAX($I278,ASOF),AD$72+6),HOLIDAYS)))</f>
        <v>0</v>
      </c>
      <c r="AE278" s="289" t="n">
        <f aca="false">IF($L278=0,0,$L278*MAX(0,NETWORKDAYS(MAX($H278,ASOF,AE$72),MIN(MAX($I278,ASOF),AE$72+6),HOLIDAYS)))</f>
        <v>0</v>
      </c>
      <c r="AF278" s="289" t="n">
        <f aca="false">IF($L278=0,0,$L278*MAX(0,NETWORKDAYS(MAX($H278,ASOF,AF$72),MIN(MAX($I278,ASOF),AF$72+6),HOLIDAYS)))</f>
        <v>0</v>
      </c>
      <c r="AG278" s="289" t="n">
        <f aca="false">IF($L278=0,0,$L278*MAX(0,NETWORKDAYS(MAX($H278,ASOF,AG$72),MIN(MAX($I278,ASOF),AG$72+6),HOLIDAYS)))</f>
        <v>0</v>
      </c>
      <c r="AH278" s="289" t="n">
        <f aca="false">IF($L278=0,0,$L278*MAX(0,NETWORKDAYS(MAX($H278,ASOF,AH$72),MIN(MAX($I278,ASOF),AH$72+6),HOLIDAYS)))</f>
        <v>0</v>
      </c>
      <c r="AI278" s="289" t="n">
        <f aca="false">IF($L278=0,0,$L278*MAX(0,NETWORKDAYS(MAX($H278,ASOF,AI$72),MIN(MAX($I278,ASOF),AI$72+6),HOLIDAYS)))</f>
        <v>0</v>
      </c>
      <c r="AJ278" s="289" t="n">
        <f aca="false">IF($L278=0,0,$L278*MAX(0,NETWORKDAYS(MAX($H278,ASOF,AJ$72),MIN(MAX($I278,ASOF),AJ$72+6),HOLIDAYS)))</f>
        <v>0</v>
      </c>
      <c r="AK278" s="289" t="n">
        <f aca="false">IF($L278=0,0,$L278*MAX(0,NETWORKDAYS(MAX($H278,ASOF,AK$72),MIN(MAX($I278,ASOF),AK$72+6),HOLIDAYS)))</f>
        <v>0</v>
      </c>
      <c r="AL278" s="289" t="n">
        <f aca="false">IF($L278=0,0,$L278*MAX(0,NETWORKDAYS(MAX($H278,ASOF,AL$72),MIN(MAX($I278,ASOF),AL$72+6),HOLIDAYS)))</f>
        <v>0</v>
      </c>
      <c r="AM278" s="289" t="n">
        <f aca="false">IF($L278=0,0,$L278*MAX(0,NETWORKDAYS(MAX($H278,ASOF,AM$72),MIN(MAX($I278,ASOF),AM$72+6),HOLIDAYS)))</f>
        <v>0</v>
      </c>
      <c r="AN278" s="289" t="n">
        <f aca="false">IF($L278=0,0,$L278*MAX(0,NETWORKDAYS(MAX($H278,ASOF,AN$72),MIN(MAX($I278,ASOF),AN$72+6),HOLIDAYS)))</f>
        <v>0</v>
      </c>
      <c r="AO278" s="289" t="n">
        <f aca="false">IF($L278=0,0,$L278*MAX(0,NETWORKDAYS(MAX($H278,ASOF,AO$72),MIN(MAX($I278,ASOF),AO$72+6),HOLIDAYS)))</f>
        <v>0</v>
      </c>
      <c r="AP278" s="289" t="n">
        <f aca="false">IF($L278=0,0,$L278*MAX(0,NETWORKDAYS(MAX($H278,ASOF,AP$72),MIN(MAX($I278,ASOF),AP$72+6),HOLIDAYS)))</f>
        <v>0</v>
      </c>
      <c r="AQ278" s="289" t="n">
        <f aca="false">IF($L278=0,0,$L278*MAX(0,NETWORKDAYS(MAX($H278,ASOF,AQ$72),MIN(MAX($I278,ASOF),AQ$72+6),HOLIDAYS)))</f>
        <v>0</v>
      </c>
      <c r="AR278" s="289" t="n">
        <f aca="false">IF($L278=0,0,$L278*MAX(0,NETWORKDAYS(MAX($H278,ASOF,AR$72),MIN(MAX($I278,ASOF),AR$72+6),HOLIDAYS)))</f>
        <v>0</v>
      </c>
    </row>
    <row r="279" customFormat="false" ht="15" hidden="false" customHeight="false" outlineLevel="1" collapsed="false">
      <c r="A279" s="282" t="s">
        <v>110</v>
      </c>
      <c r="B279" s="283" t="s">
        <v>112</v>
      </c>
      <c r="C279" s="284" t="s">
        <v>2361</v>
      </c>
      <c r="D279" s="284" t="s">
        <v>2280</v>
      </c>
      <c r="E279" s="285" t="n">
        <v>280.44</v>
      </c>
      <c r="F279" s="283" t="s">
        <v>527</v>
      </c>
      <c r="G279" s="285" t="n">
        <f aca="false">$F$7*(E279/$G$7+$H$7)</f>
        <v>34.0502857142857</v>
      </c>
      <c r="H279" s="286" t="n">
        <f aca="false">IF(ISNUMBER('P9-018'!$N$76),'P9-018'!$N$76,"")</f>
        <v>46337</v>
      </c>
      <c r="I279" s="286" t="n">
        <f aca="false">IF(ISNUMBER('P9-018'!$O$76),'P9-018'!$O$76,"")</f>
        <v>46347</v>
      </c>
      <c r="J279" s="287" t="n">
        <f aca="false">IF(OR(H279="",I279="",N279&gt;=1),0,MAX(1,NETWORKDAYS(MAX(H279,ASOF),MAX(I279,ASOF),HOLIDAYS)))</f>
        <v>8</v>
      </c>
      <c r="K279" s="287" t="n">
        <f aca="false">IF(L279=0,0,ROUNDUP(L279/$F$7,0))</f>
        <v>2</v>
      </c>
      <c r="L279" s="285" t="n">
        <f aca="false">IF(J279=0,0,G279*(1-N279)/J279)</f>
        <v>4.25628571428571</v>
      </c>
      <c r="M279" s="283" t="s">
        <v>1037</v>
      </c>
      <c r="N279" s="288" t="n">
        <f aca="false">IFERROR(MIN(1,'P9-018'!$V$76)+0,0)</f>
        <v>0</v>
      </c>
      <c r="O279" s="289" t="n">
        <f aca="false">IF($L279=0,0,$L279*MAX(0,NETWORKDAYS(MAX($H279,ASOF,O$72),MIN(MAX($I279,ASOF),O$72+6),HOLIDAYS)))</f>
        <v>0</v>
      </c>
      <c r="P279" s="289" t="n">
        <f aca="false">IF($L279=0,0,$L279*MAX(0,NETWORKDAYS(MAX($H279,ASOF,P$72),MIN(MAX($I279,ASOF),P$72+6),HOLIDAYS)))</f>
        <v>12.7688571428571</v>
      </c>
      <c r="Q279" s="289" t="n">
        <f aca="false">IF($L279=0,0,$L279*MAX(0,NETWORKDAYS(MAX($H279,ASOF,Q$72),MIN(MAX($I279,ASOF),Q$72+6),HOLIDAYS)))</f>
        <v>21.2814285714286</v>
      </c>
      <c r="R279" s="289" t="n">
        <f aca="false">IF($L279=0,0,$L279*MAX(0,NETWORKDAYS(MAX($H279,ASOF,R$72),MIN(MAX($I279,ASOF),R$72+6),HOLIDAYS)))</f>
        <v>0</v>
      </c>
      <c r="S279" s="289" t="n">
        <f aca="false">IF($L279=0,0,$L279*MAX(0,NETWORKDAYS(MAX($H279,ASOF,S$72),MIN(MAX($I279,ASOF),S$72+6),HOLIDAYS)))</f>
        <v>0</v>
      </c>
      <c r="T279" s="289" t="n">
        <f aca="false">IF($L279=0,0,$L279*MAX(0,NETWORKDAYS(MAX($H279,ASOF,T$72),MIN(MAX($I279,ASOF),T$72+6),HOLIDAYS)))</f>
        <v>0</v>
      </c>
      <c r="U279" s="289" t="n">
        <f aca="false">IF($L279=0,0,$L279*MAX(0,NETWORKDAYS(MAX($H279,ASOF,U$72),MIN(MAX($I279,ASOF),U$72+6),HOLIDAYS)))</f>
        <v>0</v>
      </c>
      <c r="V279" s="289" t="n">
        <f aca="false">IF($L279=0,0,$L279*MAX(0,NETWORKDAYS(MAX($H279,ASOF,V$72),MIN(MAX($I279,ASOF),V$72+6),HOLIDAYS)))</f>
        <v>0</v>
      </c>
      <c r="W279" s="289" t="n">
        <f aca="false">IF($L279=0,0,$L279*MAX(0,NETWORKDAYS(MAX($H279,ASOF,W$72),MIN(MAX($I279,ASOF),W$72+6),HOLIDAYS)))</f>
        <v>0</v>
      </c>
      <c r="X279" s="289" t="n">
        <f aca="false">IF($L279=0,0,$L279*MAX(0,NETWORKDAYS(MAX($H279,ASOF,X$72),MIN(MAX($I279,ASOF),X$72+6),HOLIDAYS)))</f>
        <v>0</v>
      </c>
      <c r="Y279" s="289" t="n">
        <f aca="false">IF($L279=0,0,$L279*MAX(0,NETWORKDAYS(MAX($H279,ASOF,Y$72),MIN(MAX($I279,ASOF),Y$72+6),HOLIDAYS)))</f>
        <v>0</v>
      </c>
      <c r="Z279" s="289" t="n">
        <f aca="false">IF($L279=0,0,$L279*MAX(0,NETWORKDAYS(MAX($H279,ASOF,Z$72),MIN(MAX($I279,ASOF),Z$72+6),HOLIDAYS)))</f>
        <v>0</v>
      </c>
      <c r="AA279" s="289" t="n">
        <f aca="false">IF($L279=0,0,$L279*MAX(0,NETWORKDAYS(MAX($H279,ASOF,AA$72),MIN(MAX($I279,ASOF),AA$72+6),HOLIDAYS)))</f>
        <v>0</v>
      </c>
      <c r="AB279" s="289" t="n">
        <f aca="false">IF($L279=0,0,$L279*MAX(0,NETWORKDAYS(MAX($H279,ASOF,AB$72),MIN(MAX($I279,ASOF),AB$72+6),HOLIDAYS)))</f>
        <v>0</v>
      </c>
      <c r="AC279" s="289" t="n">
        <f aca="false">IF($L279=0,0,$L279*MAX(0,NETWORKDAYS(MAX($H279,ASOF,AC$72),MIN(MAX($I279,ASOF),AC$72+6),HOLIDAYS)))</f>
        <v>0</v>
      </c>
      <c r="AD279" s="289" t="n">
        <f aca="false">IF($L279=0,0,$L279*MAX(0,NETWORKDAYS(MAX($H279,ASOF,AD$72),MIN(MAX($I279,ASOF),AD$72+6),HOLIDAYS)))</f>
        <v>0</v>
      </c>
      <c r="AE279" s="289" t="n">
        <f aca="false">IF($L279=0,0,$L279*MAX(0,NETWORKDAYS(MAX($H279,ASOF,AE$72),MIN(MAX($I279,ASOF),AE$72+6),HOLIDAYS)))</f>
        <v>0</v>
      </c>
      <c r="AF279" s="289" t="n">
        <f aca="false">IF($L279=0,0,$L279*MAX(0,NETWORKDAYS(MAX($H279,ASOF,AF$72),MIN(MAX($I279,ASOF),AF$72+6),HOLIDAYS)))</f>
        <v>0</v>
      </c>
      <c r="AG279" s="289" t="n">
        <f aca="false">IF($L279=0,0,$L279*MAX(0,NETWORKDAYS(MAX($H279,ASOF,AG$72),MIN(MAX($I279,ASOF),AG$72+6),HOLIDAYS)))</f>
        <v>0</v>
      </c>
      <c r="AH279" s="289" t="n">
        <f aca="false">IF($L279=0,0,$L279*MAX(0,NETWORKDAYS(MAX($H279,ASOF,AH$72),MIN(MAX($I279,ASOF),AH$72+6),HOLIDAYS)))</f>
        <v>0</v>
      </c>
      <c r="AI279" s="289" t="n">
        <f aca="false">IF($L279=0,0,$L279*MAX(0,NETWORKDAYS(MAX($H279,ASOF,AI$72),MIN(MAX($I279,ASOF),AI$72+6),HOLIDAYS)))</f>
        <v>0</v>
      </c>
      <c r="AJ279" s="289" t="n">
        <f aca="false">IF($L279=0,0,$L279*MAX(0,NETWORKDAYS(MAX($H279,ASOF,AJ$72),MIN(MAX($I279,ASOF),AJ$72+6),HOLIDAYS)))</f>
        <v>0</v>
      </c>
      <c r="AK279" s="289" t="n">
        <f aca="false">IF($L279=0,0,$L279*MAX(0,NETWORKDAYS(MAX($H279,ASOF,AK$72),MIN(MAX($I279,ASOF),AK$72+6),HOLIDAYS)))</f>
        <v>0</v>
      </c>
      <c r="AL279" s="289" t="n">
        <f aca="false">IF($L279=0,0,$L279*MAX(0,NETWORKDAYS(MAX($H279,ASOF,AL$72),MIN(MAX($I279,ASOF),AL$72+6),HOLIDAYS)))</f>
        <v>0</v>
      </c>
      <c r="AM279" s="289" t="n">
        <f aca="false">IF($L279=0,0,$L279*MAX(0,NETWORKDAYS(MAX($H279,ASOF,AM$72),MIN(MAX($I279,ASOF),AM$72+6),HOLIDAYS)))</f>
        <v>0</v>
      </c>
      <c r="AN279" s="289" t="n">
        <f aca="false">IF($L279=0,0,$L279*MAX(0,NETWORKDAYS(MAX($H279,ASOF,AN$72),MIN(MAX($I279,ASOF),AN$72+6),HOLIDAYS)))</f>
        <v>0</v>
      </c>
      <c r="AO279" s="289" t="n">
        <f aca="false">IF($L279=0,0,$L279*MAX(0,NETWORKDAYS(MAX($H279,ASOF,AO$72),MIN(MAX($I279,ASOF),AO$72+6),HOLIDAYS)))</f>
        <v>0</v>
      </c>
      <c r="AP279" s="289" t="n">
        <f aca="false">IF($L279=0,0,$L279*MAX(0,NETWORKDAYS(MAX($H279,ASOF,AP$72),MIN(MAX($I279,ASOF),AP$72+6),HOLIDAYS)))</f>
        <v>0</v>
      </c>
      <c r="AQ279" s="289" t="n">
        <f aca="false">IF($L279=0,0,$L279*MAX(0,NETWORKDAYS(MAX($H279,ASOF,AQ$72),MIN(MAX($I279,ASOF),AQ$72+6),HOLIDAYS)))</f>
        <v>0</v>
      </c>
      <c r="AR279" s="289" t="n">
        <f aca="false">IF($L279=0,0,$L279*MAX(0,NETWORKDAYS(MAX($H279,ASOF,AR$72),MIN(MAX($I279,ASOF),AR$72+6),HOLIDAYS)))</f>
        <v>0</v>
      </c>
    </row>
    <row r="280" customFormat="false" ht="15" hidden="false" customHeight="false" outlineLevel="1" collapsed="false">
      <c r="A280" s="282" t="s">
        <v>110</v>
      </c>
      <c r="B280" s="283" t="s">
        <v>112</v>
      </c>
      <c r="C280" s="284" t="s">
        <v>2362</v>
      </c>
      <c r="D280" s="284" t="s">
        <v>2284</v>
      </c>
      <c r="E280" s="285" t="n">
        <v>1</v>
      </c>
      <c r="F280" s="290" t="s">
        <v>35</v>
      </c>
      <c r="G280" s="285" t="n">
        <f aca="false">$F$8*$H$8</f>
        <v>2</v>
      </c>
      <c r="H280" s="286" t="n">
        <f aca="false">IF(ISNUMBER('P9-018'!$N$82),'P9-018'!$N$82,"")</f>
        <v>46345</v>
      </c>
      <c r="I280" s="286" t="n">
        <f aca="false">IF(ISNUMBER('P9-018'!$O$82),'P9-018'!$O$82,"")</f>
        <v>46347</v>
      </c>
      <c r="J280" s="287" t="n">
        <f aca="false">IF(OR(H280="",I280="",N280&gt;=1),0,MAX(1,NETWORKDAYS(MAX(H280,ASOF),MAX(I280,ASOF),HOLIDAYS)))</f>
        <v>2</v>
      </c>
      <c r="K280" s="287" t="n">
        <f aca="false">IF(L280=0,0,ROUNDUP(L280/$F$8,0))</f>
        <v>1</v>
      </c>
      <c r="L280" s="285" t="n">
        <f aca="false">IF(J280=0,0,G280*(1-N280)/J280)</f>
        <v>1</v>
      </c>
      <c r="M280" s="283" t="s">
        <v>1063</v>
      </c>
      <c r="N280" s="288" t="n">
        <f aca="false">IFERROR(MIN(1,'P9-018'!$V$82)+0,0)</f>
        <v>0</v>
      </c>
      <c r="O280" s="289" t="n">
        <f aca="false">IF($L280=0,0,$L280*MAX(0,NETWORKDAYS(MAX($H280,ASOF,O$72),MIN(MAX($I280,ASOF),O$72+6),HOLIDAYS)))</f>
        <v>0</v>
      </c>
      <c r="P280" s="289" t="n">
        <f aca="false">IF($L280=0,0,$L280*MAX(0,NETWORKDAYS(MAX($H280,ASOF,P$72),MIN(MAX($I280,ASOF),P$72+6),HOLIDAYS)))</f>
        <v>0</v>
      </c>
      <c r="Q280" s="289" t="n">
        <f aca="false">IF($L280=0,0,$L280*MAX(0,NETWORKDAYS(MAX($H280,ASOF,Q$72),MIN(MAX($I280,ASOF),Q$72+6),HOLIDAYS)))</f>
        <v>2</v>
      </c>
      <c r="R280" s="289" t="n">
        <f aca="false">IF($L280=0,0,$L280*MAX(0,NETWORKDAYS(MAX($H280,ASOF,R$72),MIN(MAX($I280,ASOF),R$72+6),HOLIDAYS)))</f>
        <v>0</v>
      </c>
      <c r="S280" s="289" t="n">
        <f aca="false">IF($L280=0,0,$L280*MAX(0,NETWORKDAYS(MAX($H280,ASOF,S$72),MIN(MAX($I280,ASOF),S$72+6),HOLIDAYS)))</f>
        <v>0</v>
      </c>
      <c r="T280" s="289" t="n">
        <f aca="false">IF($L280=0,0,$L280*MAX(0,NETWORKDAYS(MAX($H280,ASOF,T$72),MIN(MAX($I280,ASOF),T$72+6),HOLIDAYS)))</f>
        <v>0</v>
      </c>
      <c r="U280" s="289" t="n">
        <f aca="false">IF($L280=0,0,$L280*MAX(0,NETWORKDAYS(MAX($H280,ASOF,U$72),MIN(MAX($I280,ASOF),U$72+6),HOLIDAYS)))</f>
        <v>0</v>
      </c>
      <c r="V280" s="289" t="n">
        <f aca="false">IF($L280=0,0,$L280*MAX(0,NETWORKDAYS(MAX($H280,ASOF,V$72),MIN(MAX($I280,ASOF),V$72+6),HOLIDAYS)))</f>
        <v>0</v>
      </c>
      <c r="W280" s="289" t="n">
        <f aca="false">IF($L280=0,0,$L280*MAX(0,NETWORKDAYS(MAX($H280,ASOF,W$72),MIN(MAX($I280,ASOF),W$72+6),HOLIDAYS)))</f>
        <v>0</v>
      </c>
      <c r="X280" s="289" t="n">
        <f aca="false">IF($L280=0,0,$L280*MAX(0,NETWORKDAYS(MAX($H280,ASOF,X$72),MIN(MAX($I280,ASOF),X$72+6),HOLIDAYS)))</f>
        <v>0</v>
      </c>
      <c r="Y280" s="289" t="n">
        <f aca="false">IF($L280=0,0,$L280*MAX(0,NETWORKDAYS(MAX($H280,ASOF,Y$72),MIN(MAX($I280,ASOF),Y$72+6),HOLIDAYS)))</f>
        <v>0</v>
      </c>
      <c r="Z280" s="289" t="n">
        <f aca="false">IF($L280=0,0,$L280*MAX(0,NETWORKDAYS(MAX($H280,ASOF,Z$72),MIN(MAX($I280,ASOF),Z$72+6),HOLIDAYS)))</f>
        <v>0</v>
      </c>
      <c r="AA280" s="289" t="n">
        <f aca="false">IF($L280=0,0,$L280*MAX(0,NETWORKDAYS(MAX($H280,ASOF,AA$72),MIN(MAX($I280,ASOF),AA$72+6),HOLIDAYS)))</f>
        <v>0</v>
      </c>
      <c r="AB280" s="289" t="n">
        <f aca="false">IF($L280=0,0,$L280*MAX(0,NETWORKDAYS(MAX($H280,ASOF,AB$72),MIN(MAX($I280,ASOF),AB$72+6),HOLIDAYS)))</f>
        <v>0</v>
      </c>
      <c r="AC280" s="289" t="n">
        <f aca="false">IF($L280=0,0,$L280*MAX(0,NETWORKDAYS(MAX($H280,ASOF,AC$72),MIN(MAX($I280,ASOF),AC$72+6),HOLIDAYS)))</f>
        <v>0</v>
      </c>
      <c r="AD280" s="289" t="n">
        <f aca="false">IF($L280=0,0,$L280*MAX(0,NETWORKDAYS(MAX($H280,ASOF,AD$72),MIN(MAX($I280,ASOF),AD$72+6),HOLIDAYS)))</f>
        <v>0</v>
      </c>
      <c r="AE280" s="289" t="n">
        <f aca="false">IF($L280=0,0,$L280*MAX(0,NETWORKDAYS(MAX($H280,ASOF,AE$72),MIN(MAX($I280,ASOF),AE$72+6),HOLIDAYS)))</f>
        <v>0</v>
      </c>
      <c r="AF280" s="289" t="n">
        <f aca="false">IF($L280=0,0,$L280*MAX(0,NETWORKDAYS(MAX($H280,ASOF,AF$72),MIN(MAX($I280,ASOF),AF$72+6),HOLIDAYS)))</f>
        <v>0</v>
      </c>
      <c r="AG280" s="289" t="n">
        <f aca="false">IF($L280=0,0,$L280*MAX(0,NETWORKDAYS(MAX($H280,ASOF,AG$72),MIN(MAX($I280,ASOF),AG$72+6),HOLIDAYS)))</f>
        <v>0</v>
      </c>
      <c r="AH280" s="289" t="n">
        <f aca="false">IF($L280=0,0,$L280*MAX(0,NETWORKDAYS(MAX($H280,ASOF,AH$72),MIN(MAX($I280,ASOF),AH$72+6),HOLIDAYS)))</f>
        <v>0</v>
      </c>
      <c r="AI280" s="289" t="n">
        <f aca="false">IF($L280=0,0,$L280*MAX(0,NETWORKDAYS(MAX($H280,ASOF,AI$72),MIN(MAX($I280,ASOF),AI$72+6),HOLIDAYS)))</f>
        <v>0</v>
      </c>
      <c r="AJ280" s="289" t="n">
        <f aca="false">IF($L280=0,0,$L280*MAX(0,NETWORKDAYS(MAX($H280,ASOF,AJ$72),MIN(MAX($I280,ASOF),AJ$72+6),HOLIDAYS)))</f>
        <v>0</v>
      </c>
      <c r="AK280" s="289" t="n">
        <f aca="false">IF($L280=0,0,$L280*MAX(0,NETWORKDAYS(MAX($H280,ASOF,AK$72),MIN(MAX($I280,ASOF),AK$72+6),HOLIDAYS)))</f>
        <v>0</v>
      </c>
      <c r="AL280" s="289" t="n">
        <f aca="false">IF($L280=0,0,$L280*MAX(0,NETWORKDAYS(MAX($H280,ASOF,AL$72),MIN(MAX($I280,ASOF),AL$72+6),HOLIDAYS)))</f>
        <v>0</v>
      </c>
      <c r="AM280" s="289" t="n">
        <f aca="false">IF($L280=0,0,$L280*MAX(0,NETWORKDAYS(MAX($H280,ASOF,AM$72),MIN(MAX($I280,ASOF),AM$72+6),HOLIDAYS)))</f>
        <v>0</v>
      </c>
      <c r="AN280" s="289" t="n">
        <f aca="false">IF($L280=0,0,$L280*MAX(0,NETWORKDAYS(MAX($H280,ASOF,AN$72),MIN(MAX($I280,ASOF),AN$72+6),HOLIDAYS)))</f>
        <v>0</v>
      </c>
      <c r="AO280" s="289" t="n">
        <f aca="false">IF($L280=0,0,$L280*MAX(0,NETWORKDAYS(MAX($H280,ASOF,AO$72),MIN(MAX($I280,ASOF),AO$72+6),HOLIDAYS)))</f>
        <v>0</v>
      </c>
      <c r="AP280" s="289" t="n">
        <f aca="false">IF($L280=0,0,$L280*MAX(0,NETWORKDAYS(MAX($H280,ASOF,AP$72),MIN(MAX($I280,ASOF),AP$72+6),HOLIDAYS)))</f>
        <v>0</v>
      </c>
      <c r="AQ280" s="289" t="n">
        <f aca="false">IF($L280=0,0,$L280*MAX(0,NETWORKDAYS(MAX($H280,ASOF,AQ$72),MIN(MAX($I280,ASOF),AQ$72+6),HOLIDAYS)))</f>
        <v>0</v>
      </c>
      <c r="AR280" s="289" t="n">
        <f aca="false">IF($L280=0,0,$L280*MAX(0,NETWORKDAYS(MAX($H280,ASOF,AR$72),MIN(MAX($I280,ASOF),AR$72+6),HOLIDAYS)))</f>
        <v>0</v>
      </c>
    </row>
    <row r="281" customFormat="false" ht="15" hidden="false" customHeight="false" outlineLevel="1" collapsed="false">
      <c r="A281" s="282" t="s">
        <v>110</v>
      </c>
      <c r="B281" s="283" t="s">
        <v>112</v>
      </c>
      <c r="C281" s="284" t="s">
        <v>2363</v>
      </c>
      <c r="D281" s="284" t="s">
        <v>2290</v>
      </c>
      <c r="E281" s="285" t="n">
        <v>1</v>
      </c>
      <c r="F281" s="290" t="s">
        <v>35</v>
      </c>
      <c r="G281" s="285" t="n">
        <f aca="false">IF(IFERROR(INDEX(INVS_TYPE,MATCH("P9-018",INVS_ID,0)),"")="สร้างใหม่ (E09)",$F$9*$H$9,0)</f>
        <v>24</v>
      </c>
      <c r="H281" s="286" t="n">
        <f aca="false">IF(ISNUMBER('P9-018'!$N$85),'P9-018'!$N$85,"")</f>
        <v>46343</v>
      </c>
      <c r="I281" s="286" t="n">
        <f aca="false">IF(ISNUMBER('P9-018'!$O$85),'P9-018'!$O$85,"")</f>
        <v>46346</v>
      </c>
      <c r="J281" s="287" t="n">
        <f aca="false">IF(OR(H281="",I281="",N281&gt;=1),0,MAX(1,NETWORKDAYS(MAX(H281,ASOF),MAX(I281,ASOF),HOLIDAYS)))</f>
        <v>4</v>
      </c>
      <c r="K281" s="287" t="n">
        <f aca="false">IF(L281=0,0,ROUNDUP(L281/$F$9,0))</f>
        <v>2</v>
      </c>
      <c r="L281" s="285" t="n">
        <f aca="false">IF(J281=0,0,G281*(1-N281)/J281)</f>
        <v>6</v>
      </c>
      <c r="M281" s="283" t="s">
        <v>2288</v>
      </c>
      <c r="N281" s="288" t="n">
        <f aca="false">IFERROR(MIN(1,'P9-018'!$V$85)+0,0)</f>
        <v>0</v>
      </c>
      <c r="O281" s="289" t="n">
        <f aca="false">IF($L281=0,0,$L281*MAX(0,NETWORKDAYS(MAX($H281,ASOF,O$72),MIN(MAX($I281,ASOF),O$72+6),HOLIDAYS)))</f>
        <v>0</v>
      </c>
      <c r="P281" s="289" t="n">
        <f aca="false">IF($L281=0,0,$L281*MAX(0,NETWORKDAYS(MAX($H281,ASOF,P$72),MIN(MAX($I281,ASOF),P$72+6),HOLIDAYS)))</f>
        <v>0</v>
      </c>
      <c r="Q281" s="289" t="n">
        <f aca="false">IF($L281=0,0,$L281*MAX(0,NETWORKDAYS(MAX($H281,ASOF,Q$72),MIN(MAX($I281,ASOF),Q$72+6),HOLIDAYS)))</f>
        <v>24</v>
      </c>
      <c r="R281" s="289" t="n">
        <f aca="false">IF($L281=0,0,$L281*MAX(0,NETWORKDAYS(MAX($H281,ASOF,R$72),MIN(MAX($I281,ASOF),R$72+6),HOLIDAYS)))</f>
        <v>0</v>
      </c>
      <c r="S281" s="289" t="n">
        <f aca="false">IF($L281=0,0,$L281*MAX(0,NETWORKDAYS(MAX($H281,ASOF,S$72),MIN(MAX($I281,ASOF),S$72+6),HOLIDAYS)))</f>
        <v>0</v>
      </c>
      <c r="T281" s="289" t="n">
        <f aca="false">IF($L281=0,0,$L281*MAX(0,NETWORKDAYS(MAX($H281,ASOF,T$72),MIN(MAX($I281,ASOF),T$72+6),HOLIDAYS)))</f>
        <v>0</v>
      </c>
      <c r="U281" s="289" t="n">
        <f aca="false">IF($L281=0,0,$L281*MAX(0,NETWORKDAYS(MAX($H281,ASOF,U$72),MIN(MAX($I281,ASOF),U$72+6),HOLIDAYS)))</f>
        <v>0</v>
      </c>
      <c r="V281" s="289" t="n">
        <f aca="false">IF($L281=0,0,$L281*MAX(0,NETWORKDAYS(MAX($H281,ASOF,V$72),MIN(MAX($I281,ASOF),V$72+6),HOLIDAYS)))</f>
        <v>0</v>
      </c>
      <c r="W281" s="289" t="n">
        <f aca="false">IF($L281=0,0,$L281*MAX(0,NETWORKDAYS(MAX($H281,ASOF,W$72),MIN(MAX($I281,ASOF),W$72+6),HOLIDAYS)))</f>
        <v>0</v>
      </c>
      <c r="X281" s="289" t="n">
        <f aca="false">IF($L281=0,0,$L281*MAX(0,NETWORKDAYS(MAX($H281,ASOF,X$72),MIN(MAX($I281,ASOF),X$72+6),HOLIDAYS)))</f>
        <v>0</v>
      </c>
      <c r="Y281" s="289" t="n">
        <f aca="false">IF($L281=0,0,$L281*MAX(0,NETWORKDAYS(MAX($H281,ASOF,Y$72),MIN(MAX($I281,ASOF),Y$72+6),HOLIDAYS)))</f>
        <v>0</v>
      </c>
      <c r="Z281" s="289" t="n">
        <f aca="false">IF($L281=0,0,$L281*MAX(0,NETWORKDAYS(MAX($H281,ASOF,Z$72),MIN(MAX($I281,ASOF),Z$72+6),HOLIDAYS)))</f>
        <v>0</v>
      </c>
      <c r="AA281" s="289" t="n">
        <f aca="false">IF($L281=0,0,$L281*MAX(0,NETWORKDAYS(MAX($H281,ASOF,AA$72),MIN(MAX($I281,ASOF),AA$72+6),HOLIDAYS)))</f>
        <v>0</v>
      </c>
      <c r="AB281" s="289" t="n">
        <f aca="false">IF($L281=0,0,$L281*MAX(0,NETWORKDAYS(MAX($H281,ASOF,AB$72),MIN(MAX($I281,ASOF),AB$72+6),HOLIDAYS)))</f>
        <v>0</v>
      </c>
      <c r="AC281" s="289" t="n">
        <f aca="false">IF($L281=0,0,$L281*MAX(0,NETWORKDAYS(MAX($H281,ASOF,AC$72),MIN(MAX($I281,ASOF),AC$72+6),HOLIDAYS)))</f>
        <v>0</v>
      </c>
      <c r="AD281" s="289" t="n">
        <f aca="false">IF($L281=0,0,$L281*MAX(0,NETWORKDAYS(MAX($H281,ASOF,AD$72),MIN(MAX($I281,ASOF),AD$72+6),HOLIDAYS)))</f>
        <v>0</v>
      </c>
      <c r="AE281" s="289" t="n">
        <f aca="false">IF($L281=0,0,$L281*MAX(0,NETWORKDAYS(MAX($H281,ASOF,AE$72),MIN(MAX($I281,ASOF),AE$72+6),HOLIDAYS)))</f>
        <v>0</v>
      </c>
      <c r="AF281" s="289" t="n">
        <f aca="false">IF($L281=0,0,$L281*MAX(0,NETWORKDAYS(MAX($H281,ASOF,AF$72),MIN(MAX($I281,ASOF),AF$72+6),HOLIDAYS)))</f>
        <v>0</v>
      </c>
      <c r="AG281" s="289" t="n">
        <f aca="false">IF($L281=0,0,$L281*MAX(0,NETWORKDAYS(MAX($H281,ASOF,AG$72),MIN(MAX($I281,ASOF),AG$72+6),HOLIDAYS)))</f>
        <v>0</v>
      </c>
      <c r="AH281" s="289" t="n">
        <f aca="false">IF($L281=0,0,$L281*MAX(0,NETWORKDAYS(MAX($H281,ASOF,AH$72),MIN(MAX($I281,ASOF),AH$72+6),HOLIDAYS)))</f>
        <v>0</v>
      </c>
      <c r="AI281" s="289" t="n">
        <f aca="false">IF($L281=0,0,$L281*MAX(0,NETWORKDAYS(MAX($H281,ASOF,AI$72),MIN(MAX($I281,ASOF),AI$72+6),HOLIDAYS)))</f>
        <v>0</v>
      </c>
      <c r="AJ281" s="289" t="n">
        <f aca="false">IF($L281=0,0,$L281*MAX(0,NETWORKDAYS(MAX($H281,ASOF,AJ$72),MIN(MAX($I281,ASOF),AJ$72+6),HOLIDAYS)))</f>
        <v>0</v>
      </c>
      <c r="AK281" s="289" t="n">
        <f aca="false">IF($L281=0,0,$L281*MAX(0,NETWORKDAYS(MAX($H281,ASOF,AK$72),MIN(MAX($I281,ASOF),AK$72+6),HOLIDAYS)))</f>
        <v>0</v>
      </c>
      <c r="AL281" s="289" t="n">
        <f aca="false">IF($L281=0,0,$L281*MAX(0,NETWORKDAYS(MAX($H281,ASOF,AL$72),MIN(MAX($I281,ASOF),AL$72+6),HOLIDAYS)))</f>
        <v>0</v>
      </c>
      <c r="AM281" s="289" t="n">
        <f aca="false">IF($L281=0,0,$L281*MAX(0,NETWORKDAYS(MAX($H281,ASOF,AM$72),MIN(MAX($I281,ASOF),AM$72+6),HOLIDAYS)))</f>
        <v>0</v>
      </c>
      <c r="AN281" s="289" t="n">
        <f aca="false">IF($L281=0,0,$L281*MAX(0,NETWORKDAYS(MAX($H281,ASOF,AN$72),MIN(MAX($I281,ASOF),AN$72+6),HOLIDAYS)))</f>
        <v>0</v>
      </c>
      <c r="AO281" s="289" t="n">
        <f aca="false">IF($L281=0,0,$L281*MAX(0,NETWORKDAYS(MAX($H281,ASOF,AO$72),MIN(MAX($I281,ASOF),AO$72+6),HOLIDAYS)))</f>
        <v>0</v>
      </c>
      <c r="AP281" s="289" t="n">
        <f aca="false">IF($L281=0,0,$L281*MAX(0,NETWORKDAYS(MAX($H281,ASOF,AP$72),MIN(MAX($I281,ASOF),AP$72+6),HOLIDAYS)))</f>
        <v>0</v>
      </c>
      <c r="AQ281" s="289" t="n">
        <f aca="false">IF($L281=0,0,$L281*MAX(0,NETWORKDAYS(MAX($H281,ASOF,AQ$72),MIN(MAX($I281,ASOF),AQ$72+6),HOLIDAYS)))</f>
        <v>0</v>
      </c>
      <c r="AR281" s="289" t="n">
        <f aca="false">IF($L281=0,0,$L281*MAX(0,NETWORKDAYS(MAX($H281,ASOF,AR$72),MIN(MAX($I281,ASOF),AR$72+6),HOLIDAYS)))</f>
        <v>0</v>
      </c>
    </row>
    <row r="282" customFormat="false" ht="15" hidden="false" customHeight="false" outlineLevel="1" collapsed="false">
      <c r="A282" s="282" t="s">
        <v>110</v>
      </c>
      <c r="B282" s="283" t="s">
        <v>112</v>
      </c>
      <c r="C282" s="284" t="s">
        <v>2364</v>
      </c>
      <c r="D282" s="284" t="s">
        <v>2284</v>
      </c>
      <c r="E282" s="285" t="n">
        <f aca="false">IFERROR(INDEX(INVS_N,MATCH("P9-018",INVS_ID,0)),2)</f>
        <v>2</v>
      </c>
      <c r="F282" s="290" t="s">
        <v>2365</v>
      </c>
      <c r="G282" s="285" t="n">
        <f aca="false">$F$10*(E282/$G$10+$H$10)</f>
        <v>4.5</v>
      </c>
      <c r="H282" s="286" t="n">
        <f aca="false">IF(ISNUMBER('P9-018'!$N$85),'P9-018'!$N$85,"")</f>
        <v>46343</v>
      </c>
      <c r="I282" s="286" t="n">
        <f aca="false">IF(ISNUMBER('P9-018'!$O$85),'P9-018'!$O$85,"")</f>
        <v>46346</v>
      </c>
      <c r="J282" s="287" t="n">
        <f aca="false">IF(OR(H282="",I282="",N282&gt;=1),0,MAX(1,NETWORKDAYS(MAX(H282,ASOF),MAX(I282,ASOF),HOLIDAYS)))</f>
        <v>4</v>
      </c>
      <c r="K282" s="287" t="n">
        <f aca="false">IF(L282=0,0,ROUNDUP(L282/$F$10,0))</f>
        <v>1</v>
      </c>
      <c r="L282" s="285" t="n">
        <f aca="false">IF(J282=0,0,G282*(1-N282)/J282)</f>
        <v>1.125</v>
      </c>
      <c r="M282" s="283" t="s">
        <v>2293</v>
      </c>
      <c r="N282" s="288" t="n">
        <f aca="false">IFERROR(MIN(1,'P9-018'!$V$85)+0,0)</f>
        <v>0</v>
      </c>
      <c r="O282" s="289" t="n">
        <f aca="false">IF($L282=0,0,$L282*MAX(0,NETWORKDAYS(MAX($H282,ASOF,O$72),MIN(MAX($I282,ASOF),O$72+6),HOLIDAYS)))</f>
        <v>0</v>
      </c>
      <c r="P282" s="289" t="n">
        <f aca="false">IF($L282=0,0,$L282*MAX(0,NETWORKDAYS(MAX($H282,ASOF,P$72),MIN(MAX($I282,ASOF),P$72+6),HOLIDAYS)))</f>
        <v>0</v>
      </c>
      <c r="Q282" s="289" t="n">
        <f aca="false">IF($L282=0,0,$L282*MAX(0,NETWORKDAYS(MAX($H282,ASOF,Q$72),MIN(MAX($I282,ASOF),Q$72+6),HOLIDAYS)))</f>
        <v>4.5</v>
      </c>
      <c r="R282" s="289" t="n">
        <f aca="false">IF($L282=0,0,$L282*MAX(0,NETWORKDAYS(MAX($H282,ASOF,R$72),MIN(MAX($I282,ASOF),R$72+6),HOLIDAYS)))</f>
        <v>0</v>
      </c>
      <c r="S282" s="289" t="n">
        <f aca="false">IF($L282=0,0,$L282*MAX(0,NETWORKDAYS(MAX($H282,ASOF,S$72),MIN(MAX($I282,ASOF),S$72+6),HOLIDAYS)))</f>
        <v>0</v>
      </c>
      <c r="T282" s="289" t="n">
        <f aca="false">IF($L282=0,0,$L282*MAX(0,NETWORKDAYS(MAX($H282,ASOF,T$72),MIN(MAX($I282,ASOF),T$72+6),HOLIDAYS)))</f>
        <v>0</v>
      </c>
      <c r="U282" s="289" t="n">
        <f aca="false">IF($L282=0,0,$L282*MAX(0,NETWORKDAYS(MAX($H282,ASOF,U$72),MIN(MAX($I282,ASOF),U$72+6),HOLIDAYS)))</f>
        <v>0</v>
      </c>
      <c r="V282" s="289" t="n">
        <f aca="false">IF($L282=0,0,$L282*MAX(0,NETWORKDAYS(MAX($H282,ASOF,V$72),MIN(MAX($I282,ASOF),V$72+6),HOLIDAYS)))</f>
        <v>0</v>
      </c>
      <c r="W282" s="289" t="n">
        <f aca="false">IF($L282=0,0,$L282*MAX(0,NETWORKDAYS(MAX($H282,ASOF,W$72),MIN(MAX($I282,ASOF),W$72+6),HOLIDAYS)))</f>
        <v>0</v>
      </c>
      <c r="X282" s="289" t="n">
        <f aca="false">IF($L282=0,0,$L282*MAX(0,NETWORKDAYS(MAX($H282,ASOF,X$72),MIN(MAX($I282,ASOF),X$72+6),HOLIDAYS)))</f>
        <v>0</v>
      </c>
      <c r="Y282" s="289" t="n">
        <f aca="false">IF($L282=0,0,$L282*MAX(0,NETWORKDAYS(MAX($H282,ASOF,Y$72),MIN(MAX($I282,ASOF),Y$72+6),HOLIDAYS)))</f>
        <v>0</v>
      </c>
      <c r="Z282" s="289" t="n">
        <f aca="false">IF($L282=0,0,$L282*MAX(0,NETWORKDAYS(MAX($H282,ASOF,Z$72),MIN(MAX($I282,ASOF),Z$72+6),HOLIDAYS)))</f>
        <v>0</v>
      </c>
      <c r="AA282" s="289" t="n">
        <f aca="false">IF($L282=0,0,$L282*MAX(0,NETWORKDAYS(MAX($H282,ASOF,AA$72),MIN(MAX($I282,ASOF),AA$72+6),HOLIDAYS)))</f>
        <v>0</v>
      </c>
      <c r="AB282" s="289" t="n">
        <f aca="false">IF($L282=0,0,$L282*MAX(0,NETWORKDAYS(MAX($H282,ASOF,AB$72),MIN(MAX($I282,ASOF),AB$72+6),HOLIDAYS)))</f>
        <v>0</v>
      </c>
      <c r="AC282" s="289" t="n">
        <f aca="false">IF($L282=0,0,$L282*MAX(0,NETWORKDAYS(MAX($H282,ASOF,AC$72),MIN(MAX($I282,ASOF),AC$72+6),HOLIDAYS)))</f>
        <v>0</v>
      </c>
      <c r="AD282" s="289" t="n">
        <f aca="false">IF($L282=0,0,$L282*MAX(0,NETWORKDAYS(MAX($H282,ASOF,AD$72),MIN(MAX($I282,ASOF),AD$72+6),HOLIDAYS)))</f>
        <v>0</v>
      </c>
      <c r="AE282" s="289" t="n">
        <f aca="false">IF($L282=0,0,$L282*MAX(0,NETWORKDAYS(MAX($H282,ASOF,AE$72),MIN(MAX($I282,ASOF),AE$72+6),HOLIDAYS)))</f>
        <v>0</v>
      </c>
      <c r="AF282" s="289" t="n">
        <f aca="false">IF($L282=0,0,$L282*MAX(0,NETWORKDAYS(MAX($H282,ASOF,AF$72),MIN(MAX($I282,ASOF),AF$72+6),HOLIDAYS)))</f>
        <v>0</v>
      </c>
      <c r="AG282" s="289" t="n">
        <f aca="false">IF($L282=0,0,$L282*MAX(0,NETWORKDAYS(MAX($H282,ASOF,AG$72),MIN(MAX($I282,ASOF),AG$72+6),HOLIDAYS)))</f>
        <v>0</v>
      </c>
      <c r="AH282" s="289" t="n">
        <f aca="false">IF($L282=0,0,$L282*MAX(0,NETWORKDAYS(MAX($H282,ASOF,AH$72),MIN(MAX($I282,ASOF),AH$72+6),HOLIDAYS)))</f>
        <v>0</v>
      </c>
      <c r="AI282" s="289" t="n">
        <f aca="false">IF($L282=0,0,$L282*MAX(0,NETWORKDAYS(MAX($H282,ASOF,AI$72),MIN(MAX($I282,ASOF),AI$72+6),HOLIDAYS)))</f>
        <v>0</v>
      </c>
      <c r="AJ282" s="289" t="n">
        <f aca="false">IF($L282=0,0,$L282*MAX(0,NETWORKDAYS(MAX($H282,ASOF,AJ$72),MIN(MAX($I282,ASOF),AJ$72+6),HOLIDAYS)))</f>
        <v>0</v>
      </c>
      <c r="AK282" s="289" t="n">
        <f aca="false">IF($L282=0,0,$L282*MAX(0,NETWORKDAYS(MAX($H282,ASOF,AK$72),MIN(MAX($I282,ASOF),AK$72+6),HOLIDAYS)))</f>
        <v>0</v>
      </c>
      <c r="AL282" s="289" t="n">
        <f aca="false">IF($L282=0,0,$L282*MAX(0,NETWORKDAYS(MAX($H282,ASOF,AL$72),MIN(MAX($I282,ASOF),AL$72+6),HOLIDAYS)))</f>
        <v>0</v>
      </c>
      <c r="AM282" s="289" t="n">
        <f aca="false">IF($L282=0,0,$L282*MAX(0,NETWORKDAYS(MAX($H282,ASOF,AM$72),MIN(MAX($I282,ASOF),AM$72+6),HOLIDAYS)))</f>
        <v>0</v>
      </c>
      <c r="AN282" s="289" t="n">
        <f aca="false">IF($L282=0,0,$L282*MAX(0,NETWORKDAYS(MAX($H282,ASOF,AN$72),MIN(MAX($I282,ASOF),AN$72+6),HOLIDAYS)))</f>
        <v>0</v>
      </c>
      <c r="AO282" s="289" t="n">
        <f aca="false">IF($L282=0,0,$L282*MAX(0,NETWORKDAYS(MAX($H282,ASOF,AO$72),MIN(MAX($I282,ASOF),AO$72+6),HOLIDAYS)))</f>
        <v>0</v>
      </c>
      <c r="AP282" s="289" t="n">
        <f aca="false">IF($L282=0,0,$L282*MAX(0,NETWORKDAYS(MAX($H282,ASOF,AP$72),MIN(MAX($I282,ASOF),AP$72+6),HOLIDAYS)))</f>
        <v>0</v>
      </c>
      <c r="AQ282" s="289" t="n">
        <f aca="false">IF($L282=0,0,$L282*MAX(0,NETWORKDAYS(MAX($H282,ASOF,AQ$72),MIN(MAX($I282,ASOF),AQ$72+6),HOLIDAYS)))</f>
        <v>0</v>
      </c>
      <c r="AR282" s="289" t="n">
        <f aca="false">IF($L282=0,0,$L282*MAX(0,NETWORKDAYS(MAX($H282,ASOF,AR$72),MIN(MAX($I282,ASOF),AR$72+6),HOLIDAYS)))</f>
        <v>0</v>
      </c>
    </row>
    <row r="283" customFormat="false" ht="15" hidden="false" customHeight="false" outlineLevel="1" collapsed="false">
      <c r="A283" s="282" t="s">
        <v>110</v>
      </c>
      <c r="B283" s="283" t="s">
        <v>112</v>
      </c>
      <c r="C283" s="284" t="s">
        <v>2366</v>
      </c>
      <c r="D283" s="284" t="s">
        <v>2284</v>
      </c>
      <c r="E283" s="285" t="n">
        <v>1</v>
      </c>
      <c r="F283" s="290" t="s">
        <v>35</v>
      </c>
      <c r="G283" s="285" t="n">
        <f aca="false">$F$11*$H$11</f>
        <v>16</v>
      </c>
      <c r="H283" s="286" t="n">
        <f aca="false">IF(ISNUMBER('P9-018'!$N$90),'P9-018'!$N$90,"")</f>
        <v>46344</v>
      </c>
      <c r="I283" s="286" t="n">
        <f aca="false">IF(ISNUMBER('P9-018'!$O$90),'P9-018'!$O$90,"")</f>
        <v>46347</v>
      </c>
      <c r="J283" s="287" t="n">
        <f aca="false">IF(OR(H283="",I283="",N283&gt;=1),0,MAX(1,NETWORKDAYS(MAX(H283,ASOF),MAX(I283,ASOF),HOLIDAYS)))</f>
        <v>3</v>
      </c>
      <c r="K283" s="287" t="n">
        <f aca="false">IF(L283=0,0,ROUNDUP(L283/$F$11,0))</f>
        <v>2</v>
      </c>
      <c r="L283" s="285" t="n">
        <f aca="false">IF(J283=0,0,G283*(1-N283)/J283)</f>
        <v>5.33333333333333</v>
      </c>
      <c r="M283" s="283" t="s">
        <v>1113</v>
      </c>
      <c r="N283" s="288" t="n">
        <f aca="false">IFERROR(MIN(1,'P9-018'!$V$90)+0,0)</f>
        <v>0</v>
      </c>
      <c r="O283" s="289" t="n">
        <f aca="false">IF($L283=0,0,$L283*MAX(0,NETWORKDAYS(MAX($H283,ASOF,O$72),MIN(MAX($I283,ASOF),O$72+6),HOLIDAYS)))</f>
        <v>0</v>
      </c>
      <c r="P283" s="289" t="n">
        <f aca="false">IF($L283=0,0,$L283*MAX(0,NETWORKDAYS(MAX($H283,ASOF,P$72),MIN(MAX($I283,ASOF),P$72+6),HOLIDAYS)))</f>
        <v>0</v>
      </c>
      <c r="Q283" s="289" t="n">
        <f aca="false">IF($L283=0,0,$L283*MAX(0,NETWORKDAYS(MAX($H283,ASOF,Q$72),MIN(MAX($I283,ASOF),Q$72+6),HOLIDAYS)))</f>
        <v>16</v>
      </c>
      <c r="R283" s="289" t="n">
        <f aca="false">IF($L283=0,0,$L283*MAX(0,NETWORKDAYS(MAX($H283,ASOF,R$72),MIN(MAX($I283,ASOF),R$72+6),HOLIDAYS)))</f>
        <v>0</v>
      </c>
      <c r="S283" s="289" t="n">
        <f aca="false">IF($L283=0,0,$L283*MAX(0,NETWORKDAYS(MAX($H283,ASOF,S$72),MIN(MAX($I283,ASOF),S$72+6),HOLIDAYS)))</f>
        <v>0</v>
      </c>
      <c r="T283" s="289" t="n">
        <f aca="false">IF($L283=0,0,$L283*MAX(0,NETWORKDAYS(MAX($H283,ASOF,T$72),MIN(MAX($I283,ASOF),T$72+6),HOLIDAYS)))</f>
        <v>0</v>
      </c>
      <c r="U283" s="289" t="n">
        <f aca="false">IF($L283=0,0,$L283*MAX(0,NETWORKDAYS(MAX($H283,ASOF,U$72),MIN(MAX($I283,ASOF),U$72+6),HOLIDAYS)))</f>
        <v>0</v>
      </c>
      <c r="V283" s="289" t="n">
        <f aca="false">IF($L283=0,0,$L283*MAX(0,NETWORKDAYS(MAX($H283,ASOF,V$72),MIN(MAX($I283,ASOF),V$72+6),HOLIDAYS)))</f>
        <v>0</v>
      </c>
      <c r="W283" s="289" t="n">
        <f aca="false">IF($L283=0,0,$L283*MAX(0,NETWORKDAYS(MAX($H283,ASOF,W$72),MIN(MAX($I283,ASOF),W$72+6),HOLIDAYS)))</f>
        <v>0</v>
      </c>
      <c r="X283" s="289" t="n">
        <f aca="false">IF($L283=0,0,$L283*MAX(0,NETWORKDAYS(MAX($H283,ASOF,X$72),MIN(MAX($I283,ASOF),X$72+6),HOLIDAYS)))</f>
        <v>0</v>
      </c>
      <c r="Y283" s="289" t="n">
        <f aca="false">IF($L283=0,0,$L283*MAX(0,NETWORKDAYS(MAX($H283,ASOF,Y$72),MIN(MAX($I283,ASOF),Y$72+6),HOLIDAYS)))</f>
        <v>0</v>
      </c>
      <c r="Z283" s="289" t="n">
        <f aca="false">IF($L283=0,0,$L283*MAX(0,NETWORKDAYS(MAX($H283,ASOF,Z$72),MIN(MAX($I283,ASOF),Z$72+6),HOLIDAYS)))</f>
        <v>0</v>
      </c>
      <c r="AA283" s="289" t="n">
        <f aca="false">IF($L283=0,0,$L283*MAX(0,NETWORKDAYS(MAX($H283,ASOF,AA$72),MIN(MAX($I283,ASOF),AA$72+6),HOLIDAYS)))</f>
        <v>0</v>
      </c>
      <c r="AB283" s="289" t="n">
        <f aca="false">IF($L283=0,0,$L283*MAX(0,NETWORKDAYS(MAX($H283,ASOF,AB$72),MIN(MAX($I283,ASOF),AB$72+6),HOLIDAYS)))</f>
        <v>0</v>
      </c>
      <c r="AC283" s="289" t="n">
        <f aca="false">IF($L283=0,0,$L283*MAX(0,NETWORKDAYS(MAX($H283,ASOF,AC$72),MIN(MAX($I283,ASOF),AC$72+6),HOLIDAYS)))</f>
        <v>0</v>
      </c>
      <c r="AD283" s="289" t="n">
        <f aca="false">IF($L283=0,0,$L283*MAX(0,NETWORKDAYS(MAX($H283,ASOF,AD$72),MIN(MAX($I283,ASOF),AD$72+6),HOLIDAYS)))</f>
        <v>0</v>
      </c>
      <c r="AE283" s="289" t="n">
        <f aca="false">IF($L283=0,0,$L283*MAX(0,NETWORKDAYS(MAX($H283,ASOF,AE$72),MIN(MAX($I283,ASOF),AE$72+6),HOLIDAYS)))</f>
        <v>0</v>
      </c>
      <c r="AF283" s="289" t="n">
        <f aca="false">IF($L283=0,0,$L283*MAX(0,NETWORKDAYS(MAX($H283,ASOF,AF$72),MIN(MAX($I283,ASOF),AF$72+6),HOLIDAYS)))</f>
        <v>0</v>
      </c>
      <c r="AG283" s="289" t="n">
        <f aca="false">IF($L283=0,0,$L283*MAX(0,NETWORKDAYS(MAX($H283,ASOF,AG$72),MIN(MAX($I283,ASOF),AG$72+6),HOLIDAYS)))</f>
        <v>0</v>
      </c>
      <c r="AH283" s="289" t="n">
        <f aca="false">IF($L283=0,0,$L283*MAX(0,NETWORKDAYS(MAX($H283,ASOF,AH$72),MIN(MAX($I283,ASOF),AH$72+6),HOLIDAYS)))</f>
        <v>0</v>
      </c>
      <c r="AI283" s="289" t="n">
        <f aca="false">IF($L283=0,0,$L283*MAX(0,NETWORKDAYS(MAX($H283,ASOF,AI$72),MIN(MAX($I283,ASOF),AI$72+6),HOLIDAYS)))</f>
        <v>0</v>
      </c>
      <c r="AJ283" s="289" t="n">
        <f aca="false">IF($L283=0,0,$L283*MAX(0,NETWORKDAYS(MAX($H283,ASOF,AJ$72),MIN(MAX($I283,ASOF),AJ$72+6),HOLIDAYS)))</f>
        <v>0</v>
      </c>
      <c r="AK283" s="289" t="n">
        <f aca="false">IF($L283=0,0,$L283*MAX(0,NETWORKDAYS(MAX($H283,ASOF,AK$72),MIN(MAX($I283,ASOF),AK$72+6),HOLIDAYS)))</f>
        <v>0</v>
      </c>
      <c r="AL283" s="289" t="n">
        <f aca="false">IF($L283=0,0,$L283*MAX(0,NETWORKDAYS(MAX($H283,ASOF,AL$72),MIN(MAX($I283,ASOF),AL$72+6),HOLIDAYS)))</f>
        <v>0</v>
      </c>
      <c r="AM283" s="289" t="n">
        <f aca="false">IF($L283=0,0,$L283*MAX(0,NETWORKDAYS(MAX($H283,ASOF,AM$72),MIN(MAX($I283,ASOF),AM$72+6),HOLIDAYS)))</f>
        <v>0</v>
      </c>
      <c r="AN283" s="289" t="n">
        <f aca="false">IF($L283=0,0,$L283*MAX(0,NETWORKDAYS(MAX($H283,ASOF,AN$72),MIN(MAX($I283,ASOF),AN$72+6),HOLIDAYS)))</f>
        <v>0</v>
      </c>
      <c r="AO283" s="289" t="n">
        <f aca="false">IF($L283=0,0,$L283*MAX(0,NETWORKDAYS(MAX($H283,ASOF,AO$72),MIN(MAX($I283,ASOF),AO$72+6),HOLIDAYS)))</f>
        <v>0</v>
      </c>
      <c r="AP283" s="289" t="n">
        <f aca="false">IF($L283=0,0,$L283*MAX(0,NETWORKDAYS(MAX($H283,ASOF,AP$72),MIN(MAX($I283,ASOF),AP$72+6),HOLIDAYS)))</f>
        <v>0</v>
      </c>
      <c r="AQ283" s="289" t="n">
        <f aca="false">IF($L283=0,0,$L283*MAX(0,NETWORKDAYS(MAX($H283,ASOF,AQ$72),MIN(MAX($I283,ASOF),AQ$72+6),HOLIDAYS)))</f>
        <v>0</v>
      </c>
      <c r="AR283" s="289" t="n">
        <f aca="false">IF($L283=0,0,$L283*MAX(0,NETWORKDAYS(MAX($H283,ASOF,AR$72),MIN(MAX($I283,ASOF),AR$72+6),HOLIDAYS)))</f>
        <v>0</v>
      </c>
    </row>
    <row r="284" customFormat="false" ht="15" hidden="false" customHeight="false" outlineLevel="1" collapsed="false">
      <c r="A284" s="282" t="s">
        <v>110</v>
      </c>
      <c r="B284" s="283" t="s">
        <v>112</v>
      </c>
      <c r="C284" s="284" t="s">
        <v>2367</v>
      </c>
      <c r="D284" s="284" t="s">
        <v>2284</v>
      </c>
      <c r="E284" s="285" t="n">
        <v>1</v>
      </c>
      <c r="F284" s="290" t="s">
        <v>35</v>
      </c>
      <c r="G284" s="285" t="n">
        <f aca="false">$F$12*$H$12</f>
        <v>4</v>
      </c>
      <c r="H284" s="286" t="n">
        <f aca="false">IF(ISNUMBER('P9-018'!$N$96),'P9-018'!$N$96,"")</f>
        <v>46345</v>
      </c>
      <c r="I284" s="286" t="n">
        <f aca="false">IF(ISNUMBER('P9-018'!$O$96),'P9-018'!$O$96,"")</f>
        <v>46347</v>
      </c>
      <c r="J284" s="287" t="n">
        <f aca="false">IF(OR(H284="",I284="",N284&gt;=1),0,MAX(1,NETWORKDAYS(MAX(H284,ASOF),MAX(I284,ASOF),HOLIDAYS)))</f>
        <v>2</v>
      </c>
      <c r="K284" s="287" t="n">
        <f aca="false">IF(L284=0,0,ROUNDUP(L284/$F$12,0))</f>
        <v>1</v>
      </c>
      <c r="L284" s="285" t="n">
        <f aca="false">IF(J284=0,0,G284*(1-N284)/J284)</f>
        <v>2</v>
      </c>
      <c r="M284" s="283" t="s">
        <v>1147</v>
      </c>
      <c r="N284" s="288" t="n">
        <f aca="false">IFERROR(MIN(1,'P9-018'!$V$96)+0,0)</f>
        <v>0</v>
      </c>
      <c r="O284" s="289" t="n">
        <f aca="false">IF($L284=0,0,$L284*MAX(0,NETWORKDAYS(MAX($H284,ASOF,O$72),MIN(MAX($I284,ASOF),O$72+6),HOLIDAYS)))</f>
        <v>0</v>
      </c>
      <c r="P284" s="289" t="n">
        <f aca="false">IF($L284=0,0,$L284*MAX(0,NETWORKDAYS(MAX($H284,ASOF,P$72),MIN(MAX($I284,ASOF),P$72+6),HOLIDAYS)))</f>
        <v>0</v>
      </c>
      <c r="Q284" s="289" t="n">
        <f aca="false">IF($L284=0,0,$L284*MAX(0,NETWORKDAYS(MAX($H284,ASOF,Q$72),MIN(MAX($I284,ASOF),Q$72+6),HOLIDAYS)))</f>
        <v>4</v>
      </c>
      <c r="R284" s="289" t="n">
        <f aca="false">IF($L284=0,0,$L284*MAX(0,NETWORKDAYS(MAX($H284,ASOF,R$72),MIN(MAX($I284,ASOF),R$72+6),HOLIDAYS)))</f>
        <v>0</v>
      </c>
      <c r="S284" s="289" t="n">
        <f aca="false">IF($L284=0,0,$L284*MAX(0,NETWORKDAYS(MAX($H284,ASOF,S$72),MIN(MAX($I284,ASOF),S$72+6),HOLIDAYS)))</f>
        <v>0</v>
      </c>
      <c r="T284" s="289" t="n">
        <f aca="false">IF($L284=0,0,$L284*MAX(0,NETWORKDAYS(MAX($H284,ASOF,T$72),MIN(MAX($I284,ASOF),T$72+6),HOLIDAYS)))</f>
        <v>0</v>
      </c>
      <c r="U284" s="289" t="n">
        <f aca="false">IF($L284=0,0,$L284*MAX(0,NETWORKDAYS(MAX($H284,ASOF,U$72),MIN(MAX($I284,ASOF),U$72+6),HOLIDAYS)))</f>
        <v>0</v>
      </c>
      <c r="V284" s="289" t="n">
        <f aca="false">IF($L284=0,0,$L284*MAX(0,NETWORKDAYS(MAX($H284,ASOF,V$72),MIN(MAX($I284,ASOF),V$72+6),HOLIDAYS)))</f>
        <v>0</v>
      </c>
      <c r="W284" s="289" t="n">
        <f aca="false">IF($L284=0,0,$L284*MAX(0,NETWORKDAYS(MAX($H284,ASOF,W$72),MIN(MAX($I284,ASOF),W$72+6),HOLIDAYS)))</f>
        <v>0</v>
      </c>
      <c r="X284" s="289" t="n">
        <f aca="false">IF($L284=0,0,$L284*MAX(0,NETWORKDAYS(MAX($H284,ASOF,X$72),MIN(MAX($I284,ASOF),X$72+6),HOLIDAYS)))</f>
        <v>0</v>
      </c>
      <c r="Y284" s="289" t="n">
        <f aca="false">IF($L284=0,0,$L284*MAX(0,NETWORKDAYS(MAX($H284,ASOF,Y$72),MIN(MAX($I284,ASOF),Y$72+6),HOLIDAYS)))</f>
        <v>0</v>
      </c>
      <c r="Z284" s="289" t="n">
        <f aca="false">IF($L284=0,0,$L284*MAX(0,NETWORKDAYS(MAX($H284,ASOF,Z$72),MIN(MAX($I284,ASOF),Z$72+6),HOLIDAYS)))</f>
        <v>0</v>
      </c>
      <c r="AA284" s="289" t="n">
        <f aca="false">IF($L284=0,0,$L284*MAX(0,NETWORKDAYS(MAX($H284,ASOF,AA$72),MIN(MAX($I284,ASOF),AA$72+6),HOLIDAYS)))</f>
        <v>0</v>
      </c>
      <c r="AB284" s="289" t="n">
        <f aca="false">IF($L284=0,0,$L284*MAX(0,NETWORKDAYS(MAX($H284,ASOF,AB$72),MIN(MAX($I284,ASOF),AB$72+6),HOLIDAYS)))</f>
        <v>0</v>
      </c>
      <c r="AC284" s="289" t="n">
        <f aca="false">IF($L284=0,0,$L284*MAX(0,NETWORKDAYS(MAX($H284,ASOF,AC$72),MIN(MAX($I284,ASOF),AC$72+6),HOLIDAYS)))</f>
        <v>0</v>
      </c>
      <c r="AD284" s="289" t="n">
        <f aca="false">IF($L284=0,0,$L284*MAX(0,NETWORKDAYS(MAX($H284,ASOF,AD$72),MIN(MAX($I284,ASOF),AD$72+6),HOLIDAYS)))</f>
        <v>0</v>
      </c>
      <c r="AE284" s="289" t="n">
        <f aca="false">IF($L284=0,0,$L284*MAX(0,NETWORKDAYS(MAX($H284,ASOF,AE$72),MIN(MAX($I284,ASOF),AE$72+6),HOLIDAYS)))</f>
        <v>0</v>
      </c>
      <c r="AF284" s="289" t="n">
        <f aca="false">IF($L284=0,0,$L284*MAX(0,NETWORKDAYS(MAX($H284,ASOF,AF$72),MIN(MAX($I284,ASOF),AF$72+6),HOLIDAYS)))</f>
        <v>0</v>
      </c>
      <c r="AG284" s="289" t="n">
        <f aca="false">IF($L284=0,0,$L284*MAX(0,NETWORKDAYS(MAX($H284,ASOF,AG$72),MIN(MAX($I284,ASOF),AG$72+6),HOLIDAYS)))</f>
        <v>0</v>
      </c>
      <c r="AH284" s="289" t="n">
        <f aca="false">IF($L284=0,0,$L284*MAX(0,NETWORKDAYS(MAX($H284,ASOF,AH$72),MIN(MAX($I284,ASOF),AH$72+6),HOLIDAYS)))</f>
        <v>0</v>
      </c>
      <c r="AI284" s="289" t="n">
        <f aca="false">IF($L284=0,0,$L284*MAX(0,NETWORKDAYS(MAX($H284,ASOF,AI$72),MIN(MAX($I284,ASOF),AI$72+6),HOLIDAYS)))</f>
        <v>0</v>
      </c>
      <c r="AJ284" s="289" t="n">
        <f aca="false">IF($L284=0,0,$L284*MAX(0,NETWORKDAYS(MAX($H284,ASOF,AJ$72),MIN(MAX($I284,ASOF),AJ$72+6),HOLIDAYS)))</f>
        <v>0</v>
      </c>
      <c r="AK284" s="289" t="n">
        <f aca="false">IF($L284=0,0,$L284*MAX(0,NETWORKDAYS(MAX($H284,ASOF,AK$72),MIN(MAX($I284,ASOF),AK$72+6),HOLIDAYS)))</f>
        <v>0</v>
      </c>
      <c r="AL284" s="289" t="n">
        <f aca="false">IF($L284=0,0,$L284*MAX(0,NETWORKDAYS(MAX($H284,ASOF,AL$72),MIN(MAX($I284,ASOF),AL$72+6),HOLIDAYS)))</f>
        <v>0</v>
      </c>
      <c r="AM284" s="289" t="n">
        <f aca="false">IF($L284=0,0,$L284*MAX(0,NETWORKDAYS(MAX($H284,ASOF,AM$72),MIN(MAX($I284,ASOF),AM$72+6),HOLIDAYS)))</f>
        <v>0</v>
      </c>
      <c r="AN284" s="289" t="n">
        <f aca="false">IF($L284=0,0,$L284*MAX(0,NETWORKDAYS(MAX($H284,ASOF,AN$72),MIN(MAX($I284,ASOF),AN$72+6),HOLIDAYS)))</f>
        <v>0</v>
      </c>
      <c r="AO284" s="289" t="n">
        <f aca="false">IF($L284=0,0,$L284*MAX(0,NETWORKDAYS(MAX($H284,ASOF,AO$72),MIN(MAX($I284,ASOF),AO$72+6),HOLIDAYS)))</f>
        <v>0</v>
      </c>
      <c r="AP284" s="289" t="n">
        <f aca="false">IF($L284=0,0,$L284*MAX(0,NETWORKDAYS(MAX($H284,ASOF,AP$72),MIN(MAX($I284,ASOF),AP$72+6),HOLIDAYS)))</f>
        <v>0</v>
      </c>
      <c r="AQ284" s="289" t="n">
        <f aca="false">IF($L284=0,0,$L284*MAX(0,NETWORKDAYS(MAX($H284,ASOF,AQ$72),MIN(MAX($I284,ASOF),AQ$72+6),HOLIDAYS)))</f>
        <v>0</v>
      </c>
      <c r="AR284" s="289" t="n">
        <f aca="false">IF($L284=0,0,$L284*MAX(0,NETWORKDAYS(MAX($H284,ASOF,AR$72),MIN(MAX($I284,ASOF),AR$72+6),HOLIDAYS)))</f>
        <v>0</v>
      </c>
    </row>
    <row r="285" customFormat="false" ht="15" hidden="false" customHeight="false" outlineLevel="1" collapsed="false">
      <c r="A285" s="282" t="s">
        <v>110</v>
      </c>
      <c r="B285" s="283" t="s">
        <v>112</v>
      </c>
      <c r="C285" s="284" t="s">
        <v>2368</v>
      </c>
      <c r="D285" s="284" t="s">
        <v>2301</v>
      </c>
      <c r="E285" s="285" t="n">
        <v>1</v>
      </c>
      <c r="F285" s="290" t="s">
        <v>35</v>
      </c>
      <c r="G285" s="285" t="n">
        <f aca="false">$F$13*$H$13</f>
        <v>12</v>
      </c>
      <c r="H285" s="286" t="n">
        <f aca="false">IF(ISNUMBER('P9-018'!$N$100),'P9-018'!$N$100,"")</f>
        <v>46346</v>
      </c>
      <c r="I285" s="286" t="n">
        <f aca="false">IF(ISNUMBER('P9-018'!$O$100),'P9-018'!$O$100,"")</f>
        <v>46348</v>
      </c>
      <c r="J285" s="287" t="n">
        <f aca="false">IF(OR(H285="",I285="",N285&gt;=1),0,MAX(1,NETWORKDAYS(MAX(H285,ASOF),MAX(I285,ASOF),HOLIDAYS)))</f>
        <v>1</v>
      </c>
      <c r="K285" s="287" t="n">
        <f aca="false">IF(L285=0,0,ROUNDUP(L285/$F$13,0))</f>
        <v>3</v>
      </c>
      <c r="L285" s="285" t="n">
        <f aca="false">IF(J285=0,0,G285*(1-N285)/J285)</f>
        <v>12</v>
      </c>
      <c r="M285" s="283" t="s">
        <v>2299</v>
      </c>
      <c r="N285" s="288" t="n">
        <f aca="false">IFERROR(MIN(1,'P9-018'!$V$100)+0,0)</f>
        <v>0</v>
      </c>
      <c r="O285" s="289" t="n">
        <f aca="false">IF($L285=0,0,$L285*MAX(0,NETWORKDAYS(MAX($H285,ASOF,O$72),MIN(MAX($I285,ASOF),O$72+6),HOLIDAYS)))</f>
        <v>0</v>
      </c>
      <c r="P285" s="289" t="n">
        <f aca="false">IF($L285=0,0,$L285*MAX(0,NETWORKDAYS(MAX($H285,ASOF,P$72),MIN(MAX($I285,ASOF),P$72+6),HOLIDAYS)))</f>
        <v>0</v>
      </c>
      <c r="Q285" s="289" t="n">
        <f aca="false">IF($L285=0,0,$L285*MAX(0,NETWORKDAYS(MAX($H285,ASOF,Q$72),MIN(MAX($I285,ASOF),Q$72+6),HOLIDAYS)))</f>
        <v>12</v>
      </c>
      <c r="R285" s="289" t="n">
        <f aca="false">IF($L285=0,0,$L285*MAX(0,NETWORKDAYS(MAX($H285,ASOF,R$72),MIN(MAX($I285,ASOF),R$72+6),HOLIDAYS)))</f>
        <v>0</v>
      </c>
      <c r="S285" s="289" t="n">
        <f aca="false">IF($L285=0,0,$L285*MAX(0,NETWORKDAYS(MAX($H285,ASOF,S$72),MIN(MAX($I285,ASOF),S$72+6),HOLIDAYS)))</f>
        <v>0</v>
      </c>
      <c r="T285" s="289" t="n">
        <f aca="false">IF($L285=0,0,$L285*MAX(0,NETWORKDAYS(MAX($H285,ASOF,T$72),MIN(MAX($I285,ASOF),T$72+6),HOLIDAYS)))</f>
        <v>0</v>
      </c>
      <c r="U285" s="289" t="n">
        <f aca="false">IF($L285=0,0,$L285*MAX(0,NETWORKDAYS(MAX($H285,ASOF,U$72),MIN(MAX($I285,ASOF),U$72+6),HOLIDAYS)))</f>
        <v>0</v>
      </c>
      <c r="V285" s="289" t="n">
        <f aca="false">IF($L285=0,0,$L285*MAX(0,NETWORKDAYS(MAX($H285,ASOF,V$72),MIN(MAX($I285,ASOF),V$72+6),HOLIDAYS)))</f>
        <v>0</v>
      </c>
      <c r="W285" s="289" t="n">
        <f aca="false">IF($L285=0,0,$L285*MAX(0,NETWORKDAYS(MAX($H285,ASOF,W$72),MIN(MAX($I285,ASOF),W$72+6),HOLIDAYS)))</f>
        <v>0</v>
      </c>
      <c r="X285" s="289" t="n">
        <f aca="false">IF($L285=0,0,$L285*MAX(0,NETWORKDAYS(MAX($H285,ASOF,X$72),MIN(MAX($I285,ASOF),X$72+6),HOLIDAYS)))</f>
        <v>0</v>
      </c>
      <c r="Y285" s="289" t="n">
        <f aca="false">IF($L285=0,0,$L285*MAX(0,NETWORKDAYS(MAX($H285,ASOF,Y$72),MIN(MAX($I285,ASOF),Y$72+6),HOLIDAYS)))</f>
        <v>0</v>
      </c>
      <c r="Z285" s="289" t="n">
        <f aca="false">IF($L285=0,0,$L285*MAX(0,NETWORKDAYS(MAX($H285,ASOF,Z$72),MIN(MAX($I285,ASOF),Z$72+6),HOLIDAYS)))</f>
        <v>0</v>
      </c>
      <c r="AA285" s="289" t="n">
        <f aca="false">IF($L285=0,0,$L285*MAX(0,NETWORKDAYS(MAX($H285,ASOF,AA$72),MIN(MAX($I285,ASOF),AA$72+6),HOLIDAYS)))</f>
        <v>0</v>
      </c>
      <c r="AB285" s="289" t="n">
        <f aca="false">IF($L285=0,0,$L285*MAX(0,NETWORKDAYS(MAX($H285,ASOF,AB$72),MIN(MAX($I285,ASOF),AB$72+6),HOLIDAYS)))</f>
        <v>0</v>
      </c>
      <c r="AC285" s="289" t="n">
        <f aca="false">IF($L285=0,0,$L285*MAX(0,NETWORKDAYS(MAX($H285,ASOF,AC$72),MIN(MAX($I285,ASOF),AC$72+6),HOLIDAYS)))</f>
        <v>0</v>
      </c>
      <c r="AD285" s="289" t="n">
        <f aca="false">IF($L285=0,0,$L285*MAX(0,NETWORKDAYS(MAX($H285,ASOF,AD$72),MIN(MAX($I285,ASOF),AD$72+6),HOLIDAYS)))</f>
        <v>0</v>
      </c>
      <c r="AE285" s="289" t="n">
        <f aca="false">IF($L285=0,0,$L285*MAX(0,NETWORKDAYS(MAX($H285,ASOF,AE$72),MIN(MAX($I285,ASOF),AE$72+6),HOLIDAYS)))</f>
        <v>0</v>
      </c>
      <c r="AF285" s="289" t="n">
        <f aca="false">IF($L285=0,0,$L285*MAX(0,NETWORKDAYS(MAX($H285,ASOF,AF$72),MIN(MAX($I285,ASOF),AF$72+6),HOLIDAYS)))</f>
        <v>0</v>
      </c>
      <c r="AG285" s="289" t="n">
        <f aca="false">IF($L285=0,0,$L285*MAX(0,NETWORKDAYS(MAX($H285,ASOF,AG$72),MIN(MAX($I285,ASOF),AG$72+6),HOLIDAYS)))</f>
        <v>0</v>
      </c>
      <c r="AH285" s="289" t="n">
        <f aca="false">IF($L285=0,0,$L285*MAX(0,NETWORKDAYS(MAX($H285,ASOF,AH$72),MIN(MAX($I285,ASOF),AH$72+6),HOLIDAYS)))</f>
        <v>0</v>
      </c>
      <c r="AI285" s="289" t="n">
        <f aca="false">IF($L285=0,0,$L285*MAX(0,NETWORKDAYS(MAX($H285,ASOF,AI$72),MIN(MAX($I285,ASOF),AI$72+6),HOLIDAYS)))</f>
        <v>0</v>
      </c>
      <c r="AJ285" s="289" t="n">
        <f aca="false">IF($L285=0,0,$L285*MAX(0,NETWORKDAYS(MAX($H285,ASOF,AJ$72),MIN(MAX($I285,ASOF),AJ$72+6),HOLIDAYS)))</f>
        <v>0</v>
      </c>
      <c r="AK285" s="289" t="n">
        <f aca="false">IF($L285=0,0,$L285*MAX(0,NETWORKDAYS(MAX($H285,ASOF,AK$72),MIN(MAX($I285,ASOF),AK$72+6),HOLIDAYS)))</f>
        <v>0</v>
      </c>
      <c r="AL285" s="289" t="n">
        <f aca="false">IF($L285=0,0,$L285*MAX(0,NETWORKDAYS(MAX($H285,ASOF,AL$72),MIN(MAX($I285,ASOF),AL$72+6),HOLIDAYS)))</f>
        <v>0</v>
      </c>
      <c r="AM285" s="289" t="n">
        <f aca="false">IF($L285=0,0,$L285*MAX(0,NETWORKDAYS(MAX($H285,ASOF,AM$72),MIN(MAX($I285,ASOF),AM$72+6),HOLIDAYS)))</f>
        <v>0</v>
      </c>
      <c r="AN285" s="289" t="n">
        <f aca="false">IF($L285=0,0,$L285*MAX(0,NETWORKDAYS(MAX($H285,ASOF,AN$72),MIN(MAX($I285,ASOF),AN$72+6),HOLIDAYS)))</f>
        <v>0</v>
      </c>
      <c r="AO285" s="289" t="n">
        <f aca="false">IF($L285=0,0,$L285*MAX(0,NETWORKDAYS(MAX($H285,ASOF,AO$72),MIN(MAX($I285,ASOF),AO$72+6),HOLIDAYS)))</f>
        <v>0</v>
      </c>
      <c r="AP285" s="289" t="n">
        <f aca="false">IF($L285=0,0,$L285*MAX(0,NETWORKDAYS(MAX($H285,ASOF,AP$72),MIN(MAX($I285,ASOF),AP$72+6),HOLIDAYS)))</f>
        <v>0</v>
      </c>
      <c r="AQ285" s="289" t="n">
        <f aca="false">IF($L285=0,0,$L285*MAX(0,NETWORKDAYS(MAX($H285,ASOF,AQ$72),MIN(MAX($I285,ASOF),AQ$72+6),HOLIDAYS)))</f>
        <v>0</v>
      </c>
      <c r="AR285" s="289" t="n">
        <f aca="false">IF($L285=0,0,$L285*MAX(0,NETWORKDAYS(MAX($H285,ASOF,AR$72),MIN(MAX($I285,ASOF),AR$72+6),HOLIDAYS)))</f>
        <v>0</v>
      </c>
    </row>
    <row r="286" customFormat="false" ht="15" hidden="false" customHeight="false" outlineLevel="1" collapsed="false">
      <c r="A286" s="282" t="s">
        <v>110</v>
      </c>
      <c r="B286" s="283" t="s">
        <v>112</v>
      </c>
      <c r="C286" s="282" t="s">
        <v>1198</v>
      </c>
      <c r="D286" s="284" t="s">
        <v>2284</v>
      </c>
      <c r="E286" s="285" t="n">
        <v>1</v>
      </c>
      <c r="F286" s="290" t="s">
        <v>35</v>
      </c>
      <c r="G286" s="285" t="n">
        <f aca="false">$F$15*$H$15</f>
        <v>2</v>
      </c>
      <c r="H286" s="286" t="n">
        <f aca="false">IF(ISNUMBER('P9-018'!$N$107),'P9-018'!$N$107,"")</f>
        <v>46347</v>
      </c>
      <c r="I286" s="286" t="n">
        <f aca="false">IF(ISNUMBER('P9-018'!$O$107),'P9-018'!$O$107,"")</f>
        <v>46348</v>
      </c>
      <c r="J286" s="287" t="n">
        <f aca="false">IF(OR(H286="",I286="",N286&gt;=1),0,MAX(1,NETWORKDAYS(MAX(H286,ASOF),MAX(I286,ASOF),HOLIDAYS)))</f>
        <v>1</v>
      </c>
      <c r="K286" s="287" t="n">
        <f aca="false">IF(L286=0,0,ROUNDUP(L286/$F$15,0))</f>
        <v>1</v>
      </c>
      <c r="L286" s="285" t="n">
        <f aca="false">IF(J286=0,0,G286*(1-N286)/J286)</f>
        <v>2</v>
      </c>
      <c r="M286" s="283" t="s">
        <v>1192</v>
      </c>
      <c r="N286" s="288" t="n">
        <f aca="false">IFERROR(MIN(1,'P9-018'!$V$107)+0,0)</f>
        <v>0</v>
      </c>
      <c r="O286" s="289" t="n">
        <f aca="false">IF($L286=0,0,$L286*MAX(0,NETWORKDAYS(MAX($H286,ASOF,O$72),MIN(MAX($I286,ASOF),O$72+6),HOLIDAYS)))</f>
        <v>0</v>
      </c>
      <c r="P286" s="289" t="n">
        <f aca="false">IF($L286=0,0,$L286*MAX(0,NETWORKDAYS(MAX($H286,ASOF,P$72),MIN(MAX($I286,ASOF),P$72+6),HOLIDAYS)))</f>
        <v>0</v>
      </c>
      <c r="Q286" s="289" t="n">
        <f aca="false">IF($L286=0,0,$L286*MAX(0,NETWORKDAYS(MAX($H286,ASOF,Q$72),MIN(MAX($I286,ASOF),Q$72+6),HOLIDAYS)))</f>
        <v>0</v>
      </c>
      <c r="R286" s="289" t="n">
        <f aca="false">IF($L286=0,0,$L286*MAX(0,NETWORKDAYS(MAX($H286,ASOF,R$72),MIN(MAX($I286,ASOF),R$72+6),HOLIDAYS)))</f>
        <v>0</v>
      </c>
      <c r="S286" s="289" t="n">
        <f aca="false">IF($L286=0,0,$L286*MAX(0,NETWORKDAYS(MAX($H286,ASOF,S$72),MIN(MAX($I286,ASOF),S$72+6),HOLIDAYS)))</f>
        <v>0</v>
      </c>
      <c r="T286" s="289" t="n">
        <f aca="false">IF($L286=0,0,$L286*MAX(0,NETWORKDAYS(MAX($H286,ASOF,T$72),MIN(MAX($I286,ASOF),T$72+6),HOLIDAYS)))</f>
        <v>0</v>
      </c>
      <c r="U286" s="289" t="n">
        <f aca="false">IF($L286=0,0,$L286*MAX(0,NETWORKDAYS(MAX($H286,ASOF,U$72),MIN(MAX($I286,ASOF),U$72+6),HOLIDAYS)))</f>
        <v>0</v>
      </c>
      <c r="V286" s="289" t="n">
        <f aca="false">IF($L286=0,0,$L286*MAX(0,NETWORKDAYS(MAX($H286,ASOF,V$72),MIN(MAX($I286,ASOF),V$72+6),HOLIDAYS)))</f>
        <v>0</v>
      </c>
      <c r="W286" s="289" t="n">
        <f aca="false">IF($L286=0,0,$L286*MAX(0,NETWORKDAYS(MAX($H286,ASOF,W$72),MIN(MAX($I286,ASOF),W$72+6),HOLIDAYS)))</f>
        <v>0</v>
      </c>
      <c r="X286" s="289" t="n">
        <f aca="false">IF($L286=0,0,$L286*MAX(0,NETWORKDAYS(MAX($H286,ASOF,X$72),MIN(MAX($I286,ASOF),X$72+6),HOLIDAYS)))</f>
        <v>0</v>
      </c>
      <c r="Y286" s="289" t="n">
        <f aca="false">IF($L286=0,0,$L286*MAX(0,NETWORKDAYS(MAX($H286,ASOF,Y$72),MIN(MAX($I286,ASOF),Y$72+6),HOLIDAYS)))</f>
        <v>0</v>
      </c>
      <c r="Z286" s="289" t="n">
        <f aca="false">IF($L286=0,0,$L286*MAX(0,NETWORKDAYS(MAX($H286,ASOF,Z$72),MIN(MAX($I286,ASOF),Z$72+6),HOLIDAYS)))</f>
        <v>0</v>
      </c>
      <c r="AA286" s="289" t="n">
        <f aca="false">IF($L286=0,0,$L286*MAX(0,NETWORKDAYS(MAX($H286,ASOF,AA$72),MIN(MAX($I286,ASOF),AA$72+6),HOLIDAYS)))</f>
        <v>0</v>
      </c>
      <c r="AB286" s="289" t="n">
        <f aca="false">IF($L286=0,0,$L286*MAX(0,NETWORKDAYS(MAX($H286,ASOF,AB$72),MIN(MAX($I286,ASOF),AB$72+6),HOLIDAYS)))</f>
        <v>0</v>
      </c>
      <c r="AC286" s="289" t="n">
        <f aca="false">IF($L286=0,0,$L286*MAX(0,NETWORKDAYS(MAX($H286,ASOF,AC$72),MIN(MAX($I286,ASOF),AC$72+6),HOLIDAYS)))</f>
        <v>0</v>
      </c>
      <c r="AD286" s="289" t="n">
        <f aca="false">IF($L286=0,0,$L286*MAX(0,NETWORKDAYS(MAX($H286,ASOF,AD$72),MIN(MAX($I286,ASOF),AD$72+6),HOLIDAYS)))</f>
        <v>0</v>
      </c>
      <c r="AE286" s="289" t="n">
        <f aca="false">IF($L286=0,0,$L286*MAX(0,NETWORKDAYS(MAX($H286,ASOF,AE$72),MIN(MAX($I286,ASOF),AE$72+6),HOLIDAYS)))</f>
        <v>0</v>
      </c>
      <c r="AF286" s="289" t="n">
        <f aca="false">IF($L286=0,0,$L286*MAX(0,NETWORKDAYS(MAX($H286,ASOF,AF$72),MIN(MAX($I286,ASOF),AF$72+6),HOLIDAYS)))</f>
        <v>0</v>
      </c>
      <c r="AG286" s="289" t="n">
        <f aca="false">IF($L286=0,0,$L286*MAX(0,NETWORKDAYS(MAX($H286,ASOF,AG$72),MIN(MAX($I286,ASOF),AG$72+6),HOLIDAYS)))</f>
        <v>0</v>
      </c>
      <c r="AH286" s="289" t="n">
        <f aca="false">IF($L286=0,0,$L286*MAX(0,NETWORKDAYS(MAX($H286,ASOF,AH$72),MIN(MAX($I286,ASOF),AH$72+6),HOLIDAYS)))</f>
        <v>0</v>
      </c>
      <c r="AI286" s="289" t="n">
        <f aca="false">IF($L286=0,0,$L286*MAX(0,NETWORKDAYS(MAX($H286,ASOF,AI$72),MIN(MAX($I286,ASOF),AI$72+6),HOLIDAYS)))</f>
        <v>0</v>
      </c>
      <c r="AJ286" s="289" t="n">
        <f aca="false">IF($L286=0,0,$L286*MAX(0,NETWORKDAYS(MAX($H286,ASOF,AJ$72),MIN(MAX($I286,ASOF),AJ$72+6),HOLIDAYS)))</f>
        <v>0</v>
      </c>
      <c r="AK286" s="289" t="n">
        <f aca="false">IF($L286=0,0,$L286*MAX(0,NETWORKDAYS(MAX($H286,ASOF,AK$72),MIN(MAX($I286,ASOF),AK$72+6),HOLIDAYS)))</f>
        <v>0</v>
      </c>
      <c r="AL286" s="289" t="n">
        <f aca="false">IF($L286=0,0,$L286*MAX(0,NETWORKDAYS(MAX($H286,ASOF,AL$72),MIN(MAX($I286,ASOF),AL$72+6),HOLIDAYS)))</f>
        <v>0</v>
      </c>
      <c r="AM286" s="289" t="n">
        <f aca="false">IF($L286=0,0,$L286*MAX(0,NETWORKDAYS(MAX($H286,ASOF,AM$72),MIN(MAX($I286,ASOF),AM$72+6),HOLIDAYS)))</f>
        <v>0</v>
      </c>
      <c r="AN286" s="289" t="n">
        <f aca="false">IF($L286=0,0,$L286*MAX(0,NETWORKDAYS(MAX($H286,ASOF,AN$72),MIN(MAX($I286,ASOF),AN$72+6),HOLIDAYS)))</f>
        <v>0</v>
      </c>
      <c r="AO286" s="289" t="n">
        <f aca="false">IF($L286=0,0,$L286*MAX(0,NETWORKDAYS(MAX($H286,ASOF,AO$72),MIN(MAX($I286,ASOF),AO$72+6),HOLIDAYS)))</f>
        <v>0</v>
      </c>
      <c r="AP286" s="289" t="n">
        <f aca="false">IF($L286=0,0,$L286*MAX(0,NETWORKDAYS(MAX($H286,ASOF,AP$72),MIN(MAX($I286,ASOF),AP$72+6),HOLIDAYS)))</f>
        <v>0</v>
      </c>
      <c r="AQ286" s="289" t="n">
        <f aca="false">IF($L286=0,0,$L286*MAX(0,NETWORKDAYS(MAX($H286,ASOF,AQ$72),MIN(MAX($I286,ASOF),AQ$72+6),HOLIDAYS)))</f>
        <v>0</v>
      </c>
      <c r="AR286" s="289" t="n">
        <f aca="false">IF($L286=0,0,$L286*MAX(0,NETWORKDAYS(MAX($H286,ASOF,AR$72),MIN(MAX($I286,ASOF),AR$72+6),HOLIDAYS)))</f>
        <v>0</v>
      </c>
    </row>
    <row r="287" customFormat="false" ht="15" hidden="false" customHeight="false" outlineLevel="1" collapsed="false">
      <c r="A287" s="282" t="s">
        <v>110</v>
      </c>
      <c r="B287" s="283" t="s">
        <v>112</v>
      </c>
      <c r="C287" s="284" t="s">
        <v>2369</v>
      </c>
      <c r="D287" s="284" t="s">
        <v>2308</v>
      </c>
      <c r="E287" s="285" t="n">
        <v>280.44</v>
      </c>
      <c r="F287" s="283" t="s">
        <v>527</v>
      </c>
      <c r="G287" s="285" t="n">
        <f aca="false">$F$16*(E287/$G$16+$H$16)</f>
        <v>14.4132</v>
      </c>
      <c r="H287" s="286" t="n">
        <f aca="false">IF(ISNUMBER('P9-018'!$N$115),'P9-018'!$N$115,"")</f>
        <v>46359</v>
      </c>
      <c r="I287" s="286" t="n">
        <f aca="false">IF(ISNUMBER('P9-018'!$O$115),'P9-018'!$O$115,"")</f>
        <v>46359</v>
      </c>
      <c r="J287" s="287" t="n">
        <f aca="false">IF(OR(H287="",I287="",N287&gt;=1),0,MAX(1,NETWORKDAYS(MAX(H287,ASOF),MAX(I287,ASOF),HOLIDAYS)))</f>
        <v>1</v>
      </c>
      <c r="K287" s="287" t="n">
        <f aca="false">IF(L287=0,0,ROUNDUP(L287/$F$16,0))</f>
        <v>5</v>
      </c>
      <c r="L287" s="285" t="n">
        <f aca="false">IF(J287=0,0,G287*(1-N287)/J287)</f>
        <v>14.4132</v>
      </c>
      <c r="M287" s="283" t="s">
        <v>1205</v>
      </c>
      <c r="N287" s="288" t="n">
        <f aca="false">IFERROR(MIN(1,'P9-018'!$V$115)+0,0)</f>
        <v>0</v>
      </c>
      <c r="O287" s="289" t="n">
        <f aca="false">IF($L287=0,0,$L287*MAX(0,NETWORKDAYS(MAX($H287,ASOF,O$72),MIN(MAX($I287,ASOF),O$72+6),HOLIDAYS)))</f>
        <v>0</v>
      </c>
      <c r="P287" s="289" t="n">
        <f aca="false">IF($L287=0,0,$L287*MAX(0,NETWORKDAYS(MAX($H287,ASOF,P$72),MIN(MAX($I287,ASOF),P$72+6),HOLIDAYS)))</f>
        <v>0</v>
      </c>
      <c r="Q287" s="289" t="n">
        <f aca="false">IF($L287=0,0,$L287*MAX(0,NETWORKDAYS(MAX($H287,ASOF,Q$72),MIN(MAX($I287,ASOF),Q$72+6),HOLIDAYS)))</f>
        <v>0</v>
      </c>
      <c r="R287" s="289" t="n">
        <f aca="false">IF($L287=0,0,$L287*MAX(0,NETWORKDAYS(MAX($H287,ASOF,R$72),MIN(MAX($I287,ASOF),R$72+6),HOLIDAYS)))</f>
        <v>0</v>
      </c>
      <c r="S287" s="289" t="n">
        <f aca="false">IF($L287=0,0,$L287*MAX(0,NETWORKDAYS(MAX($H287,ASOF,S$72),MIN(MAX($I287,ASOF),S$72+6),HOLIDAYS)))</f>
        <v>14.4132</v>
      </c>
      <c r="T287" s="289" t="n">
        <f aca="false">IF($L287=0,0,$L287*MAX(0,NETWORKDAYS(MAX($H287,ASOF,T$72),MIN(MAX($I287,ASOF),T$72+6),HOLIDAYS)))</f>
        <v>0</v>
      </c>
      <c r="U287" s="289" t="n">
        <f aca="false">IF($L287=0,0,$L287*MAX(0,NETWORKDAYS(MAX($H287,ASOF,U$72),MIN(MAX($I287,ASOF),U$72+6),HOLIDAYS)))</f>
        <v>0</v>
      </c>
      <c r="V287" s="289" t="n">
        <f aca="false">IF($L287=0,0,$L287*MAX(0,NETWORKDAYS(MAX($H287,ASOF,V$72),MIN(MAX($I287,ASOF),V$72+6),HOLIDAYS)))</f>
        <v>0</v>
      </c>
      <c r="W287" s="289" t="n">
        <f aca="false">IF($L287=0,0,$L287*MAX(0,NETWORKDAYS(MAX($H287,ASOF,W$72),MIN(MAX($I287,ASOF),W$72+6),HOLIDAYS)))</f>
        <v>0</v>
      </c>
      <c r="X287" s="289" t="n">
        <f aca="false">IF($L287=0,0,$L287*MAX(0,NETWORKDAYS(MAX($H287,ASOF,X$72),MIN(MAX($I287,ASOF),X$72+6),HOLIDAYS)))</f>
        <v>0</v>
      </c>
      <c r="Y287" s="289" t="n">
        <f aca="false">IF($L287=0,0,$L287*MAX(0,NETWORKDAYS(MAX($H287,ASOF,Y$72),MIN(MAX($I287,ASOF),Y$72+6),HOLIDAYS)))</f>
        <v>0</v>
      </c>
      <c r="Z287" s="289" t="n">
        <f aca="false">IF($L287=0,0,$L287*MAX(0,NETWORKDAYS(MAX($H287,ASOF,Z$72),MIN(MAX($I287,ASOF),Z$72+6),HOLIDAYS)))</f>
        <v>0</v>
      </c>
      <c r="AA287" s="289" t="n">
        <f aca="false">IF($L287=0,0,$L287*MAX(0,NETWORKDAYS(MAX($H287,ASOF,AA$72),MIN(MAX($I287,ASOF),AA$72+6),HOLIDAYS)))</f>
        <v>0</v>
      </c>
      <c r="AB287" s="289" t="n">
        <f aca="false">IF($L287=0,0,$L287*MAX(0,NETWORKDAYS(MAX($H287,ASOF,AB$72),MIN(MAX($I287,ASOF),AB$72+6),HOLIDAYS)))</f>
        <v>0</v>
      </c>
      <c r="AC287" s="289" t="n">
        <f aca="false">IF($L287=0,0,$L287*MAX(0,NETWORKDAYS(MAX($H287,ASOF,AC$72),MIN(MAX($I287,ASOF),AC$72+6),HOLIDAYS)))</f>
        <v>0</v>
      </c>
      <c r="AD287" s="289" t="n">
        <f aca="false">IF($L287=0,0,$L287*MAX(0,NETWORKDAYS(MAX($H287,ASOF,AD$72),MIN(MAX($I287,ASOF),AD$72+6),HOLIDAYS)))</f>
        <v>0</v>
      </c>
      <c r="AE287" s="289" t="n">
        <f aca="false">IF($L287=0,0,$L287*MAX(0,NETWORKDAYS(MAX($H287,ASOF,AE$72),MIN(MAX($I287,ASOF),AE$72+6),HOLIDAYS)))</f>
        <v>0</v>
      </c>
      <c r="AF287" s="289" t="n">
        <f aca="false">IF($L287=0,0,$L287*MAX(0,NETWORKDAYS(MAX($H287,ASOF,AF$72),MIN(MAX($I287,ASOF),AF$72+6),HOLIDAYS)))</f>
        <v>0</v>
      </c>
      <c r="AG287" s="289" t="n">
        <f aca="false">IF($L287=0,0,$L287*MAX(0,NETWORKDAYS(MAX($H287,ASOF,AG$72),MIN(MAX($I287,ASOF),AG$72+6),HOLIDAYS)))</f>
        <v>0</v>
      </c>
      <c r="AH287" s="289" t="n">
        <f aca="false">IF($L287=0,0,$L287*MAX(0,NETWORKDAYS(MAX($H287,ASOF,AH$72),MIN(MAX($I287,ASOF),AH$72+6),HOLIDAYS)))</f>
        <v>0</v>
      </c>
      <c r="AI287" s="289" t="n">
        <f aca="false">IF($L287=0,0,$L287*MAX(0,NETWORKDAYS(MAX($H287,ASOF,AI$72),MIN(MAX($I287,ASOF),AI$72+6),HOLIDAYS)))</f>
        <v>0</v>
      </c>
      <c r="AJ287" s="289" t="n">
        <f aca="false">IF($L287=0,0,$L287*MAX(0,NETWORKDAYS(MAX($H287,ASOF,AJ$72),MIN(MAX($I287,ASOF),AJ$72+6),HOLIDAYS)))</f>
        <v>0</v>
      </c>
      <c r="AK287" s="289" t="n">
        <f aca="false">IF($L287=0,0,$L287*MAX(0,NETWORKDAYS(MAX($H287,ASOF,AK$72),MIN(MAX($I287,ASOF),AK$72+6),HOLIDAYS)))</f>
        <v>0</v>
      </c>
      <c r="AL287" s="289" t="n">
        <f aca="false">IF($L287=0,0,$L287*MAX(0,NETWORKDAYS(MAX($H287,ASOF,AL$72),MIN(MAX($I287,ASOF),AL$72+6),HOLIDAYS)))</f>
        <v>0</v>
      </c>
      <c r="AM287" s="289" t="n">
        <f aca="false">IF($L287=0,0,$L287*MAX(0,NETWORKDAYS(MAX($H287,ASOF,AM$72),MIN(MAX($I287,ASOF),AM$72+6),HOLIDAYS)))</f>
        <v>0</v>
      </c>
      <c r="AN287" s="289" t="n">
        <f aca="false">IF($L287=0,0,$L287*MAX(0,NETWORKDAYS(MAX($H287,ASOF,AN$72),MIN(MAX($I287,ASOF),AN$72+6),HOLIDAYS)))</f>
        <v>0</v>
      </c>
      <c r="AO287" s="289" t="n">
        <f aca="false">IF($L287=0,0,$L287*MAX(0,NETWORKDAYS(MAX($H287,ASOF,AO$72),MIN(MAX($I287,ASOF),AO$72+6),HOLIDAYS)))</f>
        <v>0</v>
      </c>
      <c r="AP287" s="289" t="n">
        <f aca="false">IF($L287=0,0,$L287*MAX(0,NETWORKDAYS(MAX($H287,ASOF,AP$72),MIN(MAX($I287,ASOF),AP$72+6),HOLIDAYS)))</f>
        <v>0</v>
      </c>
      <c r="AQ287" s="289" t="n">
        <f aca="false">IF($L287=0,0,$L287*MAX(0,NETWORKDAYS(MAX($H287,ASOF,AQ$72),MIN(MAX($I287,ASOF),AQ$72+6),HOLIDAYS)))</f>
        <v>0</v>
      </c>
      <c r="AR287" s="289" t="n">
        <f aca="false">IF($L287=0,0,$L287*MAX(0,NETWORKDAYS(MAX($H287,ASOF,AR$72),MIN(MAX($I287,ASOF),AR$72+6),HOLIDAYS)))</f>
        <v>0</v>
      </c>
    </row>
    <row r="288" customFormat="false" ht="15" hidden="false" customHeight="false" outlineLevel="1" collapsed="false">
      <c r="A288" s="282" t="s">
        <v>110</v>
      </c>
      <c r="B288" s="283" t="s">
        <v>112</v>
      </c>
      <c r="C288" s="284" t="s">
        <v>2370</v>
      </c>
      <c r="D288" s="284" t="s">
        <v>2313</v>
      </c>
      <c r="E288" s="285" t="n">
        <v>1</v>
      </c>
      <c r="F288" s="290" t="s">
        <v>35</v>
      </c>
      <c r="G288" s="285" t="n">
        <f aca="false">SUM(O288:AR288)</f>
        <v>20</v>
      </c>
      <c r="H288" s="286" t="n">
        <f aca="false">IF(ISNUMBER('P9-018'!$N$62),'P9-018'!$N$62,"")</f>
        <v>46328</v>
      </c>
      <c r="I288" s="286" t="n">
        <f aca="false">IF(ISNUMBER('P9-018'!$O$115),'P9-018'!$O$115,"")</f>
        <v>46359</v>
      </c>
      <c r="J288" s="287"/>
      <c r="K288" s="287" t="n">
        <f aca="false">IF(G288&gt;0,$F$17,0)</f>
        <v>1</v>
      </c>
      <c r="L288" s="285" t="n">
        <v>0</v>
      </c>
      <c r="M288" s="290" t="s">
        <v>2310</v>
      </c>
      <c r="N288" s="288" t="str">
        <f aca="false">""</f>
        <v/>
      </c>
      <c r="O288" s="289" t="n">
        <f aca="false">IF(SUMIFS(O$73:O$312,$A$73:$A$312,"P9-018",$M$73:$M$312,"&lt;&gt;คุม")&gt;0,$F$17*NETWORKDAYS(O$72,O$72+6,HOLIDAYS),0)</f>
        <v>5</v>
      </c>
      <c r="P288" s="289" t="n">
        <f aca="false">IF(SUMIFS(P$73:P$312,$A$73:$A$312,"P9-018",$M$73:$M$312,"&lt;&gt;คุม")&gt;0,$F$17*NETWORKDAYS(P$72,P$72+6,HOLIDAYS),0)</f>
        <v>5</v>
      </c>
      <c r="Q288" s="289" t="n">
        <f aca="false">IF(SUMIFS(Q$73:Q$312,$A$73:$A$312,"P9-018",$M$73:$M$312,"&lt;&gt;คุม")&gt;0,$F$17*NETWORKDAYS(Q$72,Q$72+6,HOLIDAYS),0)</f>
        <v>5</v>
      </c>
      <c r="R288" s="289" t="n">
        <f aca="false">IF(SUMIFS(R$73:R$312,$A$73:$A$312,"P9-018",$M$73:$M$312,"&lt;&gt;คุม")&gt;0,$F$17*NETWORKDAYS(R$72,R$72+6,HOLIDAYS),0)</f>
        <v>0</v>
      </c>
      <c r="S288" s="289" t="n">
        <f aca="false">IF(SUMIFS(S$73:S$312,$A$73:$A$312,"P9-018",$M$73:$M$312,"&lt;&gt;คุม")&gt;0,$F$17*NETWORKDAYS(S$72,S$72+6,HOLIDAYS),0)</f>
        <v>5</v>
      </c>
      <c r="T288" s="289" t="n">
        <f aca="false">IF(SUMIFS(T$73:T$312,$A$73:$A$312,"P9-018",$M$73:$M$312,"&lt;&gt;คุม")&gt;0,$F$17*NETWORKDAYS(T$72,T$72+6,HOLIDAYS),0)</f>
        <v>0</v>
      </c>
      <c r="U288" s="289" t="n">
        <f aca="false">IF(SUMIFS(U$73:U$312,$A$73:$A$312,"P9-018",$M$73:$M$312,"&lt;&gt;คุม")&gt;0,$F$17*NETWORKDAYS(U$72,U$72+6,HOLIDAYS),0)</f>
        <v>0</v>
      </c>
      <c r="V288" s="289" t="n">
        <f aca="false">IF(SUMIFS(V$73:V$312,$A$73:$A$312,"P9-018",$M$73:$M$312,"&lt;&gt;คุม")&gt;0,$F$17*NETWORKDAYS(V$72,V$72+6,HOLIDAYS),0)</f>
        <v>0</v>
      </c>
      <c r="W288" s="289" t="n">
        <f aca="false">IF(SUMIFS(W$73:W$312,$A$73:$A$312,"P9-018",$M$73:$M$312,"&lt;&gt;คุม")&gt;0,$F$17*NETWORKDAYS(W$72,W$72+6,HOLIDAYS),0)</f>
        <v>0</v>
      </c>
      <c r="X288" s="289" t="n">
        <f aca="false">IF(SUMIFS(X$73:X$312,$A$73:$A$312,"P9-018",$M$73:$M$312,"&lt;&gt;คุม")&gt;0,$F$17*NETWORKDAYS(X$72,X$72+6,HOLIDAYS),0)</f>
        <v>0</v>
      </c>
      <c r="Y288" s="289" t="n">
        <f aca="false">IF(SUMIFS(Y$73:Y$312,$A$73:$A$312,"P9-018",$M$73:$M$312,"&lt;&gt;คุม")&gt;0,$F$17*NETWORKDAYS(Y$72,Y$72+6,HOLIDAYS),0)</f>
        <v>0</v>
      </c>
      <c r="Z288" s="289" t="n">
        <f aca="false">IF(SUMIFS(Z$73:Z$312,$A$73:$A$312,"P9-018",$M$73:$M$312,"&lt;&gt;คุม")&gt;0,$F$17*NETWORKDAYS(Z$72,Z$72+6,HOLIDAYS),0)</f>
        <v>0</v>
      </c>
      <c r="AA288" s="289" t="n">
        <f aca="false">IF(SUMIFS(AA$73:AA$312,$A$73:$A$312,"P9-018",$M$73:$M$312,"&lt;&gt;คุม")&gt;0,$F$17*NETWORKDAYS(AA$72,AA$72+6,HOLIDAYS),0)</f>
        <v>0</v>
      </c>
      <c r="AB288" s="289" t="n">
        <f aca="false">IF(SUMIFS(AB$73:AB$312,$A$73:$A$312,"P9-018",$M$73:$M$312,"&lt;&gt;คุม")&gt;0,$F$17*NETWORKDAYS(AB$72,AB$72+6,HOLIDAYS),0)</f>
        <v>0</v>
      </c>
      <c r="AC288" s="289" t="n">
        <f aca="false">IF(SUMIFS(AC$73:AC$312,$A$73:$A$312,"P9-018",$M$73:$M$312,"&lt;&gt;คุม")&gt;0,$F$17*NETWORKDAYS(AC$72,AC$72+6,HOLIDAYS),0)</f>
        <v>0</v>
      </c>
      <c r="AD288" s="289" t="n">
        <f aca="false">IF(SUMIFS(AD$73:AD$312,$A$73:$A$312,"P9-018",$M$73:$M$312,"&lt;&gt;คุม")&gt;0,$F$17*NETWORKDAYS(AD$72,AD$72+6,HOLIDAYS),0)</f>
        <v>0</v>
      </c>
      <c r="AE288" s="289" t="n">
        <f aca="false">IF(SUMIFS(AE$73:AE$312,$A$73:$A$312,"P9-018",$M$73:$M$312,"&lt;&gt;คุม")&gt;0,$F$17*NETWORKDAYS(AE$72,AE$72+6,HOLIDAYS),0)</f>
        <v>0</v>
      </c>
      <c r="AF288" s="289" t="n">
        <f aca="false">IF(SUMIFS(AF$73:AF$312,$A$73:$A$312,"P9-018",$M$73:$M$312,"&lt;&gt;คุม")&gt;0,$F$17*NETWORKDAYS(AF$72,AF$72+6,HOLIDAYS),0)</f>
        <v>0</v>
      </c>
      <c r="AG288" s="289" t="n">
        <f aca="false">IF(SUMIFS(AG$73:AG$312,$A$73:$A$312,"P9-018",$M$73:$M$312,"&lt;&gt;คุม")&gt;0,$F$17*NETWORKDAYS(AG$72,AG$72+6,HOLIDAYS),0)</f>
        <v>0</v>
      </c>
      <c r="AH288" s="289" t="n">
        <f aca="false">IF(SUMIFS(AH$73:AH$312,$A$73:$A$312,"P9-018",$M$73:$M$312,"&lt;&gt;คุม")&gt;0,$F$17*NETWORKDAYS(AH$72,AH$72+6,HOLIDAYS),0)</f>
        <v>0</v>
      </c>
      <c r="AI288" s="289" t="n">
        <f aca="false">IF(SUMIFS(AI$73:AI$312,$A$73:$A$312,"P9-018",$M$73:$M$312,"&lt;&gt;คุม")&gt;0,$F$17*NETWORKDAYS(AI$72,AI$72+6,HOLIDAYS),0)</f>
        <v>0</v>
      </c>
      <c r="AJ288" s="289" t="n">
        <f aca="false">IF(SUMIFS(AJ$73:AJ$312,$A$73:$A$312,"P9-018",$M$73:$M$312,"&lt;&gt;คุม")&gt;0,$F$17*NETWORKDAYS(AJ$72,AJ$72+6,HOLIDAYS),0)</f>
        <v>0</v>
      </c>
      <c r="AK288" s="289" t="n">
        <f aca="false">IF(SUMIFS(AK$73:AK$312,$A$73:$A$312,"P9-018",$M$73:$M$312,"&lt;&gt;คุม")&gt;0,$F$17*NETWORKDAYS(AK$72,AK$72+6,HOLIDAYS),0)</f>
        <v>0</v>
      </c>
      <c r="AL288" s="289" t="n">
        <f aca="false">IF(SUMIFS(AL$73:AL$312,$A$73:$A$312,"P9-018",$M$73:$M$312,"&lt;&gt;คุม")&gt;0,$F$17*NETWORKDAYS(AL$72,AL$72+6,HOLIDAYS),0)</f>
        <v>0</v>
      </c>
      <c r="AM288" s="289" t="n">
        <f aca="false">IF(SUMIFS(AM$73:AM$312,$A$73:$A$312,"P9-018",$M$73:$M$312,"&lt;&gt;คุม")&gt;0,$F$17*NETWORKDAYS(AM$72,AM$72+6,HOLIDAYS),0)</f>
        <v>0</v>
      </c>
      <c r="AN288" s="289" t="n">
        <f aca="false">IF(SUMIFS(AN$73:AN$312,$A$73:$A$312,"P9-018",$M$73:$M$312,"&lt;&gt;คุม")&gt;0,$F$17*NETWORKDAYS(AN$72,AN$72+6,HOLIDAYS),0)</f>
        <v>0</v>
      </c>
      <c r="AO288" s="289" t="n">
        <f aca="false">IF(SUMIFS(AO$73:AO$312,$A$73:$A$312,"P9-018",$M$73:$M$312,"&lt;&gt;คุม")&gt;0,$F$17*NETWORKDAYS(AO$72,AO$72+6,HOLIDAYS),0)</f>
        <v>0</v>
      </c>
      <c r="AP288" s="289" t="n">
        <f aca="false">IF(SUMIFS(AP$73:AP$312,$A$73:$A$312,"P9-018",$M$73:$M$312,"&lt;&gt;คุม")&gt;0,$F$17*NETWORKDAYS(AP$72,AP$72+6,HOLIDAYS),0)</f>
        <v>0</v>
      </c>
      <c r="AQ288" s="289" t="n">
        <f aca="false">IF(SUMIFS(AQ$73:AQ$312,$A$73:$A$312,"P9-018",$M$73:$M$312,"&lt;&gt;คุม")&gt;0,$F$17*NETWORKDAYS(AQ$72,AQ$72+6,HOLIDAYS),0)</f>
        <v>0</v>
      </c>
      <c r="AR288" s="289" t="n">
        <f aca="false">IF(SUMIFS(AR$73:AR$312,$A$73:$A$312,"P9-018",$M$73:$M$312,"&lt;&gt;คุม")&gt;0,$F$17*NETWORKDAYS(AR$72,AR$72+6,HOLIDAYS),0)</f>
        <v>0</v>
      </c>
    </row>
    <row r="289" customFormat="false" ht="15" hidden="false" customHeight="false" outlineLevel="1" collapsed="false">
      <c r="A289" s="282" t="s">
        <v>114</v>
      </c>
      <c r="B289" s="283" t="s">
        <v>116</v>
      </c>
      <c r="C289" s="284" t="s">
        <v>2358</v>
      </c>
      <c r="D289" s="284" t="s">
        <v>2280</v>
      </c>
      <c r="E289" s="285" t="n">
        <v>451.44</v>
      </c>
      <c r="F289" s="283" t="s">
        <v>2359</v>
      </c>
      <c r="G289" s="285" t="n">
        <f aca="false">$F$5*(E289/$G$5+$H$5)</f>
        <v>74.2304</v>
      </c>
      <c r="H289" s="286" t="n">
        <f aca="false">IF(ISNUMBER('P9-019'!$N$62),'P9-019'!$N$62,"")</f>
        <v>46328</v>
      </c>
      <c r="I289" s="286" t="n">
        <f aca="false">IF(ISNUMBER('P9-019'!$O$62),'P9-019'!$O$62,"")</f>
        <v>46341</v>
      </c>
      <c r="J289" s="287" t="n">
        <f aca="false">IF(OR(H289="",I289="",N289&gt;=1),0,MAX(1,NETWORKDAYS(MAX(H289,ASOF),MAX(I289,ASOF),HOLIDAYS)))</f>
        <v>10</v>
      </c>
      <c r="K289" s="287" t="n">
        <f aca="false">IF(L289=0,0,ROUNDUP(L289/$F$5,0))</f>
        <v>2</v>
      </c>
      <c r="L289" s="285" t="n">
        <f aca="false">IF(J289=0,0,G289*(1-N289)/J289)</f>
        <v>7.42304</v>
      </c>
      <c r="M289" s="283" t="s">
        <v>872</v>
      </c>
      <c r="N289" s="288" t="n">
        <f aca="false">IFERROR(MIN(1,'P9-019'!$V$62)+0,0)</f>
        <v>0</v>
      </c>
      <c r="O289" s="289" t="n">
        <f aca="false">IF($L289=0,0,$L289*MAX(0,NETWORKDAYS(MAX($H289,ASOF,O$72),MIN(MAX($I289,ASOF),O$72+6),HOLIDAYS)))</f>
        <v>37.1152</v>
      </c>
      <c r="P289" s="289" t="n">
        <f aca="false">IF($L289=0,0,$L289*MAX(0,NETWORKDAYS(MAX($H289,ASOF,P$72),MIN(MAX($I289,ASOF),P$72+6),HOLIDAYS)))</f>
        <v>37.1152</v>
      </c>
      <c r="Q289" s="289" t="n">
        <f aca="false">IF($L289=0,0,$L289*MAX(0,NETWORKDAYS(MAX($H289,ASOF,Q$72),MIN(MAX($I289,ASOF),Q$72+6),HOLIDAYS)))</f>
        <v>0</v>
      </c>
      <c r="R289" s="289" t="n">
        <f aca="false">IF($L289=0,0,$L289*MAX(0,NETWORKDAYS(MAX($H289,ASOF,R$72),MIN(MAX($I289,ASOF),R$72+6),HOLIDAYS)))</f>
        <v>0</v>
      </c>
      <c r="S289" s="289" t="n">
        <f aca="false">IF($L289=0,0,$L289*MAX(0,NETWORKDAYS(MAX($H289,ASOF,S$72),MIN(MAX($I289,ASOF),S$72+6),HOLIDAYS)))</f>
        <v>0</v>
      </c>
      <c r="T289" s="289" t="n">
        <f aca="false">IF($L289=0,0,$L289*MAX(0,NETWORKDAYS(MAX($H289,ASOF,T$72),MIN(MAX($I289,ASOF),T$72+6),HOLIDAYS)))</f>
        <v>0</v>
      </c>
      <c r="U289" s="289" t="n">
        <f aca="false">IF($L289=0,0,$L289*MAX(0,NETWORKDAYS(MAX($H289,ASOF,U$72),MIN(MAX($I289,ASOF),U$72+6),HOLIDAYS)))</f>
        <v>0</v>
      </c>
      <c r="V289" s="289" t="n">
        <f aca="false">IF($L289=0,0,$L289*MAX(0,NETWORKDAYS(MAX($H289,ASOF,V$72),MIN(MAX($I289,ASOF),V$72+6),HOLIDAYS)))</f>
        <v>0</v>
      </c>
      <c r="W289" s="289" t="n">
        <f aca="false">IF($L289=0,0,$L289*MAX(0,NETWORKDAYS(MAX($H289,ASOF,W$72),MIN(MAX($I289,ASOF),W$72+6),HOLIDAYS)))</f>
        <v>0</v>
      </c>
      <c r="X289" s="289" t="n">
        <f aca="false">IF($L289=0,0,$L289*MAX(0,NETWORKDAYS(MAX($H289,ASOF,X$72),MIN(MAX($I289,ASOF),X$72+6),HOLIDAYS)))</f>
        <v>0</v>
      </c>
      <c r="Y289" s="289" t="n">
        <f aca="false">IF($L289=0,0,$L289*MAX(0,NETWORKDAYS(MAX($H289,ASOF,Y$72),MIN(MAX($I289,ASOF),Y$72+6),HOLIDAYS)))</f>
        <v>0</v>
      </c>
      <c r="Z289" s="289" t="n">
        <f aca="false">IF($L289=0,0,$L289*MAX(0,NETWORKDAYS(MAX($H289,ASOF,Z$72),MIN(MAX($I289,ASOF),Z$72+6),HOLIDAYS)))</f>
        <v>0</v>
      </c>
      <c r="AA289" s="289" t="n">
        <f aca="false">IF($L289=0,0,$L289*MAX(0,NETWORKDAYS(MAX($H289,ASOF,AA$72),MIN(MAX($I289,ASOF),AA$72+6),HOLIDAYS)))</f>
        <v>0</v>
      </c>
      <c r="AB289" s="289" t="n">
        <f aca="false">IF($L289=0,0,$L289*MAX(0,NETWORKDAYS(MAX($H289,ASOF,AB$72),MIN(MAX($I289,ASOF),AB$72+6),HOLIDAYS)))</f>
        <v>0</v>
      </c>
      <c r="AC289" s="289" t="n">
        <f aca="false">IF($L289=0,0,$L289*MAX(0,NETWORKDAYS(MAX($H289,ASOF,AC$72),MIN(MAX($I289,ASOF),AC$72+6),HOLIDAYS)))</f>
        <v>0</v>
      </c>
      <c r="AD289" s="289" t="n">
        <f aca="false">IF($L289=0,0,$L289*MAX(0,NETWORKDAYS(MAX($H289,ASOF,AD$72),MIN(MAX($I289,ASOF),AD$72+6),HOLIDAYS)))</f>
        <v>0</v>
      </c>
      <c r="AE289" s="289" t="n">
        <f aca="false">IF($L289=0,0,$L289*MAX(0,NETWORKDAYS(MAX($H289,ASOF,AE$72),MIN(MAX($I289,ASOF),AE$72+6),HOLIDAYS)))</f>
        <v>0</v>
      </c>
      <c r="AF289" s="289" t="n">
        <f aca="false">IF($L289=0,0,$L289*MAX(0,NETWORKDAYS(MAX($H289,ASOF,AF$72),MIN(MAX($I289,ASOF),AF$72+6),HOLIDAYS)))</f>
        <v>0</v>
      </c>
      <c r="AG289" s="289" t="n">
        <f aca="false">IF($L289=0,0,$L289*MAX(0,NETWORKDAYS(MAX($H289,ASOF,AG$72),MIN(MAX($I289,ASOF),AG$72+6),HOLIDAYS)))</f>
        <v>0</v>
      </c>
      <c r="AH289" s="289" t="n">
        <f aca="false">IF($L289=0,0,$L289*MAX(0,NETWORKDAYS(MAX($H289,ASOF,AH$72),MIN(MAX($I289,ASOF),AH$72+6),HOLIDAYS)))</f>
        <v>0</v>
      </c>
      <c r="AI289" s="289" t="n">
        <f aca="false">IF($L289=0,0,$L289*MAX(0,NETWORKDAYS(MAX($H289,ASOF,AI$72),MIN(MAX($I289,ASOF),AI$72+6),HOLIDAYS)))</f>
        <v>0</v>
      </c>
      <c r="AJ289" s="289" t="n">
        <f aca="false">IF($L289=0,0,$L289*MAX(0,NETWORKDAYS(MAX($H289,ASOF,AJ$72),MIN(MAX($I289,ASOF),AJ$72+6),HOLIDAYS)))</f>
        <v>0</v>
      </c>
      <c r="AK289" s="289" t="n">
        <f aca="false">IF($L289=0,0,$L289*MAX(0,NETWORKDAYS(MAX($H289,ASOF,AK$72),MIN(MAX($I289,ASOF),AK$72+6),HOLIDAYS)))</f>
        <v>0</v>
      </c>
      <c r="AL289" s="289" t="n">
        <f aca="false">IF($L289=0,0,$L289*MAX(0,NETWORKDAYS(MAX($H289,ASOF,AL$72),MIN(MAX($I289,ASOF),AL$72+6),HOLIDAYS)))</f>
        <v>0</v>
      </c>
      <c r="AM289" s="289" t="n">
        <f aca="false">IF($L289=0,0,$L289*MAX(0,NETWORKDAYS(MAX($H289,ASOF,AM$72),MIN(MAX($I289,ASOF),AM$72+6),HOLIDAYS)))</f>
        <v>0</v>
      </c>
      <c r="AN289" s="289" t="n">
        <f aca="false">IF($L289=0,0,$L289*MAX(0,NETWORKDAYS(MAX($H289,ASOF,AN$72),MIN(MAX($I289,ASOF),AN$72+6),HOLIDAYS)))</f>
        <v>0</v>
      </c>
      <c r="AO289" s="289" t="n">
        <f aca="false">IF($L289=0,0,$L289*MAX(0,NETWORKDAYS(MAX($H289,ASOF,AO$72),MIN(MAX($I289,ASOF),AO$72+6),HOLIDAYS)))</f>
        <v>0</v>
      </c>
      <c r="AP289" s="289" t="n">
        <f aca="false">IF($L289=0,0,$L289*MAX(0,NETWORKDAYS(MAX($H289,ASOF,AP$72),MIN(MAX($I289,ASOF),AP$72+6),HOLIDAYS)))</f>
        <v>0</v>
      </c>
      <c r="AQ289" s="289" t="n">
        <f aca="false">IF($L289=0,0,$L289*MAX(0,NETWORKDAYS(MAX($H289,ASOF,AQ$72),MIN(MAX($I289,ASOF),AQ$72+6),HOLIDAYS)))</f>
        <v>0</v>
      </c>
      <c r="AR289" s="289" t="n">
        <f aca="false">IF($L289=0,0,$L289*MAX(0,NETWORKDAYS(MAX($H289,ASOF,AR$72),MIN(MAX($I289,ASOF),AR$72+6),HOLIDAYS)))</f>
        <v>0</v>
      </c>
    </row>
    <row r="290" customFormat="false" ht="15" hidden="false" customHeight="false" outlineLevel="1" collapsed="false">
      <c r="A290" s="282" t="s">
        <v>114</v>
      </c>
      <c r="B290" s="283" t="s">
        <v>116</v>
      </c>
      <c r="C290" s="284" t="s">
        <v>2360</v>
      </c>
      <c r="D290" s="284" t="s">
        <v>2284</v>
      </c>
      <c r="E290" s="285" t="n">
        <v>150.48</v>
      </c>
      <c r="F290" s="283" t="s">
        <v>527</v>
      </c>
      <c r="G290" s="285" t="n">
        <f aca="false">$F$6*(E290/$G$6+$H$6)</f>
        <v>14.286</v>
      </c>
      <c r="H290" s="286" t="n">
        <f aca="false">IF(ISNUMBER('P9-019'!$N$70),'P9-019'!$N$70,"")</f>
        <v>46343</v>
      </c>
      <c r="I290" s="286" t="n">
        <f aca="false">IF(ISNUMBER('P9-019'!$O$70),'P9-019'!$O$70,"")</f>
        <v>46346</v>
      </c>
      <c r="J290" s="287" t="n">
        <f aca="false">IF(OR(H290="",I290="",N290&gt;=1),0,MAX(1,NETWORKDAYS(MAX(H290,ASOF),MAX(I290,ASOF),HOLIDAYS)))</f>
        <v>4</v>
      </c>
      <c r="K290" s="287" t="n">
        <f aca="false">IF(L290=0,0,ROUNDUP(L290/$F$6,0))</f>
        <v>2</v>
      </c>
      <c r="L290" s="285" t="n">
        <f aca="false">IF(J290=0,0,G290*(1-N290)/J290)</f>
        <v>3.5715</v>
      </c>
      <c r="M290" s="283" t="s">
        <v>987</v>
      </c>
      <c r="N290" s="288" t="n">
        <f aca="false">IFERROR(MIN(1,'P9-019'!$V$70)+0,0)</f>
        <v>0</v>
      </c>
      <c r="O290" s="289" t="n">
        <f aca="false">IF($L290=0,0,$L290*MAX(0,NETWORKDAYS(MAX($H290,ASOF,O$72),MIN(MAX($I290,ASOF),O$72+6),HOLIDAYS)))</f>
        <v>0</v>
      </c>
      <c r="P290" s="289" t="n">
        <f aca="false">IF($L290=0,0,$L290*MAX(0,NETWORKDAYS(MAX($H290,ASOF,P$72),MIN(MAX($I290,ASOF),P$72+6),HOLIDAYS)))</f>
        <v>0</v>
      </c>
      <c r="Q290" s="289" t="n">
        <f aca="false">IF($L290=0,0,$L290*MAX(0,NETWORKDAYS(MAX($H290,ASOF,Q$72),MIN(MAX($I290,ASOF),Q$72+6),HOLIDAYS)))</f>
        <v>14.286</v>
      </c>
      <c r="R290" s="289" t="n">
        <f aca="false">IF($L290=0,0,$L290*MAX(0,NETWORKDAYS(MAX($H290,ASOF,R$72),MIN(MAX($I290,ASOF),R$72+6),HOLIDAYS)))</f>
        <v>0</v>
      </c>
      <c r="S290" s="289" t="n">
        <f aca="false">IF($L290=0,0,$L290*MAX(0,NETWORKDAYS(MAX($H290,ASOF,S$72),MIN(MAX($I290,ASOF),S$72+6),HOLIDAYS)))</f>
        <v>0</v>
      </c>
      <c r="T290" s="289" t="n">
        <f aca="false">IF($L290=0,0,$L290*MAX(0,NETWORKDAYS(MAX($H290,ASOF,T$72),MIN(MAX($I290,ASOF),T$72+6),HOLIDAYS)))</f>
        <v>0</v>
      </c>
      <c r="U290" s="289" t="n">
        <f aca="false">IF($L290=0,0,$L290*MAX(0,NETWORKDAYS(MAX($H290,ASOF,U$72),MIN(MAX($I290,ASOF),U$72+6),HOLIDAYS)))</f>
        <v>0</v>
      </c>
      <c r="V290" s="289" t="n">
        <f aca="false">IF($L290=0,0,$L290*MAX(0,NETWORKDAYS(MAX($H290,ASOF,V$72),MIN(MAX($I290,ASOF),V$72+6),HOLIDAYS)))</f>
        <v>0</v>
      </c>
      <c r="W290" s="289" t="n">
        <f aca="false">IF($L290=0,0,$L290*MAX(0,NETWORKDAYS(MAX($H290,ASOF,W$72),MIN(MAX($I290,ASOF),W$72+6),HOLIDAYS)))</f>
        <v>0</v>
      </c>
      <c r="X290" s="289" t="n">
        <f aca="false">IF($L290=0,0,$L290*MAX(0,NETWORKDAYS(MAX($H290,ASOF,X$72),MIN(MAX($I290,ASOF),X$72+6),HOLIDAYS)))</f>
        <v>0</v>
      </c>
      <c r="Y290" s="289" t="n">
        <f aca="false">IF($L290=0,0,$L290*MAX(0,NETWORKDAYS(MAX($H290,ASOF,Y$72),MIN(MAX($I290,ASOF),Y$72+6),HOLIDAYS)))</f>
        <v>0</v>
      </c>
      <c r="Z290" s="289" t="n">
        <f aca="false">IF($L290=0,0,$L290*MAX(0,NETWORKDAYS(MAX($H290,ASOF,Z$72),MIN(MAX($I290,ASOF),Z$72+6),HOLIDAYS)))</f>
        <v>0</v>
      </c>
      <c r="AA290" s="289" t="n">
        <f aca="false">IF($L290=0,0,$L290*MAX(0,NETWORKDAYS(MAX($H290,ASOF,AA$72),MIN(MAX($I290,ASOF),AA$72+6),HOLIDAYS)))</f>
        <v>0</v>
      </c>
      <c r="AB290" s="289" t="n">
        <f aca="false">IF($L290=0,0,$L290*MAX(0,NETWORKDAYS(MAX($H290,ASOF,AB$72),MIN(MAX($I290,ASOF),AB$72+6),HOLIDAYS)))</f>
        <v>0</v>
      </c>
      <c r="AC290" s="289" t="n">
        <f aca="false">IF($L290=0,0,$L290*MAX(0,NETWORKDAYS(MAX($H290,ASOF,AC$72),MIN(MAX($I290,ASOF),AC$72+6),HOLIDAYS)))</f>
        <v>0</v>
      </c>
      <c r="AD290" s="289" t="n">
        <f aca="false">IF($L290=0,0,$L290*MAX(0,NETWORKDAYS(MAX($H290,ASOF,AD$72),MIN(MAX($I290,ASOF),AD$72+6),HOLIDAYS)))</f>
        <v>0</v>
      </c>
      <c r="AE290" s="289" t="n">
        <f aca="false">IF($L290=0,0,$L290*MAX(0,NETWORKDAYS(MAX($H290,ASOF,AE$72),MIN(MAX($I290,ASOF),AE$72+6),HOLIDAYS)))</f>
        <v>0</v>
      </c>
      <c r="AF290" s="289" t="n">
        <f aca="false">IF($L290=0,0,$L290*MAX(0,NETWORKDAYS(MAX($H290,ASOF,AF$72),MIN(MAX($I290,ASOF),AF$72+6),HOLIDAYS)))</f>
        <v>0</v>
      </c>
      <c r="AG290" s="289" t="n">
        <f aca="false">IF($L290=0,0,$L290*MAX(0,NETWORKDAYS(MAX($H290,ASOF,AG$72),MIN(MAX($I290,ASOF),AG$72+6),HOLIDAYS)))</f>
        <v>0</v>
      </c>
      <c r="AH290" s="289" t="n">
        <f aca="false">IF($L290=0,0,$L290*MAX(0,NETWORKDAYS(MAX($H290,ASOF,AH$72),MIN(MAX($I290,ASOF),AH$72+6),HOLIDAYS)))</f>
        <v>0</v>
      </c>
      <c r="AI290" s="289" t="n">
        <f aca="false">IF($L290=0,0,$L290*MAX(0,NETWORKDAYS(MAX($H290,ASOF,AI$72),MIN(MAX($I290,ASOF),AI$72+6),HOLIDAYS)))</f>
        <v>0</v>
      </c>
      <c r="AJ290" s="289" t="n">
        <f aca="false">IF($L290=0,0,$L290*MAX(0,NETWORKDAYS(MAX($H290,ASOF,AJ$72),MIN(MAX($I290,ASOF),AJ$72+6),HOLIDAYS)))</f>
        <v>0</v>
      </c>
      <c r="AK290" s="289" t="n">
        <f aca="false">IF($L290=0,0,$L290*MAX(0,NETWORKDAYS(MAX($H290,ASOF,AK$72),MIN(MAX($I290,ASOF),AK$72+6),HOLIDAYS)))</f>
        <v>0</v>
      </c>
      <c r="AL290" s="289" t="n">
        <f aca="false">IF($L290=0,0,$L290*MAX(0,NETWORKDAYS(MAX($H290,ASOF,AL$72),MIN(MAX($I290,ASOF),AL$72+6),HOLIDAYS)))</f>
        <v>0</v>
      </c>
      <c r="AM290" s="289" t="n">
        <f aca="false">IF($L290=0,0,$L290*MAX(0,NETWORKDAYS(MAX($H290,ASOF,AM$72),MIN(MAX($I290,ASOF),AM$72+6),HOLIDAYS)))</f>
        <v>0</v>
      </c>
      <c r="AN290" s="289" t="n">
        <f aca="false">IF($L290=0,0,$L290*MAX(0,NETWORKDAYS(MAX($H290,ASOF,AN$72),MIN(MAX($I290,ASOF),AN$72+6),HOLIDAYS)))</f>
        <v>0</v>
      </c>
      <c r="AO290" s="289" t="n">
        <f aca="false">IF($L290=0,0,$L290*MAX(0,NETWORKDAYS(MAX($H290,ASOF,AO$72),MIN(MAX($I290,ASOF),AO$72+6),HOLIDAYS)))</f>
        <v>0</v>
      </c>
      <c r="AP290" s="289" t="n">
        <f aca="false">IF($L290=0,0,$L290*MAX(0,NETWORKDAYS(MAX($H290,ASOF,AP$72),MIN(MAX($I290,ASOF),AP$72+6),HOLIDAYS)))</f>
        <v>0</v>
      </c>
      <c r="AQ290" s="289" t="n">
        <f aca="false">IF($L290=0,0,$L290*MAX(0,NETWORKDAYS(MAX($H290,ASOF,AQ$72),MIN(MAX($I290,ASOF),AQ$72+6),HOLIDAYS)))</f>
        <v>0</v>
      </c>
      <c r="AR290" s="289" t="n">
        <f aca="false">IF($L290=0,0,$L290*MAX(0,NETWORKDAYS(MAX($H290,ASOF,AR$72),MIN(MAX($I290,ASOF),AR$72+6),HOLIDAYS)))</f>
        <v>0</v>
      </c>
    </row>
    <row r="291" customFormat="false" ht="15" hidden="false" customHeight="false" outlineLevel="1" collapsed="false">
      <c r="A291" s="282" t="s">
        <v>114</v>
      </c>
      <c r="B291" s="283" t="s">
        <v>116</v>
      </c>
      <c r="C291" s="284" t="s">
        <v>2361</v>
      </c>
      <c r="D291" s="284" t="s">
        <v>2280</v>
      </c>
      <c r="E291" s="285" t="n">
        <v>150.48</v>
      </c>
      <c r="F291" s="283" t="s">
        <v>527</v>
      </c>
      <c r="G291" s="285" t="n">
        <f aca="false">$F$7*(E291/$G$7+$H$7)</f>
        <v>19.1977142857143</v>
      </c>
      <c r="H291" s="286" t="n">
        <f aca="false">IF(ISNUMBER('P9-019'!$N$76),'P9-019'!$N$76,"")</f>
        <v>46342</v>
      </c>
      <c r="I291" s="286" t="n">
        <f aca="false">IF(ISNUMBER('P9-019'!$O$76),'P9-019'!$O$76,"")</f>
        <v>46347</v>
      </c>
      <c r="J291" s="287" t="n">
        <f aca="false">IF(OR(H291="",I291="",N291&gt;=1),0,MAX(1,NETWORKDAYS(MAX(H291,ASOF),MAX(I291,ASOF),HOLIDAYS)))</f>
        <v>5</v>
      </c>
      <c r="K291" s="287" t="n">
        <f aca="false">IF(L291=0,0,ROUNDUP(L291/$F$7,0))</f>
        <v>1</v>
      </c>
      <c r="L291" s="285" t="n">
        <f aca="false">IF(J291=0,0,G291*(1-N291)/J291)</f>
        <v>3.83954285714286</v>
      </c>
      <c r="M291" s="283" t="s">
        <v>1037</v>
      </c>
      <c r="N291" s="288" t="n">
        <f aca="false">IFERROR(MIN(1,'P9-019'!$V$76)+0,0)</f>
        <v>0</v>
      </c>
      <c r="O291" s="289" t="n">
        <f aca="false">IF($L291=0,0,$L291*MAX(0,NETWORKDAYS(MAX($H291,ASOF,O$72),MIN(MAX($I291,ASOF),O$72+6),HOLIDAYS)))</f>
        <v>0</v>
      </c>
      <c r="P291" s="289" t="n">
        <f aca="false">IF($L291=0,0,$L291*MAX(0,NETWORKDAYS(MAX($H291,ASOF,P$72),MIN(MAX($I291,ASOF),P$72+6),HOLIDAYS)))</f>
        <v>0</v>
      </c>
      <c r="Q291" s="289" t="n">
        <f aca="false">IF($L291=0,0,$L291*MAX(0,NETWORKDAYS(MAX($H291,ASOF,Q$72),MIN(MAX($I291,ASOF),Q$72+6),HOLIDAYS)))</f>
        <v>19.1977142857143</v>
      </c>
      <c r="R291" s="289" t="n">
        <f aca="false">IF($L291=0,0,$L291*MAX(0,NETWORKDAYS(MAX($H291,ASOF,R$72),MIN(MAX($I291,ASOF),R$72+6),HOLIDAYS)))</f>
        <v>0</v>
      </c>
      <c r="S291" s="289" t="n">
        <f aca="false">IF($L291=0,0,$L291*MAX(0,NETWORKDAYS(MAX($H291,ASOF,S$72),MIN(MAX($I291,ASOF),S$72+6),HOLIDAYS)))</f>
        <v>0</v>
      </c>
      <c r="T291" s="289" t="n">
        <f aca="false">IF($L291=0,0,$L291*MAX(0,NETWORKDAYS(MAX($H291,ASOF,T$72),MIN(MAX($I291,ASOF),T$72+6),HOLIDAYS)))</f>
        <v>0</v>
      </c>
      <c r="U291" s="289" t="n">
        <f aca="false">IF($L291=0,0,$L291*MAX(0,NETWORKDAYS(MAX($H291,ASOF,U$72),MIN(MAX($I291,ASOF),U$72+6),HOLIDAYS)))</f>
        <v>0</v>
      </c>
      <c r="V291" s="289" t="n">
        <f aca="false">IF($L291=0,0,$L291*MAX(0,NETWORKDAYS(MAX($H291,ASOF,V$72),MIN(MAX($I291,ASOF),V$72+6),HOLIDAYS)))</f>
        <v>0</v>
      </c>
      <c r="W291" s="289" t="n">
        <f aca="false">IF($L291=0,0,$L291*MAX(0,NETWORKDAYS(MAX($H291,ASOF,W$72),MIN(MAX($I291,ASOF),W$72+6),HOLIDAYS)))</f>
        <v>0</v>
      </c>
      <c r="X291" s="289" t="n">
        <f aca="false">IF($L291=0,0,$L291*MAX(0,NETWORKDAYS(MAX($H291,ASOF,X$72),MIN(MAX($I291,ASOF),X$72+6),HOLIDAYS)))</f>
        <v>0</v>
      </c>
      <c r="Y291" s="289" t="n">
        <f aca="false">IF($L291=0,0,$L291*MAX(0,NETWORKDAYS(MAX($H291,ASOF,Y$72),MIN(MAX($I291,ASOF),Y$72+6),HOLIDAYS)))</f>
        <v>0</v>
      </c>
      <c r="Z291" s="289" t="n">
        <f aca="false">IF($L291=0,0,$L291*MAX(0,NETWORKDAYS(MAX($H291,ASOF,Z$72),MIN(MAX($I291,ASOF),Z$72+6),HOLIDAYS)))</f>
        <v>0</v>
      </c>
      <c r="AA291" s="289" t="n">
        <f aca="false">IF($L291=0,0,$L291*MAX(0,NETWORKDAYS(MAX($H291,ASOF,AA$72),MIN(MAX($I291,ASOF),AA$72+6),HOLIDAYS)))</f>
        <v>0</v>
      </c>
      <c r="AB291" s="289" t="n">
        <f aca="false">IF($L291=0,0,$L291*MAX(0,NETWORKDAYS(MAX($H291,ASOF,AB$72),MIN(MAX($I291,ASOF),AB$72+6),HOLIDAYS)))</f>
        <v>0</v>
      </c>
      <c r="AC291" s="289" t="n">
        <f aca="false">IF($L291=0,0,$L291*MAX(0,NETWORKDAYS(MAX($H291,ASOF,AC$72),MIN(MAX($I291,ASOF),AC$72+6),HOLIDAYS)))</f>
        <v>0</v>
      </c>
      <c r="AD291" s="289" t="n">
        <f aca="false">IF($L291=0,0,$L291*MAX(0,NETWORKDAYS(MAX($H291,ASOF,AD$72),MIN(MAX($I291,ASOF),AD$72+6),HOLIDAYS)))</f>
        <v>0</v>
      </c>
      <c r="AE291" s="289" t="n">
        <f aca="false">IF($L291=0,0,$L291*MAX(0,NETWORKDAYS(MAX($H291,ASOF,AE$72),MIN(MAX($I291,ASOF),AE$72+6),HOLIDAYS)))</f>
        <v>0</v>
      </c>
      <c r="AF291" s="289" t="n">
        <f aca="false">IF($L291=0,0,$L291*MAX(0,NETWORKDAYS(MAX($H291,ASOF,AF$72),MIN(MAX($I291,ASOF),AF$72+6),HOLIDAYS)))</f>
        <v>0</v>
      </c>
      <c r="AG291" s="289" t="n">
        <f aca="false">IF($L291=0,0,$L291*MAX(0,NETWORKDAYS(MAX($H291,ASOF,AG$72),MIN(MAX($I291,ASOF),AG$72+6),HOLIDAYS)))</f>
        <v>0</v>
      </c>
      <c r="AH291" s="289" t="n">
        <f aca="false">IF($L291=0,0,$L291*MAX(0,NETWORKDAYS(MAX($H291,ASOF,AH$72),MIN(MAX($I291,ASOF),AH$72+6),HOLIDAYS)))</f>
        <v>0</v>
      </c>
      <c r="AI291" s="289" t="n">
        <f aca="false">IF($L291=0,0,$L291*MAX(0,NETWORKDAYS(MAX($H291,ASOF,AI$72),MIN(MAX($I291,ASOF),AI$72+6),HOLIDAYS)))</f>
        <v>0</v>
      </c>
      <c r="AJ291" s="289" t="n">
        <f aca="false">IF($L291=0,0,$L291*MAX(0,NETWORKDAYS(MAX($H291,ASOF,AJ$72),MIN(MAX($I291,ASOF),AJ$72+6),HOLIDAYS)))</f>
        <v>0</v>
      </c>
      <c r="AK291" s="289" t="n">
        <f aca="false">IF($L291=0,0,$L291*MAX(0,NETWORKDAYS(MAX($H291,ASOF,AK$72),MIN(MAX($I291,ASOF),AK$72+6),HOLIDAYS)))</f>
        <v>0</v>
      </c>
      <c r="AL291" s="289" t="n">
        <f aca="false">IF($L291=0,0,$L291*MAX(0,NETWORKDAYS(MAX($H291,ASOF,AL$72),MIN(MAX($I291,ASOF),AL$72+6),HOLIDAYS)))</f>
        <v>0</v>
      </c>
      <c r="AM291" s="289" t="n">
        <f aca="false">IF($L291=0,0,$L291*MAX(0,NETWORKDAYS(MAX($H291,ASOF,AM$72),MIN(MAX($I291,ASOF),AM$72+6),HOLIDAYS)))</f>
        <v>0</v>
      </c>
      <c r="AN291" s="289" t="n">
        <f aca="false">IF($L291=0,0,$L291*MAX(0,NETWORKDAYS(MAX($H291,ASOF,AN$72),MIN(MAX($I291,ASOF),AN$72+6),HOLIDAYS)))</f>
        <v>0</v>
      </c>
      <c r="AO291" s="289" t="n">
        <f aca="false">IF($L291=0,0,$L291*MAX(0,NETWORKDAYS(MAX($H291,ASOF,AO$72),MIN(MAX($I291,ASOF),AO$72+6),HOLIDAYS)))</f>
        <v>0</v>
      </c>
      <c r="AP291" s="289" t="n">
        <f aca="false">IF($L291=0,0,$L291*MAX(0,NETWORKDAYS(MAX($H291,ASOF,AP$72),MIN(MAX($I291,ASOF),AP$72+6),HOLIDAYS)))</f>
        <v>0</v>
      </c>
      <c r="AQ291" s="289" t="n">
        <f aca="false">IF($L291=0,0,$L291*MAX(0,NETWORKDAYS(MAX($H291,ASOF,AQ$72),MIN(MAX($I291,ASOF),AQ$72+6),HOLIDAYS)))</f>
        <v>0</v>
      </c>
      <c r="AR291" s="289" t="n">
        <f aca="false">IF($L291=0,0,$L291*MAX(0,NETWORKDAYS(MAX($H291,ASOF,AR$72),MIN(MAX($I291,ASOF),AR$72+6),HOLIDAYS)))</f>
        <v>0</v>
      </c>
    </row>
    <row r="292" customFormat="false" ht="15" hidden="false" customHeight="false" outlineLevel="1" collapsed="false">
      <c r="A292" s="282" t="s">
        <v>114</v>
      </c>
      <c r="B292" s="283" t="s">
        <v>116</v>
      </c>
      <c r="C292" s="284" t="s">
        <v>2362</v>
      </c>
      <c r="D292" s="284" t="s">
        <v>2284</v>
      </c>
      <c r="E292" s="285" t="n">
        <v>1</v>
      </c>
      <c r="F292" s="290" t="s">
        <v>35</v>
      </c>
      <c r="G292" s="285" t="n">
        <f aca="false">$F$8*$H$8</f>
        <v>2</v>
      </c>
      <c r="H292" s="286" t="n">
        <f aca="false">IF(ISNUMBER('P9-019'!$N$82),'P9-019'!$N$82,"")</f>
        <v>46345</v>
      </c>
      <c r="I292" s="286" t="n">
        <f aca="false">IF(ISNUMBER('P9-019'!$O$82),'P9-019'!$O$82,"")</f>
        <v>46347</v>
      </c>
      <c r="J292" s="287" t="n">
        <f aca="false">IF(OR(H292="",I292="",N292&gt;=1),0,MAX(1,NETWORKDAYS(MAX(H292,ASOF),MAX(I292,ASOF),HOLIDAYS)))</f>
        <v>2</v>
      </c>
      <c r="K292" s="287" t="n">
        <f aca="false">IF(L292=0,0,ROUNDUP(L292/$F$8,0))</f>
        <v>1</v>
      </c>
      <c r="L292" s="285" t="n">
        <f aca="false">IF(J292=0,0,G292*(1-N292)/J292)</f>
        <v>1</v>
      </c>
      <c r="M292" s="283" t="s">
        <v>1063</v>
      </c>
      <c r="N292" s="288" t="n">
        <f aca="false">IFERROR(MIN(1,'P9-019'!$V$82)+0,0)</f>
        <v>0</v>
      </c>
      <c r="O292" s="289" t="n">
        <f aca="false">IF($L292=0,0,$L292*MAX(0,NETWORKDAYS(MAX($H292,ASOF,O$72),MIN(MAX($I292,ASOF),O$72+6),HOLIDAYS)))</f>
        <v>0</v>
      </c>
      <c r="P292" s="289" t="n">
        <f aca="false">IF($L292=0,0,$L292*MAX(0,NETWORKDAYS(MAX($H292,ASOF,P$72),MIN(MAX($I292,ASOF),P$72+6),HOLIDAYS)))</f>
        <v>0</v>
      </c>
      <c r="Q292" s="289" t="n">
        <f aca="false">IF($L292=0,0,$L292*MAX(0,NETWORKDAYS(MAX($H292,ASOF,Q$72),MIN(MAX($I292,ASOF),Q$72+6),HOLIDAYS)))</f>
        <v>2</v>
      </c>
      <c r="R292" s="289" t="n">
        <f aca="false">IF($L292=0,0,$L292*MAX(0,NETWORKDAYS(MAX($H292,ASOF,R$72),MIN(MAX($I292,ASOF),R$72+6),HOLIDAYS)))</f>
        <v>0</v>
      </c>
      <c r="S292" s="289" t="n">
        <f aca="false">IF($L292=0,0,$L292*MAX(0,NETWORKDAYS(MAX($H292,ASOF,S$72),MIN(MAX($I292,ASOF),S$72+6),HOLIDAYS)))</f>
        <v>0</v>
      </c>
      <c r="T292" s="289" t="n">
        <f aca="false">IF($L292=0,0,$L292*MAX(0,NETWORKDAYS(MAX($H292,ASOF,T$72),MIN(MAX($I292,ASOF),T$72+6),HOLIDAYS)))</f>
        <v>0</v>
      </c>
      <c r="U292" s="289" t="n">
        <f aca="false">IF($L292=0,0,$L292*MAX(0,NETWORKDAYS(MAX($H292,ASOF,U$72),MIN(MAX($I292,ASOF),U$72+6),HOLIDAYS)))</f>
        <v>0</v>
      </c>
      <c r="V292" s="289" t="n">
        <f aca="false">IF($L292=0,0,$L292*MAX(0,NETWORKDAYS(MAX($H292,ASOF,V$72),MIN(MAX($I292,ASOF),V$72+6),HOLIDAYS)))</f>
        <v>0</v>
      </c>
      <c r="W292" s="289" t="n">
        <f aca="false">IF($L292=0,0,$L292*MAX(0,NETWORKDAYS(MAX($H292,ASOF,W$72),MIN(MAX($I292,ASOF),W$72+6),HOLIDAYS)))</f>
        <v>0</v>
      </c>
      <c r="X292" s="289" t="n">
        <f aca="false">IF($L292=0,0,$L292*MAX(0,NETWORKDAYS(MAX($H292,ASOF,X$72),MIN(MAX($I292,ASOF),X$72+6),HOLIDAYS)))</f>
        <v>0</v>
      </c>
      <c r="Y292" s="289" t="n">
        <f aca="false">IF($L292=0,0,$L292*MAX(0,NETWORKDAYS(MAX($H292,ASOF,Y$72),MIN(MAX($I292,ASOF),Y$72+6),HOLIDAYS)))</f>
        <v>0</v>
      </c>
      <c r="Z292" s="289" t="n">
        <f aca="false">IF($L292=0,0,$L292*MAX(0,NETWORKDAYS(MAX($H292,ASOF,Z$72),MIN(MAX($I292,ASOF),Z$72+6),HOLIDAYS)))</f>
        <v>0</v>
      </c>
      <c r="AA292" s="289" t="n">
        <f aca="false">IF($L292=0,0,$L292*MAX(0,NETWORKDAYS(MAX($H292,ASOF,AA$72),MIN(MAX($I292,ASOF),AA$72+6),HOLIDAYS)))</f>
        <v>0</v>
      </c>
      <c r="AB292" s="289" t="n">
        <f aca="false">IF($L292=0,0,$L292*MAX(0,NETWORKDAYS(MAX($H292,ASOF,AB$72),MIN(MAX($I292,ASOF),AB$72+6),HOLIDAYS)))</f>
        <v>0</v>
      </c>
      <c r="AC292" s="289" t="n">
        <f aca="false">IF($L292=0,0,$L292*MAX(0,NETWORKDAYS(MAX($H292,ASOF,AC$72),MIN(MAX($I292,ASOF),AC$72+6),HOLIDAYS)))</f>
        <v>0</v>
      </c>
      <c r="AD292" s="289" t="n">
        <f aca="false">IF($L292=0,0,$L292*MAX(0,NETWORKDAYS(MAX($H292,ASOF,AD$72),MIN(MAX($I292,ASOF),AD$72+6),HOLIDAYS)))</f>
        <v>0</v>
      </c>
      <c r="AE292" s="289" t="n">
        <f aca="false">IF($L292=0,0,$L292*MAX(0,NETWORKDAYS(MAX($H292,ASOF,AE$72),MIN(MAX($I292,ASOF),AE$72+6),HOLIDAYS)))</f>
        <v>0</v>
      </c>
      <c r="AF292" s="289" t="n">
        <f aca="false">IF($L292=0,0,$L292*MAX(0,NETWORKDAYS(MAX($H292,ASOF,AF$72),MIN(MAX($I292,ASOF),AF$72+6),HOLIDAYS)))</f>
        <v>0</v>
      </c>
      <c r="AG292" s="289" t="n">
        <f aca="false">IF($L292=0,0,$L292*MAX(0,NETWORKDAYS(MAX($H292,ASOF,AG$72),MIN(MAX($I292,ASOF),AG$72+6),HOLIDAYS)))</f>
        <v>0</v>
      </c>
      <c r="AH292" s="289" t="n">
        <f aca="false">IF($L292=0,0,$L292*MAX(0,NETWORKDAYS(MAX($H292,ASOF,AH$72),MIN(MAX($I292,ASOF),AH$72+6),HOLIDAYS)))</f>
        <v>0</v>
      </c>
      <c r="AI292" s="289" t="n">
        <f aca="false">IF($L292=0,0,$L292*MAX(0,NETWORKDAYS(MAX($H292,ASOF,AI$72),MIN(MAX($I292,ASOF),AI$72+6),HOLIDAYS)))</f>
        <v>0</v>
      </c>
      <c r="AJ292" s="289" t="n">
        <f aca="false">IF($L292=0,0,$L292*MAX(0,NETWORKDAYS(MAX($H292,ASOF,AJ$72),MIN(MAX($I292,ASOF),AJ$72+6),HOLIDAYS)))</f>
        <v>0</v>
      </c>
      <c r="AK292" s="289" t="n">
        <f aca="false">IF($L292=0,0,$L292*MAX(0,NETWORKDAYS(MAX($H292,ASOF,AK$72),MIN(MAX($I292,ASOF),AK$72+6),HOLIDAYS)))</f>
        <v>0</v>
      </c>
      <c r="AL292" s="289" t="n">
        <f aca="false">IF($L292=0,0,$L292*MAX(0,NETWORKDAYS(MAX($H292,ASOF,AL$72),MIN(MAX($I292,ASOF),AL$72+6),HOLIDAYS)))</f>
        <v>0</v>
      </c>
      <c r="AM292" s="289" t="n">
        <f aca="false">IF($L292=0,0,$L292*MAX(0,NETWORKDAYS(MAX($H292,ASOF,AM$72),MIN(MAX($I292,ASOF),AM$72+6),HOLIDAYS)))</f>
        <v>0</v>
      </c>
      <c r="AN292" s="289" t="n">
        <f aca="false">IF($L292=0,0,$L292*MAX(0,NETWORKDAYS(MAX($H292,ASOF,AN$72),MIN(MAX($I292,ASOF),AN$72+6),HOLIDAYS)))</f>
        <v>0</v>
      </c>
      <c r="AO292" s="289" t="n">
        <f aca="false">IF($L292=0,0,$L292*MAX(0,NETWORKDAYS(MAX($H292,ASOF,AO$72),MIN(MAX($I292,ASOF),AO$72+6),HOLIDAYS)))</f>
        <v>0</v>
      </c>
      <c r="AP292" s="289" t="n">
        <f aca="false">IF($L292=0,0,$L292*MAX(0,NETWORKDAYS(MAX($H292,ASOF,AP$72),MIN(MAX($I292,ASOF),AP$72+6),HOLIDAYS)))</f>
        <v>0</v>
      </c>
      <c r="AQ292" s="289" t="n">
        <f aca="false">IF($L292=0,0,$L292*MAX(0,NETWORKDAYS(MAX($H292,ASOF,AQ$72),MIN(MAX($I292,ASOF),AQ$72+6),HOLIDAYS)))</f>
        <v>0</v>
      </c>
      <c r="AR292" s="289" t="n">
        <f aca="false">IF($L292=0,0,$L292*MAX(0,NETWORKDAYS(MAX($H292,ASOF,AR$72),MIN(MAX($I292,ASOF),AR$72+6),HOLIDAYS)))</f>
        <v>0</v>
      </c>
    </row>
    <row r="293" customFormat="false" ht="15" hidden="false" customHeight="false" outlineLevel="1" collapsed="false">
      <c r="A293" s="282" t="s">
        <v>114</v>
      </c>
      <c r="B293" s="283" t="s">
        <v>116</v>
      </c>
      <c r="C293" s="284" t="s">
        <v>2363</v>
      </c>
      <c r="D293" s="284" t="s">
        <v>2290</v>
      </c>
      <c r="E293" s="285" t="n">
        <v>1</v>
      </c>
      <c r="F293" s="290" t="s">
        <v>35</v>
      </c>
      <c r="G293" s="285" t="n">
        <f aca="false">IF(IFERROR(INDEX(INVS_TYPE,MATCH("P9-019",INVS_ID,0)),"")="สร้างใหม่ (E09)",$F$9*$H$9,0)</f>
        <v>24</v>
      </c>
      <c r="H293" s="286" t="n">
        <f aca="false">IF(ISNUMBER('P9-019'!$N$85),'P9-019'!$N$85,"")</f>
        <v>46343</v>
      </c>
      <c r="I293" s="286" t="n">
        <f aca="false">IF(ISNUMBER('P9-019'!$O$85),'P9-019'!$O$85,"")</f>
        <v>46346</v>
      </c>
      <c r="J293" s="287" t="n">
        <f aca="false">IF(OR(H293="",I293="",N293&gt;=1),0,MAX(1,NETWORKDAYS(MAX(H293,ASOF),MAX(I293,ASOF),HOLIDAYS)))</f>
        <v>4</v>
      </c>
      <c r="K293" s="287" t="n">
        <f aca="false">IF(L293=0,0,ROUNDUP(L293/$F$9,0))</f>
        <v>2</v>
      </c>
      <c r="L293" s="285" t="n">
        <f aca="false">IF(J293=0,0,G293*(1-N293)/J293)</f>
        <v>6</v>
      </c>
      <c r="M293" s="283" t="s">
        <v>2288</v>
      </c>
      <c r="N293" s="288" t="n">
        <f aca="false">IFERROR(MIN(1,'P9-019'!$V$85)+0,0)</f>
        <v>0</v>
      </c>
      <c r="O293" s="289" t="n">
        <f aca="false">IF($L293=0,0,$L293*MAX(0,NETWORKDAYS(MAX($H293,ASOF,O$72),MIN(MAX($I293,ASOF),O$72+6),HOLIDAYS)))</f>
        <v>0</v>
      </c>
      <c r="P293" s="289" t="n">
        <f aca="false">IF($L293=0,0,$L293*MAX(0,NETWORKDAYS(MAX($H293,ASOF,P$72),MIN(MAX($I293,ASOF),P$72+6),HOLIDAYS)))</f>
        <v>0</v>
      </c>
      <c r="Q293" s="289" t="n">
        <f aca="false">IF($L293=0,0,$L293*MAX(0,NETWORKDAYS(MAX($H293,ASOF,Q$72),MIN(MAX($I293,ASOF),Q$72+6),HOLIDAYS)))</f>
        <v>24</v>
      </c>
      <c r="R293" s="289" t="n">
        <f aca="false">IF($L293=0,0,$L293*MAX(0,NETWORKDAYS(MAX($H293,ASOF,R$72),MIN(MAX($I293,ASOF),R$72+6),HOLIDAYS)))</f>
        <v>0</v>
      </c>
      <c r="S293" s="289" t="n">
        <f aca="false">IF($L293=0,0,$L293*MAX(0,NETWORKDAYS(MAX($H293,ASOF,S$72),MIN(MAX($I293,ASOF),S$72+6),HOLIDAYS)))</f>
        <v>0</v>
      </c>
      <c r="T293" s="289" t="n">
        <f aca="false">IF($L293=0,0,$L293*MAX(0,NETWORKDAYS(MAX($H293,ASOF,T$72),MIN(MAX($I293,ASOF),T$72+6),HOLIDAYS)))</f>
        <v>0</v>
      </c>
      <c r="U293" s="289" t="n">
        <f aca="false">IF($L293=0,0,$L293*MAX(0,NETWORKDAYS(MAX($H293,ASOF,U$72),MIN(MAX($I293,ASOF),U$72+6),HOLIDAYS)))</f>
        <v>0</v>
      </c>
      <c r="V293" s="289" t="n">
        <f aca="false">IF($L293=0,0,$L293*MAX(0,NETWORKDAYS(MAX($H293,ASOF,V$72),MIN(MAX($I293,ASOF),V$72+6),HOLIDAYS)))</f>
        <v>0</v>
      </c>
      <c r="W293" s="289" t="n">
        <f aca="false">IF($L293=0,0,$L293*MAX(0,NETWORKDAYS(MAX($H293,ASOF,W$72),MIN(MAX($I293,ASOF),W$72+6),HOLIDAYS)))</f>
        <v>0</v>
      </c>
      <c r="X293" s="289" t="n">
        <f aca="false">IF($L293=0,0,$L293*MAX(0,NETWORKDAYS(MAX($H293,ASOF,X$72),MIN(MAX($I293,ASOF),X$72+6),HOLIDAYS)))</f>
        <v>0</v>
      </c>
      <c r="Y293" s="289" t="n">
        <f aca="false">IF($L293=0,0,$L293*MAX(0,NETWORKDAYS(MAX($H293,ASOF,Y$72),MIN(MAX($I293,ASOF),Y$72+6),HOLIDAYS)))</f>
        <v>0</v>
      </c>
      <c r="Z293" s="289" t="n">
        <f aca="false">IF($L293=0,0,$L293*MAX(0,NETWORKDAYS(MAX($H293,ASOF,Z$72),MIN(MAX($I293,ASOF),Z$72+6),HOLIDAYS)))</f>
        <v>0</v>
      </c>
      <c r="AA293" s="289" t="n">
        <f aca="false">IF($L293=0,0,$L293*MAX(0,NETWORKDAYS(MAX($H293,ASOF,AA$72),MIN(MAX($I293,ASOF),AA$72+6),HOLIDAYS)))</f>
        <v>0</v>
      </c>
      <c r="AB293" s="289" t="n">
        <f aca="false">IF($L293=0,0,$L293*MAX(0,NETWORKDAYS(MAX($H293,ASOF,AB$72),MIN(MAX($I293,ASOF),AB$72+6),HOLIDAYS)))</f>
        <v>0</v>
      </c>
      <c r="AC293" s="289" t="n">
        <f aca="false">IF($L293=0,0,$L293*MAX(0,NETWORKDAYS(MAX($H293,ASOF,AC$72),MIN(MAX($I293,ASOF),AC$72+6),HOLIDAYS)))</f>
        <v>0</v>
      </c>
      <c r="AD293" s="289" t="n">
        <f aca="false">IF($L293=0,0,$L293*MAX(0,NETWORKDAYS(MAX($H293,ASOF,AD$72),MIN(MAX($I293,ASOF),AD$72+6),HOLIDAYS)))</f>
        <v>0</v>
      </c>
      <c r="AE293" s="289" t="n">
        <f aca="false">IF($L293=0,0,$L293*MAX(0,NETWORKDAYS(MAX($H293,ASOF,AE$72),MIN(MAX($I293,ASOF),AE$72+6),HOLIDAYS)))</f>
        <v>0</v>
      </c>
      <c r="AF293" s="289" t="n">
        <f aca="false">IF($L293=0,0,$L293*MAX(0,NETWORKDAYS(MAX($H293,ASOF,AF$72),MIN(MAX($I293,ASOF),AF$72+6),HOLIDAYS)))</f>
        <v>0</v>
      </c>
      <c r="AG293" s="289" t="n">
        <f aca="false">IF($L293=0,0,$L293*MAX(0,NETWORKDAYS(MAX($H293,ASOF,AG$72),MIN(MAX($I293,ASOF),AG$72+6),HOLIDAYS)))</f>
        <v>0</v>
      </c>
      <c r="AH293" s="289" t="n">
        <f aca="false">IF($L293=0,0,$L293*MAX(0,NETWORKDAYS(MAX($H293,ASOF,AH$72),MIN(MAX($I293,ASOF),AH$72+6),HOLIDAYS)))</f>
        <v>0</v>
      </c>
      <c r="AI293" s="289" t="n">
        <f aca="false">IF($L293=0,0,$L293*MAX(0,NETWORKDAYS(MAX($H293,ASOF,AI$72),MIN(MAX($I293,ASOF),AI$72+6),HOLIDAYS)))</f>
        <v>0</v>
      </c>
      <c r="AJ293" s="289" t="n">
        <f aca="false">IF($L293=0,0,$L293*MAX(0,NETWORKDAYS(MAX($H293,ASOF,AJ$72),MIN(MAX($I293,ASOF),AJ$72+6),HOLIDAYS)))</f>
        <v>0</v>
      </c>
      <c r="AK293" s="289" t="n">
        <f aca="false">IF($L293=0,0,$L293*MAX(0,NETWORKDAYS(MAX($H293,ASOF,AK$72),MIN(MAX($I293,ASOF),AK$72+6),HOLIDAYS)))</f>
        <v>0</v>
      </c>
      <c r="AL293" s="289" t="n">
        <f aca="false">IF($L293=0,0,$L293*MAX(0,NETWORKDAYS(MAX($H293,ASOF,AL$72),MIN(MAX($I293,ASOF),AL$72+6),HOLIDAYS)))</f>
        <v>0</v>
      </c>
      <c r="AM293" s="289" t="n">
        <f aca="false">IF($L293=0,0,$L293*MAX(0,NETWORKDAYS(MAX($H293,ASOF,AM$72),MIN(MAX($I293,ASOF),AM$72+6),HOLIDAYS)))</f>
        <v>0</v>
      </c>
      <c r="AN293" s="289" t="n">
        <f aca="false">IF($L293=0,0,$L293*MAX(0,NETWORKDAYS(MAX($H293,ASOF,AN$72),MIN(MAX($I293,ASOF),AN$72+6),HOLIDAYS)))</f>
        <v>0</v>
      </c>
      <c r="AO293" s="289" t="n">
        <f aca="false">IF($L293=0,0,$L293*MAX(0,NETWORKDAYS(MAX($H293,ASOF,AO$72),MIN(MAX($I293,ASOF),AO$72+6),HOLIDAYS)))</f>
        <v>0</v>
      </c>
      <c r="AP293" s="289" t="n">
        <f aca="false">IF($L293=0,0,$L293*MAX(0,NETWORKDAYS(MAX($H293,ASOF,AP$72),MIN(MAX($I293,ASOF),AP$72+6),HOLIDAYS)))</f>
        <v>0</v>
      </c>
      <c r="AQ293" s="289" t="n">
        <f aca="false">IF($L293=0,0,$L293*MAX(0,NETWORKDAYS(MAX($H293,ASOF,AQ$72),MIN(MAX($I293,ASOF),AQ$72+6),HOLIDAYS)))</f>
        <v>0</v>
      </c>
      <c r="AR293" s="289" t="n">
        <f aca="false">IF($L293=0,0,$L293*MAX(0,NETWORKDAYS(MAX($H293,ASOF,AR$72),MIN(MAX($I293,ASOF),AR$72+6),HOLIDAYS)))</f>
        <v>0</v>
      </c>
    </row>
    <row r="294" customFormat="false" ht="15" hidden="false" customHeight="false" outlineLevel="1" collapsed="false">
      <c r="A294" s="282" t="s">
        <v>114</v>
      </c>
      <c r="B294" s="283" t="s">
        <v>116</v>
      </c>
      <c r="C294" s="284" t="s">
        <v>2364</v>
      </c>
      <c r="D294" s="284" t="s">
        <v>2284</v>
      </c>
      <c r="E294" s="285" t="n">
        <f aca="false">IFERROR(INDEX(INVS_N,MATCH("P9-019",INVS_ID,0)),1)</f>
        <v>1</v>
      </c>
      <c r="F294" s="290" t="s">
        <v>2365</v>
      </c>
      <c r="G294" s="285" t="n">
        <f aca="false">$F$10*(E294/$G$10+$H$10)</f>
        <v>3</v>
      </c>
      <c r="H294" s="286" t="n">
        <f aca="false">IF(ISNUMBER('P9-019'!$N$85),'P9-019'!$N$85,"")</f>
        <v>46343</v>
      </c>
      <c r="I294" s="286" t="n">
        <f aca="false">IF(ISNUMBER('P9-019'!$O$85),'P9-019'!$O$85,"")</f>
        <v>46346</v>
      </c>
      <c r="J294" s="287" t="n">
        <f aca="false">IF(OR(H294="",I294="",N294&gt;=1),0,MAX(1,NETWORKDAYS(MAX(H294,ASOF),MAX(I294,ASOF),HOLIDAYS)))</f>
        <v>4</v>
      </c>
      <c r="K294" s="287" t="n">
        <f aca="false">IF(L294=0,0,ROUNDUP(L294/$F$10,0))</f>
        <v>1</v>
      </c>
      <c r="L294" s="285" t="n">
        <f aca="false">IF(J294=0,0,G294*(1-N294)/J294)</f>
        <v>0.75</v>
      </c>
      <c r="M294" s="283" t="s">
        <v>2293</v>
      </c>
      <c r="N294" s="288" t="n">
        <f aca="false">IFERROR(MIN(1,'P9-019'!$V$85)+0,0)</f>
        <v>0</v>
      </c>
      <c r="O294" s="289" t="n">
        <f aca="false">IF($L294=0,0,$L294*MAX(0,NETWORKDAYS(MAX($H294,ASOF,O$72),MIN(MAX($I294,ASOF),O$72+6),HOLIDAYS)))</f>
        <v>0</v>
      </c>
      <c r="P294" s="289" t="n">
        <f aca="false">IF($L294=0,0,$L294*MAX(0,NETWORKDAYS(MAX($H294,ASOF,P$72),MIN(MAX($I294,ASOF),P$72+6),HOLIDAYS)))</f>
        <v>0</v>
      </c>
      <c r="Q294" s="289" t="n">
        <f aca="false">IF($L294=0,0,$L294*MAX(0,NETWORKDAYS(MAX($H294,ASOF,Q$72),MIN(MAX($I294,ASOF),Q$72+6),HOLIDAYS)))</f>
        <v>3</v>
      </c>
      <c r="R294" s="289" t="n">
        <f aca="false">IF($L294=0,0,$L294*MAX(0,NETWORKDAYS(MAX($H294,ASOF,R$72),MIN(MAX($I294,ASOF),R$72+6),HOLIDAYS)))</f>
        <v>0</v>
      </c>
      <c r="S294" s="289" t="n">
        <f aca="false">IF($L294=0,0,$L294*MAX(0,NETWORKDAYS(MAX($H294,ASOF,S$72),MIN(MAX($I294,ASOF),S$72+6),HOLIDAYS)))</f>
        <v>0</v>
      </c>
      <c r="T294" s="289" t="n">
        <f aca="false">IF($L294=0,0,$L294*MAX(0,NETWORKDAYS(MAX($H294,ASOF,T$72),MIN(MAX($I294,ASOF),T$72+6),HOLIDAYS)))</f>
        <v>0</v>
      </c>
      <c r="U294" s="289" t="n">
        <f aca="false">IF($L294=0,0,$L294*MAX(0,NETWORKDAYS(MAX($H294,ASOF,U$72),MIN(MAX($I294,ASOF),U$72+6),HOLIDAYS)))</f>
        <v>0</v>
      </c>
      <c r="V294" s="289" t="n">
        <f aca="false">IF($L294=0,0,$L294*MAX(0,NETWORKDAYS(MAX($H294,ASOF,V$72),MIN(MAX($I294,ASOF),V$72+6),HOLIDAYS)))</f>
        <v>0</v>
      </c>
      <c r="W294" s="289" t="n">
        <f aca="false">IF($L294=0,0,$L294*MAX(0,NETWORKDAYS(MAX($H294,ASOF,W$72),MIN(MAX($I294,ASOF),W$72+6),HOLIDAYS)))</f>
        <v>0</v>
      </c>
      <c r="X294" s="289" t="n">
        <f aca="false">IF($L294=0,0,$L294*MAX(0,NETWORKDAYS(MAX($H294,ASOF,X$72),MIN(MAX($I294,ASOF),X$72+6),HOLIDAYS)))</f>
        <v>0</v>
      </c>
      <c r="Y294" s="289" t="n">
        <f aca="false">IF($L294=0,0,$L294*MAX(0,NETWORKDAYS(MAX($H294,ASOF,Y$72),MIN(MAX($I294,ASOF),Y$72+6),HOLIDAYS)))</f>
        <v>0</v>
      </c>
      <c r="Z294" s="289" t="n">
        <f aca="false">IF($L294=0,0,$L294*MAX(0,NETWORKDAYS(MAX($H294,ASOF,Z$72),MIN(MAX($I294,ASOF),Z$72+6),HOLIDAYS)))</f>
        <v>0</v>
      </c>
      <c r="AA294" s="289" t="n">
        <f aca="false">IF($L294=0,0,$L294*MAX(0,NETWORKDAYS(MAX($H294,ASOF,AA$72),MIN(MAX($I294,ASOF),AA$72+6),HOLIDAYS)))</f>
        <v>0</v>
      </c>
      <c r="AB294" s="289" t="n">
        <f aca="false">IF($L294=0,0,$L294*MAX(0,NETWORKDAYS(MAX($H294,ASOF,AB$72),MIN(MAX($I294,ASOF),AB$72+6),HOLIDAYS)))</f>
        <v>0</v>
      </c>
      <c r="AC294" s="289" t="n">
        <f aca="false">IF($L294=0,0,$L294*MAX(0,NETWORKDAYS(MAX($H294,ASOF,AC$72),MIN(MAX($I294,ASOF),AC$72+6),HOLIDAYS)))</f>
        <v>0</v>
      </c>
      <c r="AD294" s="289" t="n">
        <f aca="false">IF($L294=0,0,$L294*MAX(0,NETWORKDAYS(MAX($H294,ASOF,AD$72),MIN(MAX($I294,ASOF),AD$72+6),HOLIDAYS)))</f>
        <v>0</v>
      </c>
      <c r="AE294" s="289" t="n">
        <f aca="false">IF($L294=0,0,$L294*MAX(0,NETWORKDAYS(MAX($H294,ASOF,AE$72),MIN(MAX($I294,ASOF),AE$72+6),HOLIDAYS)))</f>
        <v>0</v>
      </c>
      <c r="AF294" s="289" t="n">
        <f aca="false">IF($L294=0,0,$L294*MAX(0,NETWORKDAYS(MAX($H294,ASOF,AF$72),MIN(MAX($I294,ASOF),AF$72+6),HOLIDAYS)))</f>
        <v>0</v>
      </c>
      <c r="AG294" s="289" t="n">
        <f aca="false">IF($L294=0,0,$L294*MAX(0,NETWORKDAYS(MAX($H294,ASOF,AG$72),MIN(MAX($I294,ASOF),AG$72+6),HOLIDAYS)))</f>
        <v>0</v>
      </c>
      <c r="AH294" s="289" t="n">
        <f aca="false">IF($L294=0,0,$L294*MAX(0,NETWORKDAYS(MAX($H294,ASOF,AH$72),MIN(MAX($I294,ASOF),AH$72+6),HOLIDAYS)))</f>
        <v>0</v>
      </c>
      <c r="AI294" s="289" t="n">
        <f aca="false">IF($L294=0,0,$L294*MAX(0,NETWORKDAYS(MAX($H294,ASOF,AI$72),MIN(MAX($I294,ASOF),AI$72+6),HOLIDAYS)))</f>
        <v>0</v>
      </c>
      <c r="AJ294" s="289" t="n">
        <f aca="false">IF($L294=0,0,$L294*MAX(0,NETWORKDAYS(MAX($H294,ASOF,AJ$72),MIN(MAX($I294,ASOF),AJ$72+6),HOLIDAYS)))</f>
        <v>0</v>
      </c>
      <c r="AK294" s="289" t="n">
        <f aca="false">IF($L294=0,0,$L294*MAX(0,NETWORKDAYS(MAX($H294,ASOF,AK$72),MIN(MAX($I294,ASOF),AK$72+6),HOLIDAYS)))</f>
        <v>0</v>
      </c>
      <c r="AL294" s="289" t="n">
        <f aca="false">IF($L294=0,0,$L294*MAX(0,NETWORKDAYS(MAX($H294,ASOF,AL$72),MIN(MAX($I294,ASOF),AL$72+6),HOLIDAYS)))</f>
        <v>0</v>
      </c>
      <c r="AM294" s="289" t="n">
        <f aca="false">IF($L294=0,0,$L294*MAX(0,NETWORKDAYS(MAX($H294,ASOF,AM$72),MIN(MAX($I294,ASOF),AM$72+6),HOLIDAYS)))</f>
        <v>0</v>
      </c>
      <c r="AN294" s="289" t="n">
        <f aca="false">IF($L294=0,0,$L294*MAX(0,NETWORKDAYS(MAX($H294,ASOF,AN$72),MIN(MAX($I294,ASOF),AN$72+6),HOLIDAYS)))</f>
        <v>0</v>
      </c>
      <c r="AO294" s="289" t="n">
        <f aca="false">IF($L294=0,0,$L294*MAX(0,NETWORKDAYS(MAX($H294,ASOF,AO$72),MIN(MAX($I294,ASOF),AO$72+6),HOLIDAYS)))</f>
        <v>0</v>
      </c>
      <c r="AP294" s="289" t="n">
        <f aca="false">IF($L294=0,0,$L294*MAX(0,NETWORKDAYS(MAX($H294,ASOF,AP$72),MIN(MAX($I294,ASOF),AP$72+6),HOLIDAYS)))</f>
        <v>0</v>
      </c>
      <c r="AQ294" s="289" t="n">
        <f aca="false">IF($L294=0,0,$L294*MAX(0,NETWORKDAYS(MAX($H294,ASOF,AQ$72),MIN(MAX($I294,ASOF),AQ$72+6),HOLIDAYS)))</f>
        <v>0</v>
      </c>
      <c r="AR294" s="289" t="n">
        <f aca="false">IF($L294=0,0,$L294*MAX(0,NETWORKDAYS(MAX($H294,ASOF,AR$72),MIN(MAX($I294,ASOF),AR$72+6),HOLIDAYS)))</f>
        <v>0</v>
      </c>
    </row>
    <row r="295" customFormat="false" ht="15" hidden="false" customHeight="false" outlineLevel="1" collapsed="false">
      <c r="A295" s="282" t="s">
        <v>114</v>
      </c>
      <c r="B295" s="283" t="s">
        <v>116</v>
      </c>
      <c r="C295" s="284" t="s">
        <v>2366</v>
      </c>
      <c r="D295" s="284" t="s">
        <v>2284</v>
      </c>
      <c r="E295" s="285" t="n">
        <v>1</v>
      </c>
      <c r="F295" s="290" t="s">
        <v>35</v>
      </c>
      <c r="G295" s="285" t="n">
        <f aca="false">$F$11*$H$11</f>
        <v>16</v>
      </c>
      <c r="H295" s="286" t="n">
        <f aca="false">IF(ISNUMBER('P9-019'!$N$90),'P9-019'!$N$90,"")</f>
        <v>46344</v>
      </c>
      <c r="I295" s="286" t="n">
        <f aca="false">IF(ISNUMBER('P9-019'!$O$90),'P9-019'!$O$90,"")</f>
        <v>46347</v>
      </c>
      <c r="J295" s="287" t="n">
        <f aca="false">IF(OR(H295="",I295="",N295&gt;=1),0,MAX(1,NETWORKDAYS(MAX(H295,ASOF),MAX(I295,ASOF),HOLIDAYS)))</f>
        <v>3</v>
      </c>
      <c r="K295" s="287" t="n">
        <f aca="false">IF(L295=0,0,ROUNDUP(L295/$F$11,0))</f>
        <v>2</v>
      </c>
      <c r="L295" s="285" t="n">
        <f aca="false">IF(J295=0,0,G295*(1-N295)/J295)</f>
        <v>5.33333333333333</v>
      </c>
      <c r="M295" s="283" t="s">
        <v>1113</v>
      </c>
      <c r="N295" s="288" t="n">
        <f aca="false">IFERROR(MIN(1,'P9-019'!$V$90)+0,0)</f>
        <v>0</v>
      </c>
      <c r="O295" s="289" t="n">
        <f aca="false">IF($L295=0,0,$L295*MAX(0,NETWORKDAYS(MAX($H295,ASOF,O$72),MIN(MAX($I295,ASOF),O$72+6),HOLIDAYS)))</f>
        <v>0</v>
      </c>
      <c r="P295" s="289" t="n">
        <f aca="false">IF($L295=0,0,$L295*MAX(0,NETWORKDAYS(MAX($H295,ASOF,P$72),MIN(MAX($I295,ASOF),P$72+6),HOLIDAYS)))</f>
        <v>0</v>
      </c>
      <c r="Q295" s="289" t="n">
        <f aca="false">IF($L295=0,0,$L295*MAX(0,NETWORKDAYS(MAX($H295,ASOF,Q$72),MIN(MAX($I295,ASOF),Q$72+6),HOLIDAYS)))</f>
        <v>16</v>
      </c>
      <c r="R295" s="289" t="n">
        <f aca="false">IF($L295=0,0,$L295*MAX(0,NETWORKDAYS(MAX($H295,ASOF,R$72),MIN(MAX($I295,ASOF),R$72+6),HOLIDAYS)))</f>
        <v>0</v>
      </c>
      <c r="S295" s="289" t="n">
        <f aca="false">IF($L295=0,0,$L295*MAX(0,NETWORKDAYS(MAX($H295,ASOF,S$72),MIN(MAX($I295,ASOF),S$72+6),HOLIDAYS)))</f>
        <v>0</v>
      </c>
      <c r="T295" s="289" t="n">
        <f aca="false">IF($L295=0,0,$L295*MAX(0,NETWORKDAYS(MAX($H295,ASOF,T$72),MIN(MAX($I295,ASOF),T$72+6),HOLIDAYS)))</f>
        <v>0</v>
      </c>
      <c r="U295" s="289" t="n">
        <f aca="false">IF($L295=0,0,$L295*MAX(0,NETWORKDAYS(MAX($H295,ASOF,U$72),MIN(MAX($I295,ASOF),U$72+6),HOLIDAYS)))</f>
        <v>0</v>
      </c>
      <c r="V295" s="289" t="n">
        <f aca="false">IF($L295=0,0,$L295*MAX(0,NETWORKDAYS(MAX($H295,ASOF,V$72),MIN(MAX($I295,ASOF),V$72+6),HOLIDAYS)))</f>
        <v>0</v>
      </c>
      <c r="W295" s="289" t="n">
        <f aca="false">IF($L295=0,0,$L295*MAX(0,NETWORKDAYS(MAX($H295,ASOF,W$72),MIN(MAX($I295,ASOF),W$72+6),HOLIDAYS)))</f>
        <v>0</v>
      </c>
      <c r="X295" s="289" t="n">
        <f aca="false">IF($L295=0,0,$L295*MAX(0,NETWORKDAYS(MAX($H295,ASOF,X$72),MIN(MAX($I295,ASOF),X$72+6),HOLIDAYS)))</f>
        <v>0</v>
      </c>
      <c r="Y295" s="289" t="n">
        <f aca="false">IF($L295=0,0,$L295*MAX(0,NETWORKDAYS(MAX($H295,ASOF,Y$72),MIN(MAX($I295,ASOF),Y$72+6),HOLIDAYS)))</f>
        <v>0</v>
      </c>
      <c r="Z295" s="289" t="n">
        <f aca="false">IF($L295=0,0,$L295*MAX(0,NETWORKDAYS(MAX($H295,ASOF,Z$72),MIN(MAX($I295,ASOF),Z$72+6),HOLIDAYS)))</f>
        <v>0</v>
      </c>
      <c r="AA295" s="289" t="n">
        <f aca="false">IF($L295=0,0,$L295*MAX(0,NETWORKDAYS(MAX($H295,ASOF,AA$72),MIN(MAX($I295,ASOF),AA$72+6),HOLIDAYS)))</f>
        <v>0</v>
      </c>
      <c r="AB295" s="289" t="n">
        <f aca="false">IF($L295=0,0,$L295*MAX(0,NETWORKDAYS(MAX($H295,ASOF,AB$72),MIN(MAX($I295,ASOF),AB$72+6),HOLIDAYS)))</f>
        <v>0</v>
      </c>
      <c r="AC295" s="289" t="n">
        <f aca="false">IF($L295=0,0,$L295*MAX(0,NETWORKDAYS(MAX($H295,ASOF,AC$72),MIN(MAX($I295,ASOF),AC$72+6),HOLIDAYS)))</f>
        <v>0</v>
      </c>
      <c r="AD295" s="289" t="n">
        <f aca="false">IF($L295=0,0,$L295*MAX(0,NETWORKDAYS(MAX($H295,ASOF,AD$72),MIN(MAX($I295,ASOF),AD$72+6),HOLIDAYS)))</f>
        <v>0</v>
      </c>
      <c r="AE295" s="289" t="n">
        <f aca="false">IF($L295=0,0,$L295*MAX(0,NETWORKDAYS(MAX($H295,ASOF,AE$72),MIN(MAX($I295,ASOF),AE$72+6),HOLIDAYS)))</f>
        <v>0</v>
      </c>
      <c r="AF295" s="289" t="n">
        <f aca="false">IF($L295=0,0,$L295*MAX(0,NETWORKDAYS(MAX($H295,ASOF,AF$72),MIN(MAX($I295,ASOF),AF$72+6),HOLIDAYS)))</f>
        <v>0</v>
      </c>
      <c r="AG295" s="289" t="n">
        <f aca="false">IF($L295=0,0,$L295*MAX(0,NETWORKDAYS(MAX($H295,ASOF,AG$72),MIN(MAX($I295,ASOF),AG$72+6),HOLIDAYS)))</f>
        <v>0</v>
      </c>
      <c r="AH295" s="289" t="n">
        <f aca="false">IF($L295=0,0,$L295*MAX(0,NETWORKDAYS(MAX($H295,ASOF,AH$72),MIN(MAX($I295,ASOF),AH$72+6),HOLIDAYS)))</f>
        <v>0</v>
      </c>
      <c r="AI295" s="289" t="n">
        <f aca="false">IF($L295=0,0,$L295*MAX(0,NETWORKDAYS(MAX($H295,ASOF,AI$72),MIN(MAX($I295,ASOF),AI$72+6),HOLIDAYS)))</f>
        <v>0</v>
      </c>
      <c r="AJ295" s="289" t="n">
        <f aca="false">IF($L295=0,0,$L295*MAX(0,NETWORKDAYS(MAX($H295,ASOF,AJ$72),MIN(MAX($I295,ASOF),AJ$72+6),HOLIDAYS)))</f>
        <v>0</v>
      </c>
      <c r="AK295" s="289" t="n">
        <f aca="false">IF($L295=0,0,$L295*MAX(0,NETWORKDAYS(MAX($H295,ASOF,AK$72),MIN(MAX($I295,ASOF),AK$72+6),HOLIDAYS)))</f>
        <v>0</v>
      </c>
      <c r="AL295" s="289" t="n">
        <f aca="false">IF($L295=0,0,$L295*MAX(0,NETWORKDAYS(MAX($H295,ASOF,AL$72),MIN(MAX($I295,ASOF),AL$72+6),HOLIDAYS)))</f>
        <v>0</v>
      </c>
      <c r="AM295" s="289" t="n">
        <f aca="false">IF($L295=0,0,$L295*MAX(0,NETWORKDAYS(MAX($H295,ASOF,AM$72),MIN(MAX($I295,ASOF),AM$72+6),HOLIDAYS)))</f>
        <v>0</v>
      </c>
      <c r="AN295" s="289" t="n">
        <f aca="false">IF($L295=0,0,$L295*MAX(0,NETWORKDAYS(MAX($H295,ASOF,AN$72),MIN(MAX($I295,ASOF),AN$72+6),HOLIDAYS)))</f>
        <v>0</v>
      </c>
      <c r="AO295" s="289" t="n">
        <f aca="false">IF($L295=0,0,$L295*MAX(0,NETWORKDAYS(MAX($H295,ASOF,AO$72),MIN(MAX($I295,ASOF),AO$72+6),HOLIDAYS)))</f>
        <v>0</v>
      </c>
      <c r="AP295" s="289" t="n">
        <f aca="false">IF($L295=0,0,$L295*MAX(0,NETWORKDAYS(MAX($H295,ASOF,AP$72),MIN(MAX($I295,ASOF),AP$72+6),HOLIDAYS)))</f>
        <v>0</v>
      </c>
      <c r="AQ295" s="289" t="n">
        <f aca="false">IF($L295=0,0,$L295*MAX(0,NETWORKDAYS(MAX($H295,ASOF,AQ$72),MIN(MAX($I295,ASOF),AQ$72+6),HOLIDAYS)))</f>
        <v>0</v>
      </c>
      <c r="AR295" s="289" t="n">
        <f aca="false">IF($L295=0,0,$L295*MAX(0,NETWORKDAYS(MAX($H295,ASOF,AR$72),MIN(MAX($I295,ASOF),AR$72+6),HOLIDAYS)))</f>
        <v>0</v>
      </c>
    </row>
    <row r="296" customFormat="false" ht="15" hidden="false" customHeight="false" outlineLevel="1" collapsed="false">
      <c r="A296" s="282" t="s">
        <v>114</v>
      </c>
      <c r="B296" s="283" t="s">
        <v>116</v>
      </c>
      <c r="C296" s="284" t="s">
        <v>2367</v>
      </c>
      <c r="D296" s="284" t="s">
        <v>2284</v>
      </c>
      <c r="E296" s="285" t="n">
        <v>1</v>
      </c>
      <c r="F296" s="290" t="s">
        <v>35</v>
      </c>
      <c r="G296" s="285" t="n">
        <f aca="false">$F$12*$H$12</f>
        <v>4</v>
      </c>
      <c r="H296" s="286" t="n">
        <f aca="false">IF(ISNUMBER('P9-019'!$N$96),'P9-019'!$N$96,"")</f>
        <v>46345</v>
      </c>
      <c r="I296" s="286" t="n">
        <f aca="false">IF(ISNUMBER('P9-019'!$O$96),'P9-019'!$O$96,"")</f>
        <v>46347</v>
      </c>
      <c r="J296" s="287" t="n">
        <f aca="false">IF(OR(H296="",I296="",N296&gt;=1),0,MAX(1,NETWORKDAYS(MAX(H296,ASOF),MAX(I296,ASOF),HOLIDAYS)))</f>
        <v>2</v>
      </c>
      <c r="K296" s="287" t="n">
        <f aca="false">IF(L296=0,0,ROUNDUP(L296/$F$12,0))</f>
        <v>1</v>
      </c>
      <c r="L296" s="285" t="n">
        <f aca="false">IF(J296=0,0,G296*(1-N296)/J296)</f>
        <v>2</v>
      </c>
      <c r="M296" s="283" t="s">
        <v>1147</v>
      </c>
      <c r="N296" s="288" t="n">
        <f aca="false">IFERROR(MIN(1,'P9-019'!$V$96)+0,0)</f>
        <v>0</v>
      </c>
      <c r="O296" s="289" t="n">
        <f aca="false">IF($L296=0,0,$L296*MAX(0,NETWORKDAYS(MAX($H296,ASOF,O$72),MIN(MAX($I296,ASOF),O$72+6),HOLIDAYS)))</f>
        <v>0</v>
      </c>
      <c r="P296" s="289" t="n">
        <f aca="false">IF($L296=0,0,$L296*MAX(0,NETWORKDAYS(MAX($H296,ASOF,P$72),MIN(MAX($I296,ASOF),P$72+6),HOLIDAYS)))</f>
        <v>0</v>
      </c>
      <c r="Q296" s="289" t="n">
        <f aca="false">IF($L296=0,0,$L296*MAX(0,NETWORKDAYS(MAX($H296,ASOF,Q$72),MIN(MAX($I296,ASOF),Q$72+6),HOLIDAYS)))</f>
        <v>4</v>
      </c>
      <c r="R296" s="289" t="n">
        <f aca="false">IF($L296=0,0,$L296*MAX(0,NETWORKDAYS(MAX($H296,ASOF,R$72),MIN(MAX($I296,ASOF),R$72+6),HOLIDAYS)))</f>
        <v>0</v>
      </c>
      <c r="S296" s="289" t="n">
        <f aca="false">IF($L296=0,0,$L296*MAX(0,NETWORKDAYS(MAX($H296,ASOF,S$72),MIN(MAX($I296,ASOF),S$72+6),HOLIDAYS)))</f>
        <v>0</v>
      </c>
      <c r="T296" s="289" t="n">
        <f aca="false">IF($L296=0,0,$L296*MAX(0,NETWORKDAYS(MAX($H296,ASOF,T$72),MIN(MAX($I296,ASOF),T$72+6),HOLIDAYS)))</f>
        <v>0</v>
      </c>
      <c r="U296" s="289" t="n">
        <f aca="false">IF($L296=0,0,$L296*MAX(0,NETWORKDAYS(MAX($H296,ASOF,U$72),MIN(MAX($I296,ASOF),U$72+6),HOLIDAYS)))</f>
        <v>0</v>
      </c>
      <c r="V296" s="289" t="n">
        <f aca="false">IF($L296=0,0,$L296*MAX(0,NETWORKDAYS(MAX($H296,ASOF,V$72),MIN(MAX($I296,ASOF),V$72+6),HOLIDAYS)))</f>
        <v>0</v>
      </c>
      <c r="W296" s="289" t="n">
        <f aca="false">IF($L296=0,0,$L296*MAX(0,NETWORKDAYS(MAX($H296,ASOF,W$72),MIN(MAX($I296,ASOF),W$72+6),HOLIDAYS)))</f>
        <v>0</v>
      </c>
      <c r="X296" s="289" t="n">
        <f aca="false">IF($L296=0,0,$L296*MAX(0,NETWORKDAYS(MAX($H296,ASOF,X$72),MIN(MAX($I296,ASOF),X$72+6),HOLIDAYS)))</f>
        <v>0</v>
      </c>
      <c r="Y296" s="289" t="n">
        <f aca="false">IF($L296=0,0,$L296*MAX(0,NETWORKDAYS(MAX($H296,ASOF,Y$72),MIN(MAX($I296,ASOF),Y$72+6),HOLIDAYS)))</f>
        <v>0</v>
      </c>
      <c r="Z296" s="289" t="n">
        <f aca="false">IF($L296=0,0,$L296*MAX(0,NETWORKDAYS(MAX($H296,ASOF,Z$72),MIN(MAX($I296,ASOF),Z$72+6),HOLIDAYS)))</f>
        <v>0</v>
      </c>
      <c r="AA296" s="289" t="n">
        <f aca="false">IF($L296=0,0,$L296*MAX(0,NETWORKDAYS(MAX($H296,ASOF,AA$72),MIN(MAX($I296,ASOF),AA$72+6),HOLIDAYS)))</f>
        <v>0</v>
      </c>
      <c r="AB296" s="289" t="n">
        <f aca="false">IF($L296=0,0,$L296*MAX(0,NETWORKDAYS(MAX($H296,ASOF,AB$72),MIN(MAX($I296,ASOF),AB$72+6),HOLIDAYS)))</f>
        <v>0</v>
      </c>
      <c r="AC296" s="289" t="n">
        <f aca="false">IF($L296=0,0,$L296*MAX(0,NETWORKDAYS(MAX($H296,ASOF,AC$72),MIN(MAX($I296,ASOF),AC$72+6),HOLIDAYS)))</f>
        <v>0</v>
      </c>
      <c r="AD296" s="289" t="n">
        <f aca="false">IF($L296=0,0,$L296*MAX(0,NETWORKDAYS(MAX($H296,ASOF,AD$72),MIN(MAX($I296,ASOF),AD$72+6),HOLIDAYS)))</f>
        <v>0</v>
      </c>
      <c r="AE296" s="289" t="n">
        <f aca="false">IF($L296=0,0,$L296*MAX(0,NETWORKDAYS(MAX($H296,ASOF,AE$72),MIN(MAX($I296,ASOF),AE$72+6),HOLIDAYS)))</f>
        <v>0</v>
      </c>
      <c r="AF296" s="289" t="n">
        <f aca="false">IF($L296=0,0,$L296*MAX(0,NETWORKDAYS(MAX($H296,ASOF,AF$72),MIN(MAX($I296,ASOF),AF$72+6),HOLIDAYS)))</f>
        <v>0</v>
      </c>
      <c r="AG296" s="289" t="n">
        <f aca="false">IF($L296=0,0,$L296*MAX(0,NETWORKDAYS(MAX($H296,ASOF,AG$72),MIN(MAX($I296,ASOF),AG$72+6),HOLIDAYS)))</f>
        <v>0</v>
      </c>
      <c r="AH296" s="289" t="n">
        <f aca="false">IF($L296=0,0,$L296*MAX(0,NETWORKDAYS(MAX($H296,ASOF,AH$72),MIN(MAX($I296,ASOF),AH$72+6),HOLIDAYS)))</f>
        <v>0</v>
      </c>
      <c r="AI296" s="289" t="n">
        <f aca="false">IF($L296=0,0,$L296*MAX(0,NETWORKDAYS(MAX($H296,ASOF,AI$72),MIN(MAX($I296,ASOF),AI$72+6),HOLIDAYS)))</f>
        <v>0</v>
      </c>
      <c r="AJ296" s="289" t="n">
        <f aca="false">IF($L296=0,0,$L296*MAX(0,NETWORKDAYS(MAX($H296,ASOF,AJ$72),MIN(MAX($I296,ASOF),AJ$72+6),HOLIDAYS)))</f>
        <v>0</v>
      </c>
      <c r="AK296" s="289" t="n">
        <f aca="false">IF($L296=0,0,$L296*MAX(0,NETWORKDAYS(MAX($H296,ASOF,AK$72),MIN(MAX($I296,ASOF),AK$72+6),HOLIDAYS)))</f>
        <v>0</v>
      </c>
      <c r="AL296" s="289" t="n">
        <f aca="false">IF($L296=0,0,$L296*MAX(0,NETWORKDAYS(MAX($H296,ASOF,AL$72),MIN(MAX($I296,ASOF),AL$72+6),HOLIDAYS)))</f>
        <v>0</v>
      </c>
      <c r="AM296" s="289" t="n">
        <f aca="false">IF($L296=0,0,$L296*MAX(0,NETWORKDAYS(MAX($H296,ASOF,AM$72),MIN(MAX($I296,ASOF),AM$72+6),HOLIDAYS)))</f>
        <v>0</v>
      </c>
      <c r="AN296" s="289" t="n">
        <f aca="false">IF($L296=0,0,$L296*MAX(0,NETWORKDAYS(MAX($H296,ASOF,AN$72),MIN(MAX($I296,ASOF),AN$72+6),HOLIDAYS)))</f>
        <v>0</v>
      </c>
      <c r="AO296" s="289" t="n">
        <f aca="false">IF($L296=0,0,$L296*MAX(0,NETWORKDAYS(MAX($H296,ASOF,AO$72),MIN(MAX($I296,ASOF),AO$72+6),HOLIDAYS)))</f>
        <v>0</v>
      </c>
      <c r="AP296" s="289" t="n">
        <f aca="false">IF($L296=0,0,$L296*MAX(0,NETWORKDAYS(MAX($H296,ASOF,AP$72),MIN(MAX($I296,ASOF),AP$72+6),HOLIDAYS)))</f>
        <v>0</v>
      </c>
      <c r="AQ296" s="289" t="n">
        <f aca="false">IF($L296=0,0,$L296*MAX(0,NETWORKDAYS(MAX($H296,ASOF,AQ$72),MIN(MAX($I296,ASOF),AQ$72+6),HOLIDAYS)))</f>
        <v>0</v>
      </c>
      <c r="AR296" s="289" t="n">
        <f aca="false">IF($L296=0,0,$L296*MAX(0,NETWORKDAYS(MAX($H296,ASOF,AR$72),MIN(MAX($I296,ASOF),AR$72+6),HOLIDAYS)))</f>
        <v>0</v>
      </c>
    </row>
    <row r="297" customFormat="false" ht="15" hidden="false" customHeight="false" outlineLevel="1" collapsed="false">
      <c r="A297" s="282" t="s">
        <v>114</v>
      </c>
      <c r="B297" s="283" t="s">
        <v>116</v>
      </c>
      <c r="C297" s="284" t="s">
        <v>2371</v>
      </c>
      <c r="D297" s="284" t="s">
        <v>2284</v>
      </c>
      <c r="E297" s="285" t="n">
        <v>1</v>
      </c>
      <c r="F297" s="290" t="s">
        <v>35</v>
      </c>
      <c r="G297" s="285" t="n">
        <f aca="false">$F$14*$H$14</f>
        <v>3</v>
      </c>
      <c r="H297" s="286" t="n">
        <f aca="false">IF(ISNUMBER('P9-019'!$N$100),'P9-019'!$N$100,"")</f>
        <v>46346</v>
      </c>
      <c r="I297" s="286" t="n">
        <f aca="false">IF(ISNUMBER('P9-019'!$O$100),'P9-019'!$O$100,"")</f>
        <v>46348</v>
      </c>
      <c r="J297" s="287" t="n">
        <f aca="false">IF(OR(H297="",I297="",N297&gt;=1),0,MAX(1,NETWORKDAYS(MAX(H297,ASOF),MAX(I297,ASOF),HOLIDAYS)))</f>
        <v>1</v>
      </c>
      <c r="K297" s="287" t="n">
        <f aca="false">IF(L297=0,0,ROUNDUP(L297/$F$14,0))</f>
        <v>2</v>
      </c>
      <c r="L297" s="285" t="n">
        <f aca="false">IF(J297=0,0,G297*(1-N297)/J297)</f>
        <v>3</v>
      </c>
      <c r="M297" s="283" t="s">
        <v>2304</v>
      </c>
      <c r="N297" s="288" t="n">
        <f aca="false">IFERROR(MIN(1,'P9-019'!$V$100)+0,0)</f>
        <v>0</v>
      </c>
      <c r="O297" s="289" t="n">
        <f aca="false">IF($L297=0,0,$L297*MAX(0,NETWORKDAYS(MAX($H297,ASOF,O$72),MIN(MAX($I297,ASOF),O$72+6),HOLIDAYS)))</f>
        <v>0</v>
      </c>
      <c r="P297" s="289" t="n">
        <f aca="false">IF($L297=0,0,$L297*MAX(0,NETWORKDAYS(MAX($H297,ASOF,P$72),MIN(MAX($I297,ASOF),P$72+6),HOLIDAYS)))</f>
        <v>0</v>
      </c>
      <c r="Q297" s="289" t="n">
        <f aca="false">IF($L297=0,0,$L297*MAX(0,NETWORKDAYS(MAX($H297,ASOF,Q$72),MIN(MAX($I297,ASOF),Q$72+6),HOLIDAYS)))</f>
        <v>3</v>
      </c>
      <c r="R297" s="289" t="n">
        <f aca="false">IF($L297=0,0,$L297*MAX(0,NETWORKDAYS(MAX($H297,ASOF,R$72),MIN(MAX($I297,ASOF),R$72+6),HOLIDAYS)))</f>
        <v>0</v>
      </c>
      <c r="S297" s="289" t="n">
        <f aca="false">IF($L297=0,0,$L297*MAX(0,NETWORKDAYS(MAX($H297,ASOF,S$72),MIN(MAX($I297,ASOF),S$72+6),HOLIDAYS)))</f>
        <v>0</v>
      </c>
      <c r="T297" s="289" t="n">
        <f aca="false">IF($L297=0,0,$L297*MAX(0,NETWORKDAYS(MAX($H297,ASOF,T$72),MIN(MAX($I297,ASOF),T$72+6),HOLIDAYS)))</f>
        <v>0</v>
      </c>
      <c r="U297" s="289" t="n">
        <f aca="false">IF($L297=0,0,$L297*MAX(0,NETWORKDAYS(MAX($H297,ASOF,U$72),MIN(MAX($I297,ASOF),U$72+6),HOLIDAYS)))</f>
        <v>0</v>
      </c>
      <c r="V297" s="289" t="n">
        <f aca="false">IF($L297=0,0,$L297*MAX(0,NETWORKDAYS(MAX($H297,ASOF,V$72),MIN(MAX($I297,ASOF),V$72+6),HOLIDAYS)))</f>
        <v>0</v>
      </c>
      <c r="W297" s="289" t="n">
        <f aca="false">IF($L297=0,0,$L297*MAX(0,NETWORKDAYS(MAX($H297,ASOF,W$72),MIN(MAX($I297,ASOF),W$72+6),HOLIDAYS)))</f>
        <v>0</v>
      </c>
      <c r="X297" s="289" t="n">
        <f aca="false">IF($L297=0,0,$L297*MAX(0,NETWORKDAYS(MAX($H297,ASOF,X$72),MIN(MAX($I297,ASOF),X$72+6),HOLIDAYS)))</f>
        <v>0</v>
      </c>
      <c r="Y297" s="289" t="n">
        <f aca="false">IF($L297=0,0,$L297*MAX(0,NETWORKDAYS(MAX($H297,ASOF,Y$72),MIN(MAX($I297,ASOF),Y$72+6),HOLIDAYS)))</f>
        <v>0</v>
      </c>
      <c r="Z297" s="289" t="n">
        <f aca="false">IF($L297=0,0,$L297*MAX(0,NETWORKDAYS(MAX($H297,ASOF,Z$72),MIN(MAX($I297,ASOF),Z$72+6),HOLIDAYS)))</f>
        <v>0</v>
      </c>
      <c r="AA297" s="289" t="n">
        <f aca="false">IF($L297=0,0,$L297*MAX(0,NETWORKDAYS(MAX($H297,ASOF,AA$72),MIN(MAX($I297,ASOF),AA$72+6),HOLIDAYS)))</f>
        <v>0</v>
      </c>
      <c r="AB297" s="289" t="n">
        <f aca="false">IF($L297=0,0,$L297*MAX(0,NETWORKDAYS(MAX($H297,ASOF,AB$72),MIN(MAX($I297,ASOF),AB$72+6),HOLIDAYS)))</f>
        <v>0</v>
      </c>
      <c r="AC297" s="289" t="n">
        <f aca="false">IF($L297=0,0,$L297*MAX(0,NETWORKDAYS(MAX($H297,ASOF,AC$72),MIN(MAX($I297,ASOF),AC$72+6),HOLIDAYS)))</f>
        <v>0</v>
      </c>
      <c r="AD297" s="289" t="n">
        <f aca="false">IF($L297=0,0,$L297*MAX(0,NETWORKDAYS(MAX($H297,ASOF,AD$72),MIN(MAX($I297,ASOF),AD$72+6),HOLIDAYS)))</f>
        <v>0</v>
      </c>
      <c r="AE297" s="289" t="n">
        <f aca="false">IF($L297=0,0,$L297*MAX(0,NETWORKDAYS(MAX($H297,ASOF,AE$72),MIN(MAX($I297,ASOF),AE$72+6),HOLIDAYS)))</f>
        <v>0</v>
      </c>
      <c r="AF297" s="289" t="n">
        <f aca="false">IF($L297=0,0,$L297*MAX(0,NETWORKDAYS(MAX($H297,ASOF,AF$72),MIN(MAX($I297,ASOF),AF$72+6),HOLIDAYS)))</f>
        <v>0</v>
      </c>
      <c r="AG297" s="289" t="n">
        <f aca="false">IF($L297=0,0,$L297*MAX(0,NETWORKDAYS(MAX($H297,ASOF,AG$72),MIN(MAX($I297,ASOF),AG$72+6),HOLIDAYS)))</f>
        <v>0</v>
      </c>
      <c r="AH297" s="289" t="n">
        <f aca="false">IF($L297=0,0,$L297*MAX(0,NETWORKDAYS(MAX($H297,ASOF,AH$72),MIN(MAX($I297,ASOF),AH$72+6),HOLIDAYS)))</f>
        <v>0</v>
      </c>
      <c r="AI297" s="289" t="n">
        <f aca="false">IF($L297=0,0,$L297*MAX(0,NETWORKDAYS(MAX($H297,ASOF,AI$72),MIN(MAX($I297,ASOF),AI$72+6),HOLIDAYS)))</f>
        <v>0</v>
      </c>
      <c r="AJ297" s="289" t="n">
        <f aca="false">IF($L297=0,0,$L297*MAX(0,NETWORKDAYS(MAX($H297,ASOF,AJ$72),MIN(MAX($I297,ASOF),AJ$72+6),HOLIDAYS)))</f>
        <v>0</v>
      </c>
      <c r="AK297" s="289" t="n">
        <f aca="false">IF($L297=0,0,$L297*MAX(0,NETWORKDAYS(MAX($H297,ASOF,AK$72),MIN(MAX($I297,ASOF),AK$72+6),HOLIDAYS)))</f>
        <v>0</v>
      </c>
      <c r="AL297" s="289" t="n">
        <f aca="false">IF($L297=0,0,$L297*MAX(0,NETWORKDAYS(MAX($H297,ASOF,AL$72),MIN(MAX($I297,ASOF),AL$72+6),HOLIDAYS)))</f>
        <v>0</v>
      </c>
      <c r="AM297" s="289" t="n">
        <f aca="false">IF($L297=0,0,$L297*MAX(0,NETWORKDAYS(MAX($H297,ASOF,AM$72),MIN(MAX($I297,ASOF),AM$72+6),HOLIDAYS)))</f>
        <v>0</v>
      </c>
      <c r="AN297" s="289" t="n">
        <f aca="false">IF($L297=0,0,$L297*MAX(0,NETWORKDAYS(MAX($H297,ASOF,AN$72),MIN(MAX($I297,ASOF),AN$72+6),HOLIDAYS)))</f>
        <v>0</v>
      </c>
      <c r="AO297" s="289" t="n">
        <f aca="false">IF($L297=0,0,$L297*MAX(0,NETWORKDAYS(MAX($H297,ASOF,AO$72),MIN(MAX($I297,ASOF),AO$72+6),HOLIDAYS)))</f>
        <v>0</v>
      </c>
      <c r="AP297" s="289" t="n">
        <f aca="false">IF($L297=0,0,$L297*MAX(0,NETWORKDAYS(MAX($H297,ASOF,AP$72),MIN(MAX($I297,ASOF),AP$72+6),HOLIDAYS)))</f>
        <v>0</v>
      </c>
      <c r="AQ297" s="289" t="n">
        <f aca="false">IF($L297=0,0,$L297*MAX(0,NETWORKDAYS(MAX($H297,ASOF,AQ$72),MIN(MAX($I297,ASOF),AQ$72+6),HOLIDAYS)))</f>
        <v>0</v>
      </c>
      <c r="AR297" s="289" t="n">
        <f aca="false">IF($L297=0,0,$L297*MAX(0,NETWORKDAYS(MAX($H297,ASOF,AR$72),MIN(MAX($I297,ASOF),AR$72+6),HOLIDAYS)))</f>
        <v>0</v>
      </c>
    </row>
    <row r="298" customFormat="false" ht="15" hidden="false" customHeight="false" outlineLevel="1" collapsed="false">
      <c r="A298" s="282" t="s">
        <v>114</v>
      </c>
      <c r="B298" s="283" t="s">
        <v>116</v>
      </c>
      <c r="C298" s="282" t="s">
        <v>1198</v>
      </c>
      <c r="D298" s="284" t="s">
        <v>2284</v>
      </c>
      <c r="E298" s="285" t="n">
        <v>1</v>
      </c>
      <c r="F298" s="290" t="s">
        <v>35</v>
      </c>
      <c r="G298" s="285" t="n">
        <f aca="false">$F$15*$H$15</f>
        <v>2</v>
      </c>
      <c r="H298" s="286" t="n">
        <f aca="false">IF(ISNUMBER('P9-019'!$N$107),'P9-019'!$N$107,"")</f>
        <v>46347</v>
      </c>
      <c r="I298" s="286" t="n">
        <f aca="false">IF(ISNUMBER('P9-019'!$O$107),'P9-019'!$O$107,"")</f>
        <v>46348</v>
      </c>
      <c r="J298" s="287" t="n">
        <f aca="false">IF(OR(H298="",I298="",N298&gt;=1),0,MAX(1,NETWORKDAYS(MAX(H298,ASOF),MAX(I298,ASOF),HOLIDAYS)))</f>
        <v>1</v>
      </c>
      <c r="K298" s="287" t="n">
        <f aca="false">IF(L298=0,0,ROUNDUP(L298/$F$15,0))</f>
        <v>1</v>
      </c>
      <c r="L298" s="285" t="n">
        <f aca="false">IF(J298=0,0,G298*(1-N298)/J298)</f>
        <v>2</v>
      </c>
      <c r="M298" s="283" t="s">
        <v>1192</v>
      </c>
      <c r="N298" s="288" t="n">
        <f aca="false">IFERROR(MIN(1,'P9-019'!$V$107)+0,0)</f>
        <v>0</v>
      </c>
      <c r="O298" s="289" t="n">
        <f aca="false">IF($L298=0,0,$L298*MAX(0,NETWORKDAYS(MAX($H298,ASOF,O$72),MIN(MAX($I298,ASOF),O$72+6),HOLIDAYS)))</f>
        <v>0</v>
      </c>
      <c r="P298" s="289" t="n">
        <f aca="false">IF($L298=0,0,$L298*MAX(0,NETWORKDAYS(MAX($H298,ASOF,P$72),MIN(MAX($I298,ASOF),P$72+6),HOLIDAYS)))</f>
        <v>0</v>
      </c>
      <c r="Q298" s="289" t="n">
        <f aca="false">IF($L298=0,0,$L298*MAX(0,NETWORKDAYS(MAX($H298,ASOF,Q$72),MIN(MAX($I298,ASOF),Q$72+6),HOLIDAYS)))</f>
        <v>0</v>
      </c>
      <c r="R298" s="289" t="n">
        <f aca="false">IF($L298=0,0,$L298*MAX(0,NETWORKDAYS(MAX($H298,ASOF,R$72),MIN(MAX($I298,ASOF),R$72+6),HOLIDAYS)))</f>
        <v>0</v>
      </c>
      <c r="S298" s="289" t="n">
        <f aca="false">IF($L298=0,0,$L298*MAX(0,NETWORKDAYS(MAX($H298,ASOF,S$72),MIN(MAX($I298,ASOF),S$72+6),HOLIDAYS)))</f>
        <v>0</v>
      </c>
      <c r="T298" s="289" t="n">
        <f aca="false">IF($L298=0,0,$L298*MAX(0,NETWORKDAYS(MAX($H298,ASOF,T$72),MIN(MAX($I298,ASOF),T$72+6),HOLIDAYS)))</f>
        <v>0</v>
      </c>
      <c r="U298" s="289" t="n">
        <f aca="false">IF($L298=0,0,$L298*MAX(0,NETWORKDAYS(MAX($H298,ASOF,U$72),MIN(MAX($I298,ASOF),U$72+6),HOLIDAYS)))</f>
        <v>0</v>
      </c>
      <c r="V298" s="289" t="n">
        <f aca="false">IF($L298=0,0,$L298*MAX(0,NETWORKDAYS(MAX($H298,ASOF,V$72),MIN(MAX($I298,ASOF),V$72+6),HOLIDAYS)))</f>
        <v>0</v>
      </c>
      <c r="W298" s="289" t="n">
        <f aca="false">IF($L298=0,0,$L298*MAX(0,NETWORKDAYS(MAX($H298,ASOF,W$72),MIN(MAX($I298,ASOF),W$72+6),HOLIDAYS)))</f>
        <v>0</v>
      </c>
      <c r="X298" s="289" t="n">
        <f aca="false">IF($L298=0,0,$L298*MAX(0,NETWORKDAYS(MAX($H298,ASOF,X$72),MIN(MAX($I298,ASOF),X$72+6),HOLIDAYS)))</f>
        <v>0</v>
      </c>
      <c r="Y298" s="289" t="n">
        <f aca="false">IF($L298=0,0,$L298*MAX(0,NETWORKDAYS(MAX($H298,ASOF,Y$72),MIN(MAX($I298,ASOF),Y$72+6),HOLIDAYS)))</f>
        <v>0</v>
      </c>
      <c r="Z298" s="289" t="n">
        <f aca="false">IF($L298=0,0,$L298*MAX(0,NETWORKDAYS(MAX($H298,ASOF,Z$72),MIN(MAX($I298,ASOF),Z$72+6),HOLIDAYS)))</f>
        <v>0</v>
      </c>
      <c r="AA298" s="289" t="n">
        <f aca="false">IF($L298=0,0,$L298*MAX(0,NETWORKDAYS(MAX($H298,ASOF,AA$72),MIN(MAX($I298,ASOF),AA$72+6),HOLIDAYS)))</f>
        <v>0</v>
      </c>
      <c r="AB298" s="289" t="n">
        <f aca="false">IF($L298=0,0,$L298*MAX(0,NETWORKDAYS(MAX($H298,ASOF,AB$72),MIN(MAX($I298,ASOF),AB$72+6),HOLIDAYS)))</f>
        <v>0</v>
      </c>
      <c r="AC298" s="289" t="n">
        <f aca="false">IF($L298=0,0,$L298*MAX(0,NETWORKDAYS(MAX($H298,ASOF,AC$72),MIN(MAX($I298,ASOF),AC$72+6),HOLIDAYS)))</f>
        <v>0</v>
      </c>
      <c r="AD298" s="289" t="n">
        <f aca="false">IF($L298=0,0,$L298*MAX(0,NETWORKDAYS(MAX($H298,ASOF,AD$72),MIN(MAX($I298,ASOF),AD$72+6),HOLIDAYS)))</f>
        <v>0</v>
      </c>
      <c r="AE298" s="289" t="n">
        <f aca="false">IF($L298=0,0,$L298*MAX(0,NETWORKDAYS(MAX($H298,ASOF,AE$72),MIN(MAX($I298,ASOF),AE$72+6),HOLIDAYS)))</f>
        <v>0</v>
      </c>
      <c r="AF298" s="289" t="n">
        <f aca="false">IF($L298=0,0,$L298*MAX(0,NETWORKDAYS(MAX($H298,ASOF,AF$72),MIN(MAX($I298,ASOF),AF$72+6),HOLIDAYS)))</f>
        <v>0</v>
      </c>
      <c r="AG298" s="289" t="n">
        <f aca="false">IF($L298=0,0,$L298*MAX(0,NETWORKDAYS(MAX($H298,ASOF,AG$72),MIN(MAX($I298,ASOF),AG$72+6),HOLIDAYS)))</f>
        <v>0</v>
      </c>
      <c r="AH298" s="289" t="n">
        <f aca="false">IF($L298=0,0,$L298*MAX(0,NETWORKDAYS(MAX($H298,ASOF,AH$72),MIN(MAX($I298,ASOF),AH$72+6),HOLIDAYS)))</f>
        <v>0</v>
      </c>
      <c r="AI298" s="289" t="n">
        <f aca="false">IF($L298=0,0,$L298*MAX(0,NETWORKDAYS(MAX($H298,ASOF,AI$72),MIN(MAX($I298,ASOF),AI$72+6),HOLIDAYS)))</f>
        <v>0</v>
      </c>
      <c r="AJ298" s="289" t="n">
        <f aca="false">IF($L298=0,0,$L298*MAX(0,NETWORKDAYS(MAX($H298,ASOF,AJ$72),MIN(MAX($I298,ASOF),AJ$72+6),HOLIDAYS)))</f>
        <v>0</v>
      </c>
      <c r="AK298" s="289" t="n">
        <f aca="false">IF($L298=0,0,$L298*MAX(0,NETWORKDAYS(MAX($H298,ASOF,AK$72),MIN(MAX($I298,ASOF),AK$72+6),HOLIDAYS)))</f>
        <v>0</v>
      </c>
      <c r="AL298" s="289" t="n">
        <f aca="false">IF($L298=0,0,$L298*MAX(0,NETWORKDAYS(MAX($H298,ASOF,AL$72),MIN(MAX($I298,ASOF),AL$72+6),HOLIDAYS)))</f>
        <v>0</v>
      </c>
      <c r="AM298" s="289" t="n">
        <f aca="false">IF($L298=0,0,$L298*MAX(0,NETWORKDAYS(MAX($H298,ASOF,AM$72),MIN(MAX($I298,ASOF),AM$72+6),HOLIDAYS)))</f>
        <v>0</v>
      </c>
      <c r="AN298" s="289" t="n">
        <f aca="false">IF($L298=0,0,$L298*MAX(0,NETWORKDAYS(MAX($H298,ASOF,AN$72),MIN(MAX($I298,ASOF),AN$72+6),HOLIDAYS)))</f>
        <v>0</v>
      </c>
      <c r="AO298" s="289" t="n">
        <f aca="false">IF($L298=0,0,$L298*MAX(0,NETWORKDAYS(MAX($H298,ASOF,AO$72),MIN(MAX($I298,ASOF),AO$72+6),HOLIDAYS)))</f>
        <v>0</v>
      </c>
      <c r="AP298" s="289" t="n">
        <f aca="false">IF($L298=0,0,$L298*MAX(0,NETWORKDAYS(MAX($H298,ASOF,AP$72),MIN(MAX($I298,ASOF),AP$72+6),HOLIDAYS)))</f>
        <v>0</v>
      </c>
      <c r="AQ298" s="289" t="n">
        <f aca="false">IF($L298=0,0,$L298*MAX(0,NETWORKDAYS(MAX($H298,ASOF,AQ$72),MIN(MAX($I298,ASOF),AQ$72+6),HOLIDAYS)))</f>
        <v>0</v>
      </c>
      <c r="AR298" s="289" t="n">
        <f aca="false">IF($L298=0,0,$L298*MAX(0,NETWORKDAYS(MAX($H298,ASOF,AR$72),MIN(MAX($I298,ASOF),AR$72+6),HOLIDAYS)))</f>
        <v>0</v>
      </c>
    </row>
    <row r="299" customFormat="false" ht="15" hidden="false" customHeight="false" outlineLevel="1" collapsed="false">
      <c r="A299" s="282" t="s">
        <v>114</v>
      </c>
      <c r="B299" s="283" t="s">
        <v>116</v>
      </c>
      <c r="C299" s="284" t="s">
        <v>2369</v>
      </c>
      <c r="D299" s="284" t="s">
        <v>2308</v>
      </c>
      <c r="E299" s="285" t="n">
        <v>150.48</v>
      </c>
      <c r="F299" s="283" t="s">
        <v>527</v>
      </c>
      <c r="G299" s="285" t="n">
        <f aca="false">$F$16*(E299/$G$16+$H$16)</f>
        <v>10.5144</v>
      </c>
      <c r="H299" s="286" t="n">
        <f aca="false">IF(ISNUMBER('P9-019'!$N$115),'P9-019'!$N$115,"")</f>
        <v>46359</v>
      </c>
      <c r="I299" s="286" t="n">
        <f aca="false">IF(ISNUMBER('P9-019'!$O$115),'P9-019'!$O$115,"")</f>
        <v>46359</v>
      </c>
      <c r="J299" s="287" t="n">
        <f aca="false">IF(OR(H299="",I299="",N299&gt;=1),0,MAX(1,NETWORKDAYS(MAX(H299,ASOF),MAX(I299,ASOF),HOLIDAYS)))</f>
        <v>1</v>
      </c>
      <c r="K299" s="287" t="n">
        <f aca="false">IF(L299=0,0,ROUNDUP(L299/$F$16,0))</f>
        <v>4</v>
      </c>
      <c r="L299" s="285" t="n">
        <f aca="false">IF(J299=0,0,G299*(1-N299)/J299)</f>
        <v>10.5144</v>
      </c>
      <c r="M299" s="283" t="s">
        <v>1205</v>
      </c>
      <c r="N299" s="288" t="n">
        <f aca="false">IFERROR(MIN(1,'P9-019'!$V$115)+0,0)</f>
        <v>0</v>
      </c>
      <c r="O299" s="289" t="n">
        <f aca="false">IF($L299=0,0,$L299*MAX(0,NETWORKDAYS(MAX($H299,ASOF,O$72),MIN(MAX($I299,ASOF),O$72+6),HOLIDAYS)))</f>
        <v>0</v>
      </c>
      <c r="P299" s="289" t="n">
        <f aca="false">IF($L299=0,0,$L299*MAX(0,NETWORKDAYS(MAX($H299,ASOF,P$72),MIN(MAX($I299,ASOF),P$72+6),HOLIDAYS)))</f>
        <v>0</v>
      </c>
      <c r="Q299" s="289" t="n">
        <f aca="false">IF($L299=0,0,$L299*MAX(0,NETWORKDAYS(MAX($H299,ASOF,Q$72),MIN(MAX($I299,ASOF),Q$72+6),HOLIDAYS)))</f>
        <v>0</v>
      </c>
      <c r="R299" s="289" t="n">
        <f aca="false">IF($L299=0,0,$L299*MAX(0,NETWORKDAYS(MAX($H299,ASOF,R$72),MIN(MAX($I299,ASOF),R$72+6),HOLIDAYS)))</f>
        <v>0</v>
      </c>
      <c r="S299" s="289" t="n">
        <f aca="false">IF($L299=0,0,$L299*MAX(0,NETWORKDAYS(MAX($H299,ASOF,S$72),MIN(MAX($I299,ASOF),S$72+6),HOLIDAYS)))</f>
        <v>10.5144</v>
      </c>
      <c r="T299" s="289" t="n">
        <f aca="false">IF($L299=0,0,$L299*MAX(0,NETWORKDAYS(MAX($H299,ASOF,T$72),MIN(MAX($I299,ASOF),T$72+6),HOLIDAYS)))</f>
        <v>0</v>
      </c>
      <c r="U299" s="289" t="n">
        <f aca="false">IF($L299=0,0,$L299*MAX(0,NETWORKDAYS(MAX($H299,ASOF,U$72),MIN(MAX($I299,ASOF),U$72+6),HOLIDAYS)))</f>
        <v>0</v>
      </c>
      <c r="V299" s="289" t="n">
        <f aca="false">IF($L299=0,0,$L299*MAX(0,NETWORKDAYS(MAX($H299,ASOF,V$72),MIN(MAX($I299,ASOF),V$72+6),HOLIDAYS)))</f>
        <v>0</v>
      </c>
      <c r="W299" s="289" t="n">
        <f aca="false">IF($L299=0,0,$L299*MAX(0,NETWORKDAYS(MAX($H299,ASOF,W$72),MIN(MAX($I299,ASOF),W$72+6),HOLIDAYS)))</f>
        <v>0</v>
      </c>
      <c r="X299" s="289" t="n">
        <f aca="false">IF($L299=0,0,$L299*MAX(0,NETWORKDAYS(MAX($H299,ASOF,X$72),MIN(MAX($I299,ASOF),X$72+6),HOLIDAYS)))</f>
        <v>0</v>
      </c>
      <c r="Y299" s="289" t="n">
        <f aca="false">IF($L299=0,0,$L299*MAX(0,NETWORKDAYS(MAX($H299,ASOF,Y$72),MIN(MAX($I299,ASOF),Y$72+6),HOLIDAYS)))</f>
        <v>0</v>
      </c>
      <c r="Z299" s="289" t="n">
        <f aca="false">IF($L299=0,0,$L299*MAX(0,NETWORKDAYS(MAX($H299,ASOF,Z$72),MIN(MAX($I299,ASOF),Z$72+6),HOLIDAYS)))</f>
        <v>0</v>
      </c>
      <c r="AA299" s="289" t="n">
        <f aca="false">IF($L299=0,0,$L299*MAX(0,NETWORKDAYS(MAX($H299,ASOF,AA$72),MIN(MAX($I299,ASOF),AA$72+6),HOLIDAYS)))</f>
        <v>0</v>
      </c>
      <c r="AB299" s="289" t="n">
        <f aca="false">IF($L299=0,0,$L299*MAX(0,NETWORKDAYS(MAX($H299,ASOF,AB$72),MIN(MAX($I299,ASOF),AB$72+6),HOLIDAYS)))</f>
        <v>0</v>
      </c>
      <c r="AC299" s="289" t="n">
        <f aca="false">IF($L299=0,0,$L299*MAX(0,NETWORKDAYS(MAX($H299,ASOF,AC$72),MIN(MAX($I299,ASOF),AC$72+6),HOLIDAYS)))</f>
        <v>0</v>
      </c>
      <c r="AD299" s="289" t="n">
        <f aca="false">IF($L299=0,0,$L299*MAX(0,NETWORKDAYS(MAX($H299,ASOF,AD$72),MIN(MAX($I299,ASOF),AD$72+6),HOLIDAYS)))</f>
        <v>0</v>
      </c>
      <c r="AE299" s="289" t="n">
        <f aca="false">IF($L299=0,0,$L299*MAX(0,NETWORKDAYS(MAX($H299,ASOF,AE$72),MIN(MAX($I299,ASOF),AE$72+6),HOLIDAYS)))</f>
        <v>0</v>
      </c>
      <c r="AF299" s="289" t="n">
        <f aca="false">IF($L299=0,0,$L299*MAX(0,NETWORKDAYS(MAX($H299,ASOF,AF$72),MIN(MAX($I299,ASOF),AF$72+6),HOLIDAYS)))</f>
        <v>0</v>
      </c>
      <c r="AG299" s="289" t="n">
        <f aca="false">IF($L299=0,0,$L299*MAX(0,NETWORKDAYS(MAX($H299,ASOF,AG$72),MIN(MAX($I299,ASOF),AG$72+6),HOLIDAYS)))</f>
        <v>0</v>
      </c>
      <c r="AH299" s="289" t="n">
        <f aca="false">IF($L299=0,0,$L299*MAX(0,NETWORKDAYS(MAX($H299,ASOF,AH$72),MIN(MAX($I299,ASOF),AH$72+6),HOLIDAYS)))</f>
        <v>0</v>
      </c>
      <c r="AI299" s="289" t="n">
        <f aca="false">IF($L299=0,0,$L299*MAX(0,NETWORKDAYS(MAX($H299,ASOF,AI$72),MIN(MAX($I299,ASOF),AI$72+6),HOLIDAYS)))</f>
        <v>0</v>
      </c>
      <c r="AJ299" s="289" t="n">
        <f aca="false">IF($L299=0,0,$L299*MAX(0,NETWORKDAYS(MAX($H299,ASOF,AJ$72),MIN(MAX($I299,ASOF),AJ$72+6),HOLIDAYS)))</f>
        <v>0</v>
      </c>
      <c r="AK299" s="289" t="n">
        <f aca="false">IF($L299=0,0,$L299*MAX(0,NETWORKDAYS(MAX($H299,ASOF,AK$72),MIN(MAX($I299,ASOF),AK$72+6),HOLIDAYS)))</f>
        <v>0</v>
      </c>
      <c r="AL299" s="289" t="n">
        <f aca="false">IF($L299=0,0,$L299*MAX(0,NETWORKDAYS(MAX($H299,ASOF,AL$72),MIN(MAX($I299,ASOF),AL$72+6),HOLIDAYS)))</f>
        <v>0</v>
      </c>
      <c r="AM299" s="289" t="n">
        <f aca="false">IF($L299=0,0,$L299*MAX(0,NETWORKDAYS(MAX($H299,ASOF,AM$72),MIN(MAX($I299,ASOF),AM$72+6),HOLIDAYS)))</f>
        <v>0</v>
      </c>
      <c r="AN299" s="289" t="n">
        <f aca="false">IF($L299=0,0,$L299*MAX(0,NETWORKDAYS(MAX($H299,ASOF,AN$72),MIN(MAX($I299,ASOF),AN$72+6),HOLIDAYS)))</f>
        <v>0</v>
      </c>
      <c r="AO299" s="289" t="n">
        <f aca="false">IF($L299=0,0,$L299*MAX(0,NETWORKDAYS(MAX($H299,ASOF,AO$72),MIN(MAX($I299,ASOF),AO$72+6),HOLIDAYS)))</f>
        <v>0</v>
      </c>
      <c r="AP299" s="289" t="n">
        <f aca="false">IF($L299=0,0,$L299*MAX(0,NETWORKDAYS(MAX($H299,ASOF,AP$72),MIN(MAX($I299,ASOF),AP$72+6),HOLIDAYS)))</f>
        <v>0</v>
      </c>
      <c r="AQ299" s="289" t="n">
        <f aca="false">IF($L299=0,0,$L299*MAX(0,NETWORKDAYS(MAX($H299,ASOF,AQ$72),MIN(MAX($I299,ASOF),AQ$72+6),HOLIDAYS)))</f>
        <v>0</v>
      </c>
      <c r="AR299" s="289" t="n">
        <f aca="false">IF($L299=0,0,$L299*MAX(0,NETWORKDAYS(MAX($H299,ASOF,AR$72),MIN(MAX($I299,ASOF),AR$72+6),HOLIDAYS)))</f>
        <v>0</v>
      </c>
    </row>
    <row r="300" customFormat="false" ht="15" hidden="false" customHeight="false" outlineLevel="1" collapsed="false">
      <c r="A300" s="282" t="s">
        <v>114</v>
      </c>
      <c r="B300" s="283" t="s">
        <v>116</v>
      </c>
      <c r="C300" s="284" t="s">
        <v>2370</v>
      </c>
      <c r="D300" s="284" t="s">
        <v>2313</v>
      </c>
      <c r="E300" s="285" t="n">
        <v>1</v>
      </c>
      <c r="F300" s="290" t="s">
        <v>35</v>
      </c>
      <c r="G300" s="285" t="n">
        <f aca="false">SUM(O300:AR300)</f>
        <v>20</v>
      </c>
      <c r="H300" s="286" t="n">
        <f aca="false">IF(ISNUMBER('P9-019'!$N$62),'P9-019'!$N$62,"")</f>
        <v>46328</v>
      </c>
      <c r="I300" s="286" t="n">
        <f aca="false">IF(ISNUMBER('P9-019'!$O$115),'P9-019'!$O$115,"")</f>
        <v>46359</v>
      </c>
      <c r="J300" s="287"/>
      <c r="K300" s="287" t="n">
        <f aca="false">IF(G300&gt;0,$F$17,0)</f>
        <v>1</v>
      </c>
      <c r="L300" s="285" t="n">
        <v>0</v>
      </c>
      <c r="M300" s="290" t="s">
        <v>2310</v>
      </c>
      <c r="N300" s="288" t="str">
        <f aca="false">""</f>
        <v/>
      </c>
      <c r="O300" s="289" t="n">
        <f aca="false">IF(SUMIFS(O$73:O$312,$A$73:$A$312,"P9-019",$M$73:$M$312,"&lt;&gt;คุม")&gt;0,$F$17*NETWORKDAYS(O$72,O$72+6,HOLIDAYS),0)</f>
        <v>5</v>
      </c>
      <c r="P300" s="289" t="n">
        <f aca="false">IF(SUMIFS(P$73:P$312,$A$73:$A$312,"P9-019",$M$73:$M$312,"&lt;&gt;คุม")&gt;0,$F$17*NETWORKDAYS(P$72,P$72+6,HOLIDAYS),0)</f>
        <v>5</v>
      </c>
      <c r="Q300" s="289" t="n">
        <f aca="false">IF(SUMIFS(Q$73:Q$312,$A$73:$A$312,"P9-019",$M$73:$M$312,"&lt;&gt;คุม")&gt;0,$F$17*NETWORKDAYS(Q$72,Q$72+6,HOLIDAYS),0)</f>
        <v>5</v>
      </c>
      <c r="R300" s="289" t="n">
        <f aca="false">IF(SUMIFS(R$73:R$312,$A$73:$A$312,"P9-019",$M$73:$M$312,"&lt;&gt;คุม")&gt;0,$F$17*NETWORKDAYS(R$72,R$72+6,HOLIDAYS),0)</f>
        <v>0</v>
      </c>
      <c r="S300" s="289" t="n">
        <f aca="false">IF(SUMIFS(S$73:S$312,$A$73:$A$312,"P9-019",$M$73:$M$312,"&lt;&gt;คุม")&gt;0,$F$17*NETWORKDAYS(S$72,S$72+6,HOLIDAYS),0)</f>
        <v>5</v>
      </c>
      <c r="T300" s="289" t="n">
        <f aca="false">IF(SUMIFS(T$73:T$312,$A$73:$A$312,"P9-019",$M$73:$M$312,"&lt;&gt;คุม")&gt;0,$F$17*NETWORKDAYS(T$72,T$72+6,HOLIDAYS),0)</f>
        <v>0</v>
      </c>
      <c r="U300" s="289" t="n">
        <f aca="false">IF(SUMIFS(U$73:U$312,$A$73:$A$312,"P9-019",$M$73:$M$312,"&lt;&gt;คุม")&gt;0,$F$17*NETWORKDAYS(U$72,U$72+6,HOLIDAYS),0)</f>
        <v>0</v>
      </c>
      <c r="V300" s="289" t="n">
        <f aca="false">IF(SUMIFS(V$73:V$312,$A$73:$A$312,"P9-019",$M$73:$M$312,"&lt;&gt;คุม")&gt;0,$F$17*NETWORKDAYS(V$72,V$72+6,HOLIDAYS),0)</f>
        <v>0</v>
      </c>
      <c r="W300" s="289" t="n">
        <f aca="false">IF(SUMIFS(W$73:W$312,$A$73:$A$312,"P9-019",$M$73:$M$312,"&lt;&gt;คุม")&gt;0,$F$17*NETWORKDAYS(W$72,W$72+6,HOLIDAYS),0)</f>
        <v>0</v>
      </c>
      <c r="X300" s="289" t="n">
        <f aca="false">IF(SUMIFS(X$73:X$312,$A$73:$A$312,"P9-019",$M$73:$M$312,"&lt;&gt;คุม")&gt;0,$F$17*NETWORKDAYS(X$72,X$72+6,HOLIDAYS),0)</f>
        <v>0</v>
      </c>
      <c r="Y300" s="289" t="n">
        <f aca="false">IF(SUMIFS(Y$73:Y$312,$A$73:$A$312,"P9-019",$M$73:$M$312,"&lt;&gt;คุม")&gt;0,$F$17*NETWORKDAYS(Y$72,Y$72+6,HOLIDAYS),0)</f>
        <v>0</v>
      </c>
      <c r="Z300" s="289" t="n">
        <f aca="false">IF(SUMIFS(Z$73:Z$312,$A$73:$A$312,"P9-019",$M$73:$M$312,"&lt;&gt;คุม")&gt;0,$F$17*NETWORKDAYS(Z$72,Z$72+6,HOLIDAYS),0)</f>
        <v>0</v>
      </c>
      <c r="AA300" s="289" t="n">
        <f aca="false">IF(SUMIFS(AA$73:AA$312,$A$73:$A$312,"P9-019",$M$73:$M$312,"&lt;&gt;คุม")&gt;0,$F$17*NETWORKDAYS(AA$72,AA$72+6,HOLIDAYS),0)</f>
        <v>0</v>
      </c>
      <c r="AB300" s="289" t="n">
        <f aca="false">IF(SUMIFS(AB$73:AB$312,$A$73:$A$312,"P9-019",$M$73:$M$312,"&lt;&gt;คุม")&gt;0,$F$17*NETWORKDAYS(AB$72,AB$72+6,HOLIDAYS),0)</f>
        <v>0</v>
      </c>
      <c r="AC300" s="289" t="n">
        <f aca="false">IF(SUMIFS(AC$73:AC$312,$A$73:$A$312,"P9-019",$M$73:$M$312,"&lt;&gt;คุม")&gt;0,$F$17*NETWORKDAYS(AC$72,AC$72+6,HOLIDAYS),0)</f>
        <v>0</v>
      </c>
      <c r="AD300" s="289" t="n">
        <f aca="false">IF(SUMIFS(AD$73:AD$312,$A$73:$A$312,"P9-019",$M$73:$M$312,"&lt;&gt;คุม")&gt;0,$F$17*NETWORKDAYS(AD$72,AD$72+6,HOLIDAYS),0)</f>
        <v>0</v>
      </c>
      <c r="AE300" s="289" t="n">
        <f aca="false">IF(SUMIFS(AE$73:AE$312,$A$73:$A$312,"P9-019",$M$73:$M$312,"&lt;&gt;คุม")&gt;0,$F$17*NETWORKDAYS(AE$72,AE$72+6,HOLIDAYS),0)</f>
        <v>0</v>
      </c>
      <c r="AF300" s="289" t="n">
        <f aca="false">IF(SUMIFS(AF$73:AF$312,$A$73:$A$312,"P9-019",$M$73:$M$312,"&lt;&gt;คุม")&gt;0,$F$17*NETWORKDAYS(AF$72,AF$72+6,HOLIDAYS),0)</f>
        <v>0</v>
      </c>
      <c r="AG300" s="289" t="n">
        <f aca="false">IF(SUMIFS(AG$73:AG$312,$A$73:$A$312,"P9-019",$M$73:$M$312,"&lt;&gt;คุม")&gt;0,$F$17*NETWORKDAYS(AG$72,AG$72+6,HOLIDAYS),0)</f>
        <v>0</v>
      </c>
      <c r="AH300" s="289" t="n">
        <f aca="false">IF(SUMIFS(AH$73:AH$312,$A$73:$A$312,"P9-019",$M$73:$M$312,"&lt;&gt;คุม")&gt;0,$F$17*NETWORKDAYS(AH$72,AH$72+6,HOLIDAYS),0)</f>
        <v>0</v>
      </c>
      <c r="AI300" s="289" t="n">
        <f aca="false">IF(SUMIFS(AI$73:AI$312,$A$73:$A$312,"P9-019",$M$73:$M$312,"&lt;&gt;คุม")&gt;0,$F$17*NETWORKDAYS(AI$72,AI$72+6,HOLIDAYS),0)</f>
        <v>0</v>
      </c>
      <c r="AJ300" s="289" t="n">
        <f aca="false">IF(SUMIFS(AJ$73:AJ$312,$A$73:$A$312,"P9-019",$M$73:$M$312,"&lt;&gt;คุม")&gt;0,$F$17*NETWORKDAYS(AJ$72,AJ$72+6,HOLIDAYS),0)</f>
        <v>0</v>
      </c>
      <c r="AK300" s="289" t="n">
        <f aca="false">IF(SUMIFS(AK$73:AK$312,$A$73:$A$312,"P9-019",$M$73:$M$312,"&lt;&gt;คุม")&gt;0,$F$17*NETWORKDAYS(AK$72,AK$72+6,HOLIDAYS),0)</f>
        <v>0</v>
      </c>
      <c r="AL300" s="289" t="n">
        <f aca="false">IF(SUMIFS(AL$73:AL$312,$A$73:$A$312,"P9-019",$M$73:$M$312,"&lt;&gt;คุม")&gt;0,$F$17*NETWORKDAYS(AL$72,AL$72+6,HOLIDAYS),0)</f>
        <v>0</v>
      </c>
      <c r="AM300" s="289" t="n">
        <f aca="false">IF(SUMIFS(AM$73:AM$312,$A$73:$A$312,"P9-019",$M$73:$M$312,"&lt;&gt;คุม")&gt;0,$F$17*NETWORKDAYS(AM$72,AM$72+6,HOLIDAYS),0)</f>
        <v>0</v>
      </c>
      <c r="AN300" s="289" t="n">
        <f aca="false">IF(SUMIFS(AN$73:AN$312,$A$73:$A$312,"P9-019",$M$73:$M$312,"&lt;&gt;คุม")&gt;0,$F$17*NETWORKDAYS(AN$72,AN$72+6,HOLIDAYS),0)</f>
        <v>0</v>
      </c>
      <c r="AO300" s="289" t="n">
        <f aca="false">IF(SUMIFS(AO$73:AO$312,$A$73:$A$312,"P9-019",$M$73:$M$312,"&lt;&gt;คุม")&gt;0,$F$17*NETWORKDAYS(AO$72,AO$72+6,HOLIDAYS),0)</f>
        <v>0</v>
      </c>
      <c r="AP300" s="289" t="n">
        <f aca="false">IF(SUMIFS(AP$73:AP$312,$A$73:$A$312,"P9-019",$M$73:$M$312,"&lt;&gt;คุม")&gt;0,$F$17*NETWORKDAYS(AP$72,AP$72+6,HOLIDAYS),0)</f>
        <v>0</v>
      </c>
      <c r="AQ300" s="289" t="n">
        <f aca="false">IF(SUMIFS(AQ$73:AQ$312,$A$73:$A$312,"P9-019",$M$73:$M$312,"&lt;&gt;คุม")&gt;0,$F$17*NETWORKDAYS(AQ$72,AQ$72+6,HOLIDAYS),0)</f>
        <v>0</v>
      </c>
      <c r="AR300" s="289" t="n">
        <f aca="false">IF(SUMIFS(AR$73:AR$312,$A$73:$A$312,"P9-019",$M$73:$M$312,"&lt;&gt;คุม")&gt;0,$F$17*NETWORKDAYS(AR$72,AR$72+6,HOLIDAYS),0)</f>
        <v>0</v>
      </c>
    </row>
    <row r="301" customFormat="false" ht="15" hidden="false" customHeight="false" outlineLevel="1" collapsed="false">
      <c r="A301" s="282" t="s">
        <v>118</v>
      </c>
      <c r="B301" s="283" t="s">
        <v>120</v>
      </c>
      <c r="C301" s="284" t="s">
        <v>2358</v>
      </c>
      <c r="D301" s="284" t="s">
        <v>2280</v>
      </c>
      <c r="E301" s="285" t="n">
        <v>841.32</v>
      </c>
      <c r="F301" s="283" t="s">
        <v>2359</v>
      </c>
      <c r="G301" s="285" t="n">
        <f aca="false">$F$5*(E301/$G$5+$H$5)</f>
        <v>136.6112</v>
      </c>
      <c r="H301" s="286" t="n">
        <f aca="false">IF(ISNUMBER('P9-020'!$N$62),'P9-020'!$N$62,"")</f>
        <v>46328</v>
      </c>
      <c r="I301" s="286" t="n">
        <f aca="false">IF(ISNUMBER('P9-020'!$O$62),'P9-020'!$O$62,"")</f>
        <v>46336</v>
      </c>
      <c r="J301" s="287" t="n">
        <f aca="false">IF(OR(H301="",I301="",N301&gt;=1),0,MAX(1,NETWORKDAYS(MAX(H301,ASOF),MAX(I301,ASOF),HOLIDAYS)))</f>
        <v>7</v>
      </c>
      <c r="K301" s="287" t="n">
        <f aca="false">IF(L301=0,0,ROUNDUP(L301/$F$5,0))</f>
        <v>5</v>
      </c>
      <c r="L301" s="285" t="n">
        <f aca="false">IF(J301=0,0,G301*(1-N301)/J301)</f>
        <v>19.5158857142857</v>
      </c>
      <c r="M301" s="283" t="s">
        <v>872</v>
      </c>
      <c r="N301" s="288" t="n">
        <f aca="false">IFERROR(MIN(1,'P9-020'!$V$62)+0,0)</f>
        <v>0</v>
      </c>
      <c r="O301" s="289" t="n">
        <f aca="false">IF($L301=0,0,$L301*MAX(0,NETWORKDAYS(MAX($H301,ASOF,O$72),MIN(MAX($I301,ASOF),O$72+6),HOLIDAYS)))</f>
        <v>97.5794285714286</v>
      </c>
      <c r="P301" s="289" t="n">
        <f aca="false">IF($L301=0,0,$L301*MAX(0,NETWORKDAYS(MAX($H301,ASOF,P$72),MIN(MAX($I301,ASOF),P$72+6),HOLIDAYS)))</f>
        <v>39.0317714285714</v>
      </c>
      <c r="Q301" s="289" t="n">
        <f aca="false">IF($L301=0,0,$L301*MAX(0,NETWORKDAYS(MAX($H301,ASOF,Q$72),MIN(MAX($I301,ASOF),Q$72+6),HOLIDAYS)))</f>
        <v>0</v>
      </c>
      <c r="R301" s="289" t="n">
        <f aca="false">IF($L301=0,0,$L301*MAX(0,NETWORKDAYS(MAX($H301,ASOF,R$72),MIN(MAX($I301,ASOF),R$72+6),HOLIDAYS)))</f>
        <v>0</v>
      </c>
      <c r="S301" s="289" t="n">
        <f aca="false">IF($L301=0,0,$L301*MAX(0,NETWORKDAYS(MAX($H301,ASOF,S$72),MIN(MAX($I301,ASOF),S$72+6),HOLIDAYS)))</f>
        <v>0</v>
      </c>
      <c r="T301" s="289" t="n">
        <f aca="false">IF($L301=0,0,$L301*MAX(0,NETWORKDAYS(MAX($H301,ASOF,T$72),MIN(MAX($I301,ASOF),T$72+6),HOLIDAYS)))</f>
        <v>0</v>
      </c>
      <c r="U301" s="289" t="n">
        <f aca="false">IF($L301=0,0,$L301*MAX(0,NETWORKDAYS(MAX($H301,ASOF,U$72),MIN(MAX($I301,ASOF),U$72+6),HOLIDAYS)))</f>
        <v>0</v>
      </c>
      <c r="V301" s="289" t="n">
        <f aca="false">IF($L301=0,0,$L301*MAX(0,NETWORKDAYS(MAX($H301,ASOF,V$72),MIN(MAX($I301,ASOF),V$72+6),HOLIDAYS)))</f>
        <v>0</v>
      </c>
      <c r="W301" s="289" t="n">
        <f aca="false">IF($L301=0,0,$L301*MAX(0,NETWORKDAYS(MAX($H301,ASOF,W$72),MIN(MAX($I301,ASOF),W$72+6),HOLIDAYS)))</f>
        <v>0</v>
      </c>
      <c r="X301" s="289" t="n">
        <f aca="false">IF($L301=0,0,$L301*MAX(0,NETWORKDAYS(MAX($H301,ASOF,X$72),MIN(MAX($I301,ASOF),X$72+6),HOLIDAYS)))</f>
        <v>0</v>
      </c>
      <c r="Y301" s="289" t="n">
        <f aca="false">IF($L301=0,0,$L301*MAX(0,NETWORKDAYS(MAX($H301,ASOF,Y$72),MIN(MAX($I301,ASOF),Y$72+6),HOLIDAYS)))</f>
        <v>0</v>
      </c>
      <c r="Z301" s="289" t="n">
        <f aca="false">IF($L301=0,0,$L301*MAX(0,NETWORKDAYS(MAX($H301,ASOF,Z$72),MIN(MAX($I301,ASOF),Z$72+6),HOLIDAYS)))</f>
        <v>0</v>
      </c>
      <c r="AA301" s="289" t="n">
        <f aca="false">IF($L301=0,0,$L301*MAX(0,NETWORKDAYS(MAX($H301,ASOF,AA$72),MIN(MAX($I301,ASOF),AA$72+6),HOLIDAYS)))</f>
        <v>0</v>
      </c>
      <c r="AB301" s="289" t="n">
        <f aca="false">IF($L301=0,0,$L301*MAX(0,NETWORKDAYS(MAX($H301,ASOF,AB$72),MIN(MAX($I301,ASOF),AB$72+6),HOLIDAYS)))</f>
        <v>0</v>
      </c>
      <c r="AC301" s="289" t="n">
        <f aca="false">IF($L301=0,0,$L301*MAX(0,NETWORKDAYS(MAX($H301,ASOF,AC$72),MIN(MAX($I301,ASOF),AC$72+6),HOLIDAYS)))</f>
        <v>0</v>
      </c>
      <c r="AD301" s="289" t="n">
        <f aca="false">IF($L301=0,0,$L301*MAX(0,NETWORKDAYS(MAX($H301,ASOF,AD$72),MIN(MAX($I301,ASOF),AD$72+6),HOLIDAYS)))</f>
        <v>0</v>
      </c>
      <c r="AE301" s="289" t="n">
        <f aca="false">IF($L301=0,0,$L301*MAX(0,NETWORKDAYS(MAX($H301,ASOF,AE$72),MIN(MAX($I301,ASOF),AE$72+6),HOLIDAYS)))</f>
        <v>0</v>
      </c>
      <c r="AF301" s="289" t="n">
        <f aca="false">IF($L301=0,0,$L301*MAX(0,NETWORKDAYS(MAX($H301,ASOF,AF$72),MIN(MAX($I301,ASOF),AF$72+6),HOLIDAYS)))</f>
        <v>0</v>
      </c>
      <c r="AG301" s="289" t="n">
        <f aca="false">IF($L301=0,0,$L301*MAX(0,NETWORKDAYS(MAX($H301,ASOF,AG$72),MIN(MAX($I301,ASOF),AG$72+6),HOLIDAYS)))</f>
        <v>0</v>
      </c>
      <c r="AH301" s="289" t="n">
        <f aca="false">IF($L301=0,0,$L301*MAX(0,NETWORKDAYS(MAX($H301,ASOF,AH$72),MIN(MAX($I301,ASOF),AH$72+6),HOLIDAYS)))</f>
        <v>0</v>
      </c>
      <c r="AI301" s="289" t="n">
        <f aca="false">IF($L301=0,0,$L301*MAX(0,NETWORKDAYS(MAX($H301,ASOF,AI$72),MIN(MAX($I301,ASOF),AI$72+6),HOLIDAYS)))</f>
        <v>0</v>
      </c>
      <c r="AJ301" s="289" t="n">
        <f aca="false">IF($L301=0,0,$L301*MAX(0,NETWORKDAYS(MAX($H301,ASOF,AJ$72),MIN(MAX($I301,ASOF),AJ$72+6),HOLIDAYS)))</f>
        <v>0</v>
      </c>
      <c r="AK301" s="289" t="n">
        <f aca="false">IF($L301=0,0,$L301*MAX(0,NETWORKDAYS(MAX($H301,ASOF,AK$72),MIN(MAX($I301,ASOF),AK$72+6),HOLIDAYS)))</f>
        <v>0</v>
      </c>
      <c r="AL301" s="289" t="n">
        <f aca="false">IF($L301=0,0,$L301*MAX(0,NETWORKDAYS(MAX($H301,ASOF,AL$72),MIN(MAX($I301,ASOF),AL$72+6),HOLIDAYS)))</f>
        <v>0</v>
      </c>
      <c r="AM301" s="289" t="n">
        <f aca="false">IF($L301=0,0,$L301*MAX(0,NETWORKDAYS(MAX($H301,ASOF,AM$72),MIN(MAX($I301,ASOF),AM$72+6),HOLIDAYS)))</f>
        <v>0</v>
      </c>
      <c r="AN301" s="289" t="n">
        <f aca="false">IF($L301=0,0,$L301*MAX(0,NETWORKDAYS(MAX($H301,ASOF,AN$72),MIN(MAX($I301,ASOF),AN$72+6),HOLIDAYS)))</f>
        <v>0</v>
      </c>
      <c r="AO301" s="289" t="n">
        <f aca="false">IF($L301=0,0,$L301*MAX(0,NETWORKDAYS(MAX($H301,ASOF,AO$72),MIN(MAX($I301,ASOF),AO$72+6),HOLIDAYS)))</f>
        <v>0</v>
      </c>
      <c r="AP301" s="289" t="n">
        <f aca="false">IF($L301=0,0,$L301*MAX(0,NETWORKDAYS(MAX($H301,ASOF,AP$72),MIN(MAX($I301,ASOF),AP$72+6),HOLIDAYS)))</f>
        <v>0</v>
      </c>
      <c r="AQ301" s="289" t="n">
        <f aca="false">IF($L301=0,0,$L301*MAX(0,NETWORKDAYS(MAX($H301,ASOF,AQ$72),MIN(MAX($I301,ASOF),AQ$72+6),HOLIDAYS)))</f>
        <v>0</v>
      </c>
      <c r="AR301" s="289" t="n">
        <f aca="false">IF($L301=0,0,$L301*MAX(0,NETWORKDAYS(MAX($H301,ASOF,AR$72),MIN(MAX($I301,ASOF),AR$72+6),HOLIDAYS)))</f>
        <v>0</v>
      </c>
    </row>
    <row r="302" customFormat="false" ht="15" hidden="false" customHeight="false" outlineLevel="1" collapsed="false">
      <c r="A302" s="282" t="s">
        <v>118</v>
      </c>
      <c r="B302" s="283" t="s">
        <v>120</v>
      </c>
      <c r="C302" s="284" t="s">
        <v>2360</v>
      </c>
      <c r="D302" s="284" t="s">
        <v>2284</v>
      </c>
      <c r="E302" s="285" t="n">
        <v>280.44</v>
      </c>
      <c r="F302" s="283" t="s">
        <v>527</v>
      </c>
      <c r="G302" s="285" t="n">
        <f aca="false">$F$6*(E302/$G$6+$H$6)</f>
        <v>24.033</v>
      </c>
      <c r="H302" s="286" t="n">
        <f aca="false">IF(ISNUMBER('P9-020'!$N$70),'P9-020'!$N$70,"")</f>
        <v>46343</v>
      </c>
      <c r="I302" s="286" t="n">
        <f aca="false">IF(ISNUMBER('P9-020'!$O$70),'P9-020'!$O$70,"")</f>
        <v>46346</v>
      </c>
      <c r="J302" s="287" t="n">
        <f aca="false">IF(OR(H302="",I302="",N302&gt;=1),0,MAX(1,NETWORKDAYS(MAX(H302,ASOF),MAX(I302,ASOF),HOLIDAYS)))</f>
        <v>4</v>
      </c>
      <c r="K302" s="287" t="n">
        <f aca="false">IF(L302=0,0,ROUNDUP(L302/$F$6,0))</f>
        <v>3</v>
      </c>
      <c r="L302" s="285" t="n">
        <f aca="false">IF(J302=0,0,G302*(1-N302)/J302)</f>
        <v>6.00825</v>
      </c>
      <c r="M302" s="283" t="s">
        <v>987</v>
      </c>
      <c r="N302" s="288" t="n">
        <f aca="false">IFERROR(MIN(1,'P9-020'!$V$70)+0,0)</f>
        <v>0</v>
      </c>
      <c r="O302" s="289" t="n">
        <f aca="false">IF($L302=0,0,$L302*MAX(0,NETWORKDAYS(MAX($H302,ASOF,O$72),MIN(MAX($I302,ASOF),O$72+6),HOLIDAYS)))</f>
        <v>0</v>
      </c>
      <c r="P302" s="289" t="n">
        <f aca="false">IF($L302=0,0,$L302*MAX(0,NETWORKDAYS(MAX($H302,ASOF,P$72),MIN(MAX($I302,ASOF),P$72+6),HOLIDAYS)))</f>
        <v>0</v>
      </c>
      <c r="Q302" s="289" t="n">
        <f aca="false">IF($L302=0,0,$L302*MAX(0,NETWORKDAYS(MAX($H302,ASOF,Q$72),MIN(MAX($I302,ASOF),Q$72+6),HOLIDAYS)))</f>
        <v>24.033</v>
      </c>
      <c r="R302" s="289" t="n">
        <f aca="false">IF($L302=0,0,$L302*MAX(0,NETWORKDAYS(MAX($H302,ASOF,R$72),MIN(MAX($I302,ASOF),R$72+6),HOLIDAYS)))</f>
        <v>0</v>
      </c>
      <c r="S302" s="289" t="n">
        <f aca="false">IF($L302=0,0,$L302*MAX(0,NETWORKDAYS(MAX($H302,ASOF,S$72),MIN(MAX($I302,ASOF),S$72+6),HOLIDAYS)))</f>
        <v>0</v>
      </c>
      <c r="T302" s="289" t="n">
        <f aca="false">IF($L302=0,0,$L302*MAX(0,NETWORKDAYS(MAX($H302,ASOF,T$72),MIN(MAX($I302,ASOF),T$72+6),HOLIDAYS)))</f>
        <v>0</v>
      </c>
      <c r="U302" s="289" t="n">
        <f aca="false">IF($L302=0,0,$L302*MAX(0,NETWORKDAYS(MAX($H302,ASOF,U$72),MIN(MAX($I302,ASOF),U$72+6),HOLIDAYS)))</f>
        <v>0</v>
      </c>
      <c r="V302" s="289" t="n">
        <f aca="false">IF($L302=0,0,$L302*MAX(0,NETWORKDAYS(MAX($H302,ASOF,V$72),MIN(MAX($I302,ASOF),V$72+6),HOLIDAYS)))</f>
        <v>0</v>
      </c>
      <c r="W302" s="289" t="n">
        <f aca="false">IF($L302=0,0,$L302*MAX(0,NETWORKDAYS(MAX($H302,ASOF,W$72),MIN(MAX($I302,ASOF),W$72+6),HOLIDAYS)))</f>
        <v>0</v>
      </c>
      <c r="X302" s="289" t="n">
        <f aca="false">IF($L302=0,0,$L302*MAX(0,NETWORKDAYS(MAX($H302,ASOF,X$72),MIN(MAX($I302,ASOF),X$72+6),HOLIDAYS)))</f>
        <v>0</v>
      </c>
      <c r="Y302" s="289" t="n">
        <f aca="false">IF($L302=0,0,$L302*MAX(0,NETWORKDAYS(MAX($H302,ASOF,Y$72),MIN(MAX($I302,ASOF),Y$72+6),HOLIDAYS)))</f>
        <v>0</v>
      </c>
      <c r="Z302" s="289" t="n">
        <f aca="false">IF($L302=0,0,$L302*MAX(0,NETWORKDAYS(MAX($H302,ASOF,Z$72),MIN(MAX($I302,ASOF),Z$72+6),HOLIDAYS)))</f>
        <v>0</v>
      </c>
      <c r="AA302" s="289" t="n">
        <f aca="false">IF($L302=0,0,$L302*MAX(0,NETWORKDAYS(MAX($H302,ASOF,AA$72),MIN(MAX($I302,ASOF),AA$72+6),HOLIDAYS)))</f>
        <v>0</v>
      </c>
      <c r="AB302" s="289" t="n">
        <f aca="false">IF($L302=0,0,$L302*MAX(0,NETWORKDAYS(MAX($H302,ASOF,AB$72),MIN(MAX($I302,ASOF),AB$72+6),HOLIDAYS)))</f>
        <v>0</v>
      </c>
      <c r="AC302" s="289" t="n">
        <f aca="false">IF($L302=0,0,$L302*MAX(0,NETWORKDAYS(MAX($H302,ASOF,AC$72),MIN(MAX($I302,ASOF),AC$72+6),HOLIDAYS)))</f>
        <v>0</v>
      </c>
      <c r="AD302" s="289" t="n">
        <f aca="false">IF($L302=0,0,$L302*MAX(0,NETWORKDAYS(MAX($H302,ASOF,AD$72),MIN(MAX($I302,ASOF),AD$72+6),HOLIDAYS)))</f>
        <v>0</v>
      </c>
      <c r="AE302" s="289" t="n">
        <f aca="false">IF($L302=0,0,$L302*MAX(0,NETWORKDAYS(MAX($H302,ASOF,AE$72),MIN(MAX($I302,ASOF),AE$72+6),HOLIDAYS)))</f>
        <v>0</v>
      </c>
      <c r="AF302" s="289" t="n">
        <f aca="false">IF($L302=0,0,$L302*MAX(0,NETWORKDAYS(MAX($H302,ASOF,AF$72),MIN(MAX($I302,ASOF),AF$72+6),HOLIDAYS)))</f>
        <v>0</v>
      </c>
      <c r="AG302" s="289" t="n">
        <f aca="false">IF($L302=0,0,$L302*MAX(0,NETWORKDAYS(MAX($H302,ASOF,AG$72),MIN(MAX($I302,ASOF),AG$72+6),HOLIDAYS)))</f>
        <v>0</v>
      </c>
      <c r="AH302" s="289" t="n">
        <f aca="false">IF($L302=0,0,$L302*MAX(0,NETWORKDAYS(MAX($H302,ASOF,AH$72),MIN(MAX($I302,ASOF),AH$72+6),HOLIDAYS)))</f>
        <v>0</v>
      </c>
      <c r="AI302" s="289" t="n">
        <f aca="false">IF($L302=0,0,$L302*MAX(0,NETWORKDAYS(MAX($H302,ASOF,AI$72),MIN(MAX($I302,ASOF),AI$72+6),HOLIDAYS)))</f>
        <v>0</v>
      </c>
      <c r="AJ302" s="289" t="n">
        <f aca="false">IF($L302=0,0,$L302*MAX(0,NETWORKDAYS(MAX($H302,ASOF,AJ$72),MIN(MAX($I302,ASOF),AJ$72+6),HOLIDAYS)))</f>
        <v>0</v>
      </c>
      <c r="AK302" s="289" t="n">
        <f aca="false">IF($L302=0,0,$L302*MAX(0,NETWORKDAYS(MAX($H302,ASOF,AK$72),MIN(MAX($I302,ASOF),AK$72+6),HOLIDAYS)))</f>
        <v>0</v>
      </c>
      <c r="AL302" s="289" t="n">
        <f aca="false">IF($L302=0,0,$L302*MAX(0,NETWORKDAYS(MAX($H302,ASOF,AL$72),MIN(MAX($I302,ASOF),AL$72+6),HOLIDAYS)))</f>
        <v>0</v>
      </c>
      <c r="AM302" s="289" t="n">
        <f aca="false">IF($L302=0,0,$L302*MAX(0,NETWORKDAYS(MAX($H302,ASOF,AM$72),MIN(MAX($I302,ASOF),AM$72+6),HOLIDAYS)))</f>
        <v>0</v>
      </c>
      <c r="AN302" s="289" t="n">
        <f aca="false">IF($L302=0,0,$L302*MAX(0,NETWORKDAYS(MAX($H302,ASOF,AN$72),MIN(MAX($I302,ASOF),AN$72+6),HOLIDAYS)))</f>
        <v>0</v>
      </c>
      <c r="AO302" s="289" t="n">
        <f aca="false">IF($L302=0,0,$L302*MAX(0,NETWORKDAYS(MAX($H302,ASOF,AO$72),MIN(MAX($I302,ASOF),AO$72+6),HOLIDAYS)))</f>
        <v>0</v>
      </c>
      <c r="AP302" s="289" t="n">
        <f aca="false">IF($L302=0,0,$L302*MAX(0,NETWORKDAYS(MAX($H302,ASOF,AP$72),MIN(MAX($I302,ASOF),AP$72+6),HOLIDAYS)))</f>
        <v>0</v>
      </c>
      <c r="AQ302" s="289" t="n">
        <f aca="false">IF($L302=0,0,$L302*MAX(0,NETWORKDAYS(MAX($H302,ASOF,AQ$72),MIN(MAX($I302,ASOF),AQ$72+6),HOLIDAYS)))</f>
        <v>0</v>
      </c>
      <c r="AR302" s="289" t="n">
        <f aca="false">IF($L302=0,0,$L302*MAX(0,NETWORKDAYS(MAX($H302,ASOF,AR$72),MIN(MAX($I302,ASOF),AR$72+6),HOLIDAYS)))</f>
        <v>0</v>
      </c>
    </row>
    <row r="303" customFormat="false" ht="15" hidden="false" customHeight="false" outlineLevel="1" collapsed="false">
      <c r="A303" s="282" t="s">
        <v>118</v>
      </c>
      <c r="B303" s="283" t="s">
        <v>120</v>
      </c>
      <c r="C303" s="284" t="s">
        <v>2361</v>
      </c>
      <c r="D303" s="284" t="s">
        <v>2280</v>
      </c>
      <c r="E303" s="285" t="n">
        <v>280.44</v>
      </c>
      <c r="F303" s="283" t="s">
        <v>527</v>
      </c>
      <c r="G303" s="285" t="n">
        <f aca="false">$F$7*(E303/$G$7+$H$7)</f>
        <v>34.0502857142857</v>
      </c>
      <c r="H303" s="286" t="n">
        <f aca="false">IF(ISNUMBER('P9-020'!$N$76),'P9-020'!$N$76,"")</f>
        <v>46337</v>
      </c>
      <c r="I303" s="286" t="n">
        <f aca="false">IF(ISNUMBER('P9-020'!$O$76),'P9-020'!$O$76,"")</f>
        <v>46347</v>
      </c>
      <c r="J303" s="287" t="n">
        <f aca="false">IF(OR(H303="",I303="",N303&gt;=1),0,MAX(1,NETWORKDAYS(MAX(H303,ASOF),MAX(I303,ASOF),HOLIDAYS)))</f>
        <v>8</v>
      </c>
      <c r="K303" s="287" t="n">
        <f aca="false">IF(L303=0,0,ROUNDUP(L303/$F$7,0))</f>
        <v>2</v>
      </c>
      <c r="L303" s="285" t="n">
        <f aca="false">IF(J303=0,0,G303*(1-N303)/J303)</f>
        <v>4.25628571428571</v>
      </c>
      <c r="M303" s="283" t="s">
        <v>1037</v>
      </c>
      <c r="N303" s="288" t="n">
        <f aca="false">IFERROR(MIN(1,'P9-020'!$V$76)+0,0)</f>
        <v>0</v>
      </c>
      <c r="O303" s="289" t="n">
        <f aca="false">IF($L303=0,0,$L303*MAX(0,NETWORKDAYS(MAX($H303,ASOF,O$72),MIN(MAX($I303,ASOF),O$72+6),HOLIDAYS)))</f>
        <v>0</v>
      </c>
      <c r="P303" s="289" t="n">
        <f aca="false">IF($L303=0,0,$L303*MAX(0,NETWORKDAYS(MAX($H303,ASOF,P$72),MIN(MAX($I303,ASOF),P$72+6),HOLIDAYS)))</f>
        <v>12.7688571428571</v>
      </c>
      <c r="Q303" s="289" t="n">
        <f aca="false">IF($L303=0,0,$L303*MAX(0,NETWORKDAYS(MAX($H303,ASOF,Q$72),MIN(MAX($I303,ASOF),Q$72+6),HOLIDAYS)))</f>
        <v>21.2814285714286</v>
      </c>
      <c r="R303" s="289" t="n">
        <f aca="false">IF($L303=0,0,$L303*MAX(0,NETWORKDAYS(MAX($H303,ASOF,R$72),MIN(MAX($I303,ASOF),R$72+6),HOLIDAYS)))</f>
        <v>0</v>
      </c>
      <c r="S303" s="289" t="n">
        <f aca="false">IF($L303=0,0,$L303*MAX(0,NETWORKDAYS(MAX($H303,ASOF,S$72),MIN(MAX($I303,ASOF),S$72+6),HOLIDAYS)))</f>
        <v>0</v>
      </c>
      <c r="T303" s="289" t="n">
        <f aca="false">IF($L303=0,0,$L303*MAX(0,NETWORKDAYS(MAX($H303,ASOF,T$72),MIN(MAX($I303,ASOF),T$72+6),HOLIDAYS)))</f>
        <v>0</v>
      </c>
      <c r="U303" s="289" t="n">
        <f aca="false">IF($L303=0,0,$L303*MAX(0,NETWORKDAYS(MAX($H303,ASOF,U$72),MIN(MAX($I303,ASOF),U$72+6),HOLIDAYS)))</f>
        <v>0</v>
      </c>
      <c r="V303" s="289" t="n">
        <f aca="false">IF($L303=0,0,$L303*MAX(0,NETWORKDAYS(MAX($H303,ASOF,V$72),MIN(MAX($I303,ASOF),V$72+6),HOLIDAYS)))</f>
        <v>0</v>
      </c>
      <c r="W303" s="289" t="n">
        <f aca="false">IF($L303=0,0,$L303*MAX(0,NETWORKDAYS(MAX($H303,ASOF,W$72),MIN(MAX($I303,ASOF),W$72+6),HOLIDAYS)))</f>
        <v>0</v>
      </c>
      <c r="X303" s="289" t="n">
        <f aca="false">IF($L303=0,0,$L303*MAX(0,NETWORKDAYS(MAX($H303,ASOF,X$72),MIN(MAX($I303,ASOF),X$72+6),HOLIDAYS)))</f>
        <v>0</v>
      </c>
      <c r="Y303" s="289" t="n">
        <f aca="false">IF($L303=0,0,$L303*MAX(0,NETWORKDAYS(MAX($H303,ASOF,Y$72),MIN(MAX($I303,ASOF),Y$72+6),HOLIDAYS)))</f>
        <v>0</v>
      </c>
      <c r="Z303" s="289" t="n">
        <f aca="false">IF($L303=0,0,$L303*MAX(0,NETWORKDAYS(MAX($H303,ASOF,Z$72),MIN(MAX($I303,ASOF),Z$72+6),HOLIDAYS)))</f>
        <v>0</v>
      </c>
      <c r="AA303" s="289" t="n">
        <f aca="false">IF($L303=0,0,$L303*MAX(0,NETWORKDAYS(MAX($H303,ASOF,AA$72),MIN(MAX($I303,ASOF),AA$72+6),HOLIDAYS)))</f>
        <v>0</v>
      </c>
      <c r="AB303" s="289" t="n">
        <f aca="false">IF($L303=0,0,$L303*MAX(0,NETWORKDAYS(MAX($H303,ASOF,AB$72),MIN(MAX($I303,ASOF),AB$72+6),HOLIDAYS)))</f>
        <v>0</v>
      </c>
      <c r="AC303" s="289" t="n">
        <f aca="false">IF($L303=0,0,$L303*MAX(0,NETWORKDAYS(MAX($H303,ASOF,AC$72),MIN(MAX($I303,ASOF),AC$72+6),HOLIDAYS)))</f>
        <v>0</v>
      </c>
      <c r="AD303" s="289" t="n">
        <f aca="false">IF($L303=0,0,$L303*MAX(0,NETWORKDAYS(MAX($H303,ASOF,AD$72),MIN(MAX($I303,ASOF),AD$72+6),HOLIDAYS)))</f>
        <v>0</v>
      </c>
      <c r="AE303" s="289" t="n">
        <f aca="false">IF($L303=0,0,$L303*MAX(0,NETWORKDAYS(MAX($H303,ASOF,AE$72),MIN(MAX($I303,ASOF),AE$72+6),HOLIDAYS)))</f>
        <v>0</v>
      </c>
      <c r="AF303" s="289" t="n">
        <f aca="false">IF($L303=0,0,$L303*MAX(0,NETWORKDAYS(MAX($H303,ASOF,AF$72),MIN(MAX($I303,ASOF),AF$72+6),HOLIDAYS)))</f>
        <v>0</v>
      </c>
      <c r="AG303" s="289" t="n">
        <f aca="false">IF($L303=0,0,$L303*MAX(0,NETWORKDAYS(MAX($H303,ASOF,AG$72),MIN(MAX($I303,ASOF),AG$72+6),HOLIDAYS)))</f>
        <v>0</v>
      </c>
      <c r="AH303" s="289" t="n">
        <f aca="false">IF($L303=0,0,$L303*MAX(0,NETWORKDAYS(MAX($H303,ASOF,AH$72),MIN(MAX($I303,ASOF),AH$72+6),HOLIDAYS)))</f>
        <v>0</v>
      </c>
      <c r="AI303" s="289" t="n">
        <f aca="false">IF($L303=0,0,$L303*MAX(0,NETWORKDAYS(MAX($H303,ASOF,AI$72),MIN(MAX($I303,ASOF),AI$72+6),HOLIDAYS)))</f>
        <v>0</v>
      </c>
      <c r="AJ303" s="289" t="n">
        <f aca="false">IF($L303=0,0,$L303*MAX(0,NETWORKDAYS(MAX($H303,ASOF,AJ$72),MIN(MAX($I303,ASOF),AJ$72+6),HOLIDAYS)))</f>
        <v>0</v>
      </c>
      <c r="AK303" s="289" t="n">
        <f aca="false">IF($L303=0,0,$L303*MAX(0,NETWORKDAYS(MAX($H303,ASOF,AK$72),MIN(MAX($I303,ASOF),AK$72+6),HOLIDAYS)))</f>
        <v>0</v>
      </c>
      <c r="AL303" s="289" t="n">
        <f aca="false">IF($L303=0,0,$L303*MAX(0,NETWORKDAYS(MAX($H303,ASOF,AL$72),MIN(MAX($I303,ASOF),AL$72+6),HOLIDAYS)))</f>
        <v>0</v>
      </c>
      <c r="AM303" s="289" t="n">
        <f aca="false">IF($L303=0,0,$L303*MAX(0,NETWORKDAYS(MAX($H303,ASOF,AM$72),MIN(MAX($I303,ASOF),AM$72+6),HOLIDAYS)))</f>
        <v>0</v>
      </c>
      <c r="AN303" s="289" t="n">
        <f aca="false">IF($L303=0,0,$L303*MAX(0,NETWORKDAYS(MAX($H303,ASOF,AN$72),MIN(MAX($I303,ASOF),AN$72+6),HOLIDAYS)))</f>
        <v>0</v>
      </c>
      <c r="AO303" s="289" t="n">
        <f aca="false">IF($L303=0,0,$L303*MAX(0,NETWORKDAYS(MAX($H303,ASOF,AO$72),MIN(MAX($I303,ASOF),AO$72+6),HOLIDAYS)))</f>
        <v>0</v>
      </c>
      <c r="AP303" s="289" t="n">
        <f aca="false">IF($L303=0,0,$L303*MAX(0,NETWORKDAYS(MAX($H303,ASOF,AP$72),MIN(MAX($I303,ASOF),AP$72+6),HOLIDAYS)))</f>
        <v>0</v>
      </c>
      <c r="AQ303" s="289" t="n">
        <f aca="false">IF($L303=0,0,$L303*MAX(0,NETWORKDAYS(MAX($H303,ASOF,AQ$72),MIN(MAX($I303,ASOF),AQ$72+6),HOLIDAYS)))</f>
        <v>0</v>
      </c>
      <c r="AR303" s="289" t="n">
        <f aca="false">IF($L303=0,0,$L303*MAX(0,NETWORKDAYS(MAX($H303,ASOF,AR$72),MIN(MAX($I303,ASOF),AR$72+6),HOLIDAYS)))</f>
        <v>0</v>
      </c>
    </row>
    <row r="304" customFormat="false" ht="15" hidden="false" customHeight="false" outlineLevel="1" collapsed="false">
      <c r="A304" s="282" t="s">
        <v>118</v>
      </c>
      <c r="B304" s="283" t="s">
        <v>120</v>
      </c>
      <c r="C304" s="284" t="s">
        <v>2362</v>
      </c>
      <c r="D304" s="284" t="s">
        <v>2284</v>
      </c>
      <c r="E304" s="285" t="n">
        <v>1</v>
      </c>
      <c r="F304" s="290" t="s">
        <v>35</v>
      </c>
      <c r="G304" s="285" t="n">
        <f aca="false">$F$8*$H$8</f>
        <v>2</v>
      </c>
      <c r="H304" s="286" t="n">
        <f aca="false">IF(ISNUMBER('P9-020'!$N$82),'P9-020'!$N$82,"")</f>
        <v>46345</v>
      </c>
      <c r="I304" s="286" t="n">
        <f aca="false">IF(ISNUMBER('P9-020'!$O$82),'P9-020'!$O$82,"")</f>
        <v>46347</v>
      </c>
      <c r="J304" s="287" t="n">
        <f aca="false">IF(OR(H304="",I304="",N304&gt;=1),0,MAX(1,NETWORKDAYS(MAX(H304,ASOF),MAX(I304,ASOF),HOLIDAYS)))</f>
        <v>2</v>
      </c>
      <c r="K304" s="287" t="n">
        <f aca="false">IF(L304=0,0,ROUNDUP(L304/$F$8,0))</f>
        <v>1</v>
      </c>
      <c r="L304" s="285" t="n">
        <f aca="false">IF(J304=0,0,G304*(1-N304)/J304)</f>
        <v>1</v>
      </c>
      <c r="M304" s="283" t="s">
        <v>1063</v>
      </c>
      <c r="N304" s="288" t="n">
        <f aca="false">IFERROR(MIN(1,'P9-020'!$V$82)+0,0)</f>
        <v>0</v>
      </c>
      <c r="O304" s="289" t="n">
        <f aca="false">IF($L304=0,0,$L304*MAX(0,NETWORKDAYS(MAX($H304,ASOF,O$72),MIN(MAX($I304,ASOF),O$72+6),HOLIDAYS)))</f>
        <v>0</v>
      </c>
      <c r="P304" s="289" t="n">
        <f aca="false">IF($L304=0,0,$L304*MAX(0,NETWORKDAYS(MAX($H304,ASOF,P$72),MIN(MAX($I304,ASOF),P$72+6),HOLIDAYS)))</f>
        <v>0</v>
      </c>
      <c r="Q304" s="289" t="n">
        <f aca="false">IF($L304=0,0,$L304*MAX(0,NETWORKDAYS(MAX($H304,ASOF,Q$72),MIN(MAX($I304,ASOF),Q$72+6),HOLIDAYS)))</f>
        <v>2</v>
      </c>
      <c r="R304" s="289" t="n">
        <f aca="false">IF($L304=0,0,$L304*MAX(0,NETWORKDAYS(MAX($H304,ASOF,R$72),MIN(MAX($I304,ASOF),R$72+6),HOLIDAYS)))</f>
        <v>0</v>
      </c>
      <c r="S304" s="289" t="n">
        <f aca="false">IF($L304=0,0,$L304*MAX(0,NETWORKDAYS(MAX($H304,ASOF,S$72),MIN(MAX($I304,ASOF),S$72+6),HOLIDAYS)))</f>
        <v>0</v>
      </c>
      <c r="T304" s="289" t="n">
        <f aca="false">IF($L304=0,0,$L304*MAX(0,NETWORKDAYS(MAX($H304,ASOF,T$72),MIN(MAX($I304,ASOF),T$72+6),HOLIDAYS)))</f>
        <v>0</v>
      </c>
      <c r="U304" s="289" t="n">
        <f aca="false">IF($L304=0,0,$L304*MAX(0,NETWORKDAYS(MAX($H304,ASOF,U$72),MIN(MAX($I304,ASOF),U$72+6),HOLIDAYS)))</f>
        <v>0</v>
      </c>
      <c r="V304" s="289" t="n">
        <f aca="false">IF($L304=0,0,$L304*MAX(0,NETWORKDAYS(MAX($H304,ASOF,V$72),MIN(MAX($I304,ASOF),V$72+6),HOLIDAYS)))</f>
        <v>0</v>
      </c>
      <c r="W304" s="289" t="n">
        <f aca="false">IF($L304=0,0,$L304*MAX(0,NETWORKDAYS(MAX($H304,ASOF,W$72),MIN(MAX($I304,ASOF),W$72+6),HOLIDAYS)))</f>
        <v>0</v>
      </c>
      <c r="X304" s="289" t="n">
        <f aca="false">IF($L304=0,0,$L304*MAX(0,NETWORKDAYS(MAX($H304,ASOF,X$72),MIN(MAX($I304,ASOF),X$72+6),HOLIDAYS)))</f>
        <v>0</v>
      </c>
      <c r="Y304" s="289" t="n">
        <f aca="false">IF($L304=0,0,$L304*MAX(0,NETWORKDAYS(MAX($H304,ASOF,Y$72),MIN(MAX($I304,ASOF),Y$72+6),HOLIDAYS)))</f>
        <v>0</v>
      </c>
      <c r="Z304" s="289" t="n">
        <f aca="false">IF($L304=0,0,$L304*MAX(0,NETWORKDAYS(MAX($H304,ASOF,Z$72),MIN(MAX($I304,ASOF),Z$72+6),HOLIDAYS)))</f>
        <v>0</v>
      </c>
      <c r="AA304" s="289" t="n">
        <f aca="false">IF($L304=0,0,$L304*MAX(0,NETWORKDAYS(MAX($H304,ASOF,AA$72),MIN(MAX($I304,ASOF),AA$72+6),HOLIDAYS)))</f>
        <v>0</v>
      </c>
      <c r="AB304" s="289" t="n">
        <f aca="false">IF($L304=0,0,$L304*MAX(0,NETWORKDAYS(MAX($H304,ASOF,AB$72),MIN(MAX($I304,ASOF),AB$72+6),HOLIDAYS)))</f>
        <v>0</v>
      </c>
      <c r="AC304" s="289" t="n">
        <f aca="false">IF($L304=0,0,$L304*MAX(0,NETWORKDAYS(MAX($H304,ASOF,AC$72),MIN(MAX($I304,ASOF),AC$72+6),HOLIDAYS)))</f>
        <v>0</v>
      </c>
      <c r="AD304" s="289" t="n">
        <f aca="false">IF($L304=0,0,$L304*MAX(0,NETWORKDAYS(MAX($H304,ASOF,AD$72),MIN(MAX($I304,ASOF),AD$72+6),HOLIDAYS)))</f>
        <v>0</v>
      </c>
      <c r="AE304" s="289" t="n">
        <f aca="false">IF($L304=0,0,$L304*MAX(0,NETWORKDAYS(MAX($H304,ASOF,AE$72),MIN(MAX($I304,ASOF),AE$72+6),HOLIDAYS)))</f>
        <v>0</v>
      </c>
      <c r="AF304" s="289" t="n">
        <f aca="false">IF($L304=0,0,$L304*MAX(0,NETWORKDAYS(MAX($H304,ASOF,AF$72),MIN(MAX($I304,ASOF),AF$72+6),HOLIDAYS)))</f>
        <v>0</v>
      </c>
      <c r="AG304" s="289" t="n">
        <f aca="false">IF($L304=0,0,$L304*MAX(0,NETWORKDAYS(MAX($H304,ASOF,AG$72),MIN(MAX($I304,ASOF),AG$72+6),HOLIDAYS)))</f>
        <v>0</v>
      </c>
      <c r="AH304" s="289" t="n">
        <f aca="false">IF($L304=0,0,$L304*MAX(0,NETWORKDAYS(MAX($H304,ASOF,AH$72),MIN(MAX($I304,ASOF),AH$72+6),HOLIDAYS)))</f>
        <v>0</v>
      </c>
      <c r="AI304" s="289" t="n">
        <f aca="false">IF($L304=0,0,$L304*MAX(0,NETWORKDAYS(MAX($H304,ASOF,AI$72),MIN(MAX($I304,ASOF),AI$72+6),HOLIDAYS)))</f>
        <v>0</v>
      </c>
      <c r="AJ304" s="289" t="n">
        <f aca="false">IF($L304=0,0,$L304*MAX(0,NETWORKDAYS(MAX($H304,ASOF,AJ$72),MIN(MAX($I304,ASOF),AJ$72+6),HOLIDAYS)))</f>
        <v>0</v>
      </c>
      <c r="AK304" s="289" t="n">
        <f aca="false">IF($L304=0,0,$L304*MAX(0,NETWORKDAYS(MAX($H304,ASOF,AK$72),MIN(MAX($I304,ASOF),AK$72+6),HOLIDAYS)))</f>
        <v>0</v>
      </c>
      <c r="AL304" s="289" t="n">
        <f aca="false">IF($L304=0,0,$L304*MAX(0,NETWORKDAYS(MAX($H304,ASOF,AL$72),MIN(MAX($I304,ASOF),AL$72+6),HOLIDAYS)))</f>
        <v>0</v>
      </c>
      <c r="AM304" s="289" t="n">
        <f aca="false">IF($L304=0,0,$L304*MAX(0,NETWORKDAYS(MAX($H304,ASOF,AM$72),MIN(MAX($I304,ASOF),AM$72+6),HOLIDAYS)))</f>
        <v>0</v>
      </c>
      <c r="AN304" s="289" t="n">
        <f aca="false">IF($L304=0,0,$L304*MAX(0,NETWORKDAYS(MAX($H304,ASOF,AN$72),MIN(MAX($I304,ASOF),AN$72+6),HOLIDAYS)))</f>
        <v>0</v>
      </c>
      <c r="AO304" s="289" t="n">
        <f aca="false">IF($L304=0,0,$L304*MAX(0,NETWORKDAYS(MAX($H304,ASOF,AO$72),MIN(MAX($I304,ASOF),AO$72+6),HOLIDAYS)))</f>
        <v>0</v>
      </c>
      <c r="AP304" s="289" t="n">
        <f aca="false">IF($L304=0,0,$L304*MAX(0,NETWORKDAYS(MAX($H304,ASOF,AP$72),MIN(MAX($I304,ASOF),AP$72+6),HOLIDAYS)))</f>
        <v>0</v>
      </c>
      <c r="AQ304" s="289" t="n">
        <f aca="false">IF($L304=0,0,$L304*MAX(0,NETWORKDAYS(MAX($H304,ASOF,AQ$72),MIN(MAX($I304,ASOF),AQ$72+6),HOLIDAYS)))</f>
        <v>0</v>
      </c>
      <c r="AR304" s="289" t="n">
        <f aca="false">IF($L304=0,0,$L304*MAX(0,NETWORKDAYS(MAX($H304,ASOF,AR$72),MIN(MAX($I304,ASOF),AR$72+6),HOLIDAYS)))</f>
        <v>0</v>
      </c>
    </row>
    <row r="305" customFormat="false" ht="15" hidden="false" customHeight="false" outlineLevel="1" collapsed="false">
      <c r="A305" s="282" t="s">
        <v>118</v>
      </c>
      <c r="B305" s="283" t="s">
        <v>120</v>
      </c>
      <c r="C305" s="284" t="s">
        <v>2363</v>
      </c>
      <c r="D305" s="284" t="s">
        <v>2290</v>
      </c>
      <c r="E305" s="285" t="n">
        <v>1</v>
      </c>
      <c r="F305" s="290" t="s">
        <v>35</v>
      </c>
      <c r="G305" s="285" t="n">
        <f aca="false">IF(IFERROR(INDEX(INVS_TYPE,MATCH("P9-020",INVS_ID,0)),"")="สร้างใหม่ (E09)",$F$9*$H$9,0)</f>
        <v>24</v>
      </c>
      <c r="H305" s="286" t="n">
        <f aca="false">IF(ISNUMBER('P9-020'!$N$85),'P9-020'!$N$85,"")</f>
        <v>46343</v>
      </c>
      <c r="I305" s="286" t="n">
        <f aca="false">IF(ISNUMBER('P9-020'!$O$85),'P9-020'!$O$85,"")</f>
        <v>46346</v>
      </c>
      <c r="J305" s="287" t="n">
        <f aca="false">IF(OR(H305="",I305="",N305&gt;=1),0,MAX(1,NETWORKDAYS(MAX(H305,ASOF),MAX(I305,ASOF),HOLIDAYS)))</f>
        <v>4</v>
      </c>
      <c r="K305" s="287" t="n">
        <f aca="false">IF(L305=0,0,ROUNDUP(L305/$F$9,0))</f>
        <v>2</v>
      </c>
      <c r="L305" s="285" t="n">
        <f aca="false">IF(J305=0,0,G305*(1-N305)/J305)</f>
        <v>6</v>
      </c>
      <c r="M305" s="283" t="s">
        <v>2288</v>
      </c>
      <c r="N305" s="288" t="n">
        <f aca="false">IFERROR(MIN(1,'P9-020'!$V$85)+0,0)</f>
        <v>0</v>
      </c>
      <c r="O305" s="289" t="n">
        <f aca="false">IF($L305=0,0,$L305*MAX(0,NETWORKDAYS(MAX($H305,ASOF,O$72),MIN(MAX($I305,ASOF),O$72+6),HOLIDAYS)))</f>
        <v>0</v>
      </c>
      <c r="P305" s="289" t="n">
        <f aca="false">IF($L305=0,0,$L305*MAX(0,NETWORKDAYS(MAX($H305,ASOF,P$72),MIN(MAX($I305,ASOF),P$72+6),HOLIDAYS)))</f>
        <v>0</v>
      </c>
      <c r="Q305" s="289" t="n">
        <f aca="false">IF($L305=0,0,$L305*MAX(0,NETWORKDAYS(MAX($H305,ASOF,Q$72),MIN(MAX($I305,ASOF),Q$72+6),HOLIDAYS)))</f>
        <v>24</v>
      </c>
      <c r="R305" s="289" t="n">
        <f aca="false">IF($L305=0,0,$L305*MAX(0,NETWORKDAYS(MAX($H305,ASOF,R$72),MIN(MAX($I305,ASOF),R$72+6),HOLIDAYS)))</f>
        <v>0</v>
      </c>
      <c r="S305" s="289" t="n">
        <f aca="false">IF($L305=0,0,$L305*MAX(0,NETWORKDAYS(MAX($H305,ASOF,S$72),MIN(MAX($I305,ASOF),S$72+6),HOLIDAYS)))</f>
        <v>0</v>
      </c>
      <c r="T305" s="289" t="n">
        <f aca="false">IF($L305=0,0,$L305*MAX(0,NETWORKDAYS(MAX($H305,ASOF,T$72),MIN(MAX($I305,ASOF),T$72+6),HOLIDAYS)))</f>
        <v>0</v>
      </c>
      <c r="U305" s="289" t="n">
        <f aca="false">IF($L305=0,0,$L305*MAX(0,NETWORKDAYS(MAX($H305,ASOF,U$72),MIN(MAX($I305,ASOF),U$72+6),HOLIDAYS)))</f>
        <v>0</v>
      </c>
      <c r="V305" s="289" t="n">
        <f aca="false">IF($L305=0,0,$L305*MAX(0,NETWORKDAYS(MAX($H305,ASOF,V$72),MIN(MAX($I305,ASOF),V$72+6),HOLIDAYS)))</f>
        <v>0</v>
      </c>
      <c r="W305" s="289" t="n">
        <f aca="false">IF($L305=0,0,$L305*MAX(0,NETWORKDAYS(MAX($H305,ASOF,W$72),MIN(MAX($I305,ASOF),W$72+6),HOLIDAYS)))</f>
        <v>0</v>
      </c>
      <c r="X305" s="289" t="n">
        <f aca="false">IF($L305=0,0,$L305*MAX(0,NETWORKDAYS(MAX($H305,ASOF,X$72),MIN(MAX($I305,ASOF),X$72+6),HOLIDAYS)))</f>
        <v>0</v>
      </c>
      <c r="Y305" s="289" t="n">
        <f aca="false">IF($L305=0,0,$L305*MAX(0,NETWORKDAYS(MAX($H305,ASOF,Y$72),MIN(MAX($I305,ASOF),Y$72+6),HOLIDAYS)))</f>
        <v>0</v>
      </c>
      <c r="Z305" s="289" t="n">
        <f aca="false">IF($L305=0,0,$L305*MAX(0,NETWORKDAYS(MAX($H305,ASOF,Z$72),MIN(MAX($I305,ASOF),Z$72+6),HOLIDAYS)))</f>
        <v>0</v>
      </c>
      <c r="AA305" s="289" t="n">
        <f aca="false">IF($L305=0,0,$L305*MAX(0,NETWORKDAYS(MAX($H305,ASOF,AA$72),MIN(MAX($I305,ASOF),AA$72+6),HOLIDAYS)))</f>
        <v>0</v>
      </c>
      <c r="AB305" s="289" t="n">
        <f aca="false">IF($L305=0,0,$L305*MAX(0,NETWORKDAYS(MAX($H305,ASOF,AB$72),MIN(MAX($I305,ASOF),AB$72+6),HOLIDAYS)))</f>
        <v>0</v>
      </c>
      <c r="AC305" s="289" t="n">
        <f aca="false">IF($L305=0,0,$L305*MAX(0,NETWORKDAYS(MAX($H305,ASOF,AC$72),MIN(MAX($I305,ASOF),AC$72+6),HOLIDAYS)))</f>
        <v>0</v>
      </c>
      <c r="AD305" s="289" t="n">
        <f aca="false">IF($L305=0,0,$L305*MAX(0,NETWORKDAYS(MAX($H305,ASOF,AD$72),MIN(MAX($I305,ASOF),AD$72+6),HOLIDAYS)))</f>
        <v>0</v>
      </c>
      <c r="AE305" s="289" t="n">
        <f aca="false">IF($L305=0,0,$L305*MAX(0,NETWORKDAYS(MAX($H305,ASOF,AE$72),MIN(MAX($I305,ASOF),AE$72+6),HOLIDAYS)))</f>
        <v>0</v>
      </c>
      <c r="AF305" s="289" t="n">
        <f aca="false">IF($L305=0,0,$L305*MAX(0,NETWORKDAYS(MAX($H305,ASOF,AF$72),MIN(MAX($I305,ASOF),AF$72+6),HOLIDAYS)))</f>
        <v>0</v>
      </c>
      <c r="AG305" s="289" t="n">
        <f aca="false">IF($L305=0,0,$L305*MAX(0,NETWORKDAYS(MAX($H305,ASOF,AG$72),MIN(MAX($I305,ASOF),AG$72+6),HOLIDAYS)))</f>
        <v>0</v>
      </c>
      <c r="AH305" s="289" t="n">
        <f aca="false">IF($L305=0,0,$L305*MAX(0,NETWORKDAYS(MAX($H305,ASOF,AH$72),MIN(MAX($I305,ASOF),AH$72+6),HOLIDAYS)))</f>
        <v>0</v>
      </c>
      <c r="AI305" s="289" t="n">
        <f aca="false">IF($L305=0,0,$L305*MAX(0,NETWORKDAYS(MAX($H305,ASOF,AI$72),MIN(MAX($I305,ASOF),AI$72+6),HOLIDAYS)))</f>
        <v>0</v>
      </c>
      <c r="AJ305" s="289" t="n">
        <f aca="false">IF($L305=0,0,$L305*MAX(0,NETWORKDAYS(MAX($H305,ASOF,AJ$72),MIN(MAX($I305,ASOF),AJ$72+6),HOLIDAYS)))</f>
        <v>0</v>
      </c>
      <c r="AK305" s="289" t="n">
        <f aca="false">IF($L305=0,0,$L305*MAX(0,NETWORKDAYS(MAX($H305,ASOF,AK$72),MIN(MAX($I305,ASOF),AK$72+6),HOLIDAYS)))</f>
        <v>0</v>
      </c>
      <c r="AL305" s="289" t="n">
        <f aca="false">IF($L305=0,0,$L305*MAX(0,NETWORKDAYS(MAX($H305,ASOF,AL$72),MIN(MAX($I305,ASOF),AL$72+6),HOLIDAYS)))</f>
        <v>0</v>
      </c>
      <c r="AM305" s="289" t="n">
        <f aca="false">IF($L305=0,0,$L305*MAX(0,NETWORKDAYS(MAX($H305,ASOF,AM$72),MIN(MAX($I305,ASOF),AM$72+6),HOLIDAYS)))</f>
        <v>0</v>
      </c>
      <c r="AN305" s="289" t="n">
        <f aca="false">IF($L305=0,0,$L305*MAX(0,NETWORKDAYS(MAX($H305,ASOF,AN$72),MIN(MAX($I305,ASOF),AN$72+6),HOLIDAYS)))</f>
        <v>0</v>
      </c>
      <c r="AO305" s="289" t="n">
        <f aca="false">IF($L305=0,0,$L305*MAX(0,NETWORKDAYS(MAX($H305,ASOF,AO$72),MIN(MAX($I305,ASOF),AO$72+6),HOLIDAYS)))</f>
        <v>0</v>
      </c>
      <c r="AP305" s="289" t="n">
        <f aca="false">IF($L305=0,0,$L305*MAX(0,NETWORKDAYS(MAX($H305,ASOF,AP$72),MIN(MAX($I305,ASOF),AP$72+6),HOLIDAYS)))</f>
        <v>0</v>
      </c>
      <c r="AQ305" s="289" t="n">
        <f aca="false">IF($L305=0,0,$L305*MAX(0,NETWORKDAYS(MAX($H305,ASOF,AQ$72),MIN(MAX($I305,ASOF),AQ$72+6),HOLIDAYS)))</f>
        <v>0</v>
      </c>
      <c r="AR305" s="289" t="n">
        <f aca="false">IF($L305=0,0,$L305*MAX(0,NETWORKDAYS(MAX($H305,ASOF,AR$72),MIN(MAX($I305,ASOF),AR$72+6),HOLIDAYS)))</f>
        <v>0</v>
      </c>
    </row>
    <row r="306" customFormat="false" ht="15" hidden="false" customHeight="false" outlineLevel="1" collapsed="false">
      <c r="A306" s="282" t="s">
        <v>118</v>
      </c>
      <c r="B306" s="283" t="s">
        <v>120</v>
      </c>
      <c r="C306" s="284" t="s">
        <v>2364</v>
      </c>
      <c r="D306" s="284" t="s">
        <v>2284</v>
      </c>
      <c r="E306" s="285" t="n">
        <f aca="false">IFERROR(INDEX(INVS_N,MATCH("P9-020",INVS_ID,0)),2)</f>
        <v>2</v>
      </c>
      <c r="F306" s="290" t="s">
        <v>2365</v>
      </c>
      <c r="G306" s="285" t="n">
        <f aca="false">$F$10*(E306/$G$10+$H$10)</f>
        <v>4.5</v>
      </c>
      <c r="H306" s="286" t="n">
        <f aca="false">IF(ISNUMBER('P9-020'!$N$85),'P9-020'!$N$85,"")</f>
        <v>46343</v>
      </c>
      <c r="I306" s="286" t="n">
        <f aca="false">IF(ISNUMBER('P9-020'!$O$85),'P9-020'!$O$85,"")</f>
        <v>46346</v>
      </c>
      <c r="J306" s="287" t="n">
        <f aca="false">IF(OR(H306="",I306="",N306&gt;=1),0,MAX(1,NETWORKDAYS(MAX(H306,ASOF),MAX(I306,ASOF),HOLIDAYS)))</f>
        <v>4</v>
      </c>
      <c r="K306" s="287" t="n">
        <f aca="false">IF(L306=0,0,ROUNDUP(L306/$F$10,0))</f>
        <v>1</v>
      </c>
      <c r="L306" s="285" t="n">
        <f aca="false">IF(J306=0,0,G306*(1-N306)/J306)</f>
        <v>1.125</v>
      </c>
      <c r="M306" s="283" t="s">
        <v>2293</v>
      </c>
      <c r="N306" s="288" t="n">
        <f aca="false">IFERROR(MIN(1,'P9-020'!$V$85)+0,0)</f>
        <v>0</v>
      </c>
      <c r="O306" s="289" t="n">
        <f aca="false">IF($L306=0,0,$L306*MAX(0,NETWORKDAYS(MAX($H306,ASOF,O$72),MIN(MAX($I306,ASOF),O$72+6),HOLIDAYS)))</f>
        <v>0</v>
      </c>
      <c r="P306" s="289" t="n">
        <f aca="false">IF($L306=0,0,$L306*MAX(0,NETWORKDAYS(MAX($H306,ASOF,P$72),MIN(MAX($I306,ASOF),P$72+6),HOLIDAYS)))</f>
        <v>0</v>
      </c>
      <c r="Q306" s="289" t="n">
        <f aca="false">IF($L306=0,0,$L306*MAX(0,NETWORKDAYS(MAX($H306,ASOF,Q$72),MIN(MAX($I306,ASOF),Q$72+6),HOLIDAYS)))</f>
        <v>4.5</v>
      </c>
      <c r="R306" s="289" t="n">
        <f aca="false">IF($L306=0,0,$L306*MAX(0,NETWORKDAYS(MAX($H306,ASOF,R$72),MIN(MAX($I306,ASOF),R$72+6),HOLIDAYS)))</f>
        <v>0</v>
      </c>
      <c r="S306" s="289" t="n">
        <f aca="false">IF($L306=0,0,$L306*MAX(0,NETWORKDAYS(MAX($H306,ASOF,S$72),MIN(MAX($I306,ASOF),S$72+6),HOLIDAYS)))</f>
        <v>0</v>
      </c>
      <c r="T306" s="289" t="n">
        <f aca="false">IF($L306=0,0,$L306*MAX(0,NETWORKDAYS(MAX($H306,ASOF,T$72),MIN(MAX($I306,ASOF),T$72+6),HOLIDAYS)))</f>
        <v>0</v>
      </c>
      <c r="U306" s="289" t="n">
        <f aca="false">IF($L306=0,0,$L306*MAX(0,NETWORKDAYS(MAX($H306,ASOF,U$72),MIN(MAX($I306,ASOF),U$72+6),HOLIDAYS)))</f>
        <v>0</v>
      </c>
      <c r="V306" s="289" t="n">
        <f aca="false">IF($L306=0,0,$L306*MAX(0,NETWORKDAYS(MAX($H306,ASOF,V$72),MIN(MAX($I306,ASOF),V$72+6),HOLIDAYS)))</f>
        <v>0</v>
      </c>
      <c r="W306" s="289" t="n">
        <f aca="false">IF($L306=0,0,$L306*MAX(0,NETWORKDAYS(MAX($H306,ASOF,W$72),MIN(MAX($I306,ASOF),W$72+6),HOLIDAYS)))</f>
        <v>0</v>
      </c>
      <c r="X306" s="289" t="n">
        <f aca="false">IF($L306=0,0,$L306*MAX(0,NETWORKDAYS(MAX($H306,ASOF,X$72),MIN(MAX($I306,ASOF),X$72+6),HOLIDAYS)))</f>
        <v>0</v>
      </c>
      <c r="Y306" s="289" t="n">
        <f aca="false">IF($L306=0,0,$L306*MAX(0,NETWORKDAYS(MAX($H306,ASOF,Y$72),MIN(MAX($I306,ASOF),Y$72+6),HOLIDAYS)))</f>
        <v>0</v>
      </c>
      <c r="Z306" s="289" t="n">
        <f aca="false">IF($L306=0,0,$L306*MAX(0,NETWORKDAYS(MAX($H306,ASOF,Z$72),MIN(MAX($I306,ASOF),Z$72+6),HOLIDAYS)))</f>
        <v>0</v>
      </c>
      <c r="AA306" s="289" t="n">
        <f aca="false">IF($L306=0,0,$L306*MAX(0,NETWORKDAYS(MAX($H306,ASOF,AA$72),MIN(MAX($I306,ASOF),AA$72+6),HOLIDAYS)))</f>
        <v>0</v>
      </c>
      <c r="AB306" s="289" t="n">
        <f aca="false">IF($L306=0,0,$L306*MAX(0,NETWORKDAYS(MAX($H306,ASOF,AB$72),MIN(MAX($I306,ASOF),AB$72+6),HOLIDAYS)))</f>
        <v>0</v>
      </c>
      <c r="AC306" s="289" t="n">
        <f aca="false">IF($L306=0,0,$L306*MAX(0,NETWORKDAYS(MAX($H306,ASOF,AC$72),MIN(MAX($I306,ASOF),AC$72+6),HOLIDAYS)))</f>
        <v>0</v>
      </c>
      <c r="AD306" s="289" t="n">
        <f aca="false">IF($L306=0,0,$L306*MAX(0,NETWORKDAYS(MAX($H306,ASOF,AD$72),MIN(MAX($I306,ASOF),AD$72+6),HOLIDAYS)))</f>
        <v>0</v>
      </c>
      <c r="AE306" s="289" t="n">
        <f aca="false">IF($L306=0,0,$L306*MAX(0,NETWORKDAYS(MAX($H306,ASOF,AE$72),MIN(MAX($I306,ASOF),AE$72+6),HOLIDAYS)))</f>
        <v>0</v>
      </c>
      <c r="AF306" s="289" t="n">
        <f aca="false">IF($L306=0,0,$L306*MAX(0,NETWORKDAYS(MAX($H306,ASOF,AF$72),MIN(MAX($I306,ASOF),AF$72+6),HOLIDAYS)))</f>
        <v>0</v>
      </c>
      <c r="AG306" s="289" t="n">
        <f aca="false">IF($L306=0,0,$L306*MAX(0,NETWORKDAYS(MAX($H306,ASOF,AG$72),MIN(MAX($I306,ASOF),AG$72+6),HOLIDAYS)))</f>
        <v>0</v>
      </c>
      <c r="AH306" s="289" t="n">
        <f aca="false">IF($L306=0,0,$L306*MAX(0,NETWORKDAYS(MAX($H306,ASOF,AH$72),MIN(MAX($I306,ASOF),AH$72+6),HOLIDAYS)))</f>
        <v>0</v>
      </c>
      <c r="AI306" s="289" t="n">
        <f aca="false">IF($L306=0,0,$L306*MAX(0,NETWORKDAYS(MAX($H306,ASOF,AI$72),MIN(MAX($I306,ASOF),AI$72+6),HOLIDAYS)))</f>
        <v>0</v>
      </c>
      <c r="AJ306" s="289" t="n">
        <f aca="false">IF($L306=0,0,$L306*MAX(0,NETWORKDAYS(MAX($H306,ASOF,AJ$72),MIN(MAX($I306,ASOF),AJ$72+6),HOLIDAYS)))</f>
        <v>0</v>
      </c>
      <c r="AK306" s="289" t="n">
        <f aca="false">IF($L306=0,0,$L306*MAX(0,NETWORKDAYS(MAX($H306,ASOF,AK$72),MIN(MAX($I306,ASOF),AK$72+6),HOLIDAYS)))</f>
        <v>0</v>
      </c>
      <c r="AL306" s="289" t="n">
        <f aca="false">IF($L306=0,0,$L306*MAX(0,NETWORKDAYS(MAX($H306,ASOF,AL$72),MIN(MAX($I306,ASOF),AL$72+6),HOLIDAYS)))</f>
        <v>0</v>
      </c>
      <c r="AM306" s="289" t="n">
        <f aca="false">IF($L306=0,0,$L306*MAX(0,NETWORKDAYS(MAX($H306,ASOF,AM$72),MIN(MAX($I306,ASOF),AM$72+6),HOLIDAYS)))</f>
        <v>0</v>
      </c>
      <c r="AN306" s="289" t="n">
        <f aca="false">IF($L306=0,0,$L306*MAX(0,NETWORKDAYS(MAX($H306,ASOF,AN$72),MIN(MAX($I306,ASOF),AN$72+6),HOLIDAYS)))</f>
        <v>0</v>
      </c>
      <c r="AO306" s="289" t="n">
        <f aca="false">IF($L306=0,0,$L306*MAX(0,NETWORKDAYS(MAX($H306,ASOF,AO$72),MIN(MAX($I306,ASOF),AO$72+6),HOLIDAYS)))</f>
        <v>0</v>
      </c>
      <c r="AP306" s="289" t="n">
        <f aca="false">IF($L306=0,0,$L306*MAX(0,NETWORKDAYS(MAX($H306,ASOF,AP$72),MIN(MAX($I306,ASOF),AP$72+6),HOLIDAYS)))</f>
        <v>0</v>
      </c>
      <c r="AQ306" s="289" t="n">
        <f aca="false">IF($L306=0,0,$L306*MAX(0,NETWORKDAYS(MAX($H306,ASOF,AQ$72),MIN(MAX($I306,ASOF),AQ$72+6),HOLIDAYS)))</f>
        <v>0</v>
      </c>
      <c r="AR306" s="289" t="n">
        <f aca="false">IF($L306=0,0,$L306*MAX(0,NETWORKDAYS(MAX($H306,ASOF,AR$72),MIN(MAX($I306,ASOF),AR$72+6),HOLIDAYS)))</f>
        <v>0</v>
      </c>
    </row>
    <row r="307" customFormat="false" ht="15" hidden="false" customHeight="false" outlineLevel="1" collapsed="false">
      <c r="A307" s="282" t="s">
        <v>118</v>
      </c>
      <c r="B307" s="283" t="s">
        <v>120</v>
      </c>
      <c r="C307" s="284" t="s">
        <v>2366</v>
      </c>
      <c r="D307" s="284" t="s">
        <v>2284</v>
      </c>
      <c r="E307" s="285" t="n">
        <v>1</v>
      </c>
      <c r="F307" s="290" t="s">
        <v>35</v>
      </c>
      <c r="G307" s="285" t="n">
        <f aca="false">$F$11*$H$11</f>
        <v>16</v>
      </c>
      <c r="H307" s="286" t="n">
        <f aca="false">IF(ISNUMBER('P9-020'!$N$90),'P9-020'!$N$90,"")</f>
        <v>46344</v>
      </c>
      <c r="I307" s="286" t="n">
        <f aca="false">IF(ISNUMBER('P9-020'!$O$90),'P9-020'!$O$90,"")</f>
        <v>46347</v>
      </c>
      <c r="J307" s="287" t="n">
        <f aca="false">IF(OR(H307="",I307="",N307&gt;=1),0,MAX(1,NETWORKDAYS(MAX(H307,ASOF),MAX(I307,ASOF),HOLIDAYS)))</f>
        <v>3</v>
      </c>
      <c r="K307" s="287" t="n">
        <f aca="false">IF(L307=0,0,ROUNDUP(L307/$F$11,0))</f>
        <v>2</v>
      </c>
      <c r="L307" s="285" t="n">
        <f aca="false">IF(J307=0,0,G307*(1-N307)/J307)</f>
        <v>5.33333333333333</v>
      </c>
      <c r="M307" s="283" t="s">
        <v>1113</v>
      </c>
      <c r="N307" s="288" t="n">
        <f aca="false">IFERROR(MIN(1,'P9-020'!$V$90)+0,0)</f>
        <v>0</v>
      </c>
      <c r="O307" s="289" t="n">
        <f aca="false">IF($L307=0,0,$L307*MAX(0,NETWORKDAYS(MAX($H307,ASOF,O$72),MIN(MAX($I307,ASOF),O$72+6),HOLIDAYS)))</f>
        <v>0</v>
      </c>
      <c r="P307" s="289" t="n">
        <f aca="false">IF($L307=0,0,$L307*MAX(0,NETWORKDAYS(MAX($H307,ASOF,P$72),MIN(MAX($I307,ASOF),P$72+6),HOLIDAYS)))</f>
        <v>0</v>
      </c>
      <c r="Q307" s="289" t="n">
        <f aca="false">IF($L307=0,0,$L307*MAX(0,NETWORKDAYS(MAX($H307,ASOF,Q$72),MIN(MAX($I307,ASOF),Q$72+6),HOLIDAYS)))</f>
        <v>16</v>
      </c>
      <c r="R307" s="289" t="n">
        <f aca="false">IF($L307=0,0,$L307*MAX(0,NETWORKDAYS(MAX($H307,ASOF,R$72),MIN(MAX($I307,ASOF),R$72+6),HOLIDAYS)))</f>
        <v>0</v>
      </c>
      <c r="S307" s="289" t="n">
        <f aca="false">IF($L307=0,0,$L307*MAX(0,NETWORKDAYS(MAX($H307,ASOF,S$72),MIN(MAX($I307,ASOF),S$72+6),HOLIDAYS)))</f>
        <v>0</v>
      </c>
      <c r="T307" s="289" t="n">
        <f aca="false">IF($L307=0,0,$L307*MAX(0,NETWORKDAYS(MAX($H307,ASOF,T$72),MIN(MAX($I307,ASOF),T$72+6),HOLIDAYS)))</f>
        <v>0</v>
      </c>
      <c r="U307" s="289" t="n">
        <f aca="false">IF($L307=0,0,$L307*MAX(0,NETWORKDAYS(MAX($H307,ASOF,U$72),MIN(MAX($I307,ASOF),U$72+6),HOLIDAYS)))</f>
        <v>0</v>
      </c>
      <c r="V307" s="289" t="n">
        <f aca="false">IF($L307=0,0,$L307*MAX(0,NETWORKDAYS(MAX($H307,ASOF,V$72),MIN(MAX($I307,ASOF),V$72+6),HOLIDAYS)))</f>
        <v>0</v>
      </c>
      <c r="W307" s="289" t="n">
        <f aca="false">IF($L307=0,0,$L307*MAX(0,NETWORKDAYS(MAX($H307,ASOF,W$72),MIN(MAX($I307,ASOF),W$72+6),HOLIDAYS)))</f>
        <v>0</v>
      </c>
      <c r="X307" s="289" t="n">
        <f aca="false">IF($L307=0,0,$L307*MAX(0,NETWORKDAYS(MAX($H307,ASOF,X$72),MIN(MAX($I307,ASOF),X$72+6),HOLIDAYS)))</f>
        <v>0</v>
      </c>
      <c r="Y307" s="289" t="n">
        <f aca="false">IF($L307=0,0,$L307*MAX(0,NETWORKDAYS(MAX($H307,ASOF,Y$72),MIN(MAX($I307,ASOF),Y$72+6),HOLIDAYS)))</f>
        <v>0</v>
      </c>
      <c r="Z307" s="289" t="n">
        <f aca="false">IF($L307=0,0,$L307*MAX(0,NETWORKDAYS(MAX($H307,ASOF,Z$72),MIN(MAX($I307,ASOF),Z$72+6),HOLIDAYS)))</f>
        <v>0</v>
      </c>
      <c r="AA307" s="289" t="n">
        <f aca="false">IF($L307=0,0,$L307*MAX(0,NETWORKDAYS(MAX($H307,ASOF,AA$72),MIN(MAX($I307,ASOF),AA$72+6),HOLIDAYS)))</f>
        <v>0</v>
      </c>
      <c r="AB307" s="289" t="n">
        <f aca="false">IF($L307=0,0,$L307*MAX(0,NETWORKDAYS(MAX($H307,ASOF,AB$72),MIN(MAX($I307,ASOF),AB$72+6),HOLIDAYS)))</f>
        <v>0</v>
      </c>
      <c r="AC307" s="289" t="n">
        <f aca="false">IF($L307=0,0,$L307*MAX(0,NETWORKDAYS(MAX($H307,ASOF,AC$72),MIN(MAX($I307,ASOF),AC$72+6),HOLIDAYS)))</f>
        <v>0</v>
      </c>
      <c r="AD307" s="289" t="n">
        <f aca="false">IF($L307=0,0,$L307*MAX(0,NETWORKDAYS(MAX($H307,ASOF,AD$72),MIN(MAX($I307,ASOF),AD$72+6),HOLIDAYS)))</f>
        <v>0</v>
      </c>
      <c r="AE307" s="289" t="n">
        <f aca="false">IF($L307=0,0,$L307*MAX(0,NETWORKDAYS(MAX($H307,ASOF,AE$72),MIN(MAX($I307,ASOF),AE$72+6),HOLIDAYS)))</f>
        <v>0</v>
      </c>
      <c r="AF307" s="289" t="n">
        <f aca="false">IF($L307=0,0,$L307*MAX(0,NETWORKDAYS(MAX($H307,ASOF,AF$72),MIN(MAX($I307,ASOF),AF$72+6),HOLIDAYS)))</f>
        <v>0</v>
      </c>
      <c r="AG307" s="289" t="n">
        <f aca="false">IF($L307=0,0,$L307*MAX(0,NETWORKDAYS(MAX($H307,ASOF,AG$72),MIN(MAX($I307,ASOF),AG$72+6),HOLIDAYS)))</f>
        <v>0</v>
      </c>
      <c r="AH307" s="289" t="n">
        <f aca="false">IF($L307=0,0,$L307*MAX(0,NETWORKDAYS(MAX($H307,ASOF,AH$72),MIN(MAX($I307,ASOF),AH$72+6),HOLIDAYS)))</f>
        <v>0</v>
      </c>
      <c r="AI307" s="289" t="n">
        <f aca="false">IF($L307=0,0,$L307*MAX(0,NETWORKDAYS(MAX($H307,ASOF,AI$72),MIN(MAX($I307,ASOF),AI$72+6),HOLIDAYS)))</f>
        <v>0</v>
      </c>
      <c r="AJ307" s="289" t="n">
        <f aca="false">IF($L307=0,0,$L307*MAX(0,NETWORKDAYS(MAX($H307,ASOF,AJ$72),MIN(MAX($I307,ASOF),AJ$72+6),HOLIDAYS)))</f>
        <v>0</v>
      </c>
      <c r="AK307" s="289" t="n">
        <f aca="false">IF($L307=0,0,$L307*MAX(0,NETWORKDAYS(MAX($H307,ASOF,AK$72),MIN(MAX($I307,ASOF),AK$72+6),HOLIDAYS)))</f>
        <v>0</v>
      </c>
      <c r="AL307" s="289" t="n">
        <f aca="false">IF($L307=0,0,$L307*MAX(0,NETWORKDAYS(MAX($H307,ASOF,AL$72),MIN(MAX($I307,ASOF),AL$72+6),HOLIDAYS)))</f>
        <v>0</v>
      </c>
      <c r="AM307" s="289" t="n">
        <f aca="false">IF($L307=0,0,$L307*MAX(0,NETWORKDAYS(MAX($H307,ASOF,AM$72),MIN(MAX($I307,ASOF),AM$72+6),HOLIDAYS)))</f>
        <v>0</v>
      </c>
      <c r="AN307" s="289" t="n">
        <f aca="false">IF($L307=0,0,$L307*MAX(0,NETWORKDAYS(MAX($H307,ASOF,AN$72),MIN(MAX($I307,ASOF),AN$72+6),HOLIDAYS)))</f>
        <v>0</v>
      </c>
      <c r="AO307" s="289" t="n">
        <f aca="false">IF($L307=0,0,$L307*MAX(0,NETWORKDAYS(MAX($H307,ASOF,AO$72),MIN(MAX($I307,ASOF),AO$72+6),HOLIDAYS)))</f>
        <v>0</v>
      </c>
      <c r="AP307" s="289" t="n">
        <f aca="false">IF($L307=0,0,$L307*MAX(0,NETWORKDAYS(MAX($H307,ASOF,AP$72),MIN(MAX($I307,ASOF),AP$72+6),HOLIDAYS)))</f>
        <v>0</v>
      </c>
      <c r="AQ307" s="289" t="n">
        <f aca="false">IF($L307=0,0,$L307*MAX(0,NETWORKDAYS(MAX($H307,ASOF,AQ$72),MIN(MAX($I307,ASOF),AQ$72+6),HOLIDAYS)))</f>
        <v>0</v>
      </c>
      <c r="AR307" s="289" t="n">
        <f aca="false">IF($L307=0,0,$L307*MAX(0,NETWORKDAYS(MAX($H307,ASOF,AR$72),MIN(MAX($I307,ASOF),AR$72+6),HOLIDAYS)))</f>
        <v>0</v>
      </c>
    </row>
    <row r="308" customFormat="false" ht="15" hidden="false" customHeight="false" outlineLevel="1" collapsed="false">
      <c r="A308" s="282" t="s">
        <v>118</v>
      </c>
      <c r="B308" s="283" t="s">
        <v>120</v>
      </c>
      <c r="C308" s="284" t="s">
        <v>2367</v>
      </c>
      <c r="D308" s="284" t="s">
        <v>2284</v>
      </c>
      <c r="E308" s="285" t="n">
        <v>1</v>
      </c>
      <c r="F308" s="290" t="s">
        <v>35</v>
      </c>
      <c r="G308" s="285" t="n">
        <f aca="false">$F$12*$H$12</f>
        <v>4</v>
      </c>
      <c r="H308" s="286" t="n">
        <f aca="false">IF(ISNUMBER('P9-020'!$N$96),'P9-020'!$N$96,"")</f>
        <v>46345</v>
      </c>
      <c r="I308" s="286" t="n">
        <f aca="false">IF(ISNUMBER('P9-020'!$O$96),'P9-020'!$O$96,"")</f>
        <v>46347</v>
      </c>
      <c r="J308" s="287" t="n">
        <f aca="false">IF(OR(H308="",I308="",N308&gt;=1),0,MAX(1,NETWORKDAYS(MAX(H308,ASOF),MAX(I308,ASOF),HOLIDAYS)))</f>
        <v>2</v>
      </c>
      <c r="K308" s="287" t="n">
        <f aca="false">IF(L308=0,0,ROUNDUP(L308/$F$12,0))</f>
        <v>1</v>
      </c>
      <c r="L308" s="285" t="n">
        <f aca="false">IF(J308=0,0,G308*(1-N308)/J308)</f>
        <v>2</v>
      </c>
      <c r="M308" s="283" t="s">
        <v>1147</v>
      </c>
      <c r="N308" s="288" t="n">
        <f aca="false">IFERROR(MIN(1,'P9-020'!$V$96)+0,0)</f>
        <v>0</v>
      </c>
      <c r="O308" s="289" t="n">
        <f aca="false">IF($L308=0,0,$L308*MAX(0,NETWORKDAYS(MAX($H308,ASOF,O$72),MIN(MAX($I308,ASOF),O$72+6),HOLIDAYS)))</f>
        <v>0</v>
      </c>
      <c r="P308" s="289" t="n">
        <f aca="false">IF($L308=0,0,$L308*MAX(0,NETWORKDAYS(MAX($H308,ASOF,P$72),MIN(MAX($I308,ASOF),P$72+6),HOLIDAYS)))</f>
        <v>0</v>
      </c>
      <c r="Q308" s="289" t="n">
        <f aca="false">IF($L308=0,0,$L308*MAX(0,NETWORKDAYS(MAX($H308,ASOF,Q$72),MIN(MAX($I308,ASOF),Q$72+6),HOLIDAYS)))</f>
        <v>4</v>
      </c>
      <c r="R308" s="289" t="n">
        <f aca="false">IF($L308=0,0,$L308*MAX(0,NETWORKDAYS(MAX($H308,ASOF,R$72),MIN(MAX($I308,ASOF),R$72+6),HOLIDAYS)))</f>
        <v>0</v>
      </c>
      <c r="S308" s="289" t="n">
        <f aca="false">IF($L308=0,0,$L308*MAX(0,NETWORKDAYS(MAX($H308,ASOF,S$72),MIN(MAX($I308,ASOF),S$72+6),HOLIDAYS)))</f>
        <v>0</v>
      </c>
      <c r="T308" s="289" t="n">
        <f aca="false">IF($L308=0,0,$L308*MAX(0,NETWORKDAYS(MAX($H308,ASOF,T$72),MIN(MAX($I308,ASOF),T$72+6),HOLIDAYS)))</f>
        <v>0</v>
      </c>
      <c r="U308" s="289" t="n">
        <f aca="false">IF($L308=0,0,$L308*MAX(0,NETWORKDAYS(MAX($H308,ASOF,U$72),MIN(MAX($I308,ASOF),U$72+6),HOLIDAYS)))</f>
        <v>0</v>
      </c>
      <c r="V308" s="289" t="n">
        <f aca="false">IF($L308=0,0,$L308*MAX(0,NETWORKDAYS(MAX($H308,ASOF,V$72),MIN(MAX($I308,ASOF),V$72+6),HOLIDAYS)))</f>
        <v>0</v>
      </c>
      <c r="W308" s="289" t="n">
        <f aca="false">IF($L308=0,0,$L308*MAX(0,NETWORKDAYS(MAX($H308,ASOF,W$72),MIN(MAX($I308,ASOF),W$72+6),HOLIDAYS)))</f>
        <v>0</v>
      </c>
      <c r="X308" s="289" t="n">
        <f aca="false">IF($L308=0,0,$L308*MAX(0,NETWORKDAYS(MAX($H308,ASOF,X$72),MIN(MAX($I308,ASOF),X$72+6),HOLIDAYS)))</f>
        <v>0</v>
      </c>
      <c r="Y308" s="289" t="n">
        <f aca="false">IF($L308=0,0,$L308*MAX(0,NETWORKDAYS(MAX($H308,ASOF,Y$72),MIN(MAX($I308,ASOF),Y$72+6),HOLIDAYS)))</f>
        <v>0</v>
      </c>
      <c r="Z308" s="289" t="n">
        <f aca="false">IF($L308=0,0,$L308*MAX(0,NETWORKDAYS(MAX($H308,ASOF,Z$72),MIN(MAX($I308,ASOF),Z$72+6),HOLIDAYS)))</f>
        <v>0</v>
      </c>
      <c r="AA308" s="289" t="n">
        <f aca="false">IF($L308=0,0,$L308*MAX(0,NETWORKDAYS(MAX($H308,ASOF,AA$72),MIN(MAX($I308,ASOF),AA$72+6),HOLIDAYS)))</f>
        <v>0</v>
      </c>
      <c r="AB308" s="289" t="n">
        <f aca="false">IF($L308=0,0,$L308*MAX(0,NETWORKDAYS(MAX($H308,ASOF,AB$72),MIN(MAX($I308,ASOF),AB$72+6),HOLIDAYS)))</f>
        <v>0</v>
      </c>
      <c r="AC308" s="289" t="n">
        <f aca="false">IF($L308=0,0,$L308*MAX(0,NETWORKDAYS(MAX($H308,ASOF,AC$72),MIN(MAX($I308,ASOF),AC$72+6),HOLIDAYS)))</f>
        <v>0</v>
      </c>
      <c r="AD308" s="289" t="n">
        <f aca="false">IF($L308=0,0,$L308*MAX(0,NETWORKDAYS(MAX($H308,ASOF,AD$72),MIN(MAX($I308,ASOF),AD$72+6),HOLIDAYS)))</f>
        <v>0</v>
      </c>
      <c r="AE308" s="289" t="n">
        <f aca="false">IF($L308=0,0,$L308*MAX(0,NETWORKDAYS(MAX($H308,ASOF,AE$72),MIN(MAX($I308,ASOF),AE$72+6),HOLIDAYS)))</f>
        <v>0</v>
      </c>
      <c r="AF308" s="289" t="n">
        <f aca="false">IF($L308=0,0,$L308*MAX(0,NETWORKDAYS(MAX($H308,ASOF,AF$72),MIN(MAX($I308,ASOF),AF$72+6),HOLIDAYS)))</f>
        <v>0</v>
      </c>
      <c r="AG308" s="289" t="n">
        <f aca="false">IF($L308=0,0,$L308*MAX(0,NETWORKDAYS(MAX($H308,ASOF,AG$72),MIN(MAX($I308,ASOF),AG$72+6),HOLIDAYS)))</f>
        <v>0</v>
      </c>
      <c r="AH308" s="289" t="n">
        <f aca="false">IF($L308=0,0,$L308*MAX(0,NETWORKDAYS(MAX($H308,ASOF,AH$72),MIN(MAX($I308,ASOF),AH$72+6),HOLIDAYS)))</f>
        <v>0</v>
      </c>
      <c r="AI308" s="289" t="n">
        <f aca="false">IF($L308=0,0,$L308*MAX(0,NETWORKDAYS(MAX($H308,ASOF,AI$72),MIN(MAX($I308,ASOF),AI$72+6),HOLIDAYS)))</f>
        <v>0</v>
      </c>
      <c r="AJ308" s="289" t="n">
        <f aca="false">IF($L308=0,0,$L308*MAX(0,NETWORKDAYS(MAX($H308,ASOF,AJ$72),MIN(MAX($I308,ASOF),AJ$72+6),HOLIDAYS)))</f>
        <v>0</v>
      </c>
      <c r="AK308" s="289" t="n">
        <f aca="false">IF($L308=0,0,$L308*MAX(0,NETWORKDAYS(MAX($H308,ASOF,AK$72),MIN(MAX($I308,ASOF),AK$72+6),HOLIDAYS)))</f>
        <v>0</v>
      </c>
      <c r="AL308" s="289" t="n">
        <f aca="false">IF($L308=0,0,$L308*MAX(0,NETWORKDAYS(MAX($H308,ASOF,AL$72),MIN(MAX($I308,ASOF),AL$72+6),HOLIDAYS)))</f>
        <v>0</v>
      </c>
      <c r="AM308" s="289" t="n">
        <f aca="false">IF($L308=0,0,$L308*MAX(0,NETWORKDAYS(MAX($H308,ASOF,AM$72),MIN(MAX($I308,ASOF),AM$72+6),HOLIDAYS)))</f>
        <v>0</v>
      </c>
      <c r="AN308" s="289" t="n">
        <f aca="false">IF($L308=0,0,$L308*MAX(0,NETWORKDAYS(MAX($H308,ASOF,AN$72),MIN(MAX($I308,ASOF),AN$72+6),HOLIDAYS)))</f>
        <v>0</v>
      </c>
      <c r="AO308" s="289" t="n">
        <f aca="false">IF($L308=0,0,$L308*MAX(0,NETWORKDAYS(MAX($H308,ASOF,AO$72),MIN(MAX($I308,ASOF),AO$72+6),HOLIDAYS)))</f>
        <v>0</v>
      </c>
      <c r="AP308" s="289" t="n">
        <f aca="false">IF($L308=0,0,$L308*MAX(0,NETWORKDAYS(MAX($H308,ASOF,AP$72),MIN(MAX($I308,ASOF),AP$72+6),HOLIDAYS)))</f>
        <v>0</v>
      </c>
      <c r="AQ308" s="289" t="n">
        <f aca="false">IF($L308=0,0,$L308*MAX(0,NETWORKDAYS(MAX($H308,ASOF,AQ$72),MIN(MAX($I308,ASOF),AQ$72+6),HOLIDAYS)))</f>
        <v>0</v>
      </c>
      <c r="AR308" s="289" t="n">
        <f aca="false">IF($L308=0,0,$L308*MAX(0,NETWORKDAYS(MAX($H308,ASOF,AR$72),MIN(MAX($I308,ASOF),AR$72+6),HOLIDAYS)))</f>
        <v>0</v>
      </c>
    </row>
    <row r="309" customFormat="false" ht="15" hidden="false" customHeight="false" outlineLevel="1" collapsed="false">
      <c r="A309" s="282" t="s">
        <v>118</v>
      </c>
      <c r="B309" s="283" t="s">
        <v>120</v>
      </c>
      <c r="C309" s="284" t="s">
        <v>2371</v>
      </c>
      <c r="D309" s="284" t="s">
        <v>2284</v>
      </c>
      <c r="E309" s="285" t="n">
        <v>1</v>
      </c>
      <c r="F309" s="290" t="s">
        <v>35</v>
      </c>
      <c r="G309" s="285" t="n">
        <f aca="false">$F$14*$H$14</f>
        <v>3</v>
      </c>
      <c r="H309" s="286" t="n">
        <f aca="false">IF(ISNUMBER('P9-020'!$N$100),'P9-020'!$N$100,"")</f>
        <v>46346</v>
      </c>
      <c r="I309" s="286" t="n">
        <f aca="false">IF(ISNUMBER('P9-020'!$O$100),'P9-020'!$O$100,"")</f>
        <v>46348</v>
      </c>
      <c r="J309" s="287" t="n">
        <f aca="false">IF(OR(H309="",I309="",N309&gt;=1),0,MAX(1,NETWORKDAYS(MAX(H309,ASOF),MAX(I309,ASOF),HOLIDAYS)))</f>
        <v>1</v>
      </c>
      <c r="K309" s="287" t="n">
        <f aca="false">IF(L309=0,0,ROUNDUP(L309/$F$14,0))</f>
        <v>2</v>
      </c>
      <c r="L309" s="285" t="n">
        <f aca="false">IF(J309=0,0,G309*(1-N309)/J309)</f>
        <v>3</v>
      </c>
      <c r="M309" s="283" t="s">
        <v>2304</v>
      </c>
      <c r="N309" s="288" t="n">
        <f aca="false">IFERROR(MIN(1,'P9-020'!$V$100)+0,0)</f>
        <v>0</v>
      </c>
      <c r="O309" s="289" t="n">
        <f aca="false">IF($L309=0,0,$L309*MAX(0,NETWORKDAYS(MAX($H309,ASOF,O$72),MIN(MAX($I309,ASOF),O$72+6),HOLIDAYS)))</f>
        <v>0</v>
      </c>
      <c r="P309" s="289" t="n">
        <f aca="false">IF($L309=0,0,$L309*MAX(0,NETWORKDAYS(MAX($H309,ASOF,P$72),MIN(MAX($I309,ASOF),P$72+6),HOLIDAYS)))</f>
        <v>0</v>
      </c>
      <c r="Q309" s="289" t="n">
        <f aca="false">IF($L309=0,0,$L309*MAX(0,NETWORKDAYS(MAX($H309,ASOF,Q$72),MIN(MAX($I309,ASOF),Q$72+6),HOLIDAYS)))</f>
        <v>3</v>
      </c>
      <c r="R309" s="289" t="n">
        <f aca="false">IF($L309=0,0,$L309*MAX(0,NETWORKDAYS(MAX($H309,ASOF,R$72),MIN(MAX($I309,ASOF),R$72+6),HOLIDAYS)))</f>
        <v>0</v>
      </c>
      <c r="S309" s="289" t="n">
        <f aca="false">IF($L309=0,0,$L309*MAX(0,NETWORKDAYS(MAX($H309,ASOF,S$72),MIN(MAX($I309,ASOF),S$72+6),HOLIDAYS)))</f>
        <v>0</v>
      </c>
      <c r="T309" s="289" t="n">
        <f aca="false">IF($L309=0,0,$L309*MAX(0,NETWORKDAYS(MAX($H309,ASOF,T$72),MIN(MAX($I309,ASOF),T$72+6),HOLIDAYS)))</f>
        <v>0</v>
      </c>
      <c r="U309" s="289" t="n">
        <f aca="false">IF($L309=0,0,$L309*MAX(0,NETWORKDAYS(MAX($H309,ASOF,U$72),MIN(MAX($I309,ASOF),U$72+6),HOLIDAYS)))</f>
        <v>0</v>
      </c>
      <c r="V309" s="289" t="n">
        <f aca="false">IF($L309=0,0,$L309*MAX(0,NETWORKDAYS(MAX($H309,ASOF,V$72),MIN(MAX($I309,ASOF),V$72+6),HOLIDAYS)))</f>
        <v>0</v>
      </c>
      <c r="W309" s="289" t="n">
        <f aca="false">IF($L309=0,0,$L309*MAX(0,NETWORKDAYS(MAX($H309,ASOF,W$72),MIN(MAX($I309,ASOF),W$72+6),HOLIDAYS)))</f>
        <v>0</v>
      </c>
      <c r="X309" s="289" t="n">
        <f aca="false">IF($L309=0,0,$L309*MAX(0,NETWORKDAYS(MAX($H309,ASOF,X$72),MIN(MAX($I309,ASOF),X$72+6),HOLIDAYS)))</f>
        <v>0</v>
      </c>
      <c r="Y309" s="289" t="n">
        <f aca="false">IF($L309=0,0,$L309*MAX(0,NETWORKDAYS(MAX($H309,ASOF,Y$72),MIN(MAX($I309,ASOF),Y$72+6),HOLIDAYS)))</f>
        <v>0</v>
      </c>
      <c r="Z309" s="289" t="n">
        <f aca="false">IF($L309=0,0,$L309*MAX(0,NETWORKDAYS(MAX($H309,ASOF,Z$72),MIN(MAX($I309,ASOF),Z$72+6),HOLIDAYS)))</f>
        <v>0</v>
      </c>
      <c r="AA309" s="289" t="n">
        <f aca="false">IF($L309=0,0,$L309*MAX(0,NETWORKDAYS(MAX($H309,ASOF,AA$72),MIN(MAX($I309,ASOF),AA$72+6),HOLIDAYS)))</f>
        <v>0</v>
      </c>
      <c r="AB309" s="289" t="n">
        <f aca="false">IF($L309=0,0,$L309*MAX(0,NETWORKDAYS(MAX($H309,ASOF,AB$72),MIN(MAX($I309,ASOF),AB$72+6),HOLIDAYS)))</f>
        <v>0</v>
      </c>
      <c r="AC309" s="289" t="n">
        <f aca="false">IF($L309=0,0,$L309*MAX(0,NETWORKDAYS(MAX($H309,ASOF,AC$72),MIN(MAX($I309,ASOF),AC$72+6),HOLIDAYS)))</f>
        <v>0</v>
      </c>
      <c r="AD309" s="289" t="n">
        <f aca="false">IF($L309=0,0,$L309*MAX(0,NETWORKDAYS(MAX($H309,ASOF,AD$72),MIN(MAX($I309,ASOF),AD$72+6),HOLIDAYS)))</f>
        <v>0</v>
      </c>
      <c r="AE309" s="289" t="n">
        <f aca="false">IF($L309=0,0,$L309*MAX(0,NETWORKDAYS(MAX($H309,ASOF,AE$72),MIN(MAX($I309,ASOF),AE$72+6),HOLIDAYS)))</f>
        <v>0</v>
      </c>
      <c r="AF309" s="289" t="n">
        <f aca="false">IF($L309=0,0,$L309*MAX(0,NETWORKDAYS(MAX($H309,ASOF,AF$72),MIN(MAX($I309,ASOF),AF$72+6),HOLIDAYS)))</f>
        <v>0</v>
      </c>
      <c r="AG309" s="289" t="n">
        <f aca="false">IF($L309=0,0,$L309*MAX(0,NETWORKDAYS(MAX($H309,ASOF,AG$72),MIN(MAX($I309,ASOF),AG$72+6),HOLIDAYS)))</f>
        <v>0</v>
      </c>
      <c r="AH309" s="289" t="n">
        <f aca="false">IF($L309=0,0,$L309*MAX(0,NETWORKDAYS(MAX($H309,ASOF,AH$72),MIN(MAX($I309,ASOF),AH$72+6),HOLIDAYS)))</f>
        <v>0</v>
      </c>
      <c r="AI309" s="289" t="n">
        <f aca="false">IF($L309=0,0,$L309*MAX(0,NETWORKDAYS(MAX($H309,ASOF,AI$72),MIN(MAX($I309,ASOF),AI$72+6),HOLIDAYS)))</f>
        <v>0</v>
      </c>
      <c r="AJ309" s="289" t="n">
        <f aca="false">IF($L309=0,0,$L309*MAX(0,NETWORKDAYS(MAX($H309,ASOF,AJ$72),MIN(MAX($I309,ASOF),AJ$72+6),HOLIDAYS)))</f>
        <v>0</v>
      </c>
      <c r="AK309" s="289" t="n">
        <f aca="false">IF($L309=0,0,$L309*MAX(0,NETWORKDAYS(MAX($H309,ASOF,AK$72),MIN(MAX($I309,ASOF),AK$72+6),HOLIDAYS)))</f>
        <v>0</v>
      </c>
      <c r="AL309" s="289" t="n">
        <f aca="false">IF($L309=0,0,$L309*MAX(0,NETWORKDAYS(MAX($H309,ASOF,AL$72),MIN(MAX($I309,ASOF),AL$72+6),HOLIDAYS)))</f>
        <v>0</v>
      </c>
      <c r="AM309" s="289" t="n">
        <f aca="false">IF($L309=0,0,$L309*MAX(0,NETWORKDAYS(MAX($H309,ASOF,AM$72),MIN(MAX($I309,ASOF),AM$72+6),HOLIDAYS)))</f>
        <v>0</v>
      </c>
      <c r="AN309" s="289" t="n">
        <f aca="false">IF($L309=0,0,$L309*MAX(0,NETWORKDAYS(MAX($H309,ASOF,AN$72),MIN(MAX($I309,ASOF),AN$72+6),HOLIDAYS)))</f>
        <v>0</v>
      </c>
      <c r="AO309" s="289" t="n">
        <f aca="false">IF($L309=0,0,$L309*MAX(0,NETWORKDAYS(MAX($H309,ASOF,AO$72),MIN(MAX($I309,ASOF),AO$72+6),HOLIDAYS)))</f>
        <v>0</v>
      </c>
      <c r="AP309" s="289" t="n">
        <f aca="false">IF($L309=0,0,$L309*MAX(0,NETWORKDAYS(MAX($H309,ASOF,AP$72),MIN(MAX($I309,ASOF),AP$72+6),HOLIDAYS)))</f>
        <v>0</v>
      </c>
      <c r="AQ309" s="289" t="n">
        <f aca="false">IF($L309=0,0,$L309*MAX(0,NETWORKDAYS(MAX($H309,ASOF,AQ$72),MIN(MAX($I309,ASOF),AQ$72+6),HOLIDAYS)))</f>
        <v>0</v>
      </c>
      <c r="AR309" s="289" t="n">
        <f aca="false">IF($L309=0,0,$L309*MAX(0,NETWORKDAYS(MAX($H309,ASOF,AR$72),MIN(MAX($I309,ASOF),AR$72+6),HOLIDAYS)))</f>
        <v>0</v>
      </c>
    </row>
    <row r="310" customFormat="false" ht="15" hidden="false" customHeight="false" outlineLevel="1" collapsed="false">
      <c r="A310" s="282" t="s">
        <v>118</v>
      </c>
      <c r="B310" s="283" t="s">
        <v>120</v>
      </c>
      <c r="C310" s="282" t="s">
        <v>1198</v>
      </c>
      <c r="D310" s="284" t="s">
        <v>2284</v>
      </c>
      <c r="E310" s="285" t="n">
        <v>1</v>
      </c>
      <c r="F310" s="290" t="s">
        <v>35</v>
      </c>
      <c r="G310" s="285" t="n">
        <f aca="false">$F$15*$H$15</f>
        <v>2</v>
      </c>
      <c r="H310" s="286" t="n">
        <f aca="false">IF(ISNUMBER('P9-020'!$N$107),'P9-020'!$N$107,"")</f>
        <v>46347</v>
      </c>
      <c r="I310" s="286" t="n">
        <f aca="false">IF(ISNUMBER('P9-020'!$O$107),'P9-020'!$O$107,"")</f>
        <v>46348</v>
      </c>
      <c r="J310" s="287" t="n">
        <f aca="false">IF(OR(H310="",I310="",N310&gt;=1),0,MAX(1,NETWORKDAYS(MAX(H310,ASOF),MAX(I310,ASOF),HOLIDAYS)))</f>
        <v>1</v>
      </c>
      <c r="K310" s="287" t="n">
        <f aca="false">IF(L310=0,0,ROUNDUP(L310/$F$15,0))</f>
        <v>1</v>
      </c>
      <c r="L310" s="285" t="n">
        <f aca="false">IF(J310=0,0,G310*(1-N310)/J310)</f>
        <v>2</v>
      </c>
      <c r="M310" s="283" t="s">
        <v>1192</v>
      </c>
      <c r="N310" s="288" t="n">
        <f aca="false">IFERROR(MIN(1,'P9-020'!$V$107)+0,0)</f>
        <v>0</v>
      </c>
      <c r="O310" s="289" t="n">
        <f aca="false">IF($L310=0,0,$L310*MAX(0,NETWORKDAYS(MAX($H310,ASOF,O$72),MIN(MAX($I310,ASOF),O$72+6),HOLIDAYS)))</f>
        <v>0</v>
      </c>
      <c r="P310" s="289" t="n">
        <f aca="false">IF($L310=0,0,$L310*MAX(0,NETWORKDAYS(MAX($H310,ASOF,P$72),MIN(MAX($I310,ASOF),P$72+6),HOLIDAYS)))</f>
        <v>0</v>
      </c>
      <c r="Q310" s="289" t="n">
        <f aca="false">IF($L310=0,0,$L310*MAX(0,NETWORKDAYS(MAX($H310,ASOF,Q$72),MIN(MAX($I310,ASOF),Q$72+6),HOLIDAYS)))</f>
        <v>0</v>
      </c>
      <c r="R310" s="289" t="n">
        <f aca="false">IF($L310=0,0,$L310*MAX(0,NETWORKDAYS(MAX($H310,ASOF,R$72),MIN(MAX($I310,ASOF),R$72+6),HOLIDAYS)))</f>
        <v>0</v>
      </c>
      <c r="S310" s="289" t="n">
        <f aca="false">IF($L310=0,0,$L310*MAX(0,NETWORKDAYS(MAX($H310,ASOF,S$72),MIN(MAX($I310,ASOF),S$72+6),HOLIDAYS)))</f>
        <v>0</v>
      </c>
      <c r="T310" s="289" t="n">
        <f aca="false">IF($L310=0,0,$L310*MAX(0,NETWORKDAYS(MAX($H310,ASOF,T$72),MIN(MAX($I310,ASOF),T$72+6),HOLIDAYS)))</f>
        <v>0</v>
      </c>
      <c r="U310" s="289" t="n">
        <f aca="false">IF($L310=0,0,$L310*MAX(0,NETWORKDAYS(MAX($H310,ASOF,U$72),MIN(MAX($I310,ASOF),U$72+6),HOLIDAYS)))</f>
        <v>0</v>
      </c>
      <c r="V310" s="289" t="n">
        <f aca="false">IF($L310=0,0,$L310*MAX(0,NETWORKDAYS(MAX($H310,ASOF,V$72),MIN(MAX($I310,ASOF),V$72+6),HOLIDAYS)))</f>
        <v>0</v>
      </c>
      <c r="W310" s="289" t="n">
        <f aca="false">IF($L310=0,0,$L310*MAX(0,NETWORKDAYS(MAX($H310,ASOF,W$72),MIN(MAX($I310,ASOF),W$72+6),HOLIDAYS)))</f>
        <v>0</v>
      </c>
      <c r="X310" s="289" t="n">
        <f aca="false">IF($L310=0,0,$L310*MAX(0,NETWORKDAYS(MAX($H310,ASOF,X$72),MIN(MAX($I310,ASOF),X$72+6),HOLIDAYS)))</f>
        <v>0</v>
      </c>
      <c r="Y310" s="289" t="n">
        <f aca="false">IF($L310=0,0,$L310*MAX(0,NETWORKDAYS(MAX($H310,ASOF,Y$72),MIN(MAX($I310,ASOF),Y$72+6),HOLIDAYS)))</f>
        <v>0</v>
      </c>
      <c r="Z310" s="289" t="n">
        <f aca="false">IF($L310=0,0,$L310*MAX(0,NETWORKDAYS(MAX($H310,ASOF,Z$72),MIN(MAX($I310,ASOF),Z$72+6),HOLIDAYS)))</f>
        <v>0</v>
      </c>
      <c r="AA310" s="289" t="n">
        <f aca="false">IF($L310=0,0,$L310*MAX(0,NETWORKDAYS(MAX($H310,ASOF,AA$72),MIN(MAX($I310,ASOF),AA$72+6),HOLIDAYS)))</f>
        <v>0</v>
      </c>
      <c r="AB310" s="289" t="n">
        <f aca="false">IF($L310=0,0,$L310*MAX(0,NETWORKDAYS(MAX($H310,ASOF,AB$72),MIN(MAX($I310,ASOF),AB$72+6),HOLIDAYS)))</f>
        <v>0</v>
      </c>
      <c r="AC310" s="289" t="n">
        <f aca="false">IF($L310=0,0,$L310*MAX(0,NETWORKDAYS(MAX($H310,ASOF,AC$72),MIN(MAX($I310,ASOF),AC$72+6),HOLIDAYS)))</f>
        <v>0</v>
      </c>
      <c r="AD310" s="289" t="n">
        <f aca="false">IF($L310=0,0,$L310*MAX(0,NETWORKDAYS(MAX($H310,ASOF,AD$72),MIN(MAX($I310,ASOF),AD$72+6),HOLIDAYS)))</f>
        <v>0</v>
      </c>
      <c r="AE310" s="289" t="n">
        <f aca="false">IF($L310=0,0,$L310*MAX(0,NETWORKDAYS(MAX($H310,ASOF,AE$72),MIN(MAX($I310,ASOF),AE$72+6),HOLIDAYS)))</f>
        <v>0</v>
      </c>
      <c r="AF310" s="289" t="n">
        <f aca="false">IF($L310=0,0,$L310*MAX(0,NETWORKDAYS(MAX($H310,ASOF,AF$72),MIN(MAX($I310,ASOF),AF$72+6),HOLIDAYS)))</f>
        <v>0</v>
      </c>
      <c r="AG310" s="289" t="n">
        <f aca="false">IF($L310=0,0,$L310*MAX(0,NETWORKDAYS(MAX($H310,ASOF,AG$72),MIN(MAX($I310,ASOF),AG$72+6),HOLIDAYS)))</f>
        <v>0</v>
      </c>
      <c r="AH310" s="289" t="n">
        <f aca="false">IF($L310=0,0,$L310*MAX(0,NETWORKDAYS(MAX($H310,ASOF,AH$72),MIN(MAX($I310,ASOF),AH$72+6),HOLIDAYS)))</f>
        <v>0</v>
      </c>
      <c r="AI310" s="289" t="n">
        <f aca="false">IF($L310=0,0,$L310*MAX(0,NETWORKDAYS(MAX($H310,ASOF,AI$72),MIN(MAX($I310,ASOF),AI$72+6),HOLIDAYS)))</f>
        <v>0</v>
      </c>
      <c r="AJ310" s="289" t="n">
        <f aca="false">IF($L310=0,0,$L310*MAX(0,NETWORKDAYS(MAX($H310,ASOF,AJ$72),MIN(MAX($I310,ASOF),AJ$72+6),HOLIDAYS)))</f>
        <v>0</v>
      </c>
      <c r="AK310" s="289" t="n">
        <f aca="false">IF($L310=0,0,$L310*MAX(0,NETWORKDAYS(MAX($H310,ASOF,AK$72),MIN(MAX($I310,ASOF),AK$72+6),HOLIDAYS)))</f>
        <v>0</v>
      </c>
      <c r="AL310" s="289" t="n">
        <f aca="false">IF($L310=0,0,$L310*MAX(0,NETWORKDAYS(MAX($H310,ASOF,AL$72),MIN(MAX($I310,ASOF),AL$72+6),HOLIDAYS)))</f>
        <v>0</v>
      </c>
      <c r="AM310" s="289" t="n">
        <f aca="false">IF($L310=0,0,$L310*MAX(0,NETWORKDAYS(MAX($H310,ASOF,AM$72),MIN(MAX($I310,ASOF),AM$72+6),HOLIDAYS)))</f>
        <v>0</v>
      </c>
      <c r="AN310" s="289" t="n">
        <f aca="false">IF($L310=0,0,$L310*MAX(0,NETWORKDAYS(MAX($H310,ASOF,AN$72),MIN(MAX($I310,ASOF),AN$72+6),HOLIDAYS)))</f>
        <v>0</v>
      </c>
      <c r="AO310" s="289" t="n">
        <f aca="false">IF($L310=0,0,$L310*MAX(0,NETWORKDAYS(MAX($H310,ASOF,AO$72),MIN(MAX($I310,ASOF),AO$72+6),HOLIDAYS)))</f>
        <v>0</v>
      </c>
      <c r="AP310" s="289" t="n">
        <f aca="false">IF($L310=0,0,$L310*MAX(0,NETWORKDAYS(MAX($H310,ASOF,AP$72),MIN(MAX($I310,ASOF),AP$72+6),HOLIDAYS)))</f>
        <v>0</v>
      </c>
      <c r="AQ310" s="289" t="n">
        <f aca="false">IF($L310=0,0,$L310*MAX(0,NETWORKDAYS(MAX($H310,ASOF,AQ$72),MIN(MAX($I310,ASOF),AQ$72+6),HOLIDAYS)))</f>
        <v>0</v>
      </c>
      <c r="AR310" s="289" t="n">
        <f aca="false">IF($L310=0,0,$L310*MAX(0,NETWORKDAYS(MAX($H310,ASOF,AR$72),MIN(MAX($I310,ASOF),AR$72+6),HOLIDAYS)))</f>
        <v>0</v>
      </c>
    </row>
    <row r="311" customFormat="false" ht="15" hidden="false" customHeight="false" outlineLevel="1" collapsed="false">
      <c r="A311" s="282" t="s">
        <v>118</v>
      </c>
      <c r="B311" s="283" t="s">
        <v>120</v>
      </c>
      <c r="C311" s="284" t="s">
        <v>2369</v>
      </c>
      <c r="D311" s="284" t="s">
        <v>2308</v>
      </c>
      <c r="E311" s="285" t="n">
        <v>280.44</v>
      </c>
      <c r="F311" s="283" t="s">
        <v>527</v>
      </c>
      <c r="G311" s="285" t="n">
        <f aca="false">$F$16*(E311/$G$16+$H$16)</f>
        <v>14.4132</v>
      </c>
      <c r="H311" s="286" t="n">
        <f aca="false">IF(ISNUMBER('P9-020'!$N$115),'P9-020'!$N$115,"")</f>
        <v>46359</v>
      </c>
      <c r="I311" s="286" t="n">
        <f aca="false">IF(ISNUMBER('P9-020'!$O$115),'P9-020'!$O$115,"")</f>
        <v>46359</v>
      </c>
      <c r="J311" s="287" t="n">
        <f aca="false">IF(OR(H311="",I311="",N311&gt;=1),0,MAX(1,NETWORKDAYS(MAX(H311,ASOF),MAX(I311,ASOF),HOLIDAYS)))</f>
        <v>1</v>
      </c>
      <c r="K311" s="287" t="n">
        <f aca="false">IF(L311=0,0,ROUNDUP(L311/$F$16,0))</f>
        <v>5</v>
      </c>
      <c r="L311" s="285" t="n">
        <f aca="false">IF(J311=0,0,G311*(1-N311)/J311)</f>
        <v>14.4132</v>
      </c>
      <c r="M311" s="283" t="s">
        <v>1205</v>
      </c>
      <c r="N311" s="288" t="n">
        <f aca="false">IFERROR(MIN(1,'P9-020'!$V$115)+0,0)</f>
        <v>0</v>
      </c>
      <c r="O311" s="289" t="n">
        <f aca="false">IF($L311=0,0,$L311*MAX(0,NETWORKDAYS(MAX($H311,ASOF,O$72),MIN(MAX($I311,ASOF),O$72+6),HOLIDAYS)))</f>
        <v>0</v>
      </c>
      <c r="P311" s="289" t="n">
        <f aca="false">IF($L311=0,0,$L311*MAX(0,NETWORKDAYS(MAX($H311,ASOF,P$72),MIN(MAX($I311,ASOF),P$72+6),HOLIDAYS)))</f>
        <v>0</v>
      </c>
      <c r="Q311" s="289" t="n">
        <f aca="false">IF($L311=0,0,$L311*MAX(0,NETWORKDAYS(MAX($H311,ASOF,Q$72),MIN(MAX($I311,ASOF),Q$72+6),HOLIDAYS)))</f>
        <v>0</v>
      </c>
      <c r="R311" s="289" t="n">
        <f aca="false">IF($L311=0,0,$L311*MAX(0,NETWORKDAYS(MAX($H311,ASOF,R$72),MIN(MAX($I311,ASOF),R$72+6),HOLIDAYS)))</f>
        <v>0</v>
      </c>
      <c r="S311" s="289" t="n">
        <f aca="false">IF($L311=0,0,$L311*MAX(0,NETWORKDAYS(MAX($H311,ASOF,S$72),MIN(MAX($I311,ASOF),S$72+6),HOLIDAYS)))</f>
        <v>14.4132</v>
      </c>
      <c r="T311" s="289" t="n">
        <f aca="false">IF($L311=0,0,$L311*MAX(0,NETWORKDAYS(MAX($H311,ASOF,T$72),MIN(MAX($I311,ASOF),T$72+6),HOLIDAYS)))</f>
        <v>0</v>
      </c>
      <c r="U311" s="289" t="n">
        <f aca="false">IF($L311=0,0,$L311*MAX(0,NETWORKDAYS(MAX($H311,ASOF,U$72),MIN(MAX($I311,ASOF),U$72+6),HOLIDAYS)))</f>
        <v>0</v>
      </c>
      <c r="V311" s="289" t="n">
        <f aca="false">IF($L311=0,0,$L311*MAX(0,NETWORKDAYS(MAX($H311,ASOF,V$72),MIN(MAX($I311,ASOF),V$72+6),HOLIDAYS)))</f>
        <v>0</v>
      </c>
      <c r="W311" s="289" t="n">
        <f aca="false">IF($L311=0,0,$L311*MAX(0,NETWORKDAYS(MAX($H311,ASOF,W$72),MIN(MAX($I311,ASOF),W$72+6),HOLIDAYS)))</f>
        <v>0</v>
      </c>
      <c r="X311" s="289" t="n">
        <f aca="false">IF($L311=0,0,$L311*MAX(0,NETWORKDAYS(MAX($H311,ASOF,X$72),MIN(MAX($I311,ASOF),X$72+6),HOLIDAYS)))</f>
        <v>0</v>
      </c>
      <c r="Y311" s="289" t="n">
        <f aca="false">IF($L311=0,0,$L311*MAX(0,NETWORKDAYS(MAX($H311,ASOF,Y$72),MIN(MAX($I311,ASOF),Y$72+6),HOLIDAYS)))</f>
        <v>0</v>
      </c>
      <c r="Z311" s="289" t="n">
        <f aca="false">IF($L311=0,0,$L311*MAX(0,NETWORKDAYS(MAX($H311,ASOF,Z$72),MIN(MAX($I311,ASOF),Z$72+6),HOLIDAYS)))</f>
        <v>0</v>
      </c>
      <c r="AA311" s="289" t="n">
        <f aca="false">IF($L311=0,0,$L311*MAX(0,NETWORKDAYS(MAX($H311,ASOF,AA$72),MIN(MAX($I311,ASOF),AA$72+6),HOLIDAYS)))</f>
        <v>0</v>
      </c>
      <c r="AB311" s="289" t="n">
        <f aca="false">IF($L311=0,0,$L311*MAX(0,NETWORKDAYS(MAX($H311,ASOF,AB$72),MIN(MAX($I311,ASOF),AB$72+6),HOLIDAYS)))</f>
        <v>0</v>
      </c>
      <c r="AC311" s="289" t="n">
        <f aca="false">IF($L311=0,0,$L311*MAX(0,NETWORKDAYS(MAX($H311,ASOF,AC$72),MIN(MAX($I311,ASOF),AC$72+6),HOLIDAYS)))</f>
        <v>0</v>
      </c>
      <c r="AD311" s="289" t="n">
        <f aca="false">IF($L311=0,0,$L311*MAX(0,NETWORKDAYS(MAX($H311,ASOF,AD$72),MIN(MAX($I311,ASOF),AD$72+6),HOLIDAYS)))</f>
        <v>0</v>
      </c>
      <c r="AE311" s="289" t="n">
        <f aca="false">IF($L311=0,0,$L311*MAX(0,NETWORKDAYS(MAX($H311,ASOF,AE$72),MIN(MAX($I311,ASOF),AE$72+6),HOLIDAYS)))</f>
        <v>0</v>
      </c>
      <c r="AF311" s="289" t="n">
        <f aca="false">IF($L311=0,0,$L311*MAX(0,NETWORKDAYS(MAX($H311,ASOF,AF$72),MIN(MAX($I311,ASOF),AF$72+6),HOLIDAYS)))</f>
        <v>0</v>
      </c>
      <c r="AG311" s="289" t="n">
        <f aca="false">IF($L311=0,0,$L311*MAX(0,NETWORKDAYS(MAX($H311,ASOF,AG$72),MIN(MAX($I311,ASOF),AG$72+6),HOLIDAYS)))</f>
        <v>0</v>
      </c>
      <c r="AH311" s="289" t="n">
        <f aca="false">IF($L311=0,0,$L311*MAX(0,NETWORKDAYS(MAX($H311,ASOF,AH$72),MIN(MAX($I311,ASOF),AH$72+6),HOLIDAYS)))</f>
        <v>0</v>
      </c>
      <c r="AI311" s="289" t="n">
        <f aca="false">IF($L311=0,0,$L311*MAX(0,NETWORKDAYS(MAX($H311,ASOF,AI$72),MIN(MAX($I311,ASOF),AI$72+6),HOLIDAYS)))</f>
        <v>0</v>
      </c>
      <c r="AJ311" s="289" t="n">
        <f aca="false">IF($L311=0,0,$L311*MAX(0,NETWORKDAYS(MAX($H311,ASOF,AJ$72),MIN(MAX($I311,ASOF),AJ$72+6),HOLIDAYS)))</f>
        <v>0</v>
      </c>
      <c r="AK311" s="289" t="n">
        <f aca="false">IF($L311=0,0,$L311*MAX(0,NETWORKDAYS(MAX($H311,ASOF,AK$72),MIN(MAX($I311,ASOF),AK$72+6),HOLIDAYS)))</f>
        <v>0</v>
      </c>
      <c r="AL311" s="289" t="n">
        <f aca="false">IF($L311=0,0,$L311*MAX(0,NETWORKDAYS(MAX($H311,ASOF,AL$72),MIN(MAX($I311,ASOF),AL$72+6),HOLIDAYS)))</f>
        <v>0</v>
      </c>
      <c r="AM311" s="289" t="n">
        <f aca="false">IF($L311=0,0,$L311*MAX(0,NETWORKDAYS(MAX($H311,ASOF,AM$72),MIN(MAX($I311,ASOF),AM$72+6),HOLIDAYS)))</f>
        <v>0</v>
      </c>
      <c r="AN311" s="289" t="n">
        <f aca="false">IF($L311=0,0,$L311*MAX(0,NETWORKDAYS(MAX($H311,ASOF,AN$72),MIN(MAX($I311,ASOF),AN$72+6),HOLIDAYS)))</f>
        <v>0</v>
      </c>
      <c r="AO311" s="289" t="n">
        <f aca="false">IF($L311=0,0,$L311*MAX(0,NETWORKDAYS(MAX($H311,ASOF,AO$72),MIN(MAX($I311,ASOF),AO$72+6),HOLIDAYS)))</f>
        <v>0</v>
      </c>
      <c r="AP311" s="289" t="n">
        <f aca="false">IF($L311=0,0,$L311*MAX(0,NETWORKDAYS(MAX($H311,ASOF,AP$72),MIN(MAX($I311,ASOF),AP$72+6),HOLIDAYS)))</f>
        <v>0</v>
      </c>
      <c r="AQ311" s="289" t="n">
        <f aca="false">IF($L311=0,0,$L311*MAX(0,NETWORKDAYS(MAX($H311,ASOF,AQ$72),MIN(MAX($I311,ASOF),AQ$72+6),HOLIDAYS)))</f>
        <v>0</v>
      </c>
      <c r="AR311" s="289" t="n">
        <f aca="false">IF($L311=0,0,$L311*MAX(0,NETWORKDAYS(MAX($H311,ASOF,AR$72),MIN(MAX($I311,ASOF),AR$72+6),HOLIDAYS)))</f>
        <v>0</v>
      </c>
    </row>
    <row r="312" customFormat="false" ht="15" hidden="false" customHeight="false" outlineLevel="1" collapsed="false">
      <c r="A312" s="282" t="s">
        <v>118</v>
      </c>
      <c r="B312" s="283" t="s">
        <v>120</v>
      </c>
      <c r="C312" s="284" t="s">
        <v>2370</v>
      </c>
      <c r="D312" s="284" t="s">
        <v>2313</v>
      </c>
      <c r="E312" s="285" t="n">
        <v>1</v>
      </c>
      <c r="F312" s="290" t="s">
        <v>35</v>
      </c>
      <c r="G312" s="285" t="n">
        <f aca="false">SUM(O312:AR312)</f>
        <v>20</v>
      </c>
      <c r="H312" s="286" t="n">
        <f aca="false">IF(ISNUMBER('P9-020'!$N$62),'P9-020'!$N$62,"")</f>
        <v>46328</v>
      </c>
      <c r="I312" s="286" t="n">
        <f aca="false">IF(ISNUMBER('P9-020'!$O$115),'P9-020'!$O$115,"")</f>
        <v>46359</v>
      </c>
      <c r="J312" s="287"/>
      <c r="K312" s="287" t="n">
        <f aca="false">IF(G312&gt;0,$F$17,0)</f>
        <v>1</v>
      </c>
      <c r="L312" s="285" t="n">
        <v>0</v>
      </c>
      <c r="M312" s="290" t="s">
        <v>2310</v>
      </c>
      <c r="N312" s="288" t="str">
        <f aca="false">""</f>
        <v/>
      </c>
      <c r="O312" s="289" t="n">
        <f aca="false">IF(SUMIFS(O$73:O$312,$A$73:$A$312,"P9-020",$M$73:$M$312,"&lt;&gt;คุม")&gt;0,$F$17*NETWORKDAYS(O$72,O$72+6,HOLIDAYS),0)</f>
        <v>5</v>
      </c>
      <c r="P312" s="289" t="n">
        <f aca="false">IF(SUMIFS(P$73:P$312,$A$73:$A$312,"P9-020",$M$73:$M$312,"&lt;&gt;คุม")&gt;0,$F$17*NETWORKDAYS(P$72,P$72+6,HOLIDAYS),0)</f>
        <v>5</v>
      </c>
      <c r="Q312" s="289" t="n">
        <f aca="false">IF(SUMIFS(Q$73:Q$312,$A$73:$A$312,"P9-020",$M$73:$M$312,"&lt;&gt;คุม")&gt;0,$F$17*NETWORKDAYS(Q$72,Q$72+6,HOLIDAYS),0)</f>
        <v>5</v>
      </c>
      <c r="R312" s="289" t="n">
        <f aca="false">IF(SUMIFS(R$73:R$312,$A$73:$A$312,"P9-020",$M$73:$M$312,"&lt;&gt;คุม")&gt;0,$F$17*NETWORKDAYS(R$72,R$72+6,HOLIDAYS),0)</f>
        <v>0</v>
      </c>
      <c r="S312" s="289" t="n">
        <f aca="false">IF(SUMIFS(S$73:S$312,$A$73:$A$312,"P9-020",$M$73:$M$312,"&lt;&gt;คุม")&gt;0,$F$17*NETWORKDAYS(S$72,S$72+6,HOLIDAYS),0)</f>
        <v>5</v>
      </c>
      <c r="T312" s="289" t="n">
        <f aca="false">IF(SUMIFS(T$73:T$312,$A$73:$A$312,"P9-020",$M$73:$M$312,"&lt;&gt;คุม")&gt;0,$F$17*NETWORKDAYS(T$72,T$72+6,HOLIDAYS),0)</f>
        <v>0</v>
      </c>
      <c r="U312" s="289" t="n">
        <f aca="false">IF(SUMIFS(U$73:U$312,$A$73:$A$312,"P9-020",$M$73:$M$312,"&lt;&gt;คุม")&gt;0,$F$17*NETWORKDAYS(U$72,U$72+6,HOLIDAYS),0)</f>
        <v>0</v>
      </c>
      <c r="V312" s="289" t="n">
        <f aca="false">IF(SUMIFS(V$73:V$312,$A$73:$A$312,"P9-020",$M$73:$M$312,"&lt;&gt;คุม")&gt;0,$F$17*NETWORKDAYS(V$72,V$72+6,HOLIDAYS),0)</f>
        <v>0</v>
      </c>
      <c r="W312" s="289" t="n">
        <f aca="false">IF(SUMIFS(W$73:W$312,$A$73:$A$312,"P9-020",$M$73:$M$312,"&lt;&gt;คุม")&gt;0,$F$17*NETWORKDAYS(W$72,W$72+6,HOLIDAYS),0)</f>
        <v>0</v>
      </c>
      <c r="X312" s="289" t="n">
        <f aca="false">IF(SUMIFS(X$73:X$312,$A$73:$A$312,"P9-020",$M$73:$M$312,"&lt;&gt;คุม")&gt;0,$F$17*NETWORKDAYS(X$72,X$72+6,HOLIDAYS),0)</f>
        <v>0</v>
      </c>
      <c r="Y312" s="289" t="n">
        <f aca="false">IF(SUMIFS(Y$73:Y$312,$A$73:$A$312,"P9-020",$M$73:$M$312,"&lt;&gt;คุม")&gt;0,$F$17*NETWORKDAYS(Y$72,Y$72+6,HOLIDAYS),0)</f>
        <v>0</v>
      </c>
      <c r="Z312" s="289" t="n">
        <f aca="false">IF(SUMIFS(Z$73:Z$312,$A$73:$A$312,"P9-020",$M$73:$M$312,"&lt;&gt;คุม")&gt;0,$F$17*NETWORKDAYS(Z$72,Z$72+6,HOLIDAYS),0)</f>
        <v>0</v>
      </c>
      <c r="AA312" s="289" t="n">
        <f aca="false">IF(SUMIFS(AA$73:AA$312,$A$73:$A$312,"P9-020",$M$73:$M$312,"&lt;&gt;คุม")&gt;0,$F$17*NETWORKDAYS(AA$72,AA$72+6,HOLIDAYS),0)</f>
        <v>0</v>
      </c>
      <c r="AB312" s="289" t="n">
        <f aca="false">IF(SUMIFS(AB$73:AB$312,$A$73:$A$312,"P9-020",$M$73:$M$312,"&lt;&gt;คุม")&gt;0,$F$17*NETWORKDAYS(AB$72,AB$72+6,HOLIDAYS),0)</f>
        <v>0</v>
      </c>
      <c r="AC312" s="289" t="n">
        <f aca="false">IF(SUMIFS(AC$73:AC$312,$A$73:$A$312,"P9-020",$M$73:$M$312,"&lt;&gt;คุม")&gt;0,$F$17*NETWORKDAYS(AC$72,AC$72+6,HOLIDAYS),0)</f>
        <v>0</v>
      </c>
      <c r="AD312" s="289" t="n">
        <f aca="false">IF(SUMIFS(AD$73:AD$312,$A$73:$A$312,"P9-020",$M$73:$M$312,"&lt;&gt;คุม")&gt;0,$F$17*NETWORKDAYS(AD$72,AD$72+6,HOLIDAYS),0)</f>
        <v>0</v>
      </c>
      <c r="AE312" s="289" t="n">
        <f aca="false">IF(SUMIFS(AE$73:AE$312,$A$73:$A$312,"P9-020",$M$73:$M$312,"&lt;&gt;คุม")&gt;0,$F$17*NETWORKDAYS(AE$72,AE$72+6,HOLIDAYS),0)</f>
        <v>0</v>
      </c>
      <c r="AF312" s="289" t="n">
        <f aca="false">IF(SUMIFS(AF$73:AF$312,$A$73:$A$312,"P9-020",$M$73:$M$312,"&lt;&gt;คุม")&gt;0,$F$17*NETWORKDAYS(AF$72,AF$72+6,HOLIDAYS),0)</f>
        <v>0</v>
      </c>
      <c r="AG312" s="289" t="n">
        <f aca="false">IF(SUMIFS(AG$73:AG$312,$A$73:$A$312,"P9-020",$M$73:$M$312,"&lt;&gt;คุม")&gt;0,$F$17*NETWORKDAYS(AG$72,AG$72+6,HOLIDAYS),0)</f>
        <v>0</v>
      </c>
      <c r="AH312" s="289" t="n">
        <f aca="false">IF(SUMIFS(AH$73:AH$312,$A$73:$A$312,"P9-020",$M$73:$M$312,"&lt;&gt;คุม")&gt;0,$F$17*NETWORKDAYS(AH$72,AH$72+6,HOLIDAYS),0)</f>
        <v>0</v>
      </c>
      <c r="AI312" s="289" t="n">
        <f aca="false">IF(SUMIFS(AI$73:AI$312,$A$73:$A$312,"P9-020",$M$73:$M$312,"&lt;&gt;คุม")&gt;0,$F$17*NETWORKDAYS(AI$72,AI$72+6,HOLIDAYS),0)</f>
        <v>0</v>
      </c>
      <c r="AJ312" s="289" t="n">
        <f aca="false">IF(SUMIFS(AJ$73:AJ$312,$A$73:$A$312,"P9-020",$M$73:$M$312,"&lt;&gt;คุม")&gt;0,$F$17*NETWORKDAYS(AJ$72,AJ$72+6,HOLIDAYS),0)</f>
        <v>0</v>
      </c>
      <c r="AK312" s="289" t="n">
        <f aca="false">IF(SUMIFS(AK$73:AK$312,$A$73:$A$312,"P9-020",$M$73:$M$312,"&lt;&gt;คุม")&gt;0,$F$17*NETWORKDAYS(AK$72,AK$72+6,HOLIDAYS),0)</f>
        <v>0</v>
      </c>
      <c r="AL312" s="289" t="n">
        <f aca="false">IF(SUMIFS(AL$73:AL$312,$A$73:$A$312,"P9-020",$M$73:$M$312,"&lt;&gt;คุม")&gt;0,$F$17*NETWORKDAYS(AL$72,AL$72+6,HOLIDAYS),0)</f>
        <v>0</v>
      </c>
      <c r="AM312" s="289" t="n">
        <f aca="false">IF(SUMIFS(AM$73:AM$312,$A$73:$A$312,"P9-020",$M$73:$M$312,"&lt;&gt;คุม")&gt;0,$F$17*NETWORKDAYS(AM$72,AM$72+6,HOLIDAYS),0)</f>
        <v>0</v>
      </c>
      <c r="AN312" s="289" t="n">
        <f aca="false">IF(SUMIFS(AN$73:AN$312,$A$73:$A$312,"P9-020",$M$73:$M$312,"&lt;&gt;คุม")&gt;0,$F$17*NETWORKDAYS(AN$72,AN$72+6,HOLIDAYS),0)</f>
        <v>0</v>
      </c>
      <c r="AO312" s="289" t="n">
        <f aca="false">IF(SUMIFS(AO$73:AO$312,$A$73:$A$312,"P9-020",$M$73:$M$312,"&lt;&gt;คุม")&gt;0,$F$17*NETWORKDAYS(AO$72,AO$72+6,HOLIDAYS),0)</f>
        <v>0</v>
      </c>
      <c r="AP312" s="289" t="n">
        <f aca="false">IF(SUMIFS(AP$73:AP$312,$A$73:$A$312,"P9-020",$M$73:$M$312,"&lt;&gt;คุม")&gt;0,$F$17*NETWORKDAYS(AP$72,AP$72+6,HOLIDAYS),0)</f>
        <v>0</v>
      </c>
      <c r="AQ312" s="289" t="n">
        <f aca="false">IF(SUMIFS(AQ$73:AQ$312,$A$73:$A$312,"P9-020",$M$73:$M$312,"&lt;&gt;คุม")&gt;0,$F$17*NETWORKDAYS(AQ$72,AQ$72+6,HOLIDAYS),0)</f>
        <v>0</v>
      </c>
      <c r="AR312" s="289" t="n">
        <f aca="false">IF(SUMIFS(AR$73:AR$312,$A$73:$A$312,"P9-020",$M$73:$M$312,"&lt;&gt;คุม")&gt;0,$F$17*NETWORKDAYS(AR$72,AR$72+6,HOLIDAYS),0)</f>
        <v>0</v>
      </c>
    </row>
  </sheetData>
  <autoFilter ref="A72:AR312"/>
  <mergeCells count="43">
    <mergeCell ref="I4:M4"/>
    <mergeCell ref="I5:M5"/>
    <mergeCell ref="I6:M6"/>
    <mergeCell ref="I7:M7"/>
    <mergeCell ref="I8:M8"/>
    <mergeCell ref="I9:M9"/>
    <mergeCell ref="I10:M10"/>
    <mergeCell ref="I11:M11"/>
    <mergeCell ref="I12:M12"/>
    <mergeCell ref="I13:M13"/>
    <mergeCell ref="I14:M14"/>
    <mergeCell ref="I15:M15"/>
    <mergeCell ref="I16:M16"/>
    <mergeCell ref="I17:M17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41:M41"/>
    <mergeCell ref="A42:M42"/>
    <mergeCell ref="A43:M43"/>
    <mergeCell ref="A44:M44"/>
    <mergeCell ref="A45:M45"/>
    <mergeCell ref="A46:M46"/>
    <mergeCell ref="A47:M47"/>
    <mergeCell ref="A48:M48"/>
    <mergeCell ref="A49:M49"/>
  </mergeCells>
  <conditionalFormatting sqref="O22:AR22">
    <cfRule type="colorScale" priority="2">
      <colorScale>
        <cfvo type="num" val="0"/>
        <cfvo type="max" val="0"/>
        <color rgb="FFFFFFFF"/>
        <color rgb="FFF4B183"/>
      </colorScale>
    </cfRule>
  </conditionalFormatting>
  <conditionalFormatting sqref="O21:AR49">
    <cfRule type="expression" priority="3" aboveAverage="0" equalAverage="0" bottom="0" percent="0" rank="0" text="" dxfId="46">
      <formula>AND(ASOF&gt;=O$21,ASOF&lt;O$21+7)</formula>
    </cfRule>
  </conditionalFormatting>
  <conditionalFormatting sqref="O73:AR312">
    <cfRule type="expression" priority="4" aboveAverage="0" equalAverage="0" bottom="0" percent="0" rank="0" text="" dxfId="45">
      <formula>O73&gt;0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7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3" min="11" style="0" width="9"/>
    <col collapsed="false" customWidth="true" hidden="false" outlineLevel="0" max="14" min="14" style="0" width="8"/>
  </cols>
  <sheetData>
    <row r="1" customFormat="false" ht="16.15" hidden="false" customHeight="false" outlineLevel="0" collapsed="false">
      <c r="A1" s="265" t="s">
        <v>2372</v>
      </c>
    </row>
    <row r="3" customFormat="false" ht="36" hidden="false" customHeight="true" outlineLevel="0" collapsed="false">
      <c r="A3" s="28" t="s">
        <v>132</v>
      </c>
      <c r="B3" s="28" t="s">
        <v>35</v>
      </c>
      <c r="C3" s="29" t="s">
        <v>2209</v>
      </c>
      <c r="D3" s="28" t="s">
        <v>528</v>
      </c>
      <c r="E3" s="29" t="s">
        <v>529</v>
      </c>
      <c r="F3" s="29" t="s">
        <v>2373</v>
      </c>
      <c r="G3" s="29" t="s">
        <v>544</v>
      </c>
      <c r="H3" s="28" t="s">
        <v>2374</v>
      </c>
      <c r="I3" s="29" t="s">
        <v>545</v>
      </c>
      <c r="J3" s="29" t="s">
        <v>39</v>
      </c>
      <c r="K3" s="28" t="s">
        <v>4</v>
      </c>
      <c r="L3" s="28" t="s">
        <v>2210</v>
      </c>
      <c r="M3" s="28" t="s">
        <v>514</v>
      </c>
      <c r="N3" s="29" t="s">
        <v>2212</v>
      </c>
    </row>
    <row r="4" customFormat="false" ht="15" hidden="false" customHeight="false" outlineLevel="0" collapsed="false">
      <c r="A4" s="291" t="s">
        <v>2375</v>
      </c>
      <c r="B4" s="291" t="n">
        <f aca="false">COUNTIF('Master Plan'!$G$8:$G$27,A4)</f>
        <v>20</v>
      </c>
      <c r="C4" s="257" t="n">
        <f aca="false">SUMIF('Master Plan'!$G$8:$G$27,A4,'Master Plan'!$F$8:$F$27)/1000</f>
        <v>4.3092</v>
      </c>
      <c r="D4" s="292" t="n">
        <f aca="false">_xlfn.MINIFS('Master Plan'!$H$8:$H$27,'Master Plan'!$G$8:$G$27,A4)</f>
        <v>46403</v>
      </c>
      <c r="E4" s="292" t="n">
        <f aca="false">_xlfn.MAXIFS('Master Plan'!$I$8:$I$27,'Master Plan'!$G$8:$G$27,A4)</f>
        <v>46436</v>
      </c>
      <c r="F4" s="292" t="n">
        <f aca="false">_xlfn.MAXIFS('Master Plan'!$AH$8:$AH$27,'Master Plan'!$G$8:$G$27,A4)</f>
        <v>46433</v>
      </c>
      <c r="G4" s="293" t="n">
        <f aca="false">F4-E4</f>
        <v>-3</v>
      </c>
      <c r="H4" s="293" t="n">
        <f aca="false">_xlfn.MAXIFS('Master Plan'!$AI$8:$AI$27,'Master Plan'!$G$8:$G$27,A4)</f>
        <v>-36</v>
      </c>
      <c r="I4" s="294" t="n">
        <f aca="false">SUMIF('Master Plan'!$G$8:$G$27,A4,'Master Plan'!$AK$8:$AK$27)/SUMIF('Master Plan'!$G$8:$G$27,A4,'Master Plan'!$AL$8:$AL$27)</f>
        <v>0</v>
      </c>
      <c r="J4" s="295" t="n">
        <f aca="false">SUMPRODUCT(('Master Plan'!$G$8:$G$27=A4)*'Master Plan'!$AM$8:$AM$27*'Master Plan'!$F$8:$F$27)/SUMIF('Master Plan'!$G$8:$G$27,A4,'Master Plan'!$F$8:$F$27)</f>
        <v>0</v>
      </c>
      <c r="K4" s="291" t="n">
        <f aca="false">COUNTIFS('Master Plan'!$G$8:$G$27,A4,'Master Plan'!$N$8:$N$27,"&lt;="&amp;ASOF,'Master Plan'!$N$8:$N$27,"&lt;&gt;")</f>
        <v>0</v>
      </c>
      <c r="L4" s="291" t="n">
        <f aca="false">COUNTIFS('Master Plan'!$G$8:$G$27,A4,'Master Plan'!$O$8:$O$27,"&lt;="&amp;ASOF,'Master Plan'!$O$8:$O$27,"&lt;&gt;")</f>
        <v>0</v>
      </c>
      <c r="M4" s="291" t="n">
        <f aca="false">COUNTIFS('Master Plan'!$G$8:$G$27,A4,'Master Plan'!$Q$8:$Q$27,"&lt;="&amp;ASOF,'Master Plan'!$Q$8:$Q$27,"&lt;&gt;")</f>
        <v>0</v>
      </c>
      <c r="N4" s="291" t="n">
        <f aca="false">COUNTIFS('Master Plan'!$G$8:$G$27,A4,'Master Plan'!$X$8:$X$27,"&lt;="&amp;ASOF,'Master Plan'!$X$8:$X$27,"&lt;&gt;")</f>
        <v>0</v>
      </c>
    </row>
    <row r="5" customFormat="false" ht="15" hidden="false" customHeight="false" outlineLevel="0" collapsed="false">
      <c r="A5" s="296" t="s">
        <v>1741</v>
      </c>
      <c r="B5" s="296" t="n">
        <f aca="false">SUM(B4:B4)</f>
        <v>20</v>
      </c>
      <c r="C5" s="297" t="n">
        <f aca="false">SUM(C4:C4)</f>
        <v>4.3092</v>
      </c>
      <c r="D5" s="298" t="n">
        <f aca="false">MIN(D4:D4)</f>
        <v>46403</v>
      </c>
      <c r="E5" s="298" t="n">
        <f aca="false">MAX(E4:E4)</f>
        <v>46436</v>
      </c>
      <c r="F5" s="298" t="n">
        <f aca="false">MAX(F4:F4)</f>
        <v>46433</v>
      </c>
      <c r="G5" s="299" t="n">
        <f aca="false">F5-E5</f>
        <v>-3</v>
      </c>
      <c r="H5" s="299" t="n">
        <f aca="false">MAX(H4:H4)</f>
        <v>-36</v>
      </c>
      <c r="I5" s="300" t="n">
        <f aca="false">SUM('Master Plan'!$AK$8:$AK$27)/SUM('Master Plan'!$AL$8:$AL$27)</f>
        <v>0</v>
      </c>
      <c r="J5" s="301" t="n">
        <f aca="false">SUMPRODUCT('Master Plan'!$AM$8:$AM$27,'Master Plan'!$F$8:$F$27)/SUM('Master Plan'!$F$8:$F$27)</f>
        <v>0</v>
      </c>
      <c r="K5" s="296" t="n">
        <f aca="false">SUM(K4:K4)</f>
        <v>0</v>
      </c>
      <c r="L5" s="296" t="n">
        <f aca="false">SUM(L4:L4)</f>
        <v>0</v>
      </c>
      <c r="M5" s="296" t="n">
        <f aca="false">SUM(M4:M4)</f>
        <v>0</v>
      </c>
      <c r="N5" s="296" t="n">
        <f aca="false">SUM(N4:N4)</f>
        <v>0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7" min="3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37" t="s">
        <v>2376</v>
      </c>
    </row>
    <row r="2" customFormat="false" ht="15" hidden="false" customHeight="false" outlineLevel="0" collapsed="false">
      <c r="A2" s="180" t="s">
        <v>2377</v>
      </c>
    </row>
    <row r="6" customFormat="false" ht="31.5" hidden="false" customHeight="true" outlineLevel="0" collapsed="false">
      <c r="A6" s="28" t="s">
        <v>1715</v>
      </c>
      <c r="B6" s="29" t="s">
        <v>2378</v>
      </c>
      <c r="C6" s="28" t="s">
        <v>2379</v>
      </c>
      <c r="D6" s="29" t="s">
        <v>2380</v>
      </c>
      <c r="E6" s="29" t="s">
        <v>2381</v>
      </c>
      <c r="F6" s="29" t="s">
        <v>545</v>
      </c>
      <c r="G6" s="29" t="s">
        <v>2382</v>
      </c>
      <c r="H6" s="28" t="s">
        <v>2383</v>
      </c>
      <c r="I6" s="28" t="s">
        <v>2384</v>
      </c>
      <c r="J6" s="29" t="s">
        <v>2385</v>
      </c>
      <c r="K6" s="28" t="s">
        <v>2386</v>
      </c>
    </row>
    <row r="7" customFormat="false" ht="15" hidden="false" customHeight="false" outlineLevel="0" collapsed="false">
      <c r="A7" s="302"/>
      <c r="B7" s="302"/>
      <c r="D7" s="303"/>
      <c r="E7" s="303"/>
    </row>
    <row r="8" customFormat="false" ht="15" hidden="false" customHeight="false" outlineLevel="0" collapsed="false">
      <c r="A8" s="302"/>
      <c r="B8" s="302"/>
      <c r="D8" s="303"/>
      <c r="E8" s="303"/>
    </row>
    <row r="9" customFormat="false" ht="15" hidden="false" customHeight="false" outlineLevel="0" collapsed="false">
      <c r="A9" s="302"/>
      <c r="B9" s="302"/>
      <c r="D9" s="303"/>
      <c r="E9" s="303"/>
    </row>
    <row r="10" customFormat="false" ht="15" hidden="false" customHeight="false" outlineLevel="0" collapsed="false">
      <c r="A10" s="302"/>
      <c r="B10" s="302"/>
      <c r="D10" s="303"/>
      <c r="E10" s="303"/>
    </row>
    <row r="11" customFormat="false" ht="15" hidden="false" customHeight="false" outlineLevel="0" collapsed="false">
      <c r="A11" s="302"/>
      <c r="B11" s="302"/>
      <c r="D11" s="303"/>
      <c r="E11" s="303"/>
    </row>
    <row r="12" customFormat="false" ht="15" hidden="false" customHeight="false" outlineLevel="0" collapsed="false">
      <c r="A12" s="302"/>
      <c r="B12" s="302"/>
      <c r="D12" s="303"/>
      <c r="E12" s="303"/>
    </row>
    <row r="13" customFormat="false" ht="15" hidden="false" customHeight="false" outlineLevel="0" collapsed="false">
      <c r="A13" s="302"/>
      <c r="B13" s="302"/>
      <c r="D13" s="303"/>
      <c r="E13" s="303"/>
    </row>
    <row r="14" customFormat="false" ht="15" hidden="false" customHeight="false" outlineLevel="0" collapsed="false">
      <c r="A14" s="302"/>
      <c r="B14" s="302"/>
      <c r="D14" s="303"/>
      <c r="E14" s="303"/>
    </row>
    <row r="15" customFormat="false" ht="15" hidden="false" customHeight="false" outlineLevel="0" collapsed="false">
      <c r="A15" s="302"/>
      <c r="B15" s="302"/>
      <c r="D15" s="303"/>
      <c r="E15" s="303"/>
    </row>
    <row r="16" customFormat="false" ht="15" hidden="false" customHeight="false" outlineLevel="0" collapsed="false">
      <c r="A16" s="302"/>
      <c r="B16" s="302"/>
      <c r="D16" s="303"/>
      <c r="E16" s="303"/>
    </row>
    <row r="17" customFormat="false" ht="15" hidden="false" customHeight="false" outlineLevel="0" collapsed="false">
      <c r="A17" s="302"/>
      <c r="B17" s="302"/>
      <c r="D17" s="303"/>
      <c r="E17" s="303"/>
    </row>
    <row r="18" customFormat="false" ht="15" hidden="false" customHeight="false" outlineLevel="0" collapsed="false">
      <c r="A18" s="302"/>
      <c r="B18" s="302"/>
      <c r="D18" s="303"/>
      <c r="E18" s="303"/>
    </row>
    <row r="19" customFormat="false" ht="15" hidden="false" customHeight="false" outlineLevel="0" collapsed="false">
      <c r="A19" s="302"/>
      <c r="B19" s="302"/>
      <c r="D19" s="303"/>
      <c r="E19" s="303"/>
    </row>
    <row r="20" customFormat="false" ht="15" hidden="false" customHeight="false" outlineLevel="0" collapsed="false">
      <c r="A20" s="302"/>
      <c r="B20" s="302"/>
      <c r="D20" s="303"/>
      <c r="E20" s="303"/>
    </row>
    <row r="21" customFormat="false" ht="15" hidden="false" customHeight="false" outlineLevel="0" collapsed="false">
      <c r="A21" s="302"/>
      <c r="B21" s="302"/>
      <c r="D21" s="303"/>
      <c r="E21" s="303"/>
    </row>
    <row r="22" customFormat="false" ht="15" hidden="false" customHeight="false" outlineLevel="0" collapsed="false">
      <c r="A22" s="302"/>
      <c r="B22" s="302"/>
      <c r="D22" s="303"/>
      <c r="E22" s="303"/>
    </row>
    <row r="23" customFormat="false" ht="15" hidden="false" customHeight="false" outlineLevel="0" collapsed="false">
      <c r="A23" s="302"/>
      <c r="B23" s="302"/>
      <c r="D23" s="303"/>
      <c r="E23" s="303"/>
    </row>
    <row r="24" customFormat="false" ht="15" hidden="false" customHeight="false" outlineLevel="0" collapsed="false">
      <c r="A24" s="302"/>
      <c r="B24" s="302"/>
      <c r="D24" s="303"/>
      <c r="E24" s="303"/>
    </row>
    <row r="25" customFormat="false" ht="15" hidden="false" customHeight="false" outlineLevel="0" collapsed="false">
      <c r="A25" s="302"/>
      <c r="B25" s="302"/>
      <c r="D25" s="303"/>
      <c r="E25" s="303"/>
    </row>
    <row r="26" customFormat="false" ht="15" hidden="false" customHeight="false" outlineLevel="0" collapsed="false">
      <c r="A26" s="302"/>
      <c r="B26" s="302"/>
      <c r="D26" s="303"/>
      <c r="E26" s="303"/>
    </row>
    <row r="27" customFormat="false" ht="15" hidden="false" customHeight="false" outlineLevel="0" collapsed="false">
      <c r="A27" s="302"/>
      <c r="B27" s="302"/>
      <c r="D27" s="303"/>
      <c r="E27" s="303"/>
    </row>
    <row r="28" customFormat="false" ht="15" hidden="false" customHeight="false" outlineLevel="0" collapsed="false">
      <c r="A28" s="302"/>
      <c r="B28" s="302"/>
      <c r="D28" s="303"/>
      <c r="E28" s="303"/>
    </row>
    <row r="29" customFormat="false" ht="15" hidden="false" customHeight="false" outlineLevel="0" collapsed="false">
      <c r="A29" s="302"/>
      <c r="B29" s="302"/>
      <c r="D29" s="303"/>
      <c r="E29" s="303"/>
    </row>
    <row r="30" customFormat="false" ht="15" hidden="false" customHeight="false" outlineLevel="0" collapsed="false">
      <c r="A30" s="302"/>
      <c r="B30" s="302"/>
      <c r="D30" s="303"/>
      <c r="E30" s="303"/>
    </row>
    <row r="31" customFormat="false" ht="15" hidden="false" customHeight="false" outlineLevel="0" collapsed="false">
      <c r="A31" s="302"/>
      <c r="B31" s="302"/>
      <c r="D31" s="303"/>
      <c r="E31" s="303"/>
    </row>
    <row r="32" customFormat="false" ht="15" hidden="false" customHeight="false" outlineLevel="0" collapsed="false">
      <c r="A32" s="302"/>
      <c r="B32" s="302"/>
      <c r="D32" s="303"/>
      <c r="E32" s="303"/>
    </row>
    <row r="33" customFormat="false" ht="15" hidden="false" customHeight="false" outlineLevel="0" collapsed="false">
      <c r="A33" s="302"/>
      <c r="B33" s="302"/>
      <c r="D33" s="303"/>
      <c r="E33" s="303"/>
    </row>
    <row r="34" customFormat="false" ht="15" hidden="false" customHeight="false" outlineLevel="0" collapsed="false">
      <c r="A34" s="302"/>
      <c r="B34" s="302"/>
      <c r="D34" s="303"/>
      <c r="E34" s="303"/>
    </row>
    <row r="35" customFormat="false" ht="15" hidden="false" customHeight="false" outlineLevel="0" collapsed="false">
      <c r="A35" s="302"/>
      <c r="B35" s="302"/>
      <c r="D35" s="303"/>
      <c r="E35" s="303"/>
    </row>
    <row r="36" customFormat="false" ht="15" hidden="false" customHeight="false" outlineLevel="0" collapsed="false">
      <c r="A36" s="302"/>
      <c r="B36" s="302"/>
      <c r="D36" s="303"/>
      <c r="E36" s="303"/>
    </row>
    <row r="37" customFormat="false" ht="15" hidden="false" customHeight="false" outlineLevel="0" collapsed="false">
      <c r="A37" s="302"/>
      <c r="B37" s="302"/>
      <c r="D37" s="303"/>
      <c r="E37" s="303"/>
    </row>
    <row r="38" customFormat="false" ht="15" hidden="false" customHeight="false" outlineLevel="0" collapsed="false">
      <c r="A38" s="302"/>
      <c r="B38" s="302"/>
      <c r="D38" s="303"/>
      <c r="E38" s="303"/>
    </row>
    <row r="39" customFormat="false" ht="15" hidden="false" customHeight="false" outlineLevel="0" collapsed="false">
      <c r="A39" s="302"/>
      <c r="B39" s="302"/>
      <c r="D39" s="303"/>
      <c r="E39" s="303"/>
    </row>
    <row r="40" customFormat="false" ht="15" hidden="false" customHeight="false" outlineLevel="0" collapsed="false">
      <c r="A40" s="302"/>
      <c r="B40" s="302"/>
      <c r="D40" s="303"/>
      <c r="E40" s="303"/>
    </row>
    <row r="41" customFormat="false" ht="15" hidden="false" customHeight="false" outlineLevel="0" collapsed="false">
      <c r="A41" s="302"/>
      <c r="B41" s="302"/>
      <c r="D41" s="303"/>
      <c r="E41" s="303"/>
    </row>
    <row r="42" customFormat="false" ht="15" hidden="false" customHeight="false" outlineLevel="0" collapsed="false">
      <c r="A42" s="302"/>
      <c r="B42" s="302"/>
      <c r="D42" s="303"/>
      <c r="E42" s="303"/>
    </row>
    <row r="43" customFormat="false" ht="15" hidden="false" customHeight="false" outlineLevel="0" collapsed="false">
      <c r="A43" s="302"/>
      <c r="B43" s="302"/>
      <c r="D43" s="303"/>
      <c r="E43" s="303"/>
    </row>
    <row r="44" customFormat="false" ht="15" hidden="false" customHeight="false" outlineLevel="0" collapsed="false">
      <c r="A44" s="302"/>
      <c r="B44" s="302"/>
      <c r="D44" s="303"/>
      <c r="E44" s="303"/>
    </row>
    <row r="45" customFormat="false" ht="15" hidden="false" customHeight="false" outlineLevel="0" collapsed="false">
      <c r="A45" s="302"/>
      <c r="B45" s="302"/>
      <c r="D45" s="303"/>
      <c r="E45" s="303"/>
    </row>
    <row r="46" customFormat="false" ht="15" hidden="false" customHeight="false" outlineLevel="0" collapsed="false">
      <c r="A46" s="302"/>
      <c r="B46" s="302"/>
      <c r="D46" s="303"/>
      <c r="E46" s="303"/>
    </row>
    <row r="47" customFormat="false" ht="15" hidden="false" customHeight="false" outlineLevel="0" collapsed="false">
      <c r="A47" s="302"/>
      <c r="B47" s="302"/>
      <c r="D47" s="303"/>
      <c r="E47" s="303"/>
    </row>
    <row r="48" customFormat="false" ht="15" hidden="false" customHeight="false" outlineLevel="0" collapsed="false">
      <c r="A48" s="302"/>
      <c r="B48" s="302"/>
      <c r="D48" s="303"/>
      <c r="E48" s="303"/>
    </row>
    <row r="49" customFormat="false" ht="15" hidden="false" customHeight="false" outlineLevel="0" collapsed="false">
      <c r="A49" s="302"/>
      <c r="B49" s="302"/>
      <c r="D49" s="303"/>
      <c r="E49" s="303"/>
    </row>
    <row r="50" customFormat="false" ht="15" hidden="false" customHeight="false" outlineLevel="0" collapsed="false">
      <c r="A50" s="302"/>
      <c r="B50" s="302"/>
      <c r="D50" s="303"/>
      <c r="E50" s="303"/>
    </row>
    <row r="51" customFormat="false" ht="15" hidden="false" customHeight="false" outlineLevel="0" collapsed="false">
      <c r="A51" s="302"/>
      <c r="B51" s="302"/>
      <c r="D51" s="303"/>
      <c r="E51" s="303"/>
    </row>
    <row r="52" customFormat="false" ht="15" hidden="false" customHeight="false" outlineLevel="0" collapsed="false">
      <c r="A52" s="302"/>
      <c r="B52" s="302"/>
      <c r="D52" s="303"/>
      <c r="E52" s="303"/>
    </row>
    <row r="53" customFormat="false" ht="15" hidden="false" customHeight="false" outlineLevel="0" collapsed="false">
      <c r="A53" s="302"/>
      <c r="B53" s="302"/>
      <c r="D53" s="303"/>
      <c r="E53" s="303"/>
    </row>
    <row r="54" customFormat="false" ht="15" hidden="false" customHeight="false" outlineLevel="0" collapsed="false">
      <c r="A54" s="302"/>
      <c r="B54" s="302"/>
      <c r="D54" s="303"/>
      <c r="E54" s="303"/>
    </row>
    <row r="55" customFormat="false" ht="15" hidden="false" customHeight="false" outlineLevel="0" collapsed="false">
      <c r="A55" s="302"/>
      <c r="B55" s="302"/>
      <c r="D55" s="303"/>
      <c r="E55" s="303"/>
    </row>
    <row r="56" customFormat="false" ht="15" hidden="false" customHeight="false" outlineLevel="0" collapsed="false">
      <c r="A56" s="302"/>
      <c r="B56" s="302"/>
      <c r="D56" s="303"/>
      <c r="E56" s="303"/>
    </row>
    <row r="57" customFormat="false" ht="15" hidden="false" customHeight="false" outlineLevel="0" collapsed="false">
      <c r="A57" s="302"/>
      <c r="B57" s="302"/>
      <c r="D57" s="303"/>
      <c r="E57" s="303"/>
    </row>
    <row r="58" customFormat="false" ht="15" hidden="false" customHeight="false" outlineLevel="0" collapsed="false">
      <c r="A58" s="302"/>
      <c r="B58" s="302"/>
      <c r="D58" s="303"/>
      <c r="E58" s="303"/>
    </row>
    <row r="59" customFormat="false" ht="15" hidden="false" customHeight="false" outlineLevel="0" collapsed="false">
      <c r="A59" s="302"/>
      <c r="B59" s="302"/>
      <c r="D59" s="303"/>
      <c r="E59" s="303"/>
    </row>
    <row r="60" customFormat="false" ht="15" hidden="false" customHeight="false" outlineLevel="0" collapsed="false">
      <c r="A60" s="302"/>
      <c r="B60" s="302"/>
      <c r="D60" s="303"/>
      <c r="E60" s="303"/>
    </row>
    <row r="61" customFormat="false" ht="15" hidden="false" customHeight="false" outlineLevel="0" collapsed="false">
      <c r="A61" s="302"/>
      <c r="B61" s="302"/>
      <c r="D61" s="303"/>
      <c r="E61" s="303"/>
    </row>
    <row r="62" customFormat="false" ht="15" hidden="false" customHeight="false" outlineLevel="0" collapsed="false">
      <c r="A62" s="302"/>
      <c r="B62" s="302"/>
      <c r="D62" s="303"/>
      <c r="E62" s="303"/>
    </row>
    <row r="63" customFormat="false" ht="15" hidden="false" customHeight="false" outlineLevel="0" collapsed="false">
      <c r="A63" s="302"/>
      <c r="B63" s="302"/>
      <c r="D63" s="303"/>
      <c r="E63" s="303"/>
    </row>
    <row r="64" customFormat="false" ht="15" hidden="false" customHeight="false" outlineLevel="0" collapsed="false">
      <c r="A64" s="302"/>
      <c r="B64" s="302"/>
      <c r="D64" s="303"/>
      <c r="E64" s="303"/>
    </row>
    <row r="65" customFormat="false" ht="15" hidden="false" customHeight="false" outlineLevel="0" collapsed="false">
      <c r="A65" s="302"/>
      <c r="B65" s="302"/>
      <c r="D65" s="303"/>
      <c r="E65" s="303"/>
    </row>
    <row r="66" customFormat="false" ht="15" hidden="false" customHeight="false" outlineLevel="0" collapsed="false">
      <c r="A66" s="302"/>
      <c r="B66" s="302"/>
      <c r="D66" s="303"/>
      <c r="E66" s="303"/>
    </row>
    <row r="67" customFormat="false" ht="15" hidden="false" customHeight="false" outlineLevel="0" collapsed="false">
      <c r="A67" s="302"/>
      <c r="B67" s="302"/>
      <c r="D67" s="303"/>
      <c r="E67" s="303"/>
    </row>
    <row r="68" customFormat="false" ht="15" hidden="false" customHeight="false" outlineLevel="0" collapsed="false">
      <c r="A68" s="302"/>
      <c r="B68" s="302"/>
      <c r="D68" s="303"/>
      <c r="E68" s="303"/>
    </row>
    <row r="69" customFormat="false" ht="15" hidden="false" customHeight="false" outlineLevel="0" collapsed="false">
      <c r="A69" s="302"/>
      <c r="B69" s="302"/>
      <c r="D69" s="303"/>
      <c r="E69" s="303"/>
    </row>
    <row r="70" customFormat="false" ht="15" hidden="false" customHeight="false" outlineLevel="0" collapsed="false">
      <c r="A70" s="302"/>
      <c r="B70" s="302"/>
      <c r="D70" s="303"/>
      <c r="E70" s="303"/>
    </row>
    <row r="71" customFormat="false" ht="15" hidden="false" customHeight="false" outlineLevel="0" collapsed="false">
      <c r="A71" s="302"/>
      <c r="B71" s="302"/>
      <c r="D71" s="303"/>
      <c r="E71" s="303"/>
    </row>
    <row r="72" customFormat="false" ht="15" hidden="false" customHeight="false" outlineLevel="0" collapsed="false">
      <c r="A72" s="302"/>
      <c r="B72" s="302"/>
      <c r="D72" s="303"/>
      <c r="E72" s="303"/>
    </row>
    <row r="73" customFormat="false" ht="15" hidden="false" customHeight="false" outlineLevel="0" collapsed="false">
      <c r="A73" s="302"/>
      <c r="B73" s="302"/>
      <c r="D73" s="303"/>
      <c r="E73" s="303"/>
    </row>
    <row r="74" customFormat="false" ht="15" hidden="false" customHeight="false" outlineLevel="0" collapsed="false">
      <c r="A74" s="302"/>
      <c r="B74" s="302"/>
      <c r="D74" s="303"/>
      <c r="E74" s="303"/>
    </row>
    <row r="75" customFormat="false" ht="15" hidden="false" customHeight="false" outlineLevel="0" collapsed="false">
      <c r="A75" s="302"/>
      <c r="B75" s="302"/>
      <c r="D75" s="303"/>
      <c r="E75" s="303"/>
    </row>
    <row r="76" customFormat="false" ht="15" hidden="false" customHeight="false" outlineLevel="0" collapsed="false">
      <c r="A76" s="302"/>
      <c r="B76" s="302"/>
      <c r="D76" s="303"/>
      <c r="E76" s="303"/>
    </row>
    <row r="77" customFormat="false" ht="15" hidden="false" customHeight="false" outlineLevel="0" collapsed="false">
      <c r="A77" s="302"/>
      <c r="B77" s="302"/>
      <c r="D77" s="303"/>
      <c r="E77" s="303"/>
    </row>
    <row r="78" customFormat="false" ht="15" hidden="false" customHeight="false" outlineLevel="0" collapsed="false">
      <c r="A78" s="302"/>
      <c r="B78" s="302"/>
      <c r="D78" s="303"/>
      <c r="E78" s="303"/>
    </row>
    <row r="79" customFormat="false" ht="15" hidden="false" customHeight="false" outlineLevel="0" collapsed="false">
      <c r="A79" s="302"/>
      <c r="B79" s="302"/>
      <c r="D79" s="303"/>
      <c r="E79" s="303"/>
    </row>
    <row r="80" customFormat="false" ht="15" hidden="false" customHeight="false" outlineLevel="0" collapsed="false">
      <c r="A80" s="302"/>
      <c r="B80" s="302"/>
      <c r="D80" s="303"/>
      <c r="E80" s="303"/>
    </row>
    <row r="81" customFormat="false" ht="15" hidden="false" customHeight="false" outlineLevel="0" collapsed="false">
      <c r="A81" s="302"/>
      <c r="B81" s="302"/>
      <c r="D81" s="303"/>
      <c r="E81" s="303"/>
    </row>
    <row r="82" customFormat="false" ht="15" hidden="false" customHeight="false" outlineLevel="0" collapsed="false">
      <c r="A82" s="302"/>
      <c r="B82" s="302"/>
      <c r="D82" s="303"/>
      <c r="E82" s="303"/>
    </row>
    <row r="83" customFormat="false" ht="15" hidden="false" customHeight="false" outlineLevel="0" collapsed="false">
      <c r="A83" s="302"/>
      <c r="B83" s="302"/>
      <c r="D83" s="303"/>
      <c r="E83" s="303"/>
    </row>
    <row r="84" customFormat="false" ht="15" hidden="false" customHeight="false" outlineLevel="0" collapsed="false">
      <c r="A84" s="302"/>
      <c r="B84" s="302"/>
      <c r="D84" s="303"/>
      <c r="E84" s="303"/>
    </row>
    <row r="85" customFormat="false" ht="15" hidden="false" customHeight="false" outlineLevel="0" collapsed="false">
      <c r="A85" s="302"/>
      <c r="B85" s="302"/>
      <c r="D85" s="303"/>
      <c r="E85" s="303"/>
    </row>
    <row r="86" customFormat="false" ht="15" hidden="false" customHeight="false" outlineLevel="0" collapsed="false">
      <c r="A86" s="302"/>
      <c r="B86" s="302"/>
      <c r="D86" s="303"/>
      <c r="E86" s="303"/>
    </row>
    <row r="87" customFormat="false" ht="15" hidden="false" customHeight="false" outlineLevel="0" collapsed="false">
      <c r="A87" s="302"/>
      <c r="B87" s="302"/>
      <c r="D87" s="303"/>
      <c r="E87" s="303"/>
    </row>
    <row r="88" customFormat="false" ht="15" hidden="false" customHeight="false" outlineLevel="0" collapsed="false">
      <c r="A88" s="302"/>
      <c r="B88" s="302"/>
      <c r="D88" s="303"/>
      <c r="E88" s="303"/>
    </row>
    <row r="89" customFormat="false" ht="15" hidden="false" customHeight="false" outlineLevel="0" collapsed="false">
      <c r="A89" s="302"/>
      <c r="B89" s="302"/>
      <c r="D89" s="303"/>
      <c r="E89" s="303"/>
    </row>
    <row r="90" customFormat="false" ht="15" hidden="false" customHeight="false" outlineLevel="0" collapsed="false">
      <c r="A90" s="302"/>
      <c r="B90" s="302"/>
      <c r="D90" s="303"/>
      <c r="E90" s="303"/>
    </row>
    <row r="91" customFormat="false" ht="15" hidden="false" customHeight="false" outlineLevel="0" collapsed="false">
      <c r="A91" s="302"/>
      <c r="B91" s="302"/>
      <c r="D91" s="303"/>
      <c r="E91" s="303"/>
    </row>
    <row r="92" customFormat="false" ht="15" hidden="false" customHeight="false" outlineLevel="0" collapsed="false">
      <c r="A92" s="302"/>
      <c r="B92" s="302"/>
      <c r="D92" s="303"/>
      <c r="E92" s="303"/>
    </row>
    <row r="93" customFormat="false" ht="15" hidden="false" customHeight="false" outlineLevel="0" collapsed="false">
      <c r="A93" s="302"/>
      <c r="B93" s="302"/>
      <c r="D93" s="303"/>
      <c r="E93" s="303"/>
    </row>
    <row r="94" customFormat="false" ht="15" hidden="false" customHeight="false" outlineLevel="0" collapsed="false">
      <c r="A94" s="302"/>
      <c r="B94" s="302"/>
      <c r="D94" s="303"/>
      <c r="E94" s="303"/>
    </row>
    <row r="95" customFormat="false" ht="15" hidden="false" customHeight="false" outlineLevel="0" collapsed="false">
      <c r="A95" s="302"/>
      <c r="B95" s="302"/>
      <c r="D95" s="303"/>
      <c r="E95" s="303"/>
    </row>
    <row r="96" customFormat="false" ht="15" hidden="false" customHeight="false" outlineLevel="0" collapsed="false">
      <c r="A96" s="302"/>
      <c r="B96" s="302"/>
      <c r="D96" s="303"/>
      <c r="E96" s="303"/>
    </row>
    <row r="97" customFormat="false" ht="15" hidden="false" customHeight="false" outlineLevel="0" collapsed="false">
      <c r="A97" s="302"/>
      <c r="B97" s="302"/>
      <c r="D97" s="303"/>
      <c r="E97" s="303"/>
    </row>
    <row r="98" customFormat="false" ht="15" hidden="false" customHeight="false" outlineLevel="0" collapsed="false">
      <c r="A98" s="302"/>
      <c r="B98" s="302"/>
      <c r="D98" s="303"/>
      <c r="E98" s="303"/>
    </row>
    <row r="99" customFormat="false" ht="15" hidden="false" customHeight="false" outlineLevel="0" collapsed="false">
      <c r="A99" s="302"/>
      <c r="B99" s="302"/>
      <c r="D99" s="303"/>
      <c r="E99" s="303"/>
    </row>
    <row r="100" customFormat="false" ht="15" hidden="false" customHeight="false" outlineLevel="0" collapsed="false">
      <c r="A100" s="302"/>
      <c r="B100" s="302"/>
      <c r="D100" s="303"/>
      <c r="E100" s="303"/>
    </row>
    <row r="101" customFormat="false" ht="15" hidden="false" customHeight="false" outlineLevel="0" collapsed="false">
      <c r="A101" s="302"/>
      <c r="B101" s="302"/>
      <c r="D101" s="303"/>
      <c r="E101" s="303"/>
    </row>
    <row r="102" customFormat="false" ht="15" hidden="false" customHeight="false" outlineLevel="0" collapsed="false">
      <c r="A102" s="302"/>
      <c r="B102" s="302"/>
      <c r="D102" s="303"/>
      <c r="E102" s="303"/>
    </row>
    <row r="103" customFormat="false" ht="15" hidden="false" customHeight="false" outlineLevel="0" collapsed="false">
      <c r="A103" s="302"/>
      <c r="B103" s="302"/>
      <c r="D103" s="303"/>
      <c r="E103" s="303"/>
    </row>
    <row r="104" customFormat="false" ht="15" hidden="false" customHeight="false" outlineLevel="0" collapsed="false">
      <c r="A104" s="302"/>
      <c r="B104" s="302"/>
      <c r="D104" s="303"/>
      <c r="E104" s="303"/>
    </row>
    <row r="105" customFormat="false" ht="15" hidden="false" customHeight="false" outlineLevel="0" collapsed="false">
      <c r="A105" s="302"/>
      <c r="B105" s="302"/>
      <c r="D105" s="303"/>
      <c r="E105" s="303"/>
    </row>
    <row r="106" customFormat="false" ht="15" hidden="false" customHeight="false" outlineLevel="0" collapsed="false">
      <c r="A106" s="302"/>
      <c r="B106" s="302"/>
      <c r="D106" s="303"/>
      <c r="E106" s="303"/>
    </row>
    <row r="107" customFormat="false" ht="15" hidden="false" customHeight="false" outlineLevel="0" collapsed="false">
      <c r="A107" s="302"/>
      <c r="B107" s="302"/>
      <c r="D107" s="303"/>
      <c r="E107" s="303"/>
    </row>
    <row r="108" customFormat="false" ht="15" hidden="false" customHeight="false" outlineLevel="0" collapsed="false">
      <c r="A108" s="302"/>
      <c r="B108" s="302"/>
      <c r="D108" s="303"/>
      <c r="E108" s="303"/>
    </row>
    <row r="109" customFormat="false" ht="15" hidden="false" customHeight="false" outlineLevel="0" collapsed="false">
      <c r="A109" s="302"/>
      <c r="B109" s="302"/>
      <c r="D109" s="303"/>
      <c r="E109" s="303"/>
    </row>
    <row r="110" customFormat="false" ht="15" hidden="false" customHeight="false" outlineLevel="0" collapsed="false">
      <c r="A110" s="302"/>
      <c r="B110" s="302"/>
      <c r="D110" s="303"/>
      <c r="E110" s="303"/>
    </row>
    <row r="111" customFormat="false" ht="15" hidden="false" customHeight="false" outlineLevel="0" collapsed="false">
      <c r="A111" s="302"/>
      <c r="B111" s="302"/>
      <c r="D111" s="303"/>
      <c r="E111" s="303"/>
    </row>
    <row r="112" customFormat="false" ht="15" hidden="false" customHeight="false" outlineLevel="0" collapsed="false">
      <c r="A112" s="302"/>
      <c r="B112" s="302"/>
      <c r="D112" s="303"/>
      <c r="E112" s="303"/>
    </row>
    <row r="113" customFormat="false" ht="15" hidden="false" customHeight="false" outlineLevel="0" collapsed="false">
      <c r="A113" s="302"/>
      <c r="B113" s="302"/>
      <c r="D113" s="303"/>
      <c r="E113" s="303"/>
    </row>
    <row r="114" customFormat="false" ht="15" hidden="false" customHeight="false" outlineLevel="0" collapsed="false">
      <c r="A114" s="302"/>
      <c r="B114" s="302"/>
      <c r="D114" s="303"/>
      <c r="E114" s="303"/>
    </row>
    <row r="115" customFormat="false" ht="15" hidden="false" customHeight="false" outlineLevel="0" collapsed="false">
      <c r="A115" s="302"/>
      <c r="B115" s="302"/>
      <c r="D115" s="303"/>
      <c r="E115" s="303"/>
    </row>
    <row r="116" customFormat="false" ht="15" hidden="false" customHeight="false" outlineLevel="0" collapsed="false">
      <c r="A116" s="302"/>
      <c r="B116" s="302"/>
      <c r="D116" s="303"/>
      <c r="E116" s="303"/>
    </row>
    <row r="117" customFormat="false" ht="15" hidden="false" customHeight="false" outlineLevel="0" collapsed="false">
      <c r="A117" s="302"/>
      <c r="B117" s="302"/>
      <c r="D117" s="303"/>
      <c r="E117" s="303"/>
    </row>
    <row r="118" customFormat="false" ht="15" hidden="false" customHeight="false" outlineLevel="0" collapsed="false">
      <c r="A118" s="302"/>
      <c r="B118" s="302"/>
      <c r="D118" s="303"/>
      <c r="E118" s="303"/>
    </row>
    <row r="119" customFormat="false" ht="15" hidden="false" customHeight="false" outlineLevel="0" collapsed="false">
      <c r="A119" s="302"/>
      <c r="B119" s="302"/>
      <c r="D119" s="303"/>
      <c r="E119" s="303"/>
    </row>
    <row r="120" customFormat="false" ht="15" hidden="false" customHeight="false" outlineLevel="0" collapsed="false">
      <c r="A120" s="302"/>
      <c r="B120" s="302"/>
      <c r="D120" s="303"/>
      <c r="E120" s="303"/>
    </row>
    <row r="121" customFormat="false" ht="15" hidden="false" customHeight="false" outlineLevel="0" collapsed="false">
      <c r="A121" s="302"/>
      <c r="B121" s="302"/>
      <c r="D121" s="303"/>
      <c r="E121" s="303"/>
    </row>
    <row r="122" customFormat="false" ht="15" hidden="false" customHeight="false" outlineLevel="0" collapsed="false">
      <c r="A122" s="302"/>
      <c r="B122" s="302"/>
      <c r="D122" s="303"/>
      <c r="E122" s="303"/>
    </row>
    <row r="123" customFormat="false" ht="15" hidden="false" customHeight="false" outlineLevel="0" collapsed="false">
      <c r="A123" s="302"/>
      <c r="B123" s="302"/>
      <c r="D123" s="303"/>
      <c r="E123" s="303"/>
    </row>
    <row r="124" customFormat="false" ht="15" hidden="false" customHeight="false" outlineLevel="0" collapsed="false">
      <c r="A124" s="302"/>
      <c r="B124" s="302"/>
      <c r="D124" s="303"/>
      <c r="E124" s="303"/>
    </row>
    <row r="125" customFormat="false" ht="15" hidden="false" customHeight="false" outlineLevel="0" collapsed="false">
      <c r="A125" s="302"/>
      <c r="B125" s="302"/>
      <c r="D125" s="303"/>
      <c r="E125" s="303"/>
    </row>
    <row r="126" customFormat="false" ht="15" hidden="false" customHeight="false" outlineLevel="0" collapsed="false">
      <c r="A126" s="302"/>
      <c r="B126" s="302"/>
      <c r="D126" s="303"/>
      <c r="E126" s="303"/>
    </row>
    <row r="127" customFormat="false" ht="15" hidden="false" customHeight="false" outlineLevel="0" collapsed="false">
      <c r="A127" s="302"/>
      <c r="B127" s="302"/>
      <c r="D127" s="303"/>
      <c r="E127" s="303"/>
    </row>
    <row r="128" customFormat="false" ht="15" hidden="false" customHeight="false" outlineLevel="0" collapsed="false">
      <c r="A128" s="302"/>
      <c r="B128" s="302"/>
      <c r="D128" s="303"/>
      <c r="E128" s="303"/>
    </row>
    <row r="129" customFormat="false" ht="15" hidden="false" customHeight="false" outlineLevel="0" collapsed="false">
      <c r="A129" s="302"/>
      <c r="B129" s="302"/>
      <c r="D129" s="303"/>
      <c r="E129" s="303"/>
    </row>
    <row r="130" customFormat="false" ht="15" hidden="false" customHeight="false" outlineLevel="0" collapsed="false">
      <c r="A130" s="302"/>
      <c r="B130" s="302"/>
      <c r="D130" s="303"/>
      <c r="E130" s="303"/>
    </row>
    <row r="131" customFormat="false" ht="15" hidden="false" customHeight="false" outlineLevel="0" collapsed="false">
      <c r="A131" s="302"/>
      <c r="B131" s="302"/>
      <c r="D131" s="303"/>
      <c r="E131" s="303"/>
    </row>
    <row r="132" customFormat="false" ht="15" hidden="false" customHeight="false" outlineLevel="0" collapsed="false">
      <c r="A132" s="302"/>
      <c r="B132" s="302"/>
      <c r="D132" s="303"/>
      <c r="E132" s="303"/>
    </row>
    <row r="133" customFormat="false" ht="15" hidden="false" customHeight="false" outlineLevel="0" collapsed="false">
      <c r="A133" s="302"/>
      <c r="B133" s="302"/>
      <c r="D133" s="303"/>
      <c r="E133" s="303"/>
    </row>
    <row r="134" customFormat="false" ht="15" hidden="false" customHeight="false" outlineLevel="0" collapsed="false">
      <c r="A134" s="302"/>
      <c r="B134" s="302"/>
      <c r="D134" s="303"/>
      <c r="E134" s="303"/>
    </row>
    <row r="135" customFormat="false" ht="15" hidden="false" customHeight="false" outlineLevel="0" collapsed="false">
      <c r="A135" s="302"/>
      <c r="B135" s="302"/>
      <c r="D135" s="303"/>
      <c r="E135" s="303"/>
    </row>
    <row r="136" customFormat="false" ht="15" hidden="false" customHeight="false" outlineLevel="0" collapsed="false">
      <c r="A136" s="302"/>
      <c r="B136" s="302"/>
      <c r="D136" s="303"/>
      <c r="E136" s="303"/>
    </row>
    <row r="137" customFormat="false" ht="15" hidden="false" customHeight="false" outlineLevel="0" collapsed="false">
      <c r="A137" s="302"/>
      <c r="B137" s="302"/>
      <c r="D137" s="303"/>
      <c r="E137" s="303"/>
    </row>
    <row r="138" customFormat="false" ht="15" hidden="false" customHeight="false" outlineLevel="0" collapsed="false">
      <c r="A138" s="302"/>
      <c r="B138" s="302"/>
      <c r="D138" s="303"/>
      <c r="E138" s="303"/>
    </row>
    <row r="139" customFormat="false" ht="15" hidden="false" customHeight="false" outlineLevel="0" collapsed="false">
      <c r="A139" s="302"/>
      <c r="B139" s="302"/>
      <c r="D139" s="303"/>
      <c r="E139" s="303"/>
    </row>
    <row r="140" customFormat="false" ht="15" hidden="false" customHeight="false" outlineLevel="0" collapsed="false">
      <c r="A140" s="302"/>
      <c r="B140" s="302"/>
      <c r="D140" s="303"/>
      <c r="E140" s="303"/>
    </row>
    <row r="141" customFormat="false" ht="15" hidden="false" customHeight="false" outlineLevel="0" collapsed="false">
      <c r="A141" s="302"/>
      <c r="B141" s="302"/>
      <c r="D141" s="303"/>
      <c r="E141" s="303"/>
    </row>
    <row r="142" customFormat="false" ht="15" hidden="false" customHeight="false" outlineLevel="0" collapsed="false">
      <c r="A142" s="302"/>
      <c r="B142" s="302"/>
      <c r="D142" s="303"/>
      <c r="E142" s="303"/>
    </row>
    <row r="143" customFormat="false" ht="15" hidden="false" customHeight="false" outlineLevel="0" collapsed="false">
      <c r="A143" s="302"/>
      <c r="B143" s="302"/>
      <c r="D143" s="303"/>
      <c r="E143" s="303"/>
    </row>
    <row r="144" customFormat="false" ht="15" hidden="false" customHeight="false" outlineLevel="0" collapsed="false">
      <c r="A144" s="302"/>
      <c r="B144" s="302"/>
      <c r="D144" s="303"/>
      <c r="E144" s="303"/>
    </row>
    <row r="145" customFormat="false" ht="15" hidden="false" customHeight="false" outlineLevel="0" collapsed="false">
      <c r="A145" s="302"/>
      <c r="B145" s="302"/>
      <c r="D145" s="303"/>
      <c r="E145" s="303"/>
    </row>
    <row r="146" customFormat="false" ht="15" hidden="false" customHeight="false" outlineLevel="0" collapsed="false">
      <c r="A146" s="302"/>
      <c r="B146" s="302"/>
      <c r="D146" s="303"/>
      <c r="E146" s="303"/>
    </row>
    <row r="147" customFormat="false" ht="15" hidden="false" customHeight="false" outlineLevel="0" collapsed="false">
      <c r="A147" s="302"/>
      <c r="B147" s="302"/>
      <c r="D147" s="303"/>
      <c r="E147" s="303"/>
    </row>
    <row r="148" customFormat="false" ht="15" hidden="false" customHeight="false" outlineLevel="0" collapsed="false">
      <c r="A148" s="302"/>
      <c r="B148" s="302"/>
      <c r="D148" s="303"/>
      <c r="E148" s="303"/>
    </row>
    <row r="149" customFormat="false" ht="15" hidden="false" customHeight="false" outlineLevel="0" collapsed="false">
      <c r="A149" s="302"/>
      <c r="B149" s="302"/>
      <c r="D149" s="303"/>
      <c r="E149" s="303"/>
    </row>
    <row r="150" customFormat="false" ht="15" hidden="false" customHeight="false" outlineLevel="0" collapsed="false">
      <c r="A150" s="302"/>
      <c r="B150" s="302"/>
      <c r="D150" s="303"/>
      <c r="E150" s="303"/>
    </row>
    <row r="151" customFormat="false" ht="15" hidden="false" customHeight="false" outlineLevel="0" collapsed="false">
      <c r="A151" s="302"/>
      <c r="B151" s="302"/>
      <c r="D151" s="303"/>
      <c r="E151" s="303"/>
    </row>
    <row r="152" customFormat="false" ht="15" hidden="false" customHeight="false" outlineLevel="0" collapsed="false">
      <c r="A152" s="302"/>
      <c r="B152" s="302"/>
      <c r="D152" s="303"/>
      <c r="E152" s="303"/>
    </row>
    <row r="153" customFormat="false" ht="15" hidden="false" customHeight="false" outlineLevel="0" collapsed="false">
      <c r="A153" s="302"/>
      <c r="B153" s="302"/>
      <c r="D153" s="303"/>
      <c r="E153" s="303"/>
    </row>
    <row r="154" customFormat="false" ht="15" hidden="false" customHeight="false" outlineLevel="0" collapsed="false">
      <c r="A154" s="302"/>
      <c r="B154" s="302"/>
      <c r="D154" s="303"/>
      <c r="E154" s="303"/>
    </row>
    <row r="155" customFormat="false" ht="15" hidden="false" customHeight="false" outlineLevel="0" collapsed="false">
      <c r="A155" s="302"/>
      <c r="B155" s="302"/>
      <c r="D155" s="303"/>
      <c r="E155" s="303"/>
    </row>
    <row r="156" customFormat="false" ht="15" hidden="false" customHeight="false" outlineLevel="0" collapsed="false">
      <c r="A156" s="302"/>
      <c r="B156" s="302"/>
      <c r="D156" s="303"/>
      <c r="E156" s="303"/>
    </row>
    <row r="157" customFormat="false" ht="15" hidden="false" customHeight="false" outlineLevel="0" collapsed="false">
      <c r="A157" s="302"/>
      <c r="B157" s="302"/>
      <c r="D157" s="303"/>
      <c r="E157" s="303"/>
    </row>
    <row r="158" customFormat="false" ht="15" hidden="false" customHeight="false" outlineLevel="0" collapsed="false">
      <c r="A158" s="302"/>
      <c r="B158" s="302"/>
      <c r="D158" s="303"/>
      <c r="E158" s="303"/>
    </row>
    <row r="159" customFormat="false" ht="15" hidden="false" customHeight="false" outlineLevel="0" collapsed="false">
      <c r="A159" s="302"/>
      <c r="B159" s="302"/>
      <c r="D159" s="303"/>
      <c r="E159" s="30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9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48"/>
    <col collapsed="false" customWidth="true" hidden="false" outlineLevel="0" max="6" min="5" style="0" width="7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10" min="9" style="0" width="34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6" min="15" style="0" width="8"/>
    <col collapsed="false" customWidth="true" hidden="false" outlineLevel="0" max="17" min="17" style="0" width="9"/>
    <col collapsed="false" customWidth="true" hidden="false" outlineLevel="0" max="18" min="18" style="0" width="14"/>
    <col collapsed="false" customWidth="true" hidden="false" outlineLevel="0" max="19" min="19" style="0" width="30"/>
    <col collapsed="false" customWidth="true" hidden="false" outlineLevel="0" max="20" min="20" style="0" width="26"/>
    <col collapsed="false" customWidth="true" hidden="false" outlineLevel="0" max="22" min="21" style="0" width="14"/>
    <col collapsed="false" customWidth="true" hidden="false" outlineLevel="0" max="23" min="23" style="0" width="26"/>
    <col collapsed="false" customWidth="true" hidden="false" outlineLevel="0" max="24" min="24" style="0" width="18"/>
    <col collapsed="false" customWidth="true" hidden="false" outlineLevel="0" max="26" min="26" style="0" width="8"/>
    <col collapsed="false" customWidth="true" hidden="false" outlineLevel="0" max="27" min="27" style="0" width="10"/>
    <col collapsed="false" customWidth="true" hidden="false" outlineLevel="0" max="28" min="28" style="0" width="44"/>
    <col collapsed="false" customWidth="true" hidden="false" outlineLevel="0" max="29" min="29" style="0" width="14"/>
    <col collapsed="false" customWidth="true" hidden="false" outlineLevel="0" max="30" min="30" style="0" width="10"/>
  </cols>
  <sheetData>
    <row r="1" customFormat="false" ht="18.65" hidden="false" customHeight="false" outlineLevel="0" collapsed="false">
      <c r="A1" s="62" t="s">
        <v>2387</v>
      </c>
    </row>
    <row r="2" customFormat="false" ht="15" hidden="false" customHeight="false" outlineLevel="0" collapsed="false">
      <c r="A2" s="180" t="s">
        <v>2388</v>
      </c>
    </row>
    <row r="3" customFormat="false" ht="15" hidden="false" customHeight="false" outlineLevel="0" collapsed="false">
      <c r="A3" s="304" t="s">
        <v>2389</v>
      </c>
    </row>
    <row r="4" customFormat="false" ht="30" hidden="false" customHeight="true" outlineLevel="0" collapsed="false">
      <c r="A4" s="29" t="s">
        <v>197</v>
      </c>
      <c r="B4" s="28" t="s">
        <v>1592</v>
      </c>
      <c r="C4" s="28" t="s">
        <v>2390</v>
      </c>
      <c r="D4" s="28" t="s">
        <v>573</v>
      </c>
      <c r="E4" s="28" t="s">
        <v>2391</v>
      </c>
      <c r="F4" s="28" t="s">
        <v>2392</v>
      </c>
      <c r="G4" s="28" t="s">
        <v>869</v>
      </c>
      <c r="H4" s="28" t="s">
        <v>1583</v>
      </c>
      <c r="I4" s="28" t="s">
        <v>2393</v>
      </c>
      <c r="J4" s="28" t="s">
        <v>2394</v>
      </c>
      <c r="K4" s="29" t="s">
        <v>2395</v>
      </c>
      <c r="L4" s="28" t="s">
        <v>2396</v>
      </c>
      <c r="M4" s="28" t="s">
        <v>1265</v>
      </c>
      <c r="N4" s="28" t="s">
        <v>2397</v>
      </c>
      <c r="O4" s="28" t="s">
        <v>2398</v>
      </c>
      <c r="P4" s="28" t="s">
        <v>2399</v>
      </c>
      <c r="Q4" s="28" t="s">
        <v>2400</v>
      </c>
      <c r="R4" s="28" t="s">
        <v>2401</v>
      </c>
      <c r="S4" s="28" t="s">
        <v>2402</v>
      </c>
      <c r="T4" s="28" t="s">
        <v>2403</v>
      </c>
      <c r="U4" s="29" t="s">
        <v>2404</v>
      </c>
      <c r="V4" s="28" t="s">
        <v>2405</v>
      </c>
      <c r="W4" s="28" t="s">
        <v>2406</v>
      </c>
      <c r="X4" s="28" t="s">
        <v>2407</v>
      </c>
      <c r="Z4" s="305" t="s">
        <v>2408</v>
      </c>
      <c r="AA4" s="305" t="s">
        <v>572</v>
      </c>
      <c r="AB4" s="305" t="s">
        <v>2409</v>
      </c>
      <c r="AC4" s="305" t="s">
        <v>2410</v>
      </c>
      <c r="AD4" s="305" t="s">
        <v>1728</v>
      </c>
    </row>
    <row r="5" customFormat="false" ht="35.05" hidden="false" customHeight="false" outlineLevel="0" collapsed="false">
      <c r="A5" s="306" t="s">
        <v>1660</v>
      </c>
      <c r="B5" s="306" t="n">
        <v>2</v>
      </c>
      <c r="C5" s="307" t="s">
        <v>573</v>
      </c>
      <c r="D5" s="308" t="s">
        <v>2411</v>
      </c>
      <c r="E5" s="306" t="n">
        <v>0</v>
      </c>
      <c r="F5" s="306"/>
      <c r="G5" s="307" t="s">
        <v>784</v>
      </c>
      <c r="H5" s="309" t="s">
        <v>2412</v>
      </c>
      <c r="I5" s="309" t="s">
        <v>2413</v>
      </c>
      <c r="J5" s="309" t="s">
        <v>2414</v>
      </c>
      <c r="K5" s="306" t="s">
        <v>2415</v>
      </c>
      <c r="L5" s="308"/>
      <c r="M5" s="306"/>
      <c r="N5" s="308"/>
      <c r="O5" s="307" t="s">
        <v>2416</v>
      </c>
      <c r="P5" s="306" t="s">
        <v>1627</v>
      </c>
      <c r="Q5" s="306"/>
      <c r="R5" s="306"/>
      <c r="S5" s="308"/>
      <c r="T5" s="308"/>
      <c r="U5" s="306"/>
      <c r="V5" s="306" t="s">
        <v>2417</v>
      </c>
      <c r="W5" s="308" t="s">
        <v>2418</v>
      </c>
      <c r="X5" s="306" t="str">
        <f aca="false">IF(O5="","ไม่มีผู้ทำ (R) ","")&amp;IF(P5="","ไม่มีผู้อนุมัติ (A) ","")&amp;IF(SUMPRODUCT((LEFT($A$5:$A$128,LEN(A5)+1)=A5&amp;".")*1)=0,"",IF(ABS(SUMPRODUCT((LEFT($A$5:$A$128,LEN(A5)+1)=A5&amp;".")*($G$5:$G$128&lt;&gt;"LV")*$E$5:$E$128)-E5)&gt;0.001,"งานย่อยรวมไม่เท่างานแม่ (100%) ",""))&amp;IF(F5="","",IF(ABS(SUMPRODUCT((LEFT($A$5:$A$128,LEN(A5)+1)=A5&amp;".")*$F$5:$F$128)-F5)&gt;0.001,"≥ 200 kVA: งานย่อยรวมไม่เท่างานแม่ (100%) ",""))&amp;IF(J5="","ไม่มีเกณฑ์เสร็จ ","")</f>
        <v/>
      </c>
      <c r="Z5" s="60" t="s">
        <v>2419</v>
      </c>
      <c r="AA5" s="207" t="n">
        <v>46314</v>
      </c>
      <c r="AB5" s="114" t="s">
        <v>2420</v>
      </c>
      <c r="AC5" s="310"/>
      <c r="AD5" s="76"/>
    </row>
    <row r="6" customFormat="false" ht="23.85" hidden="false" customHeight="false" outlineLevel="0" collapsed="false">
      <c r="A6" s="311" t="s">
        <v>208</v>
      </c>
      <c r="B6" s="311" t="n">
        <v>3</v>
      </c>
      <c r="C6" s="312" t="s">
        <v>573</v>
      </c>
      <c r="D6" s="138" t="s">
        <v>2421</v>
      </c>
      <c r="E6" s="312" t="n">
        <v>0</v>
      </c>
      <c r="F6" s="312"/>
      <c r="G6" s="312" t="s">
        <v>784</v>
      </c>
      <c r="H6" s="131" t="s">
        <v>2422</v>
      </c>
      <c r="I6" s="138"/>
      <c r="J6" s="138" t="s">
        <v>2423</v>
      </c>
      <c r="K6" s="312" t="s">
        <v>2424</v>
      </c>
      <c r="L6" s="138"/>
      <c r="M6" s="312"/>
      <c r="N6" s="138" t="s">
        <v>2425</v>
      </c>
      <c r="O6" s="312" t="s">
        <v>2426</v>
      </c>
      <c r="P6" s="311" t="s">
        <v>1627</v>
      </c>
      <c r="Q6" s="312"/>
      <c r="R6" s="312"/>
      <c r="S6" s="131" t="s">
        <v>2427</v>
      </c>
      <c r="T6" s="138"/>
      <c r="U6" s="312"/>
      <c r="V6" s="311" t="s">
        <v>2428</v>
      </c>
      <c r="W6" s="138"/>
      <c r="X6" s="311" t="str">
        <f aca="false">IF(O6="","ไม่มีผู้ทำ (R) ","")&amp;IF(P6="","ไม่มีผู้อนุมัติ (A) ","")&amp;IF(AND(C6="งาน",J6=""),"ไม่มีเกณฑ์เสร็จ ","")</f>
        <v/>
      </c>
      <c r="Z6" s="60" t="s">
        <v>2429</v>
      </c>
      <c r="AA6" s="207" t="n">
        <v>46316</v>
      </c>
      <c r="AB6" s="114" t="s">
        <v>2430</v>
      </c>
      <c r="AC6" s="310"/>
      <c r="AD6" s="76"/>
    </row>
    <row r="7" customFormat="false" ht="35.05" hidden="false" customHeight="false" outlineLevel="0" collapsed="false">
      <c r="A7" s="311" t="s">
        <v>212</v>
      </c>
      <c r="B7" s="312" t="n">
        <v>3</v>
      </c>
      <c r="C7" s="312" t="s">
        <v>573</v>
      </c>
      <c r="D7" s="138" t="s">
        <v>2431</v>
      </c>
      <c r="E7" s="312" t="n">
        <v>0</v>
      </c>
      <c r="F7" s="312"/>
      <c r="G7" s="312" t="s">
        <v>784</v>
      </c>
      <c r="H7" s="131" t="s">
        <v>2432</v>
      </c>
      <c r="I7" s="138"/>
      <c r="J7" s="138" t="s">
        <v>2433</v>
      </c>
      <c r="K7" s="312" t="s">
        <v>2424</v>
      </c>
      <c r="L7" s="138"/>
      <c r="M7" s="312"/>
      <c r="N7" s="138"/>
      <c r="O7" s="312" t="s">
        <v>1734</v>
      </c>
      <c r="P7" s="312" t="s">
        <v>2426</v>
      </c>
      <c r="Q7" s="312"/>
      <c r="R7" s="312"/>
      <c r="S7" s="131" t="s">
        <v>2434</v>
      </c>
      <c r="T7" s="138"/>
      <c r="U7" s="312"/>
      <c r="V7" s="311" t="s">
        <v>2428</v>
      </c>
      <c r="W7" s="138"/>
      <c r="X7" s="311" t="str">
        <f aca="false">IF(O7="","ไม่มีผู้ทำ (R) ","")&amp;IF(P7="","ไม่มีผู้อนุมัติ (A) ","")&amp;IF(AND(C7="งาน",J7=""),"ไม่มีเกณฑ์เสร็จ ","")</f>
        <v/>
      </c>
      <c r="Z7" s="60" t="s">
        <v>2435</v>
      </c>
      <c r="AA7" s="207" t="n">
        <v>46316</v>
      </c>
      <c r="AB7" s="114" t="s">
        <v>2436</v>
      </c>
      <c r="AC7" s="310"/>
      <c r="AD7" s="76"/>
    </row>
    <row r="8" customFormat="false" ht="46.25" hidden="false" customHeight="false" outlineLevel="0" collapsed="false">
      <c r="A8" s="311" t="s">
        <v>215</v>
      </c>
      <c r="B8" s="312" t="n">
        <v>3</v>
      </c>
      <c r="C8" s="312" t="s">
        <v>573</v>
      </c>
      <c r="D8" s="138" t="s">
        <v>2437</v>
      </c>
      <c r="E8" s="312" t="n">
        <v>0</v>
      </c>
      <c r="F8" s="312"/>
      <c r="G8" s="312" t="s">
        <v>784</v>
      </c>
      <c r="H8" s="131" t="s">
        <v>2438</v>
      </c>
      <c r="I8" s="138"/>
      <c r="J8" s="131" t="s">
        <v>2439</v>
      </c>
      <c r="K8" s="312" t="s">
        <v>2424</v>
      </c>
      <c r="L8" s="138"/>
      <c r="M8" s="312"/>
      <c r="N8" s="138" t="s">
        <v>2440</v>
      </c>
      <c r="O8" s="312" t="s">
        <v>1734</v>
      </c>
      <c r="P8" s="312" t="s">
        <v>2426</v>
      </c>
      <c r="Q8" s="312"/>
      <c r="R8" s="312"/>
      <c r="S8" s="138"/>
      <c r="T8" s="138"/>
      <c r="U8" s="312"/>
      <c r="V8" s="311" t="s">
        <v>2428</v>
      </c>
      <c r="W8" s="138"/>
      <c r="X8" s="311" t="str">
        <f aca="false">IF(O8="","ไม่มีผู้ทำ (R) ","")&amp;IF(P8="","ไม่มีผู้อนุมัติ (A) ","")&amp;IF(AND(C8="งาน",J8=""),"ไม่มีเกณฑ์เสร็จ ","")</f>
        <v/>
      </c>
      <c r="Z8" s="60" t="s">
        <v>2441</v>
      </c>
      <c r="AA8" s="207" t="n">
        <v>46316</v>
      </c>
      <c r="AB8" s="60" t="s">
        <v>2442</v>
      </c>
      <c r="AC8" s="310"/>
      <c r="AD8" s="76"/>
    </row>
    <row r="9" customFormat="false" ht="44" hidden="false" customHeight="false" outlineLevel="0" collapsed="false">
      <c r="A9" s="311" t="s">
        <v>218</v>
      </c>
      <c r="B9" s="312" t="n">
        <v>3</v>
      </c>
      <c r="C9" s="312" t="s">
        <v>573</v>
      </c>
      <c r="D9" s="138" t="s">
        <v>2443</v>
      </c>
      <c r="E9" s="312" t="n">
        <v>0</v>
      </c>
      <c r="F9" s="312"/>
      <c r="G9" s="312" t="s">
        <v>784</v>
      </c>
      <c r="H9" s="131" t="s">
        <v>2444</v>
      </c>
      <c r="I9" s="138"/>
      <c r="J9" s="138" t="s">
        <v>220</v>
      </c>
      <c r="K9" s="311" t="s">
        <v>211</v>
      </c>
      <c r="L9" s="131" t="s">
        <v>2445</v>
      </c>
      <c r="M9" s="312"/>
      <c r="N9" s="138"/>
      <c r="O9" s="312" t="s">
        <v>1734</v>
      </c>
      <c r="P9" s="312" t="s">
        <v>2426</v>
      </c>
      <c r="Q9" s="312"/>
      <c r="R9" s="312"/>
      <c r="S9" s="131" t="s">
        <v>2446</v>
      </c>
      <c r="T9" s="138"/>
      <c r="U9" s="312"/>
      <c r="V9" s="311" t="s">
        <v>2428</v>
      </c>
      <c r="W9" s="138"/>
      <c r="X9" s="311" t="str">
        <f aca="false">IF(O9="","ไม่มีผู้ทำ (R) ","")&amp;IF(P9="","ไม่มีผู้อนุมัติ (A) ","")&amp;IF(AND(C9="งาน",J9=""),"ไม่มีเกณฑ์เสร็จ ","")</f>
        <v/>
      </c>
      <c r="Z9" s="60" t="s">
        <v>2447</v>
      </c>
      <c r="AA9" s="207" t="n">
        <v>46316</v>
      </c>
      <c r="AB9" s="114" t="s">
        <v>2448</v>
      </c>
      <c r="AC9" s="310"/>
      <c r="AD9" s="76"/>
    </row>
    <row r="10" customFormat="false" ht="35.05" hidden="false" customHeight="false" outlineLevel="0" collapsed="false">
      <c r="A10" s="311" t="s">
        <v>221</v>
      </c>
      <c r="B10" s="312" t="n">
        <v>3</v>
      </c>
      <c r="C10" s="312" t="s">
        <v>573</v>
      </c>
      <c r="D10" s="138" t="s">
        <v>2449</v>
      </c>
      <c r="E10" s="312" t="n">
        <v>0</v>
      </c>
      <c r="F10" s="312"/>
      <c r="G10" s="312" t="s">
        <v>784</v>
      </c>
      <c r="H10" s="138" t="s">
        <v>2450</v>
      </c>
      <c r="I10" s="138"/>
      <c r="J10" s="138" t="s">
        <v>2451</v>
      </c>
      <c r="K10" s="311" t="s">
        <v>2415</v>
      </c>
      <c r="L10" s="138"/>
      <c r="M10" s="312"/>
      <c r="N10" s="138" t="s">
        <v>2452</v>
      </c>
      <c r="O10" s="312" t="s">
        <v>1734</v>
      </c>
      <c r="P10" s="312" t="s">
        <v>2426</v>
      </c>
      <c r="Q10" s="312"/>
      <c r="R10" s="312"/>
      <c r="S10" s="138"/>
      <c r="T10" s="138"/>
      <c r="U10" s="312"/>
      <c r="V10" s="311" t="s">
        <v>2428</v>
      </c>
      <c r="W10" s="138"/>
      <c r="X10" s="311" t="str">
        <f aca="false">IF(O10="","ไม่มีผู้ทำ (R) ","")&amp;IF(P10="","ไม่มีผู้อนุมัติ (A) ","")&amp;IF(AND(C10="งาน",J10=""),"ไม่มีเกณฑ์เสร็จ ","")</f>
        <v/>
      </c>
      <c r="Z10" s="60" t="s">
        <v>2453</v>
      </c>
      <c r="AA10" s="207" t="n">
        <v>46316</v>
      </c>
      <c r="AB10" s="114" t="s">
        <v>2454</v>
      </c>
      <c r="AC10" s="310"/>
      <c r="AD10" s="76"/>
    </row>
    <row r="11" customFormat="false" ht="57.45" hidden="false" customHeight="false" outlineLevel="0" collapsed="false">
      <c r="A11" s="311" t="s">
        <v>224</v>
      </c>
      <c r="B11" s="312" t="n">
        <v>3</v>
      </c>
      <c r="C11" s="312" t="s">
        <v>573</v>
      </c>
      <c r="D11" s="138" t="s">
        <v>2455</v>
      </c>
      <c r="E11" s="312" t="n">
        <v>0</v>
      </c>
      <c r="F11" s="312"/>
      <c r="G11" s="312" t="s">
        <v>784</v>
      </c>
      <c r="H11" s="138" t="s">
        <v>2456</v>
      </c>
      <c r="I11" s="138"/>
      <c r="J11" s="131" t="s">
        <v>2457</v>
      </c>
      <c r="K11" s="311" t="s">
        <v>2415</v>
      </c>
      <c r="L11" s="131" t="s">
        <v>2458</v>
      </c>
      <c r="M11" s="312"/>
      <c r="N11" s="131" t="s">
        <v>2459</v>
      </c>
      <c r="O11" s="312" t="s">
        <v>2426</v>
      </c>
      <c r="P11" s="311" t="s">
        <v>1627</v>
      </c>
      <c r="Q11" s="312"/>
      <c r="R11" s="312"/>
      <c r="S11" s="138"/>
      <c r="T11" s="138"/>
      <c r="U11" s="312"/>
      <c r="V11" s="311" t="s">
        <v>2428</v>
      </c>
      <c r="W11" s="138"/>
      <c r="X11" s="311" t="str">
        <f aca="false">IF(O11="","ไม่มีผู้ทำ (R) ","")&amp;IF(P11="","ไม่มีผู้อนุมัติ (A) ","")&amp;IF(AND(C11="งาน",J11=""),"ไม่มีเกณฑ์เสร็จ ","")</f>
        <v/>
      </c>
      <c r="Z11" s="60" t="s">
        <v>2460</v>
      </c>
      <c r="AA11" s="207" t="n">
        <v>46316</v>
      </c>
      <c r="AB11" s="60" t="s">
        <v>2461</v>
      </c>
      <c r="AC11" s="310"/>
      <c r="AD11" s="76"/>
    </row>
    <row r="12" customFormat="false" ht="35.05" hidden="false" customHeight="false" outlineLevel="0" collapsed="false">
      <c r="A12" s="306" t="s">
        <v>1685</v>
      </c>
      <c r="B12" s="306" t="n">
        <v>2</v>
      </c>
      <c r="C12" s="307" t="s">
        <v>573</v>
      </c>
      <c r="D12" s="309" t="s">
        <v>2462</v>
      </c>
      <c r="E12" s="306" t="n">
        <v>0</v>
      </c>
      <c r="F12" s="306"/>
      <c r="G12" s="307" t="s">
        <v>784</v>
      </c>
      <c r="H12" s="309" t="s">
        <v>2463</v>
      </c>
      <c r="I12" s="309" t="s">
        <v>2464</v>
      </c>
      <c r="J12" s="309" t="s">
        <v>2465</v>
      </c>
      <c r="K12" s="306" t="s">
        <v>211</v>
      </c>
      <c r="L12" s="308"/>
      <c r="M12" s="306"/>
      <c r="N12" s="308"/>
      <c r="O12" s="306" t="s">
        <v>131</v>
      </c>
      <c r="P12" s="307" t="s">
        <v>2416</v>
      </c>
      <c r="Q12" s="306"/>
      <c r="R12" s="306"/>
      <c r="S12" s="308"/>
      <c r="T12" s="308"/>
      <c r="U12" s="306"/>
      <c r="V12" s="306" t="s">
        <v>2466</v>
      </c>
      <c r="W12" s="308" t="s">
        <v>2467</v>
      </c>
      <c r="X12" s="306" t="str">
        <f aca="false">IF(O12="","ไม่มีผู้ทำ (R) ","")&amp;IF(P12="","ไม่มีผู้อนุมัติ (A) ","")&amp;IF(SUMPRODUCT((LEFT($A$5:$A$128,LEN(A12)+1)=A12&amp;".")*1)=0,"",IF(ABS(SUMPRODUCT((LEFT($A$5:$A$128,LEN(A12)+1)=A12&amp;".")*($G$5:$G$128&lt;&gt;"LV")*$E$5:$E$128)-E12)&gt;0.001,"งานย่อยรวมไม่เท่างานแม่ (100%) ",""))&amp;IF(F12="","",IF(ABS(SUMPRODUCT((LEFT($A$5:$A$128,LEN(A12)+1)=A12&amp;".")*$F$5:$F$128)-F12)&gt;0.001,"≥ 200 kVA: งานย่อยรวมไม่เท่างานแม่ (100%) ",""))&amp;IF(J12="","ไม่มีเกณฑ์เสร็จ ","")</f>
        <v/>
      </c>
      <c r="Z12" s="60" t="s">
        <v>2468</v>
      </c>
      <c r="AA12" s="207" t="n">
        <v>46316</v>
      </c>
      <c r="AB12" s="60" t="s">
        <v>2469</v>
      </c>
      <c r="AC12" s="310"/>
      <c r="AD12" s="76"/>
    </row>
    <row r="13" customFormat="false" ht="68.65" hidden="false" customHeight="false" outlineLevel="0" collapsed="false">
      <c r="A13" s="311" t="s">
        <v>227</v>
      </c>
      <c r="B13" s="312" t="n">
        <v>3</v>
      </c>
      <c r="C13" s="312" t="s">
        <v>573</v>
      </c>
      <c r="D13" s="138" t="s">
        <v>2470</v>
      </c>
      <c r="E13" s="312" t="n">
        <v>0</v>
      </c>
      <c r="F13" s="312"/>
      <c r="G13" s="312" t="s">
        <v>784</v>
      </c>
      <c r="H13" s="138" t="s">
        <v>2471</v>
      </c>
      <c r="I13" s="138"/>
      <c r="J13" s="138" t="s">
        <v>2472</v>
      </c>
      <c r="K13" s="311" t="s">
        <v>211</v>
      </c>
      <c r="L13" s="138"/>
      <c r="M13" s="312"/>
      <c r="N13" s="138"/>
      <c r="O13" s="311" t="s">
        <v>131</v>
      </c>
      <c r="P13" s="311" t="s">
        <v>1627</v>
      </c>
      <c r="Q13" s="312"/>
      <c r="R13" s="312"/>
      <c r="S13" s="138"/>
      <c r="T13" s="138"/>
      <c r="U13" s="312"/>
      <c r="V13" s="311" t="s">
        <v>2428</v>
      </c>
      <c r="W13" s="138"/>
      <c r="X13" s="311" t="str">
        <f aca="false">IF(O13="","ไม่มีผู้ทำ (R) ","")&amp;IF(P13="","ไม่มีผู้อนุมัติ (A) ","")&amp;IF(AND(C13="งาน",J13=""),"ไม่มีเกณฑ์เสร็จ ","")</f>
        <v/>
      </c>
      <c r="Z13" s="60" t="s">
        <v>2473</v>
      </c>
      <c r="AA13" s="207" t="n">
        <v>46317</v>
      </c>
      <c r="AB13" s="114" t="s">
        <v>2474</v>
      </c>
      <c r="AC13" s="310"/>
      <c r="AD13" s="76"/>
    </row>
    <row r="14" customFormat="false" ht="35.05" hidden="false" customHeight="false" outlineLevel="0" collapsed="false">
      <c r="A14" s="311" t="s">
        <v>230</v>
      </c>
      <c r="B14" s="312" t="n">
        <v>3</v>
      </c>
      <c r="C14" s="312" t="s">
        <v>573</v>
      </c>
      <c r="D14" s="138" t="s">
        <v>2475</v>
      </c>
      <c r="E14" s="312" t="n">
        <v>0</v>
      </c>
      <c r="F14" s="312"/>
      <c r="G14" s="312" t="s">
        <v>784</v>
      </c>
      <c r="H14" s="131" t="s">
        <v>2476</v>
      </c>
      <c r="I14" s="138"/>
      <c r="J14" s="138" t="s">
        <v>2477</v>
      </c>
      <c r="K14" s="311" t="s">
        <v>211</v>
      </c>
      <c r="L14" s="138"/>
      <c r="M14" s="312"/>
      <c r="N14" s="138"/>
      <c r="O14" s="312" t="s">
        <v>1734</v>
      </c>
      <c r="P14" s="312" t="s">
        <v>2426</v>
      </c>
      <c r="Q14" s="312"/>
      <c r="R14" s="312"/>
      <c r="S14" s="138"/>
      <c r="T14" s="138"/>
      <c r="U14" s="312"/>
      <c r="V14" s="311" t="s">
        <v>2428</v>
      </c>
      <c r="W14" s="138"/>
      <c r="X14" s="311" t="str">
        <f aca="false">IF(O14="","ไม่มีผู้ทำ (R) ","")&amp;IF(P14="","ไม่มีผู้อนุมัติ (A) ","")&amp;IF(AND(C14="งาน",J14=""),"ไม่มีเกณฑ์เสร็จ ","")</f>
        <v/>
      </c>
      <c r="Z14" s="60" t="s">
        <v>2478</v>
      </c>
      <c r="AA14" s="207" t="n">
        <v>46317</v>
      </c>
      <c r="AB14" s="114" t="s">
        <v>2479</v>
      </c>
      <c r="AC14" s="310"/>
      <c r="AD14" s="76"/>
    </row>
    <row r="15" customFormat="false" ht="23.85" hidden="false" customHeight="false" outlineLevel="0" collapsed="false">
      <c r="A15" s="311" t="s">
        <v>233</v>
      </c>
      <c r="B15" s="312" t="n">
        <v>3</v>
      </c>
      <c r="C15" s="312" t="s">
        <v>573</v>
      </c>
      <c r="D15" s="138" t="s">
        <v>2480</v>
      </c>
      <c r="E15" s="312" t="n">
        <v>0</v>
      </c>
      <c r="F15" s="312"/>
      <c r="G15" s="312" t="s">
        <v>784</v>
      </c>
      <c r="H15" s="138" t="s">
        <v>2481</v>
      </c>
      <c r="I15" s="138"/>
      <c r="J15" s="138" t="s">
        <v>2482</v>
      </c>
      <c r="K15" s="311" t="s">
        <v>211</v>
      </c>
      <c r="L15" s="138"/>
      <c r="M15" s="312" t="s">
        <v>2483</v>
      </c>
      <c r="N15" s="138" t="s">
        <v>2484</v>
      </c>
      <c r="O15" s="312" t="s">
        <v>1734</v>
      </c>
      <c r="P15" s="312" t="s">
        <v>2426</v>
      </c>
      <c r="Q15" s="312"/>
      <c r="R15" s="312"/>
      <c r="S15" s="138"/>
      <c r="T15" s="138"/>
      <c r="U15" s="312"/>
      <c r="V15" s="311" t="s">
        <v>2428</v>
      </c>
      <c r="W15" s="138"/>
      <c r="X15" s="311" t="str">
        <f aca="false">IF(O15="","ไม่มีผู้ทำ (R) ","")&amp;IF(P15="","ไม่มีผู้อนุมัติ (A) ","")&amp;IF(AND(C15="งาน",J15=""),"ไม่มีเกณฑ์เสร็จ ","")</f>
        <v/>
      </c>
      <c r="Z15" s="60" t="s">
        <v>2485</v>
      </c>
      <c r="AA15" s="207" t="n">
        <v>46318</v>
      </c>
      <c r="AB15" s="114" t="s">
        <v>2486</v>
      </c>
      <c r="AC15" s="310"/>
      <c r="AD15" s="76"/>
    </row>
    <row r="16" customFormat="false" ht="23.85" hidden="false" customHeight="false" outlineLevel="0" collapsed="false">
      <c r="A16" s="311" t="s">
        <v>236</v>
      </c>
      <c r="B16" s="312" t="n">
        <v>3</v>
      </c>
      <c r="C16" s="312" t="s">
        <v>573</v>
      </c>
      <c r="D16" s="138" t="s">
        <v>2487</v>
      </c>
      <c r="E16" s="312" t="n">
        <v>0</v>
      </c>
      <c r="F16" s="312"/>
      <c r="G16" s="312" t="s">
        <v>784</v>
      </c>
      <c r="H16" s="138" t="s">
        <v>2488</v>
      </c>
      <c r="I16" s="138"/>
      <c r="J16" s="138" t="s">
        <v>2489</v>
      </c>
      <c r="K16" s="311" t="s">
        <v>211</v>
      </c>
      <c r="L16" s="138"/>
      <c r="M16" s="312"/>
      <c r="N16" s="138"/>
      <c r="O16" s="312" t="s">
        <v>1734</v>
      </c>
      <c r="P16" s="312" t="s">
        <v>2426</v>
      </c>
      <c r="Q16" s="312"/>
      <c r="R16" s="312"/>
      <c r="S16" s="138"/>
      <c r="T16" s="138"/>
      <c r="U16" s="312"/>
      <c r="V16" s="311" t="s">
        <v>2428</v>
      </c>
      <c r="W16" s="138"/>
      <c r="X16" s="311" t="str">
        <f aca="false">IF(O16="","ไม่มีผู้ทำ (R) ","")&amp;IF(P16="","ไม่มีผู้อนุมัติ (A) ","")&amp;IF(AND(C16="งาน",J16=""),"ไม่มีเกณฑ์เสร็จ ","")</f>
        <v/>
      </c>
      <c r="Z16" s="60"/>
      <c r="AA16" s="207"/>
      <c r="AB16" s="60"/>
      <c r="AC16" s="310"/>
      <c r="AD16" s="76"/>
    </row>
    <row r="17" customFormat="false" ht="15" hidden="false" customHeight="false" outlineLevel="0" collapsed="false">
      <c r="A17" s="311" t="s">
        <v>239</v>
      </c>
      <c r="B17" s="312" t="n">
        <v>3</v>
      </c>
      <c r="C17" s="312" t="s">
        <v>573</v>
      </c>
      <c r="D17" s="138" t="s">
        <v>2490</v>
      </c>
      <c r="E17" s="312" t="n">
        <v>0</v>
      </c>
      <c r="F17" s="312"/>
      <c r="G17" s="312" t="s">
        <v>784</v>
      </c>
      <c r="H17" s="138" t="s">
        <v>2491</v>
      </c>
      <c r="I17" s="138"/>
      <c r="J17" s="138" t="s">
        <v>2492</v>
      </c>
      <c r="K17" s="311" t="s">
        <v>211</v>
      </c>
      <c r="L17" s="138"/>
      <c r="M17" s="312"/>
      <c r="N17" s="138"/>
      <c r="O17" s="312" t="s">
        <v>1734</v>
      </c>
      <c r="P17" s="312" t="s">
        <v>2426</v>
      </c>
      <c r="Q17" s="312"/>
      <c r="R17" s="312"/>
      <c r="S17" s="138"/>
      <c r="T17" s="138"/>
      <c r="U17" s="312"/>
      <c r="V17" s="311" t="s">
        <v>2428</v>
      </c>
      <c r="W17" s="138"/>
      <c r="X17" s="311" t="str">
        <f aca="false">IF(O17="","ไม่มีผู้ทำ (R) ","")&amp;IF(P17="","ไม่มีผู้อนุมัติ (A) ","")&amp;IF(AND(C17="งาน",J17=""),"ไม่มีเกณฑ์เสร็จ ","")</f>
        <v/>
      </c>
      <c r="Z17" s="60"/>
      <c r="AA17" s="207"/>
      <c r="AB17" s="60"/>
      <c r="AC17" s="310"/>
      <c r="AD17" s="76"/>
    </row>
    <row r="18" customFormat="false" ht="23.85" hidden="false" customHeight="false" outlineLevel="0" collapsed="false">
      <c r="A18" s="311" t="s">
        <v>242</v>
      </c>
      <c r="B18" s="312" t="n">
        <v>3</v>
      </c>
      <c r="C18" s="312" t="s">
        <v>573</v>
      </c>
      <c r="D18" s="138" t="s">
        <v>2493</v>
      </c>
      <c r="E18" s="312" t="n">
        <v>0</v>
      </c>
      <c r="F18" s="312"/>
      <c r="G18" s="312" t="s">
        <v>784</v>
      </c>
      <c r="H18" s="138" t="s">
        <v>2493</v>
      </c>
      <c r="I18" s="138"/>
      <c r="J18" s="138" t="s">
        <v>2494</v>
      </c>
      <c r="K18" s="311" t="s">
        <v>211</v>
      </c>
      <c r="L18" s="138"/>
      <c r="M18" s="312"/>
      <c r="N18" s="138"/>
      <c r="O18" s="312" t="s">
        <v>1734</v>
      </c>
      <c r="P18" s="312" t="s">
        <v>2426</v>
      </c>
      <c r="Q18" s="312"/>
      <c r="R18" s="312"/>
      <c r="S18" s="138"/>
      <c r="T18" s="138"/>
      <c r="U18" s="312"/>
      <c r="V18" s="311" t="s">
        <v>2428</v>
      </c>
      <c r="W18" s="138"/>
      <c r="X18" s="311" t="str">
        <f aca="false">IF(O18="","ไม่มีผู้ทำ (R) ","")&amp;IF(P18="","ไม่มีผู้อนุมัติ (A) ","")&amp;IF(AND(C18="งาน",J18=""),"ไม่มีเกณฑ์เสร็จ ","")</f>
        <v/>
      </c>
      <c r="Z18" s="60"/>
      <c r="AA18" s="207"/>
      <c r="AB18" s="60"/>
      <c r="AC18" s="310"/>
      <c r="AD18" s="76"/>
    </row>
    <row r="19" customFormat="false" ht="35.05" hidden="false" customHeight="false" outlineLevel="0" collapsed="false">
      <c r="A19" s="311" t="s">
        <v>245</v>
      </c>
      <c r="B19" s="312" t="n">
        <v>3</v>
      </c>
      <c r="C19" s="312" t="s">
        <v>573</v>
      </c>
      <c r="D19" s="138" t="s">
        <v>2495</v>
      </c>
      <c r="E19" s="312" t="n">
        <v>0</v>
      </c>
      <c r="F19" s="312"/>
      <c r="G19" s="311" t="s">
        <v>2072</v>
      </c>
      <c r="H19" s="138" t="s">
        <v>2496</v>
      </c>
      <c r="I19" s="138"/>
      <c r="J19" s="138" t="s">
        <v>2497</v>
      </c>
      <c r="K19" s="311" t="s">
        <v>211</v>
      </c>
      <c r="L19" s="138"/>
      <c r="M19" s="312"/>
      <c r="N19" s="138"/>
      <c r="O19" s="312" t="s">
        <v>1734</v>
      </c>
      <c r="P19" s="312" t="s">
        <v>2426</v>
      </c>
      <c r="Q19" s="312"/>
      <c r="R19" s="312"/>
      <c r="S19" s="138"/>
      <c r="T19" s="138"/>
      <c r="U19" s="312"/>
      <c r="V19" s="311" t="s">
        <v>2428</v>
      </c>
      <c r="W19" s="138"/>
      <c r="X19" s="311" t="str">
        <f aca="false">IF(O19="","ไม่มีผู้ทำ (R) ","")&amp;IF(P19="","ไม่มีผู้อนุมัติ (A) ","")&amp;IF(AND(C19="งาน",J19=""),"ไม่มีเกณฑ์เสร็จ ","")</f>
        <v/>
      </c>
      <c r="Z19" s="60"/>
      <c r="AA19" s="207"/>
      <c r="AB19" s="60"/>
      <c r="AC19" s="310"/>
      <c r="AD19" s="76"/>
    </row>
    <row r="20" customFormat="false" ht="23.85" hidden="false" customHeight="false" outlineLevel="0" collapsed="false">
      <c r="A20" s="311" t="s">
        <v>248</v>
      </c>
      <c r="B20" s="312" t="n">
        <v>3</v>
      </c>
      <c r="C20" s="312" t="s">
        <v>573</v>
      </c>
      <c r="D20" s="138" t="s">
        <v>2498</v>
      </c>
      <c r="E20" s="312" t="n">
        <v>0</v>
      </c>
      <c r="F20" s="312"/>
      <c r="G20" s="312" t="s">
        <v>784</v>
      </c>
      <c r="H20" s="138" t="s">
        <v>2499</v>
      </c>
      <c r="I20" s="138"/>
      <c r="J20" s="138" t="s">
        <v>250</v>
      </c>
      <c r="K20" s="311" t="s">
        <v>211</v>
      </c>
      <c r="L20" s="138"/>
      <c r="M20" s="312"/>
      <c r="N20" s="138"/>
      <c r="O20" s="312" t="s">
        <v>1734</v>
      </c>
      <c r="P20" s="312" t="s">
        <v>2426</v>
      </c>
      <c r="Q20" s="312"/>
      <c r="R20" s="312"/>
      <c r="S20" s="138"/>
      <c r="T20" s="138"/>
      <c r="U20" s="312"/>
      <c r="V20" s="311" t="s">
        <v>2428</v>
      </c>
      <c r="W20" s="138"/>
      <c r="X20" s="311" t="str">
        <f aca="false">IF(O20="","ไม่มีผู้ทำ (R) ","")&amp;IF(P20="","ไม่มีผู้อนุมัติ (A) ","")&amp;IF(AND(C20="งาน",J20=""),"ไม่มีเกณฑ์เสร็จ ","")</f>
        <v/>
      </c>
      <c r="Z20" s="60"/>
      <c r="AA20" s="207"/>
      <c r="AB20" s="60"/>
      <c r="AC20" s="310"/>
      <c r="AD20" s="76"/>
    </row>
    <row r="21" customFormat="false" ht="23.85" hidden="false" customHeight="false" outlineLevel="0" collapsed="false">
      <c r="A21" s="306" t="s">
        <v>1917</v>
      </c>
      <c r="B21" s="306" t="n">
        <v>2</v>
      </c>
      <c r="C21" s="307" t="s">
        <v>573</v>
      </c>
      <c r="D21" s="309" t="s">
        <v>1918</v>
      </c>
      <c r="E21" s="306" t="n">
        <v>0</v>
      </c>
      <c r="F21" s="306"/>
      <c r="G21" s="307" t="s">
        <v>784</v>
      </c>
      <c r="H21" s="309" t="s">
        <v>2500</v>
      </c>
      <c r="I21" s="309" t="s">
        <v>2501</v>
      </c>
      <c r="J21" s="309" t="s">
        <v>2502</v>
      </c>
      <c r="K21" s="306" t="s">
        <v>211</v>
      </c>
      <c r="L21" s="308"/>
      <c r="M21" s="306"/>
      <c r="N21" s="308"/>
      <c r="O21" s="306" t="s">
        <v>131</v>
      </c>
      <c r="P21" s="306" t="s">
        <v>1627</v>
      </c>
      <c r="Q21" s="307" t="s">
        <v>2503</v>
      </c>
      <c r="R21" s="306"/>
      <c r="S21" s="308"/>
      <c r="T21" s="308"/>
      <c r="U21" s="306"/>
      <c r="V21" s="306" t="s">
        <v>2504</v>
      </c>
      <c r="W21" s="308" t="s">
        <v>2505</v>
      </c>
      <c r="X21" s="306" t="str">
        <f aca="false">IF(O21="","ไม่มีผู้ทำ (R) ","")&amp;IF(P21="","ไม่มีผู้อนุมัติ (A) ","")&amp;IF(SUMPRODUCT((LEFT($A$5:$A$128,LEN(A21)+1)=A21&amp;".")*1)=0,"",IF(ABS(SUMPRODUCT((LEFT($A$5:$A$128,LEN(A21)+1)=A21&amp;".")*($G$5:$G$128&lt;&gt;"LV")*$E$5:$E$128)-E21)&gt;0.001,"งานย่อยรวมไม่เท่างานแม่ (100%) ",""))&amp;IF(F21="","",IF(ABS(SUMPRODUCT((LEFT($A$5:$A$128,LEN(A21)+1)=A21&amp;".")*$F$5:$F$128)-F21)&gt;0.001,"≥ 200 kVA: งานย่อยรวมไม่เท่างานแม่ (100%) ",""))&amp;IF(J21="","ไม่มีเกณฑ์เสร็จ ","")</f>
        <v/>
      </c>
      <c r="Z21" s="60"/>
      <c r="AA21" s="207"/>
      <c r="AB21" s="60"/>
      <c r="AC21" s="310"/>
      <c r="AD21" s="76"/>
    </row>
    <row r="22" customFormat="false" ht="23.85" hidden="false" customHeight="false" outlineLevel="0" collapsed="false">
      <c r="A22" s="311" t="s">
        <v>251</v>
      </c>
      <c r="B22" s="312" t="n">
        <v>3</v>
      </c>
      <c r="C22" s="312" t="s">
        <v>573</v>
      </c>
      <c r="D22" s="138" t="s">
        <v>252</v>
      </c>
      <c r="E22" s="312" t="n">
        <v>0</v>
      </c>
      <c r="F22" s="312"/>
      <c r="G22" s="312" t="s">
        <v>784</v>
      </c>
      <c r="H22" s="138" t="s">
        <v>2506</v>
      </c>
      <c r="I22" s="138"/>
      <c r="J22" s="138" t="s">
        <v>2507</v>
      </c>
      <c r="K22" s="311" t="s">
        <v>211</v>
      </c>
      <c r="L22" s="138"/>
      <c r="M22" s="312"/>
      <c r="N22" s="138" t="s">
        <v>2508</v>
      </c>
      <c r="O22" s="311" t="s">
        <v>131</v>
      </c>
      <c r="P22" s="312" t="s">
        <v>2426</v>
      </c>
      <c r="Q22" s="312"/>
      <c r="R22" s="312"/>
      <c r="S22" s="138"/>
      <c r="T22" s="138"/>
      <c r="U22" s="312"/>
      <c r="V22" s="311" t="s">
        <v>2428</v>
      </c>
      <c r="W22" s="138"/>
      <c r="X22" s="311" t="str">
        <f aca="false">IF(O22="","ไม่มีผู้ทำ (R) ","")&amp;IF(P22="","ไม่มีผู้อนุมัติ (A) ","")&amp;IF(AND(C22="งาน",J22=""),"ไม่มีเกณฑ์เสร็จ ","")</f>
        <v/>
      </c>
      <c r="Z22" s="72" t="s">
        <v>2509</v>
      </c>
    </row>
    <row r="23" customFormat="false" ht="15" hidden="false" customHeight="false" outlineLevel="0" collapsed="false">
      <c r="A23" s="311" t="s">
        <v>254</v>
      </c>
      <c r="B23" s="312" t="n">
        <v>3</v>
      </c>
      <c r="C23" s="312" t="s">
        <v>573</v>
      </c>
      <c r="D23" s="138" t="s">
        <v>2510</v>
      </c>
      <c r="E23" s="312" t="n">
        <v>0</v>
      </c>
      <c r="F23" s="312"/>
      <c r="G23" s="312" t="s">
        <v>784</v>
      </c>
      <c r="H23" s="138" t="s">
        <v>2511</v>
      </c>
      <c r="I23" s="138"/>
      <c r="J23" s="138" t="s">
        <v>2512</v>
      </c>
      <c r="K23" s="311" t="s">
        <v>211</v>
      </c>
      <c r="L23" s="138"/>
      <c r="M23" s="312"/>
      <c r="N23" s="138"/>
      <c r="O23" s="311" t="s">
        <v>131</v>
      </c>
      <c r="P23" s="311" t="s">
        <v>1627</v>
      </c>
      <c r="Q23" s="312"/>
      <c r="R23" s="312"/>
      <c r="S23" s="138"/>
      <c r="T23" s="138"/>
      <c r="U23" s="312"/>
      <c r="V23" s="311" t="s">
        <v>2428</v>
      </c>
      <c r="W23" s="138"/>
      <c r="X23" s="311" t="str">
        <f aca="false">IF(O23="","ไม่มีผู้ทำ (R) ","")&amp;IF(P23="","ไม่มีผู้อนุมัติ (A) ","")&amp;IF(AND(C23="งาน",J23=""),"ไม่มีเกณฑ์เสร็จ ","")</f>
        <v/>
      </c>
    </row>
    <row r="24" customFormat="false" ht="23.85" hidden="false" customHeight="false" outlineLevel="0" collapsed="false">
      <c r="A24" s="311" t="s">
        <v>257</v>
      </c>
      <c r="B24" s="312" t="n">
        <v>3</v>
      </c>
      <c r="C24" s="312" t="s">
        <v>573</v>
      </c>
      <c r="D24" s="138" t="s">
        <v>2513</v>
      </c>
      <c r="E24" s="312" t="n">
        <v>0</v>
      </c>
      <c r="F24" s="312"/>
      <c r="G24" s="312" t="s">
        <v>784</v>
      </c>
      <c r="H24" s="138" t="s">
        <v>2514</v>
      </c>
      <c r="I24" s="138"/>
      <c r="J24" s="138" t="s">
        <v>2515</v>
      </c>
      <c r="K24" s="311" t="s">
        <v>211</v>
      </c>
      <c r="L24" s="138"/>
      <c r="M24" s="312"/>
      <c r="N24" s="138"/>
      <c r="O24" s="312" t="s">
        <v>2426</v>
      </c>
      <c r="P24" s="311" t="s">
        <v>1627</v>
      </c>
      <c r="Q24" s="312" t="s">
        <v>2516</v>
      </c>
      <c r="R24" s="312"/>
      <c r="S24" s="138"/>
      <c r="T24" s="138"/>
      <c r="U24" s="312"/>
      <c r="V24" s="311" t="s">
        <v>2428</v>
      </c>
      <c r="W24" s="138"/>
      <c r="X24" s="311" t="str">
        <f aca="false">IF(O24="","ไม่มีผู้ทำ (R) ","")&amp;IF(P24="","ไม่มีผู้อนุมัติ (A) ","")&amp;IF(AND(C24="งาน",J24=""),"ไม่มีเกณฑ์เสร็จ ","")</f>
        <v/>
      </c>
      <c r="Z24" s="27" t="s">
        <v>2517</v>
      </c>
    </row>
    <row r="25" customFormat="false" ht="23.85" hidden="false" customHeight="false" outlineLevel="0" collapsed="false">
      <c r="A25" s="306" t="s">
        <v>1844</v>
      </c>
      <c r="B25" s="306" t="n">
        <v>2</v>
      </c>
      <c r="C25" s="307" t="s">
        <v>573</v>
      </c>
      <c r="D25" s="308" t="s">
        <v>1922</v>
      </c>
      <c r="E25" s="306" t="n">
        <v>0.5</v>
      </c>
      <c r="F25" s="306"/>
      <c r="G25" s="307" t="s">
        <v>784</v>
      </c>
      <c r="H25" s="308"/>
      <c r="I25" s="309" t="s">
        <v>2518</v>
      </c>
      <c r="J25" s="309" t="s">
        <v>2519</v>
      </c>
      <c r="K25" s="306" t="s">
        <v>211</v>
      </c>
      <c r="L25" s="308"/>
      <c r="M25" s="306"/>
      <c r="N25" s="308"/>
      <c r="O25" s="307" t="s">
        <v>2416</v>
      </c>
      <c r="P25" s="306" t="s">
        <v>1627</v>
      </c>
      <c r="Q25" s="306"/>
      <c r="R25" s="306"/>
      <c r="S25" s="308"/>
      <c r="T25" s="308"/>
      <c r="U25" s="306" t="s">
        <v>2520</v>
      </c>
      <c r="V25" s="306" t="s">
        <v>136</v>
      </c>
      <c r="W25" s="308" t="s">
        <v>2505</v>
      </c>
      <c r="X25" s="306" t="str">
        <f aca="false">IF(O25="","ไม่มีผู้ทำ (R) ","")&amp;IF(P25="","ไม่มีผู้อนุมัติ (A) ","")&amp;IF(SUMPRODUCT((LEFT($A$5:$A$128,LEN(A25)+1)=A25&amp;".")*1)=0,"",IF(ABS(SUMPRODUCT((LEFT($A$5:$A$128,LEN(A25)+1)=A25&amp;".")*($G$5:$G$128&lt;&gt;"LV")*$E$5:$E$128)-E25)&gt;0.001,"งานย่อยรวมไม่เท่างานแม่ (100%) ",""))&amp;IF(F25="","",IF(ABS(SUMPRODUCT((LEFT($A$5:$A$128,LEN(A25)+1)=A25&amp;".")*$F$5:$F$128)-F25)&gt;0.001,"≥ 200 kVA: งานย่อยรวมไม่เท่างานแม่ (100%) ",""))&amp;IF(J25="","ไม่มีเกณฑ์เสร็จ ","")</f>
        <v/>
      </c>
      <c r="Z25" s="144" t="s">
        <v>2521</v>
      </c>
      <c r="AA25" s="144" t="s">
        <v>2522</v>
      </c>
      <c r="AC25" s="144" t="s">
        <v>868</v>
      </c>
    </row>
    <row r="26" customFormat="false" ht="21.6" hidden="false" customHeight="false" outlineLevel="0" collapsed="false">
      <c r="A26" s="311" t="s">
        <v>260</v>
      </c>
      <c r="B26" s="312" t="n">
        <v>3</v>
      </c>
      <c r="C26" s="312" t="s">
        <v>573</v>
      </c>
      <c r="D26" s="138" t="s">
        <v>2523</v>
      </c>
      <c r="E26" s="312" t="n">
        <v>0.2</v>
      </c>
      <c r="F26" s="312"/>
      <c r="G26" s="312" t="s">
        <v>784</v>
      </c>
      <c r="H26" s="138" t="s">
        <v>2524</v>
      </c>
      <c r="I26" s="138"/>
      <c r="J26" s="138" t="s">
        <v>2525</v>
      </c>
      <c r="K26" s="311" t="s">
        <v>211</v>
      </c>
      <c r="L26" s="138"/>
      <c r="M26" s="312"/>
      <c r="N26" s="138"/>
      <c r="O26" s="312" t="s">
        <v>2426</v>
      </c>
      <c r="P26" s="311" t="s">
        <v>1627</v>
      </c>
      <c r="Q26" s="312" t="s">
        <v>2516</v>
      </c>
      <c r="R26" s="312"/>
      <c r="S26" s="138"/>
      <c r="T26" s="138"/>
      <c r="U26" s="312"/>
      <c r="V26" s="311" t="s">
        <v>2428</v>
      </c>
      <c r="W26" s="138"/>
      <c r="X26" s="311" t="str">
        <f aca="false">IF(O26="","ไม่มีผู้ทำ (R) ","")&amp;IF(P26="","ไม่มีผู้อนุมัติ (A) ","")&amp;IF(AND(C26="งาน",J26=""),"ไม่มีเกณฑ์เสร็จ ","")</f>
        <v/>
      </c>
      <c r="Z26" s="31" t="s">
        <v>2526</v>
      </c>
      <c r="AA26" s="313" t="n">
        <f aca="false">SUMPRODUCT((COUNTIF($A$5:$A$128,$A$5:$A$128)&gt;1)*1)</f>
        <v>0</v>
      </c>
      <c r="AC26" s="314" t="s">
        <v>2527</v>
      </c>
    </row>
    <row r="27" customFormat="false" ht="23.85" hidden="false" customHeight="false" outlineLevel="0" collapsed="false">
      <c r="A27" s="311" t="s">
        <v>263</v>
      </c>
      <c r="B27" s="312" t="n">
        <v>3</v>
      </c>
      <c r="C27" s="312" t="s">
        <v>573</v>
      </c>
      <c r="D27" s="138" t="s">
        <v>2528</v>
      </c>
      <c r="E27" s="312" t="n">
        <v>0.1</v>
      </c>
      <c r="F27" s="312"/>
      <c r="G27" s="312" t="s">
        <v>784</v>
      </c>
      <c r="H27" s="138" t="s">
        <v>2529</v>
      </c>
      <c r="I27" s="138"/>
      <c r="J27" s="138" t="s">
        <v>2530</v>
      </c>
      <c r="K27" s="311" t="s">
        <v>211</v>
      </c>
      <c r="L27" s="138"/>
      <c r="M27" s="312"/>
      <c r="N27" s="138" t="s">
        <v>2531</v>
      </c>
      <c r="O27" s="311" t="s">
        <v>131</v>
      </c>
      <c r="P27" s="311" t="s">
        <v>1627</v>
      </c>
      <c r="Q27" s="312"/>
      <c r="R27" s="312"/>
      <c r="S27" s="138"/>
      <c r="T27" s="138"/>
      <c r="U27" s="312"/>
      <c r="V27" s="311" t="s">
        <v>2428</v>
      </c>
      <c r="W27" s="138"/>
      <c r="X27" s="311" t="str">
        <f aca="false">IF(O27="","ไม่มีผู้ทำ (R) ","")&amp;IF(P27="","ไม่มีผู้อนุมัติ (A) ","")&amp;IF(AND(C27="งาน",J27=""),"ไม่มีเกณฑ์เสร็จ ","")</f>
        <v/>
      </c>
      <c r="Z27" s="31" t="s">
        <v>2532</v>
      </c>
      <c r="AA27" s="313" t="n">
        <f aca="false">ROUND(100-SUMIF($B$5:$B$128,2,$E$5:$E$128),3)</f>
        <v>0</v>
      </c>
      <c r="AC27" s="314" t="s">
        <v>2533</v>
      </c>
    </row>
    <row r="28" customFormat="false" ht="23.85" hidden="false" customHeight="false" outlineLevel="0" collapsed="false">
      <c r="A28" s="311" t="s">
        <v>266</v>
      </c>
      <c r="B28" s="312" t="n">
        <v>3</v>
      </c>
      <c r="C28" s="312" t="s">
        <v>573</v>
      </c>
      <c r="D28" s="138" t="s">
        <v>2534</v>
      </c>
      <c r="E28" s="312" t="n">
        <v>0.2</v>
      </c>
      <c r="F28" s="312"/>
      <c r="G28" s="312" t="s">
        <v>784</v>
      </c>
      <c r="H28" s="138" t="s">
        <v>2535</v>
      </c>
      <c r="I28" s="138"/>
      <c r="J28" s="138" t="s">
        <v>2536</v>
      </c>
      <c r="K28" s="311" t="s">
        <v>211</v>
      </c>
      <c r="L28" s="138" t="s">
        <v>2537</v>
      </c>
      <c r="M28" s="312"/>
      <c r="N28" s="138" t="s">
        <v>2538</v>
      </c>
      <c r="O28" s="312" t="s">
        <v>2426</v>
      </c>
      <c r="P28" s="311" t="s">
        <v>1627</v>
      </c>
      <c r="Q28" s="312" t="s">
        <v>2516</v>
      </c>
      <c r="R28" s="312"/>
      <c r="S28" s="138"/>
      <c r="T28" s="138"/>
      <c r="U28" s="312"/>
      <c r="V28" s="311" t="s">
        <v>2428</v>
      </c>
      <c r="W28" s="138"/>
      <c r="X28" s="311" t="str">
        <f aca="false">IF(O28="","ไม่มีผู้ทำ (R) ","")&amp;IF(P28="","ไม่มีผู้อนุมัติ (A) ","")&amp;IF(AND(C28="งาน",J28=""),"ไม่มีเกณฑ์เสร็จ ","")</f>
        <v/>
      </c>
      <c r="Z28" s="31" t="s">
        <v>2539</v>
      </c>
      <c r="AA28" s="313" t="n">
        <f aca="false">SUMPRODUCT(($X$5:$X$128&lt;&gt;"")*(ISNUMBER(SEARCH("100%",$X$5:$X$128))))</f>
        <v>0</v>
      </c>
      <c r="AC28" s="314" t="s">
        <v>2540</v>
      </c>
    </row>
    <row r="29" customFormat="false" ht="35.05" hidden="false" customHeight="false" outlineLevel="0" collapsed="false">
      <c r="A29" s="306" t="s">
        <v>1847</v>
      </c>
      <c r="B29" s="306" t="n">
        <v>2</v>
      </c>
      <c r="C29" s="307" t="s">
        <v>573</v>
      </c>
      <c r="D29" s="308" t="s">
        <v>1927</v>
      </c>
      <c r="E29" s="306" t="n">
        <v>1</v>
      </c>
      <c r="F29" s="306"/>
      <c r="G29" s="307" t="s">
        <v>784</v>
      </c>
      <c r="H29" s="308"/>
      <c r="I29" s="308" t="s">
        <v>2541</v>
      </c>
      <c r="J29" s="309" t="s">
        <v>2542</v>
      </c>
      <c r="K29" s="306" t="s">
        <v>211</v>
      </c>
      <c r="L29" s="308" t="s">
        <v>2543</v>
      </c>
      <c r="M29" s="306"/>
      <c r="N29" s="308"/>
      <c r="O29" s="307" t="s">
        <v>2416</v>
      </c>
      <c r="P29" s="306" t="s">
        <v>1627</v>
      </c>
      <c r="Q29" s="307" t="s">
        <v>2503</v>
      </c>
      <c r="R29" s="306"/>
      <c r="S29" s="308"/>
      <c r="T29" s="308"/>
      <c r="U29" s="306" t="s">
        <v>2544</v>
      </c>
      <c r="V29" s="306" t="s">
        <v>137</v>
      </c>
      <c r="W29" s="308" t="s">
        <v>2545</v>
      </c>
      <c r="X29" s="306" t="str">
        <f aca="false">IF(O29="","ไม่มีผู้ทำ (R) ","")&amp;IF(P29="","ไม่มีผู้อนุมัติ (A) ","")&amp;IF(SUMPRODUCT((LEFT($A$5:$A$128,LEN(A29)+1)=A29&amp;".")*1)=0,"",IF(ABS(SUMPRODUCT((LEFT($A$5:$A$128,LEN(A29)+1)=A29&amp;".")*($G$5:$G$128&lt;&gt;"LV")*$E$5:$E$128)-E29)&gt;0.001,"งานย่อยรวมไม่เท่างานแม่ (100%) ",""))&amp;IF(F29="","",IF(ABS(SUMPRODUCT((LEFT($A$5:$A$128,LEN(A29)+1)=A29&amp;".")*$F$5:$F$128)-F29)&gt;0.001,"≥ 200 kVA: งานย่อยรวมไม่เท่างานแม่ (100%) ",""))&amp;IF(J29="","ไม่มีเกณฑ์เสร็จ ","")</f>
        <v/>
      </c>
      <c r="Z29" s="31" t="s">
        <v>2546</v>
      </c>
      <c r="AA29" s="313" t="n">
        <f aca="false">COUNTIFS($B$5:$B$128,2,$J$5:$J$128,"")</f>
        <v>0</v>
      </c>
      <c r="AC29" s="314" t="s">
        <v>2547</v>
      </c>
    </row>
    <row r="30" customFormat="false" ht="23.85" hidden="false" customHeight="false" outlineLevel="0" collapsed="false">
      <c r="A30" s="311" t="s">
        <v>269</v>
      </c>
      <c r="B30" s="312" t="n">
        <v>3</v>
      </c>
      <c r="C30" s="312" t="s">
        <v>573</v>
      </c>
      <c r="D30" s="131" t="s">
        <v>270</v>
      </c>
      <c r="E30" s="312" t="n">
        <v>0.3</v>
      </c>
      <c r="F30" s="312"/>
      <c r="G30" s="312" t="s">
        <v>784</v>
      </c>
      <c r="H30" s="131" t="s">
        <v>2548</v>
      </c>
      <c r="I30" s="138"/>
      <c r="J30" s="131" t="s">
        <v>2549</v>
      </c>
      <c r="K30" s="311" t="s">
        <v>211</v>
      </c>
      <c r="L30" s="131" t="s">
        <v>2550</v>
      </c>
      <c r="M30" s="312"/>
      <c r="N30" s="138"/>
      <c r="O30" s="312" t="s">
        <v>2426</v>
      </c>
      <c r="P30" s="311" t="s">
        <v>1627</v>
      </c>
      <c r="Q30" s="312"/>
      <c r="R30" s="312"/>
      <c r="S30" s="131" t="s">
        <v>2551</v>
      </c>
      <c r="T30" s="138"/>
      <c r="U30" s="312"/>
      <c r="V30" s="311" t="s">
        <v>2428</v>
      </c>
      <c r="W30" s="138"/>
      <c r="X30" s="311" t="str">
        <f aca="false">IF(O30="","ไม่มีผู้ทำ (R) ","")&amp;IF(P30="","ไม่มีผู้อนุมัติ (A) ","")&amp;IF(AND(C30="งาน",J30=""),"ไม่มีเกณฑ์เสร็จ ","")</f>
        <v/>
      </c>
      <c r="Z30" s="31" t="s">
        <v>2552</v>
      </c>
      <c r="AA30" s="313" t="n">
        <f aca="false">COUNTIFS($B$5:$B$128,2,$I$5:$I$128,"")</f>
        <v>0</v>
      </c>
      <c r="AC30" s="314" t="s">
        <v>2553</v>
      </c>
    </row>
    <row r="31" customFormat="false" ht="23.85" hidden="false" customHeight="false" outlineLevel="0" collapsed="false">
      <c r="A31" s="311" t="s">
        <v>272</v>
      </c>
      <c r="B31" s="312" t="n">
        <v>3</v>
      </c>
      <c r="C31" s="312" t="s">
        <v>573</v>
      </c>
      <c r="D31" s="138" t="s">
        <v>2554</v>
      </c>
      <c r="E31" s="312" t="n">
        <v>0.3</v>
      </c>
      <c r="F31" s="312"/>
      <c r="G31" s="312" t="s">
        <v>784</v>
      </c>
      <c r="H31" s="138" t="s">
        <v>2555</v>
      </c>
      <c r="I31" s="138"/>
      <c r="J31" s="138" t="s">
        <v>2556</v>
      </c>
      <c r="K31" s="311" t="s">
        <v>211</v>
      </c>
      <c r="L31" s="138" t="s">
        <v>2557</v>
      </c>
      <c r="M31" s="312"/>
      <c r="N31" s="138"/>
      <c r="O31" s="312" t="s">
        <v>2426</v>
      </c>
      <c r="P31" s="311" t="s">
        <v>1627</v>
      </c>
      <c r="Q31" s="312"/>
      <c r="R31" s="312"/>
      <c r="S31" s="138"/>
      <c r="T31" s="138"/>
      <c r="U31" s="312"/>
      <c r="V31" s="311" t="s">
        <v>2428</v>
      </c>
      <c r="W31" s="138"/>
      <c r="X31" s="311" t="str">
        <f aca="false">IF(O31="","ไม่มีผู้ทำ (R) ","")&amp;IF(P31="","ไม่มีผู้อนุมัติ (A) ","")&amp;IF(AND(C31="งาน",J31=""),"ไม่มีเกณฑ์เสร็จ ","")</f>
        <v/>
      </c>
      <c r="Z31" s="31" t="s">
        <v>2558</v>
      </c>
      <c r="AA31" s="313" t="n">
        <f aca="false">COUNTIF($O$5:$O$128,"")+COUNTIF($P$5:$P$128,"")</f>
        <v>0</v>
      </c>
      <c r="AC31" s="314" t="s">
        <v>2559</v>
      </c>
    </row>
    <row r="32" customFormat="false" ht="23.85" hidden="false" customHeight="false" outlineLevel="0" collapsed="false">
      <c r="A32" s="311" t="s">
        <v>275</v>
      </c>
      <c r="B32" s="312" t="n">
        <v>3</v>
      </c>
      <c r="C32" s="312" t="s">
        <v>573</v>
      </c>
      <c r="D32" s="138" t="s">
        <v>2560</v>
      </c>
      <c r="E32" s="312" t="n">
        <v>0.1</v>
      </c>
      <c r="F32" s="312"/>
      <c r="G32" s="312" t="s">
        <v>784</v>
      </c>
      <c r="H32" s="131" t="s">
        <v>2561</v>
      </c>
      <c r="I32" s="138"/>
      <c r="J32" s="138" t="s">
        <v>2562</v>
      </c>
      <c r="K32" s="311" t="s">
        <v>211</v>
      </c>
      <c r="L32" s="138"/>
      <c r="M32" s="312"/>
      <c r="N32" s="138"/>
      <c r="O32" s="312" t="s">
        <v>2426</v>
      </c>
      <c r="P32" s="311" t="s">
        <v>1627</v>
      </c>
      <c r="Q32" s="312"/>
      <c r="R32" s="312"/>
      <c r="S32" s="138" t="s">
        <v>2563</v>
      </c>
      <c r="T32" s="138"/>
      <c r="U32" s="312"/>
      <c r="V32" s="311" t="s">
        <v>2428</v>
      </c>
      <c r="W32" s="138"/>
      <c r="X32" s="311" t="str">
        <f aca="false">IF(O32="","ไม่มีผู้ทำ (R) ","")&amp;IF(P32="","ไม่มีผู้อนุมัติ (A) ","")&amp;IF(AND(C32="งาน",J32=""),"ไม่มีเกณฑ์เสร็จ ","")</f>
        <v/>
      </c>
      <c r="Z32" s="31" t="s">
        <v>2564</v>
      </c>
      <c r="AA32" s="313" t="n">
        <f aca="false">COUNTIFS($B$5:$B$128,3,$C$5:$C$128,"งาน",$J$5:$J$128,"")</f>
        <v>0</v>
      </c>
      <c r="AC32" s="314" t="s">
        <v>2565</v>
      </c>
    </row>
    <row r="33" customFormat="false" ht="15" hidden="false" customHeight="false" outlineLevel="0" collapsed="false">
      <c r="A33" s="311" t="s">
        <v>278</v>
      </c>
      <c r="B33" s="312" t="n">
        <v>3</v>
      </c>
      <c r="C33" s="312" t="s">
        <v>573</v>
      </c>
      <c r="D33" s="138" t="s">
        <v>2566</v>
      </c>
      <c r="E33" s="312" t="n">
        <v>0.3</v>
      </c>
      <c r="F33" s="312"/>
      <c r="G33" s="312" t="s">
        <v>784</v>
      </c>
      <c r="H33" s="138" t="s">
        <v>2567</v>
      </c>
      <c r="I33" s="138"/>
      <c r="J33" s="138" t="s">
        <v>2568</v>
      </c>
      <c r="K33" s="312" t="s">
        <v>2569</v>
      </c>
      <c r="L33" s="138"/>
      <c r="M33" s="312"/>
      <c r="N33" s="131" t="s">
        <v>2570</v>
      </c>
      <c r="O33" s="312" t="s">
        <v>2426</v>
      </c>
      <c r="P33" s="311" t="s">
        <v>1627</v>
      </c>
      <c r="Q33" s="312" t="s">
        <v>2516</v>
      </c>
      <c r="R33" s="312"/>
      <c r="S33" s="138"/>
      <c r="T33" s="138"/>
      <c r="U33" s="312"/>
      <c r="V33" s="311" t="s">
        <v>2428</v>
      </c>
      <c r="W33" s="138"/>
      <c r="X33" s="311" t="str">
        <f aca="false">IF(O33="","ไม่มีผู้ทำ (R) ","")&amp;IF(P33="","ไม่มีผู้อนุมัติ (A) ","")&amp;IF(AND(C33="งาน",J33=""),"ไม่มีเกณฑ์เสร็จ ","")</f>
        <v/>
      </c>
      <c r="Z33" s="31" t="s">
        <v>2571</v>
      </c>
      <c r="AA33" s="313" t="n">
        <f aca="false">COUNTIF($P$5:$P$128,"กปภ.")+COUNTIF($P$5:$P$128,"กฟภ.")+COUNTIF($P$5:$P$128,"กกพ.")+COUNTIF($P$5:$P$128,"พพ.")</f>
        <v>0</v>
      </c>
      <c r="AC33" s="314" t="s">
        <v>2572</v>
      </c>
    </row>
    <row r="34" customFormat="false" ht="23.85" hidden="false" customHeight="false" outlineLevel="0" collapsed="false">
      <c r="A34" s="306" t="s">
        <v>1850</v>
      </c>
      <c r="B34" s="306" t="n">
        <v>2</v>
      </c>
      <c r="C34" s="307" t="s">
        <v>573</v>
      </c>
      <c r="D34" s="309" t="s">
        <v>1934</v>
      </c>
      <c r="E34" s="306" t="n">
        <v>0.5</v>
      </c>
      <c r="F34" s="306"/>
      <c r="G34" s="307" t="s">
        <v>784</v>
      </c>
      <c r="H34" s="308"/>
      <c r="I34" s="309" t="s">
        <v>2573</v>
      </c>
      <c r="J34" s="309" t="s">
        <v>2574</v>
      </c>
      <c r="K34" s="306" t="s">
        <v>211</v>
      </c>
      <c r="L34" s="308"/>
      <c r="M34" s="306"/>
      <c r="N34" s="308"/>
      <c r="O34" s="307" t="s">
        <v>2416</v>
      </c>
      <c r="P34" s="306" t="s">
        <v>1627</v>
      </c>
      <c r="Q34" s="307" t="s">
        <v>2503</v>
      </c>
      <c r="R34" s="306"/>
      <c r="S34" s="308"/>
      <c r="T34" s="308"/>
      <c r="U34" s="306" t="s">
        <v>2575</v>
      </c>
      <c r="V34" s="306" t="s">
        <v>2576</v>
      </c>
      <c r="W34" s="308" t="s">
        <v>2577</v>
      </c>
      <c r="X34" s="306" t="str">
        <f aca="false">IF(O34="","ไม่มีผู้ทำ (R) ","")&amp;IF(P34="","ไม่มีผู้อนุมัติ (A) ","")&amp;IF(SUMPRODUCT((LEFT($A$5:$A$128,LEN(A34)+1)=A34&amp;".")*1)=0,"",IF(ABS(SUMPRODUCT((LEFT($A$5:$A$128,LEN(A34)+1)=A34&amp;".")*($G$5:$G$128&lt;&gt;"LV")*$E$5:$E$128)-E34)&gt;0.001,"งานย่อยรวมไม่เท่างานแม่ (100%) ",""))&amp;IF(F34="","",IF(ABS(SUMPRODUCT((LEFT($A$5:$A$128,LEN(A34)+1)=A34&amp;".")*$F$5:$F$128)-F34)&gt;0.001,"≥ 200 kVA: งานย่อยรวมไม่เท่างานแม่ (100%) ",""))&amp;IF(J34="","ไม่มีเกณฑ์เสร็จ ","")</f>
        <v/>
      </c>
      <c r="Z34" s="31" t="s">
        <v>2578</v>
      </c>
      <c r="AA34" s="313" t="n">
        <f aca="false">COUNTIFS($B$5:$B$128,3,$K$5:$K$128,"")</f>
        <v>0</v>
      </c>
      <c r="AC34" s="314" t="s">
        <v>2579</v>
      </c>
    </row>
    <row r="35" customFormat="false" ht="15" hidden="false" customHeight="false" outlineLevel="0" collapsed="false">
      <c r="A35" s="311" t="s">
        <v>281</v>
      </c>
      <c r="B35" s="312" t="n">
        <v>3</v>
      </c>
      <c r="C35" s="312" t="s">
        <v>573</v>
      </c>
      <c r="D35" s="138" t="s">
        <v>282</v>
      </c>
      <c r="E35" s="312" t="n">
        <v>0.2</v>
      </c>
      <c r="F35" s="312"/>
      <c r="G35" s="312" t="s">
        <v>784</v>
      </c>
      <c r="H35" s="138" t="s">
        <v>2580</v>
      </c>
      <c r="I35" s="138"/>
      <c r="J35" s="138" t="s">
        <v>2581</v>
      </c>
      <c r="K35" s="311" t="s">
        <v>211</v>
      </c>
      <c r="L35" s="138"/>
      <c r="M35" s="312"/>
      <c r="N35" s="138"/>
      <c r="O35" s="312" t="s">
        <v>2426</v>
      </c>
      <c r="P35" s="311" t="s">
        <v>1627</v>
      </c>
      <c r="Q35" s="312" t="s">
        <v>2516</v>
      </c>
      <c r="R35" s="312"/>
      <c r="S35" s="138"/>
      <c r="T35" s="138"/>
      <c r="U35" s="312"/>
      <c r="V35" s="311" t="s">
        <v>2428</v>
      </c>
      <c r="W35" s="138"/>
      <c r="X35" s="311" t="str">
        <f aca="false">IF(O35="","ไม่มีผู้ทำ (R) ","")&amp;IF(P35="","ไม่มีผู้อนุมัติ (A) ","")&amp;IF(AND(C35="งาน",J35=""),"ไม่มีเกณฑ์เสร็จ ","")</f>
        <v/>
      </c>
      <c r="Z35" s="31" t="s">
        <v>2582</v>
      </c>
      <c r="AA35" s="313" t="n">
        <f aca="false">COUNTIFS($B$5:$B$128,3,$A$5:$A$128,"2.*",$S$5:$S$128,"",$T$5:$T$128,"")</f>
        <v>0</v>
      </c>
      <c r="AC35" s="314" t="s">
        <v>2583</v>
      </c>
    </row>
    <row r="36" customFormat="false" ht="23.85" hidden="false" customHeight="false" outlineLevel="0" collapsed="false">
      <c r="A36" s="311" t="s">
        <v>284</v>
      </c>
      <c r="B36" s="312" t="n">
        <v>3</v>
      </c>
      <c r="C36" s="312" t="s">
        <v>573</v>
      </c>
      <c r="D36" s="138" t="s">
        <v>2584</v>
      </c>
      <c r="E36" s="312" t="n">
        <v>0.2</v>
      </c>
      <c r="F36" s="312"/>
      <c r="G36" s="312" t="s">
        <v>784</v>
      </c>
      <c r="H36" s="131" t="s">
        <v>2585</v>
      </c>
      <c r="I36" s="138"/>
      <c r="J36" s="131" t="s">
        <v>2586</v>
      </c>
      <c r="K36" s="311" t="s">
        <v>211</v>
      </c>
      <c r="L36" s="138"/>
      <c r="M36" s="312" t="s">
        <v>2587</v>
      </c>
      <c r="N36" s="138"/>
      <c r="O36" s="312" t="s">
        <v>1734</v>
      </c>
      <c r="P36" s="312" t="s">
        <v>2426</v>
      </c>
      <c r="Q36" s="312"/>
      <c r="R36" s="312"/>
      <c r="S36" s="138"/>
      <c r="T36" s="138"/>
      <c r="U36" s="312"/>
      <c r="V36" s="311" t="s">
        <v>2428</v>
      </c>
      <c r="W36" s="138"/>
      <c r="X36" s="311" t="str">
        <f aca="false">IF(O36="","ไม่มีผู้ทำ (R) ","")&amp;IF(P36="","ไม่มีผู้อนุมัติ (A) ","")&amp;IF(AND(C36="งาน",J36=""),"ไม่มีเกณฑ์เสร็จ ","")</f>
        <v/>
      </c>
      <c r="Z36" s="31" t="s">
        <v>2588</v>
      </c>
      <c r="AA36" s="313" t="n">
        <f aca="false">(ABS(SUMIF(MOUNT_T,"หลังคาลอนคู่",MOUNT_P)-100)&gt;0.01)+(ABS(SUMIF(MOUNT_T,"หลังคาเมทัลชีท",MOUNT_P)-100)&gt;0.01)+(ABS(SUMIF(MOUNT_T,"หลังคา",MOUNT_P)-100)&gt;0.01)+(ABS(SUMIF(MOUNT_T,"ถังน้ำใส",MOUNT_P)-100)&gt;0.01)+(ABS(SUMIF(MOUNT_T,"ถังดินกลบ",MOUNT_P)-100)&gt;0.01)+(ABS(SUMIF(MOUNT_T,"Carport",MOUNT_P)-100)&gt;0.01)</f>
        <v>0</v>
      </c>
      <c r="AC36" s="314" t="s">
        <v>2589</v>
      </c>
    </row>
    <row r="37" customFormat="false" ht="23.85" hidden="false" customHeight="false" outlineLevel="0" collapsed="false">
      <c r="A37" s="311" t="s">
        <v>287</v>
      </c>
      <c r="B37" s="312" t="n">
        <v>3</v>
      </c>
      <c r="C37" s="312" t="s">
        <v>573</v>
      </c>
      <c r="D37" s="138" t="s">
        <v>2590</v>
      </c>
      <c r="E37" s="312" t="n">
        <v>0.1</v>
      </c>
      <c r="F37" s="312"/>
      <c r="G37" s="312" t="s">
        <v>784</v>
      </c>
      <c r="H37" s="138" t="s">
        <v>2591</v>
      </c>
      <c r="I37" s="138"/>
      <c r="J37" s="131" t="s">
        <v>2592</v>
      </c>
      <c r="K37" s="311" t="s">
        <v>211</v>
      </c>
      <c r="L37" s="138"/>
      <c r="M37" s="312"/>
      <c r="N37" s="131" t="s">
        <v>2593</v>
      </c>
      <c r="O37" s="312" t="s">
        <v>1734</v>
      </c>
      <c r="P37" s="312" t="s">
        <v>2426</v>
      </c>
      <c r="Q37" s="312" t="s">
        <v>2516</v>
      </c>
      <c r="R37" s="312"/>
      <c r="S37" s="138"/>
      <c r="T37" s="138"/>
      <c r="U37" s="312"/>
      <c r="V37" s="311" t="s">
        <v>2428</v>
      </c>
      <c r="W37" s="138"/>
      <c r="X37" s="311" t="str">
        <f aca="false">IF(O37="","ไม่มีผู้ทำ (R) ","")&amp;IF(P37="","ไม่มีผู้อนุมัติ (A) ","")&amp;IF(AND(C37="งาน",J37=""),"ไม่มีเกณฑ์เสร็จ ","")</f>
        <v/>
      </c>
      <c r="Z37" s="31" t="s">
        <v>2594</v>
      </c>
      <c r="AA37" s="313" t="n">
        <f aca="false">(ABS(SUMIF(INV_T,"สร้างใหม่ (E09)",INV_P)-100)&gt;0.01)+(ABS(SUMIF(INV_T,"ในอาคารเดิม / ผนังเดิม",INV_P)-100)&gt;0.01)+(ABS(SUMIF(INV_T,"บนหลังคาถังน้ำใส / ดาดฟ้า",INV_P)-100)&gt;0.01)</f>
        <v>0</v>
      </c>
      <c r="AC37" s="314" t="s">
        <v>2595</v>
      </c>
    </row>
    <row r="38" customFormat="false" ht="32.8" hidden="false" customHeight="false" outlineLevel="0" collapsed="false">
      <c r="A38" s="306" t="s">
        <v>1852</v>
      </c>
      <c r="B38" s="306" t="n">
        <v>2</v>
      </c>
      <c r="C38" s="307" t="s">
        <v>573</v>
      </c>
      <c r="D38" s="309" t="s">
        <v>2596</v>
      </c>
      <c r="E38" s="306" t="n">
        <v>1.5</v>
      </c>
      <c r="F38" s="306" t="n">
        <v>1</v>
      </c>
      <c r="G38" s="307" t="s">
        <v>784</v>
      </c>
      <c r="H38" s="309" t="s">
        <v>2597</v>
      </c>
      <c r="I38" s="309" t="s">
        <v>2598</v>
      </c>
      <c r="J38" s="309" t="s">
        <v>2599</v>
      </c>
      <c r="K38" s="306" t="s">
        <v>211</v>
      </c>
      <c r="L38" s="309" t="s">
        <v>2600</v>
      </c>
      <c r="M38" s="306"/>
      <c r="N38" s="308"/>
      <c r="O38" s="306" t="s">
        <v>131</v>
      </c>
      <c r="P38" s="306" t="s">
        <v>1627</v>
      </c>
      <c r="Q38" s="307" t="s">
        <v>2503</v>
      </c>
      <c r="R38" s="306"/>
      <c r="S38" s="308"/>
      <c r="T38" s="308"/>
      <c r="U38" s="306" t="s">
        <v>2601</v>
      </c>
      <c r="V38" s="306" t="s">
        <v>2602</v>
      </c>
      <c r="W38" s="308" t="s">
        <v>2603</v>
      </c>
      <c r="X38" s="306" t="str">
        <f aca="false">IF(O38="","ไม่มีผู้ทำ (R) ","")&amp;IF(P38="","ไม่มีผู้อนุมัติ (A) ","")&amp;IF(SUMPRODUCT((LEFT($A$5:$A$128,LEN(A38)+1)=A38&amp;".")*1)=0,"",IF(ABS(SUMPRODUCT((LEFT($A$5:$A$128,LEN(A38)+1)=A38&amp;".")*($G$5:$G$128&lt;&gt;"LV")*$E$5:$E$128)-E38)&gt;0.001,"งานย่อยรวมไม่เท่างานแม่ (100%) ",""))&amp;IF(F38="","",IF(ABS(SUMPRODUCT((LEFT($A$5:$A$128,LEN(A38)+1)=A38&amp;".")*$F$5:$F$128)-F38)&gt;0.001,"≥ 200 kVA: งานย่อยรวมไม่เท่างานแม่ (100%) ",""))&amp;IF(J38="","ไม่มีเกณฑ์เสร็จ ","")</f>
        <v/>
      </c>
      <c r="Z38" s="31" t="s">
        <v>2604</v>
      </c>
      <c r="AA38" s="313" t="n">
        <f aca="false">IF(LOOKUP(2,1/(Z5:Z21&lt;&gt;""),AC5:AC21)="",1,0)</f>
        <v>1</v>
      </c>
      <c r="AC38" s="314" t="s">
        <v>2605</v>
      </c>
    </row>
    <row r="39" customFormat="false" ht="23.85" hidden="false" customHeight="false" outlineLevel="0" collapsed="false">
      <c r="A39" s="311" t="s">
        <v>290</v>
      </c>
      <c r="B39" s="312" t="n">
        <v>3</v>
      </c>
      <c r="C39" s="312" t="s">
        <v>573</v>
      </c>
      <c r="D39" s="138" t="s">
        <v>2606</v>
      </c>
      <c r="E39" s="312" t="n">
        <v>0.3</v>
      </c>
      <c r="F39" s="312" t="n">
        <v>0.2</v>
      </c>
      <c r="G39" s="312" t="s">
        <v>784</v>
      </c>
      <c r="H39" s="138" t="s">
        <v>2607</v>
      </c>
      <c r="I39" s="138"/>
      <c r="J39" s="138" t="s">
        <v>2608</v>
      </c>
      <c r="K39" s="311" t="s">
        <v>211</v>
      </c>
      <c r="L39" s="138"/>
      <c r="M39" s="312"/>
      <c r="N39" s="138"/>
      <c r="O39" s="312" t="s">
        <v>2426</v>
      </c>
      <c r="P39" s="311" t="s">
        <v>1627</v>
      </c>
      <c r="Q39" s="312"/>
      <c r="R39" s="312"/>
      <c r="S39" s="138"/>
      <c r="T39" s="138"/>
      <c r="U39" s="312"/>
      <c r="V39" s="311" t="s">
        <v>2428</v>
      </c>
      <c r="W39" s="138"/>
      <c r="X39" s="311" t="str">
        <f aca="false">IF(O39="","ไม่มีผู้ทำ (R) ","")&amp;IF(P39="","ไม่มีผู้อนุมัติ (A) ","")&amp;IF(AND(C39="งาน",J39=""),"ไม่มีเกณฑ์เสร็จ ","")</f>
        <v/>
      </c>
    </row>
    <row r="40" customFormat="false" ht="35.05" hidden="false" customHeight="false" outlineLevel="0" collapsed="false">
      <c r="A40" s="311" t="s">
        <v>293</v>
      </c>
      <c r="B40" s="312" t="n">
        <v>3</v>
      </c>
      <c r="C40" s="312" t="s">
        <v>573</v>
      </c>
      <c r="D40" s="138" t="s">
        <v>2609</v>
      </c>
      <c r="E40" s="312" t="n">
        <v>0.6</v>
      </c>
      <c r="F40" s="312" t="n">
        <v>0.4</v>
      </c>
      <c r="G40" s="312" t="s">
        <v>784</v>
      </c>
      <c r="H40" s="138" t="s">
        <v>2610</v>
      </c>
      <c r="I40" s="138"/>
      <c r="J40" s="138" t="s">
        <v>2611</v>
      </c>
      <c r="K40" s="311" t="s">
        <v>211</v>
      </c>
      <c r="L40" s="138" t="s">
        <v>2612</v>
      </c>
      <c r="M40" s="312"/>
      <c r="N40" s="138" t="s">
        <v>2613</v>
      </c>
      <c r="O40" s="311" t="s">
        <v>131</v>
      </c>
      <c r="P40" s="312" t="s">
        <v>2426</v>
      </c>
      <c r="Q40" s="312"/>
      <c r="R40" s="312"/>
      <c r="S40" s="138"/>
      <c r="T40" s="138"/>
      <c r="U40" s="312"/>
      <c r="V40" s="311" t="s">
        <v>2428</v>
      </c>
      <c r="W40" s="138"/>
      <c r="X40" s="311" t="str">
        <f aca="false">IF(O40="","ไม่มีผู้ทำ (R) ","")&amp;IF(P40="","ไม่มีผู้อนุมัติ (A) ","")&amp;IF(AND(C40="งาน",J40=""),"ไม่มีเกณฑ์เสร็จ ","")</f>
        <v/>
      </c>
      <c r="Z40" s="72" t="s">
        <v>2614</v>
      </c>
    </row>
    <row r="41" customFormat="false" ht="15" hidden="false" customHeight="false" outlineLevel="0" collapsed="false">
      <c r="A41" s="311" t="s">
        <v>296</v>
      </c>
      <c r="B41" s="312" t="n">
        <v>3</v>
      </c>
      <c r="C41" s="312" t="s">
        <v>573</v>
      </c>
      <c r="D41" s="138" t="s">
        <v>2615</v>
      </c>
      <c r="E41" s="312" t="n">
        <v>0.6</v>
      </c>
      <c r="F41" s="312" t="n">
        <v>0.4</v>
      </c>
      <c r="G41" s="312" t="s">
        <v>784</v>
      </c>
      <c r="H41" s="138" t="s">
        <v>2616</v>
      </c>
      <c r="I41" s="138"/>
      <c r="J41" s="138" t="s">
        <v>2617</v>
      </c>
      <c r="K41" s="312" t="s">
        <v>2618</v>
      </c>
      <c r="L41" s="138" t="s">
        <v>2619</v>
      </c>
      <c r="M41" s="312"/>
      <c r="N41" s="138"/>
      <c r="O41" s="311" t="s">
        <v>131</v>
      </c>
      <c r="P41" s="311" t="s">
        <v>1627</v>
      </c>
      <c r="Q41" s="312" t="s">
        <v>2516</v>
      </c>
      <c r="R41" s="312"/>
      <c r="S41" s="138"/>
      <c r="T41" s="138"/>
      <c r="U41" s="312"/>
      <c r="V41" s="311" t="s">
        <v>2428</v>
      </c>
      <c r="W41" s="138"/>
      <c r="X41" s="311" t="str">
        <f aca="false">IF(O41="","ไม่มีผู้ทำ (R) ","")&amp;IF(P41="","ไม่มีผู้อนุมัติ (A) ","")&amp;IF(AND(C41="งาน",J41=""),"ไม่มีเกณฑ์เสร็จ ","")</f>
        <v/>
      </c>
      <c r="Z41" s="72" t="s">
        <v>2620</v>
      </c>
    </row>
    <row r="42" customFormat="false" ht="32.8" hidden="false" customHeight="false" outlineLevel="0" collapsed="false">
      <c r="A42" s="306" t="s">
        <v>1491</v>
      </c>
      <c r="B42" s="306" t="n">
        <v>2</v>
      </c>
      <c r="C42" s="307" t="s">
        <v>573</v>
      </c>
      <c r="D42" s="309" t="s">
        <v>2621</v>
      </c>
      <c r="E42" s="306" t="n">
        <v>0</v>
      </c>
      <c r="F42" s="306" t="n">
        <v>1</v>
      </c>
      <c r="G42" s="306" t="s">
        <v>1944</v>
      </c>
      <c r="H42" s="309" t="s">
        <v>2622</v>
      </c>
      <c r="I42" s="309" t="s">
        <v>2623</v>
      </c>
      <c r="J42" s="309" t="s">
        <v>2624</v>
      </c>
      <c r="K42" s="306" t="s">
        <v>211</v>
      </c>
      <c r="L42" s="308" t="s">
        <v>2625</v>
      </c>
      <c r="M42" s="306"/>
      <c r="N42" s="308"/>
      <c r="O42" s="306" t="s">
        <v>131</v>
      </c>
      <c r="P42" s="306" t="s">
        <v>1627</v>
      </c>
      <c r="Q42" s="307" t="s">
        <v>2503</v>
      </c>
      <c r="R42" s="306"/>
      <c r="S42" s="308"/>
      <c r="T42" s="308"/>
      <c r="U42" s="306" t="s">
        <v>2626</v>
      </c>
      <c r="V42" s="306" t="s">
        <v>2627</v>
      </c>
      <c r="W42" s="308" t="s">
        <v>2603</v>
      </c>
      <c r="X42" s="306" t="str">
        <f aca="false">IF(O42="","ไม่มีผู้ทำ (R) ","")&amp;IF(P42="","ไม่มีผู้อนุมัติ (A) ","")&amp;IF(SUMPRODUCT((LEFT($A$5:$A$128,LEN(A42)+1)=A42&amp;".")*1)=0,"",IF(ABS(SUMPRODUCT((LEFT($A$5:$A$128,LEN(A42)+1)=A42&amp;".")*($G$5:$G$128&lt;&gt;"LV")*$E$5:$E$128)-E42)&gt;0.001,"งานย่อยรวมไม่เท่างานแม่ (100%) ",""))&amp;IF(F42="","",IF(ABS(SUMPRODUCT((LEFT($A$5:$A$128,LEN(A42)+1)=A42&amp;".")*$F$5:$F$128)-F42)&gt;0.001,"≥ 200 kVA: งานย่อยรวมไม่เท่างานแม่ (100%) ",""))&amp;IF(J42="","ไม่มีเกณฑ์เสร็จ ","")</f>
        <v/>
      </c>
    </row>
    <row r="43" customFormat="false" ht="21.6" hidden="false" customHeight="false" outlineLevel="0" collapsed="false">
      <c r="A43" s="311" t="s">
        <v>456</v>
      </c>
      <c r="B43" s="312" t="n">
        <v>3</v>
      </c>
      <c r="C43" s="312" t="s">
        <v>573</v>
      </c>
      <c r="D43" s="131" t="s">
        <v>2628</v>
      </c>
      <c r="E43" s="312" t="n">
        <v>0</v>
      </c>
      <c r="F43" s="312" t="n">
        <v>0.2</v>
      </c>
      <c r="G43" s="311" t="s">
        <v>1944</v>
      </c>
      <c r="H43" s="131" t="s">
        <v>2629</v>
      </c>
      <c r="I43" s="138"/>
      <c r="J43" s="131" t="s">
        <v>2630</v>
      </c>
      <c r="K43" s="311" t="s">
        <v>211</v>
      </c>
      <c r="L43" s="138"/>
      <c r="M43" s="312"/>
      <c r="N43" s="138" t="s">
        <v>2631</v>
      </c>
      <c r="O43" s="311" t="s">
        <v>131</v>
      </c>
      <c r="P43" s="312" t="s">
        <v>2426</v>
      </c>
      <c r="Q43" s="312"/>
      <c r="R43" s="312"/>
      <c r="S43" s="138"/>
      <c r="T43" s="138"/>
      <c r="U43" s="312"/>
      <c r="V43" s="311" t="s">
        <v>2428</v>
      </c>
      <c r="W43" s="138"/>
      <c r="X43" s="311" t="str">
        <f aca="false">IF(O43="","ไม่มีผู้ทำ (R) ","")&amp;IF(P43="","ไม่มีผู้อนุมัติ (A) ","")&amp;IF(AND(C43="งาน",J43=""),"ไม่มีเกณฑ์เสร็จ ","")</f>
        <v/>
      </c>
    </row>
    <row r="44" customFormat="false" ht="15" hidden="false" customHeight="false" outlineLevel="0" collapsed="false">
      <c r="A44" s="311" t="s">
        <v>459</v>
      </c>
      <c r="B44" s="312" t="n">
        <v>3</v>
      </c>
      <c r="C44" s="312" t="s">
        <v>573</v>
      </c>
      <c r="D44" s="138" t="s">
        <v>2632</v>
      </c>
      <c r="E44" s="312" t="n">
        <v>0</v>
      </c>
      <c r="F44" s="312" t="n">
        <v>0.4</v>
      </c>
      <c r="G44" s="311" t="s">
        <v>1944</v>
      </c>
      <c r="H44" s="138" t="s">
        <v>2633</v>
      </c>
      <c r="I44" s="138"/>
      <c r="J44" s="138" t="s">
        <v>2634</v>
      </c>
      <c r="K44" s="311" t="s">
        <v>211</v>
      </c>
      <c r="L44" s="131" t="s">
        <v>2635</v>
      </c>
      <c r="M44" s="312"/>
      <c r="N44" s="138"/>
      <c r="O44" s="311" t="s">
        <v>131</v>
      </c>
      <c r="P44" s="311" t="s">
        <v>1627</v>
      </c>
      <c r="Q44" s="312" t="s">
        <v>2516</v>
      </c>
      <c r="R44" s="312"/>
      <c r="S44" s="138"/>
      <c r="T44" s="138"/>
      <c r="U44" s="312"/>
      <c r="V44" s="311" t="s">
        <v>2428</v>
      </c>
      <c r="W44" s="138"/>
      <c r="X44" s="311" t="str">
        <f aca="false">IF(O44="","ไม่มีผู้ทำ (R) ","")&amp;IF(P44="","ไม่มีผู้อนุมัติ (A) ","")&amp;IF(AND(C44="งาน",J44=""),"ไม่มีเกณฑ์เสร็จ ","")</f>
        <v/>
      </c>
    </row>
    <row r="45" customFormat="false" ht="15" hidden="false" customHeight="false" outlineLevel="0" collapsed="false">
      <c r="A45" s="311" t="s">
        <v>1947</v>
      </c>
      <c r="B45" s="312" t="n">
        <v>3</v>
      </c>
      <c r="C45" s="312" t="s">
        <v>2636</v>
      </c>
      <c r="D45" s="138" t="s">
        <v>2637</v>
      </c>
      <c r="E45" s="312" t="n">
        <v>0</v>
      </c>
      <c r="F45" s="312" t="n">
        <v>0</v>
      </c>
      <c r="G45" s="311" t="s">
        <v>1944</v>
      </c>
      <c r="H45" s="138" t="s">
        <v>2638</v>
      </c>
      <c r="I45" s="138"/>
      <c r="J45" s="138"/>
      <c r="K45" s="311" t="s">
        <v>2639</v>
      </c>
      <c r="L45" s="138"/>
      <c r="M45" s="312"/>
      <c r="N45" s="138"/>
      <c r="O45" s="311" t="s">
        <v>131</v>
      </c>
      <c r="P45" s="311" t="s">
        <v>1627</v>
      </c>
      <c r="Q45" s="312" t="s">
        <v>2640</v>
      </c>
      <c r="R45" s="312"/>
      <c r="S45" s="138" t="s">
        <v>2641</v>
      </c>
      <c r="T45" s="138"/>
      <c r="U45" s="312"/>
      <c r="V45" s="311" t="s">
        <v>2642</v>
      </c>
      <c r="W45" s="138"/>
      <c r="X45" s="311" t="str">
        <f aca="false">IF(O45="","ไม่มีผู้ทำ (R) ","")&amp;IF(P45="","ไม่มีผู้อนุมัติ (A) ","")&amp;IF(AND(C45="งาน",J45=""),"ไม่มีเกณฑ์เสร็จ ","")</f>
        <v/>
      </c>
    </row>
    <row r="46" customFormat="false" ht="15" hidden="false" customHeight="false" outlineLevel="0" collapsed="false">
      <c r="A46" s="311" t="s">
        <v>462</v>
      </c>
      <c r="B46" s="312" t="n">
        <v>3</v>
      </c>
      <c r="C46" s="312" t="s">
        <v>573</v>
      </c>
      <c r="D46" s="138" t="s">
        <v>2643</v>
      </c>
      <c r="E46" s="312" t="n">
        <v>0</v>
      </c>
      <c r="F46" s="312" t="n">
        <v>0.4</v>
      </c>
      <c r="G46" s="311" t="s">
        <v>1944</v>
      </c>
      <c r="H46" s="138"/>
      <c r="I46" s="138"/>
      <c r="J46" s="138" t="s">
        <v>2644</v>
      </c>
      <c r="K46" s="311" t="s">
        <v>211</v>
      </c>
      <c r="L46" s="138"/>
      <c r="M46" s="312"/>
      <c r="N46" s="138" t="s">
        <v>2645</v>
      </c>
      <c r="O46" s="311" t="s">
        <v>131</v>
      </c>
      <c r="P46" s="311" t="s">
        <v>1627</v>
      </c>
      <c r="Q46" s="312" t="s">
        <v>2646</v>
      </c>
      <c r="R46" s="312"/>
      <c r="S46" s="138"/>
      <c r="T46" s="138"/>
      <c r="U46" s="312"/>
      <c r="V46" s="311" t="s">
        <v>2428</v>
      </c>
      <c r="W46" s="138"/>
      <c r="X46" s="311" t="str">
        <f aca="false">IF(O46="","ไม่มีผู้ทำ (R) ","")&amp;IF(P46="","ไม่มีผู้อนุมัติ (A) ","")&amp;IF(AND(C46="งาน",J46=""),"ไม่มีเกณฑ์เสร็จ ","")</f>
        <v/>
      </c>
    </row>
    <row r="47" customFormat="false" ht="23.85" hidden="false" customHeight="false" outlineLevel="0" collapsed="false">
      <c r="A47" s="306" t="s">
        <v>1857</v>
      </c>
      <c r="B47" s="306" t="n">
        <v>2</v>
      </c>
      <c r="C47" s="307" t="s">
        <v>573</v>
      </c>
      <c r="D47" s="308" t="s">
        <v>2647</v>
      </c>
      <c r="E47" s="306" t="n">
        <v>0</v>
      </c>
      <c r="F47" s="306"/>
      <c r="G47" s="307" t="s">
        <v>784</v>
      </c>
      <c r="H47" s="309" t="s">
        <v>2648</v>
      </c>
      <c r="I47" s="309" t="s">
        <v>2649</v>
      </c>
      <c r="J47" s="309" t="s">
        <v>2650</v>
      </c>
      <c r="K47" s="306" t="s">
        <v>211</v>
      </c>
      <c r="L47" s="308"/>
      <c r="M47" s="306"/>
      <c r="N47" s="309" t="s">
        <v>2651</v>
      </c>
      <c r="O47" s="306" t="s">
        <v>131</v>
      </c>
      <c r="P47" s="306" t="s">
        <v>1627</v>
      </c>
      <c r="Q47" s="307" t="s">
        <v>2652</v>
      </c>
      <c r="R47" s="306"/>
      <c r="S47" s="308"/>
      <c r="T47" s="308"/>
      <c r="U47" s="306" t="s">
        <v>2653</v>
      </c>
      <c r="V47" s="306" t="s">
        <v>2654</v>
      </c>
      <c r="W47" s="308" t="s">
        <v>2603</v>
      </c>
      <c r="X47" s="306" t="str">
        <f aca="false">IF(O47="","ไม่มีผู้ทำ (R) ","")&amp;IF(P47="","ไม่มีผู้อนุมัติ (A) ","")&amp;IF(SUMPRODUCT((LEFT($A$5:$A$128,LEN(A47)+1)=A47&amp;".")*1)=0,"",IF(ABS(SUMPRODUCT((LEFT($A$5:$A$128,LEN(A47)+1)=A47&amp;".")*($G$5:$G$128&lt;&gt;"LV")*$E$5:$E$128)-E47)&gt;0.001,"งานย่อยรวมไม่เท่างานแม่ (100%) ",""))&amp;IF(F47="","",IF(ABS(SUMPRODUCT((LEFT($A$5:$A$128,LEN(A47)+1)=A47&amp;".")*$F$5:$F$128)-F47)&gt;0.001,"≥ 200 kVA: งานย่อยรวมไม่เท่างานแม่ (100%) ",""))&amp;IF(J47="","ไม่มีเกณฑ์เสร็จ ","")</f>
        <v/>
      </c>
    </row>
    <row r="48" customFormat="false" ht="23.85" hidden="false" customHeight="false" outlineLevel="0" collapsed="false">
      <c r="A48" s="311" t="s">
        <v>299</v>
      </c>
      <c r="B48" s="312" t="n">
        <v>3</v>
      </c>
      <c r="C48" s="312" t="s">
        <v>573</v>
      </c>
      <c r="D48" s="138" t="s">
        <v>2655</v>
      </c>
      <c r="E48" s="312" t="n">
        <v>0</v>
      </c>
      <c r="F48" s="312"/>
      <c r="G48" s="312" t="s">
        <v>784</v>
      </c>
      <c r="H48" s="138" t="s">
        <v>2656</v>
      </c>
      <c r="I48" s="138"/>
      <c r="J48" s="138" t="s">
        <v>2657</v>
      </c>
      <c r="K48" s="311" t="s">
        <v>211</v>
      </c>
      <c r="L48" s="138"/>
      <c r="M48" s="312"/>
      <c r="N48" s="138"/>
      <c r="O48" s="311" t="s">
        <v>131</v>
      </c>
      <c r="P48" s="312" t="s">
        <v>2426</v>
      </c>
      <c r="Q48" s="312"/>
      <c r="R48" s="312"/>
      <c r="S48" s="138"/>
      <c r="T48" s="138"/>
      <c r="U48" s="312"/>
      <c r="V48" s="311" t="s">
        <v>2428</v>
      </c>
      <c r="W48" s="138"/>
      <c r="X48" s="311" t="str">
        <f aca="false">IF(O48="","ไม่มีผู้ทำ (R) ","")&amp;IF(P48="","ไม่มีผู้อนุมัติ (A) ","")&amp;IF(AND(C48="งาน",J48=""),"ไม่มีเกณฑ์เสร็จ ","")</f>
        <v/>
      </c>
    </row>
    <row r="49" customFormat="false" ht="15" hidden="false" customHeight="false" outlineLevel="0" collapsed="false">
      <c r="A49" s="311" t="s">
        <v>302</v>
      </c>
      <c r="B49" s="312" t="n">
        <v>3</v>
      </c>
      <c r="C49" s="312" t="s">
        <v>573</v>
      </c>
      <c r="D49" s="138" t="s">
        <v>2658</v>
      </c>
      <c r="E49" s="312" t="n">
        <v>0</v>
      </c>
      <c r="F49" s="312"/>
      <c r="G49" s="312" t="s">
        <v>784</v>
      </c>
      <c r="H49" s="138" t="s">
        <v>2659</v>
      </c>
      <c r="I49" s="138"/>
      <c r="J49" s="138" t="s">
        <v>2660</v>
      </c>
      <c r="K49" s="311" t="s">
        <v>211</v>
      </c>
      <c r="L49" s="138"/>
      <c r="M49" s="312"/>
      <c r="N49" s="138"/>
      <c r="O49" s="311" t="s">
        <v>131</v>
      </c>
      <c r="P49" s="311" t="s">
        <v>1627</v>
      </c>
      <c r="Q49" s="312" t="s">
        <v>2646</v>
      </c>
      <c r="R49" s="312"/>
      <c r="S49" s="138"/>
      <c r="T49" s="138"/>
      <c r="U49" s="312"/>
      <c r="V49" s="311" t="s">
        <v>2428</v>
      </c>
      <c r="W49" s="138"/>
      <c r="X49" s="311" t="str">
        <f aca="false">IF(O49="","ไม่มีผู้ทำ (R) ","")&amp;IF(P49="","ไม่มีผู้อนุมัติ (A) ","")&amp;IF(AND(C49="งาน",J49=""),"ไม่มีเกณฑ์เสร็จ ","")</f>
        <v/>
      </c>
    </row>
    <row r="50" customFormat="false" ht="68.65" hidden="false" customHeight="false" outlineLevel="0" collapsed="false">
      <c r="A50" s="306" t="s">
        <v>1860</v>
      </c>
      <c r="B50" s="306" t="n">
        <v>2</v>
      </c>
      <c r="C50" s="307" t="s">
        <v>573</v>
      </c>
      <c r="D50" s="309" t="s">
        <v>2661</v>
      </c>
      <c r="E50" s="306" t="n">
        <v>1.5</v>
      </c>
      <c r="F50" s="306" t="n">
        <v>1</v>
      </c>
      <c r="G50" s="307" t="s">
        <v>784</v>
      </c>
      <c r="H50" s="309" t="s">
        <v>2662</v>
      </c>
      <c r="I50" s="309" t="s">
        <v>2663</v>
      </c>
      <c r="J50" s="309" t="s">
        <v>2664</v>
      </c>
      <c r="K50" s="306" t="s">
        <v>211</v>
      </c>
      <c r="L50" s="309" t="s">
        <v>2665</v>
      </c>
      <c r="M50" s="306"/>
      <c r="N50" s="308"/>
      <c r="O50" s="306" t="s">
        <v>131</v>
      </c>
      <c r="P50" s="306" t="s">
        <v>1627</v>
      </c>
      <c r="Q50" s="307" t="s">
        <v>1812</v>
      </c>
      <c r="R50" s="306"/>
      <c r="S50" s="308"/>
      <c r="T50" s="308"/>
      <c r="U50" s="306" t="s">
        <v>2666</v>
      </c>
      <c r="V50" s="306"/>
      <c r="W50" s="308" t="s">
        <v>2603</v>
      </c>
      <c r="X50" s="306" t="str">
        <f aca="false">IF(O50="","ไม่มีผู้ทำ (R) ","")&amp;IF(P50="","ไม่มีผู้อนุมัติ (A) ","")&amp;IF(SUMPRODUCT((LEFT($A$5:$A$128,LEN(A50)+1)=A50&amp;".")*1)=0,"",IF(ABS(SUMPRODUCT((LEFT($A$5:$A$128,LEN(A50)+1)=A50&amp;".")*($G$5:$G$128&lt;&gt;"LV")*$E$5:$E$128)-E50)&gt;0.001,"งานย่อยรวมไม่เท่างานแม่ (100%) ",""))&amp;IF(F50="","",IF(ABS(SUMPRODUCT((LEFT($A$5:$A$128,LEN(A50)+1)=A50&amp;".")*$F$5:$F$128)-F50)&gt;0.001,"≥ 200 kVA: งานย่อยรวมไม่เท่างานแม่ (100%) ",""))&amp;IF(J50="","ไม่มีเกณฑ์เสร็จ ","")</f>
        <v/>
      </c>
    </row>
    <row r="51" customFormat="false" ht="23.85" hidden="false" customHeight="false" outlineLevel="0" collapsed="false">
      <c r="A51" s="311" t="s">
        <v>1489</v>
      </c>
      <c r="B51" s="312" t="n">
        <v>3</v>
      </c>
      <c r="C51" s="312" t="s">
        <v>573</v>
      </c>
      <c r="D51" s="138" t="s">
        <v>2667</v>
      </c>
      <c r="E51" s="312" t="n">
        <v>1.5</v>
      </c>
      <c r="F51" s="312" t="n">
        <v>1</v>
      </c>
      <c r="G51" s="312" t="s">
        <v>784</v>
      </c>
      <c r="H51" s="138" t="s">
        <v>2668</v>
      </c>
      <c r="I51" s="138"/>
      <c r="J51" s="138" t="s">
        <v>2669</v>
      </c>
      <c r="K51" s="311" t="s">
        <v>211</v>
      </c>
      <c r="L51" s="138"/>
      <c r="M51" s="312"/>
      <c r="N51" s="138" t="s">
        <v>2670</v>
      </c>
      <c r="O51" s="311" t="s">
        <v>131</v>
      </c>
      <c r="P51" s="311" t="s">
        <v>1627</v>
      </c>
      <c r="Q51" s="312" t="s">
        <v>1733</v>
      </c>
      <c r="R51" s="312"/>
      <c r="S51" s="138"/>
      <c r="T51" s="138"/>
      <c r="U51" s="312"/>
      <c r="V51" s="311" t="s">
        <v>2671</v>
      </c>
      <c r="W51" s="138"/>
      <c r="X51" s="311" t="str">
        <f aca="false">IF(O51="","ไม่มีผู้ทำ (R) ","")&amp;IF(P51="","ไม่มีผู้อนุมัติ (A) ","")&amp;IF(AND(C51="งาน",J51=""),"ไม่มีเกณฑ์เสร็จ ","")</f>
        <v/>
      </c>
    </row>
    <row r="52" customFormat="false" ht="15" hidden="false" customHeight="false" outlineLevel="0" collapsed="false">
      <c r="A52" s="311" t="s">
        <v>1787</v>
      </c>
      <c r="B52" s="312" t="n">
        <v>3</v>
      </c>
      <c r="C52" s="312" t="s">
        <v>573</v>
      </c>
      <c r="D52" s="138" t="s">
        <v>2672</v>
      </c>
      <c r="E52" s="312" t="n">
        <v>0</v>
      </c>
      <c r="F52" s="312" t="n">
        <v>0</v>
      </c>
      <c r="G52" s="312" t="s">
        <v>784</v>
      </c>
      <c r="H52" s="138" t="s">
        <v>2673</v>
      </c>
      <c r="I52" s="138"/>
      <c r="J52" s="138" t="s">
        <v>2674</v>
      </c>
      <c r="K52" s="311" t="s">
        <v>211</v>
      </c>
      <c r="L52" s="138"/>
      <c r="M52" s="312"/>
      <c r="N52" s="138"/>
      <c r="O52" s="311" t="s">
        <v>131</v>
      </c>
      <c r="P52" s="311" t="s">
        <v>1627</v>
      </c>
      <c r="Q52" s="312" t="s">
        <v>1733</v>
      </c>
      <c r="R52" s="312"/>
      <c r="S52" s="138"/>
      <c r="T52" s="138"/>
      <c r="U52" s="312"/>
      <c r="V52" s="311" t="s">
        <v>2675</v>
      </c>
      <c r="W52" s="138"/>
      <c r="X52" s="311" t="str">
        <f aca="false">IF(O52="","ไม่มีผู้ทำ (R) ","")&amp;IF(P52="","ไม่มีผู้อนุมัติ (A) ","")&amp;IF(AND(C52="งาน",J52=""),"ไม่มีเกณฑ์เสร็จ ","")</f>
        <v/>
      </c>
    </row>
    <row r="53" customFormat="false" ht="15" hidden="false" customHeight="false" outlineLevel="0" collapsed="false">
      <c r="A53" s="311" t="s">
        <v>1498</v>
      </c>
      <c r="B53" s="312" t="n">
        <v>3</v>
      </c>
      <c r="C53" s="312" t="s">
        <v>2636</v>
      </c>
      <c r="D53" s="138" t="s">
        <v>2676</v>
      </c>
      <c r="E53" s="312" t="n">
        <v>0</v>
      </c>
      <c r="F53" s="312" t="n">
        <v>0</v>
      </c>
      <c r="G53" s="312" t="s">
        <v>784</v>
      </c>
      <c r="H53" s="138" t="s">
        <v>2677</v>
      </c>
      <c r="I53" s="138"/>
      <c r="J53" s="138"/>
      <c r="K53" s="311" t="s">
        <v>2639</v>
      </c>
      <c r="L53" s="138"/>
      <c r="M53" s="312"/>
      <c r="N53" s="138"/>
      <c r="O53" s="311" t="s">
        <v>131</v>
      </c>
      <c r="P53" s="311" t="s">
        <v>1627</v>
      </c>
      <c r="Q53" s="312" t="s">
        <v>1733</v>
      </c>
      <c r="R53" s="312"/>
      <c r="S53" s="138" t="s">
        <v>2678</v>
      </c>
      <c r="T53" s="138"/>
      <c r="U53" s="312"/>
      <c r="V53" s="311" t="s">
        <v>2679</v>
      </c>
      <c r="W53" s="138"/>
      <c r="X53" s="311" t="str">
        <f aca="false">IF(O53="","ไม่มีผู้ทำ (R) ","")&amp;IF(P53="","ไม่มีผู้อนุมัติ (A) ","")&amp;IF(AND(C53="งาน",J53=""),"ไม่มีเกณฑ์เสร็จ ","")</f>
        <v/>
      </c>
    </row>
    <row r="54" customFormat="false" ht="23.85" hidden="false" customHeight="false" outlineLevel="0" collapsed="false">
      <c r="A54" s="311" t="s">
        <v>1502</v>
      </c>
      <c r="B54" s="312" t="n">
        <v>3</v>
      </c>
      <c r="C54" s="312" t="s">
        <v>573</v>
      </c>
      <c r="D54" s="138" t="s">
        <v>2680</v>
      </c>
      <c r="E54" s="312" t="n">
        <v>0</v>
      </c>
      <c r="F54" s="312" t="n">
        <v>0</v>
      </c>
      <c r="G54" s="312" t="s">
        <v>784</v>
      </c>
      <c r="H54" s="138" t="s">
        <v>2681</v>
      </c>
      <c r="I54" s="138"/>
      <c r="J54" s="138" t="s">
        <v>2682</v>
      </c>
      <c r="K54" s="311" t="s">
        <v>211</v>
      </c>
      <c r="L54" s="138"/>
      <c r="M54" s="312"/>
      <c r="N54" s="138"/>
      <c r="O54" s="311" t="s">
        <v>131</v>
      </c>
      <c r="P54" s="311" t="s">
        <v>1627</v>
      </c>
      <c r="Q54" s="312"/>
      <c r="R54" s="312"/>
      <c r="S54" s="138"/>
      <c r="T54" s="138"/>
      <c r="U54" s="312"/>
      <c r="V54" s="311" t="s">
        <v>2683</v>
      </c>
      <c r="W54" s="138"/>
      <c r="X54" s="311" t="str">
        <f aca="false">IF(O54="","ไม่มีผู้ทำ (R) ","")&amp;IF(P54="","ไม่มีผู้อนุมัติ (A) ","")&amp;IF(AND(C54="งาน",J54=""),"ไม่มีเกณฑ์เสร็จ ","")</f>
        <v/>
      </c>
    </row>
    <row r="55" customFormat="false" ht="23.85" hidden="false" customHeight="false" outlineLevel="0" collapsed="false">
      <c r="A55" s="311" t="s">
        <v>1504</v>
      </c>
      <c r="B55" s="312" t="n">
        <v>3</v>
      </c>
      <c r="C55" s="312" t="s">
        <v>573</v>
      </c>
      <c r="D55" s="138" t="s">
        <v>2684</v>
      </c>
      <c r="E55" s="312" t="n">
        <v>0</v>
      </c>
      <c r="F55" s="312" t="n">
        <v>0</v>
      </c>
      <c r="G55" s="312" t="s">
        <v>784</v>
      </c>
      <c r="H55" s="138" t="s">
        <v>2685</v>
      </c>
      <c r="I55" s="138"/>
      <c r="J55" s="138" t="s">
        <v>2686</v>
      </c>
      <c r="K55" s="311" t="s">
        <v>211</v>
      </c>
      <c r="L55" s="138"/>
      <c r="M55" s="312"/>
      <c r="N55" s="138"/>
      <c r="O55" s="311" t="s">
        <v>131</v>
      </c>
      <c r="P55" s="312" t="s">
        <v>2426</v>
      </c>
      <c r="Q55" s="312"/>
      <c r="R55" s="311" t="s">
        <v>2687</v>
      </c>
      <c r="S55" s="138"/>
      <c r="T55" s="138"/>
      <c r="U55" s="312"/>
      <c r="V55" s="311" t="s">
        <v>2688</v>
      </c>
      <c r="W55" s="138"/>
      <c r="X55" s="311" t="str">
        <f aca="false">IF(O55="","ไม่มีผู้ทำ (R) ","")&amp;IF(P55="","ไม่มีผู้อนุมัติ (A) ","")&amp;IF(AND(C55="งาน",J55=""),"ไม่มีเกณฑ์เสร็จ ","")</f>
        <v/>
      </c>
    </row>
    <row r="56" customFormat="false" ht="23.85" hidden="false" customHeight="false" outlineLevel="0" collapsed="false">
      <c r="A56" s="311" t="s">
        <v>1506</v>
      </c>
      <c r="B56" s="312" t="n">
        <v>3</v>
      </c>
      <c r="C56" s="312" t="s">
        <v>2636</v>
      </c>
      <c r="D56" s="138" t="s">
        <v>2689</v>
      </c>
      <c r="E56" s="312" t="n">
        <v>0</v>
      </c>
      <c r="F56" s="312" t="n">
        <v>0</v>
      </c>
      <c r="G56" s="312" t="s">
        <v>784</v>
      </c>
      <c r="H56" s="138" t="s">
        <v>2690</v>
      </c>
      <c r="I56" s="138"/>
      <c r="J56" s="138" t="s">
        <v>2691</v>
      </c>
      <c r="K56" s="311" t="s">
        <v>2639</v>
      </c>
      <c r="L56" s="138"/>
      <c r="M56" s="312"/>
      <c r="N56" s="138"/>
      <c r="O56" s="311" t="s">
        <v>131</v>
      </c>
      <c r="P56" s="311" t="s">
        <v>1627</v>
      </c>
      <c r="Q56" s="312" t="s">
        <v>1733</v>
      </c>
      <c r="R56" s="312"/>
      <c r="S56" s="138" t="s">
        <v>2692</v>
      </c>
      <c r="T56" s="138"/>
      <c r="U56" s="312"/>
      <c r="V56" s="311" t="s">
        <v>2693</v>
      </c>
      <c r="W56" s="138"/>
      <c r="X56" s="311" t="str">
        <f aca="false">IF(O56="","ไม่มีผู้ทำ (R) ","")&amp;IF(P56="","ไม่มีผู้อนุมัติ (A) ","")&amp;IF(AND(C56="งาน",J56=""),"ไม่มีเกณฑ์เสร็จ ","")</f>
        <v/>
      </c>
    </row>
    <row r="57" customFormat="false" ht="46.25" hidden="false" customHeight="false" outlineLevel="0" collapsed="false">
      <c r="A57" s="306" t="s">
        <v>872</v>
      </c>
      <c r="B57" s="306" t="n">
        <v>2</v>
      </c>
      <c r="C57" s="307" t="s">
        <v>573</v>
      </c>
      <c r="D57" s="309" t="s">
        <v>2694</v>
      </c>
      <c r="E57" s="306" t="n">
        <v>20</v>
      </c>
      <c r="F57" s="306"/>
      <c r="G57" s="307" t="s">
        <v>784</v>
      </c>
      <c r="H57" s="308"/>
      <c r="I57" s="309" t="s">
        <v>2695</v>
      </c>
      <c r="J57" s="309" t="s">
        <v>2696</v>
      </c>
      <c r="K57" s="307" t="s">
        <v>2697</v>
      </c>
      <c r="L57" s="308"/>
      <c r="M57" s="307" t="s">
        <v>2698</v>
      </c>
      <c r="N57" s="308" t="s">
        <v>2699</v>
      </c>
      <c r="O57" s="307" t="s">
        <v>1810</v>
      </c>
      <c r="P57" s="307" t="s">
        <v>2416</v>
      </c>
      <c r="Q57" s="306"/>
      <c r="R57" s="306"/>
      <c r="S57" s="308"/>
      <c r="T57" s="308" t="s">
        <v>2700</v>
      </c>
      <c r="U57" s="306" t="s">
        <v>2701</v>
      </c>
      <c r="V57" s="306" t="s">
        <v>2702</v>
      </c>
      <c r="W57" s="309" t="s">
        <v>2703</v>
      </c>
      <c r="X57" s="306" t="str">
        <f aca="false">IF(O57="","ไม่มีผู้ทำ (R) ","")&amp;IF(P57="","ไม่มีผู้อนุมัติ (A) ","")&amp;IF(SUMPRODUCT((LEFT($A$5:$A$128,LEN(A57)+1)=A57&amp;".")*1)=0,"",IF(ABS(SUMPRODUCT((LEFT($A$5:$A$128,LEN(A57)+1)=A57&amp;".")*($G$5:$G$128&lt;&gt;"LV")*$E$5:$E$128)-E57)&gt;0.001,"งานย่อยรวมไม่เท่างานแม่ (100%) ",""))&amp;IF(F57="","",IF(ABS(SUMPRODUCT((LEFT($A$5:$A$128,LEN(A57)+1)=A57&amp;".")*$F$5:$F$128)-F57)&gt;0.001,"≥ 200 kVA: งานย่อยรวมไม่เท่างานแม่ (100%) ",""))&amp;IF(J57="","ไม่มีเกณฑ์เสร็จ ","")</f>
        <v/>
      </c>
    </row>
    <row r="58" customFormat="false" ht="23.85" hidden="false" customHeight="false" outlineLevel="0" collapsed="false">
      <c r="A58" s="311" t="s">
        <v>305</v>
      </c>
      <c r="B58" s="312" t="n">
        <v>3</v>
      </c>
      <c r="C58" s="312" t="s">
        <v>573</v>
      </c>
      <c r="D58" s="138" t="s">
        <v>2704</v>
      </c>
      <c r="E58" s="312" t="n">
        <v>1</v>
      </c>
      <c r="F58" s="312"/>
      <c r="G58" s="312" t="s">
        <v>784</v>
      </c>
      <c r="H58" s="138" t="s">
        <v>2705</v>
      </c>
      <c r="I58" s="138"/>
      <c r="J58" s="138" t="s">
        <v>2706</v>
      </c>
      <c r="K58" s="311" t="s">
        <v>211</v>
      </c>
      <c r="L58" s="138"/>
      <c r="M58" s="312"/>
      <c r="N58" s="138"/>
      <c r="O58" s="312" t="s">
        <v>1734</v>
      </c>
      <c r="P58" s="312" t="s">
        <v>2426</v>
      </c>
      <c r="Q58" s="312"/>
      <c r="R58" s="312"/>
      <c r="S58" s="138"/>
      <c r="T58" s="131" t="s">
        <v>2707</v>
      </c>
      <c r="U58" s="312"/>
      <c r="V58" s="311" t="s">
        <v>2428</v>
      </c>
      <c r="W58" s="138"/>
      <c r="X58" s="311" t="str">
        <f aca="false">IF(O58="","ไม่มีผู้ทำ (R) ","")&amp;IF(P58="","ไม่มีผู้อนุมัติ (A) ","")&amp;IF(AND(S58="",T58=""),"ไม่มีแบบ/มาตรฐาน ","")&amp;IF(AND(C58="งาน",J58=""),"ไม่มีเกณฑ์เสร็จ ","")</f>
        <v/>
      </c>
    </row>
    <row r="59" customFormat="false" ht="57.45" hidden="false" customHeight="false" outlineLevel="0" collapsed="false">
      <c r="A59" s="311" t="s">
        <v>308</v>
      </c>
      <c r="B59" s="312" t="n">
        <v>3</v>
      </c>
      <c r="C59" s="312" t="s">
        <v>573</v>
      </c>
      <c r="D59" s="138" t="s">
        <v>2708</v>
      </c>
      <c r="E59" s="312" t="n">
        <v>2.5</v>
      </c>
      <c r="F59" s="312"/>
      <c r="G59" s="312" t="s">
        <v>784</v>
      </c>
      <c r="H59" s="138" t="s">
        <v>2709</v>
      </c>
      <c r="I59" s="138"/>
      <c r="J59" s="138" t="s">
        <v>2710</v>
      </c>
      <c r="K59" s="311" t="s">
        <v>211</v>
      </c>
      <c r="L59" s="138"/>
      <c r="M59" s="312"/>
      <c r="N59" s="138"/>
      <c r="O59" s="312" t="s">
        <v>1734</v>
      </c>
      <c r="P59" s="312" t="s">
        <v>2426</v>
      </c>
      <c r="Q59" s="312"/>
      <c r="R59" s="312"/>
      <c r="S59" s="138" t="s">
        <v>2711</v>
      </c>
      <c r="T59" s="131" t="s">
        <v>2712</v>
      </c>
      <c r="U59" s="312"/>
      <c r="V59" s="311" t="s">
        <v>2428</v>
      </c>
      <c r="W59" s="138"/>
      <c r="X59" s="311" t="str">
        <f aca="false">IF(O59="","ไม่มีผู้ทำ (R) ","")&amp;IF(P59="","ไม่มีผู้อนุมัติ (A) ","")&amp;IF(AND(S59="",T59=""),"ไม่มีแบบ/มาตรฐาน ","")&amp;IF(AND(C59="งาน",J59=""),"ไม่มีเกณฑ์เสร็จ ","")</f>
        <v/>
      </c>
    </row>
    <row r="60" customFormat="false" ht="35.05" hidden="false" customHeight="false" outlineLevel="0" collapsed="false">
      <c r="A60" s="311" t="s">
        <v>311</v>
      </c>
      <c r="B60" s="312" t="n">
        <v>3</v>
      </c>
      <c r="C60" s="312" t="s">
        <v>573</v>
      </c>
      <c r="D60" s="138" t="s">
        <v>2713</v>
      </c>
      <c r="E60" s="312" t="n">
        <v>5</v>
      </c>
      <c r="F60" s="312"/>
      <c r="G60" s="312" t="s">
        <v>784</v>
      </c>
      <c r="H60" s="138" t="s">
        <v>2714</v>
      </c>
      <c r="I60" s="138"/>
      <c r="J60" s="138" t="s">
        <v>2715</v>
      </c>
      <c r="K60" s="311" t="s">
        <v>2716</v>
      </c>
      <c r="L60" s="138"/>
      <c r="M60" s="312"/>
      <c r="N60" s="138"/>
      <c r="O60" s="312" t="s">
        <v>1734</v>
      </c>
      <c r="P60" s="312" t="s">
        <v>2426</v>
      </c>
      <c r="Q60" s="312"/>
      <c r="R60" s="312"/>
      <c r="S60" s="138" t="s">
        <v>2717</v>
      </c>
      <c r="T60" s="131" t="s">
        <v>2718</v>
      </c>
      <c r="U60" s="312"/>
      <c r="V60" s="311" t="s">
        <v>2428</v>
      </c>
      <c r="W60" s="138"/>
      <c r="X60" s="311" t="str">
        <f aca="false">IF(O60="","ไม่มีผู้ทำ (R) ","")&amp;IF(P60="","ไม่มีผู้อนุมัติ (A) ","")&amp;IF(AND(S60="",T60=""),"ไม่มีแบบ/มาตรฐาน ","")&amp;IF(AND(C60="งาน",J60=""),"ไม่มีเกณฑ์เสร็จ ","")</f>
        <v/>
      </c>
    </row>
    <row r="61" customFormat="false" ht="23.85" hidden="false" customHeight="false" outlineLevel="0" collapsed="false">
      <c r="A61" s="311" t="s">
        <v>314</v>
      </c>
      <c r="B61" s="312" t="n">
        <v>3</v>
      </c>
      <c r="C61" s="312" t="s">
        <v>573</v>
      </c>
      <c r="D61" s="138" t="s">
        <v>2719</v>
      </c>
      <c r="E61" s="312" t="n">
        <v>7</v>
      </c>
      <c r="F61" s="312"/>
      <c r="G61" s="312" t="s">
        <v>784</v>
      </c>
      <c r="H61" s="138" t="s">
        <v>2720</v>
      </c>
      <c r="I61" s="138"/>
      <c r="J61" s="131" t="s">
        <v>2721</v>
      </c>
      <c r="K61" s="311" t="s">
        <v>2716</v>
      </c>
      <c r="L61" s="138"/>
      <c r="M61" s="312"/>
      <c r="N61" s="138"/>
      <c r="O61" s="312" t="s">
        <v>1734</v>
      </c>
      <c r="P61" s="312" t="s">
        <v>2426</v>
      </c>
      <c r="Q61" s="312"/>
      <c r="R61" s="312"/>
      <c r="S61" s="138"/>
      <c r="T61" s="131" t="s">
        <v>2722</v>
      </c>
      <c r="U61" s="312"/>
      <c r="V61" s="311" t="s">
        <v>2428</v>
      </c>
      <c r="W61" s="138"/>
      <c r="X61" s="311" t="str">
        <f aca="false">IF(O61="","ไม่มีผู้ทำ (R) ","")&amp;IF(P61="","ไม่มีผู้อนุมัติ (A) ","")&amp;IF(AND(S61="",T61=""),"ไม่มีแบบ/มาตรฐาน ","")&amp;IF(AND(C61="งาน",J61=""),"ไม่มีเกณฑ์เสร็จ ","")</f>
        <v/>
      </c>
    </row>
    <row r="62" customFormat="false" ht="23.85" hidden="false" customHeight="false" outlineLevel="0" collapsed="false">
      <c r="A62" s="311" t="s">
        <v>317</v>
      </c>
      <c r="B62" s="312" t="n">
        <v>3</v>
      </c>
      <c r="C62" s="312" t="s">
        <v>573</v>
      </c>
      <c r="D62" s="131" t="s">
        <v>2723</v>
      </c>
      <c r="E62" s="312" t="n">
        <v>3</v>
      </c>
      <c r="F62" s="312"/>
      <c r="G62" s="312" t="s">
        <v>784</v>
      </c>
      <c r="H62" s="138"/>
      <c r="I62" s="138"/>
      <c r="J62" s="131" t="s">
        <v>2724</v>
      </c>
      <c r="K62" s="311" t="s">
        <v>2716</v>
      </c>
      <c r="L62" s="138"/>
      <c r="M62" s="312"/>
      <c r="N62" s="138"/>
      <c r="O62" s="312" t="s">
        <v>1734</v>
      </c>
      <c r="P62" s="312" t="s">
        <v>2426</v>
      </c>
      <c r="Q62" s="312"/>
      <c r="R62" s="312"/>
      <c r="S62" s="138"/>
      <c r="T62" s="131" t="s">
        <v>2725</v>
      </c>
      <c r="U62" s="312"/>
      <c r="V62" s="311" t="s">
        <v>2428</v>
      </c>
      <c r="W62" s="138"/>
      <c r="X62" s="311" t="str">
        <f aca="false">IF(O62="","ไม่มีผู้ทำ (R) ","")&amp;IF(P62="","ไม่มีผู้อนุมัติ (A) ","")&amp;IF(AND(S62="",T62=""),"ไม่มีแบบ/มาตรฐาน ","")&amp;IF(AND(C62="งาน",J62=""),"ไม่มีเกณฑ์เสร็จ ","")</f>
        <v/>
      </c>
    </row>
    <row r="63" customFormat="false" ht="15" hidden="false" customHeight="false" outlineLevel="0" collapsed="false">
      <c r="A63" s="311" t="s">
        <v>320</v>
      </c>
      <c r="B63" s="312" t="n">
        <v>3</v>
      </c>
      <c r="C63" s="312" t="s">
        <v>573</v>
      </c>
      <c r="D63" s="138" t="s">
        <v>2726</v>
      </c>
      <c r="E63" s="312" t="n">
        <v>0.5</v>
      </c>
      <c r="F63" s="312"/>
      <c r="G63" s="312" t="s">
        <v>784</v>
      </c>
      <c r="H63" s="138" t="s">
        <v>2727</v>
      </c>
      <c r="I63" s="138"/>
      <c r="J63" s="138" t="s">
        <v>2728</v>
      </c>
      <c r="K63" s="311" t="s">
        <v>211</v>
      </c>
      <c r="L63" s="138"/>
      <c r="M63" s="312"/>
      <c r="N63" s="138"/>
      <c r="O63" s="312" t="s">
        <v>1734</v>
      </c>
      <c r="P63" s="312" t="s">
        <v>2426</v>
      </c>
      <c r="Q63" s="312"/>
      <c r="R63" s="312"/>
      <c r="S63" s="138"/>
      <c r="T63" s="131" t="s">
        <v>2729</v>
      </c>
      <c r="U63" s="312"/>
      <c r="V63" s="311" t="s">
        <v>2428</v>
      </c>
      <c r="W63" s="138"/>
      <c r="X63" s="311" t="str">
        <f aca="false">IF(O63="","ไม่มีผู้ทำ (R) ","")&amp;IF(P63="","ไม่มีผู้อนุมัติ (A) ","")&amp;IF(AND(S63="",T63=""),"ไม่มีแบบ/มาตรฐาน ","")&amp;IF(AND(C63="งาน",J63=""),"ไม่มีเกณฑ์เสร็จ ","")</f>
        <v/>
      </c>
    </row>
    <row r="64" customFormat="false" ht="35.05" hidden="false" customHeight="false" outlineLevel="0" collapsed="false">
      <c r="A64" s="311" t="s">
        <v>323</v>
      </c>
      <c r="B64" s="312" t="n">
        <v>3</v>
      </c>
      <c r="C64" s="312" t="s">
        <v>573</v>
      </c>
      <c r="D64" s="131" t="s">
        <v>2730</v>
      </c>
      <c r="E64" s="312" t="n">
        <v>1</v>
      </c>
      <c r="F64" s="312"/>
      <c r="G64" s="312" t="s">
        <v>784</v>
      </c>
      <c r="H64" s="131" t="s">
        <v>2731</v>
      </c>
      <c r="I64" s="138"/>
      <c r="J64" s="138" t="s">
        <v>2732</v>
      </c>
      <c r="K64" s="311" t="s">
        <v>211</v>
      </c>
      <c r="L64" s="138"/>
      <c r="M64" s="312"/>
      <c r="N64" s="138" t="s">
        <v>2440</v>
      </c>
      <c r="O64" s="312" t="s">
        <v>1734</v>
      </c>
      <c r="P64" s="312" t="s">
        <v>2426</v>
      </c>
      <c r="Q64" s="312"/>
      <c r="R64" s="312"/>
      <c r="S64" s="138"/>
      <c r="T64" s="131" t="s">
        <v>2733</v>
      </c>
      <c r="U64" s="312"/>
      <c r="V64" s="311" t="s">
        <v>2428</v>
      </c>
      <c r="W64" s="138"/>
      <c r="X64" s="311" t="str">
        <f aca="false">IF(O64="","ไม่มีผู้ทำ (R) ","")&amp;IF(P64="","ไม่มีผู้อนุมัติ (A) ","")&amp;IF(AND(S64="",T64=""),"ไม่มีแบบ/มาตรฐาน ","")&amp;IF(AND(C64="งาน",J64=""),"ไม่มีเกณฑ์เสร็จ ","")</f>
        <v/>
      </c>
    </row>
    <row r="65" customFormat="false" ht="35.05" hidden="false" customHeight="false" outlineLevel="0" collapsed="false">
      <c r="A65" s="306" t="s">
        <v>987</v>
      </c>
      <c r="B65" s="306" t="n">
        <v>2</v>
      </c>
      <c r="C65" s="307" t="s">
        <v>573</v>
      </c>
      <c r="D65" s="309" t="s">
        <v>2734</v>
      </c>
      <c r="E65" s="306" t="n">
        <v>10</v>
      </c>
      <c r="F65" s="306"/>
      <c r="G65" s="307" t="s">
        <v>784</v>
      </c>
      <c r="H65" s="308"/>
      <c r="I65" s="309" t="s">
        <v>2735</v>
      </c>
      <c r="J65" s="309" t="s">
        <v>2736</v>
      </c>
      <c r="K65" s="307" t="s">
        <v>2697</v>
      </c>
      <c r="L65" s="308"/>
      <c r="M65" s="307" t="s">
        <v>2737</v>
      </c>
      <c r="N65" s="308"/>
      <c r="O65" s="307" t="s">
        <v>1810</v>
      </c>
      <c r="P65" s="307" t="s">
        <v>2416</v>
      </c>
      <c r="Q65" s="306"/>
      <c r="R65" s="306"/>
      <c r="S65" s="308"/>
      <c r="T65" s="308" t="s">
        <v>2738</v>
      </c>
      <c r="U65" s="306" t="s">
        <v>2739</v>
      </c>
      <c r="V65" s="306" t="s">
        <v>150</v>
      </c>
      <c r="W65" s="309" t="s">
        <v>2740</v>
      </c>
      <c r="X65" s="306" t="str">
        <f aca="false">IF(O65="","ไม่มีผู้ทำ (R) ","")&amp;IF(P65="","ไม่มีผู้อนุมัติ (A) ","")&amp;IF(SUMPRODUCT((LEFT($A$5:$A$128,LEN(A65)+1)=A65&amp;".")*1)=0,"",IF(ABS(SUMPRODUCT((LEFT($A$5:$A$128,LEN(A65)+1)=A65&amp;".")*($G$5:$G$128&lt;&gt;"LV")*$E$5:$E$128)-E65)&gt;0.001,"งานย่อยรวมไม่เท่างานแม่ (100%) ",""))&amp;IF(F65="","",IF(ABS(SUMPRODUCT((LEFT($A$5:$A$128,LEN(A65)+1)=A65&amp;".")*$F$5:$F$128)-F65)&gt;0.001,"≥ 200 kVA: งานย่อยรวมไม่เท่างานแม่ (100%) ",""))&amp;IF(J65="","ไม่มีเกณฑ์เสร็จ ","")</f>
        <v/>
      </c>
    </row>
    <row r="66" customFormat="false" ht="23.85" hidden="false" customHeight="false" outlineLevel="0" collapsed="false">
      <c r="A66" s="311" t="s">
        <v>326</v>
      </c>
      <c r="B66" s="312" t="n">
        <v>3</v>
      </c>
      <c r="C66" s="312" t="s">
        <v>573</v>
      </c>
      <c r="D66" s="138" t="s">
        <v>2741</v>
      </c>
      <c r="E66" s="312" t="n">
        <v>3</v>
      </c>
      <c r="F66" s="312"/>
      <c r="G66" s="312" t="s">
        <v>784</v>
      </c>
      <c r="H66" s="138" t="s">
        <v>2742</v>
      </c>
      <c r="I66" s="138"/>
      <c r="J66" s="131" t="s">
        <v>2743</v>
      </c>
      <c r="K66" s="311" t="s">
        <v>2716</v>
      </c>
      <c r="L66" s="138"/>
      <c r="M66" s="312"/>
      <c r="N66" s="138"/>
      <c r="O66" s="312" t="s">
        <v>1734</v>
      </c>
      <c r="P66" s="312" t="s">
        <v>2426</v>
      </c>
      <c r="Q66" s="312"/>
      <c r="R66" s="312"/>
      <c r="S66" s="138"/>
      <c r="T66" s="131" t="s">
        <v>2744</v>
      </c>
      <c r="U66" s="312"/>
      <c r="V66" s="311" t="s">
        <v>2428</v>
      </c>
      <c r="W66" s="138"/>
      <c r="X66" s="311" t="str">
        <f aca="false">IF(O66="","ไม่มีผู้ทำ (R) ","")&amp;IF(P66="","ไม่มีผู้อนุมัติ (A) ","")&amp;IF(AND(S66="",T66=""),"ไม่มีแบบ/มาตรฐาน ","")&amp;IF(AND(C66="งาน",J66=""),"ไม่มีเกณฑ์เสร็จ ","")</f>
        <v/>
      </c>
    </row>
    <row r="67" customFormat="false" ht="23.85" hidden="false" customHeight="false" outlineLevel="0" collapsed="false">
      <c r="A67" s="311" t="s">
        <v>329</v>
      </c>
      <c r="B67" s="312" t="n">
        <v>3</v>
      </c>
      <c r="C67" s="312" t="s">
        <v>573</v>
      </c>
      <c r="D67" s="138" t="s">
        <v>2745</v>
      </c>
      <c r="E67" s="312" t="n">
        <v>3</v>
      </c>
      <c r="F67" s="312"/>
      <c r="G67" s="312" t="s">
        <v>784</v>
      </c>
      <c r="H67" s="138" t="s">
        <v>2746</v>
      </c>
      <c r="I67" s="138"/>
      <c r="J67" s="138" t="s">
        <v>2747</v>
      </c>
      <c r="K67" s="311" t="s">
        <v>2716</v>
      </c>
      <c r="L67" s="138"/>
      <c r="M67" s="312"/>
      <c r="N67" s="138"/>
      <c r="O67" s="312" t="s">
        <v>1734</v>
      </c>
      <c r="P67" s="312" t="s">
        <v>2426</v>
      </c>
      <c r="Q67" s="312"/>
      <c r="R67" s="312"/>
      <c r="S67" s="138"/>
      <c r="T67" s="131" t="s">
        <v>781</v>
      </c>
      <c r="U67" s="312"/>
      <c r="V67" s="311" t="s">
        <v>2428</v>
      </c>
      <c r="W67" s="138"/>
      <c r="X67" s="311" t="str">
        <f aca="false">IF(O67="","ไม่มีผู้ทำ (R) ","")&amp;IF(P67="","ไม่มีผู้อนุมัติ (A) ","")&amp;IF(AND(S67="",T67=""),"ไม่มีแบบ/มาตรฐาน ","")&amp;IF(AND(C67="งาน",J67=""),"ไม่มีเกณฑ์เสร็จ ","")</f>
        <v/>
      </c>
    </row>
    <row r="68" customFormat="false" ht="23.85" hidden="false" customHeight="false" outlineLevel="0" collapsed="false">
      <c r="A68" s="311" t="s">
        <v>332</v>
      </c>
      <c r="B68" s="312" t="n">
        <v>3</v>
      </c>
      <c r="C68" s="312" t="s">
        <v>573</v>
      </c>
      <c r="D68" s="138" t="s">
        <v>2748</v>
      </c>
      <c r="E68" s="312" t="n">
        <v>2</v>
      </c>
      <c r="F68" s="312"/>
      <c r="G68" s="312" t="s">
        <v>784</v>
      </c>
      <c r="H68" s="138" t="s">
        <v>2749</v>
      </c>
      <c r="I68" s="138"/>
      <c r="J68" s="138" t="s">
        <v>2750</v>
      </c>
      <c r="K68" s="311" t="s">
        <v>211</v>
      </c>
      <c r="L68" s="138"/>
      <c r="M68" s="312"/>
      <c r="N68" s="138"/>
      <c r="O68" s="312" t="s">
        <v>1734</v>
      </c>
      <c r="P68" s="312" t="s">
        <v>2426</v>
      </c>
      <c r="Q68" s="312"/>
      <c r="R68" s="312"/>
      <c r="S68" s="138"/>
      <c r="T68" s="131" t="s">
        <v>781</v>
      </c>
      <c r="U68" s="312"/>
      <c r="V68" s="311" t="s">
        <v>2428</v>
      </c>
      <c r="W68" s="138"/>
      <c r="X68" s="311" t="str">
        <f aca="false">IF(O68="","ไม่มีผู้ทำ (R) ","")&amp;IF(P68="","ไม่มีผู้อนุมัติ (A) ","")&amp;IF(AND(S68="",T68=""),"ไม่มีแบบ/มาตรฐาน ","")&amp;IF(AND(C68="งาน",J68=""),"ไม่มีเกณฑ์เสร็จ ","")</f>
        <v/>
      </c>
    </row>
    <row r="69" customFormat="false" ht="23.85" hidden="false" customHeight="false" outlineLevel="0" collapsed="false">
      <c r="A69" s="311" t="s">
        <v>335</v>
      </c>
      <c r="B69" s="312" t="n">
        <v>3</v>
      </c>
      <c r="C69" s="312" t="s">
        <v>573</v>
      </c>
      <c r="D69" s="138" t="s">
        <v>2751</v>
      </c>
      <c r="E69" s="312" t="n">
        <v>1</v>
      </c>
      <c r="F69" s="312"/>
      <c r="G69" s="312" t="s">
        <v>784</v>
      </c>
      <c r="H69" s="131" t="s">
        <v>2752</v>
      </c>
      <c r="I69" s="138"/>
      <c r="J69" s="131" t="s">
        <v>2753</v>
      </c>
      <c r="K69" s="311" t="s">
        <v>211</v>
      </c>
      <c r="L69" s="138"/>
      <c r="M69" s="312"/>
      <c r="N69" s="138"/>
      <c r="O69" s="312" t="s">
        <v>1734</v>
      </c>
      <c r="P69" s="312" t="s">
        <v>2426</v>
      </c>
      <c r="Q69" s="312"/>
      <c r="R69" s="312"/>
      <c r="S69" s="131" t="s">
        <v>2754</v>
      </c>
      <c r="T69" s="131" t="s">
        <v>2755</v>
      </c>
      <c r="U69" s="312"/>
      <c r="V69" s="311" t="s">
        <v>2428</v>
      </c>
      <c r="W69" s="138"/>
      <c r="X69" s="311" t="str">
        <f aca="false">IF(O69="","ไม่มีผู้ทำ (R) ","")&amp;IF(P69="","ไม่มีผู้อนุมัติ (A) ","")&amp;IF(AND(S69="",T69=""),"ไม่มีแบบ/มาตรฐาน ","")&amp;IF(AND(C69="งาน",J69=""),"ไม่มีเกณฑ์เสร็จ ","")</f>
        <v/>
      </c>
    </row>
    <row r="70" customFormat="false" ht="23.85" hidden="false" customHeight="false" outlineLevel="0" collapsed="false">
      <c r="A70" s="311" t="s">
        <v>338</v>
      </c>
      <c r="B70" s="312" t="n">
        <v>3</v>
      </c>
      <c r="C70" s="312" t="s">
        <v>573</v>
      </c>
      <c r="D70" s="131" t="s">
        <v>2756</v>
      </c>
      <c r="E70" s="312" t="n">
        <v>1</v>
      </c>
      <c r="F70" s="312"/>
      <c r="G70" s="312" t="s">
        <v>784</v>
      </c>
      <c r="H70" s="138" t="s">
        <v>2757</v>
      </c>
      <c r="I70" s="138"/>
      <c r="J70" s="138" t="s">
        <v>2758</v>
      </c>
      <c r="K70" s="311" t="s">
        <v>211</v>
      </c>
      <c r="L70" s="138"/>
      <c r="M70" s="312"/>
      <c r="N70" s="138" t="s">
        <v>2440</v>
      </c>
      <c r="O70" s="312" t="s">
        <v>1734</v>
      </c>
      <c r="P70" s="312" t="s">
        <v>2426</v>
      </c>
      <c r="Q70" s="312"/>
      <c r="R70" s="312"/>
      <c r="S70" s="131" t="s">
        <v>2759</v>
      </c>
      <c r="T70" s="131" t="s">
        <v>781</v>
      </c>
      <c r="U70" s="312"/>
      <c r="V70" s="311" t="s">
        <v>2428</v>
      </c>
      <c r="W70" s="138"/>
      <c r="X70" s="311" t="str">
        <f aca="false">IF(O70="","ไม่มีผู้ทำ (R) ","")&amp;IF(P70="","ไม่มีผู้อนุมัติ (A) ","")&amp;IF(AND(S70="",T70=""),"ไม่มีแบบ/มาตรฐาน ","")&amp;IF(AND(C70="งาน",J70=""),"ไม่มีเกณฑ์เสร็จ ","")</f>
        <v/>
      </c>
    </row>
    <row r="71" customFormat="false" ht="23.85" hidden="false" customHeight="false" outlineLevel="0" collapsed="false">
      <c r="A71" s="306" t="s">
        <v>1037</v>
      </c>
      <c r="B71" s="306" t="n">
        <v>2</v>
      </c>
      <c r="C71" s="307" t="s">
        <v>573</v>
      </c>
      <c r="D71" s="309" t="s">
        <v>1976</v>
      </c>
      <c r="E71" s="306" t="n">
        <v>20</v>
      </c>
      <c r="F71" s="306"/>
      <c r="G71" s="307" t="s">
        <v>784</v>
      </c>
      <c r="H71" s="308"/>
      <c r="I71" s="309" t="s">
        <v>2760</v>
      </c>
      <c r="J71" s="309" t="s">
        <v>2761</v>
      </c>
      <c r="K71" s="307" t="s">
        <v>2697</v>
      </c>
      <c r="L71" s="308"/>
      <c r="M71" s="307" t="s">
        <v>2762</v>
      </c>
      <c r="N71" s="308"/>
      <c r="O71" s="307" t="s">
        <v>1810</v>
      </c>
      <c r="P71" s="307" t="s">
        <v>2416</v>
      </c>
      <c r="Q71" s="306"/>
      <c r="R71" s="306"/>
      <c r="S71" s="308"/>
      <c r="T71" s="308" t="s">
        <v>2763</v>
      </c>
      <c r="U71" s="306" t="s">
        <v>2764</v>
      </c>
      <c r="V71" s="306" t="s">
        <v>2765</v>
      </c>
      <c r="W71" s="309" t="s">
        <v>2766</v>
      </c>
      <c r="X71" s="306" t="str">
        <f aca="false">IF(O71="","ไม่มีผู้ทำ (R) ","")&amp;IF(P71="","ไม่มีผู้อนุมัติ (A) ","")&amp;IF(SUMPRODUCT((LEFT($A$5:$A$128,LEN(A71)+1)=A71&amp;".")*1)=0,"",IF(ABS(SUMPRODUCT((LEFT($A$5:$A$128,LEN(A71)+1)=A71&amp;".")*($G$5:$G$128&lt;&gt;"LV")*$E$5:$E$128)-E71)&gt;0.001,"งานย่อยรวมไม่เท่างานแม่ (100%) ",""))&amp;IF(F71="","",IF(ABS(SUMPRODUCT((LEFT($A$5:$A$128,LEN(A71)+1)=A71&amp;".")*$F$5:$F$128)-F71)&gt;0.001,"≥ 200 kVA: งานย่อยรวมไม่เท่างานแม่ (100%) ",""))&amp;IF(J71="","ไม่มีเกณฑ์เสร็จ ","")</f>
        <v/>
      </c>
    </row>
    <row r="72" customFormat="false" ht="21.6" hidden="false" customHeight="false" outlineLevel="0" collapsed="false">
      <c r="A72" s="311" t="s">
        <v>341</v>
      </c>
      <c r="B72" s="312" t="n">
        <v>3</v>
      </c>
      <c r="C72" s="312" t="s">
        <v>573</v>
      </c>
      <c r="D72" s="138" t="s">
        <v>2767</v>
      </c>
      <c r="E72" s="312" t="n">
        <v>2</v>
      </c>
      <c r="F72" s="312"/>
      <c r="G72" s="312" t="s">
        <v>784</v>
      </c>
      <c r="H72" s="138" t="s">
        <v>2768</v>
      </c>
      <c r="I72" s="138"/>
      <c r="J72" s="138" t="s">
        <v>2769</v>
      </c>
      <c r="K72" s="311" t="s">
        <v>211</v>
      </c>
      <c r="L72" s="138"/>
      <c r="M72" s="312"/>
      <c r="N72" s="138"/>
      <c r="O72" s="312" t="s">
        <v>1734</v>
      </c>
      <c r="P72" s="312" t="s">
        <v>2426</v>
      </c>
      <c r="Q72" s="312"/>
      <c r="R72" s="312"/>
      <c r="S72" s="131" t="s">
        <v>2770</v>
      </c>
      <c r="T72" s="138"/>
      <c r="U72" s="312"/>
      <c r="V72" s="311" t="s">
        <v>2428</v>
      </c>
      <c r="W72" s="138"/>
      <c r="X72" s="311" t="str">
        <f aca="false">IF(O72="","ไม่มีผู้ทำ (R) ","")&amp;IF(P72="","ไม่มีผู้อนุมัติ (A) ","")&amp;IF(AND(S72="",T72=""),"ไม่มีแบบ/มาตรฐาน ","")&amp;IF(AND(C72="งาน",J72=""),"ไม่มีเกณฑ์เสร็จ ","")</f>
        <v/>
      </c>
    </row>
    <row r="73" customFormat="false" ht="15" hidden="false" customHeight="false" outlineLevel="0" collapsed="false">
      <c r="A73" s="311" t="s">
        <v>344</v>
      </c>
      <c r="B73" s="312" t="n">
        <v>3</v>
      </c>
      <c r="C73" s="312" t="s">
        <v>573</v>
      </c>
      <c r="D73" s="138" t="s">
        <v>2771</v>
      </c>
      <c r="E73" s="312" t="n">
        <v>12</v>
      </c>
      <c r="F73" s="312"/>
      <c r="G73" s="312" t="s">
        <v>784</v>
      </c>
      <c r="H73" s="138" t="s">
        <v>2772</v>
      </c>
      <c r="I73" s="138"/>
      <c r="J73" s="138" t="s">
        <v>2773</v>
      </c>
      <c r="K73" s="311" t="s">
        <v>2716</v>
      </c>
      <c r="L73" s="138"/>
      <c r="M73" s="312"/>
      <c r="N73" s="138"/>
      <c r="O73" s="312" t="s">
        <v>1734</v>
      </c>
      <c r="P73" s="312" t="s">
        <v>2426</v>
      </c>
      <c r="Q73" s="312"/>
      <c r="R73" s="312"/>
      <c r="S73" s="138"/>
      <c r="T73" s="131" t="s">
        <v>2774</v>
      </c>
      <c r="U73" s="312"/>
      <c r="V73" s="311" t="s">
        <v>2428</v>
      </c>
      <c r="W73" s="138"/>
      <c r="X73" s="311" t="str">
        <f aca="false">IF(O73="","ไม่มีผู้ทำ (R) ","")&amp;IF(P73="","ไม่มีผู้อนุมัติ (A) ","")&amp;IF(AND(S73="",T73=""),"ไม่มีแบบ/มาตรฐาน ","")&amp;IF(AND(C73="งาน",J73=""),"ไม่มีเกณฑ์เสร็จ ","")</f>
        <v/>
      </c>
    </row>
    <row r="74" customFormat="false" ht="21.6" hidden="false" customHeight="false" outlineLevel="0" collapsed="false">
      <c r="A74" s="311" t="s">
        <v>347</v>
      </c>
      <c r="B74" s="312" t="n">
        <v>3</v>
      </c>
      <c r="C74" s="312" t="s">
        <v>573</v>
      </c>
      <c r="D74" s="131" t="s">
        <v>2775</v>
      </c>
      <c r="E74" s="312" t="n">
        <v>4</v>
      </c>
      <c r="F74" s="312"/>
      <c r="G74" s="312" t="s">
        <v>784</v>
      </c>
      <c r="H74" s="138" t="s">
        <v>2776</v>
      </c>
      <c r="I74" s="138"/>
      <c r="J74" s="138" t="s">
        <v>2777</v>
      </c>
      <c r="K74" s="311" t="s">
        <v>2716</v>
      </c>
      <c r="L74" s="138"/>
      <c r="M74" s="312"/>
      <c r="N74" s="138"/>
      <c r="O74" s="312" t="s">
        <v>1734</v>
      </c>
      <c r="P74" s="312" t="s">
        <v>2426</v>
      </c>
      <c r="Q74" s="312"/>
      <c r="R74" s="312"/>
      <c r="S74" s="131" t="s">
        <v>2778</v>
      </c>
      <c r="T74" s="138"/>
      <c r="U74" s="312"/>
      <c r="V74" s="311" t="s">
        <v>2428</v>
      </c>
      <c r="W74" s="138"/>
      <c r="X74" s="311" t="str">
        <f aca="false">IF(O74="","ไม่มีผู้ทำ (R) ","")&amp;IF(P74="","ไม่มีผู้อนุมัติ (A) ","")&amp;IF(AND(S74="",T74=""),"ไม่มีแบบ/มาตรฐาน ","")&amp;IF(AND(C74="งาน",J74=""),"ไม่มีเกณฑ์เสร็จ ","")</f>
        <v/>
      </c>
    </row>
    <row r="75" customFormat="false" ht="15" hidden="false" customHeight="false" outlineLevel="0" collapsed="false">
      <c r="A75" s="311" t="s">
        <v>350</v>
      </c>
      <c r="B75" s="312" t="n">
        <v>3</v>
      </c>
      <c r="C75" s="312" t="s">
        <v>573</v>
      </c>
      <c r="D75" s="131" t="s">
        <v>2779</v>
      </c>
      <c r="E75" s="312" t="n">
        <v>1</v>
      </c>
      <c r="F75" s="312"/>
      <c r="G75" s="312" t="s">
        <v>784</v>
      </c>
      <c r="H75" s="138" t="s">
        <v>2780</v>
      </c>
      <c r="I75" s="138"/>
      <c r="J75" s="138" t="s">
        <v>2781</v>
      </c>
      <c r="K75" s="311" t="s">
        <v>211</v>
      </c>
      <c r="L75" s="138"/>
      <c r="M75" s="312"/>
      <c r="N75" s="138" t="s">
        <v>2782</v>
      </c>
      <c r="O75" s="312" t="s">
        <v>1734</v>
      </c>
      <c r="P75" s="312" t="s">
        <v>2426</v>
      </c>
      <c r="Q75" s="312"/>
      <c r="R75" s="312"/>
      <c r="S75" s="138" t="s">
        <v>2783</v>
      </c>
      <c r="T75" s="138"/>
      <c r="U75" s="312"/>
      <c r="V75" s="311" t="s">
        <v>2428</v>
      </c>
      <c r="W75" s="138"/>
      <c r="X75" s="311" t="str">
        <f aca="false">IF(O75="","ไม่มีผู้ทำ (R) ","")&amp;IF(P75="","ไม่มีผู้อนุมัติ (A) ","")&amp;IF(AND(S75="",T75=""),"ไม่มีแบบ/มาตรฐาน ","")&amp;IF(AND(C75="งาน",J75=""),"ไม่มีเกณฑ์เสร็จ ","")</f>
        <v/>
      </c>
    </row>
    <row r="76" customFormat="false" ht="23.85" hidden="false" customHeight="false" outlineLevel="0" collapsed="false">
      <c r="A76" s="311" t="s">
        <v>353</v>
      </c>
      <c r="B76" s="312" t="n">
        <v>3</v>
      </c>
      <c r="C76" s="312" t="s">
        <v>573</v>
      </c>
      <c r="D76" s="131" t="s">
        <v>2784</v>
      </c>
      <c r="E76" s="312" t="n">
        <v>1</v>
      </c>
      <c r="F76" s="312"/>
      <c r="G76" s="312" t="s">
        <v>784</v>
      </c>
      <c r="H76" s="131" t="s">
        <v>2785</v>
      </c>
      <c r="I76" s="138"/>
      <c r="J76" s="138" t="s">
        <v>2786</v>
      </c>
      <c r="K76" s="311" t="s">
        <v>211</v>
      </c>
      <c r="L76" s="138"/>
      <c r="M76" s="312"/>
      <c r="N76" s="138" t="s">
        <v>2440</v>
      </c>
      <c r="O76" s="312" t="s">
        <v>1734</v>
      </c>
      <c r="P76" s="312" t="s">
        <v>2426</v>
      </c>
      <c r="Q76" s="312"/>
      <c r="R76" s="312"/>
      <c r="S76" s="138"/>
      <c r="T76" s="131" t="s">
        <v>2722</v>
      </c>
      <c r="U76" s="312"/>
      <c r="V76" s="311" t="s">
        <v>2428</v>
      </c>
      <c r="W76" s="138"/>
      <c r="X76" s="311" t="str">
        <f aca="false">IF(O76="","ไม่มีผู้ทำ (R) ","")&amp;IF(P76="","ไม่มีผู้อนุมัติ (A) ","")&amp;IF(AND(S76="",T76=""),"ไม่มีแบบ/มาตรฐาน ","")&amp;IF(AND(C76="งาน",J76=""),"ไม่มีเกณฑ์เสร็จ ","")</f>
        <v/>
      </c>
    </row>
    <row r="77" customFormat="false" ht="23.85" hidden="false" customHeight="false" outlineLevel="0" collapsed="false">
      <c r="A77" s="306" t="s">
        <v>1063</v>
      </c>
      <c r="B77" s="306" t="n">
        <v>2</v>
      </c>
      <c r="C77" s="307" t="s">
        <v>573</v>
      </c>
      <c r="D77" s="309" t="s">
        <v>2787</v>
      </c>
      <c r="E77" s="306" t="n">
        <v>2.5</v>
      </c>
      <c r="F77" s="306"/>
      <c r="G77" s="307" t="s">
        <v>784</v>
      </c>
      <c r="H77" s="308"/>
      <c r="I77" s="309" t="s">
        <v>2788</v>
      </c>
      <c r="J77" s="309" t="s">
        <v>2789</v>
      </c>
      <c r="K77" s="306" t="s">
        <v>211</v>
      </c>
      <c r="L77" s="308"/>
      <c r="M77" s="306"/>
      <c r="N77" s="308"/>
      <c r="O77" s="307" t="s">
        <v>1810</v>
      </c>
      <c r="P77" s="307" t="s">
        <v>2416</v>
      </c>
      <c r="Q77" s="306"/>
      <c r="R77" s="306"/>
      <c r="S77" s="309" t="s">
        <v>2790</v>
      </c>
      <c r="T77" s="308" t="s">
        <v>788</v>
      </c>
      <c r="U77" s="306" t="s">
        <v>2791</v>
      </c>
      <c r="V77" s="306" t="s">
        <v>152</v>
      </c>
      <c r="W77" s="309" t="s">
        <v>2792</v>
      </c>
      <c r="X77" s="306" t="str">
        <f aca="false">IF(O77="","ไม่มีผู้ทำ (R) ","")&amp;IF(P77="","ไม่มีผู้อนุมัติ (A) ","")&amp;IF(SUMPRODUCT((LEFT($A$5:$A$128,LEN(A77)+1)=A77&amp;".")*1)=0,"",IF(ABS(SUMPRODUCT((LEFT($A$5:$A$128,LEN(A77)+1)=A77&amp;".")*($G$5:$G$128&lt;&gt;"LV")*$E$5:$E$128)-E77)&gt;0.001,"งานย่อยรวมไม่เท่างานแม่ (100%) ",""))&amp;IF(F77="","",IF(ABS(SUMPRODUCT((LEFT($A$5:$A$128,LEN(A77)+1)=A77&amp;".")*$F$5:$F$128)-F77)&gt;0.001,"≥ 200 kVA: งานย่อยรวมไม่เท่างานแม่ (100%) ",""))&amp;IF(J77="","ไม่มีเกณฑ์เสร็จ ","")</f>
        <v/>
      </c>
    </row>
    <row r="78" customFormat="false" ht="15" hidden="false" customHeight="false" outlineLevel="0" collapsed="false">
      <c r="A78" s="311" t="s">
        <v>356</v>
      </c>
      <c r="B78" s="312" t="n">
        <v>3</v>
      </c>
      <c r="C78" s="312" t="s">
        <v>573</v>
      </c>
      <c r="D78" s="138" t="s">
        <v>2793</v>
      </c>
      <c r="E78" s="312" t="n">
        <v>1.5</v>
      </c>
      <c r="F78" s="312"/>
      <c r="G78" s="312" t="s">
        <v>784</v>
      </c>
      <c r="H78" s="138" t="s">
        <v>2794</v>
      </c>
      <c r="I78" s="138"/>
      <c r="J78" s="138" t="s">
        <v>2795</v>
      </c>
      <c r="K78" s="311" t="s">
        <v>211</v>
      </c>
      <c r="L78" s="138"/>
      <c r="M78" s="312"/>
      <c r="N78" s="138"/>
      <c r="O78" s="312" t="s">
        <v>1734</v>
      </c>
      <c r="P78" s="312" t="s">
        <v>2426</v>
      </c>
      <c r="Q78" s="312"/>
      <c r="R78" s="312"/>
      <c r="S78" s="138"/>
      <c r="T78" s="131" t="s">
        <v>788</v>
      </c>
      <c r="U78" s="312"/>
      <c r="V78" s="311" t="s">
        <v>2428</v>
      </c>
      <c r="W78" s="138"/>
      <c r="X78" s="311" t="str">
        <f aca="false">IF(O78="","ไม่มีผู้ทำ (R) ","")&amp;IF(P78="","ไม่มีผู้อนุมัติ (A) ","")&amp;IF(AND(S78="",T78=""),"ไม่มีแบบ/มาตรฐาน ","")&amp;IF(AND(C78="งาน",J78=""),"ไม่มีเกณฑ์เสร็จ ","")</f>
        <v/>
      </c>
    </row>
    <row r="79" customFormat="false" ht="15" hidden="false" customHeight="false" outlineLevel="0" collapsed="false">
      <c r="A79" s="311" t="s">
        <v>359</v>
      </c>
      <c r="B79" s="312" t="n">
        <v>3</v>
      </c>
      <c r="C79" s="312" t="s">
        <v>573</v>
      </c>
      <c r="D79" s="138" t="s">
        <v>2796</v>
      </c>
      <c r="E79" s="312" t="n">
        <v>1</v>
      </c>
      <c r="F79" s="312"/>
      <c r="G79" s="312" t="s">
        <v>784</v>
      </c>
      <c r="H79" s="138" t="s">
        <v>2797</v>
      </c>
      <c r="I79" s="138"/>
      <c r="J79" s="138" t="s">
        <v>2798</v>
      </c>
      <c r="K79" s="311" t="s">
        <v>211</v>
      </c>
      <c r="L79" s="138"/>
      <c r="M79" s="312"/>
      <c r="N79" s="138"/>
      <c r="O79" s="312" t="s">
        <v>1734</v>
      </c>
      <c r="P79" s="312" t="s">
        <v>2426</v>
      </c>
      <c r="Q79" s="312"/>
      <c r="R79" s="312"/>
      <c r="S79" s="138"/>
      <c r="T79" s="131" t="s">
        <v>788</v>
      </c>
      <c r="U79" s="312"/>
      <c r="V79" s="311" t="s">
        <v>2428</v>
      </c>
      <c r="W79" s="138"/>
      <c r="X79" s="311" t="str">
        <f aca="false">IF(O79="","ไม่มีผู้ทำ (R) ","")&amp;IF(P79="","ไม่มีผู้อนุมัติ (A) ","")&amp;IF(AND(S79="",T79=""),"ไม่มีแบบ/มาตรฐาน ","")&amp;IF(AND(C79="งาน",J79=""),"ไม่มีเกณฑ์เสร็จ ","")</f>
        <v/>
      </c>
    </row>
    <row r="80" customFormat="false" ht="23.85" hidden="false" customHeight="false" outlineLevel="0" collapsed="false">
      <c r="A80" s="306" t="s">
        <v>1079</v>
      </c>
      <c r="B80" s="306" t="n">
        <v>2</v>
      </c>
      <c r="C80" s="307" t="s">
        <v>573</v>
      </c>
      <c r="D80" s="309" t="s">
        <v>2799</v>
      </c>
      <c r="E80" s="306" t="n">
        <v>15</v>
      </c>
      <c r="F80" s="306"/>
      <c r="G80" s="307" t="s">
        <v>784</v>
      </c>
      <c r="H80" s="308"/>
      <c r="I80" s="309" t="s">
        <v>2800</v>
      </c>
      <c r="J80" s="308" t="s">
        <v>2801</v>
      </c>
      <c r="K80" s="306" t="s">
        <v>211</v>
      </c>
      <c r="L80" s="308"/>
      <c r="M80" s="306" t="s">
        <v>2802</v>
      </c>
      <c r="N80" s="308"/>
      <c r="O80" s="307" t="s">
        <v>1810</v>
      </c>
      <c r="P80" s="307" t="s">
        <v>2416</v>
      </c>
      <c r="Q80" s="306"/>
      <c r="R80" s="306"/>
      <c r="S80" s="308"/>
      <c r="T80" s="308" t="s">
        <v>2803</v>
      </c>
      <c r="U80" s="306" t="s">
        <v>2804</v>
      </c>
      <c r="V80" s="306" t="s">
        <v>153</v>
      </c>
      <c r="W80" s="309" t="s">
        <v>2805</v>
      </c>
      <c r="X80" s="306" t="str">
        <f aca="false">IF(O80="","ไม่มีผู้ทำ (R) ","")&amp;IF(P80="","ไม่มีผู้อนุมัติ (A) ","")&amp;IF(SUMPRODUCT((LEFT($A$5:$A$128,LEN(A80)+1)=A80&amp;".")*1)=0,"",IF(ABS(SUMPRODUCT((LEFT($A$5:$A$128,LEN(A80)+1)=A80&amp;".")*($G$5:$G$128&lt;&gt;"LV")*$E$5:$E$128)-E80)&gt;0.001,"งานย่อยรวมไม่เท่างานแม่ (100%) ",""))&amp;IF(F80="","",IF(ABS(SUMPRODUCT((LEFT($A$5:$A$128,LEN(A80)+1)=A80&amp;".")*$F$5:$F$128)-F80)&gt;0.001,"≥ 200 kVA: งานย่อยรวมไม่เท่างานแม่ (100%) ",""))&amp;IF(J80="","ไม่มีเกณฑ์เสร็จ ","")</f>
        <v/>
      </c>
    </row>
    <row r="81" customFormat="false" ht="23.85" hidden="false" customHeight="false" outlineLevel="0" collapsed="false">
      <c r="A81" s="311" t="s">
        <v>362</v>
      </c>
      <c r="B81" s="312" t="n">
        <v>3</v>
      </c>
      <c r="C81" s="312" t="s">
        <v>573</v>
      </c>
      <c r="D81" s="131" t="s">
        <v>2806</v>
      </c>
      <c r="E81" s="312" t="n">
        <v>5</v>
      </c>
      <c r="F81" s="312"/>
      <c r="G81" s="312" t="s">
        <v>784</v>
      </c>
      <c r="H81" s="138" t="s">
        <v>2807</v>
      </c>
      <c r="I81" s="138"/>
      <c r="J81" s="131" t="s">
        <v>2808</v>
      </c>
      <c r="K81" s="311" t="s">
        <v>211</v>
      </c>
      <c r="L81" s="138"/>
      <c r="M81" s="312"/>
      <c r="N81" s="138"/>
      <c r="O81" s="312" t="s">
        <v>1734</v>
      </c>
      <c r="P81" s="312" t="s">
        <v>2426</v>
      </c>
      <c r="Q81" s="312"/>
      <c r="R81" s="312"/>
      <c r="S81" s="138" t="s">
        <v>2809</v>
      </c>
      <c r="T81" s="131" t="s">
        <v>2810</v>
      </c>
      <c r="U81" s="312"/>
      <c r="V81" s="311" t="s">
        <v>2428</v>
      </c>
      <c r="W81" s="138"/>
      <c r="X81" s="311" t="str">
        <f aca="false">IF(O81="","ไม่มีผู้ทำ (R) ","")&amp;IF(P81="","ไม่มีผู้อนุมัติ (A) ","")&amp;IF(AND(S81="",T81=""),"ไม่มีแบบ/มาตรฐาน ","")&amp;IF(AND(C81="งาน",J81=""),"ไม่มีเกณฑ์เสร็จ ","")</f>
        <v/>
      </c>
    </row>
    <row r="82" customFormat="false" ht="15" hidden="false" customHeight="false" outlineLevel="0" collapsed="false">
      <c r="A82" s="311" t="s">
        <v>366</v>
      </c>
      <c r="B82" s="312" t="n">
        <v>3</v>
      </c>
      <c r="C82" s="312" t="s">
        <v>573</v>
      </c>
      <c r="D82" s="131" t="s">
        <v>2811</v>
      </c>
      <c r="E82" s="312" t="n">
        <v>6.5</v>
      </c>
      <c r="F82" s="312"/>
      <c r="G82" s="312" t="s">
        <v>784</v>
      </c>
      <c r="H82" s="138" t="s">
        <v>2812</v>
      </c>
      <c r="I82" s="138"/>
      <c r="J82" s="131" t="s">
        <v>2813</v>
      </c>
      <c r="K82" s="311" t="s">
        <v>2814</v>
      </c>
      <c r="L82" s="138"/>
      <c r="M82" s="312"/>
      <c r="N82" s="138" t="s">
        <v>2815</v>
      </c>
      <c r="O82" s="312" t="s">
        <v>1734</v>
      </c>
      <c r="P82" s="312" t="s">
        <v>2426</v>
      </c>
      <c r="Q82" s="312"/>
      <c r="R82" s="312"/>
      <c r="S82" s="138" t="s">
        <v>2816</v>
      </c>
      <c r="T82" s="131" t="s">
        <v>2810</v>
      </c>
      <c r="U82" s="312"/>
      <c r="V82" s="311" t="s">
        <v>2428</v>
      </c>
      <c r="W82" s="138"/>
      <c r="X82" s="311" t="str">
        <f aca="false">IF(O82="","ไม่มีผู้ทำ (R) ","")&amp;IF(P82="","ไม่มีผู้อนุมัติ (A) ","")&amp;IF(AND(S82="",T82=""),"ไม่มีแบบ/มาตรฐาน ","")&amp;IF(AND(C82="งาน",J82=""),"ไม่มีเกณฑ์เสร็จ ","")</f>
        <v/>
      </c>
    </row>
    <row r="83" customFormat="false" ht="15" hidden="false" customHeight="false" outlineLevel="0" collapsed="false">
      <c r="A83" s="311" t="s">
        <v>370</v>
      </c>
      <c r="B83" s="312" t="n">
        <v>3</v>
      </c>
      <c r="C83" s="312" t="s">
        <v>573</v>
      </c>
      <c r="D83" s="138" t="s">
        <v>2817</v>
      </c>
      <c r="E83" s="312" t="n">
        <v>2.5</v>
      </c>
      <c r="F83" s="312"/>
      <c r="G83" s="312" t="s">
        <v>784</v>
      </c>
      <c r="H83" s="138" t="s">
        <v>2818</v>
      </c>
      <c r="I83" s="138"/>
      <c r="J83" s="138" t="s">
        <v>2819</v>
      </c>
      <c r="K83" s="311" t="s">
        <v>211</v>
      </c>
      <c r="L83" s="138"/>
      <c r="M83" s="312"/>
      <c r="N83" s="138"/>
      <c r="O83" s="312" t="s">
        <v>1734</v>
      </c>
      <c r="P83" s="312" t="s">
        <v>2426</v>
      </c>
      <c r="Q83" s="312"/>
      <c r="R83" s="312"/>
      <c r="S83" s="131" t="s">
        <v>2820</v>
      </c>
      <c r="T83" s="131" t="s">
        <v>2810</v>
      </c>
      <c r="U83" s="312"/>
      <c r="V83" s="311" t="s">
        <v>2428</v>
      </c>
      <c r="W83" s="138"/>
      <c r="X83" s="311" t="str">
        <f aca="false">IF(O83="","ไม่มีผู้ทำ (R) ","")&amp;IF(P83="","ไม่มีผู้อนุมัติ (A) ","")&amp;IF(AND(S83="",T83=""),"ไม่มีแบบ/มาตรฐาน ","")&amp;IF(AND(C83="งาน",J83=""),"ไม่มีเกณฑ์เสร็จ ","")</f>
        <v/>
      </c>
    </row>
    <row r="84" customFormat="false" ht="23.85" hidden="false" customHeight="false" outlineLevel="0" collapsed="false">
      <c r="A84" s="311" t="s">
        <v>373</v>
      </c>
      <c r="B84" s="312" t="n">
        <v>3</v>
      </c>
      <c r="C84" s="312" t="s">
        <v>573</v>
      </c>
      <c r="D84" s="131" t="s">
        <v>374</v>
      </c>
      <c r="E84" s="312" t="n">
        <v>1</v>
      </c>
      <c r="F84" s="312"/>
      <c r="G84" s="312" t="s">
        <v>784</v>
      </c>
      <c r="H84" s="131" t="s">
        <v>2821</v>
      </c>
      <c r="I84" s="138"/>
      <c r="J84" s="138" t="s">
        <v>2822</v>
      </c>
      <c r="K84" s="311" t="s">
        <v>211</v>
      </c>
      <c r="L84" s="138"/>
      <c r="M84" s="312"/>
      <c r="N84" s="138" t="s">
        <v>2440</v>
      </c>
      <c r="O84" s="312" t="s">
        <v>1734</v>
      </c>
      <c r="P84" s="312" t="s">
        <v>2426</v>
      </c>
      <c r="Q84" s="312"/>
      <c r="R84" s="312"/>
      <c r="S84" s="138" t="s">
        <v>2823</v>
      </c>
      <c r="T84" s="138"/>
      <c r="U84" s="312"/>
      <c r="V84" s="311" t="s">
        <v>2428</v>
      </c>
      <c r="W84" s="138"/>
      <c r="X84" s="311" t="str">
        <f aca="false">IF(O84="","ไม่มีผู้ทำ (R) ","")&amp;IF(P84="","ไม่มีผู้อนุมัติ (A) ","")&amp;IF(AND(S84="",T84=""),"ไม่มีแบบ/มาตรฐาน ","")&amp;IF(AND(C84="งาน",J84=""),"ไม่มีเกณฑ์เสร็จ ","")</f>
        <v/>
      </c>
    </row>
    <row r="85" customFormat="false" ht="35.05" hidden="false" customHeight="false" outlineLevel="0" collapsed="false">
      <c r="A85" s="306" t="s">
        <v>1113</v>
      </c>
      <c r="B85" s="306" t="n">
        <v>2</v>
      </c>
      <c r="C85" s="307" t="s">
        <v>573</v>
      </c>
      <c r="D85" s="309" t="s">
        <v>2824</v>
      </c>
      <c r="E85" s="306" t="n">
        <v>10</v>
      </c>
      <c r="F85" s="306"/>
      <c r="G85" s="307" t="s">
        <v>784</v>
      </c>
      <c r="H85" s="308"/>
      <c r="I85" s="309" t="s">
        <v>2825</v>
      </c>
      <c r="J85" s="309" t="s">
        <v>2826</v>
      </c>
      <c r="K85" s="306" t="s">
        <v>211</v>
      </c>
      <c r="L85" s="308"/>
      <c r="M85" s="307" t="s">
        <v>2827</v>
      </c>
      <c r="N85" s="308"/>
      <c r="O85" s="307" t="s">
        <v>1810</v>
      </c>
      <c r="P85" s="307" t="s">
        <v>2416</v>
      </c>
      <c r="Q85" s="306"/>
      <c r="R85" s="306"/>
      <c r="S85" s="308"/>
      <c r="T85" s="308" t="s">
        <v>2828</v>
      </c>
      <c r="U85" s="306" t="s">
        <v>2829</v>
      </c>
      <c r="V85" s="306" t="s">
        <v>154</v>
      </c>
      <c r="W85" s="309" t="s">
        <v>2830</v>
      </c>
      <c r="X85" s="306" t="str">
        <f aca="false">IF(O85="","ไม่มีผู้ทำ (R) ","")&amp;IF(P85="","ไม่มีผู้อนุมัติ (A) ","")&amp;IF(SUMPRODUCT((LEFT($A$5:$A$128,LEN(A85)+1)=A85&amp;".")*1)=0,"",IF(ABS(SUMPRODUCT((LEFT($A$5:$A$128,LEN(A85)+1)=A85&amp;".")*($G$5:$G$128&lt;&gt;"LV")*$E$5:$E$128)-E85)&gt;0.001,"งานย่อยรวมไม่เท่างานแม่ (100%) ",""))&amp;IF(F85="","",IF(ABS(SUMPRODUCT((LEFT($A$5:$A$128,LEN(A85)+1)=A85&amp;".")*$F$5:$F$128)-F85)&gt;0.001,"≥ 200 kVA: งานย่อยรวมไม่เท่างานแม่ (100%) ",""))&amp;IF(J85="","ไม่มีเกณฑ์เสร็จ ","")</f>
        <v/>
      </c>
    </row>
    <row r="86" customFormat="false" ht="23.85" hidden="false" customHeight="false" outlineLevel="0" collapsed="false">
      <c r="A86" s="311" t="s">
        <v>376</v>
      </c>
      <c r="B86" s="312" t="n">
        <v>3</v>
      </c>
      <c r="C86" s="312" t="s">
        <v>573</v>
      </c>
      <c r="D86" s="138" t="s">
        <v>2831</v>
      </c>
      <c r="E86" s="312" t="n">
        <v>4</v>
      </c>
      <c r="F86" s="312"/>
      <c r="G86" s="312" t="s">
        <v>784</v>
      </c>
      <c r="H86" s="138" t="s">
        <v>2832</v>
      </c>
      <c r="I86" s="138"/>
      <c r="J86" s="138" t="s">
        <v>2833</v>
      </c>
      <c r="K86" s="311" t="s">
        <v>2814</v>
      </c>
      <c r="L86" s="138"/>
      <c r="M86" s="312"/>
      <c r="N86" s="138"/>
      <c r="O86" s="312" t="s">
        <v>1734</v>
      </c>
      <c r="P86" s="312" t="s">
        <v>2426</v>
      </c>
      <c r="Q86" s="312"/>
      <c r="R86" s="312"/>
      <c r="S86" s="131" t="s">
        <v>2834</v>
      </c>
      <c r="T86" s="131" t="s">
        <v>2835</v>
      </c>
      <c r="U86" s="312"/>
      <c r="V86" s="311" t="s">
        <v>2428</v>
      </c>
      <c r="W86" s="138"/>
      <c r="X86" s="311" t="str">
        <f aca="false">IF(O86="","ไม่มีผู้ทำ (R) ","")&amp;IF(P86="","ไม่มีผู้อนุมัติ (A) ","")&amp;IF(AND(S86="",T86=""),"ไม่มีแบบ/มาตรฐาน ","")&amp;IF(AND(C86="งาน",J86=""),"ไม่มีเกณฑ์เสร็จ ","")</f>
        <v/>
      </c>
    </row>
    <row r="87" customFormat="false" ht="23.85" hidden="false" customHeight="false" outlineLevel="0" collapsed="false">
      <c r="A87" s="311" t="s">
        <v>379</v>
      </c>
      <c r="B87" s="312" t="n">
        <v>3</v>
      </c>
      <c r="C87" s="312" t="s">
        <v>573</v>
      </c>
      <c r="D87" s="131" t="s">
        <v>2836</v>
      </c>
      <c r="E87" s="312" t="n">
        <v>1.5</v>
      </c>
      <c r="F87" s="312"/>
      <c r="G87" s="312" t="s">
        <v>784</v>
      </c>
      <c r="H87" s="138" t="s">
        <v>2837</v>
      </c>
      <c r="I87" s="138"/>
      <c r="J87" s="131" t="s">
        <v>2838</v>
      </c>
      <c r="K87" s="311" t="s">
        <v>211</v>
      </c>
      <c r="L87" s="138"/>
      <c r="M87" s="312"/>
      <c r="N87" s="138"/>
      <c r="O87" s="312" t="s">
        <v>1734</v>
      </c>
      <c r="P87" s="312" t="s">
        <v>2426</v>
      </c>
      <c r="Q87" s="312"/>
      <c r="R87" s="311" t="s">
        <v>2839</v>
      </c>
      <c r="S87" s="131" t="s">
        <v>2840</v>
      </c>
      <c r="T87" s="138"/>
      <c r="U87" s="312"/>
      <c r="V87" s="311" t="s">
        <v>2428</v>
      </c>
      <c r="W87" s="138"/>
      <c r="X87" s="311" t="str">
        <f aca="false">IF(O87="","ไม่มีผู้ทำ (R) ","")&amp;IF(P87="","ไม่มีผู้อนุมัติ (A) ","")&amp;IF(AND(S87="",T87=""),"ไม่มีแบบ/มาตรฐาน ","")&amp;IF(AND(C87="งาน",J87=""),"ไม่มีเกณฑ์เสร็จ ","")</f>
        <v/>
      </c>
    </row>
    <row r="88" customFormat="false" ht="15" hidden="false" customHeight="false" outlineLevel="0" collapsed="false">
      <c r="A88" s="311" t="s">
        <v>382</v>
      </c>
      <c r="B88" s="312" t="n">
        <v>3</v>
      </c>
      <c r="C88" s="312" t="s">
        <v>573</v>
      </c>
      <c r="D88" s="138" t="s">
        <v>2841</v>
      </c>
      <c r="E88" s="312" t="n">
        <v>3</v>
      </c>
      <c r="F88" s="312"/>
      <c r="G88" s="312" t="s">
        <v>784</v>
      </c>
      <c r="H88" s="138" t="s">
        <v>2842</v>
      </c>
      <c r="I88" s="138"/>
      <c r="J88" s="138" t="s">
        <v>2843</v>
      </c>
      <c r="K88" s="311" t="s">
        <v>2814</v>
      </c>
      <c r="L88" s="138"/>
      <c r="M88" s="312"/>
      <c r="N88" s="138"/>
      <c r="O88" s="312" t="s">
        <v>1734</v>
      </c>
      <c r="P88" s="312" t="s">
        <v>2426</v>
      </c>
      <c r="Q88" s="312"/>
      <c r="R88" s="312"/>
      <c r="S88" s="131" t="s">
        <v>2844</v>
      </c>
      <c r="T88" s="138"/>
      <c r="U88" s="312"/>
      <c r="V88" s="311" t="s">
        <v>2428</v>
      </c>
      <c r="W88" s="138"/>
      <c r="X88" s="311" t="str">
        <f aca="false">IF(O88="","ไม่มีผู้ทำ (R) ","")&amp;IF(P88="","ไม่มีผู้อนุมัติ (A) ","")&amp;IF(AND(S88="",T88=""),"ไม่มีแบบ/มาตรฐาน ","")&amp;IF(AND(C88="งาน",J88=""),"ไม่มีเกณฑ์เสร็จ ","")</f>
        <v/>
      </c>
    </row>
    <row r="89" customFormat="false" ht="15" hidden="false" customHeight="false" outlineLevel="0" collapsed="false">
      <c r="A89" s="311" t="s">
        <v>385</v>
      </c>
      <c r="B89" s="312" t="n">
        <v>3</v>
      </c>
      <c r="C89" s="312" t="s">
        <v>573</v>
      </c>
      <c r="D89" s="138" t="s">
        <v>2845</v>
      </c>
      <c r="E89" s="312" t="n">
        <v>1</v>
      </c>
      <c r="F89" s="312"/>
      <c r="G89" s="312" t="s">
        <v>784</v>
      </c>
      <c r="H89" s="138" t="s">
        <v>2846</v>
      </c>
      <c r="I89" s="138"/>
      <c r="J89" s="138" t="s">
        <v>2847</v>
      </c>
      <c r="K89" s="311" t="s">
        <v>211</v>
      </c>
      <c r="L89" s="138"/>
      <c r="M89" s="312"/>
      <c r="N89" s="138"/>
      <c r="O89" s="312" t="s">
        <v>1734</v>
      </c>
      <c r="P89" s="312" t="s">
        <v>2426</v>
      </c>
      <c r="Q89" s="312"/>
      <c r="R89" s="312"/>
      <c r="S89" s="138" t="s">
        <v>2848</v>
      </c>
      <c r="T89" s="131" t="s">
        <v>2810</v>
      </c>
      <c r="U89" s="312"/>
      <c r="V89" s="311" t="s">
        <v>2428</v>
      </c>
      <c r="W89" s="138"/>
      <c r="X89" s="311" t="str">
        <f aca="false">IF(O89="","ไม่มีผู้ทำ (R) ","")&amp;IF(P89="","ไม่มีผู้อนุมัติ (A) ","")&amp;IF(AND(S89="",T89=""),"ไม่มีแบบ/มาตรฐาน ","")&amp;IF(AND(C89="งาน",J89=""),"ไม่มีเกณฑ์เสร็จ ","")</f>
        <v/>
      </c>
    </row>
    <row r="90" customFormat="false" ht="23.85" hidden="false" customHeight="false" outlineLevel="0" collapsed="false">
      <c r="A90" s="311" t="s">
        <v>388</v>
      </c>
      <c r="B90" s="312" t="n">
        <v>3</v>
      </c>
      <c r="C90" s="312" t="s">
        <v>573</v>
      </c>
      <c r="D90" s="131" t="s">
        <v>2849</v>
      </c>
      <c r="E90" s="312" t="n">
        <v>0.5</v>
      </c>
      <c r="F90" s="312"/>
      <c r="G90" s="312" t="s">
        <v>784</v>
      </c>
      <c r="H90" s="131" t="s">
        <v>2850</v>
      </c>
      <c r="I90" s="138"/>
      <c r="J90" s="138" t="s">
        <v>2851</v>
      </c>
      <c r="K90" s="311" t="s">
        <v>211</v>
      </c>
      <c r="L90" s="138"/>
      <c r="M90" s="312"/>
      <c r="N90" s="138" t="s">
        <v>2440</v>
      </c>
      <c r="O90" s="312" t="s">
        <v>1734</v>
      </c>
      <c r="P90" s="312" t="s">
        <v>2426</v>
      </c>
      <c r="Q90" s="312"/>
      <c r="R90" s="312"/>
      <c r="S90" s="138" t="s">
        <v>2852</v>
      </c>
      <c r="T90" s="138"/>
      <c r="U90" s="312"/>
      <c r="V90" s="311" t="s">
        <v>2428</v>
      </c>
      <c r="W90" s="138"/>
      <c r="X90" s="311" t="str">
        <f aca="false">IF(O90="","ไม่มีผู้ทำ (R) ","")&amp;IF(P90="","ไม่มีผู้อนุมัติ (A) ","")&amp;IF(AND(S90="",T90=""),"ไม่มีแบบ/มาตรฐาน ","")&amp;IF(AND(C90="งาน",J90=""),"ไม่มีเกณฑ์เสร็จ ","")</f>
        <v/>
      </c>
    </row>
    <row r="91" customFormat="false" ht="23.85" hidden="false" customHeight="false" outlineLevel="0" collapsed="false">
      <c r="A91" s="306" t="s">
        <v>1147</v>
      </c>
      <c r="B91" s="306" t="n">
        <v>2</v>
      </c>
      <c r="C91" s="307" t="s">
        <v>573</v>
      </c>
      <c r="D91" s="309" t="s">
        <v>2853</v>
      </c>
      <c r="E91" s="306" t="n">
        <v>5</v>
      </c>
      <c r="F91" s="306"/>
      <c r="G91" s="307" t="s">
        <v>784</v>
      </c>
      <c r="H91" s="308"/>
      <c r="I91" s="308" t="s">
        <v>2854</v>
      </c>
      <c r="J91" s="309" t="s">
        <v>2855</v>
      </c>
      <c r="K91" s="306" t="s">
        <v>211</v>
      </c>
      <c r="L91" s="308"/>
      <c r="M91" s="306"/>
      <c r="N91" s="308"/>
      <c r="O91" s="307" t="s">
        <v>1810</v>
      </c>
      <c r="P91" s="307" t="s">
        <v>2416</v>
      </c>
      <c r="Q91" s="306"/>
      <c r="R91" s="306"/>
      <c r="S91" s="308"/>
      <c r="T91" s="308" t="s">
        <v>800</v>
      </c>
      <c r="U91" s="306" t="s">
        <v>2856</v>
      </c>
      <c r="V91" s="306" t="s">
        <v>2857</v>
      </c>
      <c r="W91" s="309" t="s">
        <v>2858</v>
      </c>
      <c r="X91" s="306" t="str">
        <f aca="false">IF(O91="","ไม่มีผู้ทำ (R) ","")&amp;IF(P91="","ไม่มีผู้อนุมัติ (A) ","")&amp;IF(SUMPRODUCT((LEFT($A$5:$A$128,LEN(A91)+1)=A91&amp;".")*1)=0,"",IF(ABS(SUMPRODUCT((LEFT($A$5:$A$128,LEN(A91)+1)=A91&amp;".")*($G$5:$G$128&lt;&gt;"LV")*$E$5:$E$128)-E91)&gt;0.001,"งานย่อยรวมไม่เท่างานแม่ (100%) ",""))&amp;IF(F91="","",IF(ABS(SUMPRODUCT((LEFT($A$5:$A$128,LEN(A91)+1)=A91&amp;".")*$F$5:$F$128)-F91)&gt;0.001,"≥ 200 kVA: งานย่อยรวมไม่เท่างานแม่ (100%) ",""))&amp;IF(J91="","ไม่มีเกณฑ์เสร็จ ","")</f>
        <v/>
      </c>
    </row>
    <row r="92" customFormat="false" ht="23.85" hidden="false" customHeight="false" outlineLevel="0" collapsed="false">
      <c r="A92" s="311" t="s">
        <v>391</v>
      </c>
      <c r="B92" s="312" t="n">
        <v>3</v>
      </c>
      <c r="C92" s="312" t="s">
        <v>573</v>
      </c>
      <c r="D92" s="138" t="s">
        <v>2859</v>
      </c>
      <c r="E92" s="312" t="n">
        <v>3</v>
      </c>
      <c r="F92" s="312"/>
      <c r="G92" s="312" t="s">
        <v>784</v>
      </c>
      <c r="H92" s="138" t="s">
        <v>2860</v>
      </c>
      <c r="I92" s="138"/>
      <c r="J92" s="138" t="s">
        <v>2861</v>
      </c>
      <c r="K92" s="311" t="s">
        <v>2814</v>
      </c>
      <c r="L92" s="138"/>
      <c r="M92" s="312"/>
      <c r="N92" s="138"/>
      <c r="O92" s="312" t="s">
        <v>1734</v>
      </c>
      <c r="P92" s="312" t="s">
        <v>2426</v>
      </c>
      <c r="Q92" s="312"/>
      <c r="R92" s="312"/>
      <c r="S92" s="131" t="s">
        <v>2862</v>
      </c>
      <c r="T92" s="138"/>
      <c r="U92" s="312"/>
      <c r="V92" s="311" t="s">
        <v>2428</v>
      </c>
      <c r="W92" s="138"/>
      <c r="X92" s="311" t="str">
        <f aca="false">IF(O92="","ไม่มีผู้ทำ (R) ","")&amp;IF(P92="","ไม่มีผู้อนุมัติ (A) ","")&amp;IF(AND(S92="",T92=""),"ไม่มีแบบ/มาตรฐาน ","")&amp;IF(AND(C92="งาน",J92=""),"ไม่มีเกณฑ์เสร็จ ","")</f>
        <v/>
      </c>
    </row>
    <row r="93" customFormat="false" ht="23.85" hidden="false" customHeight="false" outlineLevel="0" collapsed="false">
      <c r="A93" s="311" t="s">
        <v>394</v>
      </c>
      <c r="B93" s="312" t="n">
        <v>3</v>
      </c>
      <c r="C93" s="312" t="s">
        <v>573</v>
      </c>
      <c r="D93" s="138" t="s">
        <v>2863</v>
      </c>
      <c r="E93" s="312" t="n">
        <v>1.5</v>
      </c>
      <c r="F93" s="312"/>
      <c r="G93" s="312" t="s">
        <v>784</v>
      </c>
      <c r="H93" s="138" t="s">
        <v>2864</v>
      </c>
      <c r="I93" s="138"/>
      <c r="J93" s="138" t="s">
        <v>2865</v>
      </c>
      <c r="K93" s="311" t="s">
        <v>211</v>
      </c>
      <c r="L93" s="138"/>
      <c r="M93" s="312"/>
      <c r="N93" s="138"/>
      <c r="O93" s="312" t="s">
        <v>1734</v>
      </c>
      <c r="P93" s="312" t="s">
        <v>2426</v>
      </c>
      <c r="Q93" s="312"/>
      <c r="R93" s="312"/>
      <c r="S93" s="138"/>
      <c r="T93" s="131" t="s">
        <v>800</v>
      </c>
      <c r="U93" s="312"/>
      <c r="V93" s="311" t="s">
        <v>2428</v>
      </c>
      <c r="W93" s="138"/>
      <c r="X93" s="311" t="str">
        <f aca="false">IF(O93="","ไม่มีผู้ทำ (R) ","")&amp;IF(P93="","ไม่มีผู้อนุมัติ (A) ","")&amp;IF(AND(S93="",T93=""),"ไม่มีแบบ/มาตรฐาน ","")&amp;IF(AND(C93="งาน",J93=""),"ไม่มีเกณฑ์เสร็จ ","")</f>
        <v/>
      </c>
    </row>
    <row r="94" customFormat="false" ht="23.85" hidden="false" customHeight="false" outlineLevel="0" collapsed="false">
      <c r="A94" s="311" t="s">
        <v>397</v>
      </c>
      <c r="B94" s="312" t="n">
        <v>3</v>
      </c>
      <c r="C94" s="312" t="s">
        <v>573</v>
      </c>
      <c r="D94" s="131" t="s">
        <v>2866</v>
      </c>
      <c r="E94" s="312" t="n">
        <v>0.5</v>
      </c>
      <c r="F94" s="312"/>
      <c r="G94" s="312" t="s">
        <v>784</v>
      </c>
      <c r="H94" s="131" t="s">
        <v>2867</v>
      </c>
      <c r="I94" s="138"/>
      <c r="J94" s="138" t="s">
        <v>2868</v>
      </c>
      <c r="K94" s="311" t="s">
        <v>211</v>
      </c>
      <c r="L94" s="138"/>
      <c r="M94" s="312"/>
      <c r="N94" s="138" t="s">
        <v>2440</v>
      </c>
      <c r="O94" s="312" t="s">
        <v>1734</v>
      </c>
      <c r="P94" s="312" t="s">
        <v>2426</v>
      </c>
      <c r="Q94" s="312"/>
      <c r="R94" s="312"/>
      <c r="S94" s="138" t="s">
        <v>2869</v>
      </c>
      <c r="T94" s="131" t="s">
        <v>800</v>
      </c>
      <c r="U94" s="312"/>
      <c r="V94" s="311" t="s">
        <v>2428</v>
      </c>
      <c r="W94" s="138"/>
      <c r="X94" s="311" t="str">
        <f aca="false">IF(O94="","ไม่มีผู้ทำ (R) ","")&amp;IF(P94="","ไม่มีผู้อนุมัติ (A) ","")&amp;IF(AND(S94="",T94=""),"ไม่มีแบบ/มาตรฐาน ","")&amp;IF(AND(C94="งาน",J94=""),"ไม่มีเกณฑ์เสร็จ ","")</f>
        <v/>
      </c>
    </row>
    <row r="95" customFormat="false" ht="35.05" hidden="false" customHeight="false" outlineLevel="0" collapsed="false">
      <c r="A95" s="306" t="s">
        <v>1168</v>
      </c>
      <c r="B95" s="306" t="n">
        <v>2</v>
      </c>
      <c r="C95" s="307" t="s">
        <v>573</v>
      </c>
      <c r="D95" s="309" t="s">
        <v>2870</v>
      </c>
      <c r="E95" s="306" t="n">
        <v>5</v>
      </c>
      <c r="F95" s="306"/>
      <c r="G95" s="307" t="s">
        <v>784</v>
      </c>
      <c r="H95" s="308"/>
      <c r="I95" s="309" t="s">
        <v>2871</v>
      </c>
      <c r="J95" s="309" t="s">
        <v>2872</v>
      </c>
      <c r="K95" s="306" t="s">
        <v>211</v>
      </c>
      <c r="L95" s="308"/>
      <c r="M95" s="307" t="s">
        <v>2873</v>
      </c>
      <c r="N95" s="308"/>
      <c r="O95" s="307" t="s">
        <v>1810</v>
      </c>
      <c r="P95" s="307" t="s">
        <v>2416</v>
      </c>
      <c r="Q95" s="306"/>
      <c r="R95" s="306"/>
      <c r="S95" s="308"/>
      <c r="T95" s="308" t="s">
        <v>2874</v>
      </c>
      <c r="U95" s="306" t="s">
        <v>2875</v>
      </c>
      <c r="V95" s="306" t="s">
        <v>2876</v>
      </c>
      <c r="W95" s="309" t="s">
        <v>2877</v>
      </c>
      <c r="X95" s="306" t="str">
        <f aca="false">IF(O95="","ไม่มีผู้ทำ (R) ","")&amp;IF(P95="","ไม่มีผู้อนุมัติ (A) ","")&amp;IF(SUMPRODUCT((LEFT($A$5:$A$128,LEN(A95)+1)=A95&amp;".")*1)=0,"",IF(ABS(SUMPRODUCT((LEFT($A$5:$A$128,LEN(A95)+1)=A95&amp;".")*($G$5:$G$128&lt;&gt;"LV")*$E$5:$E$128)-E95)&gt;0.001,"งานย่อยรวมไม่เท่างานแม่ (100%) ",""))&amp;IF(F95="","",IF(ABS(SUMPRODUCT((LEFT($A$5:$A$128,LEN(A95)+1)=A95&amp;".")*$F$5:$F$128)-F95)&gt;0.001,"≥ 200 kVA: งานย่อยรวมไม่เท่างานแม่ (100%) ",""))&amp;IF(J95="","ไม่มีเกณฑ์เสร็จ ","")</f>
        <v/>
      </c>
    </row>
    <row r="96" customFormat="false" ht="23.85" hidden="false" customHeight="false" outlineLevel="0" collapsed="false">
      <c r="A96" s="311" t="s">
        <v>2004</v>
      </c>
      <c r="B96" s="312" t="n">
        <v>3</v>
      </c>
      <c r="C96" s="312" t="s">
        <v>2636</v>
      </c>
      <c r="D96" s="138" t="s">
        <v>2878</v>
      </c>
      <c r="E96" s="312" t="n">
        <v>0</v>
      </c>
      <c r="F96" s="312"/>
      <c r="G96" s="311" t="s">
        <v>2072</v>
      </c>
      <c r="H96" s="138" t="s">
        <v>2879</v>
      </c>
      <c r="I96" s="138"/>
      <c r="J96" s="138"/>
      <c r="K96" s="311" t="s">
        <v>2639</v>
      </c>
      <c r="L96" s="138"/>
      <c r="M96" s="312"/>
      <c r="N96" s="138"/>
      <c r="O96" s="312" t="s">
        <v>2426</v>
      </c>
      <c r="P96" s="311" t="s">
        <v>1627</v>
      </c>
      <c r="Q96" s="312" t="s">
        <v>1733</v>
      </c>
      <c r="R96" s="312"/>
      <c r="S96" s="138"/>
      <c r="T96" s="131" t="s">
        <v>2835</v>
      </c>
      <c r="U96" s="312"/>
      <c r="V96" s="312" t="s">
        <v>2880</v>
      </c>
      <c r="W96" s="138"/>
      <c r="X96" s="311" t="str">
        <f aca="false">IF(O96="","ไม่มีผู้ทำ (R) ","")&amp;IF(P96="","ไม่มีผู้อนุมัติ (A) ","")&amp;IF(AND(S96="",T96=""),"ไม่มีแบบ/มาตรฐาน ","")&amp;IF(AND(C96="งาน",J96=""),"ไม่มีเกณฑ์เสร็จ ","")</f>
        <v/>
      </c>
    </row>
    <row r="97" customFormat="false" ht="35.05" hidden="false" customHeight="false" outlineLevel="0" collapsed="false">
      <c r="A97" s="311" t="s">
        <v>400</v>
      </c>
      <c r="B97" s="312" t="n">
        <v>3</v>
      </c>
      <c r="C97" s="312" t="s">
        <v>573</v>
      </c>
      <c r="D97" s="138" t="s">
        <v>2881</v>
      </c>
      <c r="E97" s="312" t="n">
        <v>2</v>
      </c>
      <c r="F97" s="312"/>
      <c r="G97" s="311" t="s">
        <v>2072</v>
      </c>
      <c r="H97" s="138" t="s">
        <v>2882</v>
      </c>
      <c r="I97" s="138"/>
      <c r="J97" s="138" t="s">
        <v>2883</v>
      </c>
      <c r="K97" s="311" t="s">
        <v>211</v>
      </c>
      <c r="L97" s="138"/>
      <c r="M97" s="312"/>
      <c r="N97" s="138"/>
      <c r="O97" s="312" t="s">
        <v>1734</v>
      </c>
      <c r="P97" s="312" t="s">
        <v>2426</v>
      </c>
      <c r="Q97" s="312" t="s">
        <v>1733</v>
      </c>
      <c r="R97" s="312"/>
      <c r="S97" s="138" t="s">
        <v>2884</v>
      </c>
      <c r="T97" s="131" t="s">
        <v>2835</v>
      </c>
      <c r="U97" s="312"/>
      <c r="V97" s="311" t="s">
        <v>2428</v>
      </c>
      <c r="W97" s="138"/>
      <c r="X97" s="311" t="str">
        <f aca="false">IF(O97="","ไม่มีผู้ทำ (R) ","")&amp;IF(P97="","ไม่มีผู้อนุมัติ (A) ","")&amp;IF(AND(S97="",T97=""),"ไม่มีแบบ/มาตรฐาน ","")&amp;IF(AND(C97="งาน",J97=""),"ไม่มีเกณฑ์เสร็จ ","")</f>
        <v/>
      </c>
    </row>
    <row r="98" customFormat="false" ht="23.85" hidden="false" customHeight="false" outlineLevel="0" collapsed="false">
      <c r="A98" s="311" t="s">
        <v>467</v>
      </c>
      <c r="B98" s="312" t="n">
        <v>3</v>
      </c>
      <c r="C98" s="312" t="s">
        <v>573</v>
      </c>
      <c r="D98" s="131" t="s">
        <v>2885</v>
      </c>
      <c r="E98" s="312" t="n">
        <v>2</v>
      </c>
      <c r="F98" s="312"/>
      <c r="G98" s="311" t="s">
        <v>2078</v>
      </c>
      <c r="H98" s="131" t="s">
        <v>2886</v>
      </c>
      <c r="I98" s="138"/>
      <c r="J98" s="131" t="s">
        <v>2887</v>
      </c>
      <c r="K98" s="311" t="s">
        <v>211</v>
      </c>
      <c r="L98" s="138"/>
      <c r="M98" s="312"/>
      <c r="N98" s="138"/>
      <c r="O98" s="312" t="s">
        <v>1734</v>
      </c>
      <c r="P98" s="312" t="s">
        <v>2426</v>
      </c>
      <c r="Q98" s="312"/>
      <c r="R98" s="312"/>
      <c r="S98" s="138"/>
      <c r="T98" s="131" t="s">
        <v>2888</v>
      </c>
      <c r="U98" s="312"/>
      <c r="V98" s="311" t="s">
        <v>2428</v>
      </c>
      <c r="W98" s="138"/>
      <c r="X98" s="311" t="str">
        <f aca="false">IF(O98="","ไม่มีผู้ทำ (R) ","")&amp;IF(P98="","ไม่มีผู้อนุมัติ (A) ","")&amp;IF(AND(S98="",T98=""),"ไม่มีแบบ/มาตรฐาน ","")&amp;IF(AND(C98="งาน",J98=""),"ไม่มีเกณฑ์เสร็จ ","")</f>
        <v/>
      </c>
    </row>
    <row r="99" customFormat="false" ht="23.85" hidden="false" customHeight="false" outlineLevel="0" collapsed="false">
      <c r="A99" s="311" t="s">
        <v>403</v>
      </c>
      <c r="B99" s="312" t="n">
        <v>3</v>
      </c>
      <c r="C99" s="312" t="s">
        <v>573</v>
      </c>
      <c r="D99" s="138" t="s">
        <v>2889</v>
      </c>
      <c r="E99" s="312" t="n">
        <v>1.25</v>
      </c>
      <c r="F99" s="312"/>
      <c r="G99" s="312" t="s">
        <v>784</v>
      </c>
      <c r="H99" s="138" t="s">
        <v>2890</v>
      </c>
      <c r="I99" s="138"/>
      <c r="J99" s="138" t="s">
        <v>2891</v>
      </c>
      <c r="K99" s="311" t="s">
        <v>211</v>
      </c>
      <c r="L99" s="138"/>
      <c r="M99" s="312"/>
      <c r="N99" s="138"/>
      <c r="O99" s="312" t="s">
        <v>1734</v>
      </c>
      <c r="P99" s="312" t="s">
        <v>2426</v>
      </c>
      <c r="Q99" s="312"/>
      <c r="R99" s="312"/>
      <c r="S99" s="131" t="s">
        <v>2892</v>
      </c>
      <c r="T99" s="131" t="s">
        <v>2893</v>
      </c>
      <c r="U99" s="312"/>
      <c r="V99" s="311" t="s">
        <v>2428</v>
      </c>
      <c r="W99" s="138"/>
      <c r="X99" s="311" t="str">
        <f aca="false">IF(O99="","ไม่มีผู้ทำ (R) ","")&amp;IF(P99="","ไม่มีผู้อนุมัติ (A) ","")&amp;IF(AND(S99="",T99=""),"ไม่มีแบบ/มาตรฐาน ","")&amp;IF(AND(C99="งาน",J99=""),"ไม่มีเกณฑ์เสร็จ ","")</f>
        <v/>
      </c>
    </row>
    <row r="100" customFormat="false" ht="23.85" hidden="false" customHeight="false" outlineLevel="0" collapsed="false">
      <c r="A100" s="311" t="s">
        <v>406</v>
      </c>
      <c r="B100" s="312" t="n">
        <v>3</v>
      </c>
      <c r="C100" s="312" t="s">
        <v>573</v>
      </c>
      <c r="D100" s="138" t="s">
        <v>2894</v>
      </c>
      <c r="E100" s="312" t="n">
        <v>1.25</v>
      </c>
      <c r="F100" s="312"/>
      <c r="G100" s="312" t="s">
        <v>784</v>
      </c>
      <c r="H100" s="138" t="s">
        <v>2895</v>
      </c>
      <c r="I100" s="138"/>
      <c r="J100" s="138" t="s">
        <v>2896</v>
      </c>
      <c r="K100" s="311" t="s">
        <v>211</v>
      </c>
      <c r="L100" s="138"/>
      <c r="M100" s="312"/>
      <c r="N100" s="138"/>
      <c r="O100" s="312" t="s">
        <v>1734</v>
      </c>
      <c r="P100" s="312" t="s">
        <v>2426</v>
      </c>
      <c r="Q100" s="312"/>
      <c r="R100" s="312"/>
      <c r="S100" s="138"/>
      <c r="T100" s="131" t="s">
        <v>2897</v>
      </c>
      <c r="U100" s="312"/>
      <c r="V100" s="311" t="s">
        <v>2428</v>
      </c>
      <c r="W100" s="138"/>
      <c r="X100" s="311" t="str">
        <f aca="false">IF(O100="","ไม่มีผู้ทำ (R) ","")&amp;IF(P100="","ไม่มีผู้อนุมัติ (A) ","")&amp;IF(AND(S100="",T100=""),"ไม่มีแบบ/มาตรฐาน ","")&amp;IF(AND(C100="งาน",J100=""),"ไม่มีเกณฑ์เสร็จ ","")</f>
        <v/>
      </c>
    </row>
    <row r="101" customFormat="false" ht="23.85" hidden="false" customHeight="false" outlineLevel="0" collapsed="false">
      <c r="A101" s="311" t="s">
        <v>409</v>
      </c>
      <c r="B101" s="312" t="n">
        <v>3</v>
      </c>
      <c r="C101" s="312" t="s">
        <v>573</v>
      </c>
      <c r="D101" s="131" t="s">
        <v>2898</v>
      </c>
      <c r="E101" s="312" t="n">
        <v>0.5</v>
      </c>
      <c r="F101" s="312"/>
      <c r="G101" s="312" t="s">
        <v>784</v>
      </c>
      <c r="H101" s="131" t="s">
        <v>2899</v>
      </c>
      <c r="I101" s="138"/>
      <c r="J101" s="138" t="s">
        <v>2900</v>
      </c>
      <c r="K101" s="311" t="s">
        <v>211</v>
      </c>
      <c r="L101" s="138"/>
      <c r="M101" s="312"/>
      <c r="N101" s="138" t="s">
        <v>2440</v>
      </c>
      <c r="O101" s="312" t="s">
        <v>1734</v>
      </c>
      <c r="P101" s="312" t="s">
        <v>2426</v>
      </c>
      <c r="Q101" s="312"/>
      <c r="R101" s="312"/>
      <c r="S101" s="138" t="s">
        <v>2901</v>
      </c>
      <c r="T101" s="131" t="s">
        <v>2902</v>
      </c>
      <c r="U101" s="312"/>
      <c r="V101" s="311" t="s">
        <v>2428</v>
      </c>
      <c r="W101" s="138"/>
      <c r="X101" s="311" t="str">
        <f aca="false">IF(O101="","ไม่มีผู้ทำ (R) ","")&amp;IF(P101="","ไม่มีผู้อนุมัติ (A) ","")&amp;IF(AND(S101="",T101=""),"ไม่มีแบบ/มาตรฐาน ","")&amp;IF(AND(C101="งาน",J101=""),"ไม่มีเกณฑ์เสร็จ ","")</f>
        <v/>
      </c>
    </row>
    <row r="102" customFormat="false" ht="23.85" hidden="false" customHeight="false" outlineLevel="0" collapsed="false">
      <c r="A102" s="306" t="s">
        <v>1192</v>
      </c>
      <c r="B102" s="306" t="n">
        <v>2</v>
      </c>
      <c r="C102" s="307" t="s">
        <v>573</v>
      </c>
      <c r="D102" s="309" t="s">
        <v>2903</v>
      </c>
      <c r="E102" s="306" t="n">
        <v>2.5</v>
      </c>
      <c r="F102" s="306"/>
      <c r="G102" s="307" t="s">
        <v>784</v>
      </c>
      <c r="H102" s="308"/>
      <c r="I102" s="309" t="s">
        <v>2904</v>
      </c>
      <c r="J102" s="309" t="s">
        <v>2905</v>
      </c>
      <c r="K102" s="306" t="s">
        <v>211</v>
      </c>
      <c r="L102" s="308"/>
      <c r="M102" s="306" t="s">
        <v>2906</v>
      </c>
      <c r="N102" s="308"/>
      <c r="O102" s="307" t="s">
        <v>1810</v>
      </c>
      <c r="P102" s="307" t="s">
        <v>2416</v>
      </c>
      <c r="Q102" s="306"/>
      <c r="R102" s="306"/>
      <c r="S102" s="308"/>
      <c r="T102" s="308" t="s">
        <v>800</v>
      </c>
      <c r="U102" s="306" t="s">
        <v>2907</v>
      </c>
      <c r="V102" s="306" t="s">
        <v>2908</v>
      </c>
      <c r="W102" s="309" t="s">
        <v>2909</v>
      </c>
      <c r="X102" s="306" t="str">
        <f aca="false">IF(O102="","ไม่มีผู้ทำ (R) ","")&amp;IF(P102="","ไม่มีผู้อนุมัติ (A) ","")&amp;IF(SUMPRODUCT((LEFT($A$5:$A$128,LEN(A102)+1)=A102&amp;".")*1)=0,"",IF(ABS(SUMPRODUCT((LEFT($A$5:$A$128,LEN(A102)+1)=A102&amp;".")*($G$5:$G$128&lt;&gt;"LV")*$E$5:$E$128)-E102)&gt;0.001,"งานย่อยรวมไม่เท่างานแม่ (100%) ",""))&amp;IF(F102="","",IF(ABS(SUMPRODUCT((LEFT($A$5:$A$128,LEN(A102)+1)=A102&amp;".")*$F$5:$F$128)-F102)&gt;0.001,"≥ 200 kVA: งานย่อยรวมไม่เท่างานแม่ (100%) ",""))&amp;IF(J102="","ไม่มีเกณฑ์เสร็จ ","")</f>
        <v/>
      </c>
    </row>
    <row r="103" customFormat="false" ht="23.85" hidden="false" customHeight="false" outlineLevel="0" collapsed="false">
      <c r="A103" s="311" t="s">
        <v>412</v>
      </c>
      <c r="B103" s="312" t="n">
        <v>3</v>
      </c>
      <c r="C103" s="312" t="s">
        <v>573</v>
      </c>
      <c r="D103" s="131" t="s">
        <v>2910</v>
      </c>
      <c r="E103" s="312" t="n">
        <v>1</v>
      </c>
      <c r="F103" s="312"/>
      <c r="G103" s="312" t="s">
        <v>784</v>
      </c>
      <c r="H103" s="138" t="s">
        <v>2911</v>
      </c>
      <c r="I103" s="138"/>
      <c r="J103" s="131" t="s">
        <v>2912</v>
      </c>
      <c r="K103" s="311" t="s">
        <v>211</v>
      </c>
      <c r="L103" s="138"/>
      <c r="M103" s="312"/>
      <c r="N103" s="138"/>
      <c r="O103" s="312" t="s">
        <v>1734</v>
      </c>
      <c r="P103" s="312" t="s">
        <v>2426</v>
      </c>
      <c r="Q103" s="312"/>
      <c r="R103" s="312"/>
      <c r="S103" s="138"/>
      <c r="T103" s="131" t="s">
        <v>800</v>
      </c>
      <c r="U103" s="312"/>
      <c r="V103" s="311" t="s">
        <v>2428</v>
      </c>
      <c r="W103" s="138"/>
      <c r="X103" s="311" t="str">
        <f aca="false">IF(O103="","ไม่มีผู้ทำ (R) ","")&amp;IF(P103="","ไม่มีผู้อนุมัติ (A) ","")&amp;IF(AND(S103="",T103=""),"ไม่มีแบบ/มาตรฐาน ","")&amp;IF(AND(C103="งาน",J103=""),"ไม่มีเกณฑ์เสร็จ ","")</f>
        <v/>
      </c>
    </row>
    <row r="104" customFormat="false" ht="23.85" hidden="false" customHeight="false" outlineLevel="0" collapsed="false">
      <c r="A104" s="311" t="s">
        <v>415</v>
      </c>
      <c r="B104" s="312" t="n">
        <v>3</v>
      </c>
      <c r="C104" s="312" t="s">
        <v>573</v>
      </c>
      <c r="D104" s="138" t="s">
        <v>2913</v>
      </c>
      <c r="E104" s="312" t="n">
        <v>1</v>
      </c>
      <c r="F104" s="312"/>
      <c r="G104" s="312" t="s">
        <v>784</v>
      </c>
      <c r="H104" s="138" t="s">
        <v>2914</v>
      </c>
      <c r="I104" s="138"/>
      <c r="J104" s="138" t="s">
        <v>2915</v>
      </c>
      <c r="K104" s="311" t="s">
        <v>211</v>
      </c>
      <c r="L104" s="138"/>
      <c r="M104" s="312"/>
      <c r="N104" s="138"/>
      <c r="O104" s="312" t="s">
        <v>1734</v>
      </c>
      <c r="P104" s="312" t="s">
        <v>2426</v>
      </c>
      <c r="Q104" s="312"/>
      <c r="R104" s="312"/>
      <c r="S104" s="138"/>
      <c r="T104" s="131" t="s">
        <v>800</v>
      </c>
      <c r="U104" s="312"/>
      <c r="V104" s="311" t="s">
        <v>2428</v>
      </c>
      <c r="W104" s="138"/>
      <c r="X104" s="311" t="str">
        <f aca="false">IF(O104="","ไม่มีผู้ทำ (R) ","")&amp;IF(P104="","ไม่มีผู้อนุมัติ (A) ","")&amp;IF(AND(S104="",T104=""),"ไม่มีแบบ/มาตรฐาน ","")&amp;IF(AND(C104="งาน",J104=""),"ไม่มีเกณฑ์เสร็จ ","")</f>
        <v/>
      </c>
    </row>
    <row r="105" customFormat="false" ht="23.85" hidden="false" customHeight="false" outlineLevel="0" collapsed="false">
      <c r="A105" s="311" t="s">
        <v>418</v>
      </c>
      <c r="B105" s="312" t="n">
        <v>3</v>
      </c>
      <c r="C105" s="312" t="s">
        <v>573</v>
      </c>
      <c r="D105" s="131" t="s">
        <v>2916</v>
      </c>
      <c r="E105" s="312" t="n">
        <v>0.5</v>
      </c>
      <c r="F105" s="312"/>
      <c r="G105" s="312" t="s">
        <v>784</v>
      </c>
      <c r="H105" s="131" t="s">
        <v>2917</v>
      </c>
      <c r="I105" s="138"/>
      <c r="J105" s="138" t="s">
        <v>2918</v>
      </c>
      <c r="K105" s="311" t="s">
        <v>211</v>
      </c>
      <c r="L105" s="138"/>
      <c r="M105" s="312"/>
      <c r="N105" s="138"/>
      <c r="O105" s="312" t="s">
        <v>1734</v>
      </c>
      <c r="P105" s="312" t="s">
        <v>2426</v>
      </c>
      <c r="Q105" s="312"/>
      <c r="R105" s="312"/>
      <c r="S105" s="131" t="s">
        <v>2919</v>
      </c>
      <c r="T105" s="138"/>
      <c r="U105" s="312"/>
      <c r="V105" s="311" t="s">
        <v>2428</v>
      </c>
      <c r="W105" s="138"/>
      <c r="X105" s="311" t="str">
        <f aca="false">IF(O105="","ไม่มีผู้ทำ (R) ","")&amp;IF(P105="","ไม่มีผู้อนุมัติ (A) ","")&amp;IF(AND(S105="",T105=""),"ไม่มีแบบ/มาตรฐาน ","")&amp;IF(AND(C105="งาน",J105=""),"ไม่มีเกณฑ์เสร็จ ","")</f>
        <v/>
      </c>
    </row>
    <row r="106" customFormat="false" ht="35.05" hidden="false" customHeight="false" outlineLevel="0" collapsed="false">
      <c r="A106" s="306" t="s">
        <v>1487</v>
      </c>
      <c r="B106" s="306" t="n">
        <v>2</v>
      </c>
      <c r="C106" s="307" t="s">
        <v>573</v>
      </c>
      <c r="D106" s="309" t="s">
        <v>2920</v>
      </c>
      <c r="E106" s="306" t="n">
        <v>0</v>
      </c>
      <c r="F106" s="306"/>
      <c r="G106" s="307" t="s">
        <v>784</v>
      </c>
      <c r="H106" s="308"/>
      <c r="I106" s="309" t="s">
        <v>2921</v>
      </c>
      <c r="J106" s="309" t="s">
        <v>2922</v>
      </c>
      <c r="K106" s="306" t="s">
        <v>2923</v>
      </c>
      <c r="L106" s="308"/>
      <c r="M106" s="306"/>
      <c r="N106" s="308"/>
      <c r="O106" s="307" t="s">
        <v>2416</v>
      </c>
      <c r="P106" s="306" t="s">
        <v>1627</v>
      </c>
      <c r="Q106" s="307" t="s">
        <v>2503</v>
      </c>
      <c r="R106" s="306" t="s">
        <v>1917</v>
      </c>
      <c r="S106" s="308"/>
      <c r="T106" s="308"/>
      <c r="U106" s="306"/>
      <c r="V106" s="306" t="s">
        <v>2924</v>
      </c>
      <c r="W106" s="308" t="s">
        <v>2925</v>
      </c>
      <c r="X106" s="306" t="str">
        <f aca="false">IF(O106="","ไม่มีผู้ทำ (R) ","")&amp;IF(P106="","ไม่มีผู้อนุมัติ (A) ","")&amp;IF(SUMPRODUCT((LEFT($A$5:$A$128,LEN(A106)+1)=A106&amp;".")*1)=0,"",IF(ABS(SUMPRODUCT((LEFT($A$5:$A$128,LEN(A106)+1)=A106&amp;".")*($G$5:$G$128&lt;&gt;"LV")*$E$5:$E$128)-E106)&gt;0.001,"งานย่อยรวมไม่เท่างานแม่ (100%) ",""))&amp;IF(F106="","",IF(ABS(SUMPRODUCT((LEFT($A$5:$A$128,LEN(A106)+1)=A106&amp;".")*$F$5:$F$128)-F106)&gt;0.001,"≥ 200 kVA: งานย่อยรวมไม่เท่างานแม่ (100%) ",""))&amp;IF(J106="","ไม่มีเกณฑ์เสร็จ ","")</f>
        <v/>
      </c>
    </row>
    <row r="107" customFormat="false" ht="15" hidden="false" customHeight="false" outlineLevel="0" collapsed="false">
      <c r="A107" s="311" t="s">
        <v>421</v>
      </c>
      <c r="B107" s="312" t="n">
        <v>3</v>
      </c>
      <c r="C107" s="312" t="s">
        <v>573</v>
      </c>
      <c r="D107" s="138" t="s">
        <v>2926</v>
      </c>
      <c r="E107" s="312" t="n">
        <v>0</v>
      </c>
      <c r="F107" s="312"/>
      <c r="G107" s="312" t="s">
        <v>784</v>
      </c>
      <c r="H107" s="131" t="s">
        <v>2927</v>
      </c>
      <c r="I107" s="138"/>
      <c r="J107" s="138" t="s">
        <v>423</v>
      </c>
      <c r="K107" s="311" t="s">
        <v>211</v>
      </c>
      <c r="L107" s="138"/>
      <c r="M107" s="312"/>
      <c r="N107" s="138"/>
      <c r="O107" s="312" t="s">
        <v>1734</v>
      </c>
      <c r="P107" s="312" t="s">
        <v>2426</v>
      </c>
      <c r="Q107" s="312"/>
      <c r="R107" s="312"/>
      <c r="S107" s="131" t="s">
        <v>2928</v>
      </c>
      <c r="T107" s="138"/>
      <c r="U107" s="312"/>
      <c r="V107" s="311" t="s">
        <v>2428</v>
      </c>
      <c r="W107" s="138"/>
      <c r="X107" s="311" t="str">
        <f aca="false">IF(O107="","ไม่มีผู้ทำ (R) ","")&amp;IF(P107="","ไม่มีผู้อนุมัติ (A) ","")&amp;IF(AND(S107="",T107=""),"ไม่มีแบบ/มาตรฐาน ","")&amp;IF(AND(C107="งาน",J107=""),"ไม่มีเกณฑ์เสร็จ ","")</f>
        <v/>
      </c>
    </row>
    <row r="108" customFormat="false" ht="15" hidden="false" customHeight="false" outlineLevel="0" collapsed="false">
      <c r="A108" s="311" t="s">
        <v>424</v>
      </c>
      <c r="B108" s="312" t="n">
        <v>3</v>
      </c>
      <c r="C108" s="312" t="s">
        <v>573</v>
      </c>
      <c r="D108" s="138" t="s">
        <v>2929</v>
      </c>
      <c r="E108" s="312" t="n">
        <v>0</v>
      </c>
      <c r="F108" s="312"/>
      <c r="G108" s="312" t="s">
        <v>784</v>
      </c>
      <c r="H108" s="138" t="s">
        <v>2930</v>
      </c>
      <c r="I108" s="138"/>
      <c r="J108" s="138" t="s">
        <v>2931</v>
      </c>
      <c r="K108" s="311" t="s">
        <v>211</v>
      </c>
      <c r="L108" s="138"/>
      <c r="M108" s="312"/>
      <c r="N108" s="138"/>
      <c r="O108" s="312" t="s">
        <v>1734</v>
      </c>
      <c r="P108" s="312" t="s">
        <v>2426</v>
      </c>
      <c r="Q108" s="312"/>
      <c r="R108" s="312"/>
      <c r="S108" s="138" t="s">
        <v>2932</v>
      </c>
      <c r="T108" s="138"/>
      <c r="U108" s="312"/>
      <c r="V108" s="311" t="s">
        <v>2428</v>
      </c>
      <c r="W108" s="138"/>
      <c r="X108" s="311" t="str">
        <f aca="false">IF(O108="","ไม่มีผู้ทำ (R) ","")&amp;IF(P108="","ไม่มีผู้อนุมัติ (A) ","")&amp;IF(AND(S108="",T108=""),"ไม่มีแบบ/มาตรฐาน ","")&amp;IF(AND(C108="งาน",J108=""),"ไม่มีเกณฑ์เสร็จ ","")</f>
        <v/>
      </c>
    </row>
    <row r="109" customFormat="false" ht="35.05" hidden="false" customHeight="false" outlineLevel="0" collapsed="false">
      <c r="A109" s="306" t="s">
        <v>1205</v>
      </c>
      <c r="B109" s="306" t="n">
        <v>2</v>
      </c>
      <c r="C109" s="307" t="s">
        <v>573</v>
      </c>
      <c r="D109" s="309" t="s">
        <v>2933</v>
      </c>
      <c r="E109" s="306" t="n">
        <v>2.5</v>
      </c>
      <c r="F109" s="306"/>
      <c r="G109" s="307" t="s">
        <v>784</v>
      </c>
      <c r="H109" s="308"/>
      <c r="I109" s="309" t="s">
        <v>2934</v>
      </c>
      <c r="J109" s="309" t="s">
        <v>2935</v>
      </c>
      <c r="K109" s="306" t="s">
        <v>211</v>
      </c>
      <c r="L109" s="308" t="s">
        <v>2936</v>
      </c>
      <c r="M109" s="306"/>
      <c r="N109" s="309" t="s">
        <v>2937</v>
      </c>
      <c r="O109" s="307" t="s">
        <v>1810</v>
      </c>
      <c r="P109" s="307" t="s">
        <v>2416</v>
      </c>
      <c r="Q109" s="306"/>
      <c r="R109" s="306"/>
      <c r="S109" s="308"/>
      <c r="T109" s="308"/>
      <c r="U109" s="306" t="s">
        <v>2938</v>
      </c>
      <c r="V109" s="306" t="s">
        <v>159</v>
      </c>
      <c r="W109" s="308" t="s">
        <v>2939</v>
      </c>
      <c r="X109" s="306" t="str">
        <f aca="false">IF(O109="","ไม่มีผู้ทำ (R) ","")&amp;IF(P109="","ไม่มีผู้อนุมัติ (A) ","")&amp;IF(SUMPRODUCT((LEFT($A$5:$A$128,LEN(A109)+1)=A109&amp;".")*1)=0,"",IF(ABS(SUMPRODUCT((LEFT($A$5:$A$128,LEN(A109)+1)=A109&amp;".")*($G$5:$G$128&lt;&gt;"LV")*$E$5:$E$128)-E109)&gt;0.001,"งานย่อยรวมไม่เท่างานแม่ (100%) ",""))&amp;IF(F109="","",IF(ABS(SUMPRODUCT((LEFT($A$5:$A$128,LEN(A109)+1)=A109&amp;".")*$F$5:$F$128)-F109)&gt;0.001,"≥ 200 kVA: งานย่อยรวมไม่เท่างานแม่ (100%) ",""))&amp;IF(J109="","ไม่มีเกณฑ์เสร็จ ","")</f>
        <v/>
      </c>
    </row>
    <row r="110" customFormat="false" ht="23.85" hidden="false" customHeight="false" outlineLevel="0" collapsed="false">
      <c r="A110" s="311" t="s">
        <v>427</v>
      </c>
      <c r="B110" s="312" t="n">
        <v>3</v>
      </c>
      <c r="C110" s="312" t="s">
        <v>573</v>
      </c>
      <c r="D110" s="131" t="s">
        <v>428</v>
      </c>
      <c r="E110" s="312" t="n">
        <v>0.25</v>
      </c>
      <c r="F110" s="312"/>
      <c r="G110" s="312" t="s">
        <v>784</v>
      </c>
      <c r="H110" s="131" t="s">
        <v>2940</v>
      </c>
      <c r="I110" s="138"/>
      <c r="J110" s="131" t="s">
        <v>2941</v>
      </c>
      <c r="K110" s="311" t="s">
        <v>211</v>
      </c>
      <c r="L110" s="131" t="s">
        <v>2458</v>
      </c>
      <c r="M110" s="312"/>
      <c r="N110" s="138"/>
      <c r="O110" s="312" t="s">
        <v>2426</v>
      </c>
      <c r="P110" s="311" t="s">
        <v>1627</v>
      </c>
      <c r="Q110" s="312"/>
      <c r="R110" s="312"/>
      <c r="S110" s="138"/>
      <c r="T110" s="138"/>
      <c r="U110" s="312"/>
      <c r="V110" s="311" t="s">
        <v>2428</v>
      </c>
      <c r="W110" s="138"/>
      <c r="X110" s="311" t="str">
        <f aca="false">IF(O110="","ไม่มีผู้ทำ (R) ","")&amp;IF(P110="","ไม่มีผู้อนุมัติ (A) ","")&amp;IF(AND(C110="งาน",J110=""),"ไม่มีเกณฑ์เสร็จ ","")</f>
        <v/>
      </c>
    </row>
    <row r="111" customFormat="false" ht="35.05" hidden="false" customHeight="false" outlineLevel="0" collapsed="false">
      <c r="A111" s="311" t="s">
        <v>430</v>
      </c>
      <c r="B111" s="312" t="n">
        <v>3</v>
      </c>
      <c r="C111" s="312" t="s">
        <v>573</v>
      </c>
      <c r="D111" s="138" t="s">
        <v>2942</v>
      </c>
      <c r="E111" s="312" t="n">
        <v>0.75</v>
      </c>
      <c r="F111" s="312"/>
      <c r="G111" s="312" t="s">
        <v>784</v>
      </c>
      <c r="H111" s="131" t="s">
        <v>2943</v>
      </c>
      <c r="I111" s="138"/>
      <c r="J111" s="138" t="s">
        <v>2944</v>
      </c>
      <c r="K111" s="311" t="s">
        <v>211</v>
      </c>
      <c r="L111" s="138"/>
      <c r="M111" s="312"/>
      <c r="N111" s="131" t="s">
        <v>2945</v>
      </c>
      <c r="O111" s="312" t="s">
        <v>1734</v>
      </c>
      <c r="P111" s="312" t="s">
        <v>2426</v>
      </c>
      <c r="Q111" s="312"/>
      <c r="R111" s="312"/>
      <c r="S111" s="131" t="s">
        <v>2946</v>
      </c>
      <c r="T111" s="138"/>
      <c r="U111" s="312"/>
      <c r="V111" s="311" t="s">
        <v>2428</v>
      </c>
      <c r="W111" s="138"/>
      <c r="X111" s="311" t="str">
        <f aca="false">IF(O111="","ไม่มีผู้ทำ (R) ","")&amp;IF(P111="","ไม่มีผู้อนุมัติ (A) ","")&amp;IF(AND(C111="งาน",J111=""),"ไม่มีเกณฑ์เสร็จ ","")</f>
        <v/>
      </c>
    </row>
    <row r="112" customFormat="false" ht="15" hidden="false" customHeight="false" outlineLevel="0" collapsed="false">
      <c r="A112" s="311" t="s">
        <v>433</v>
      </c>
      <c r="B112" s="312" t="n">
        <v>3</v>
      </c>
      <c r="C112" s="312" t="s">
        <v>573</v>
      </c>
      <c r="D112" s="138" t="s">
        <v>2947</v>
      </c>
      <c r="E112" s="312" t="n">
        <v>0.25</v>
      </c>
      <c r="F112" s="312"/>
      <c r="G112" s="312" t="s">
        <v>784</v>
      </c>
      <c r="H112" s="131" t="s">
        <v>2948</v>
      </c>
      <c r="I112" s="138"/>
      <c r="J112" s="138" t="s">
        <v>2949</v>
      </c>
      <c r="K112" s="311" t="s">
        <v>211</v>
      </c>
      <c r="L112" s="138" t="s">
        <v>2950</v>
      </c>
      <c r="M112" s="312"/>
      <c r="N112" s="138"/>
      <c r="O112" s="312" t="s">
        <v>1734</v>
      </c>
      <c r="P112" s="312" t="s">
        <v>2426</v>
      </c>
      <c r="Q112" s="312"/>
      <c r="R112" s="312"/>
      <c r="S112" s="131" t="s">
        <v>2951</v>
      </c>
      <c r="T112" s="138"/>
      <c r="U112" s="312"/>
      <c r="V112" s="311" t="s">
        <v>2428</v>
      </c>
      <c r="W112" s="138"/>
      <c r="X112" s="311" t="str">
        <f aca="false">IF(O112="","ไม่มีผู้ทำ (R) ","")&amp;IF(P112="","ไม่มีผู้อนุมัติ (A) ","")&amp;IF(AND(C112="งาน",J112=""),"ไม่มีเกณฑ์เสร็จ ","")</f>
        <v/>
      </c>
    </row>
    <row r="113" customFormat="false" ht="23.85" hidden="false" customHeight="false" outlineLevel="0" collapsed="false">
      <c r="A113" s="311" t="s">
        <v>436</v>
      </c>
      <c r="B113" s="312" t="n">
        <v>3</v>
      </c>
      <c r="C113" s="312" t="s">
        <v>573</v>
      </c>
      <c r="D113" s="138" t="s">
        <v>2952</v>
      </c>
      <c r="E113" s="312" t="n">
        <v>0.25</v>
      </c>
      <c r="F113" s="312"/>
      <c r="G113" s="312" t="s">
        <v>784</v>
      </c>
      <c r="H113" s="138" t="s">
        <v>2953</v>
      </c>
      <c r="I113" s="138"/>
      <c r="J113" s="138" t="s">
        <v>2954</v>
      </c>
      <c r="K113" s="311" t="s">
        <v>211</v>
      </c>
      <c r="L113" s="138"/>
      <c r="M113" s="312"/>
      <c r="N113" s="138"/>
      <c r="O113" s="312" t="s">
        <v>1734</v>
      </c>
      <c r="P113" s="312" t="s">
        <v>2426</v>
      </c>
      <c r="Q113" s="312"/>
      <c r="R113" s="312"/>
      <c r="S113" s="138" t="s">
        <v>2955</v>
      </c>
      <c r="T113" s="138"/>
      <c r="U113" s="312"/>
      <c r="V113" s="311" t="s">
        <v>2428</v>
      </c>
      <c r="W113" s="138"/>
      <c r="X113" s="311" t="str">
        <f aca="false">IF(O113="","ไม่มีผู้ทำ (R) ","")&amp;IF(P113="","ไม่มีผู้อนุมัติ (A) ","")&amp;IF(AND(C113="งาน",J113=""),"ไม่มีเกณฑ์เสร็จ ","")</f>
        <v/>
      </c>
    </row>
    <row r="114" customFormat="false" ht="23.85" hidden="false" customHeight="false" outlineLevel="0" collapsed="false">
      <c r="A114" s="311" t="s">
        <v>439</v>
      </c>
      <c r="B114" s="312" t="n">
        <v>3</v>
      </c>
      <c r="C114" s="312" t="s">
        <v>573</v>
      </c>
      <c r="D114" s="138" t="s">
        <v>2956</v>
      </c>
      <c r="E114" s="312" t="n">
        <v>0.5</v>
      </c>
      <c r="F114" s="312"/>
      <c r="G114" s="312" t="s">
        <v>784</v>
      </c>
      <c r="H114" s="131" t="s">
        <v>2957</v>
      </c>
      <c r="I114" s="138"/>
      <c r="J114" s="138" t="s">
        <v>2958</v>
      </c>
      <c r="K114" s="311" t="s">
        <v>211</v>
      </c>
      <c r="L114" s="138"/>
      <c r="M114" s="312"/>
      <c r="N114" s="138"/>
      <c r="O114" s="312" t="s">
        <v>1734</v>
      </c>
      <c r="P114" s="312" t="s">
        <v>2426</v>
      </c>
      <c r="Q114" s="312"/>
      <c r="R114" s="312"/>
      <c r="S114" s="138" t="s">
        <v>2563</v>
      </c>
      <c r="T114" s="138"/>
      <c r="U114" s="312"/>
      <c r="V114" s="311" t="s">
        <v>2428</v>
      </c>
      <c r="W114" s="138"/>
      <c r="X114" s="311" t="str">
        <f aca="false">IF(O114="","ไม่มีผู้ทำ (R) ","")&amp;IF(P114="","ไม่มีผู้อนุมัติ (A) ","")&amp;IF(AND(C114="งาน",J114=""),"ไม่มีเกณฑ์เสร็จ ","")</f>
        <v/>
      </c>
    </row>
    <row r="115" customFormat="false" ht="23.85" hidden="false" customHeight="false" outlineLevel="0" collapsed="false">
      <c r="A115" s="311" t="s">
        <v>442</v>
      </c>
      <c r="B115" s="312" t="n">
        <v>3</v>
      </c>
      <c r="C115" s="312" t="s">
        <v>573</v>
      </c>
      <c r="D115" s="138" t="s">
        <v>2959</v>
      </c>
      <c r="E115" s="312" t="n">
        <v>0.5</v>
      </c>
      <c r="F115" s="312"/>
      <c r="G115" s="312" t="s">
        <v>784</v>
      </c>
      <c r="H115" s="131" t="s">
        <v>2960</v>
      </c>
      <c r="I115" s="138"/>
      <c r="J115" s="138" t="s">
        <v>2961</v>
      </c>
      <c r="K115" s="311" t="s">
        <v>211</v>
      </c>
      <c r="L115" s="138"/>
      <c r="M115" s="312"/>
      <c r="N115" s="131" t="s">
        <v>2962</v>
      </c>
      <c r="O115" s="312" t="s">
        <v>1734</v>
      </c>
      <c r="P115" s="312" t="s">
        <v>2426</v>
      </c>
      <c r="Q115" s="312"/>
      <c r="R115" s="312"/>
      <c r="S115" s="131" t="s">
        <v>1204</v>
      </c>
      <c r="T115" s="138"/>
      <c r="U115" s="312"/>
      <c r="V115" s="311" t="s">
        <v>2428</v>
      </c>
      <c r="W115" s="138"/>
      <c r="X115" s="311" t="str">
        <f aca="false">IF(O115="","ไม่มีผู้ทำ (R) ","")&amp;IF(P115="","ไม่มีผู้อนุมัติ (A) ","")&amp;IF(AND(C115="งาน",J115=""),"ไม่มีเกณฑ์เสร็จ ","")</f>
        <v/>
      </c>
    </row>
    <row r="116" customFormat="false" ht="15" hidden="false" customHeight="false" outlineLevel="0" collapsed="false">
      <c r="A116" s="311" t="s">
        <v>1493</v>
      </c>
      <c r="B116" s="312" t="n">
        <v>3</v>
      </c>
      <c r="C116" s="312" t="s">
        <v>2636</v>
      </c>
      <c r="D116" s="138" t="s">
        <v>2963</v>
      </c>
      <c r="E116" s="312" t="n">
        <v>0</v>
      </c>
      <c r="F116" s="312"/>
      <c r="G116" s="312" t="s">
        <v>784</v>
      </c>
      <c r="H116" s="138" t="s">
        <v>2964</v>
      </c>
      <c r="I116" s="138"/>
      <c r="J116" s="138"/>
      <c r="K116" s="311" t="s">
        <v>2639</v>
      </c>
      <c r="L116" s="138"/>
      <c r="M116" s="312"/>
      <c r="N116" s="138"/>
      <c r="O116" s="312" t="s">
        <v>2426</v>
      </c>
      <c r="P116" s="311" t="s">
        <v>1627</v>
      </c>
      <c r="Q116" s="312" t="s">
        <v>2516</v>
      </c>
      <c r="R116" s="312"/>
      <c r="S116" s="138"/>
      <c r="T116" s="138"/>
      <c r="U116" s="312"/>
      <c r="V116" s="311" t="s">
        <v>2965</v>
      </c>
      <c r="W116" s="138"/>
      <c r="X116" s="311" t="str">
        <f aca="false">IF(O116="","ไม่มีผู้ทำ (R) ","")&amp;IF(P116="","ไม่มีผู้อนุมัติ (A) ","")&amp;IF(AND(C116="งาน",J116=""),"ไม่มีเกณฑ์เสร็จ ","")</f>
        <v/>
      </c>
    </row>
    <row r="117" customFormat="false" ht="15" hidden="false" customHeight="false" outlineLevel="0" collapsed="false">
      <c r="A117" s="311" t="s">
        <v>1800</v>
      </c>
      <c r="B117" s="312" t="n">
        <v>3</v>
      </c>
      <c r="C117" s="312" t="s">
        <v>573</v>
      </c>
      <c r="D117" s="138" t="s">
        <v>2966</v>
      </c>
      <c r="E117" s="312" t="n">
        <v>0</v>
      </c>
      <c r="F117" s="312"/>
      <c r="G117" s="312" t="s">
        <v>784</v>
      </c>
      <c r="H117" s="131" t="s">
        <v>2967</v>
      </c>
      <c r="I117" s="138"/>
      <c r="J117" s="131" t="s">
        <v>2968</v>
      </c>
      <c r="K117" s="311" t="s">
        <v>211</v>
      </c>
      <c r="L117" s="131" t="s">
        <v>2969</v>
      </c>
      <c r="M117" s="312"/>
      <c r="N117" s="138"/>
      <c r="O117" s="312" t="s">
        <v>2426</v>
      </c>
      <c r="P117" s="311" t="s">
        <v>1627</v>
      </c>
      <c r="Q117" s="312"/>
      <c r="R117" s="312"/>
      <c r="S117" s="138"/>
      <c r="T117" s="138"/>
      <c r="U117" s="312"/>
      <c r="V117" s="311" t="s">
        <v>2970</v>
      </c>
      <c r="W117" s="138"/>
      <c r="X117" s="311" t="str">
        <f aca="false">IF(O117="","ไม่มีผู้ทำ (R) ","")&amp;IF(P117="","ไม่มีผู้อนุมัติ (A) ","")&amp;IF(AND(C117="งาน",J117=""),"ไม่มีเกณฑ์เสร็จ ","")</f>
        <v/>
      </c>
    </row>
    <row r="118" customFormat="false" ht="23.85" hidden="false" customHeight="false" outlineLevel="0" collapsed="false">
      <c r="A118" s="306" t="s">
        <v>2030</v>
      </c>
      <c r="B118" s="306" t="n">
        <v>2</v>
      </c>
      <c r="C118" s="307" t="s">
        <v>573</v>
      </c>
      <c r="D118" s="309" t="s">
        <v>2971</v>
      </c>
      <c r="E118" s="306" t="n">
        <v>2.5</v>
      </c>
      <c r="F118" s="306"/>
      <c r="G118" s="307" t="s">
        <v>784</v>
      </c>
      <c r="H118" s="308"/>
      <c r="I118" s="309" t="s">
        <v>2972</v>
      </c>
      <c r="J118" s="309" t="s">
        <v>2973</v>
      </c>
      <c r="K118" s="306" t="s">
        <v>211</v>
      </c>
      <c r="L118" s="309" t="s">
        <v>2974</v>
      </c>
      <c r="M118" s="306"/>
      <c r="N118" s="309" t="s">
        <v>2975</v>
      </c>
      <c r="O118" s="307" t="s">
        <v>2416</v>
      </c>
      <c r="P118" s="306" t="s">
        <v>1627</v>
      </c>
      <c r="Q118" s="307" t="s">
        <v>2503</v>
      </c>
      <c r="R118" s="306"/>
      <c r="S118" s="308"/>
      <c r="T118" s="308"/>
      <c r="U118" s="306" t="s">
        <v>2976</v>
      </c>
      <c r="V118" s="306" t="s">
        <v>2977</v>
      </c>
      <c r="W118" s="308" t="s">
        <v>2978</v>
      </c>
      <c r="X118" s="306" t="str">
        <f aca="false">IF(O118="","ไม่มีผู้ทำ (R) ","")&amp;IF(P118="","ไม่มีผู้อนุมัติ (A) ","")&amp;IF(SUMPRODUCT((LEFT($A$5:$A$128,LEN(A118)+1)=A118&amp;".")*1)=0,"",IF(ABS(SUMPRODUCT((LEFT($A$5:$A$128,LEN(A118)+1)=A118&amp;".")*($G$5:$G$128&lt;&gt;"LV")*$E$5:$E$128)-E118)&gt;0.001,"งานย่อยรวมไม่เท่างานแม่ (100%) ",""))&amp;IF(F118="","",IF(ABS(SUMPRODUCT((LEFT($A$5:$A$128,LEN(A118)+1)=A118&amp;".")*$F$5:$F$128)-F118)&gt;0.001,"≥ 200 kVA: งานย่อยรวมไม่เท่างานแม่ (100%) ",""))&amp;IF(J118="","ไม่มีเกณฑ์เสร็จ ","")</f>
        <v/>
      </c>
    </row>
    <row r="119" customFormat="false" ht="15" hidden="false" customHeight="false" outlineLevel="0" collapsed="false">
      <c r="A119" s="311" t="s">
        <v>445</v>
      </c>
      <c r="B119" s="312" t="n">
        <v>3</v>
      </c>
      <c r="C119" s="312" t="s">
        <v>573</v>
      </c>
      <c r="D119" s="138" t="s">
        <v>2979</v>
      </c>
      <c r="E119" s="312" t="n">
        <v>0.75</v>
      </c>
      <c r="F119" s="312"/>
      <c r="G119" s="312" t="s">
        <v>784</v>
      </c>
      <c r="H119" s="138" t="s">
        <v>2980</v>
      </c>
      <c r="I119" s="138"/>
      <c r="J119" s="138" t="s">
        <v>2981</v>
      </c>
      <c r="K119" s="311" t="s">
        <v>211</v>
      </c>
      <c r="L119" s="138" t="s">
        <v>2982</v>
      </c>
      <c r="M119" s="312"/>
      <c r="N119" s="138"/>
      <c r="O119" s="312" t="s">
        <v>2426</v>
      </c>
      <c r="P119" s="311" t="s">
        <v>1627</v>
      </c>
      <c r="Q119" s="312" t="s">
        <v>2516</v>
      </c>
      <c r="R119" s="312"/>
      <c r="S119" s="138"/>
      <c r="T119" s="138"/>
      <c r="U119" s="312"/>
      <c r="V119" s="311" t="s">
        <v>2428</v>
      </c>
      <c r="W119" s="138"/>
      <c r="X119" s="311" t="str">
        <f aca="false">IF(O119="","ไม่มีผู้ทำ (R) ","")&amp;IF(P119="","ไม่มีผู้อนุมัติ (A) ","")&amp;IF(AND(C119="งาน",J119=""),"ไม่มีเกณฑ์เสร็จ ","")</f>
        <v/>
      </c>
    </row>
    <row r="120" customFormat="false" ht="35.05" hidden="false" customHeight="false" outlineLevel="0" collapsed="false">
      <c r="A120" s="311" t="s">
        <v>448</v>
      </c>
      <c r="B120" s="312" t="n">
        <v>3</v>
      </c>
      <c r="C120" s="312" t="s">
        <v>573</v>
      </c>
      <c r="D120" s="138" t="s">
        <v>2983</v>
      </c>
      <c r="E120" s="312" t="n">
        <v>1</v>
      </c>
      <c r="F120" s="312"/>
      <c r="G120" s="312" t="s">
        <v>784</v>
      </c>
      <c r="H120" s="131" t="s">
        <v>2984</v>
      </c>
      <c r="I120" s="138"/>
      <c r="J120" s="131" t="s">
        <v>2985</v>
      </c>
      <c r="K120" s="311" t="s">
        <v>211</v>
      </c>
      <c r="L120" s="131" t="s">
        <v>2986</v>
      </c>
      <c r="M120" s="312"/>
      <c r="N120" s="138" t="s">
        <v>2987</v>
      </c>
      <c r="O120" s="312" t="s">
        <v>2426</v>
      </c>
      <c r="P120" s="311" t="s">
        <v>1627</v>
      </c>
      <c r="Q120" s="312" t="s">
        <v>2516</v>
      </c>
      <c r="R120" s="312"/>
      <c r="S120" s="138"/>
      <c r="T120" s="138"/>
      <c r="U120" s="312"/>
      <c r="V120" s="311" t="s">
        <v>2428</v>
      </c>
      <c r="W120" s="138"/>
      <c r="X120" s="311" t="str">
        <f aca="false">IF(O120="","ไม่มีผู้ทำ (R) ","")&amp;IF(P120="","ไม่มีผู้อนุมัติ (A) ","")&amp;IF(AND(C120="งาน",J120=""),"ไม่มีเกณฑ์เสร็จ ","")</f>
        <v/>
      </c>
    </row>
    <row r="121" customFormat="false" ht="23.85" hidden="false" customHeight="false" outlineLevel="0" collapsed="false">
      <c r="A121" s="311" t="s">
        <v>451</v>
      </c>
      <c r="B121" s="312" t="n">
        <v>3</v>
      </c>
      <c r="C121" s="312" t="s">
        <v>573</v>
      </c>
      <c r="D121" s="131" t="s">
        <v>2988</v>
      </c>
      <c r="E121" s="312" t="n">
        <v>0.75</v>
      </c>
      <c r="F121" s="312"/>
      <c r="G121" s="312" t="s">
        <v>784</v>
      </c>
      <c r="H121" s="131" t="s">
        <v>2989</v>
      </c>
      <c r="I121" s="138"/>
      <c r="J121" s="131" t="s">
        <v>2990</v>
      </c>
      <c r="K121" s="311" t="s">
        <v>211</v>
      </c>
      <c r="L121" s="138"/>
      <c r="M121" s="312"/>
      <c r="N121" s="138"/>
      <c r="O121" s="312" t="s">
        <v>2426</v>
      </c>
      <c r="P121" s="311" t="s">
        <v>1627</v>
      </c>
      <c r="Q121" s="312" t="s">
        <v>2516</v>
      </c>
      <c r="R121" s="312"/>
      <c r="S121" s="138"/>
      <c r="T121" s="138"/>
      <c r="U121" s="312"/>
      <c r="V121" s="311" t="s">
        <v>2428</v>
      </c>
      <c r="W121" s="138"/>
      <c r="X121" s="311" t="str">
        <f aca="false">IF(O121="","ไม่มีผู้ทำ (R) ","")&amp;IF(P121="","ไม่มีผู้อนุมัติ (A) ","")&amp;IF(AND(C121="งาน",J121=""),"ไม่มีเกณฑ์เสร็จ ","")</f>
        <v/>
      </c>
    </row>
    <row r="122" customFormat="false" ht="21.6" hidden="false" customHeight="false" outlineLevel="0" collapsed="false">
      <c r="A122" s="311" t="s">
        <v>1496</v>
      </c>
      <c r="B122" s="312" t="n">
        <v>3</v>
      </c>
      <c r="C122" s="312" t="s">
        <v>573</v>
      </c>
      <c r="D122" s="138" t="s">
        <v>2991</v>
      </c>
      <c r="E122" s="312" t="n">
        <v>0</v>
      </c>
      <c r="F122" s="312"/>
      <c r="G122" s="312" t="s">
        <v>784</v>
      </c>
      <c r="H122" s="138" t="s">
        <v>2992</v>
      </c>
      <c r="I122" s="138"/>
      <c r="J122" s="138" t="s">
        <v>2993</v>
      </c>
      <c r="K122" s="311" t="s">
        <v>211</v>
      </c>
      <c r="L122" s="138" t="s">
        <v>2994</v>
      </c>
      <c r="M122" s="312"/>
      <c r="N122" s="138"/>
      <c r="O122" s="312" t="s">
        <v>1734</v>
      </c>
      <c r="P122" s="312" t="s">
        <v>2426</v>
      </c>
      <c r="Q122" s="312"/>
      <c r="R122" s="312"/>
      <c r="S122" s="138"/>
      <c r="T122" s="138"/>
      <c r="U122" s="312"/>
      <c r="V122" s="311" t="s">
        <v>2995</v>
      </c>
      <c r="W122" s="138"/>
      <c r="X122" s="311" t="str">
        <f aca="false">IF(O122="","ไม่มีผู้ทำ (R) ","")&amp;IF(P122="","ไม่มีผู้อนุมัติ (A) ","")&amp;IF(AND(C122="งาน",J122=""),"ไม่มีเกณฑ์เสร็จ ","")</f>
        <v/>
      </c>
    </row>
    <row r="123" customFormat="false" ht="15" hidden="false" customHeight="false" outlineLevel="0" collapsed="false">
      <c r="A123" s="311" t="s">
        <v>2036</v>
      </c>
      <c r="B123" s="312" t="n">
        <v>3</v>
      </c>
      <c r="C123" s="312" t="s">
        <v>573</v>
      </c>
      <c r="D123" s="131" t="s">
        <v>2996</v>
      </c>
      <c r="E123" s="312" t="n">
        <v>0</v>
      </c>
      <c r="F123" s="312"/>
      <c r="G123" s="312" t="s">
        <v>784</v>
      </c>
      <c r="H123" s="138"/>
      <c r="I123" s="138"/>
      <c r="J123" s="131" t="s">
        <v>2997</v>
      </c>
      <c r="K123" s="311" t="s">
        <v>211</v>
      </c>
      <c r="L123" s="138"/>
      <c r="M123" s="312"/>
      <c r="N123" s="138"/>
      <c r="O123" s="311" t="s">
        <v>131</v>
      </c>
      <c r="P123" s="312" t="s">
        <v>2426</v>
      </c>
      <c r="Q123" s="312"/>
      <c r="R123" s="312"/>
      <c r="S123" s="138"/>
      <c r="T123" s="138"/>
      <c r="U123" s="312"/>
      <c r="V123" s="311" t="s">
        <v>2998</v>
      </c>
      <c r="W123" s="138"/>
      <c r="X123" s="311" t="str">
        <f aca="false">IF(O123="","ไม่มีผู้ทำ (R) ","")&amp;IF(P123="","ไม่มีผู้อนุมัติ (A) ","")&amp;IF(AND(C123="งาน",J123=""),"ไม่มีเกณฑ์เสร็จ ","")</f>
        <v/>
      </c>
    </row>
    <row r="124" customFormat="false" ht="15" hidden="false" customHeight="false" outlineLevel="0" collapsed="false">
      <c r="A124" s="311" t="s">
        <v>2038</v>
      </c>
      <c r="B124" s="312" t="n">
        <v>3</v>
      </c>
      <c r="C124" s="312" t="s">
        <v>573</v>
      </c>
      <c r="D124" s="131" t="s">
        <v>2999</v>
      </c>
      <c r="E124" s="312" t="n">
        <v>0</v>
      </c>
      <c r="F124" s="312"/>
      <c r="G124" s="312" t="s">
        <v>784</v>
      </c>
      <c r="H124" s="138"/>
      <c r="I124" s="138"/>
      <c r="J124" s="131" t="s">
        <v>3000</v>
      </c>
      <c r="K124" s="311" t="s">
        <v>211</v>
      </c>
      <c r="L124" s="138"/>
      <c r="M124" s="312"/>
      <c r="N124" s="138"/>
      <c r="O124" s="311" t="s">
        <v>131</v>
      </c>
      <c r="P124" s="312" t="s">
        <v>2426</v>
      </c>
      <c r="Q124" s="312"/>
      <c r="R124" s="312"/>
      <c r="S124" s="138"/>
      <c r="T124" s="138"/>
      <c r="U124" s="312"/>
      <c r="V124" s="311" t="s">
        <v>3001</v>
      </c>
      <c r="W124" s="138"/>
      <c r="X124" s="311" t="str">
        <f aca="false">IF(O124="","ไม่มีผู้ทำ (R) ","")&amp;IF(P124="","ไม่มีผู้อนุมัติ (A) ","")&amp;IF(AND(C124="งาน",J124=""),"ไม่มีเกณฑ์เสร็จ ","")</f>
        <v/>
      </c>
    </row>
    <row r="125" customFormat="false" ht="23.85" hidden="false" customHeight="false" outlineLevel="0" collapsed="false">
      <c r="A125" s="311" t="s">
        <v>2040</v>
      </c>
      <c r="B125" s="312" t="n">
        <v>3</v>
      </c>
      <c r="C125" s="312" t="s">
        <v>573</v>
      </c>
      <c r="D125" s="138" t="s">
        <v>3002</v>
      </c>
      <c r="E125" s="312" t="n">
        <v>0</v>
      </c>
      <c r="F125" s="312"/>
      <c r="G125" s="312" t="s">
        <v>784</v>
      </c>
      <c r="H125" s="131" t="s">
        <v>3003</v>
      </c>
      <c r="I125" s="138"/>
      <c r="J125" s="138" t="s">
        <v>3004</v>
      </c>
      <c r="K125" s="311" t="s">
        <v>211</v>
      </c>
      <c r="L125" s="138"/>
      <c r="M125" s="312"/>
      <c r="N125" s="138"/>
      <c r="O125" s="312" t="s">
        <v>2426</v>
      </c>
      <c r="P125" s="311" t="s">
        <v>1627</v>
      </c>
      <c r="Q125" s="312" t="s">
        <v>2516</v>
      </c>
      <c r="R125" s="312"/>
      <c r="S125" s="138"/>
      <c r="T125" s="138"/>
      <c r="U125" s="312"/>
      <c r="V125" s="311" t="s">
        <v>3005</v>
      </c>
      <c r="W125" s="138"/>
      <c r="X125" s="311" t="str">
        <f aca="false">IF(O125="","ไม่มีผู้ทำ (R) ","")&amp;IF(P125="","ไม่มีผู้อนุมัติ (A) ","")&amp;IF(AND(C125="งาน",J125=""),"ไม่มีเกณฑ์เสร็จ ","")</f>
        <v/>
      </c>
    </row>
    <row r="126" customFormat="false" ht="23.85" hidden="false" customHeight="false" outlineLevel="0" collapsed="false">
      <c r="A126" s="306" t="s">
        <v>2042</v>
      </c>
      <c r="B126" s="306" t="n">
        <v>2</v>
      </c>
      <c r="C126" s="307" t="s">
        <v>573</v>
      </c>
      <c r="D126" s="308" t="s">
        <v>3006</v>
      </c>
      <c r="E126" s="306" t="n">
        <v>0</v>
      </c>
      <c r="F126" s="306"/>
      <c r="G126" s="307" t="s">
        <v>784</v>
      </c>
      <c r="H126" s="308"/>
      <c r="I126" s="309" t="s">
        <v>3007</v>
      </c>
      <c r="J126" s="309" t="s">
        <v>3008</v>
      </c>
      <c r="K126" s="307" t="s">
        <v>3009</v>
      </c>
      <c r="L126" s="308"/>
      <c r="M126" s="306"/>
      <c r="N126" s="308"/>
      <c r="O126" s="307" t="s">
        <v>1810</v>
      </c>
      <c r="P126" s="306" t="s">
        <v>1627</v>
      </c>
      <c r="Q126" s="306"/>
      <c r="R126" s="306"/>
      <c r="S126" s="308"/>
      <c r="T126" s="308"/>
      <c r="U126" s="306"/>
      <c r="V126" s="306"/>
      <c r="W126" s="308" t="s">
        <v>3010</v>
      </c>
      <c r="X126" s="306" t="str">
        <f aca="false">IF(O126="","ไม่มีผู้ทำ (R) ","")&amp;IF(P126="","ไม่มีผู้อนุมัติ (A) ","")&amp;IF(SUMPRODUCT((LEFT($A$5:$A$128,LEN(A126)+1)=A126&amp;".")*1)=0,"",IF(ABS(SUMPRODUCT((LEFT($A$5:$A$128,LEN(A126)+1)=A126&amp;".")*($G$5:$G$128&lt;&gt;"LV")*$E$5:$E$128)-E126)&gt;0.001,"งานย่อยรวมไม่เท่างานแม่ (100%) ",""))&amp;IF(F126="","",IF(ABS(SUMPRODUCT((LEFT($A$5:$A$128,LEN(A126)+1)=A126&amp;".")*$F$5:$F$128)-F126)&gt;0.001,"≥ 200 kVA: งานย่อยรวมไม่เท่างานแม่ (100%) ",""))&amp;IF(J126="","ไม่มีเกณฑ์เสร็จ ","")</f>
        <v/>
      </c>
    </row>
    <row r="127" customFormat="false" ht="21.6" hidden="false" customHeight="false" outlineLevel="0" collapsed="false">
      <c r="A127" s="306" t="s">
        <v>2045</v>
      </c>
      <c r="B127" s="306" t="n">
        <v>2</v>
      </c>
      <c r="C127" s="307" t="s">
        <v>573</v>
      </c>
      <c r="D127" s="308" t="s">
        <v>2046</v>
      </c>
      <c r="E127" s="306" t="n">
        <v>0</v>
      </c>
      <c r="F127" s="306"/>
      <c r="G127" s="307" t="s">
        <v>784</v>
      </c>
      <c r="H127" s="308"/>
      <c r="I127" s="309" t="s">
        <v>3011</v>
      </c>
      <c r="J127" s="308" t="s">
        <v>3012</v>
      </c>
      <c r="K127" s="307" t="s">
        <v>3009</v>
      </c>
      <c r="L127" s="308"/>
      <c r="M127" s="306"/>
      <c r="N127" s="308"/>
      <c r="O127" s="306" t="s">
        <v>131</v>
      </c>
      <c r="P127" s="306" t="s">
        <v>1627</v>
      </c>
      <c r="Q127" s="306"/>
      <c r="R127" s="306"/>
      <c r="S127" s="308"/>
      <c r="T127" s="308"/>
      <c r="U127" s="306"/>
      <c r="V127" s="306"/>
      <c r="W127" s="308" t="s">
        <v>2505</v>
      </c>
      <c r="X127" s="306" t="str">
        <f aca="false">IF(O127="","ไม่มีผู้ทำ (R) ","")&amp;IF(P127="","ไม่มีผู้อนุมัติ (A) ","")&amp;IF(SUMPRODUCT((LEFT($A$5:$A$128,LEN(A127)+1)=A127&amp;".")*1)=0,"",IF(ABS(SUMPRODUCT((LEFT($A$5:$A$128,LEN(A127)+1)=A127&amp;".")*($G$5:$G$128&lt;&gt;"LV")*$E$5:$E$128)-E127)&gt;0.001,"งานย่อยรวมไม่เท่างานแม่ (100%) ",""))&amp;IF(F127="","",IF(ABS(SUMPRODUCT((LEFT($A$5:$A$128,LEN(A127)+1)=A127&amp;".")*$F$5:$F$128)-F127)&gt;0.001,"≥ 200 kVA: งานย่อยรวมไม่เท่างานแม่ (100%) ",""))&amp;IF(J127="","ไม่มีเกณฑ์เสร็จ ","")</f>
        <v/>
      </c>
    </row>
    <row r="128" customFormat="false" ht="23.85" hidden="false" customHeight="false" outlineLevel="0" collapsed="false">
      <c r="A128" s="306" t="s">
        <v>2047</v>
      </c>
      <c r="B128" s="306" t="n">
        <v>2</v>
      </c>
      <c r="C128" s="307" t="s">
        <v>573</v>
      </c>
      <c r="D128" s="308" t="s">
        <v>3013</v>
      </c>
      <c r="E128" s="306" t="n">
        <v>0</v>
      </c>
      <c r="F128" s="306"/>
      <c r="G128" s="307" t="s">
        <v>784</v>
      </c>
      <c r="H128" s="308"/>
      <c r="I128" s="308" t="s">
        <v>3014</v>
      </c>
      <c r="J128" s="309" t="s">
        <v>3015</v>
      </c>
      <c r="K128" s="307" t="s">
        <v>3009</v>
      </c>
      <c r="L128" s="308"/>
      <c r="M128" s="306"/>
      <c r="N128" s="308"/>
      <c r="O128" s="307" t="s">
        <v>1810</v>
      </c>
      <c r="P128" s="307" t="s">
        <v>2416</v>
      </c>
      <c r="Q128" s="307" t="s">
        <v>2503</v>
      </c>
      <c r="R128" s="306"/>
      <c r="S128" s="308" t="s">
        <v>1204</v>
      </c>
      <c r="T128" s="308"/>
      <c r="U128" s="306"/>
      <c r="V128" s="306"/>
      <c r="W128" s="308" t="s">
        <v>3016</v>
      </c>
      <c r="X128" s="306" t="str">
        <f aca="false">IF(O128="","ไม่มีผู้ทำ (R) ","")&amp;IF(P128="","ไม่มีผู้อนุมัติ (A) ","")&amp;IF(SUMPRODUCT((LEFT($A$5:$A$128,LEN(A128)+1)=A128&amp;".")*1)=0,"",IF(ABS(SUMPRODUCT((LEFT($A$5:$A$128,LEN(A128)+1)=A128&amp;".")*($G$5:$G$128&lt;&gt;"LV")*$E$5:$E$128)-E128)&gt;0.001,"งานย่อยรวมไม่เท่างานแม่ (100%) ",""))&amp;IF(F128="","",IF(ABS(SUMPRODUCT((LEFT($A$5:$A$128,LEN(A128)+1)=A128&amp;".")*$F$5:$F$128)-F128)&gt;0.001,"≥ 200 kVA: งานย่อยรวมไม่เท่างานแม่ (100%) ",""))&amp;IF(J128="","ไม่มีเกณฑ์เสร็จ ","")</f>
        <v/>
      </c>
    </row>
    <row r="131" customFormat="false" ht="15" hidden="false" customHeight="false" outlineLevel="0" collapsed="false">
      <c r="A131" s="27" t="s">
        <v>3017</v>
      </c>
    </row>
    <row r="132" customFormat="false" ht="15" hidden="false" customHeight="false" outlineLevel="0" collapsed="false">
      <c r="A132" s="38" t="s">
        <v>3018</v>
      </c>
    </row>
    <row r="133" customFormat="false" ht="15" hidden="false" customHeight="false" outlineLevel="0" collapsed="false">
      <c r="A133" s="143" t="s">
        <v>197</v>
      </c>
      <c r="B133" s="144" t="s">
        <v>584</v>
      </c>
      <c r="C133" s="144" t="s">
        <v>605</v>
      </c>
      <c r="D133" s="143" t="s">
        <v>3019</v>
      </c>
      <c r="E133" s="144" t="s">
        <v>869</v>
      </c>
      <c r="F133" s="144" t="s">
        <v>3020</v>
      </c>
    </row>
    <row r="134" customFormat="false" ht="391" hidden="false" customHeight="false" outlineLevel="0" collapsed="false">
      <c r="A134" s="311" t="s">
        <v>3021</v>
      </c>
      <c r="B134" s="315" t="s">
        <v>609</v>
      </c>
      <c r="C134" s="138" t="s">
        <v>3022</v>
      </c>
      <c r="D134" s="312" t="n">
        <v>5</v>
      </c>
      <c r="E134" s="312" t="s">
        <v>3023</v>
      </c>
      <c r="F134" s="131" t="s">
        <v>3024</v>
      </c>
    </row>
    <row r="135" customFormat="false" ht="191.75" hidden="false" customHeight="false" outlineLevel="0" collapsed="false">
      <c r="A135" s="311" t="s">
        <v>3025</v>
      </c>
      <c r="B135" s="312" t="s">
        <v>609</v>
      </c>
      <c r="C135" s="138" t="s">
        <v>3026</v>
      </c>
      <c r="D135" s="312" t="n">
        <v>15</v>
      </c>
      <c r="E135" s="312" t="s">
        <v>3023</v>
      </c>
      <c r="F135" s="138"/>
    </row>
    <row r="136" customFormat="false" ht="106.7" hidden="false" customHeight="false" outlineLevel="0" collapsed="false">
      <c r="A136" s="311" t="s">
        <v>3027</v>
      </c>
      <c r="B136" s="312" t="s">
        <v>609</v>
      </c>
      <c r="C136" s="131" t="s">
        <v>3028</v>
      </c>
      <c r="D136" s="312" t="n">
        <v>25</v>
      </c>
      <c r="E136" s="312" t="s">
        <v>3023</v>
      </c>
      <c r="F136" s="138"/>
    </row>
    <row r="137" customFormat="false" ht="111.15" hidden="false" customHeight="false" outlineLevel="0" collapsed="false">
      <c r="A137" s="311" t="s">
        <v>3029</v>
      </c>
      <c r="B137" s="312" t="s">
        <v>609</v>
      </c>
      <c r="C137" s="131" t="s">
        <v>3030</v>
      </c>
      <c r="D137" s="312" t="n">
        <v>25</v>
      </c>
      <c r="E137" s="312" t="s">
        <v>3023</v>
      </c>
      <c r="F137" s="138"/>
    </row>
    <row r="138" customFormat="false" ht="144.75" hidden="false" customHeight="false" outlineLevel="0" collapsed="false">
      <c r="A138" s="311" t="s">
        <v>3031</v>
      </c>
      <c r="B138" s="312" t="s">
        <v>609</v>
      </c>
      <c r="C138" s="131" t="s">
        <v>3032</v>
      </c>
      <c r="D138" s="312" t="n">
        <v>15</v>
      </c>
      <c r="E138" s="312" t="s">
        <v>3023</v>
      </c>
      <c r="F138" s="138"/>
    </row>
    <row r="139" customFormat="false" ht="52.95" hidden="false" customHeight="false" outlineLevel="0" collapsed="false">
      <c r="A139" s="311" t="s">
        <v>3033</v>
      </c>
      <c r="B139" s="312" t="s">
        <v>609</v>
      </c>
      <c r="C139" s="138" t="s">
        <v>3034</v>
      </c>
      <c r="D139" s="312" t="n">
        <v>5</v>
      </c>
      <c r="E139" s="312" t="s">
        <v>3023</v>
      </c>
      <c r="F139" s="138"/>
    </row>
    <row r="140" customFormat="false" ht="108.95" hidden="false" customHeight="false" outlineLevel="0" collapsed="false">
      <c r="A140" s="311" t="s">
        <v>3035</v>
      </c>
      <c r="B140" s="312" t="s">
        <v>609</v>
      </c>
      <c r="C140" s="131" t="s">
        <v>3036</v>
      </c>
      <c r="D140" s="312" t="n">
        <v>10</v>
      </c>
      <c r="E140" s="312" t="s">
        <v>3023</v>
      </c>
      <c r="F140" s="138"/>
    </row>
    <row r="141" customFormat="false" ht="391" hidden="false" customHeight="false" outlineLevel="0" collapsed="false">
      <c r="A141" s="311" t="s">
        <v>3037</v>
      </c>
      <c r="B141" s="315" t="s">
        <v>624</v>
      </c>
      <c r="C141" s="138" t="s">
        <v>3038</v>
      </c>
      <c r="D141" s="312" t="n">
        <v>5</v>
      </c>
      <c r="E141" s="311" t="s">
        <v>3039</v>
      </c>
      <c r="F141" s="131" t="s">
        <v>3024</v>
      </c>
    </row>
    <row r="142" customFormat="false" ht="191.75" hidden="false" customHeight="false" outlineLevel="0" collapsed="false">
      <c r="A142" s="311" t="s">
        <v>3040</v>
      </c>
      <c r="B142" s="312" t="s">
        <v>624</v>
      </c>
      <c r="C142" s="138" t="s">
        <v>3026</v>
      </c>
      <c r="D142" s="312" t="n">
        <v>15</v>
      </c>
      <c r="E142" s="311" t="s">
        <v>3039</v>
      </c>
      <c r="F142" s="138"/>
    </row>
    <row r="143" customFormat="false" ht="108.95" hidden="false" customHeight="false" outlineLevel="0" collapsed="false">
      <c r="A143" s="311" t="s">
        <v>3041</v>
      </c>
      <c r="B143" s="312" t="s">
        <v>624</v>
      </c>
      <c r="C143" s="131" t="s">
        <v>3042</v>
      </c>
      <c r="D143" s="312" t="n">
        <v>20</v>
      </c>
      <c r="E143" s="311" t="s">
        <v>3039</v>
      </c>
      <c r="F143" s="138"/>
    </row>
    <row r="144" customFormat="false" ht="99.95" hidden="false" customHeight="false" outlineLevel="0" collapsed="false">
      <c r="A144" s="311" t="s">
        <v>3043</v>
      </c>
      <c r="B144" s="312" t="s">
        <v>624</v>
      </c>
      <c r="C144" s="131" t="s">
        <v>3044</v>
      </c>
      <c r="D144" s="312" t="n">
        <v>30</v>
      </c>
      <c r="E144" s="311" t="s">
        <v>3039</v>
      </c>
      <c r="F144" s="138"/>
    </row>
    <row r="145" customFormat="false" ht="144.75" hidden="false" customHeight="false" outlineLevel="0" collapsed="false">
      <c r="A145" s="311" t="s">
        <v>3045</v>
      </c>
      <c r="B145" s="312" t="s">
        <v>624</v>
      </c>
      <c r="C145" s="131" t="s">
        <v>3032</v>
      </c>
      <c r="D145" s="312" t="n">
        <v>15</v>
      </c>
      <c r="E145" s="311" t="s">
        <v>3039</v>
      </c>
      <c r="F145" s="138"/>
    </row>
    <row r="146" customFormat="false" ht="52.95" hidden="false" customHeight="false" outlineLevel="0" collapsed="false">
      <c r="A146" s="311" t="s">
        <v>3046</v>
      </c>
      <c r="B146" s="312" t="s">
        <v>624</v>
      </c>
      <c r="C146" s="138" t="s">
        <v>3034</v>
      </c>
      <c r="D146" s="312" t="n">
        <v>5</v>
      </c>
      <c r="E146" s="311" t="s">
        <v>3039</v>
      </c>
      <c r="F146" s="138"/>
    </row>
    <row r="147" customFormat="false" ht="82.05" hidden="false" customHeight="false" outlineLevel="0" collapsed="false">
      <c r="A147" s="311" t="s">
        <v>3047</v>
      </c>
      <c r="B147" s="312" t="s">
        <v>624</v>
      </c>
      <c r="C147" s="131" t="s">
        <v>3048</v>
      </c>
      <c r="D147" s="312" t="n">
        <v>10</v>
      </c>
      <c r="E147" s="311" t="s">
        <v>3039</v>
      </c>
      <c r="F147" s="138"/>
    </row>
    <row r="148" customFormat="false" ht="391" hidden="false" customHeight="false" outlineLevel="0" collapsed="false">
      <c r="A148" s="311" t="s">
        <v>3049</v>
      </c>
      <c r="B148" s="315" t="s">
        <v>631</v>
      </c>
      <c r="C148" s="138" t="s">
        <v>3050</v>
      </c>
      <c r="D148" s="312" t="n">
        <v>5</v>
      </c>
      <c r="E148" s="312" t="s">
        <v>3051</v>
      </c>
      <c r="F148" s="131" t="s">
        <v>3024</v>
      </c>
    </row>
    <row r="149" customFormat="false" ht="191.75" hidden="false" customHeight="false" outlineLevel="0" collapsed="false">
      <c r="A149" s="311" t="s">
        <v>3052</v>
      </c>
      <c r="B149" s="312" t="s">
        <v>631</v>
      </c>
      <c r="C149" s="138" t="s">
        <v>3026</v>
      </c>
      <c r="D149" s="312" t="n">
        <v>15</v>
      </c>
      <c r="E149" s="312" t="s">
        <v>3051</v>
      </c>
      <c r="F149" s="138"/>
    </row>
    <row r="150" customFormat="false" ht="155.95" hidden="false" customHeight="false" outlineLevel="0" collapsed="false">
      <c r="A150" s="311" t="s">
        <v>3053</v>
      </c>
      <c r="B150" s="312" t="s">
        <v>631</v>
      </c>
      <c r="C150" s="138" t="s">
        <v>3054</v>
      </c>
      <c r="D150" s="312" t="n">
        <v>25</v>
      </c>
      <c r="E150" s="312" t="s">
        <v>3051</v>
      </c>
      <c r="F150" s="138"/>
    </row>
    <row r="151" customFormat="false" ht="111.15" hidden="false" customHeight="false" outlineLevel="0" collapsed="false">
      <c r="A151" s="311" t="s">
        <v>3055</v>
      </c>
      <c r="B151" s="312" t="s">
        <v>631</v>
      </c>
      <c r="C151" s="131" t="s">
        <v>3030</v>
      </c>
      <c r="D151" s="312" t="n">
        <v>25</v>
      </c>
      <c r="E151" s="312" t="s">
        <v>3051</v>
      </c>
      <c r="F151" s="138"/>
    </row>
    <row r="152" customFormat="false" ht="144.75" hidden="false" customHeight="false" outlineLevel="0" collapsed="false">
      <c r="A152" s="311" t="s">
        <v>3056</v>
      </c>
      <c r="B152" s="312" t="s">
        <v>631</v>
      </c>
      <c r="C152" s="131" t="s">
        <v>3032</v>
      </c>
      <c r="D152" s="312" t="n">
        <v>15</v>
      </c>
      <c r="E152" s="312" t="s">
        <v>3051</v>
      </c>
      <c r="F152" s="138"/>
    </row>
    <row r="153" customFormat="false" ht="52.95" hidden="false" customHeight="false" outlineLevel="0" collapsed="false">
      <c r="A153" s="311" t="s">
        <v>3057</v>
      </c>
      <c r="B153" s="312" t="s">
        <v>631</v>
      </c>
      <c r="C153" s="138" t="s">
        <v>3034</v>
      </c>
      <c r="D153" s="312" t="n">
        <v>5</v>
      </c>
      <c r="E153" s="312" t="s">
        <v>3051</v>
      </c>
      <c r="F153" s="138"/>
    </row>
    <row r="154" customFormat="false" ht="61.9" hidden="false" customHeight="false" outlineLevel="0" collapsed="false">
      <c r="A154" s="311" t="s">
        <v>3058</v>
      </c>
      <c r="B154" s="312" t="s">
        <v>631</v>
      </c>
      <c r="C154" s="131" t="s">
        <v>3059</v>
      </c>
      <c r="D154" s="312" t="n">
        <v>10</v>
      </c>
      <c r="E154" s="312" t="s">
        <v>3051</v>
      </c>
      <c r="F154" s="138"/>
    </row>
    <row r="155" customFormat="false" ht="281.3" hidden="false" customHeight="false" outlineLevel="0" collapsed="false">
      <c r="A155" s="311" t="s">
        <v>3060</v>
      </c>
      <c r="B155" s="315" t="s">
        <v>640</v>
      </c>
      <c r="C155" s="138" t="s">
        <v>3061</v>
      </c>
      <c r="D155" s="312" t="n">
        <v>5</v>
      </c>
      <c r="E155" s="312" t="s">
        <v>3062</v>
      </c>
      <c r="F155" s="131" t="s">
        <v>3063</v>
      </c>
    </row>
    <row r="156" customFormat="false" ht="149.25" hidden="false" customHeight="false" outlineLevel="0" collapsed="false">
      <c r="A156" s="311" t="s">
        <v>3064</v>
      </c>
      <c r="B156" s="312" t="s">
        <v>640</v>
      </c>
      <c r="C156" s="138" t="s">
        <v>3065</v>
      </c>
      <c r="D156" s="312" t="n">
        <v>10</v>
      </c>
      <c r="E156" s="312" t="s">
        <v>3062</v>
      </c>
      <c r="F156" s="138"/>
    </row>
    <row r="157" customFormat="false" ht="214.15" hidden="false" customHeight="false" outlineLevel="0" collapsed="false">
      <c r="A157" s="311" t="s">
        <v>3066</v>
      </c>
      <c r="B157" s="312" t="s">
        <v>640</v>
      </c>
      <c r="C157" s="138" t="s">
        <v>3067</v>
      </c>
      <c r="D157" s="312" t="n">
        <v>30</v>
      </c>
      <c r="E157" s="312" t="s">
        <v>3062</v>
      </c>
      <c r="F157" s="138"/>
    </row>
    <row r="158" customFormat="false" ht="176.1" hidden="false" customHeight="false" outlineLevel="0" collapsed="false">
      <c r="A158" s="311" t="s">
        <v>3068</v>
      </c>
      <c r="B158" s="312" t="s">
        <v>640</v>
      </c>
      <c r="C158" s="138" t="s">
        <v>3069</v>
      </c>
      <c r="D158" s="312" t="n">
        <v>30</v>
      </c>
      <c r="E158" s="312" t="s">
        <v>3062</v>
      </c>
      <c r="F158" s="138"/>
    </row>
    <row r="159" customFormat="false" ht="55.2" hidden="false" customHeight="false" outlineLevel="0" collapsed="false">
      <c r="A159" s="311" t="s">
        <v>3070</v>
      </c>
      <c r="B159" s="312" t="s">
        <v>640</v>
      </c>
      <c r="C159" s="131" t="s">
        <v>3071</v>
      </c>
      <c r="D159" s="312" t="n">
        <v>10</v>
      </c>
      <c r="E159" s="312" t="s">
        <v>3062</v>
      </c>
      <c r="F159" s="138"/>
    </row>
    <row r="160" customFormat="false" ht="30.55" hidden="false" customHeight="false" outlineLevel="0" collapsed="false">
      <c r="A160" s="311" t="s">
        <v>3072</v>
      </c>
      <c r="B160" s="312" t="s">
        <v>640</v>
      </c>
      <c r="C160" s="138" t="s">
        <v>2727</v>
      </c>
      <c r="D160" s="312" t="n">
        <v>5</v>
      </c>
      <c r="E160" s="312" t="s">
        <v>3062</v>
      </c>
      <c r="F160" s="138"/>
    </row>
    <row r="161" customFormat="false" ht="131.3" hidden="false" customHeight="false" outlineLevel="0" collapsed="false">
      <c r="A161" s="311" t="s">
        <v>3073</v>
      </c>
      <c r="B161" s="312" t="s">
        <v>640</v>
      </c>
      <c r="C161" s="131" t="s">
        <v>3074</v>
      </c>
      <c r="D161" s="312" t="n">
        <v>10</v>
      </c>
      <c r="E161" s="312" t="s">
        <v>3062</v>
      </c>
      <c r="F161" s="138"/>
    </row>
    <row r="162" customFormat="false" ht="263.4" hidden="false" customHeight="false" outlineLevel="0" collapsed="false">
      <c r="A162" s="311" t="s">
        <v>3075</v>
      </c>
      <c r="B162" s="315" t="s">
        <v>651</v>
      </c>
      <c r="C162" s="138" t="s">
        <v>3076</v>
      </c>
      <c r="D162" s="312" t="n">
        <v>10</v>
      </c>
      <c r="E162" s="312" t="s">
        <v>3077</v>
      </c>
      <c r="F162" s="131" t="s">
        <v>3078</v>
      </c>
    </row>
    <row r="163" customFormat="false" ht="122.35" hidden="false" customHeight="false" outlineLevel="0" collapsed="false">
      <c r="A163" s="311" t="s">
        <v>3079</v>
      </c>
      <c r="B163" s="312" t="s">
        <v>651</v>
      </c>
      <c r="C163" s="138" t="s">
        <v>3080</v>
      </c>
      <c r="D163" s="312" t="n">
        <v>5</v>
      </c>
      <c r="E163" s="312" t="s">
        <v>3077</v>
      </c>
      <c r="F163" s="138"/>
    </row>
    <row r="164" customFormat="false" ht="232.05" hidden="false" customHeight="false" outlineLevel="0" collapsed="false">
      <c r="A164" s="311" t="s">
        <v>3081</v>
      </c>
      <c r="B164" s="312" t="s">
        <v>651</v>
      </c>
      <c r="C164" s="138" t="s">
        <v>3082</v>
      </c>
      <c r="D164" s="312" t="n">
        <v>40</v>
      </c>
      <c r="E164" s="312" t="s">
        <v>3077</v>
      </c>
      <c r="F164" s="138"/>
    </row>
    <row r="165" customFormat="false" ht="131.3" hidden="false" customHeight="false" outlineLevel="0" collapsed="false">
      <c r="A165" s="311" t="s">
        <v>3083</v>
      </c>
      <c r="B165" s="312" t="s">
        <v>651</v>
      </c>
      <c r="C165" s="138" t="s">
        <v>3084</v>
      </c>
      <c r="D165" s="312" t="n">
        <v>20</v>
      </c>
      <c r="E165" s="312" t="s">
        <v>3077</v>
      </c>
      <c r="F165" s="138"/>
    </row>
    <row r="166" customFormat="false" ht="68.65" hidden="false" customHeight="false" outlineLevel="0" collapsed="false">
      <c r="A166" s="311" t="s">
        <v>3085</v>
      </c>
      <c r="B166" s="312" t="s">
        <v>651</v>
      </c>
      <c r="C166" s="138" t="s">
        <v>3086</v>
      </c>
      <c r="D166" s="312" t="n">
        <v>10</v>
      </c>
      <c r="E166" s="312" t="s">
        <v>3077</v>
      </c>
      <c r="F166" s="138"/>
    </row>
    <row r="167" customFormat="false" ht="48.5" hidden="false" customHeight="false" outlineLevel="0" collapsed="false">
      <c r="A167" s="311" t="s">
        <v>3087</v>
      </c>
      <c r="B167" s="312" t="s">
        <v>651</v>
      </c>
      <c r="C167" s="138" t="s">
        <v>3088</v>
      </c>
      <c r="D167" s="312" t="n">
        <v>5</v>
      </c>
      <c r="E167" s="312" t="s">
        <v>3077</v>
      </c>
      <c r="F167" s="138"/>
    </row>
    <row r="168" customFormat="false" ht="151.45" hidden="false" customHeight="false" outlineLevel="0" collapsed="false">
      <c r="A168" s="311" t="s">
        <v>3089</v>
      </c>
      <c r="B168" s="312" t="s">
        <v>651</v>
      </c>
      <c r="C168" s="131" t="s">
        <v>3090</v>
      </c>
      <c r="D168" s="312" t="n">
        <v>10</v>
      </c>
      <c r="E168" s="312" t="s">
        <v>3077</v>
      </c>
      <c r="F168" s="138"/>
    </row>
    <row r="169" customFormat="false" ht="234.3" hidden="false" customHeight="false" outlineLevel="0" collapsed="false">
      <c r="A169" s="311" t="s">
        <v>3091</v>
      </c>
      <c r="B169" s="316" t="s">
        <v>663</v>
      </c>
      <c r="C169" s="138" t="s">
        <v>3092</v>
      </c>
      <c r="D169" s="312" t="n">
        <v>5</v>
      </c>
      <c r="E169" s="312" t="s">
        <v>3093</v>
      </c>
      <c r="F169" s="131" t="s">
        <v>3094</v>
      </c>
    </row>
    <row r="170" customFormat="false" ht="115.65" hidden="false" customHeight="false" outlineLevel="0" collapsed="false">
      <c r="A170" s="311" t="s">
        <v>3095</v>
      </c>
      <c r="B170" s="311" t="s">
        <v>663</v>
      </c>
      <c r="C170" s="138" t="s">
        <v>3096</v>
      </c>
      <c r="D170" s="312" t="n">
        <v>5</v>
      </c>
      <c r="E170" s="312" t="s">
        <v>3093</v>
      </c>
      <c r="F170" s="138"/>
    </row>
    <row r="171" customFormat="false" ht="97.75" hidden="false" customHeight="false" outlineLevel="0" collapsed="false">
      <c r="A171" s="311" t="s">
        <v>3097</v>
      </c>
      <c r="B171" s="311" t="s">
        <v>663</v>
      </c>
      <c r="C171" s="138" t="s">
        <v>3098</v>
      </c>
      <c r="D171" s="312" t="n">
        <v>25</v>
      </c>
      <c r="E171" s="312" t="s">
        <v>3093</v>
      </c>
      <c r="F171" s="138"/>
    </row>
    <row r="172" customFormat="false" ht="151.45" hidden="false" customHeight="false" outlineLevel="0" collapsed="false">
      <c r="A172" s="311" t="s">
        <v>3099</v>
      </c>
      <c r="B172" s="311" t="s">
        <v>663</v>
      </c>
      <c r="C172" s="138" t="s">
        <v>3100</v>
      </c>
      <c r="D172" s="312" t="n">
        <v>40</v>
      </c>
      <c r="E172" s="312" t="s">
        <v>3093</v>
      </c>
      <c r="F172" s="138"/>
    </row>
    <row r="173" customFormat="false" ht="79.85" hidden="false" customHeight="false" outlineLevel="0" collapsed="false">
      <c r="A173" s="311" t="s">
        <v>3101</v>
      </c>
      <c r="B173" s="311" t="s">
        <v>663</v>
      </c>
      <c r="C173" s="138" t="s">
        <v>3102</v>
      </c>
      <c r="D173" s="312" t="n">
        <v>10</v>
      </c>
      <c r="E173" s="312" t="s">
        <v>3093</v>
      </c>
      <c r="F173" s="138"/>
    </row>
    <row r="174" customFormat="false" ht="59.7" hidden="false" customHeight="false" outlineLevel="0" collapsed="false">
      <c r="A174" s="311" t="s">
        <v>3103</v>
      </c>
      <c r="B174" s="311" t="s">
        <v>663</v>
      </c>
      <c r="C174" s="138" t="s">
        <v>3104</v>
      </c>
      <c r="D174" s="312" t="n">
        <v>5</v>
      </c>
      <c r="E174" s="312" t="s">
        <v>3093</v>
      </c>
      <c r="F174" s="138"/>
    </row>
    <row r="175" customFormat="false" ht="61.9" hidden="false" customHeight="false" outlineLevel="0" collapsed="false">
      <c r="A175" s="311" t="s">
        <v>3105</v>
      </c>
      <c r="B175" s="311" t="s">
        <v>663</v>
      </c>
      <c r="C175" s="131" t="s">
        <v>3106</v>
      </c>
      <c r="D175" s="312" t="n">
        <v>10</v>
      </c>
      <c r="E175" s="312" t="s">
        <v>3093</v>
      </c>
      <c r="F175" s="138"/>
    </row>
    <row r="177" customFormat="false" ht="117.9" hidden="false" customHeight="false" outlineLevel="0" collapsed="false">
      <c r="A177" s="311" t="s">
        <v>3107</v>
      </c>
      <c r="B177" s="315" t="s">
        <v>3108</v>
      </c>
      <c r="C177" s="138" t="s">
        <v>3109</v>
      </c>
      <c r="D177" s="312" t="n">
        <v>5</v>
      </c>
      <c r="E177" s="311" t="s">
        <v>3110</v>
      </c>
      <c r="F177" s="138" t="s">
        <v>3111</v>
      </c>
    </row>
    <row r="178" customFormat="false" ht="41.75" hidden="false" customHeight="false" outlineLevel="0" collapsed="false">
      <c r="A178" s="311" t="s">
        <v>3112</v>
      </c>
      <c r="B178" s="312" t="s">
        <v>730</v>
      </c>
      <c r="C178" s="138" t="s">
        <v>3113</v>
      </c>
      <c r="D178" s="312" t="n">
        <v>20</v>
      </c>
      <c r="E178" s="311" t="s">
        <v>3110</v>
      </c>
      <c r="F178" s="138"/>
    </row>
    <row r="179" customFormat="false" ht="122.35" hidden="false" customHeight="false" outlineLevel="0" collapsed="false">
      <c r="A179" s="311" t="s">
        <v>3114</v>
      </c>
      <c r="B179" s="312" t="s">
        <v>730</v>
      </c>
      <c r="C179" s="138" t="s">
        <v>3115</v>
      </c>
      <c r="D179" s="312" t="n">
        <v>30</v>
      </c>
      <c r="E179" s="311" t="s">
        <v>3110</v>
      </c>
      <c r="F179" s="138"/>
    </row>
    <row r="180" customFormat="false" ht="202.95" hidden="false" customHeight="false" outlineLevel="0" collapsed="false">
      <c r="A180" s="311" t="s">
        <v>3116</v>
      </c>
      <c r="B180" s="312" t="s">
        <v>730</v>
      </c>
      <c r="C180" s="131" t="s">
        <v>3117</v>
      </c>
      <c r="D180" s="312" t="n">
        <v>25</v>
      </c>
      <c r="E180" s="311" t="s">
        <v>3110</v>
      </c>
      <c r="F180" s="138"/>
    </row>
    <row r="181" customFormat="false" ht="61.9" hidden="false" customHeight="false" outlineLevel="0" collapsed="false">
      <c r="A181" s="311" t="s">
        <v>3118</v>
      </c>
      <c r="B181" s="312" t="s">
        <v>730</v>
      </c>
      <c r="C181" s="138" t="s">
        <v>3119</v>
      </c>
      <c r="D181" s="312" t="n">
        <v>10</v>
      </c>
      <c r="E181" s="311" t="s">
        <v>3110</v>
      </c>
      <c r="F181" s="138"/>
    </row>
    <row r="182" customFormat="false" ht="124.6" hidden="false" customHeight="false" outlineLevel="0" collapsed="false">
      <c r="A182" s="311" t="s">
        <v>3120</v>
      </c>
      <c r="B182" s="312" t="s">
        <v>730</v>
      </c>
      <c r="C182" s="131" t="s">
        <v>3121</v>
      </c>
      <c r="D182" s="312" t="n">
        <v>10</v>
      </c>
      <c r="E182" s="311" t="s">
        <v>3110</v>
      </c>
      <c r="F182" s="138"/>
    </row>
    <row r="183" customFormat="false" ht="108.95" hidden="false" customHeight="false" outlineLevel="0" collapsed="false">
      <c r="A183" s="311" t="s">
        <v>3122</v>
      </c>
      <c r="B183" s="315" t="s">
        <v>3123</v>
      </c>
      <c r="C183" s="138" t="s">
        <v>3124</v>
      </c>
      <c r="D183" s="312" t="n">
        <v>10</v>
      </c>
      <c r="E183" s="311" t="s">
        <v>3110</v>
      </c>
      <c r="F183" s="138" t="s">
        <v>3125</v>
      </c>
    </row>
    <row r="184" customFormat="false" ht="93.25" hidden="false" customHeight="false" outlineLevel="0" collapsed="false">
      <c r="A184" s="311" t="s">
        <v>3126</v>
      </c>
      <c r="B184" s="312" t="s">
        <v>731</v>
      </c>
      <c r="C184" s="138" t="s">
        <v>3127</v>
      </c>
      <c r="D184" s="312" t="n">
        <v>30</v>
      </c>
      <c r="E184" s="311" t="s">
        <v>3110</v>
      </c>
      <c r="F184" s="138"/>
    </row>
    <row r="185" customFormat="false" ht="97.75" hidden="false" customHeight="false" outlineLevel="0" collapsed="false">
      <c r="A185" s="311" t="s">
        <v>3128</v>
      </c>
      <c r="B185" s="312" t="s">
        <v>731</v>
      </c>
      <c r="C185" s="138" t="s">
        <v>3129</v>
      </c>
      <c r="D185" s="312" t="n">
        <v>10</v>
      </c>
      <c r="E185" s="311" t="s">
        <v>3110</v>
      </c>
      <c r="F185" s="138"/>
    </row>
    <row r="186" customFormat="false" ht="122.35" hidden="false" customHeight="false" outlineLevel="0" collapsed="false">
      <c r="A186" s="311" t="s">
        <v>3130</v>
      </c>
      <c r="B186" s="312" t="s">
        <v>731</v>
      </c>
      <c r="C186" s="131" t="s">
        <v>3131</v>
      </c>
      <c r="D186" s="312" t="n">
        <v>30</v>
      </c>
      <c r="E186" s="311" t="s">
        <v>3110</v>
      </c>
      <c r="F186" s="138"/>
    </row>
    <row r="187" customFormat="false" ht="41.75" hidden="false" customHeight="false" outlineLevel="0" collapsed="false">
      <c r="A187" s="311" t="s">
        <v>3132</v>
      </c>
      <c r="B187" s="312" t="s">
        <v>731</v>
      </c>
      <c r="C187" s="138" t="s">
        <v>3133</v>
      </c>
      <c r="D187" s="312" t="n">
        <v>10</v>
      </c>
      <c r="E187" s="311" t="s">
        <v>3110</v>
      </c>
      <c r="F187" s="138"/>
    </row>
    <row r="188" customFormat="false" ht="61.9" hidden="false" customHeight="false" outlineLevel="0" collapsed="false">
      <c r="A188" s="311" t="s">
        <v>3134</v>
      </c>
      <c r="B188" s="312" t="s">
        <v>731</v>
      </c>
      <c r="C188" s="131" t="s">
        <v>3135</v>
      </c>
      <c r="D188" s="312" t="n">
        <v>10</v>
      </c>
      <c r="E188" s="311" t="s">
        <v>3110</v>
      </c>
      <c r="F188" s="138"/>
    </row>
    <row r="189" customFormat="false" ht="99.95" hidden="false" customHeight="false" outlineLevel="0" collapsed="false">
      <c r="A189" s="311" t="s">
        <v>3136</v>
      </c>
      <c r="B189" s="315" t="s">
        <v>3137</v>
      </c>
      <c r="C189" s="131" t="s">
        <v>3138</v>
      </c>
      <c r="D189" s="312" t="n">
        <v>5</v>
      </c>
      <c r="E189" s="311" t="s">
        <v>3110</v>
      </c>
      <c r="F189" s="138" t="s">
        <v>3139</v>
      </c>
    </row>
    <row r="190" customFormat="false" ht="129.1" hidden="false" customHeight="false" outlineLevel="0" collapsed="false">
      <c r="A190" s="311" t="s">
        <v>3140</v>
      </c>
      <c r="B190" s="312" t="s">
        <v>732</v>
      </c>
      <c r="C190" s="138" t="s">
        <v>3141</v>
      </c>
      <c r="D190" s="312" t="n">
        <v>25</v>
      </c>
      <c r="E190" s="311" t="s">
        <v>3110</v>
      </c>
      <c r="F190" s="138"/>
    </row>
    <row r="191" customFormat="false" ht="68.65" hidden="false" customHeight="false" outlineLevel="0" collapsed="false">
      <c r="A191" s="311" t="s">
        <v>3142</v>
      </c>
      <c r="B191" s="312" t="s">
        <v>732</v>
      </c>
      <c r="C191" s="138" t="s">
        <v>3143</v>
      </c>
      <c r="D191" s="312" t="n">
        <v>30</v>
      </c>
      <c r="E191" s="311" t="s">
        <v>3110</v>
      </c>
      <c r="F191" s="138"/>
    </row>
    <row r="192" customFormat="false" ht="91" hidden="false" customHeight="false" outlineLevel="0" collapsed="false">
      <c r="A192" s="311" t="s">
        <v>3144</v>
      </c>
      <c r="B192" s="312" t="s">
        <v>732</v>
      </c>
      <c r="C192" s="131" t="s">
        <v>3145</v>
      </c>
      <c r="D192" s="312" t="n">
        <v>25</v>
      </c>
      <c r="E192" s="311" t="s">
        <v>3110</v>
      </c>
      <c r="F192" s="138"/>
    </row>
    <row r="193" customFormat="false" ht="48.5" hidden="false" customHeight="false" outlineLevel="0" collapsed="false">
      <c r="A193" s="311" t="s">
        <v>3146</v>
      </c>
      <c r="B193" s="312" t="s">
        <v>732</v>
      </c>
      <c r="C193" s="138" t="s">
        <v>3147</v>
      </c>
      <c r="D193" s="312" t="n">
        <v>5</v>
      </c>
      <c r="E193" s="311" t="s">
        <v>3110</v>
      </c>
      <c r="F193" s="138"/>
    </row>
    <row r="194" customFormat="false" ht="61.9" hidden="false" customHeight="false" outlineLevel="0" collapsed="false">
      <c r="A194" s="311" t="s">
        <v>3148</v>
      </c>
      <c r="B194" s="312" t="s">
        <v>732</v>
      </c>
      <c r="C194" s="131" t="s">
        <v>3149</v>
      </c>
      <c r="D194" s="312" t="n">
        <v>10</v>
      </c>
      <c r="E194" s="311" t="s">
        <v>3110</v>
      </c>
      <c r="F194" s="138"/>
    </row>
  </sheetData>
  <sheetProtection sheet="true" formatColumns="false" formatRows="false" sort="false" autoFilter="false"/>
  <autoFilter ref="A4:X128"/>
  <conditionalFormatting sqref="X5:X128">
    <cfRule type="expression" priority="2" aboveAverage="0" equalAverage="0" bottom="0" percent="0" rank="0" text="" dxfId="4">
      <formula>LEN(X5)&gt;0</formula>
    </cfRule>
  </conditionalFormatting>
  <conditionalFormatting sqref="AA26:AA38">
    <cfRule type="cellIs" priority="3" operator="notEqual" aboveAverage="0" equalAverage="0" bottom="0" percent="0" rank="0" text="" dxfId="4">
      <formula>0</formula>
    </cfRule>
    <cfRule type="cellIs" priority="4" operator="equal" aboveAverage="0" equalAverage="0" bottom="0" percent="0" rank="0" text="" dxfId="5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10" min="3" style="0" width="8"/>
  </cols>
  <sheetData>
    <row r="1" customFormat="false" ht="18.65" hidden="false" customHeight="false" outlineLevel="0" collapsed="false">
      <c r="A1" s="62" t="s">
        <v>3150</v>
      </c>
    </row>
    <row r="2" customFormat="false" ht="15" hidden="false" customHeight="false" outlineLevel="0" collapsed="false">
      <c r="A2" s="180" t="s">
        <v>3151</v>
      </c>
    </row>
    <row r="3" customFormat="false" ht="36" hidden="false" customHeight="true" outlineLevel="0" collapsed="false">
      <c r="C3" s="317" t="s">
        <v>3152</v>
      </c>
      <c r="D3" s="317" t="s">
        <v>3153</v>
      </c>
      <c r="E3" s="318" t="s">
        <v>3154</v>
      </c>
      <c r="F3" s="318" t="s">
        <v>3155</v>
      </c>
      <c r="G3" s="317" t="s">
        <v>3156</v>
      </c>
      <c r="H3" s="317" t="s">
        <v>3157</v>
      </c>
      <c r="I3" s="317" t="s">
        <v>3158</v>
      </c>
      <c r="J3" s="317" t="s">
        <v>3159</v>
      </c>
    </row>
    <row r="4" customFormat="false" ht="15" hidden="false" customHeight="false" outlineLevel="0" collapsed="false">
      <c r="A4" s="29" t="s">
        <v>197</v>
      </c>
      <c r="B4" s="28" t="s">
        <v>573</v>
      </c>
      <c r="C4" s="28" t="s">
        <v>36</v>
      </c>
      <c r="D4" s="28" t="s">
        <v>3160</v>
      </c>
      <c r="E4" s="29" t="s">
        <v>131</v>
      </c>
      <c r="F4" s="29" t="s">
        <v>1627</v>
      </c>
      <c r="G4" s="28" t="s">
        <v>3161</v>
      </c>
      <c r="H4" s="28" t="s">
        <v>3162</v>
      </c>
      <c r="I4" s="28" t="s">
        <v>3163</v>
      </c>
      <c r="J4" s="28" t="s">
        <v>3164</v>
      </c>
    </row>
    <row r="5" customFormat="false" ht="15" hidden="false" customHeight="false" outlineLevel="0" collapsed="false">
      <c r="A5" s="319" t="s">
        <v>1660</v>
      </c>
      <c r="B5" s="319" t="s">
        <v>2411</v>
      </c>
      <c r="C5" s="320"/>
      <c r="D5" s="321" t="s">
        <v>910</v>
      </c>
      <c r="E5" s="320"/>
      <c r="F5" s="322" t="s">
        <v>3165</v>
      </c>
      <c r="G5" s="320"/>
      <c r="H5" s="320"/>
      <c r="I5" s="320"/>
      <c r="J5" s="320"/>
    </row>
    <row r="6" customFormat="false" ht="15" hidden="false" customHeight="false" outlineLevel="0" collapsed="false">
      <c r="A6" s="36" t="s">
        <v>208</v>
      </c>
      <c r="B6" s="31" t="s">
        <v>2421</v>
      </c>
      <c r="C6" s="320"/>
      <c r="D6" s="321" t="s">
        <v>910</v>
      </c>
      <c r="E6" s="320"/>
      <c r="F6" s="322" t="s">
        <v>3165</v>
      </c>
      <c r="G6" s="320"/>
      <c r="H6" s="320"/>
      <c r="I6" s="320"/>
      <c r="J6" s="320"/>
    </row>
    <row r="7" customFormat="false" ht="15" hidden="false" customHeight="false" outlineLevel="0" collapsed="false">
      <c r="A7" s="36" t="s">
        <v>212</v>
      </c>
      <c r="B7" s="31" t="s">
        <v>2431</v>
      </c>
      <c r="C7" s="321" t="s">
        <v>910</v>
      </c>
      <c r="D7" s="322" t="s">
        <v>3165</v>
      </c>
      <c r="E7" s="320"/>
      <c r="F7" s="320"/>
      <c r="G7" s="320"/>
      <c r="H7" s="320"/>
      <c r="I7" s="320"/>
      <c r="J7" s="320"/>
    </row>
    <row r="8" customFormat="false" ht="15" hidden="false" customHeight="false" outlineLevel="0" collapsed="false">
      <c r="A8" s="36" t="s">
        <v>215</v>
      </c>
      <c r="B8" s="31" t="s">
        <v>2437</v>
      </c>
      <c r="C8" s="321" t="s">
        <v>910</v>
      </c>
      <c r="D8" s="322" t="s">
        <v>3165</v>
      </c>
      <c r="E8" s="320"/>
      <c r="F8" s="320"/>
      <c r="G8" s="320"/>
      <c r="H8" s="320"/>
      <c r="I8" s="320"/>
      <c r="J8" s="320"/>
    </row>
    <row r="9" customFormat="false" ht="15" hidden="false" customHeight="false" outlineLevel="0" collapsed="false">
      <c r="A9" s="36" t="s">
        <v>218</v>
      </c>
      <c r="B9" s="31" t="s">
        <v>2443</v>
      </c>
      <c r="C9" s="321" t="s">
        <v>910</v>
      </c>
      <c r="D9" s="322" t="s">
        <v>3165</v>
      </c>
      <c r="E9" s="320"/>
      <c r="F9" s="320"/>
      <c r="G9" s="320"/>
      <c r="H9" s="320"/>
      <c r="I9" s="320"/>
      <c r="J9" s="320"/>
    </row>
    <row r="10" customFormat="false" ht="15" hidden="false" customHeight="false" outlineLevel="0" collapsed="false">
      <c r="A10" s="36" t="s">
        <v>221</v>
      </c>
      <c r="B10" s="31" t="s">
        <v>2449</v>
      </c>
      <c r="C10" s="321" t="s">
        <v>910</v>
      </c>
      <c r="D10" s="322" t="s">
        <v>3165</v>
      </c>
      <c r="E10" s="320"/>
      <c r="F10" s="320"/>
      <c r="G10" s="320"/>
      <c r="H10" s="320"/>
      <c r="I10" s="320"/>
      <c r="J10" s="320"/>
    </row>
    <row r="11" customFormat="false" ht="15" hidden="false" customHeight="false" outlineLevel="0" collapsed="false">
      <c r="A11" s="36" t="s">
        <v>224</v>
      </c>
      <c r="B11" s="31" t="s">
        <v>2455</v>
      </c>
      <c r="C11" s="320"/>
      <c r="D11" s="321" t="s">
        <v>910</v>
      </c>
      <c r="E11" s="320"/>
      <c r="F11" s="322" t="s">
        <v>3165</v>
      </c>
      <c r="G11" s="320"/>
      <c r="H11" s="320"/>
      <c r="I11" s="320"/>
      <c r="J11" s="320"/>
    </row>
    <row r="12" customFormat="false" ht="15" hidden="false" customHeight="false" outlineLevel="0" collapsed="false">
      <c r="A12" s="319" t="s">
        <v>1685</v>
      </c>
      <c r="B12" s="323" t="s">
        <v>2462</v>
      </c>
      <c r="C12" s="320"/>
      <c r="D12" s="322" t="s">
        <v>3165</v>
      </c>
      <c r="E12" s="321" t="s">
        <v>910</v>
      </c>
      <c r="F12" s="320"/>
      <c r="G12" s="320"/>
      <c r="H12" s="320"/>
      <c r="I12" s="320"/>
      <c r="J12" s="320"/>
    </row>
    <row r="13" customFormat="false" ht="15" hidden="false" customHeight="false" outlineLevel="0" collapsed="false">
      <c r="A13" s="36" t="s">
        <v>227</v>
      </c>
      <c r="B13" s="31" t="s">
        <v>2470</v>
      </c>
      <c r="C13" s="320"/>
      <c r="D13" s="320"/>
      <c r="E13" s="321" t="s">
        <v>910</v>
      </c>
      <c r="F13" s="322" t="s">
        <v>3165</v>
      </c>
      <c r="G13" s="320"/>
      <c r="H13" s="320"/>
      <c r="I13" s="320"/>
      <c r="J13" s="320"/>
    </row>
    <row r="14" customFormat="false" ht="15" hidden="false" customHeight="false" outlineLevel="0" collapsed="false">
      <c r="A14" s="36" t="s">
        <v>230</v>
      </c>
      <c r="B14" s="31" t="s">
        <v>2475</v>
      </c>
      <c r="C14" s="321" t="s">
        <v>910</v>
      </c>
      <c r="D14" s="322" t="s">
        <v>3165</v>
      </c>
      <c r="E14" s="320"/>
      <c r="F14" s="320"/>
      <c r="G14" s="320"/>
      <c r="H14" s="320"/>
      <c r="I14" s="320"/>
      <c r="J14" s="320"/>
    </row>
    <row r="15" customFormat="false" ht="15" hidden="false" customHeight="false" outlineLevel="0" collapsed="false">
      <c r="A15" s="36" t="s">
        <v>233</v>
      </c>
      <c r="B15" s="31" t="s">
        <v>2480</v>
      </c>
      <c r="C15" s="321" t="s">
        <v>910</v>
      </c>
      <c r="D15" s="322" t="s">
        <v>3165</v>
      </c>
      <c r="E15" s="320"/>
      <c r="F15" s="320"/>
      <c r="G15" s="320"/>
      <c r="H15" s="320"/>
      <c r="I15" s="320"/>
      <c r="J15" s="320"/>
    </row>
    <row r="16" customFormat="false" ht="15" hidden="false" customHeight="false" outlineLevel="0" collapsed="false">
      <c r="A16" s="36" t="s">
        <v>236</v>
      </c>
      <c r="B16" s="31" t="s">
        <v>2487</v>
      </c>
      <c r="C16" s="321" t="s">
        <v>910</v>
      </c>
      <c r="D16" s="322" t="s">
        <v>3165</v>
      </c>
      <c r="E16" s="320"/>
      <c r="F16" s="320"/>
      <c r="G16" s="320"/>
      <c r="H16" s="320"/>
      <c r="I16" s="320"/>
      <c r="J16" s="320"/>
    </row>
    <row r="17" customFormat="false" ht="15" hidden="false" customHeight="false" outlineLevel="0" collapsed="false">
      <c r="A17" s="36" t="s">
        <v>239</v>
      </c>
      <c r="B17" s="31" t="s">
        <v>2490</v>
      </c>
      <c r="C17" s="321" t="s">
        <v>910</v>
      </c>
      <c r="D17" s="322" t="s">
        <v>3165</v>
      </c>
      <c r="E17" s="320"/>
      <c r="F17" s="320"/>
      <c r="G17" s="320"/>
      <c r="H17" s="320"/>
      <c r="I17" s="320"/>
      <c r="J17" s="320"/>
    </row>
    <row r="18" customFormat="false" ht="15" hidden="false" customHeight="false" outlineLevel="0" collapsed="false">
      <c r="A18" s="36" t="s">
        <v>242</v>
      </c>
      <c r="B18" s="31" t="s">
        <v>2493</v>
      </c>
      <c r="C18" s="321" t="s">
        <v>910</v>
      </c>
      <c r="D18" s="322" t="s">
        <v>3165</v>
      </c>
      <c r="E18" s="320"/>
      <c r="F18" s="320"/>
      <c r="G18" s="320"/>
      <c r="H18" s="320"/>
      <c r="I18" s="320"/>
      <c r="J18" s="320"/>
    </row>
    <row r="19" customFormat="false" ht="15" hidden="false" customHeight="false" outlineLevel="0" collapsed="false">
      <c r="A19" s="36" t="s">
        <v>245</v>
      </c>
      <c r="B19" s="31" t="s">
        <v>2495</v>
      </c>
      <c r="C19" s="321" t="s">
        <v>910</v>
      </c>
      <c r="D19" s="322" t="s">
        <v>3165</v>
      </c>
      <c r="E19" s="320"/>
      <c r="F19" s="320"/>
      <c r="G19" s="320"/>
      <c r="H19" s="320"/>
      <c r="I19" s="320"/>
      <c r="J19" s="320"/>
    </row>
    <row r="20" customFormat="false" ht="15" hidden="false" customHeight="false" outlineLevel="0" collapsed="false">
      <c r="A20" s="36" t="s">
        <v>248</v>
      </c>
      <c r="B20" s="31" t="s">
        <v>2498</v>
      </c>
      <c r="C20" s="321" t="s">
        <v>910</v>
      </c>
      <c r="D20" s="322" t="s">
        <v>3165</v>
      </c>
      <c r="E20" s="320"/>
      <c r="F20" s="320"/>
      <c r="G20" s="320"/>
      <c r="H20" s="320"/>
      <c r="I20" s="320"/>
      <c r="J20" s="320"/>
    </row>
    <row r="21" customFormat="false" ht="15" hidden="false" customHeight="false" outlineLevel="0" collapsed="false">
      <c r="A21" s="319" t="s">
        <v>1917</v>
      </c>
      <c r="B21" s="323" t="s">
        <v>1918</v>
      </c>
      <c r="C21" s="320"/>
      <c r="D21" s="320"/>
      <c r="E21" s="321" t="s">
        <v>910</v>
      </c>
      <c r="F21" s="322" t="s">
        <v>3165</v>
      </c>
      <c r="G21" s="324" t="s">
        <v>3166</v>
      </c>
      <c r="H21" s="320"/>
      <c r="I21" s="320"/>
      <c r="J21" s="320"/>
    </row>
    <row r="22" customFormat="false" ht="15" hidden="false" customHeight="false" outlineLevel="0" collapsed="false">
      <c r="A22" s="36" t="s">
        <v>251</v>
      </c>
      <c r="B22" s="31" t="s">
        <v>252</v>
      </c>
      <c r="C22" s="320"/>
      <c r="D22" s="322" t="s">
        <v>3165</v>
      </c>
      <c r="E22" s="321" t="s">
        <v>910</v>
      </c>
      <c r="F22" s="320"/>
      <c r="G22" s="320"/>
      <c r="H22" s="320"/>
      <c r="I22" s="320"/>
      <c r="J22" s="320"/>
    </row>
    <row r="23" customFormat="false" ht="15" hidden="false" customHeight="false" outlineLevel="0" collapsed="false">
      <c r="A23" s="36" t="s">
        <v>254</v>
      </c>
      <c r="B23" s="31" t="s">
        <v>2510</v>
      </c>
      <c r="C23" s="320"/>
      <c r="D23" s="320"/>
      <c r="E23" s="321" t="s">
        <v>910</v>
      </c>
      <c r="F23" s="322" t="s">
        <v>3165</v>
      </c>
      <c r="G23" s="320"/>
      <c r="H23" s="320"/>
      <c r="I23" s="320"/>
      <c r="J23" s="320"/>
    </row>
    <row r="24" customFormat="false" ht="15" hidden="false" customHeight="false" outlineLevel="0" collapsed="false">
      <c r="A24" s="36" t="s">
        <v>257</v>
      </c>
      <c r="B24" s="31" t="s">
        <v>2513</v>
      </c>
      <c r="C24" s="320"/>
      <c r="D24" s="321" t="s">
        <v>910</v>
      </c>
      <c r="E24" s="320"/>
      <c r="F24" s="322" t="s">
        <v>3165</v>
      </c>
      <c r="G24" s="324" t="s">
        <v>3166</v>
      </c>
      <c r="H24" s="320"/>
      <c r="I24" s="320"/>
      <c r="J24" s="320"/>
    </row>
    <row r="25" customFormat="false" ht="15" hidden="false" customHeight="false" outlineLevel="0" collapsed="false">
      <c r="A25" s="319" t="s">
        <v>1844</v>
      </c>
      <c r="B25" s="319" t="s">
        <v>1922</v>
      </c>
      <c r="C25" s="320"/>
      <c r="D25" s="321" t="s">
        <v>910</v>
      </c>
      <c r="E25" s="320"/>
      <c r="F25" s="322" t="s">
        <v>3165</v>
      </c>
      <c r="G25" s="320"/>
      <c r="H25" s="320"/>
      <c r="I25" s="320"/>
      <c r="J25" s="320"/>
    </row>
    <row r="26" customFormat="false" ht="15" hidden="false" customHeight="false" outlineLevel="0" collapsed="false">
      <c r="A26" s="36" t="s">
        <v>260</v>
      </c>
      <c r="B26" s="31" t="s">
        <v>2523</v>
      </c>
      <c r="C26" s="320"/>
      <c r="D26" s="321" t="s">
        <v>910</v>
      </c>
      <c r="E26" s="320"/>
      <c r="F26" s="322" t="s">
        <v>3165</v>
      </c>
      <c r="G26" s="324" t="s">
        <v>3166</v>
      </c>
      <c r="H26" s="320"/>
      <c r="I26" s="320"/>
      <c r="J26" s="320"/>
    </row>
    <row r="27" customFormat="false" ht="15" hidden="false" customHeight="false" outlineLevel="0" collapsed="false">
      <c r="A27" s="36" t="s">
        <v>263</v>
      </c>
      <c r="B27" s="31" t="s">
        <v>2528</v>
      </c>
      <c r="C27" s="320"/>
      <c r="D27" s="320"/>
      <c r="E27" s="321" t="s">
        <v>910</v>
      </c>
      <c r="F27" s="322" t="s">
        <v>3165</v>
      </c>
      <c r="G27" s="320"/>
      <c r="H27" s="320"/>
      <c r="I27" s="320"/>
      <c r="J27" s="320"/>
    </row>
    <row r="28" customFormat="false" ht="15" hidden="false" customHeight="false" outlineLevel="0" collapsed="false">
      <c r="A28" s="36" t="s">
        <v>266</v>
      </c>
      <c r="B28" s="31" t="s">
        <v>2534</v>
      </c>
      <c r="C28" s="320"/>
      <c r="D28" s="321" t="s">
        <v>910</v>
      </c>
      <c r="E28" s="320"/>
      <c r="F28" s="322" t="s">
        <v>3165</v>
      </c>
      <c r="G28" s="324" t="s">
        <v>3166</v>
      </c>
      <c r="H28" s="320"/>
      <c r="I28" s="320"/>
      <c r="J28" s="320"/>
    </row>
    <row r="29" customFormat="false" ht="15" hidden="false" customHeight="false" outlineLevel="0" collapsed="false">
      <c r="A29" s="319" t="s">
        <v>1847</v>
      </c>
      <c r="B29" s="319" t="s">
        <v>1927</v>
      </c>
      <c r="C29" s="320"/>
      <c r="D29" s="321" t="s">
        <v>910</v>
      </c>
      <c r="E29" s="320"/>
      <c r="F29" s="322" t="s">
        <v>3165</v>
      </c>
      <c r="G29" s="324" t="s">
        <v>3166</v>
      </c>
      <c r="H29" s="320"/>
      <c r="I29" s="320"/>
      <c r="J29" s="320"/>
    </row>
    <row r="30" customFormat="false" ht="15" hidden="false" customHeight="false" outlineLevel="0" collapsed="false">
      <c r="A30" s="36" t="s">
        <v>269</v>
      </c>
      <c r="B30" s="36" t="s">
        <v>270</v>
      </c>
      <c r="C30" s="320"/>
      <c r="D30" s="321" t="s">
        <v>910</v>
      </c>
      <c r="E30" s="320"/>
      <c r="F30" s="322" t="s">
        <v>3165</v>
      </c>
      <c r="G30" s="320"/>
      <c r="H30" s="320"/>
      <c r="I30" s="320"/>
      <c r="J30" s="320"/>
    </row>
    <row r="31" customFormat="false" ht="15" hidden="false" customHeight="false" outlineLevel="0" collapsed="false">
      <c r="A31" s="36" t="s">
        <v>272</v>
      </c>
      <c r="B31" s="31" t="s">
        <v>2554</v>
      </c>
      <c r="C31" s="320"/>
      <c r="D31" s="321" t="s">
        <v>910</v>
      </c>
      <c r="E31" s="320"/>
      <c r="F31" s="322" t="s">
        <v>3165</v>
      </c>
      <c r="G31" s="320"/>
      <c r="H31" s="320"/>
      <c r="I31" s="320"/>
      <c r="J31" s="320"/>
    </row>
    <row r="32" customFormat="false" ht="15" hidden="false" customHeight="false" outlineLevel="0" collapsed="false">
      <c r="A32" s="36" t="s">
        <v>275</v>
      </c>
      <c r="B32" s="31" t="s">
        <v>2560</v>
      </c>
      <c r="C32" s="320"/>
      <c r="D32" s="321" t="s">
        <v>910</v>
      </c>
      <c r="E32" s="320"/>
      <c r="F32" s="322" t="s">
        <v>3165</v>
      </c>
      <c r="G32" s="320"/>
      <c r="H32" s="320"/>
      <c r="I32" s="320"/>
      <c r="J32" s="320"/>
    </row>
    <row r="33" customFormat="false" ht="15" hidden="false" customHeight="false" outlineLevel="0" collapsed="false">
      <c r="A33" s="36" t="s">
        <v>278</v>
      </c>
      <c r="B33" s="31" t="s">
        <v>2566</v>
      </c>
      <c r="C33" s="320"/>
      <c r="D33" s="321" t="s">
        <v>910</v>
      </c>
      <c r="E33" s="320"/>
      <c r="F33" s="322" t="s">
        <v>3165</v>
      </c>
      <c r="G33" s="324" t="s">
        <v>3166</v>
      </c>
      <c r="H33" s="320"/>
      <c r="I33" s="320"/>
      <c r="J33" s="320"/>
    </row>
    <row r="34" customFormat="false" ht="15" hidden="false" customHeight="false" outlineLevel="0" collapsed="false">
      <c r="A34" s="319" t="s">
        <v>1850</v>
      </c>
      <c r="B34" s="323" t="s">
        <v>1934</v>
      </c>
      <c r="C34" s="320"/>
      <c r="D34" s="321" t="s">
        <v>910</v>
      </c>
      <c r="E34" s="320"/>
      <c r="F34" s="322" t="s">
        <v>3165</v>
      </c>
      <c r="G34" s="324" t="s">
        <v>3166</v>
      </c>
      <c r="H34" s="320"/>
      <c r="I34" s="320"/>
      <c r="J34" s="320"/>
    </row>
    <row r="35" customFormat="false" ht="15" hidden="false" customHeight="false" outlineLevel="0" collapsed="false">
      <c r="A35" s="36" t="s">
        <v>281</v>
      </c>
      <c r="B35" s="31" t="s">
        <v>282</v>
      </c>
      <c r="C35" s="320"/>
      <c r="D35" s="321" t="s">
        <v>910</v>
      </c>
      <c r="E35" s="320"/>
      <c r="F35" s="322" t="s">
        <v>3165</v>
      </c>
      <c r="G35" s="324" t="s">
        <v>3166</v>
      </c>
      <c r="H35" s="320"/>
      <c r="I35" s="320"/>
      <c r="J35" s="320"/>
    </row>
    <row r="36" customFormat="false" ht="15" hidden="false" customHeight="false" outlineLevel="0" collapsed="false">
      <c r="A36" s="36" t="s">
        <v>284</v>
      </c>
      <c r="B36" s="31" t="s">
        <v>2584</v>
      </c>
      <c r="C36" s="321" t="s">
        <v>910</v>
      </c>
      <c r="D36" s="322" t="s">
        <v>3165</v>
      </c>
      <c r="E36" s="320"/>
      <c r="F36" s="320"/>
      <c r="G36" s="320"/>
      <c r="H36" s="320"/>
      <c r="I36" s="320"/>
      <c r="J36" s="320"/>
    </row>
    <row r="37" customFormat="false" ht="15" hidden="false" customHeight="false" outlineLevel="0" collapsed="false">
      <c r="A37" s="36" t="s">
        <v>287</v>
      </c>
      <c r="B37" s="31" t="s">
        <v>2590</v>
      </c>
      <c r="C37" s="321" t="s">
        <v>910</v>
      </c>
      <c r="D37" s="322" t="s">
        <v>3165</v>
      </c>
      <c r="E37" s="320"/>
      <c r="F37" s="320"/>
      <c r="G37" s="324" t="s">
        <v>3166</v>
      </c>
      <c r="H37" s="320"/>
      <c r="I37" s="320"/>
      <c r="J37" s="320"/>
    </row>
    <row r="38" customFormat="false" ht="15" hidden="false" customHeight="false" outlineLevel="0" collapsed="false">
      <c r="A38" s="319" t="s">
        <v>1852</v>
      </c>
      <c r="B38" s="323" t="s">
        <v>2596</v>
      </c>
      <c r="C38" s="320"/>
      <c r="D38" s="320"/>
      <c r="E38" s="321" t="s">
        <v>910</v>
      </c>
      <c r="F38" s="322" t="s">
        <v>3165</v>
      </c>
      <c r="G38" s="324" t="s">
        <v>3166</v>
      </c>
      <c r="H38" s="320"/>
      <c r="I38" s="320"/>
      <c r="J38" s="320"/>
    </row>
    <row r="39" customFormat="false" ht="15" hidden="false" customHeight="false" outlineLevel="0" collapsed="false">
      <c r="A39" s="36" t="s">
        <v>290</v>
      </c>
      <c r="B39" s="31" t="s">
        <v>2606</v>
      </c>
      <c r="C39" s="320"/>
      <c r="D39" s="321" t="s">
        <v>910</v>
      </c>
      <c r="E39" s="320"/>
      <c r="F39" s="322" t="s">
        <v>3165</v>
      </c>
      <c r="G39" s="320"/>
      <c r="H39" s="320"/>
      <c r="I39" s="320"/>
      <c r="J39" s="320"/>
    </row>
    <row r="40" customFormat="false" ht="15" hidden="false" customHeight="false" outlineLevel="0" collapsed="false">
      <c r="A40" s="36" t="s">
        <v>293</v>
      </c>
      <c r="B40" s="31" t="s">
        <v>2609</v>
      </c>
      <c r="C40" s="320"/>
      <c r="D40" s="322" t="s">
        <v>3165</v>
      </c>
      <c r="E40" s="321" t="s">
        <v>910</v>
      </c>
      <c r="F40" s="320"/>
      <c r="G40" s="320"/>
      <c r="H40" s="320"/>
      <c r="I40" s="320"/>
      <c r="J40" s="320"/>
    </row>
    <row r="41" customFormat="false" ht="15" hidden="false" customHeight="false" outlineLevel="0" collapsed="false">
      <c r="A41" s="36" t="s">
        <v>296</v>
      </c>
      <c r="B41" s="31" t="s">
        <v>2615</v>
      </c>
      <c r="C41" s="320"/>
      <c r="D41" s="320"/>
      <c r="E41" s="321" t="s">
        <v>910</v>
      </c>
      <c r="F41" s="322" t="s">
        <v>3165</v>
      </c>
      <c r="G41" s="324" t="s">
        <v>3166</v>
      </c>
      <c r="H41" s="320"/>
      <c r="I41" s="320"/>
      <c r="J41" s="320"/>
    </row>
    <row r="42" customFormat="false" ht="15" hidden="false" customHeight="false" outlineLevel="0" collapsed="false">
      <c r="A42" s="319" t="s">
        <v>1491</v>
      </c>
      <c r="B42" s="323" t="s">
        <v>2621</v>
      </c>
      <c r="C42" s="320"/>
      <c r="D42" s="320"/>
      <c r="E42" s="321" t="s">
        <v>910</v>
      </c>
      <c r="F42" s="322" t="s">
        <v>3165</v>
      </c>
      <c r="G42" s="324" t="s">
        <v>3166</v>
      </c>
      <c r="H42" s="320"/>
      <c r="I42" s="320"/>
      <c r="J42" s="320"/>
    </row>
    <row r="43" customFormat="false" ht="15" hidden="false" customHeight="false" outlineLevel="0" collapsed="false">
      <c r="A43" s="36" t="s">
        <v>456</v>
      </c>
      <c r="B43" s="36" t="s">
        <v>2628</v>
      </c>
      <c r="C43" s="320"/>
      <c r="D43" s="322" t="s">
        <v>3165</v>
      </c>
      <c r="E43" s="321" t="s">
        <v>910</v>
      </c>
      <c r="F43" s="320"/>
      <c r="G43" s="320"/>
      <c r="H43" s="320"/>
      <c r="I43" s="320"/>
      <c r="J43" s="320"/>
    </row>
    <row r="44" customFormat="false" ht="15" hidden="false" customHeight="false" outlineLevel="0" collapsed="false">
      <c r="A44" s="36" t="s">
        <v>459</v>
      </c>
      <c r="B44" s="31" t="s">
        <v>2632</v>
      </c>
      <c r="C44" s="320"/>
      <c r="D44" s="320"/>
      <c r="E44" s="321" t="s">
        <v>910</v>
      </c>
      <c r="F44" s="322" t="s">
        <v>3165</v>
      </c>
      <c r="G44" s="324" t="s">
        <v>3166</v>
      </c>
      <c r="H44" s="320"/>
      <c r="I44" s="320"/>
      <c r="J44" s="320"/>
    </row>
    <row r="45" customFormat="false" ht="15" hidden="false" customHeight="false" outlineLevel="0" collapsed="false">
      <c r="A45" s="36" t="s">
        <v>1947</v>
      </c>
      <c r="B45" s="31" t="s">
        <v>2637</v>
      </c>
      <c r="C45" s="320"/>
      <c r="D45" s="320"/>
      <c r="E45" s="321" t="s">
        <v>910</v>
      </c>
      <c r="F45" s="322" t="s">
        <v>3165</v>
      </c>
      <c r="G45" s="320"/>
      <c r="H45" s="320"/>
      <c r="I45" s="320"/>
      <c r="J45" s="324" t="s">
        <v>3166</v>
      </c>
    </row>
    <row r="46" customFormat="false" ht="15" hidden="false" customHeight="false" outlineLevel="0" collapsed="false">
      <c r="A46" s="36" t="s">
        <v>462</v>
      </c>
      <c r="B46" s="31" t="s">
        <v>2643</v>
      </c>
      <c r="C46" s="320"/>
      <c r="D46" s="320"/>
      <c r="E46" s="321" t="s">
        <v>910</v>
      </c>
      <c r="F46" s="322" t="s">
        <v>3165</v>
      </c>
      <c r="G46" s="320"/>
      <c r="H46" s="320"/>
      <c r="I46" s="324" t="s">
        <v>3166</v>
      </c>
      <c r="J46" s="320"/>
    </row>
    <row r="47" customFormat="false" ht="15" hidden="false" customHeight="false" outlineLevel="0" collapsed="false">
      <c r="A47" s="319" t="s">
        <v>1857</v>
      </c>
      <c r="B47" s="319" t="s">
        <v>2647</v>
      </c>
      <c r="C47" s="320"/>
      <c r="D47" s="320"/>
      <c r="E47" s="321" t="s">
        <v>910</v>
      </c>
      <c r="F47" s="322" t="s">
        <v>3165</v>
      </c>
      <c r="G47" s="320"/>
      <c r="H47" s="320"/>
      <c r="I47" s="324" t="s">
        <v>3166</v>
      </c>
      <c r="J47" s="320"/>
    </row>
    <row r="48" customFormat="false" ht="15" hidden="false" customHeight="false" outlineLevel="0" collapsed="false">
      <c r="A48" s="36" t="s">
        <v>299</v>
      </c>
      <c r="B48" s="31" t="s">
        <v>2655</v>
      </c>
      <c r="C48" s="320"/>
      <c r="D48" s="322" t="s">
        <v>3165</v>
      </c>
      <c r="E48" s="321" t="s">
        <v>910</v>
      </c>
      <c r="F48" s="320"/>
      <c r="G48" s="320"/>
      <c r="H48" s="320"/>
      <c r="I48" s="320"/>
      <c r="J48" s="320"/>
    </row>
    <row r="49" customFormat="false" ht="15" hidden="false" customHeight="false" outlineLevel="0" collapsed="false">
      <c r="A49" s="36" t="s">
        <v>302</v>
      </c>
      <c r="B49" s="31" t="s">
        <v>2658</v>
      </c>
      <c r="C49" s="320"/>
      <c r="D49" s="320"/>
      <c r="E49" s="321" t="s">
        <v>910</v>
      </c>
      <c r="F49" s="322" t="s">
        <v>3165</v>
      </c>
      <c r="G49" s="320"/>
      <c r="H49" s="320"/>
      <c r="I49" s="324" t="s">
        <v>3166</v>
      </c>
      <c r="J49" s="320"/>
    </row>
    <row r="50" customFormat="false" ht="15" hidden="false" customHeight="false" outlineLevel="0" collapsed="false">
      <c r="A50" s="319" t="s">
        <v>1860</v>
      </c>
      <c r="B50" s="323" t="s">
        <v>2661</v>
      </c>
      <c r="C50" s="320"/>
      <c r="D50" s="320"/>
      <c r="E50" s="321" t="s">
        <v>910</v>
      </c>
      <c r="F50" s="322" t="s">
        <v>3165</v>
      </c>
      <c r="G50" s="320"/>
      <c r="H50" s="324" t="s">
        <v>3166</v>
      </c>
      <c r="I50" s="320"/>
      <c r="J50" s="320"/>
    </row>
    <row r="51" customFormat="false" ht="15" hidden="false" customHeight="false" outlineLevel="0" collapsed="false">
      <c r="A51" s="36" t="s">
        <v>1489</v>
      </c>
      <c r="B51" s="31" t="s">
        <v>2667</v>
      </c>
      <c r="C51" s="320"/>
      <c r="D51" s="320"/>
      <c r="E51" s="321" t="s">
        <v>910</v>
      </c>
      <c r="F51" s="322" t="s">
        <v>3165</v>
      </c>
      <c r="G51" s="320"/>
      <c r="H51" s="324" t="s">
        <v>3166</v>
      </c>
      <c r="I51" s="320"/>
      <c r="J51" s="320"/>
    </row>
    <row r="52" customFormat="false" ht="15" hidden="false" customHeight="false" outlineLevel="0" collapsed="false">
      <c r="A52" s="36" t="s">
        <v>1787</v>
      </c>
      <c r="B52" s="31" t="s">
        <v>2672</v>
      </c>
      <c r="C52" s="320"/>
      <c r="D52" s="320"/>
      <c r="E52" s="321" t="s">
        <v>910</v>
      </c>
      <c r="F52" s="322" t="s">
        <v>3165</v>
      </c>
      <c r="G52" s="320"/>
      <c r="H52" s="324" t="s">
        <v>3166</v>
      </c>
      <c r="I52" s="320"/>
      <c r="J52" s="320"/>
    </row>
    <row r="53" customFormat="false" ht="15" hidden="false" customHeight="false" outlineLevel="0" collapsed="false">
      <c r="A53" s="36" t="s">
        <v>1498</v>
      </c>
      <c r="B53" s="31" t="s">
        <v>2676</v>
      </c>
      <c r="C53" s="320"/>
      <c r="D53" s="320"/>
      <c r="E53" s="321" t="s">
        <v>910</v>
      </c>
      <c r="F53" s="322" t="s">
        <v>3165</v>
      </c>
      <c r="G53" s="320"/>
      <c r="H53" s="324" t="s">
        <v>3166</v>
      </c>
      <c r="I53" s="320"/>
      <c r="J53" s="320"/>
    </row>
    <row r="54" customFormat="false" ht="15" hidden="false" customHeight="false" outlineLevel="0" collapsed="false">
      <c r="A54" s="36" t="s">
        <v>1502</v>
      </c>
      <c r="B54" s="31" t="s">
        <v>2680</v>
      </c>
      <c r="C54" s="320"/>
      <c r="D54" s="320"/>
      <c r="E54" s="321" t="s">
        <v>910</v>
      </c>
      <c r="F54" s="322" t="s">
        <v>3165</v>
      </c>
      <c r="G54" s="320"/>
      <c r="H54" s="320"/>
      <c r="I54" s="320"/>
      <c r="J54" s="320"/>
    </row>
    <row r="55" customFormat="false" ht="15" hidden="false" customHeight="false" outlineLevel="0" collapsed="false">
      <c r="A55" s="36" t="s">
        <v>1504</v>
      </c>
      <c r="B55" s="31" t="s">
        <v>2684</v>
      </c>
      <c r="C55" s="320"/>
      <c r="D55" s="322" t="s">
        <v>3165</v>
      </c>
      <c r="E55" s="321" t="s">
        <v>910</v>
      </c>
      <c r="F55" s="320"/>
      <c r="G55" s="320"/>
      <c r="H55" s="320"/>
      <c r="I55" s="320"/>
      <c r="J55" s="320"/>
    </row>
    <row r="56" customFormat="false" ht="15" hidden="false" customHeight="false" outlineLevel="0" collapsed="false">
      <c r="A56" s="36" t="s">
        <v>1506</v>
      </c>
      <c r="B56" s="31" t="s">
        <v>2689</v>
      </c>
      <c r="C56" s="320"/>
      <c r="D56" s="320"/>
      <c r="E56" s="321" t="s">
        <v>910</v>
      </c>
      <c r="F56" s="322" t="s">
        <v>3165</v>
      </c>
      <c r="G56" s="320"/>
      <c r="H56" s="324" t="s">
        <v>3166</v>
      </c>
      <c r="I56" s="320"/>
      <c r="J56" s="320"/>
    </row>
    <row r="57" customFormat="false" ht="15" hidden="false" customHeight="false" outlineLevel="0" collapsed="false">
      <c r="A57" s="319" t="s">
        <v>872</v>
      </c>
      <c r="B57" s="323" t="s">
        <v>2694</v>
      </c>
      <c r="C57" s="321" t="s">
        <v>910</v>
      </c>
      <c r="D57" s="322" t="s">
        <v>3165</v>
      </c>
      <c r="E57" s="320"/>
      <c r="F57" s="320"/>
      <c r="G57" s="320"/>
      <c r="H57" s="320"/>
      <c r="I57" s="320"/>
      <c r="J57" s="320"/>
    </row>
    <row r="58" customFormat="false" ht="15" hidden="false" customHeight="false" outlineLevel="0" collapsed="false">
      <c r="A58" s="36" t="s">
        <v>305</v>
      </c>
      <c r="B58" s="31" t="s">
        <v>2704</v>
      </c>
      <c r="C58" s="321" t="s">
        <v>910</v>
      </c>
      <c r="D58" s="322" t="s">
        <v>3165</v>
      </c>
      <c r="E58" s="320"/>
      <c r="F58" s="320"/>
      <c r="G58" s="320"/>
      <c r="H58" s="320"/>
      <c r="I58" s="320"/>
      <c r="J58" s="320"/>
    </row>
    <row r="59" customFormat="false" ht="15" hidden="false" customHeight="false" outlineLevel="0" collapsed="false">
      <c r="A59" s="36" t="s">
        <v>308</v>
      </c>
      <c r="B59" s="31" t="s">
        <v>2708</v>
      </c>
      <c r="C59" s="321" t="s">
        <v>910</v>
      </c>
      <c r="D59" s="322" t="s">
        <v>3165</v>
      </c>
      <c r="E59" s="320"/>
      <c r="F59" s="320"/>
      <c r="G59" s="320"/>
      <c r="H59" s="320"/>
      <c r="I59" s="320"/>
      <c r="J59" s="320"/>
    </row>
    <row r="60" customFormat="false" ht="15" hidden="false" customHeight="false" outlineLevel="0" collapsed="false">
      <c r="A60" s="36" t="s">
        <v>311</v>
      </c>
      <c r="B60" s="31" t="s">
        <v>2713</v>
      </c>
      <c r="C60" s="321" t="s">
        <v>910</v>
      </c>
      <c r="D60" s="322" t="s">
        <v>3165</v>
      </c>
      <c r="E60" s="320"/>
      <c r="F60" s="320"/>
      <c r="G60" s="320"/>
      <c r="H60" s="320"/>
      <c r="I60" s="320"/>
      <c r="J60" s="320"/>
    </row>
    <row r="61" customFormat="false" ht="15" hidden="false" customHeight="false" outlineLevel="0" collapsed="false">
      <c r="A61" s="36" t="s">
        <v>314</v>
      </c>
      <c r="B61" s="31" t="s">
        <v>2719</v>
      </c>
      <c r="C61" s="321" t="s">
        <v>910</v>
      </c>
      <c r="D61" s="322" t="s">
        <v>3165</v>
      </c>
      <c r="E61" s="320"/>
      <c r="F61" s="320"/>
      <c r="G61" s="320"/>
      <c r="H61" s="320"/>
      <c r="I61" s="320"/>
      <c r="J61" s="320"/>
    </row>
    <row r="62" customFormat="false" ht="15" hidden="false" customHeight="false" outlineLevel="0" collapsed="false">
      <c r="A62" s="36" t="s">
        <v>317</v>
      </c>
      <c r="B62" s="36" t="s">
        <v>2723</v>
      </c>
      <c r="C62" s="321" t="s">
        <v>910</v>
      </c>
      <c r="D62" s="322" t="s">
        <v>3165</v>
      </c>
      <c r="E62" s="320"/>
      <c r="F62" s="320"/>
      <c r="G62" s="320"/>
      <c r="H62" s="320"/>
      <c r="I62" s="320"/>
      <c r="J62" s="320"/>
    </row>
    <row r="63" customFormat="false" ht="15" hidden="false" customHeight="false" outlineLevel="0" collapsed="false">
      <c r="A63" s="36" t="s">
        <v>320</v>
      </c>
      <c r="B63" s="31" t="s">
        <v>2726</v>
      </c>
      <c r="C63" s="321" t="s">
        <v>910</v>
      </c>
      <c r="D63" s="322" t="s">
        <v>3165</v>
      </c>
      <c r="E63" s="320"/>
      <c r="F63" s="320"/>
      <c r="G63" s="320"/>
      <c r="H63" s="320"/>
      <c r="I63" s="320"/>
      <c r="J63" s="320"/>
    </row>
    <row r="64" customFormat="false" ht="15" hidden="false" customHeight="false" outlineLevel="0" collapsed="false">
      <c r="A64" s="36" t="s">
        <v>323</v>
      </c>
      <c r="B64" s="36" t="s">
        <v>2730</v>
      </c>
      <c r="C64" s="321" t="s">
        <v>910</v>
      </c>
      <c r="D64" s="322" t="s">
        <v>3165</v>
      </c>
      <c r="E64" s="320"/>
      <c r="F64" s="320"/>
      <c r="G64" s="320"/>
      <c r="H64" s="320"/>
      <c r="I64" s="320"/>
      <c r="J64" s="320"/>
    </row>
    <row r="65" customFormat="false" ht="15" hidden="false" customHeight="false" outlineLevel="0" collapsed="false">
      <c r="A65" s="319" t="s">
        <v>987</v>
      </c>
      <c r="B65" s="323" t="s">
        <v>2734</v>
      </c>
      <c r="C65" s="321" t="s">
        <v>910</v>
      </c>
      <c r="D65" s="322" t="s">
        <v>3165</v>
      </c>
      <c r="E65" s="320"/>
      <c r="F65" s="320"/>
      <c r="G65" s="320"/>
      <c r="H65" s="320"/>
      <c r="I65" s="320"/>
      <c r="J65" s="320"/>
    </row>
    <row r="66" customFormat="false" ht="15" hidden="false" customHeight="false" outlineLevel="0" collapsed="false">
      <c r="A66" s="36" t="s">
        <v>326</v>
      </c>
      <c r="B66" s="31" t="s">
        <v>2741</v>
      </c>
      <c r="C66" s="321" t="s">
        <v>910</v>
      </c>
      <c r="D66" s="322" t="s">
        <v>3165</v>
      </c>
      <c r="E66" s="320"/>
      <c r="F66" s="320"/>
      <c r="G66" s="320"/>
      <c r="H66" s="320"/>
      <c r="I66" s="320"/>
      <c r="J66" s="320"/>
    </row>
    <row r="67" customFormat="false" ht="15" hidden="false" customHeight="false" outlineLevel="0" collapsed="false">
      <c r="A67" s="36" t="s">
        <v>329</v>
      </c>
      <c r="B67" s="31" t="s">
        <v>2745</v>
      </c>
      <c r="C67" s="321" t="s">
        <v>910</v>
      </c>
      <c r="D67" s="322" t="s">
        <v>3165</v>
      </c>
      <c r="E67" s="320"/>
      <c r="F67" s="320"/>
      <c r="G67" s="320"/>
      <c r="H67" s="320"/>
      <c r="I67" s="320"/>
      <c r="J67" s="320"/>
    </row>
    <row r="68" customFormat="false" ht="15" hidden="false" customHeight="false" outlineLevel="0" collapsed="false">
      <c r="A68" s="36" t="s">
        <v>332</v>
      </c>
      <c r="B68" s="31" t="s">
        <v>2748</v>
      </c>
      <c r="C68" s="321" t="s">
        <v>910</v>
      </c>
      <c r="D68" s="322" t="s">
        <v>3165</v>
      </c>
      <c r="E68" s="320"/>
      <c r="F68" s="320"/>
      <c r="G68" s="320"/>
      <c r="H68" s="320"/>
      <c r="I68" s="320"/>
      <c r="J68" s="320"/>
    </row>
    <row r="69" customFormat="false" ht="15" hidden="false" customHeight="false" outlineLevel="0" collapsed="false">
      <c r="A69" s="36" t="s">
        <v>335</v>
      </c>
      <c r="B69" s="31" t="s">
        <v>2751</v>
      </c>
      <c r="C69" s="321" t="s">
        <v>910</v>
      </c>
      <c r="D69" s="322" t="s">
        <v>3165</v>
      </c>
      <c r="E69" s="320"/>
      <c r="F69" s="320"/>
      <c r="G69" s="320"/>
      <c r="H69" s="320"/>
      <c r="I69" s="320"/>
      <c r="J69" s="320"/>
    </row>
    <row r="70" customFormat="false" ht="15" hidden="false" customHeight="false" outlineLevel="0" collapsed="false">
      <c r="A70" s="36" t="s">
        <v>338</v>
      </c>
      <c r="B70" s="36" t="s">
        <v>2756</v>
      </c>
      <c r="C70" s="321" t="s">
        <v>910</v>
      </c>
      <c r="D70" s="322" t="s">
        <v>3165</v>
      </c>
      <c r="E70" s="320"/>
      <c r="F70" s="320"/>
      <c r="G70" s="320"/>
      <c r="H70" s="320"/>
      <c r="I70" s="320"/>
      <c r="J70" s="320"/>
    </row>
    <row r="71" customFormat="false" ht="15" hidden="false" customHeight="false" outlineLevel="0" collapsed="false">
      <c r="A71" s="319" t="s">
        <v>1037</v>
      </c>
      <c r="B71" s="323" t="s">
        <v>1976</v>
      </c>
      <c r="C71" s="321" t="s">
        <v>910</v>
      </c>
      <c r="D71" s="322" t="s">
        <v>3165</v>
      </c>
      <c r="E71" s="320"/>
      <c r="F71" s="320"/>
      <c r="G71" s="320"/>
      <c r="H71" s="320"/>
      <c r="I71" s="320"/>
      <c r="J71" s="320"/>
    </row>
    <row r="72" customFormat="false" ht="15" hidden="false" customHeight="false" outlineLevel="0" collapsed="false">
      <c r="A72" s="36" t="s">
        <v>341</v>
      </c>
      <c r="B72" s="31" t="s">
        <v>2767</v>
      </c>
      <c r="C72" s="321" t="s">
        <v>910</v>
      </c>
      <c r="D72" s="322" t="s">
        <v>3165</v>
      </c>
      <c r="E72" s="320"/>
      <c r="F72" s="320"/>
      <c r="G72" s="320"/>
      <c r="H72" s="320"/>
      <c r="I72" s="320"/>
      <c r="J72" s="320"/>
    </row>
    <row r="73" customFormat="false" ht="15" hidden="false" customHeight="false" outlineLevel="0" collapsed="false">
      <c r="A73" s="36" t="s">
        <v>344</v>
      </c>
      <c r="B73" s="31" t="s">
        <v>2771</v>
      </c>
      <c r="C73" s="321" t="s">
        <v>910</v>
      </c>
      <c r="D73" s="322" t="s">
        <v>3165</v>
      </c>
      <c r="E73" s="320"/>
      <c r="F73" s="320"/>
      <c r="G73" s="320"/>
      <c r="H73" s="320"/>
      <c r="I73" s="320"/>
      <c r="J73" s="320"/>
    </row>
    <row r="74" customFormat="false" ht="15" hidden="false" customHeight="false" outlineLevel="0" collapsed="false">
      <c r="A74" s="36" t="s">
        <v>347</v>
      </c>
      <c r="B74" s="36" t="s">
        <v>2775</v>
      </c>
      <c r="C74" s="321" t="s">
        <v>910</v>
      </c>
      <c r="D74" s="322" t="s">
        <v>3165</v>
      </c>
      <c r="E74" s="320"/>
      <c r="F74" s="320"/>
      <c r="G74" s="320"/>
      <c r="H74" s="320"/>
      <c r="I74" s="320"/>
      <c r="J74" s="320"/>
    </row>
    <row r="75" customFormat="false" ht="15" hidden="false" customHeight="false" outlineLevel="0" collapsed="false">
      <c r="A75" s="36" t="s">
        <v>350</v>
      </c>
      <c r="B75" s="36" t="s">
        <v>2779</v>
      </c>
      <c r="C75" s="321" t="s">
        <v>910</v>
      </c>
      <c r="D75" s="322" t="s">
        <v>3165</v>
      </c>
      <c r="E75" s="320"/>
      <c r="F75" s="320"/>
      <c r="G75" s="320"/>
      <c r="H75" s="320"/>
      <c r="I75" s="320"/>
      <c r="J75" s="320"/>
    </row>
    <row r="76" customFormat="false" ht="15" hidden="false" customHeight="false" outlineLevel="0" collapsed="false">
      <c r="A76" s="36" t="s">
        <v>353</v>
      </c>
      <c r="B76" s="36" t="s">
        <v>2784</v>
      </c>
      <c r="C76" s="321" t="s">
        <v>910</v>
      </c>
      <c r="D76" s="322" t="s">
        <v>3165</v>
      </c>
      <c r="E76" s="320"/>
      <c r="F76" s="320"/>
      <c r="G76" s="320"/>
      <c r="H76" s="320"/>
      <c r="I76" s="320"/>
      <c r="J76" s="320"/>
    </row>
    <row r="77" customFormat="false" ht="15" hidden="false" customHeight="false" outlineLevel="0" collapsed="false">
      <c r="A77" s="319" t="s">
        <v>1063</v>
      </c>
      <c r="B77" s="323" t="s">
        <v>2787</v>
      </c>
      <c r="C77" s="321" t="s">
        <v>910</v>
      </c>
      <c r="D77" s="322" t="s">
        <v>3165</v>
      </c>
      <c r="E77" s="320"/>
      <c r="F77" s="320"/>
      <c r="G77" s="320"/>
      <c r="H77" s="320"/>
      <c r="I77" s="320"/>
      <c r="J77" s="320"/>
    </row>
    <row r="78" customFormat="false" ht="15" hidden="false" customHeight="false" outlineLevel="0" collapsed="false">
      <c r="A78" s="36" t="s">
        <v>356</v>
      </c>
      <c r="B78" s="31" t="s">
        <v>2793</v>
      </c>
      <c r="C78" s="321" t="s">
        <v>910</v>
      </c>
      <c r="D78" s="322" t="s">
        <v>3165</v>
      </c>
      <c r="E78" s="320"/>
      <c r="F78" s="320"/>
      <c r="G78" s="320"/>
      <c r="H78" s="320"/>
      <c r="I78" s="320"/>
      <c r="J78" s="320"/>
    </row>
    <row r="79" customFormat="false" ht="15" hidden="false" customHeight="false" outlineLevel="0" collapsed="false">
      <c r="A79" s="36" t="s">
        <v>359</v>
      </c>
      <c r="B79" s="31" t="s">
        <v>2796</v>
      </c>
      <c r="C79" s="321" t="s">
        <v>910</v>
      </c>
      <c r="D79" s="322" t="s">
        <v>3165</v>
      </c>
      <c r="E79" s="320"/>
      <c r="F79" s="320"/>
      <c r="G79" s="320"/>
      <c r="H79" s="320"/>
      <c r="I79" s="320"/>
      <c r="J79" s="320"/>
    </row>
    <row r="80" customFormat="false" ht="15" hidden="false" customHeight="false" outlineLevel="0" collapsed="false">
      <c r="A80" s="319" t="s">
        <v>1079</v>
      </c>
      <c r="B80" s="323" t="s">
        <v>2799</v>
      </c>
      <c r="C80" s="321" t="s">
        <v>910</v>
      </c>
      <c r="D80" s="322" t="s">
        <v>3165</v>
      </c>
      <c r="E80" s="320"/>
      <c r="F80" s="320"/>
      <c r="G80" s="320"/>
      <c r="H80" s="320"/>
      <c r="I80" s="320"/>
      <c r="J80" s="320"/>
    </row>
    <row r="81" customFormat="false" ht="15" hidden="false" customHeight="false" outlineLevel="0" collapsed="false">
      <c r="A81" s="36" t="s">
        <v>362</v>
      </c>
      <c r="B81" s="36" t="s">
        <v>2806</v>
      </c>
      <c r="C81" s="321" t="s">
        <v>910</v>
      </c>
      <c r="D81" s="322" t="s">
        <v>3165</v>
      </c>
      <c r="E81" s="320"/>
      <c r="F81" s="320"/>
      <c r="G81" s="320"/>
      <c r="H81" s="320"/>
      <c r="I81" s="320"/>
      <c r="J81" s="320"/>
    </row>
    <row r="82" customFormat="false" ht="15" hidden="false" customHeight="false" outlineLevel="0" collapsed="false">
      <c r="A82" s="36" t="s">
        <v>366</v>
      </c>
      <c r="B82" s="36" t="s">
        <v>2811</v>
      </c>
      <c r="C82" s="321" t="s">
        <v>910</v>
      </c>
      <c r="D82" s="322" t="s">
        <v>3165</v>
      </c>
      <c r="E82" s="320"/>
      <c r="F82" s="320"/>
      <c r="G82" s="320"/>
      <c r="H82" s="320"/>
      <c r="I82" s="320"/>
      <c r="J82" s="320"/>
    </row>
    <row r="83" customFormat="false" ht="15" hidden="false" customHeight="false" outlineLevel="0" collapsed="false">
      <c r="A83" s="36" t="s">
        <v>370</v>
      </c>
      <c r="B83" s="31" t="s">
        <v>2817</v>
      </c>
      <c r="C83" s="321" t="s">
        <v>910</v>
      </c>
      <c r="D83" s="322" t="s">
        <v>3165</v>
      </c>
      <c r="E83" s="320"/>
      <c r="F83" s="320"/>
      <c r="G83" s="320"/>
      <c r="H83" s="320"/>
      <c r="I83" s="320"/>
      <c r="J83" s="320"/>
    </row>
    <row r="84" customFormat="false" ht="15" hidden="false" customHeight="false" outlineLevel="0" collapsed="false">
      <c r="A84" s="36" t="s">
        <v>373</v>
      </c>
      <c r="B84" s="36" t="s">
        <v>374</v>
      </c>
      <c r="C84" s="321" t="s">
        <v>910</v>
      </c>
      <c r="D84" s="322" t="s">
        <v>3165</v>
      </c>
      <c r="E84" s="320"/>
      <c r="F84" s="320"/>
      <c r="G84" s="320"/>
      <c r="H84" s="320"/>
      <c r="I84" s="320"/>
      <c r="J84" s="320"/>
    </row>
    <row r="85" customFormat="false" ht="15" hidden="false" customHeight="false" outlineLevel="0" collapsed="false">
      <c r="A85" s="319" t="s">
        <v>1113</v>
      </c>
      <c r="B85" s="323" t="s">
        <v>2824</v>
      </c>
      <c r="C85" s="321" t="s">
        <v>910</v>
      </c>
      <c r="D85" s="322" t="s">
        <v>3165</v>
      </c>
      <c r="E85" s="320"/>
      <c r="F85" s="320"/>
      <c r="G85" s="320"/>
      <c r="H85" s="320"/>
      <c r="I85" s="320"/>
      <c r="J85" s="320"/>
    </row>
    <row r="86" customFormat="false" ht="15" hidden="false" customHeight="false" outlineLevel="0" collapsed="false">
      <c r="A86" s="36" t="s">
        <v>376</v>
      </c>
      <c r="B86" s="31" t="s">
        <v>2831</v>
      </c>
      <c r="C86" s="321" t="s">
        <v>910</v>
      </c>
      <c r="D86" s="322" t="s">
        <v>3165</v>
      </c>
      <c r="E86" s="320"/>
      <c r="F86" s="320"/>
      <c r="G86" s="320"/>
      <c r="H86" s="320"/>
      <c r="I86" s="320"/>
      <c r="J86" s="320"/>
    </row>
    <row r="87" customFormat="false" ht="15" hidden="false" customHeight="false" outlineLevel="0" collapsed="false">
      <c r="A87" s="36" t="s">
        <v>379</v>
      </c>
      <c r="B87" s="36" t="s">
        <v>2836</v>
      </c>
      <c r="C87" s="321" t="s">
        <v>910</v>
      </c>
      <c r="D87" s="322" t="s">
        <v>3165</v>
      </c>
      <c r="E87" s="320"/>
      <c r="F87" s="320"/>
      <c r="G87" s="320"/>
      <c r="H87" s="320"/>
      <c r="I87" s="320"/>
      <c r="J87" s="320"/>
    </row>
    <row r="88" customFormat="false" ht="15" hidden="false" customHeight="false" outlineLevel="0" collapsed="false">
      <c r="A88" s="36" t="s">
        <v>382</v>
      </c>
      <c r="B88" s="31" t="s">
        <v>2841</v>
      </c>
      <c r="C88" s="321" t="s">
        <v>910</v>
      </c>
      <c r="D88" s="322" t="s">
        <v>3165</v>
      </c>
      <c r="E88" s="320"/>
      <c r="F88" s="320"/>
      <c r="G88" s="320"/>
      <c r="H88" s="320"/>
      <c r="I88" s="320"/>
      <c r="J88" s="320"/>
    </row>
    <row r="89" customFormat="false" ht="15" hidden="false" customHeight="false" outlineLevel="0" collapsed="false">
      <c r="A89" s="36" t="s">
        <v>385</v>
      </c>
      <c r="B89" s="31" t="s">
        <v>2845</v>
      </c>
      <c r="C89" s="321" t="s">
        <v>910</v>
      </c>
      <c r="D89" s="322" t="s">
        <v>3165</v>
      </c>
      <c r="E89" s="320"/>
      <c r="F89" s="320"/>
      <c r="G89" s="320"/>
      <c r="H89" s="320"/>
      <c r="I89" s="320"/>
      <c r="J89" s="320"/>
    </row>
    <row r="90" customFormat="false" ht="15" hidden="false" customHeight="false" outlineLevel="0" collapsed="false">
      <c r="A90" s="36" t="s">
        <v>388</v>
      </c>
      <c r="B90" s="36" t="s">
        <v>2849</v>
      </c>
      <c r="C90" s="321" t="s">
        <v>910</v>
      </c>
      <c r="D90" s="322" t="s">
        <v>3165</v>
      </c>
      <c r="E90" s="320"/>
      <c r="F90" s="320"/>
      <c r="G90" s="320"/>
      <c r="H90" s="320"/>
      <c r="I90" s="320"/>
      <c r="J90" s="320"/>
    </row>
    <row r="91" customFormat="false" ht="15" hidden="false" customHeight="false" outlineLevel="0" collapsed="false">
      <c r="A91" s="319" t="s">
        <v>1147</v>
      </c>
      <c r="B91" s="323" t="s">
        <v>2853</v>
      </c>
      <c r="C91" s="321" t="s">
        <v>910</v>
      </c>
      <c r="D91" s="322" t="s">
        <v>3165</v>
      </c>
      <c r="E91" s="320"/>
      <c r="F91" s="320"/>
      <c r="G91" s="320"/>
      <c r="H91" s="320"/>
      <c r="I91" s="320"/>
      <c r="J91" s="320"/>
    </row>
    <row r="92" customFormat="false" ht="15" hidden="false" customHeight="false" outlineLevel="0" collapsed="false">
      <c r="A92" s="36" t="s">
        <v>391</v>
      </c>
      <c r="B92" s="31" t="s">
        <v>2859</v>
      </c>
      <c r="C92" s="321" t="s">
        <v>910</v>
      </c>
      <c r="D92" s="322" t="s">
        <v>3165</v>
      </c>
      <c r="E92" s="320"/>
      <c r="F92" s="320"/>
      <c r="G92" s="320"/>
      <c r="H92" s="320"/>
      <c r="I92" s="320"/>
      <c r="J92" s="320"/>
    </row>
    <row r="93" customFormat="false" ht="15" hidden="false" customHeight="false" outlineLevel="0" collapsed="false">
      <c r="A93" s="36" t="s">
        <v>394</v>
      </c>
      <c r="B93" s="31" t="s">
        <v>2863</v>
      </c>
      <c r="C93" s="321" t="s">
        <v>910</v>
      </c>
      <c r="D93" s="322" t="s">
        <v>3165</v>
      </c>
      <c r="E93" s="320"/>
      <c r="F93" s="320"/>
      <c r="G93" s="320"/>
      <c r="H93" s="320"/>
      <c r="I93" s="320"/>
      <c r="J93" s="320"/>
    </row>
    <row r="94" customFormat="false" ht="15" hidden="false" customHeight="false" outlineLevel="0" collapsed="false">
      <c r="A94" s="36" t="s">
        <v>397</v>
      </c>
      <c r="B94" s="36" t="s">
        <v>2866</v>
      </c>
      <c r="C94" s="321" t="s">
        <v>910</v>
      </c>
      <c r="D94" s="322" t="s">
        <v>3165</v>
      </c>
      <c r="E94" s="320"/>
      <c r="F94" s="320"/>
      <c r="G94" s="320"/>
      <c r="H94" s="320"/>
      <c r="I94" s="320"/>
      <c r="J94" s="320"/>
    </row>
    <row r="95" customFormat="false" ht="15" hidden="false" customHeight="false" outlineLevel="0" collapsed="false">
      <c r="A95" s="319" t="s">
        <v>1168</v>
      </c>
      <c r="B95" s="323" t="s">
        <v>2870</v>
      </c>
      <c r="C95" s="321" t="s">
        <v>910</v>
      </c>
      <c r="D95" s="322" t="s">
        <v>3165</v>
      </c>
      <c r="E95" s="320"/>
      <c r="F95" s="320"/>
      <c r="G95" s="320"/>
      <c r="H95" s="320"/>
      <c r="I95" s="320"/>
      <c r="J95" s="320"/>
    </row>
    <row r="96" customFormat="false" ht="15" hidden="false" customHeight="false" outlineLevel="0" collapsed="false">
      <c r="A96" s="36" t="s">
        <v>2004</v>
      </c>
      <c r="B96" s="31" t="s">
        <v>2878</v>
      </c>
      <c r="C96" s="320"/>
      <c r="D96" s="321" t="s">
        <v>910</v>
      </c>
      <c r="E96" s="320"/>
      <c r="F96" s="322" t="s">
        <v>3165</v>
      </c>
      <c r="G96" s="320"/>
      <c r="H96" s="324" t="s">
        <v>3166</v>
      </c>
      <c r="I96" s="320"/>
      <c r="J96" s="320"/>
    </row>
    <row r="97" customFormat="false" ht="15" hidden="false" customHeight="false" outlineLevel="0" collapsed="false">
      <c r="A97" s="36" t="s">
        <v>400</v>
      </c>
      <c r="B97" s="31" t="s">
        <v>2881</v>
      </c>
      <c r="C97" s="321" t="s">
        <v>910</v>
      </c>
      <c r="D97" s="322" t="s">
        <v>3165</v>
      </c>
      <c r="E97" s="320"/>
      <c r="F97" s="320"/>
      <c r="G97" s="320"/>
      <c r="H97" s="324" t="s">
        <v>3166</v>
      </c>
      <c r="I97" s="320"/>
      <c r="J97" s="320"/>
    </row>
    <row r="98" customFormat="false" ht="15" hidden="false" customHeight="false" outlineLevel="0" collapsed="false">
      <c r="A98" s="36" t="s">
        <v>467</v>
      </c>
      <c r="B98" s="36" t="s">
        <v>2885</v>
      </c>
      <c r="C98" s="321" t="s">
        <v>910</v>
      </c>
      <c r="D98" s="322" t="s">
        <v>3165</v>
      </c>
      <c r="E98" s="320"/>
      <c r="F98" s="320"/>
      <c r="G98" s="320"/>
      <c r="H98" s="320"/>
      <c r="I98" s="320"/>
      <c r="J98" s="320"/>
    </row>
    <row r="99" customFormat="false" ht="15" hidden="false" customHeight="false" outlineLevel="0" collapsed="false">
      <c r="A99" s="36" t="s">
        <v>403</v>
      </c>
      <c r="B99" s="31" t="s">
        <v>2889</v>
      </c>
      <c r="C99" s="321" t="s">
        <v>910</v>
      </c>
      <c r="D99" s="322" t="s">
        <v>3165</v>
      </c>
      <c r="E99" s="320"/>
      <c r="F99" s="320"/>
      <c r="G99" s="320"/>
      <c r="H99" s="320"/>
      <c r="I99" s="320"/>
      <c r="J99" s="320"/>
    </row>
    <row r="100" customFormat="false" ht="15" hidden="false" customHeight="false" outlineLevel="0" collapsed="false">
      <c r="A100" s="36" t="s">
        <v>406</v>
      </c>
      <c r="B100" s="31" t="s">
        <v>2894</v>
      </c>
      <c r="C100" s="321" t="s">
        <v>910</v>
      </c>
      <c r="D100" s="322" t="s">
        <v>3165</v>
      </c>
      <c r="E100" s="320"/>
      <c r="F100" s="320"/>
      <c r="G100" s="320"/>
      <c r="H100" s="320"/>
      <c r="I100" s="320"/>
      <c r="J100" s="320"/>
    </row>
    <row r="101" customFormat="false" ht="15" hidden="false" customHeight="false" outlineLevel="0" collapsed="false">
      <c r="A101" s="36" t="s">
        <v>409</v>
      </c>
      <c r="B101" s="36" t="s">
        <v>2898</v>
      </c>
      <c r="C101" s="321" t="s">
        <v>910</v>
      </c>
      <c r="D101" s="322" t="s">
        <v>3165</v>
      </c>
      <c r="E101" s="320"/>
      <c r="F101" s="320"/>
      <c r="G101" s="320"/>
      <c r="H101" s="320"/>
      <c r="I101" s="320"/>
      <c r="J101" s="320"/>
    </row>
    <row r="102" customFormat="false" ht="15" hidden="false" customHeight="false" outlineLevel="0" collapsed="false">
      <c r="A102" s="319" t="s">
        <v>1192</v>
      </c>
      <c r="B102" s="323" t="s">
        <v>2903</v>
      </c>
      <c r="C102" s="321" t="s">
        <v>910</v>
      </c>
      <c r="D102" s="322" t="s">
        <v>3165</v>
      </c>
      <c r="E102" s="320"/>
      <c r="F102" s="320"/>
      <c r="G102" s="320"/>
      <c r="H102" s="320"/>
      <c r="I102" s="320"/>
      <c r="J102" s="320"/>
    </row>
    <row r="103" customFormat="false" ht="15" hidden="false" customHeight="false" outlineLevel="0" collapsed="false">
      <c r="A103" s="36" t="s">
        <v>412</v>
      </c>
      <c r="B103" s="36" t="s">
        <v>2910</v>
      </c>
      <c r="C103" s="321" t="s">
        <v>910</v>
      </c>
      <c r="D103" s="322" t="s">
        <v>3165</v>
      </c>
      <c r="E103" s="320"/>
      <c r="F103" s="320"/>
      <c r="G103" s="320"/>
      <c r="H103" s="320"/>
      <c r="I103" s="320"/>
      <c r="J103" s="320"/>
    </row>
    <row r="104" customFormat="false" ht="15" hidden="false" customHeight="false" outlineLevel="0" collapsed="false">
      <c r="A104" s="36" t="s">
        <v>415</v>
      </c>
      <c r="B104" s="31" t="s">
        <v>2913</v>
      </c>
      <c r="C104" s="321" t="s">
        <v>910</v>
      </c>
      <c r="D104" s="322" t="s">
        <v>3165</v>
      </c>
      <c r="E104" s="320"/>
      <c r="F104" s="320"/>
      <c r="G104" s="320"/>
      <c r="H104" s="320"/>
      <c r="I104" s="320"/>
      <c r="J104" s="320"/>
    </row>
    <row r="105" customFormat="false" ht="15" hidden="false" customHeight="false" outlineLevel="0" collapsed="false">
      <c r="A105" s="36" t="s">
        <v>418</v>
      </c>
      <c r="B105" s="36" t="s">
        <v>2916</v>
      </c>
      <c r="C105" s="321" t="s">
        <v>910</v>
      </c>
      <c r="D105" s="322" t="s">
        <v>3165</v>
      </c>
      <c r="E105" s="320"/>
      <c r="F105" s="320"/>
      <c r="G105" s="320"/>
      <c r="H105" s="320"/>
      <c r="I105" s="320"/>
      <c r="J105" s="320"/>
    </row>
    <row r="106" customFormat="false" ht="15" hidden="false" customHeight="false" outlineLevel="0" collapsed="false">
      <c r="A106" s="319" t="s">
        <v>1487</v>
      </c>
      <c r="B106" s="323" t="s">
        <v>2920</v>
      </c>
      <c r="C106" s="320"/>
      <c r="D106" s="321" t="s">
        <v>910</v>
      </c>
      <c r="E106" s="320"/>
      <c r="F106" s="322" t="s">
        <v>3165</v>
      </c>
      <c r="G106" s="324" t="s">
        <v>3166</v>
      </c>
      <c r="H106" s="320"/>
      <c r="I106" s="320"/>
      <c r="J106" s="320"/>
    </row>
    <row r="107" customFormat="false" ht="15" hidden="false" customHeight="false" outlineLevel="0" collapsed="false">
      <c r="A107" s="36" t="s">
        <v>421</v>
      </c>
      <c r="B107" s="31" t="s">
        <v>2926</v>
      </c>
      <c r="C107" s="321" t="s">
        <v>910</v>
      </c>
      <c r="D107" s="322" t="s">
        <v>3165</v>
      </c>
      <c r="E107" s="320"/>
      <c r="F107" s="320"/>
      <c r="G107" s="320"/>
      <c r="H107" s="320"/>
      <c r="I107" s="320"/>
      <c r="J107" s="320"/>
    </row>
    <row r="108" customFormat="false" ht="15" hidden="false" customHeight="false" outlineLevel="0" collapsed="false">
      <c r="A108" s="36" t="s">
        <v>424</v>
      </c>
      <c r="B108" s="31" t="s">
        <v>2929</v>
      </c>
      <c r="C108" s="321" t="s">
        <v>910</v>
      </c>
      <c r="D108" s="322" t="s">
        <v>3165</v>
      </c>
      <c r="E108" s="320"/>
      <c r="F108" s="320"/>
      <c r="G108" s="320"/>
      <c r="H108" s="320"/>
      <c r="I108" s="320"/>
      <c r="J108" s="320"/>
    </row>
    <row r="109" customFormat="false" ht="15" hidden="false" customHeight="false" outlineLevel="0" collapsed="false">
      <c r="A109" s="319" t="s">
        <v>1205</v>
      </c>
      <c r="B109" s="323" t="s">
        <v>2933</v>
      </c>
      <c r="C109" s="321" t="s">
        <v>910</v>
      </c>
      <c r="D109" s="322" t="s">
        <v>3165</v>
      </c>
      <c r="E109" s="320"/>
      <c r="F109" s="320"/>
      <c r="G109" s="320"/>
      <c r="H109" s="320"/>
      <c r="I109" s="320"/>
      <c r="J109" s="320"/>
    </row>
    <row r="110" customFormat="false" ht="15" hidden="false" customHeight="false" outlineLevel="0" collapsed="false">
      <c r="A110" s="36" t="s">
        <v>427</v>
      </c>
      <c r="B110" s="36" t="s">
        <v>428</v>
      </c>
      <c r="C110" s="320"/>
      <c r="D110" s="321" t="s">
        <v>910</v>
      </c>
      <c r="E110" s="320"/>
      <c r="F110" s="322" t="s">
        <v>3165</v>
      </c>
      <c r="G110" s="320"/>
      <c r="H110" s="320"/>
      <c r="I110" s="320"/>
      <c r="J110" s="320"/>
    </row>
    <row r="111" customFormat="false" ht="15" hidden="false" customHeight="false" outlineLevel="0" collapsed="false">
      <c r="A111" s="36" t="s">
        <v>430</v>
      </c>
      <c r="B111" s="31" t="s">
        <v>2942</v>
      </c>
      <c r="C111" s="321" t="s">
        <v>910</v>
      </c>
      <c r="D111" s="322" t="s">
        <v>3165</v>
      </c>
      <c r="E111" s="320"/>
      <c r="F111" s="320"/>
      <c r="G111" s="320"/>
      <c r="H111" s="320"/>
      <c r="I111" s="320"/>
      <c r="J111" s="320"/>
    </row>
    <row r="112" customFormat="false" ht="15" hidden="false" customHeight="false" outlineLevel="0" collapsed="false">
      <c r="A112" s="36" t="s">
        <v>433</v>
      </c>
      <c r="B112" s="31" t="s">
        <v>2947</v>
      </c>
      <c r="C112" s="321" t="s">
        <v>910</v>
      </c>
      <c r="D112" s="322" t="s">
        <v>3165</v>
      </c>
      <c r="E112" s="320"/>
      <c r="F112" s="320"/>
      <c r="G112" s="320"/>
      <c r="H112" s="320"/>
      <c r="I112" s="320"/>
      <c r="J112" s="320"/>
    </row>
    <row r="113" customFormat="false" ht="15" hidden="false" customHeight="false" outlineLevel="0" collapsed="false">
      <c r="A113" s="36" t="s">
        <v>436</v>
      </c>
      <c r="B113" s="31" t="s">
        <v>2952</v>
      </c>
      <c r="C113" s="321" t="s">
        <v>910</v>
      </c>
      <c r="D113" s="322" t="s">
        <v>3165</v>
      </c>
      <c r="E113" s="320"/>
      <c r="F113" s="320"/>
      <c r="G113" s="320"/>
      <c r="H113" s="320"/>
      <c r="I113" s="320"/>
      <c r="J113" s="320"/>
    </row>
    <row r="114" customFormat="false" ht="15" hidden="false" customHeight="false" outlineLevel="0" collapsed="false">
      <c r="A114" s="36" t="s">
        <v>439</v>
      </c>
      <c r="B114" s="31" t="s">
        <v>2956</v>
      </c>
      <c r="C114" s="321" t="s">
        <v>910</v>
      </c>
      <c r="D114" s="322" t="s">
        <v>3165</v>
      </c>
      <c r="E114" s="320"/>
      <c r="F114" s="320"/>
      <c r="G114" s="320"/>
      <c r="H114" s="320"/>
      <c r="I114" s="320"/>
      <c r="J114" s="320"/>
    </row>
    <row r="115" customFormat="false" ht="15" hidden="false" customHeight="false" outlineLevel="0" collapsed="false">
      <c r="A115" s="36" t="s">
        <v>442</v>
      </c>
      <c r="B115" s="31" t="s">
        <v>2959</v>
      </c>
      <c r="C115" s="321" t="s">
        <v>910</v>
      </c>
      <c r="D115" s="322" t="s">
        <v>3165</v>
      </c>
      <c r="E115" s="320"/>
      <c r="F115" s="320"/>
      <c r="G115" s="320"/>
      <c r="H115" s="320"/>
      <c r="I115" s="320"/>
      <c r="J115" s="320"/>
    </row>
    <row r="116" customFormat="false" ht="15" hidden="false" customHeight="false" outlineLevel="0" collapsed="false">
      <c r="A116" s="36" t="s">
        <v>1493</v>
      </c>
      <c r="B116" s="31" t="s">
        <v>2963</v>
      </c>
      <c r="C116" s="320"/>
      <c r="D116" s="321" t="s">
        <v>910</v>
      </c>
      <c r="E116" s="320"/>
      <c r="F116" s="322" t="s">
        <v>3165</v>
      </c>
      <c r="G116" s="324" t="s">
        <v>3166</v>
      </c>
      <c r="H116" s="320"/>
      <c r="I116" s="320"/>
      <c r="J116" s="320"/>
    </row>
    <row r="117" customFormat="false" ht="15" hidden="false" customHeight="false" outlineLevel="0" collapsed="false">
      <c r="A117" s="36" t="s">
        <v>1800</v>
      </c>
      <c r="B117" s="31" t="s">
        <v>2966</v>
      </c>
      <c r="C117" s="320"/>
      <c r="D117" s="321" t="s">
        <v>910</v>
      </c>
      <c r="E117" s="320"/>
      <c r="F117" s="322" t="s">
        <v>3165</v>
      </c>
      <c r="G117" s="320"/>
      <c r="H117" s="320"/>
      <c r="I117" s="320"/>
      <c r="J117" s="320"/>
    </row>
    <row r="118" customFormat="false" ht="15" hidden="false" customHeight="false" outlineLevel="0" collapsed="false">
      <c r="A118" s="319" t="s">
        <v>2030</v>
      </c>
      <c r="B118" s="323" t="s">
        <v>2971</v>
      </c>
      <c r="C118" s="320"/>
      <c r="D118" s="321" t="s">
        <v>910</v>
      </c>
      <c r="E118" s="320"/>
      <c r="F118" s="322" t="s">
        <v>3165</v>
      </c>
      <c r="G118" s="324" t="s">
        <v>3166</v>
      </c>
      <c r="H118" s="320"/>
      <c r="I118" s="320"/>
      <c r="J118" s="320"/>
    </row>
    <row r="119" customFormat="false" ht="15" hidden="false" customHeight="false" outlineLevel="0" collapsed="false">
      <c r="A119" s="36" t="s">
        <v>445</v>
      </c>
      <c r="B119" s="31" t="s">
        <v>2979</v>
      </c>
      <c r="C119" s="320"/>
      <c r="D119" s="321" t="s">
        <v>910</v>
      </c>
      <c r="E119" s="320"/>
      <c r="F119" s="322" t="s">
        <v>3165</v>
      </c>
      <c r="G119" s="324" t="s">
        <v>3166</v>
      </c>
      <c r="H119" s="320"/>
      <c r="I119" s="320"/>
      <c r="J119" s="320"/>
    </row>
    <row r="120" customFormat="false" ht="15" hidden="false" customHeight="false" outlineLevel="0" collapsed="false">
      <c r="A120" s="36" t="s">
        <v>448</v>
      </c>
      <c r="B120" s="31" t="s">
        <v>2983</v>
      </c>
      <c r="C120" s="320"/>
      <c r="D120" s="321" t="s">
        <v>910</v>
      </c>
      <c r="E120" s="320"/>
      <c r="F120" s="322" t="s">
        <v>3165</v>
      </c>
      <c r="G120" s="324" t="s">
        <v>3166</v>
      </c>
      <c r="H120" s="320"/>
      <c r="I120" s="320"/>
      <c r="J120" s="320"/>
    </row>
    <row r="121" customFormat="false" ht="15" hidden="false" customHeight="false" outlineLevel="0" collapsed="false">
      <c r="A121" s="36" t="s">
        <v>451</v>
      </c>
      <c r="B121" s="36" t="s">
        <v>2988</v>
      </c>
      <c r="C121" s="320"/>
      <c r="D121" s="321" t="s">
        <v>910</v>
      </c>
      <c r="E121" s="320"/>
      <c r="F121" s="322" t="s">
        <v>3165</v>
      </c>
      <c r="G121" s="324" t="s">
        <v>3166</v>
      </c>
      <c r="H121" s="320"/>
      <c r="I121" s="320"/>
      <c r="J121" s="320"/>
    </row>
    <row r="122" customFormat="false" ht="15" hidden="false" customHeight="false" outlineLevel="0" collapsed="false">
      <c r="A122" s="36" t="s">
        <v>1496</v>
      </c>
      <c r="B122" s="31" t="s">
        <v>2991</v>
      </c>
      <c r="C122" s="321" t="s">
        <v>910</v>
      </c>
      <c r="D122" s="322" t="s">
        <v>3165</v>
      </c>
      <c r="E122" s="320"/>
      <c r="F122" s="320"/>
      <c r="G122" s="320"/>
      <c r="H122" s="320"/>
      <c r="I122" s="320"/>
      <c r="J122" s="320"/>
    </row>
    <row r="123" customFormat="false" ht="15" hidden="false" customHeight="false" outlineLevel="0" collapsed="false">
      <c r="A123" s="36" t="s">
        <v>2036</v>
      </c>
      <c r="B123" s="36" t="s">
        <v>2996</v>
      </c>
      <c r="C123" s="320"/>
      <c r="D123" s="322" t="s">
        <v>3165</v>
      </c>
      <c r="E123" s="321" t="s">
        <v>910</v>
      </c>
      <c r="F123" s="320"/>
      <c r="G123" s="320"/>
      <c r="H123" s="320"/>
      <c r="I123" s="320"/>
      <c r="J123" s="320"/>
    </row>
    <row r="124" customFormat="false" ht="15" hidden="false" customHeight="false" outlineLevel="0" collapsed="false">
      <c r="A124" s="36" t="s">
        <v>2038</v>
      </c>
      <c r="B124" s="36" t="s">
        <v>2999</v>
      </c>
      <c r="C124" s="320"/>
      <c r="D124" s="322" t="s">
        <v>3165</v>
      </c>
      <c r="E124" s="321" t="s">
        <v>910</v>
      </c>
      <c r="F124" s="320"/>
      <c r="G124" s="320"/>
      <c r="H124" s="320"/>
      <c r="I124" s="320"/>
      <c r="J124" s="320"/>
    </row>
    <row r="125" customFormat="false" ht="15" hidden="false" customHeight="false" outlineLevel="0" collapsed="false">
      <c r="A125" s="36" t="s">
        <v>2040</v>
      </c>
      <c r="B125" s="31" t="s">
        <v>3002</v>
      </c>
      <c r="C125" s="320"/>
      <c r="D125" s="321" t="s">
        <v>910</v>
      </c>
      <c r="E125" s="320"/>
      <c r="F125" s="322" t="s">
        <v>3165</v>
      </c>
      <c r="G125" s="324" t="s">
        <v>3166</v>
      </c>
      <c r="H125" s="320"/>
      <c r="I125" s="320"/>
      <c r="J125" s="320"/>
    </row>
    <row r="126" customFormat="false" ht="15" hidden="false" customHeight="false" outlineLevel="0" collapsed="false">
      <c r="A126" s="319" t="s">
        <v>2042</v>
      </c>
      <c r="B126" s="319" t="s">
        <v>3006</v>
      </c>
      <c r="C126" s="321" t="s">
        <v>910</v>
      </c>
      <c r="D126" s="320"/>
      <c r="E126" s="320"/>
      <c r="F126" s="322" t="s">
        <v>3165</v>
      </c>
      <c r="G126" s="320"/>
      <c r="H126" s="320"/>
      <c r="I126" s="320"/>
      <c r="J126" s="320"/>
    </row>
    <row r="127" customFormat="false" ht="15" hidden="false" customHeight="false" outlineLevel="0" collapsed="false">
      <c r="A127" s="319" t="s">
        <v>2045</v>
      </c>
      <c r="B127" s="319" t="s">
        <v>2046</v>
      </c>
      <c r="C127" s="320"/>
      <c r="D127" s="320"/>
      <c r="E127" s="321" t="s">
        <v>910</v>
      </c>
      <c r="F127" s="322" t="s">
        <v>3165</v>
      </c>
      <c r="G127" s="320"/>
      <c r="H127" s="320"/>
      <c r="I127" s="320"/>
      <c r="J127" s="320"/>
    </row>
    <row r="128" customFormat="false" ht="15" hidden="false" customHeight="false" outlineLevel="0" collapsed="false">
      <c r="A128" s="319" t="s">
        <v>2047</v>
      </c>
      <c r="B128" s="319" t="s">
        <v>3013</v>
      </c>
      <c r="C128" s="321" t="s">
        <v>910</v>
      </c>
      <c r="D128" s="322" t="s">
        <v>3165</v>
      </c>
      <c r="E128" s="320"/>
      <c r="F128" s="320"/>
      <c r="G128" s="324" t="s">
        <v>3166</v>
      </c>
      <c r="H128" s="320"/>
      <c r="I128" s="320"/>
      <c r="J128" s="320"/>
    </row>
    <row r="129" customFormat="false" ht="15" hidden="false" customHeight="false" outlineLevel="0" collapsed="false">
      <c r="B129" s="212" t="s">
        <v>3167</v>
      </c>
      <c r="C129" s="325" t="n">
        <f aca="false">COUNTIF(C5:C128,"R*")</f>
        <v>72</v>
      </c>
      <c r="D129" s="325" t="n">
        <f aca="false">COUNTIF(D5:D128,"R*")</f>
        <v>25</v>
      </c>
      <c r="E129" s="325" t="n">
        <f aca="false">COUNTIF(E5:E128,"R*")</f>
        <v>27</v>
      </c>
      <c r="F129" s="325" t="n">
        <f aca="false">COUNTIF(F5:F128,"R*")</f>
        <v>0</v>
      </c>
      <c r="G129" s="325" t="n">
        <f aca="false">COUNTIF(G5:G128,"R*")</f>
        <v>0</v>
      </c>
      <c r="H129" s="325" t="n">
        <f aca="false">COUNTIF(H5:H128,"R*")</f>
        <v>0</v>
      </c>
      <c r="I129" s="325" t="n">
        <f aca="false">COUNTIF(I5:I128,"R*")</f>
        <v>0</v>
      </c>
      <c r="J129" s="325" t="n">
        <f aca="false">COUNTIF(J5:J128,"R*")</f>
        <v>0</v>
      </c>
    </row>
    <row r="130" customFormat="false" ht="15" hidden="false" customHeight="false" outlineLevel="0" collapsed="false">
      <c r="B130" s="212" t="s">
        <v>3168</v>
      </c>
      <c r="C130" s="325" t="n">
        <f aca="false">COUNTIF(C5:C128,"*A")</f>
        <v>0</v>
      </c>
      <c r="D130" s="325" t="n">
        <f aca="false">COUNTIF(D5:D128,"*A")</f>
        <v>79</v>
      </c>
      <c r="E130" s="325" t="n">
        <f aca="false">COUNTIF(E5:E128,"*A")</f>
        <v>0</v>
      </c>
      <c r="F130" s="325" t="n">
        <f aca="false">COUNTIF(F5:F128,"*A")</f>
        <v>45</v>
      </c>
      <c r="G130" s="325" t="n">
        <f aca="false">COUNTIF(G5:G128,"*A")</f>
        <v>0</v>
      </c>
      <c r="H130" s="325" t="n">
        <f aca="false">COUNTIF(H5:H128,"*A")</f>
        <v>0</v>
      </c>
      <c r="I130" s="325" t="n">
        <f aca="false">COUNTIF(I5:I128,"*A")</f>
        <v>0</v>
      </c>
      <c r="J130" s="325" t="n">
        <f aca="false">COUNTIF(J5:J128,"*A")</f>
        <v>0</v>
      </c>
    </row>
  </sheetData>
  <sheetProtection sheet="true" formatColumns="false" formatRows="false" sort="false" autoFilter="false"/>
  <autoFilter ref="A4:J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1" min="11" style="0" width="15"/>
    <col collapsed="false" customWidth="true" hidden="false" outlineLevel="0" max="12" min="12" style="0" width="36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20" min="19" style="0" width="10"/>
    <col collapsed="false" customWidth="true" hidden="false" outlineLevel="0" max="21" min="21" style="0" width="9"/>
    <col collapsed="false" customWidth="true" hidden="false" outlineLevel="0" max="24" min="22" style="0" width="10"/>
    <col collapsed="false" customWidth="true" hidden="false" outlineLevel="0" max="26" min="25" style="0" width="9"/>
  </cols>
  <sheetData>
    <row r="1" customFormat="false" ht="16.4" hidden="false" customHeight="false" outlineLevel="0" collapsed="false">
      <c r="A1" s="265" t="s">
        <v>3169</v>
      </c>
    </row>
    <row r="2" customFormat="false" ht="15" hidden="false" customHeight="false" outlineLevel="0" collapsed="false">
      <c r="A2" s="38" t="s">
        <v>3170</v>
      </c>
    </row>
    <row r="3" customFormat="false" ht="15" hidden="false" customHeight="false" outlineLevel="0" collapsed="false">
      <c r="F3" s="195" t="s">
        <v>3171</v>
      </c>
      <c r="K3" s="195" t="s">
        <v>3172</v>
      </c>
      <c r="N3" s="195" t="s">
        <v>3173</v>
      </c>
      <c r="Q3" s="195" t="s">
        <v>3174</v>
      </c>
    </row>
    <row r="4" customFormat="false" ht="42" hidden="false" customHeight="true" outlineLevel="0" collapsed="false">
      <c r="A4" s="200" t="s">
        <v>3175</v>
      </c>
      <c r="B4" s="200" t="s">
        <v>1730</v>
      </c>
      <c r="C4" s="200" t="s">
        <v>3176</v>
      </c>
      <c r="D4" s="200" t="s">
        <v>1782</v>
      </c>
      <c r="F4" s="266" t="s">
        <v>130</v>
      </c>
      <c r="G4" s="266" t="s">
        <v>3177</v>
      </c>
      <c r="H4" s="266" t="s">
        <v>3178</v>
      </c>
      <c r="I4" s="266" t="s">
        <v>3179</v>
      </c>
      <c r="K4" s="46" t="s">
        <v>572</v>
      </c>
      <c r="L4" s="46" t="s">
        <v>3180</v>
      </c>
      <c r="N4" s="46" t="s">
        <v>34</v>
      </c>
      <c r="O4" s="46" t="s">
        <v>3181</v>
      </c>
      <c r="Q4" s="28" t="s">
        <v>22</v>
      </c>
      <c r="R4" s="28" t="s">
        <v>3182</v>
      </c>
      <c r="S4" s="29" t="s">
        <v>3183</v>
      </c>
      <c r="T4" s="28" t="s">
        <v>3184</v>
      </c>
      <c r="U4" s="28" t="s">
        <v>3185</v>
      </c>
      <c r="V4" s="28" t="s">
        <v>3186</v>
      </c>
      <c r="W4" s="28" t="s">
        <v>3187</v>
      </c>
      <c r="X4" s="28" t="s">
        <v>3188</v>
      </c>
      <c r="Y4" s="29" t="s">
        <v>3189</v>
      </c>
      <c r="Z4" s="28" t="s">
        <v>3190</v>
      </c>
    </row>
    <row r="5" customFormat="false" ht="15" hidden="false" customHeight="false" outlineLevel="0" collapsed="false">
      <c r="A5" s="326" t="s">
        <v>3191</v>
      </c>
      <c r="B5" s="327" t="s">
        <v>3192</v>
      </c>
      <c r="C5" s="328" t="n">
        <v>46328</v>
      </c>
      <c r="D5" s="329" t="s">
        <v>3193</v>
      </c>
      <c r="F5" s="330" t="s">
        <v>3194</v>
      </c>
      <c r="G5" s="331" t="n">
        <v>3</v>
      </c>
      <c r="H5" s="332" t="n">
        <f aca="false">COUNTIFS('Master Plan'!$E$8:$E$27,F5,'Master Plan'!$O$8:$O$27,"")</f>
        <v>1</v>
      </c>
      <c r="I5" s="332" t="n">
        <f aca="false">IF(G5&gt;0,ROUNDUP(H5/G5,0),"-")</f>
        <v>1</v>
      </c>
      <c r="K5" s="333" t="n">
        <v>46318</v>
      </c>
      <c r="L5" s="334" t="s">
        <v>3195</v>
      </c>
      <c r="N5" s="326" t="s">
        <v>3196</v>
      </c>
      <c r="O5" s="335" t="s">
        <v>3197</v>
      </c>
      <c r="Q5" s="255" t="s">
        <v>1744</v>
      </c>
      <c r="R5" s="331" t="n">
        <v>3</v>
      </c>
      <c r="S5" s="331" t="n">
        <v>150</v>
      </c>
      <c r="T5" s="331" t="n">
        <v>2</v>
      </c>
      <c r="U5" s="331" t="n">
        <v>4</v>
      </c>
      <c r="V5" s="331" t="n">
        <v>10</v>
      </c>
      <c r="W5" s="336" t="n">
        <f aca="false">SUMIFS('Master Plan'!$F$8:$F$27,'Master Plan'!$L$8:$L$27,Q5,'Master Plan'!$N$8:$N$27,"")</f>
        <v>0</v>
      </c>
      <c r="X5" s="332" t="n">
        <f aca="false">IF(R5*S5&gt;0,ROUNDUP(W5/(R5*S5),0),"-")</f>
        <v>0</v>
      </c>
      <c r="Y5" s="332" t="n">
        <f aca="false">COUNTIFS('Master Plan'!$L$8:$L$27,Q5,'Master Plan'!$P$8:$P$27,"")</f>
        <v>0</v>
      </c>
      <c r="Z5" s="332" t="n">
        <f aca="false">IF(T5*U5&gt;0,ROUNDUP(Y5/(T5*U5),0),"-")</f>
        <v>0</v>
      </c>
    </row>
    <row r="6" customFormat="false" ht="15" hidden="false" customHeight="false" outlineLevel="0" collapsed="false">
      <c r="A6" s="326" t="s">
        <v>3198</v>
      </c>
      <c r="B6" s="337" t="s">
        <v>3199</v>
      </c>
      <c r="C6" s="338" t="n">
        <v>75</v>
      </c>
      <c r="D6" s="329" t="s">
        <v>3200</v>
      </c>
      <c r="F6" s="330" t="s">
        <v>3201</v>
      </c>
      <c r="G6" s="331" t="n">
        <v>3</v>
      </c>
      <c r="H6" s="332" t="n">
        <f aca="false">COUNTIFS('Master Plan'!$E$8:$E$27,F6,'Master Plan'!$O$8:$O$27,"")</f>
        <v>1</v>
      </c>
      <c r="I6" s="332" t="n">
        <f aca="false">IF(G6&gt;0,ROUNDUP(H6/G6,0),"-")</f>
        <v>1</v>
      </c>
      <c r="K6" s="333" t="n">
        <v>46363</v>
      </c>
      <c r="L6" s="334" t="s">
        <v>3202</v>
      </c>
      <c r="N6" s="326" t="s">
        <v>3203</v>
      </c>
      <c r="O6" s="335" t="s">
        <v>3204</v>
      </c>
      <c r="Q6" s="255" t="s">
        <v>1745</v>
      </c>
      <c r="R6" s="331" t="n">
        <v>2</v>
      </c>
      <c r="S6" s="331" t="n">
        <v>150</v>
      </c>
      <c r="T6" s="331" t="n">
        <v>2</v>
      </c>
      <c r="U6" s="331" t="n">
        <v>4</v>
      </c>
      <c r="V6" s="331" t="n">
        <v>7</v>
      </c>
      <c r="W6" s="336" t="n">
        <f aca="false">SUMIFS('Master Plan'!$F$8:$F$27,'Master Plan'!$L$8:$L$27,Q6,'Master Plan'!$N$8:$N$27,"")</f>
        <v>0</v>
      </c>
      <c r="X6" s="332" t="n">
        <f aca="false">IF(R6*S6&gt;0,ROUNDUP(W6/(R6*S6),0),"-")</f>
        <v>0</v>
      </c>
      <c r="Y6" s="332" t="n">
        <f aca="false">COUNTIFS('Master Plan'!$L$8:$L$27,Q6,'Master Plan'!$P$8:$P$27,"")</f>
        <v>0</v>
      </c>
      <c r="Z6" s="332" t="n">
        <f aca="false">IF(T6*U6&gt;0,ROUNDUP(Y6/(T6*U6),0),"-")</f>
        <v>0</v>
      </c>
    </row>
    <row r="7" customFormat="false" ht="15" hidden="false" customHeight="false" outlineLevel="0" collapsed="false">
      <c r="A7" s="326" t="s">
        <v>3205</v>
      </c>
      <c r="B7" s="327" t="s">
        <v>3206</v>
      </c>
      <c r="C7" s="328" t="n">
        <f aca="false">PROJ_START</f>
        <v>46328</v>
      </c>
      <c r="D7" s="329" t="s">
        <v>3207</v>
      </c>
      <c r="F7" s="330" t="s">
        <v>3208</v>
      </c>
      <c r="G7" s="331" t="n">
        <v>3</v>
      </c>
      <c r="H7" s="332" t="n">
        <f aca="false">COUNTIFS('Master Plan'!$E$8:$E$27,F7,'Master Plan'!$O$8:$O$27,"")</f>
        <v>1</v>
      </c>
      <c r="I7" s="332" t="n">
        <f aca="false">IF(G7&gt;0,ROUNDUP(H7/G7,0),"-")</f>
        <v>1</v>
      </c>
      <c r="K7" s="333" t="n">
        <v>46366</v>
      </c>
      <c r="L7" s="334" t="s">
        <v>3209</v>
      </c>
      <c r="N7" s="326" t="s">
        <v>3210</v>
      </c>
      <c r="O7" s="335" t="s">
        <v>3211</v>
      </c>
      <c r="Q7" s="255" t="s">
        <v>1746</v>
      </c>
      <c r="R7" s="331" t="n">
        <v>1</v>
      </c>
      <c r="S7" s="331" t="n">
        <v>150</v>
      </c>
      <c r="T7" s="331" t="n">
        <v>1</v>
      </c>
      <c r="U7" s="331" t="n">
        <v>4</v>
      </c>
      <c r="V7" s="331" t="n">
        <v>7</v>
      </c>
      <c r="W7" s="336" t="n">
        <f aca="false">SUMIFS('Master Plan'!$F$8:$F$27,'Master Plan'!$L$8:$L$27,Q7,'Master Plan'!$N$8:$N$27,"")</f>
        <v>0</v>
      </c>
      <c r="X7" s="332" t="n">
        <f aca="false">IF(R7*S7&gt;0,ROUNDUP(W7/(R7*S7),0),"-")</f>
        <v>0</v>
      </c>
      <c r="Y7" s="332" t="n">
        <f aca="false">COUNTIFS('Master Plan'!$L$8:$L$27,Q7,'Master Plan'!$P$8:$P$27,"")</f>
        <v>0</v>
      </c>
      <c r="Z7" s="332" t="n">
        <f aca="false">IF(T7*U7&gt;0,ROUNDUP(Y7/(T7*U7),0),"-")</f>
        <v>0</v>
      </c>
    </row>
    <row r="8" customFormat="false" ht="15" hidden="false" customHeight="false" outlineLevel="0" collapsed="false">
      <c r="A8" s="326" t="s">
        <v>3212</v>
      </c>
      <c r="B8" s="327" t="s">
        <v>3213</v>
      </c>
      <c r="C8" s="328" t="n">
        <f aca="false">PROJ_START-WEEKDAY(PROJ_START,3)-7</f>
        <v>46321</v>
      </c>
      <c r="D8" s="329" t="s">
        <v>3214</v>
      </c>
      <c r="F8" s="330" t="s">
        <v>3215</v>
      </c>
      <c r="G8" s="331" t="n">
        <v>3</v>
      </c>
      <c r="H8" s="332" t="n">
        <f aca="false">COUNTIFS('Master Plan'!$E$8:$E$27,F8,'Master Plan'!$O$8:$O$27,"")</f>
        <v>1</v>
      </c>
      <c r="I8" s="332" t="n">
        <f aca="false">IF(G8&gt;0,ROUNDUP(H8/G8,0),"-")</f>
        <v>1</v>
      </c>
      <c r="K8" s="333" t="n">
        <v>46387</v>
      </c>
      <c r="L8" s="334" t="s">
        <v>3216</v>
      </c>
      <c r="N8" s="326" t="s">
        <v>3217</v>
      </c>
      <c r="O8" s="335" t="s">
        <v>3218</v>
      </c>
    </row>
    <row r="9" customFormat="false" ht="15" hidden="false" customHeight="false" outlineLevel="0" collapsed="false">
      <c r="A9" s="326" t="s">
        <v>3219</v>
      </c>
      <c r="B9" s="327" t="s">
        <v>3220</v>
      </c>
      <c r="C9" s="338" t="n">
        <v>14</v>
      </c>
      <c r="D9" s="329" t="s">
        <v>3221</v>
      </c>
      <c r="F9" s="330" t="s">
        <v>3222</v>
      </c>
      <c r="G9" s="331" t="n">
        <v>3</v>
      </c>
      <c r="H9" s="332" t="n">
        <f aca="false">COUNTIFS('Master Plan'!$E$8:$E$27,F9,'Master Plan'!$O$8:$O$27,"")</f>
        <v>1</v>
      </c>
      <c r="I9" s="332" t="n">
        <f aca="false">IF(G9&gt;0,ROUNDUP(H9/G9,0),"-")</f>
        <v>1</v>
      </c>
      <c r="K9" s="333" t="n">
        <v>46388</v>
      </c>
      <c r="L9" s="334" t="s">
        <v>3223</v>
      </c>
      <c r="N9" s="326" t="s">
        <v>3224</v>
      </c>
      <c r="O9" s="335" t="s">
        <v>3225</v>
      </c>
      <c r="Q9" s="195" t="s">
        <v>3226</v>
      </c>
    </row>
    <row r="10" customFormat="false" ht="42" hidden="false" customHeight="true" outlineLevel="0" collapsed="false">
      <c r="A10" s="326" t="s">
        <v>3227</v>
      </c>
      <c r="B10" s="327" t="s">
        <v>3228</v>
      </c>
      <c r="C10" s="338" t="n">
        <v>7</v>
      </c>
      <c r="D10" s="329"/>
      <c r="F10" s="330" t="s">
        <v>3229</v>
      </c>
      <c r="G10" s="331" t="n">
        <v>3</v>
      </c>
      <c r="H10" s="332" t="n">
        <f aca="false">COUNTIFS('Master Plan'!$E$8:$E$27,F10,'Master Plan'!$O$8:$O$27,"")</f>
        <v>1</v>
      </c>
      <c r="I10" s="332" t="n">
        <f aca="false">IF(G10&gt;0,ROUNDUP(H10/G10,0),"-")</f>
        <v>1</v>
      </c>
      <c r="K10" s="333" t="n">
        <v>46440</v>
      </c>
      <c r="L10" s="334" t="s">
        <v>3230</v>
      </c>
      <c r="N10" s="326" t="s">
        <v>3231</v>
      </c>
      <c r="O10" s="335" t="s">
        <v>3232</v>
      </c>
      <c r="Q10" s="28" t="s">
        <v>15</v>
      </c>
      <c r="R10" s="28" t="s">
        <v>3233</v>
      </c>
      <c r="S10" s="28" t="s">
        <v>3234</v>
      </c>
      <c r="T10" s="28" t="s">
        <v>3235</v>
      </c>
      <c r="U10" s="28" t="s">
        <v>3179</v>
      </c>
      <c r="V10" s="28" t="s">
        <v>3236</v>
      </c>
    </row>
    <row r="11" customFormat="false" ht="15" hidden="false" customHeight="false" outlineLevel="0" collapsed="false">
      <c r="A11" s="326" t="s">
        <v>3237</v>
      </c>
      <c r="B11" s="327" t="s">
        <v>3238</v>
      </c>
      <c r="C11" s="338" t="n">
        <v>3</v>
      </c>
      <c r="D11" s="329" t="s">
        <v>3239</v>
      </c>
      <c r="F11" s="330" t="s">
        <v>3240</v>
      </c>
      <c r="G11" s="331" t="n">
        <v>3</v>
      </c>
      <c r="H11" s="332" t="n">
        <f aca="false">COUNTIFS('Master Plan'!$E$8:$E$27,F11,'Master Plan'!$O$8:$O$27,"")</f>
        <v>1</v>
      </c>
      <c r="I11" s="332" t="n">
        <f aca="false">IF(G11&gt;0,ROUNDUP(H11/G11,0),"-")</f>
        <v>1</v>
      </c>
      <c r="K11" s="333" t="n">
        <v>46483</v>
      </c>
      <c r="L11" s="334" t="s">
        <v>3241</v>
      </c>
      <c r="N11" s="326" t="s">
        <v>3242</v>
      </c>
      <c r="O11" s="339" t="s">
        <v>1499</v>
      </c>
      <c r="Q11" s="330" t="s">
        <v>2224</v>
      </c>
      <c r="R11" s="331" t="n">
        <v>3</v>
      </c>
      <c r="S11" s="332" t="n">
        <f aca="false">COUNTIF('Master Plan'!$J$8:$J$27,Q11)</f>
        <v>1</v>
      </c>
      <c r="T11" s="332" t="n">
        <f aca="false">COUNTIFS('Master Plan'!$J$8:$J$27,Q11,'Master Plan'!$O$8:$O$27,"")</f>
        <v>1</v>
      </c>
      <c r="U11" s="332" t="n">
        <f aca="false">IF(R11&gt;0,ROUNDUP(T11/R11,0),"-")</f>
        <v>1</v>
      </c>
      <c r="V11" s="332" t="n">
        <f aca="false">COUNTIFS('Master Plan'!$J$8:$J$27,Q11,'Master Plan'!$X$8:$X$27,"")</f>
        <v>1</v>
      </c>
    </row>
    <row r="12" customFormat="false" ht="15" hidden="false" customHeight="false" outlineLevel="0" collapsed="false">
      <c r="A12" s="326" t="s">
        <v>3243</v>
      </c>
      <c r="B12" s="327" t="s">
        <v>3244</v>
      </c>
      <c r="C12" s="338" t="n">
        <v>3</v>
      </c>
      <c r="D12" s="329"/>
      <c r="F12" s="330" t="s">
        <v>3245</v>
      </c>
      <c r="G12" s="331" t="n">
        <v>3</v>
      </c>
      <c r="H12" s="332" t="n">
        <f aca="false">COUNTIFS('Master Plan'!$E$8:$E$27,F12,'Master Plan'!$O$8:$O$27,"")</f>
        <v>1</v>
      </c>
      <c r="I12" s="332" t="n">
        <f aca="false">IF(G12&gt;0,ROUNDUP(H12/G12,0),"-")</f>
        <v>1</v>
      </c>
      <c r="K12" s="333" t="n">
        <v>46490</v>
      </c>
      <c r="L12" s="334" t="s">
        <v>3246</v>
      </c>
      <c r="N12" s="72" t="s">
        <v>3247</v>
      </c>
      <c r="Q12" s="330" t="s">
        <v>2227</v>
      </c>
      <c r="R12" s="331" t="n">
        <v>3</v>
      </c>
      <c r="S12" s="332" t="n">
        <f aca="false">COUNTIF('Master Plan'!$J$8:$J$27,Q12)</f>
        <v>1</v>
      </c>
      <c r="T12" s="332" t="n">
        <f aca="false">COUNTIFS('Master Plan'!$J$8:$J$27,Q12,'Master Plan'!$O$8:$O$27,"")</f>
        <v>1</v>
      </c>
      <c r="U12" s="332" t="n">
        <f aca="false">IF(R12&gt;0,ROUNDUP(T12/R12,0),"-")</f>
        <v>1</v>
      </c>
      <c r="V12" s="332" t="n">
        <f aca="false">COUNTIFS('Master Plan'!$J$8:$J$27,Q12,'Master Plan'!$X$8:$X$27,"")</f>
        <v>1</v>
      </c>
    </row>
    <row r="13" customFormat="false" ht="15" hidden="false" customHeight="false" outlineLevel="0" collapsed="false">
      <c r="A13" s="326" t="s">
        <v>3248</v>
      </c>
      <c r="B13" s="327" t="s">
        <v>3249</v>
      </c>
      <c r="C13" s="338" t="n">
        <v>3</v>
      </c>
      <c r="D13" s="329" t="s">
        <v>3250</v>
      </c>
      <c r="F13" s="330" t="s">
        <v>3251</v>
      </c>
      <c r="G13" s="331" t="n">
        <v>3</v>
      </c>
      <c r="H13" s="332" t="n">
        <f aca="false">COUNTIFS('Master Plan'!$E$8:$E$27,F13,'Master Plan'!$O$8:$O$27,"")</f>
        <v>1</v>
      </c>
      <c r="I13" s="332" t="n">
        <f aca="false">IF(G13&gt;0,ROUNDUP(H13/G13,0),"-")</f>
        <v>1</v>
      </c>
      <c r="K13" s="333" t="n">
        <v>46491</v>
      </c>
      <c r="L13" s="334" t="s">
        <v>3246</v>
      </c>
      <c r="Q13" s="330" t="s">
        <v>2228</v>
      </c>
      <c r="R13" s="331" t="n">
        <v>3</v>
      </c>
      <c r="S13" s="332" t="n">
        <f aca="false">COUNTIF('Master Plan'!$J$8:$J$27,Q13)</f>
        <v>1</v>
      </c>
      <c r="T13" s="332" t="n">
        <f aca="false">COUNTIFS('Master Plan'!$J$8:$J$27,Q13,'Master Plan'!$O$8:$O$27,"")</f>
        <v>1</v>
      </c>
      <c r="U13" s="332" t="n">
        <f aca="false">IF(R13&gt;0,ROUNDUP(T13/R13,0),"-")</f>
        <v>1</v>
      </c>
      <c r="V13" s="332" t="n">
        <f aca="false">COUNTIFS('Master Plan'!$J$8:$J$27,Q13,'Master Plan'!$X$8:$X$27,"")</f>
        <v>1</v>
      </c>
    </row>
    <row r="14" customFormat="false" ht="15" hidden="false" customHeight="false" outlineLevel="0" collapsed="false">
      <c r="A14" s="326" t="s">
        <v>3252</v>
      </c>
      <c r="B14" s="327" t="s">
        <v>3253</v>
      </c>
      <c r="C14" s="338" t="n">
        <v>21</v>
      </c>
      <c r="D14" s="329" t="s">
        <v>3254</v>
      </c>
      <c r="F14" s="330" t="s">
        <v>3255</v>
      </c>
      <c r="G14" s="331" t="n">
        <v>3</v>
      </c>
      <c r="H14" s="332" t="n">
        <f aca="false">COUNTIFS('Master Plan'!$E$8:$E$27,F14,'Master Plan'!$O$8:$O$27,"")</f>
        <v>1</v>
      </c>
      <c r="I14" s="332" t="n">
        <f aca="false">IF(G14&gt;0,ROUNDUP(H14/G14,0),"-")</f>
        <v>1</v>
      </c>
      <c r="K14" s="333" t="n">
        <v>46492</v>
      </c>
      <c r="L14" s="334" t="s">
        <v>3246</v>
      </c>
      <c r="Q14" s="330" t="s">
        <v>2229</v>
      </c>
      <c r="R14" s="331" t="n">
        <v>3</v>
      </c>
      <c r="S14" s="332" t="n">
        <f aca="false">COUNTIF('Master Plan'!$J$8:$J$27,Q14)</f>
        <v>1</v>
      </c>
      <c r="T14" s="332" t="n">
        <f aca="false">COUNTIFS('Master Plan'!$J$8:$J$27,Q14,'Master Plan'!$O$8:$O$27,"")</f>
        <v>1</v>
      </c>
      <c r="U14" s="332" t="n">
        <f aca="false">IF(R14&gt;0,ROUNDUP(T14/R14,0),"-")</f>
        <v>1</v>
      </c>
      <c r="V14" s="332" t="n">
        <f aca="false">COUNTIFS('Master Plan'!$J$8:$J$27,Q14,'Master Plan'!$X$8:$X$27,"")</f>
        <v>1</v>
      </c>
    </row>
    <row r="15" customFormat="false" ht="15" hidden="false" customHeight="false" outlineLevel="0" collapsed="false">
      <c r="A15" s="326" t="s">
        <v>3256</v>
      </c>
      <c r="B15" s="327" t="s">
        <v>3257</v>
      </c>
      <c r="C15" s="338" t="n">
        <v>7</v>
      </c>
      <c r="D15" s="329" t="s">
        <v>3258</v>
      </c>
      <c r="F15" s="330" t="s">
        <v>3259</v>
      </c>
      <c r="G15" s="331" t="n">
        <v>3</v>
      </c>
      <c r="H15" s="332" t="n">
        <f aca="false">COUNTIFS('Master Plan'!$E$8:$E$27,F15,'Master Plan'!$O$8:$O$27,"")</f>
        <v>1</v>
      </c>
      <c r="I15" s="332" t="n">
        <f aca="false">IF(G15&gt;0,ROUNDUP(H15/G15,0),"-")</f>
        <v>1</v>
      </c>
      <c r="K15" s="333" t="n">
        <v>46510</v>
      </c>
      <c r="L15" s="334" t="s">
        <v>3260</v>
      </c>
      <c r="Q15" s="330" t="s">
        <v>2230</v>
      </c>
      <c r="R15" s="331" t="n">
        <v>3</v>
      </c>
      <c r="S15" s="332" t="n">
        <f aca="false">COUNTIF('Master Plan'!$J$8:$J$27,Q15)</f>
        <v>1</v>
      </c>
      <c r="T15" s="332" t="n">
        <f aca="false">COUNTIFS('Master Plan'!$J$8:$J$27,Q15,'Master Plan'!$O$8:$O$27,"")</f>
        <v>1</v>
      </c>
      <c r="U15" s="332" t="n">
        <f aca="false">IF(R15&gt;0,ROUNDUP(T15/R15,0),"-")</f>
        <v>1</v>
      </c>
      <c r="V15" s="332" t="n">
        <f aca="false">COUNTIFS('Master Plan'!$J$8:$J$27,Q15,'Master Plan'!$X$8:$X$27,"")</f>
        <v>1</v>
      </c>
    </row>
    <row r="16" customFormat="false" ht="15" hidden="false" customHeight="false" outlineLevel="0" collapsed="false">
      <c r="A16" s="326" t="s">
        <v>3261</v>
      </c>
      <c r="B16" s="327" t="s">
        <v>3262</v>
      </c>
      <c r="C16" s="338" t="n">
        <v>7</v>
      </c>
      <c r="D16" s="329"/>
      <c r="F16" s="330" t="s">
        <v>3263</v>
      </c>
      <c r="G16" s="331" t="n">
        <v>3</v>
      </c>
      <c r="H16" s="332" t="n">
        <f aca="false">COUNTIFS('Master Plan'!$E$8:$E$27,F16,'Master Plan'!$O$8:$O$27,"")</f>
        <v>1</v>
      </c>
      <c r="I16" s="332" t="n">
        <f aca="false">IF(G16&gt;0,ROUNDUP(H16/G16,0),"-")</f>
        <v>1</v>
      </c>
      <c r="K16" s="333" t="n">
        <v>46511</v>
      </c>
      <c r="L16" s="334" t="s">
        <v>3264</v>
      </c>
      <c r="Q16" s="330" t="s">
        <v>2231</v>
      </c>
      <c r="R16" s="331" t="n">
        <v>3</v>
      </c>
      <c r="S16" s="332" t="n">
        <f aca="false">COUNTIF('Master Plan'!$J$8:$J$27,Q16)</f>
        <v>1</v>
      </c>
      <c r="T16" s="332" t="n">
        <f aca="false">COUNTIFS('Master Plan'!$J$8:$J$27,Q16,'Master Plan'!$O$8:$O$27,"")</f>
        <v>1</v>
      </c>
      <c r="U16" s="332" t="n">
        <f aca="false">IF(R16&gt;0,ROUNDUP(T16/R16,0),"-")</f>
        <v>1</v>
      </c>
      <c r="V16" s="332" t="n">
        <f aca="false">COUNTIFS('Master Plan'!$J$8:$J$27,Q16,'Master Plan'!$X$8:$X$27,"")</f>
        <v>1</v>
      </c>
    </row>
    <row r="17" customFormat="false" ht="15" hidden="false" customHeight="false" outlineLevel="0" collapsed="false">
      <c r="A17" s="326" t="s">
        <v>3265</v>
      </c>
      <c r="B17" s="327" t="s">
        <v>3266</v>
      </c>
      <c r="C17" s="338" t="n">
        <v>15</v>
      </c>
      <c r="D17" s="329" t="s">
        <v>3267</v>
      </c>
      <c r="F17" s="330" t="s">
        <v>3268</v>
      </c>
      <c r="G17" s="331" t="n">
        <v>3</v>
      </c>
      <c r="H17" s="332" t="n">
        <f aca="false">COUNTIFS('Master Plan'!$E$8:$E$27,F17,'Master Plan'!$O$8:$O$27,"")</f>
        <v>1</v>
      </c>
      <c r="I17" s="332" t="n">
        <f aca="false">IF(G17&gt;0,ROUNDUP(H17/G17,0),"-")</f>
        <v>1</v>
      </c>
      <c r="K17" s="333" t="n">
        <v>46527</v>
      </c>
      <c r="L17" s="334" t="s">
        <v>3269</v>
      </c>
      <c r="Q17" s="330" t="s">
        <v>2232</v>
      </c>
      <c r="R17" s="331" t="n">
        <v>3</v>
      </c>
      <c r="S17" s="332" t="n">
        <f aca="false">COUNTIF('Master Plan'!$J$8:$J$27,Q17)</f>
        <v>1</v>
      </c>
      <c r="T17" s="332" t="n">
        <f aca="false">COUNTIFS('Master Plan'!$J$8:$J$27,Q17,'Master Plan'!$O$8:$O$27,"")</f>
        <v>1</v>
      </c>
      <c r="U17" s="332" t="n">
        <f aca="false">IF(R17&gt;0,ROUNDUP(T17/R17,0),"-")</f>
        <v>1</v>
      </c>
      <c r="V17" s="332" t="n">
        <f aca="false">COUNTIFS('Master Plan'!$J$8:$J$27,Q17,'Master Plan'!$X$8:$X$27,"")</f>
        <v>1</v>
      </c>
    </row>
    <row r="18" customFormat="false" ht="15" hidden="false" customHeight="false" outlineLevel="0" collapsed="false">
      <c r="A18" s="326" t="s">
        <v>3270</v>
      </c>
      <c r="B18" s="327" t="s">
        <v>3271</v>
      </c>
      <c r="C18" s="338" t="n">
        <v>30</v>
      </c>
      <c r="D18" s="329" t="s">
        <v>3272</v>
      </c>
      <c r="F18" s="330" t="s">
        <v>3273</v>
      </c>
      <c r="G18" s="331" t="n">
        <v>3</v>
      </c>
      <c r="H18" s="332" t="n">
        <f aca="false">COUNTIFS('Master Plan'!$E$8:$E$27,F18,'Master Plan'!$O$8:$O$27,"")</f>
        <v>1</v>
      </c>
      <c r="I18" s="332" t="n">
        <f aca="false">IF(G18&gt;0,ROUNDUP(H18/G18,0),"-")</f>
        <v>1</v>
      </c>
      <c r="K18" s="333" t="n">
        <v>46541</v>
      </c>
      <c r="L18" s="334" t="s">
        <v>3274</v>
      </c>
      <c r="Q18" s="330" t="s">
        <v>2233</v>
      </c>
      <c r="R18" s="331" t="n">
        <v>3</v>
      </c>
      <c r="S18" s="332" t="n">
        <f aca="false">COUNTIF('Master Plan'!$J$8:$J$27,Q18)</f>
        <v>1</v>
      </c>
      <c r="T18" s="332" t="n">
        <f aca="false">COUNTIFS('Master Plan'!$J$8:$J$27,Q18,'Master Plan'!$O$8:$O$27,"")</f>
        <v>1</v>
      </c>
      <c r="U18" s="332" t="n">
        <f aca="false">IF(R18&gt;0,ROUNDUP(T18/R18,0),"-")</f>
        <v>1</v>
      </c>
      <c r="V18" s="332" t="n">
        <f aca="false">COUNTIFS('Master Plan'!$J$8:$J$27,Q18,'Master Plan'!$X$8:$X$27,"")</f>
        <v>1</v>
      </c>
    </row>
    <row r="19" customFormat="false" ht="15" hidden="false" customHeight="false" outlineLevel="0" collapsed="false">
      <c r="A19" s="326" t="s">
        <v>3275</v>
      </c>
      <c r="B19" s="327" t="s">
        <v>3276</v>
      </c>
      <c r="C19" s="338" t="n">
        <v>7</v>
      </c>
      <c r="D19" s="329"/>
      <c r="F19" s="330" t="s">
        <v>3277</v>
      </c>
      <c r="G19" s="331" t="n">
        <v>3</v>
      </c>
      <c r="H19" s="332" t="n">
        <f aca="false">COUNTIFS('Master Plan'!$E$8:$E$27,F19,'Master Plan'!$O$8:$O$27,"")</f>
        <v>1</v>
      </c>
      <c r="I19" s="332" t="n">
        <f aca="false">IF(G19&gt;0,ROUNDUP(H19/G19,0),"-")</f>
        <v>1</v>
      </c>
      <c r="K19" s="333"/>
      <c r="L19" s="310"/>
      <c r="Q19" s="330" t="s">
        <v>2234</v>
      </c>
      <c r="R19" s="331" t="n">
        <v>3</v>
      </c>
      <c r="S19" s="332" t="n">
        <f aca="false">COUNTIF('Master Plan'!$J$8:$J$27,Q19)</f>
        <v>1</v>
      </c>
      <c r="T19" s="332" t="n">
        <f aca="false">COUNTIFS('Master Plan'!$J$8:$J$27,Q19,'Master Plan'!$O$8:$O$27,"")</f>
        <v>1</v>
      </c>
      <c r="U19" s="332" t="n">
        <f aca="false">IF(R19&gt;0,ROUNDUP(T19/R19,0),"-")</f>
        <v>1</v>
      </c>
      <c r="V19" s="332" t="n">
        <f aca="false">COUNTIFS('Master Plan'!$J$8:$J$27,Q19,'Master Plan'!$X$8:$X$27,"")</f>
        <v>1</v>
      </c>
    </row>
    <row r="20" customFormat="false" ht="15" hidden="false" customHeight="false" outlineLevel="0" collapsed="false">
      <c r="A20" s="326" t="s">
        <v>3278</v>
      </c>
      <c r="B20" s="327" t="s">
        <v>3279</v>
      </c>
      <c r="C20" s="338" t="n">
        <v>3</v>
      </c>
      <c r="D20" s="329" t="s">
        <v>3280</v>
      </c>
      <c r="F20" s="330" t="s">
        <v>3281</v>
      </c>
      <c r="G20" s="331" t="n">
        <v>3</v>
      </c>
      <c r="H20" s="332" t="n">
        <f aca="false">COUNTIFS('Master Plan'!$E$8:$E$27,F20,'Master Plan'!$O$8:$O$27,"")</f>
        <v>1</v>
      </c>
      <c r="I20" s="332" t="n">
        <f aca="false">IF(G20&gt;0,ROUNDUP(H20/G20,0),"-")</f>
        <v>1</v>
      </c>
      <c r="K20" s="333"/>
      <c r="L20" s="310"/>
      <c r="Q20" s="330" t="s">
        <v>2235</v>
      </c>
      <c r="R20" s="331" t="n">
        <v>3</v>
      </c>
      <c r="S20" s="332" t="n">
        <f aca="false">COUNTIF('Master Plan'!$J$8:$J$27,Q20)</f>
        <v>1</v>
      </c>
      <c r="T20" s="332" t="n">
        <f aca="false">COUNTIFS('Master Plan'!$J$8:$J$27,Q20,'Master Plan'!$O$8:$O$27,"")</f>
        <v>1</v>
      </c>
      <c r="U20" s="332" t="n">
        <f aca="false">IF(R20&gt;0,ROUNDUP(T20/R20,0),"-")</f>
        <v>1</v>
      </c>
      <c r="V20" s="332" t="n">
        <f aca="false">COUNTIFS('Master Plan'!$J$8:$J$27,Q20,'Master Plan'!$X$8:$X$27,"")</f>
        <v>1</v>
      </c>
    </row>
    <row r="21" customFormat="false" ht="15" hidden="false" customHeight="false" outlineLevel="0" collapsed="false">
      <c r="A21" s="326" t="s">
        <v>3282</v>
      </c>
      <c r="B21" s="327" t="s">
        <v>3283</v>
      </c>
      <c r="C21" s="338" t="n">
        <v>30</v>
      </c>
      <c r="D21" s="329" t="s">
        <v>3284</v>
      </c>
      <c r="F21" s="330" t="s">
        <v>3285</v>
      </c>
      <c r="G21" s="331" t="n">
        <v>3</v>
      </c>
      <c r="H21" s="332" t="n">
        <f aca="false">COUNTIFS('Master Plan'!$E$8:$E$27,F21,'Master Plan'!$O$8:$O$27,"")</f>
        <v>1</v>
      </c>
      <c r="I21" s="332" t="n">
        <f aca="false">IF(G21&gt;0,ROUNDUP(H21/G21,0),"-")</f>
        <v>1</v>
      </c>
      <c r="K21" s="333"/>
      <c r="L21" s="310"/>
      <c r="Q21" s="330" t="s">
        <v>2236</v>
      </c>
      <c r="R21" s="331" t="n">
        <v>3</v>
      </c>
      <c r="S21" s="332" t="n">
        <f aca="false">COUNTIF('Master Plan'!$J$8:$J$27,Q21)</f>
        <v>1</v>
      </c>
      <c r="T21" s="332" t="n">
        <f aca="false">COUNTIFS('Master Plan'!$J$8:$J$27,Q21,'Master Plan'!$O$8:$O$27,"")</f>
        <v>1</v>
      </c>
      <c r="U21" s="332" t="n">
        <f aca="false">IF(R21&gt;0,ROUNDUP(T21/R21,0),"-")</f>
        <v>1</v>
      </c>
      <c r="V21" s="332" t="n">
        <f aca="false">COUNTIFS('Master Plan'!$J$8:$J$27,Q21,'Master Plan'!$X$8:$X$27,"")</f>
        <v>1</v>
      </c>
    </row>
    <row r="22" customFormat="false" ht="15" hidden="false" customHeight="false" outlineLevel="0" collapsed="false">
      <c r="A22" s="326" t="s">
        <v>3286</v>
      </c>
      <c r="B22" s="327" t="s">
        <v>3287</v>
      </c>
      <c r="C22" s="338" t="n">
        <v>3</v>
      </c>
      <c r="D22" s="329" t="s">
        <v>3288</v>
      </c>
      <c r="F22" s="330" t="s">
        <v>3289</v>
      </c>
      <c r="G22" s="331" t="n">
        <v>3</v>
      </c>
      <c r="H22" s="332" t="n">
        <f aca="false">COUNTIFS('Master Plan'!$E$8:$E$27,F22,'Master Plan'!$O$8:$O$27,"")</f>
        <v>1</v>
      </c>
      <c r="I22" s="332" t="n">
        <f aca="false">IF(G22&gt;0,ROUNDUP(H22/G22,0),"-")</f>
        <v>1</v>
      </c>
      <c r="K22" s="333"/>
      <c r="L22" s="310"/>
      <c r="Q22" s="330" t="s">
        <v>2237</v>
      </c>
      <c r="R22" s="331" t="n">
        <v>3</v>
      </c>
      <c r="S22" s="332" t="n">
        <f aca="false">COUNTIF('Master Plan'!$J$8:$J$27,Q22)</f>
        <v>1</v>
      </c>
      <c r="T22" s="332" t="n">
        <f aca="false">COUNTIFS('Master Plan'!$J$8:$J$27,Q22,'Master Plan'!$O$8:$O$27,"")</f>
        <v>1</v>
      </c>
      <c r="U22" s="332" t="n">
        <f aca="false">IF(R22&gt;0,ROUNDUP(T22/R22,0),"-")</f>
        <v>1</v>
      </c>
      <c r="V22" s="332" t="n">
        <f aca="false">COUNTIFS('Master Plan'!$J$8:$J$27,Q22,'Master Plan'!$X$8:$X$27,"")</f>
        <v>1</v>
      </c>
    </row>
    <row r="23" customFormat="false" ht="15" hidden="false" customHeight="false" outlineLevel="0" collapsed="false">
      <c r="A23" s="326" t="s">
        <v>3290</v>
      </c>
      <c r="B23" s="327" t="s">
        <v>3291</v>
      </c>
      <c r="C23" s="338" t="n">
        <v>14</v>
      </c>
      <c r="D23" s="329" t="s">
        <v>3288</v>
      </c>
      <c r="F23" s="330" t="s">
        <v>3292</v>
      </c>
      <c r="G23" s="331" t="n">
        <v>3</v>
      </c>
      <c r="H23" s="332" t="n">
        <f aca="false">COUNTIFS('Master Plan'!$E$8:$E$27,F23,'Master Plan'!$O$8:$O$27,"")</f>
        <v>1</v>
      </c>
      <c r="I23" s="332" t="n">
        <f aca="false">IF(G23&gt;0,ROUNDUP(H23/G23,0),"-")</f>
        <v>1</v>
      </c>
      <c r="K23" s="333"/>
      <c r="L23" s="310"/>
      <c r="Q23" s="330" t="s">
        <v>2238</v>
      </c>
      <c r="R23" s="331" t="n">
        <v>3</v>
      </c>
      <c r="S23" s="332" t="n">
        <f aca="false">COUNTIF('Master Plan'!$J$8:$J$27,Q23)</f>
        <v>1</v>
      </c>
      <c r="T23" s="332" t="n">
        <f aca="false">COUNTIFS('Master Plan'!$J$8:$J$27,Q23,'Master Plan'!$O$8:$O$27,"")</f>
        <v>1</v>
      </c>
      <c r="U23" s="332" t="n">
        <f aca="false">IF(R23&gt;0,ROUNDUP(T23/R23,0),"-")</f>
        <v>1</v>
      </c>
      <c r="V23" s="332" t="n">
        <f aca="false">COUNTIFS('Master Plan'!$J$8:$J$27,Q23,'Master Plan'!$X$8:$X$27,"")</f>
        <v>1</v>
      </c>
    </row>
    <row r="24" customFormat="false" ht="15" hidden="false" customHeight="false" outlineLevel="0" collapsed="false">
      <c r="F24" s="330" t="s">
        <v>3293</v>
      </c>
      <c r="G24" s="331" t="n">
        <v>3</v>
      </c>
      <c r="H24" s="332" t="n">
        <f aca="false">COUNTIFS('Master Plan'!$E$8:$E$27,F24,'Master Plan'!$O$8:$O$27,"")</f>
        <v>1</v>
      </c>
      <c r="I24" s="332" t="n">
        <f aca="false">IF(G24&gt;0,ROUNDUP(H24/G24,0),"-")</f>
        <v>1</v>
      </c>
      <c r="K24" s="333"/>
      <c r="L24" s="310"/>
      <c r="Q24" s="330" t="s">
        <v>2239</v>
      </c>
      <c r="R24" s="331" t="n">
        <v>3</v>
      </c>
      <c r="S24" s="332" t="n">
        <f aca="false">COUNTIF('Master Plan'!$J$8:$J$27,Q24)</f>
        <v>1</v>
      </c>
      <c r="T24" s="332" t="n">
        <f aca="false">COUNTIFS('Master Plan'!$J$8:$J$27,Q24,'Master Plan'!$O$8:$O$27,"")</f>
        <v>1</v>
      </c>
      <c r="U24" s="332" t="n">
        <f aca="false">IF(R24&gt;0,ROUNDUP(T24/R24,0),"-")</f>
        <v>1</v>
      </c>
      <c r="V24" s="332" t="n">
        <f aca="false">COUNTIFS('Master Plan'!$J$8:$J$27,Q24,'Master Plan'!$X$8:$X$27,"")</f>
        <v>1</v>
      </c>
    </row>
    <row r="25" customFormat="false" ht="15" hidden="false" customHeight="false" outlineLevel="0" collapsed="false">
      <c r="B25" s="195" t="s">
        <v>3294</v>
      </c>
      <c r="K25" s="333"/>
      <c r="L25" s="310"/>
      <c r="Q25" s="330" t="s">
        <v>2240</v>
      </c>
      <c r="R25" s="331" t="n">
        <v>3</v>
      </c>
      <c r="S25" s="332" t="n">
        <f aca="false">COUNTIF('Master Plan'!$J$8:$J$27,Q25)</f>
        <v>1</v>
      </c>
      <c r="T25" s="332" t="n">
        <f aca="false">COUNTIFS('Master Plan'!$J$8:$J$27,Q25,'Master Plan'!$O$8:$O$27,"")</f>
        <v>1</v>
      </c>
      <c r="U25" s="332" t="n">
        <f aca="false">IF(R25&gt;0,ROUNDUP(T25/R25,0),"-")</f>
        <v>1</v>
      </c>
      <c r="V25" s="332" t="n">
        <f aca="false">COUNTIFS('Master Plan'!$J$8:$J$27,Q25,'Master Plan'!$X$8:$X$27,"")</f>
        <v>1</v>
      </c>
    </row>
    <row r="26" customFormat="false" ht="15" hidden="false" customHeight="false" outlineLevel="0" collapsed="false">
      <c r="A26" s="326" t="s">
        <v>3295</v>
      </c>
      <c r="B26" s="327" t="s">
        <v>3296</v>
      </c>
      <c r="C26" s="340" t="n">
        <v>90</v>
      </c>
      <c r="K26" s="333"/>
      <c r="L26" s="310"/>
      <c r="Q26" s="330" t="s">
        <v>2241</v>
      </c>
      <c r="R26" s="331" t="n">
        <v>3</v>
      </c>
      <c r="S26" s="332" t="n">
        <f aca="false">COUNTIF('Master Plan'!$J$8:$J$27,Q26)</f>
        <v>1</v>
      </c>
      <c r="T26" s="332" t="n">
        <f aca="false">COUNTIFS('Master Plan'!$J$8:$J$27,Q26,'Master Plan'!$O$8:$O$27,"")</f>
        <v>1</v>
      </c>
      <c r="U26" s="332" t="n">
        <f aca="false">IF(R26&gt;0,ROUNDUP(T26/R26,0),"-")</f>
        <v>1</v>
      </c>
      <c r="V26" s="332" t="n">
        <f aca="false">COUNTIFS('Master Plan'!$J$8:$J$27,Q26,'Master Plan'!$X$8:$X$27,"")</f>
        <v>1</v>
      </c>
    </row>
    <row r="27" customFormat="false" ht="15" hidden="false" customHeight="false" outlineLevel="0" collapsed="false">
      <c r="A27" s="326" t="s">
        <v>3297</v>
      </c>
      <c r="B27" s="327" t="s">
        <v>3298</v>
      </c>
      <c r="C27" s="340" t="n">
        <v>2.5</v>
      </c>
      <c r="K27" s="333"/>
      <c r="L27" s="310"/>
      <c r="Q27" s="330" t="s">
        <v>2242</v>
      </c>
      <c r="R27" s="331" t="n">
        <v>3</v>
      </c>
      <c r="S27" s="332" t="n">
        <f aca="false">COUNTIF('Master Plan'!$J$8:$J$27,Q27)</f>
        <v>1</v>
      </c>
      <c r="T27" s="332" t="n">
        <f aca="false">COUNTIFS('Master Plan'!$J$8:$J$27,Q27,'Master Plan'!$O$8:$O$27,"")</f>
        <v>1</v>
      </c>
      <c r="U27" s="332" t="n">
        <f aca="false">IF(R27&gt;0,ROUNDUP(T27/R27,0),"-")</f>
        <v>1</v>
      </c>
      <c r="V27" s="332" t="n">
        <f aca="false">COUNTIFS('Master Plan'!$J$8:$J$27,Q27,'Master Plan'!$X$8:$X$27,"")</f>
        <v>1</v>
      </c>
    </row>
    <row r="28" customFormat="false" ht="15" hidden="false" customHeight="false" outlineLevel="0" collapsed="false">
      <c r="A28" s="326" t="s">
        <v>3299</v>
      </c>
      <c r="B28" s="327" t="s">
        <v>3300</v>
      </c>
      <c r="C28" s="340" t="n">
        <v>2.5</v>
      </c>
      <c r="K28" s="333"/>
      <c r="L28" s="310"/>
      <c r="Q28" s="330" t="s">
        <v>2243</v>
      </c>
      <c r="R28" s="331" t="n">
        <v>3</v>
      </c>
      <c r="S28" s="332" t="n">
        <f aca="false">COUNTIF('Master Plan'!$J$8:$J$27,Q28)</f>
        <v>1</v>
      </c>
      <c r="T28" s="332" t="n">
        <f aca="false">COUNTIFS('Master Plan'!$J$8:$J$27,Q28,'Master Plan'!$O$8:$O$27,"")</f>
        <v>1</v>
      </c>
      <c r="U28" s="332" t="n">
        <f aca="false">IF(R28&gt;0,ROUNDUP(T28/R28,0),"-")</f>
        <v>1</v>
      </c>
      <c r="V28" s="332" t="n">
        <f aca="false">COUNTIFS('Master Plan'!$J$8:$J$27,Q28,'Master Plan'!$X$8:$X$27,"")</f>
        <v>1</v>
      </c>
    </row>
    <row r="29" customFormat="false" ht="15" hidden="false" customHeight="false" outlineLevel="0" collapsed="false">
      <c r="A29" s="326" t="s">
        <v>3301</v>
      </c>
      <c r="B29" s="327" t="s">
        <v>535</v>
      </c>
      <c r="C29" s="340" t="n">
        <v>2.5</v>
      </c>
      <c r="K29" s="333"/>
      <c r="L29" s="310"/>
      <c r="Q29" s="330" t="s">
        <v>2244</v>
      </c>
      <c r="R29" s="331" t="n">
        <v>3</v>
      </c>
      <c r="S29" s="332" t="n">
        <f aca="false">COUNTIF('Master Plan'!$J$8:$J$27,Q29)</f>
        <v>1</v>
      </c>
      <c r="T29" s="332" t="n">
        <f aca="false">COUNTIFS('Master Plan'!$J$8:$J$27,Q29,'Master Plan'!$O$8:$O$27,"")</f>
        <v>1</v>
      </c>
      <c r="U29" s="332" t="n">
        <f aca="false">IF(R29&gt;0,ROUNDUP(T29/R29,0),"-")</f>
        <v>1</v>
      </c>
      <c r="V29" s="332" t="n">
        <f aca="false">COUNTIFS('Master Plan'!$J$8:$J$27,Q29,'Master Plan'!$X$8:$X$27,"")</f>
        <v>1</v>
      </c>
    </row>
    <row r="30" customFormat="false" ht="15" hidden="false" customHeight="false" outlineLevel="0" collapsed="false">
      <c r="A30" s="326" t="s">
        <v>3302</v>
      </c>
      <c r="B30" s="337" t="s">
        <v>2226</v>
      </c>
      <c r="C30" s="340" t="n">
        <v>2.5</v>
      </c>
      <c r="K30" s="333"/>
      <c r="L30" s="310"/>
      <c r="Q30" s="330" t="s">
        <v>2245</v>
      </c>
      <c r="R30" s="331" t="n">
        <v>3</v>
      </c>
      <c r="S30" s="332" t="n">
        <f aca="false">COUNTIF('Master Plan'!$J$8:$J$27,Q30)</f>
        <v>1</v>
      </c>
      <c r="T30" s="332" t="n">
        <f aca="false">COUNTIFS('Master Plan'!$J$8:$J$27,Q30,'Master Plan'!$O$8:$O$27,"")</f>
        <v>1</v>
      </c>
      <c r="U30" s="332" t="n">
        <f aca="false">IF(R30&gt;0,ROUNDUP(T30/R30,0),"-")</f>
        <v>1</v>
      </c>
      <c r="V30" s="332" t="n">
        <f aca="false">COUNTIFS('Master Plan'!$J$8:$J$27,Q30,'Master Plan'!$X$8:$X$27,"")</f>
        <v>1</v>
      </c>
    </row>
    <row r="31" customFormat="false" ht="15" hidden="false" customHeight="false" outlineLevel="0" collapsed="false">
      <c r="B31" s="195" t="s">
        <v>1741</v>
      </c>
      <c r="C31" s="195" t="n">
        <f aca="false">SUM(C26:C30)</f>
        <v>100</v>
      </c>
      <c r="K31" s="333"/>
      <c r="L31" s="310"/>
    </row>
    <row r="32" customFormat="false" ht="15" hidden="false" customHeight="false" outlineLevel="0" collapsed="false">
      <c r="K32" s="333"/>
      <c r="L32" s="310"/>
    </row>
    <row r="33" customFormat="false" ht="15" hidden="false" customHeight="false" outlineLevel="0" collapsed="false">
      <c r="B33" s="195" t="s">
        <v>3303</v>
      </c>
      <c r="K33" s="333"/>
      <c r="L33" s="310"/>
    </row>
    <row r="34" customFormat="false" ht="15" hidden="false" customHeight="false" outlineLevel="0" collapsed="false">
      <c r="B34" s="341" t="s">
        <v>3304</v>
      </c>
      <c r="K34" s="333"/>
      <c r="L34" s="310"/>
    </row>
    <row r="35" customFormat="false" ht="15" hidden="false" customHeight="false" outlineLevel="0" collapsed="false">
      <c r="B35" s="341" t="s">
        <v>3305</v>
      </c>
    </row>
    <row r="36" customFormat="false" ht="15" hidden="false" customHeight="false" outlineLevel="0" collapsed="false">
      <c r="B36" s="341" t="s">
        <v>3306</v>
      </c>
    </row>
    <row r="37" customFormat="false" ht="15" hidden="false" customHeight="false" outlineLevel="0" collapsed="false">
      <c r="B37" s="342" t="s">
        <v>3307</v>
      </c>
    </row>
    <row r="38" customFormat="false" ht="15" hidden="false" customHeight="false" outlineLevel="0" collapsed="false">
      <c r="B38" s="342" t="s">
        <v>3308</v>
      </c>
    </row>
    <row r="39" customFormat="false" ht="15" hidden="false" customHeight="false" outlineLevel="0" collapsed="false">
      <c r="B39" s="63" t="s">
        <v>3309</v>
      </c>
    </row>
    <row r="40" customFormat="false" ht="15" hidden="false" customHeight="false" outlineLevel="0" collapsed="false">
      <c r="B40" s="342" t="s">
        <v>3310</v>
      </c>
    </row>
    <row r="41" customFormat="false" ht="15" hidden="false" customHeight="false" outlineLevel="0" collapsed="false">
      <c r="B41" s="341" t="s">
        <v>3311</v>
      </c>
    </row>
    <row r="42" customFormat="false" ht="15" hidden="false" customHeight="false" outlineLevel="0" collapsed="false">
      <c r="B42" s="63"/>
    </row>
    <row r="43" customFormat="false" ht="15" hidden="false" customHeight="false" outlineLevel="0" collapsed="false">
      <c r="B43" s="343" t="s">
        <v>3312</v>
      </c>
    </row>
    <row r="44" customFormat="false" ht="15" hidden="false" customHeight="false" outlineLevel="0" collapsed="false">
      <c r="B44" s="63" t="s">
        <v>3313</v>
      </c>
    </row>
    <row r="45" customFormat="false" ht="15" hidden="false" customHeight="false" outlineLevel="0" collapsed="false">
      <c r="B45" s="341" t="s">
        <v>3314</v>
      </c>
    </row>
    <row r="46" customFormat="false" ht="15" hidden="false" customHeight="false" outlineLevel="0" collapsed="false">
      <c r="B46" s="63"/>
    </row>
    <row r="47" customFormat="false" ht="15" hidden="false" customHeight="false" outlineLevel="0" collapsed="false">
      <c r="B47" s="343" t="s">
        <v>3315</v>
      </c>
    </row>
    <row r="48" customFormat="false" ht="15" hidden="false" customHeight="false" outlineLevel="0" collapsed="false">
      <c r="B48" s="344" t="s">
        <v>3316</v>
      </c>
    </row>
    <row r="49" customFormat="false" ht="15" hidden="false" customHeight="false" outlineLevel="0" collapsed="false">
      <c r="B49" s="342" t="s">
        <v>3317</v>
      </c>
    </row>
  </sheetData>
  <sheetProtection sheet="true" formatColumns="false" formatRows="false" sort="false" autoFilter="false"/>
  <conditionalFormatting sqref="I5:I24">
    <cfRule type="expression" priority="2" aboveAverage="0" equalAverage="0" bottom="0" percent="0" rank="0" text="" dxfId="41">
      <formula>AND(ISNUMBER(I5),I5&gt;=6)</formula>
    </cfRule>
  </conditionalFormatting>
  <conditionalFormatting sqref="X5:Z7">
    <cfRule type="expression" priority="3" aboveAverage="0" equalAverage="0" bottom="0" percent="0" rank="0" text="" dxfId="41">
      <formula>AND(ISNUMBER(X5),X5&gt;=8)</formula>
    </cfRule>
  </conditionalFormatting>
  <conditionalFormatting sqref="U11:U30">
    <cfRule type="expression" priority="4" aboveAverage="0" equalAverage="0" bottom="0" percent="0" rank="0" text="" dxfId="41">
      <formula>AND(ISNUMBER(U11),U11&gt;=6)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37" t="s">
        <v>3318</v>
      </c>
    </row>
    <row r="2" customFormat="false" ht="15" hidden="false" customHeight="false" outlineLevel="0" collapsed="false">
      <c r="A2" s="38" t="s">
        <v>3319</v>
      </c>
    </row>
    <row r="5" customFormat="false" ht="15" hidden="false" customHeight="false" outlineLevel="0" collapsed="false">
      <c r="A5" s="341" t="s">
        <v>3320</v>
      </c>
      <c r="B5" s="345"/>
    </row>
    <row r="6" customFormat="false" ht="15" hidden="false" customHeight="false" outlineLevel="0" collapsed="false">
      <c r="A6" s="63" t="s">
        <v>3321</v>
      </c>
      <c r="B6" s="345"/>
    </row>
    <row r="7" customFormat="false" ht="15" hidden="false" customHeight="false" outlineLevel="0" collapsed="false">
      <c r="A7" s="341" t="s">
        <v>3322</v>
      </c>
      <c r="B7" s="346" t="n">
        <v>7</v>
      </c>
    </row>
    <row r="8" customFormat="false" ht="15" hidden="false" customHeight="false" outlineLevel="0" collapsed="false">
      <c r="A8" s="341" t="s">
        <v>3323</v>
      </c>
      <c r="B8" s="346" t="n">
        <v>7</v>
      </c>
    </row>
    <row r="9" customFormat="false" ht="15" hidden="false" customHeight="false" outlineLevel="0" collapsed="false">
      <c r="A9" s="341" t="s">
        <v>3324</v>
      </c>
      <c r="B9" s="345" t="s">
        <v>3325</v>
      </c>
    </row>
    <row r="10" customFormat="false" ht="15" hidden="false" customHeight="false" outlineLevel="0" collapsed="false">
      <c r="A10" s="341" t="s">
        <v>3326</v>
      </c>
      <c r="B10" s="345" t="s">
        <v>568</v>
      </c>
    </row>
    <row r="11" customFormat="false" ht="15" hidden="false" customHeight="false" outlineLevel="0" collapsed="false">
      <c r="A11" s="341" t="s">
        <v>3327</v>
      </c>
      <c r="B11" s="345" t="s">
        <v>568</v>
      </c>
    </row>
    <row r="12" customFormat="false" ht="15" hidden="false" customHeight="false" outlineLevel="0" collapsed="false">
      <c r="A12" s="341" t="s">
        <v>3328</v>
      </c>
      <c r="B12" s="345" t="s">
        <v>568</v>
      </c>
    </row>
    <row r="13" customFormat="false" ht="15" hidden="false" customHeight="false" outlineLevel="0" collapsed="false">
      <c r="A13" s="341" t="s">
        <v>3329</v>
      </c>
      <c r="B13" s="345" t="s">
        <v>568</v>
      </c>
    </row>
    <row r="14" customFormat="false" ht="15" hidden="false" customHeight="false" outlineLevel="0" collapsed="false">
      <c r="A14" s="341" t="s">
        <v>3330</v>
      </c>
      <c r="B14" s="345" t="s">
        <v>568</v>
      </c>
    </row>
    <row r="16" customFormat="false" ht="15" hidden="false" customHeight="false" outlineLevel="0" collapsed="false">
      <c r="A16" s="39" t="s">
        <v>3331</v>
      </c>
    </row>
    <row r="17" customFormat="false" ht="15" hidden="false" customHeight="false" outlineLevel="0" collapsed="false">
      <c r="A17" s="133" t="s">
        <v>3332</v>
      </c>
      <c r="B17" s="347"/>
    </row>
    <row r="18" customFormat="false" ht="15" hidden="false" customHeight="false" outlineLevel="0" collapsed="false">
      <c r="A18" s="133" t="s">
        <v>3333</v>
      </c>
      <c r="B18" s="347"/>
    </row>
    <row r="19" customFormat="false" ht="15" hidden="false" customHeight="false" outlineLevel="0" collapsed="false">
      <c r="A19" s="133" t="s">
        <v>3334</v>
      </c>
      <c r="B19" s="347"/>
    </row>
    <row r="20" customFormat="false" ht="15" hidden="false" customHeight="false" outlineLevel="0" collapsed="false">
      <c r="A20" s="133" t="s">
        <v>3335</v>
      </c>
      <c r="B20" s="347"/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27" min="10" style="0" width="5"/>
    <col collapsed="false" customWidth="true" hidden="false" outlineLevel="0" max="30" min="28" style="0" width="10"/>
    <col collapsed="false" customWidth="true" hidden="false" outlineLevel="0" max="31" min="31" style="0" width="9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8"/>
  </cols>
  <sheetData>
    <row r="1" customFormat="false" ht="18.65" hidden="false" customHeight="false" outlineLevel="0" collapsed="false">
      <c r="A1" s="62" t="s">
        <v>3336</v>
      </c>
    </row>
    <row r="2" customFormat="false" ht="15" hidden="false" customHeight="false" outlineLevel="0" collapsed="false">
      <c r="A2" s="38" t="s">
        <v>3337</v>
      </c>
    </row>
    <row r="3" customFormat="false" ht="15" hidden="false" customHeight="false" outlineLevel="0" collapsed="false">
      <c r="A3" s="212" t="s">
        <v>3338</v>
      </c>
      <c r="B3" s="348"/>
    </row>
    <row r="4" customFormat="false" ht="15" hidden="false" customHeight="false" outlineLevel="0" collapsed="false">
      <c r="A4" s="212" t="s">
        <v>574</v>
      </c>
      <c r="B4" s="133" t="s">
        <v>3339</v>
      </c>
    </row>
    <row r="6" customFormat="false" ht="15" hidden="false" customHeight="false" outlineLevel="0" collapsed="false">
      <c r="J6" s="42" t="s">
        <v>3340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customFormat="false" ht="31.5" hidden="false" customHeight="true" outlineLevel="0" collapsed="false">
      <c r="A7" s="28" t="s">
        <v>34</v>
      </c>
      <c r="B7" s="28" t="s">
        <v>35</v>
      </c>
      <c r="C7" s="29" t="s">
        <v>527</v>
      </c>
      <c r="D7" s="28" t="s">
        <v>3341</v>
      </c>
      <c r="E7" s="28" t="s">
        <v>3342</v>
      </c>
      <c r="F7" s="28" t="s">
        <v>3343</v>
      </c>
      <c r="G7" s="28" t="s">
        <v>3344</v>
      </c>
      <c r="H7" s="28" t="s">
        <v>551</v>
      </c>
      <c r="I7" s="29" t="s">
        <v>3345</v>
      </c>
      <c r="J7" s="29" t="s">
        <v>1844</v>
      </c>
      <c r="K7" s="29" t="s">
        <v>1847</v>
      </c>
      <c r="L7" s="29" t="s">
        <v>1850</v>
      </c>
      <c r="M7" s="29" t="s">
        <v>1852</v>
      </c>
      <c r="N7" s="29" t="s">
        <v>1491</v>
      </c>
      <c r="O7" s="29" t="s">
        <v>1857</v>
      </c>
      <c r="P7" s="29" t="s">
        <v>1860</v>
      </c>
      <c r="Q7" s="29" t="s">
        <v>872</v>
      </c>
      <c r="R7" s="29" t="s">
        <v>987</v>
      </c>
      <c r="S7" s="29" t="s">
        <v>1037</v>
      </c>
      <c r="T7" s="29" t="s">
        <v>1063</v>
      </c>
      <c r="U7" s="29" t="s">
        <v>1079</v>
      </c>
      <c r="V7" s="29" t="s">
        <v>1113</v>
      </c>
      <c r="W7" s="29" t="s">
        <v>1147</v>
      </c>
      <c r="X7" s="29" t="s">
        <v>1168</v>
      </c>
      <c r="Y7" s="29" t="s">
        <v>1192</v>
      </c>
      <c r="Z7" s="29" t="s">
        <v>1205</v>
      </c>
      <c r="AA7" s="29" t="s">
        <v>2030</v>
      </c>
      <c r="AB7" s="28" t="s">
        <v>3346</v>
      </c>
      <c r="AC7" s="29" t="s">
        <v>3347</v>
      </c>
      <c r="AD7" s="28" t="s">
        <v>3348</v>
      </c>
      <c r="AE7" s="29" t="s">
        <v>3349</v>
      </c>
      <c r="AF7" s="28" t="s">
        <v>3350</v>
      </c>
      <c r="AG7" s="28" t="s">
        <v>3351</v>
      </c>
      <c r="AH7" s="28" t="s">
        <v>3352</v>
      </c>
    </row>
    <row r="8" customFormat="false" ht="15" hidden="false" customHeight="false" outlineLevel="0" collapsed="false">
      <c r="A8" s="36" t="s">
        <v>42</v>
      </c>
      <c r="B8" s="31" t="s">
        <v>43</v>
      </c>
      <c r="C8" s="75" t="n">
        <v>150.48</v>
      </c>
      <c r="D8" s="310"/>
      <c r="E8" s="349"/>
      <c r="F8" s="349"/>
      <c r="G8" s="349"/>
      <c r="H8" s="350"/>
      <c r="I8" s="351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3"/>
      <c r="AC8" s="353"/>
      <c r="AD8" s="353"/>
      <c r="AE8" s="349"/>
      <c r="AF8" s="349"/>
      <c r="AG8" s="353"/>
      <c r="AH8" s="349"/>
    </row>
    <row r="9" customFormat="false" ht="15" hidden="false" customHeight="false" outlineLevel="0" collapsed="false">
      <c r="A9" s="36" t="s">
        <v>46</v>
      </c>
      <c r="B9" s="31" t="s">
        <v>47</v>
      </c>
      <c r="C9" s="31" t="n">
        <v>280.44</v>
      </c>
      <c r="D9" s="310"/>
      <c r="E9" s="349"/>
      <c r="F9" s="349"/>
      <c r="G9" s="349"/>
      <c r="H9" s="350"/>
      <c r="I9" s="351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3"/>
      <c r="AC9" s="353"/>
      <c r="AD9" s="353"/>
      <c r="AE9" s="349"/>
      <c r="AF9" s="349"/>
      <c r="AG9" s="353"/>
      <c r="AH9" s="349"/>
    </row>
    <row r="10" customFormat="false" ht="15" hidden="false" customHeight="false" outlineLevel="0" collapsed="false">
      <c r="A10" s="36" t="s">
        <v>50</v>
      </c>
      <c r="B10" s="31" t="s">
        <v>51</v>
      </c>
      <c r="C10" s="31" t="n">
        <v>150.48</v>
      </c>
      <c r="D10" s="310"/>
      <c r="E10" s="349"/>
      <c r="F10" s="349"/>
      <c r="G10" s="349"/>
      <c r="H10" s="350"/>
      <c r="I10" s="351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3"/>
      <c r="AC10" s="353"/>
      <c r="AD10" s="353"/>
      <c r="AE10" s="349"/>
      <c r="AF10" s="349"/>
      <c r="AG10" s="353"/>
      <c r="AH10" s="349"/>
    </row>
    <row r="11" customFormat="false" ht="15" hidden="false" customHeight="false" outlineLevel="0" collapsed="false">
      <c r="A11" s="36" t="s">
        <v>54</v>
      </c>
      <c r="B11" s="31" t="s">
        <v>55</v>
      </c>
      <c r="C11" s="31" t="n">
        <v>280.44</v>
      </c>
      <c r="D11" s="310"/>
      <c r="E11" s="349"/>
      <c r="F11" s="349"/>
      <c r="G11" s="349"/>
      <c r="H11" s="350"/>
      <c r="I11" s="351"/>
      <c r="J11" s="352"/>
      <c r="K11" s="352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3"/>
      <c r="AC11" s="353"/>
      <c r="AD11" s="353"/>
      <c r="AE11" s="349"/>
      <c r="AF11" s="349"/>
      <c r="AG11" s="353"/>
      <c r="AH11" s="349"/>
    </row>
    <row r="12" customFormat="false" ht="15" hidden="false" customHeight="false" outlineLevel="0" collapsed="false">
      <c r="A12" s="36" t="s">
        <v>58</v>
      </c>
      <c r="B12" s="31" t="s">
        <v>59</v>
      </c>
      <c r="C12" s="31" t="n">
        <v>150.48</v>
      </c>
      <c r="D12" s="310"/>
      <c r="E12" s="349"/>
      <c r="F12" s="349"/>
      <c r="G12" s="349"/>
      <c r="H12" s="350"/>
      <c r="I12" s="351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3"/>
      <c r="AC12" s="353"/>
      <c r="AD12" s="353"/>
      <c r="AE12" s="349"/>
      <c r="AF12" s="349"/>
      <c r="AG12" s="353"/>
      <c r="AH12" s="349"/>
    </row>
    <row r="13" customFormat="false" ht="15" hidden="false" customHeight="false" outlineLevel="0" collapsed="false">
      <c r="A13" s="36" t="s">
        <v>62</v>
      </c>
      <c r="B13" s="31" t="s">
        <v>63</v>
      </c>
      <c r="C13" s="31" t="n">
        <v>280.44</v>
      </c>
      <c r="D13" s="310"/>
      <c r="E13" s="349"/>
      <c r="F13" s="349"/>
      <c r="G13" s="349"/>
      <c r="H13" s="350"/>
      <c r="I13" s="351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3"/>
      <c r="AC13" s="353"/>
      <c r="AD13" s="353"/>
      <c r="AE13" s="349"/>
      <c r="AF13" s="349"/>
      <c r="AG13" s="353"/>
      <c r="AH13" s="349"/>
    </row>
    <row r="14" customFormat="false" ht="15" hidden="false" customHeight="false" outlineLevel="0" collapsed="false">
      <c r="A14" s="36" t="s">
        <v>66</v>
      </c>
      <c r="B14" s="31" t="s">
        <v>67</v>
      </c>
      <c r="C14" s="31" t="n">
        <v>150.48</v>
      </c>
      <c r="D14" s="310"/>
      <c r="E14" s="349"/>
      <c r="F14" s="349"/>
      <c r="G14" s="349"/>
      <c r="H14" s="350"/>
      <c r="I14" s="351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3"/>
      <c r="AC14" s="353"/>
      <c r="AD14" s="353"/>
      <c r="AE14" s="349"/>
      <c r="AF14" s="349"/>
      <c r="AG14" s="353"/>
      <c r="AH14" s="349"/>
    </row>
    <row r="15" customFormat="false" ht="15" hidden="false" customHeight="false" outlineLevel="0" collapsed="false">
      <c r="A15" s="36" t="s">
        <v>70</v>
      </c>
      <c r="B15" s="31" t="s">
        <v>71</v>
      </c>
      <c r="C15" s="31" t="n">
        <v>280.44</v>
      </c>
      <c r="D15" s="310"/>
      <c r="E15" s="349"/>
      <c r="F15" s="349"/>
      <c r="G15" s="349"/>
      <c r="H15" s="350"/>
      <c r="I15" s="351"/>
      <c r="J15" s="352"/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3"/>
      <c r="AC15" s="353"/>
      <c r="AD15" s="353"/>
      <c r="AE15" s="349"/>
      <c r="AF15" s="349"/>
      <c r="AG15" s="353"/>
      <c r="AH15" s="349"/>
    </row>
    <row r="16" customFormat="false" ht="15" hidden="false" customHeight="false" outlineLevel="0" collapsed="false">
      <c r="A16" s="36" t="s">
        <v>74</v>
      </c>
      <c r="B16" s="31" t="s">
        <v>75</v>
      </c>
      <c r="C16" s="31" t="n">
        <v>150.48</v>
      </c>
      <c r="D16" s="310"/>
      <c r="E16" s="349"/>
      <c r="F16" s="349"/>
      <c r="G16" s="349"/>
      <c r="H16" s="350"/>
      <c r="I16" s="351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3"/>
      <c r="AC16" s="353"/>
      <c r="AD16" s="353"/>
      <c r="AE16" s="349"/>
      <c r="AF16" s="349"/>
      <c r="AG16" s="353"/>
      <c r="AH16" s="349"/>
    </row>
    <row r="17" customFormat="false" ht="15" hidden="false" customHeight="false" outlineLevel="0" collapsed="false">
      <c r="A17" s="36" t="s">
        <v>78</v>
      </c>
      <c r="B17" s="31" t="s">
        <v>79</v>
      </c>
      <c r="C17" s="31" t="n">
        <v>280.44</v>
      </c>
      <c r="D17" s="310"/>
      <c r="E17" s="349"/>
      <c r="F17" s="349"/>
      <c r="G17" s="349"/>
      <c r="H17" s="350"/>
      <c r="I17" s="351"/>
      <c r="J17" s="352"/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3"/>
      <c r="AC17" s="353"/>
      <c r="AD17" s="353"/>
      <c r="AE17" s="349"/>
      <c r="AF17" s="349"/>
      <c r="AG17" s="353"/>
      <c r="AH17" s="349"/>
    </row>
    <row r="18" customFormat="false" ht="15" hidden="false" customHeight="false" outlineLevel="0" collapsed="false">
      <c r="A18" s="36" t="s">
        <v>82</v>
      </c>
      <c r="B18" s="31" t="s">
        <v>83</v>
      </c>
      <c r="C18" s="31" t="n">
        <v>150.48</v>
      </c>
      <c r="D18" s="310"/>
      <c r="E18" s="349"/>
      <c r="F18" s="349"/>
      <c r="G18" s="349"/>
      <c r="H18" s="350"/>
      <c r="I18" s="351"/>
      <c r="J18" s="352"/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3"/>
      <c r="AC18" s="353"/>
      <c r="AD18" s="353"/>
      <c r="AE18" s="349"/>
      <c r="AF18" s="349"/>
      <c r="AG18" s="353"/>
      <c r="AH18" s="349"/>
    </row>
    <row r="19" customFormat="false" ht="15" hidden="false" customHeight="false" outlineLevel="0" collapsed="false">
      <c r="A19" s="36" t="s">
        <v>86</v>
      </c>
      <c r="B19" s="31" t="s">
        <v>87</v>
      </c>
      <c r="C19" s="31" t="n">
        <v>280.44</v>
      </c>
      <c r="D19" s="310"/>
      <c r="E19" s="349"/>
      <c r="F19" s="349"/>
      <c r="G19" s="349"/>
      <c r="H19" s="350"/>
      <c r="I19" s="351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3"/>
      <c r="AC19" s="353"/>
      <c r="AD19" s="353"/>
      <c r="AE19" s="349"/>
      <c r="AF19" s="349"/>
      <c r="AG19" s="353"/>
      <c r="AH19" s="349"/>
    </row>
    <row r="20" customFormat="false" ht="15" hidden="false" customHeight="false" outlineLevel="0" collapsed="false">
      <c r="A20" s="36" t="s">
        <v>90</v>
      </c>
      <c r="B20" s="31" t="s">
        <v>91</v>
      </c>
      <c r="C20" s="31" t="n">
        <v>150.48</v>
      </c>
      <c r="D20" s="310"/>
      <c r="E20" s="349"/>
      <c r="F20" s="349"/>
      <c r="G20" s="349"/>
      <c r="H20" s="350"/>
      <c r="I20" s="351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3"/>
      <c r="AC20" s="353"/>
      <c r="AD20" s="353"/>
      <c r="AE20" s="349"/>
      <c r="AF20" s="349"/>
      <c r="AG20" s="353"/>
      <c r="AH20" s="349"/>
    </row>
    <row r="21" customFormat="false" ht="15" hidden="false" customHeight="false" outlineLevel="0" collapsed="false">
      <c r="A21" s="36" t="s">
        <v>94</v>
      </c>
      <c r="B21" s="31" t="s">
        <v>95</v>
      </c>
      <c r="C21" s="31" t="n">
        <v>280.44</v>
      </c>
      <c r="D21" s="310"/>
      <c r="E21" s="349"/>
      <c r="F21" s="349"/>
      <c r="G21" s="349"/>
      <c r="H21" s="350"/>
      <c r="I21" s="351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3"/>
      <c r="AC21" s="353"/>
      <c r="AD21" s="353"/>
      <c r="AE21" s="349"/>
      <c r="AF21" s="349"/>
      <c r="AG21" s="353"/>
      <c r="AH21" s="349"/>
    </row>
    <row r="22" customFormat="false" ht="15" hidden="false" customHeight="false" outlineLevel="0" collapsed="false">
      <c r="A22" s="36" t="s">
        <v>98</v>
      </c>
      <c r="B22" s="31" t="s">
        <v>99</v>
      </c>
      <c r="C22" s="31" t="n">
        <v>150.48</v>
      </c>
      <c r="D22" s="310"/>
      <c r="E22" s="349"/>
      <c r="F22" s="349"/>
      <c r="G22" s="349"/>
      <c r="H22" s="350"/>
      <c r="I22" s="351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3"/>
      <c r="AC22" s="353"/>
      <c r="AD22" s="353"/>
      <c r="AE22" s="349"/>
      <c r="AF22" s="349"/>
      <c r="AG22" s="353"/>
      <c r="AH22" s="349"/>
    </row>
    <row r="23" customFormat="false" ht="15" hidden="false" customHeight="false" outlineLevel="0" collapsed="false">
      <c r="A23" s="36" t="s">
        <v>102</v>
      </c>
      <c r="B23" s="31" t="s">
        <v>103</v>
      </c>
      <c r="C23" s="31" t="n">
        <v>280.44</v>
      </c>
      <c r="D23" s="310"/>
      <c r="E23" s="349"/>
      <c r="F23" s="349"/>
      <c r="G23" s="349"/>
      <c r="H23" s="350"/>
      <c r="I23" s="351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3"/>
      <c r="AC23" s="353"/>
      <c r="AD23" s="353"/>
      <c r="AE23" s="349"/>
      <c r="AF23" s="349"/>
      <c r="AG23" s="353"/>
      <c r="AH23" s="349"/>
    </row>
    <row r="24" customFormat="false" ht="15" hidden="false" customHeight="false" outlineLevel="0" collapsed="false">
      <c r="A24" s="36" t="s">
        <v>106</v>
      </c>
      <c r="B24" s="31" t="s">
        <v>107</v>
      </c>
      <c r="C24" s="31" t="n">
        <v>150.48</v>
      </c>
      <c r="D24" s="310"/>
      <c r="E24" s="349"/>
      <c r="F24" s="349"/>
      <c r="G24" s="349"/>
      <c r="H24" s="350"/>
      <c r="I24" s="351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3"/>
      <c r="AC24" s="353"/>
      <c r="AD24" s="353"/>
      <c r="AE24" s="349"/>
      <c r="AF24" s="349"/>
      <c r="AG24" s="353"/>
      <c r="AH24" s="349"/>
    </row>
    <row r="25" customFormat="false" ht="15" hidden="false" customHeight="false" outlineLevel="0" collapsed="false">
      <c r="A25" s="36" t="s">
        <v>110</v>
      </c>
      <c r="B25" s="31" t="s">
        <v>111</v>
      </c>
      <c r="C25" s="31" t="n">
        <v>280.44</v>
      </c>
      <c r="D25" s="310"/>
      <c r="E25" s="349"/>
      <c r="F25" s="349"/>
      <c r="G25" s="349"/>
      <c r="H25" s="350"/>
      <c r="I25" s="351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3"/>
      <c r="AC25" s="353"/>
      <c r="AD25" s="353"/>
      <c r="AE25" s="349"/>
      <c r="AF25" s="349"/>
      <c r="AG25" s="353"/>
      <c r="AH25" s="349"/>
    </row>
    <row r="26" customFormat="false" ht="15" hidden="false" customHeight="false" outlineLevel="0" collapsed="false">
      <c r="A26" s="36" t="s">
        <v>114</v>
      </c>
      <c r="B26" s="31" t="s">
        <v>115</v>
      </c>
      <c r="C26" s="31" t="n">
        <v>150.48</v>
      </c>
      <c r="D26" s="310"/>
      <c r="E26" s="349"/>
      <c r="F26" s="349"/>
      <c r="G26" s="349"/>
      <c r="H26" s="350"/>
      <c r="I26" s="351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3"/>
      <c r="AC26" s="353"/>
      <c r="AD26" s="353"/>
      <c r="AE26" s="349"/>
      <c r="AF26" s="349"/>
      <c r="AG26" s="353"/>
      <c r="AH26" s="349"/>
    </row>
    <row r="27" customFormat="false" ht="15" hidden="false" customHeight="false" outlineLevel="0" collapsed="false">
      <c r="A27" s="36" t="s">
        <v>118</v>
      </c>
      <c r="B27" s="31" t="s">
        <v>119</v>
      </c>
      <c r="C27" s="31" t="n">
        <v>280.44</v>
      </c>
      <c r="D27" s="310"/>
      <c r="E27" s="349"/>
      <c r="F27" s="349"/>
      <c r="G27" s="349"/>
      <c r="H27" s="350"/>
      <c r="I27" s="351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3"/>
      <c r="AC27" s="353"/>
      <c r="AD27" s="353"/>
      <c r="AE27" s="349"/>
      <c r="AF27" s="349"/>
      <c r="AG27" s="353"/>
      <c r="AH27" s="349"/>
    </row>
  </sheetData>
  <sheetProtection sheet="true" formatColumns="false" formatRows="false" sort="false" autoFilter="false"/>
  <autoFilter ref="A7:AH27"/>
  <mergeCells count="1">
    <mergeCell ref="J6:AA6"/>
  </mergeCells>
  <conditionalFormatting sqref="G8:G27">
    <cfRule type="expression" priority="2" aboveAverage="0" equalAverage="0" bottom="0" percent="0" rank="0" text="" dxfId="50">
      <formula>G8="ไม่พบ"</formula>
    </cfRule>
  </conditionalFormatting>
  <conditionalFormatting sqref="B3">
    <cfRule type="expression" priority="3" aboveAverage="0" equalAverage="0" bottom="0" percent="0" rank="0" text="" dxfId="50">
      <formula>AND(ISNUMBER(B3),NOW()-B3&gt;1/24)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37" t="s">
        <v>3353</v>
      </c>
    </row>
    <row r="2" customFormat="false" ht="15" hidden="false" customHeight="false" outlineLevel="0" collapsed="false">
      <c r="A2" s="38" t="s">
        <v>3354</v>
      </c>
    </row>
    <row r="6" customFormat="false" ht="31.5" hidden="false" customHeight="true" outlineLevel="0" collapsed="false">
      <c r="A6" s="28" t="s">
        <v>3355</v>
      </c>
      <c r="B6" s="28" t="s">
        <v>34</v>
      </c>
      <c r="C6" s="28" t="s">
        <v>35</v>
      </c>
      <c r="D6" s="28" t="s">
        <v>3356</v>
      </c>
      <c r="E6" s="28" t="s">
        <v>3357</v>
      </c>
      <c r="F6" s="28" t="s">
        <v>3358</v>
      </c>
      <c r="G6" s="28" t="s">
        <v>523</v>
      </c>
    </row>
  </sheetData>
  <autoFilter ref="A6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7" min="6" style="0" width="7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5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37" t="s">
        <v>3359</v>
      </c>
    </row>
    <row r="2" customFormat="false" ht="15" hidden="false" customHeight="false" outlineLevel="0" collapsed="false">
      <c r="A2" s="38" t="s">
        <v>3360</v>
      </c>
    </row>
    <row r="6" customFormat="false" ht="31.5" hidden="false" customHeight="true" outlineLevel="0" collapsed="false">
      <c r="A6" s="28" t="s">
        <v>1715</v>
      </c>
      <c r="B6" s="28" t="s">
        <v>34</v>
      </c>
      <c r="C6" s="28" t="s">
        <v>35</v>
      </c>
      <c r="D6" s="28" t="s">
        <v>36</v>
      </c>
      <c r="E6" s="29" t="s">
        <v>527</v>
      </c>
      <c r="F6" s="29" t="s">
        <v>39</v>
      </c>
      <c r="G6" s="29" t="s">
        <v>3361</v>
      </c>
      <c r="H6" s="29" t="s">
        <v>37</v>
      </c>
      <c r="I6" s="29" t="s">
        <v>544</v>
      </c>
      <c r="J6" s="29" t="s">
        <v>545</v>
      </c>
      <c r="K6" s="28" t="s">
        <v>546</v>
      </c>
      <c r="L6" s="28" t="s">
        <v>3362</v>
      </c>
    </row>
  </sheetData>
  <autoFilter ref="A6:L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3363</v>
      </c>
    </row>
    <row r="2" customFormat="false" ht="15" hidden="false" customHeight="false" outlineLevel="0" collapsed="false">
      <c r="A2" s="354" t="s">
        <v>3364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Plan'!$AI$8</f>
        <v>-36</v>
      </c>
      <c r="M4" s="360"/>
      <c r="N4" s="360" t="n">
        <f aca="false">'Master Plan'!$AJ$8</f>
        <v>-3</v>
      </c>
      <c r="O4" s="360"/>
      <c r="P4" s="361" t="str">
        <f aca="false">'Master Plan'!$AK$8&amp;" / "&amp;'Master Plan'!$AL$8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COUNTIFS(CR_ST,"P9-001",CR_STAT,"อนุมัติ")&amp;" รายการ, "&amp;'Master Plan'!$AO$8&amp;" วัน"</f>
        <v>0 รายการ, 0 วัน</v>
      </c>
      <c r="AG4" s="362"/>
      <c r="AH4" s="362"/>
      <c r="AI4" s="362"/>
      <c r="AJ4" s="362"/>
      <c r="AK4" s="363" t="n">
        <f aca="false">COUNTIFS(CR_ST,"P9-001",CR_STAT,"รออนุมัติ")+COUNTIFS(CR_ST,"P9-001",CR_STAT,"ขอข้อมูลเพิ่ม")</f>
        <v>0</v>
      </c>
      <c r="AL4" s="363"/>
      <c r="AM4" s="363"/>
      <c r="AN4" s="363"/>
      <c r="AO4" s="363"/>
      <c r="AP4" s="362" t="str">
        <f aca="false">COUNTIF(RW_ST,"P9-001")&amp;" ("&amp;COUNTIFS(RW_ST,"P9-001",RW_DONE,"&lt;&gt;Y")&amp;")"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COUNTIF(LL_ST,"*P9-001*")</f>
        <v>0</v>
      </c>
      <c r="BA4" s="363"/>
      <c r="BB4" s="363"/>
      <c r="BC4" s="363"/>
      <c r="BD4" s="363"/>
      <c r="BE4" s="362" t="str">
        <f aca="false">IF(COUNTIFS(SITE_ST,"P9-001",SITE_TYPE,"?*")=0,"ประมาณการ,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IF(COUNTIFS(SITE_ST,"P9-001",SITE_TYPE,"?*")=0,"ยังไม่ระบุจุด",COUNTIFS(SITE_ST,"P9-001",SITE_LAD,"ติด:*")&amp;" จุด"&amp;IF(COUNTIFS(SITE_ST,"P9-001",SITE_LAD,"⚠*")&gt;0,",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3381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45</v>
      </c>
      <c r="E9" s="372" t="n">
        <v>0</v>
      </c>
      <c r="F9" s="31"/>
      <c r="G9" s="32"/>
      <c r="H9" s="32" t="n">
        <v>1</v>
      </c>
      <c r="I9" s="373" t="n">
        <f aca="false">'Master Plan'!$H$8+(-75)</f>
        <v>46328</v>
      </c>
      <c r="J9" s="373" t="n">
        <f aca="false">'Master Plan'!$H$8+(50)</f>
        <v>46453</v>
      </c>
      <c r="K9" s="78"/>
      <c r="L9" s="78" t="str">
        <f aca="false">IF(ISNUMBER(อัปเดตรายสัปดาห์!$G$8),อัปเดตรายสัปดาห์!$G$8,"")</f>
        <v/>
      </c>
      <c r="M9" s="374" t="str">
        <f aca="false">IF(อัปเดตรายสัปดาห์!$G$8="Y","Y","")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0"/>
      <c r="G10" s="380"/>
      <c r="H10" s="380"/>
      <c r="I10" s="382" t="n">
        <f aca="false">'Master Plan'!$H$8+(-75)</f>
        <v>46328</v>
      </c>
      <c r="J10" s="382" t="n">
        <f aca="false">'Master Plan'!$H$8+(-63)</f>
        <v>46340</v>
      </c>
      <c r="K10" s="380"/>
      <c r="L10" s="380"/>
      <c r="M10" s="383" t="str">
        <f aca="false">IF('อัปเดตงาน WBS'!$L$7="","",'อัปเดตงาน WBS'!$L$7)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0"/>
      <c r="S10" s="380" t="n">
        <v>2</v>
      </c>
      <c r="T10" s="380" t="str">
        <f aca="false">IF(O10="","BL",IF(M10="Y","DY",IF(LEFT(T9,1)="D","DY",IF(OR(M10="S",N10&lt;=ASOF),"IP","NS"))))</f>
        <v>IP</v>
      </c>
      <c r="U10" s="380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Plan'!$H$8+(-75)</f>
        <v>46328</v>
      </c>
      <c r="J11" s="382" t="n">
        <f aca="false">'Master Plan'!$H$8+(-63)</f>
        <v>46340</v>
      </c>
      <c r="K11" s="387"/>
      <c r="L11" s="387"/>
      <c r="M11" s="383" t="str">
        <f aca="false">IF('อัปเดตงาน WBS'!$L$8="","",'อัปเดตงาน WBS'!$L$8)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Plan'!$H$8+(-75)</f>
        <v>46328</v>
      </c>
      <c r="J12" s="382" t="n">
        <f aca="false">'Master Plan'!$H$8+(-63)</f>
        <v>46340</v>
      </c>
      <c r="K12" s="387"/>
      <c r="L12" s="387"/>
      <c r="M12" s="383" t="str">
        <f aca="false">IF('อัปเดตงาน WBS'!$L$9="","",'อัปเดตงาน WBS'!$L$9)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Plan'!$H$8+(-75)</f>
        <v>46328</v>
      </c>
      <c r="J13" s="382" t="n">
        <f aca="false">'Master Plan'!$H$8+(-56)</f>
        <v>46347</v>
      </c>
      <c r="K13" s="387"/>
      <c r="L13" s="387"/>
      <c r="M13" s="383" t="str">
        <f aca="false">IF('อัปเดตงาน WBS'!$L$10="","",'อัปเดตงาน WBS'!$L$10)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Plan'!$H$8+(-63)</f>
        <v>46340</v>
      </c>
      <c r="J14" s="382" t="n">
        <f aca="false">'Master Plan'!$H$8+(50)</f>
        <v>46453</v>
      </c>
      <c r="K14" s="387"/>
      <c r="L14" s="387"/>
      <c r="M14" s="383" t="str">
        <f aca="false">IF('อัปเดตงาน WBS'!$L$11="","",'อัปเดตงาน WBS'!$L$11)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Plan'!$H$8+(-63)</f>
        <v>46340</v>
      </c>
      <c r="J15" s="382" t="n">
        <f aca="false">'Master Plan'!$H$8+(50)</f>
        <v>46453</v>
      </c>
      <c r="K15" s="387"/>
      <c r="L15" s="387"/>
      <c r="M15" s="383" t="str">
        <f aca="false">IF('อัปเดตงาน WBS'!$L$12="","",'อัปเดตงาน WBS'!$L$12)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Plan'!$H$8+(-56)</f>
        <v>46347</v>
      </c>
      <c r="J16" s="373" t="n">
        <f aca="false">'Master Plan'!$H$8+(-45)</f>
        <v>46358</v>
      </c>
      <c r="K16" s="78"/>
      <c r="L16" s="78" t="str">
        <f aca="false">IF(ISNUMBER(อัปเดตรายสัปดาห์!$H$8),อัปเดตรายสัปดาห์!$H$8,"")</f>
        <v/>
      </c>
      <c r="M16" s="374" t="str">
        <f aca="false">IF(อัปเดตรายสัปดาห์!$H$8="Y","Y","")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Plan'!$H$8+(-56)</f>
        <v>46347</v>
      </c>
      <c r="J17" s="382" t="n">
        <f aca="false">'Master Plan'!$H$8+(-54)</f>
        <v>46349</v>
      </c>
      <c r="K17" s="387"/>
      <c r="L17" s="387"/>
      <c r="M17" s="383" t="str">
        <f aca="false">IF('อัปเดตงาน WBS'!$L$13="","",'อัปเดตงาน WBS'!$L$13)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Plan'!$H$8+(-55)</f>
        <v>46348</v>
      </c>
      <c r="J18" s="382" t="n">
        <f aca="false">'Master Plan'!$H$8+(-52)</f>
        <v>46351</v>
      </c>
      <c r="K18" s="387"/>
      <c r="L18" s="387"/>
      <c r="M18" s="383" t="str">
        <f aca="false">IF('อัปเดตงาน WBS'!$L$14="","",'อัปเดตงาน WBS'!$L$14)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Plan'!$H$8+(-53)</f>
        <v>46350</v>
      </c>
      <c r="J19" s="382" t="n">
        <f aca="false">'Master Plan'!$H$8+(-48)</f>
        <v>46355</v>
      </c>
      <c r="K19" s="387"/>
      <c r="L19" s="387"/>
      <c r="M19" s="383" t="str">
        <f aca="false">IF('อัปเดตงาน WBS'!$L$15="","",'อัปเดตงาน WBS'!$L$15)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Plan'!$H$8+(-53)</f>
        <v>46350</v>
      </c>
      <c r="J20" s="382" t="n">
        <f aca="false">'Master Plan'!$H$8+(-48)</f>
        <v>46355</v>
      </c>
      <c r="K20" s="387"/>
      <c r="L20" s="387"/>
      <c r="M20" s="383" t="str">
        <f aca="false">IF('อัปเดตงาน WBS'!$L$16="","",'อัปเดตงาน WBS'!$L$16)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Plan'!$H$8+(-52)</f>
        <v>46351</v>
      </c>
      <c r="J21" s="382" t="n">
        <f aca="false">'Master Plan'!$H$8+(-47)</f>
        <v>46356</v>
      </c>
      <c r="K21" s="387"/>
      <c r="L21" s="387"/>
      <c r="M21" s="383" t="str">
        <f aca="false">IF('อัปเดตงาน WBS'!$L$17="","",'อัปเดตงาน WBS'!$L$17)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Plan'!$H$8+(-50)</f>
        <v>46353</v>
      </c>
      <c r="J22" s="382" t="n">
        <f aca="false">'Master Plan'!$H$8+(-46)</f>
        <v>46357</v>
      </c>
      <c r="K22" s="387"/>
      <c r="L22" s="387"/>
      <c r="M22" s="383" t="str">
        <f aca="false">IF('อัปเดตงาน WBS'!$L$18="","",'อัปเดตงาน WBS'!$L$18)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Plan'!$H$8+(-50)</f>
        <v>46353</v>
      </c>
      <c r="J23" s="382" t="n">
        <f aca="false">'Master Plan'!$H$8+(-45)</f>
        <v>46358</v>
      </c>
      <c r="K23" s="387"/>
      <c r="L23" s="387"/>
      <c r="M23" s="383" t="str">
        <f aca="false">IF('อัปเดตงาน WBS'!$L$19="","",'อัปเดตงาน WBS'!$L$19)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Plan'!$H$8+(-49)</f>
        <v>46354</v>
      </c>
      <c r="J24" s="382" t="n">
        <f aca="false">'Master Plan'!$H$8+(-45)</f>
        <v>46358</v>
      </c>
      <c r="K24" s="387"/>
      <c r="L24" s="387"/>
      <c r="M24" s="383" t="str">
        <f aca="false">IF('อัปเดตงาน WBS'!$L$20="","",'อัปเดตงาน WBS'!$L$20)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Plan'!$H$8+(-51)</f>
        <v>46352</v>
      </c>
      <c r="J25" s="373" t="n">
        <f aca="false">'Master Plan'!$H$8+(-51)</f>
        <v>46352</v>
      </c>
      <c r="K25" s="78"/>
      <c r="L25" s="78" t="str">
        <f aca="false">IF(ISNUMBER(อัปเดตรายสัปดาห์!$I$8),อัปเดตรายสัปดาห์!$I$8,"")</f>
        <v/>
      </c>
      <c r="M25" s="374" t="str">
        <f aca="false">IF(อัปเดตรายสัปดาห์!$I$8="Y","Y","")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Plan'!$H$8+(-51)</f>
        <v>46352</v>
      </c>
      <c r="J26" s="382" t="n">
        <f aca="false">'Master Plan'!$H$8+(-51)</f>
        <v>46352</v>
      </c>
      <c r="K26" s="387"/>
      <c r="L26" s="387"/>
      <c r="M26" s="383" t="str">
        <f aca="false">IF('อัปเดตงาน WBS'!$L$21="","",'อัปเดตงาน WBS'!$L$21)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Plan'!$H$8+(-51)</f>
        <v>46352</v>
      </c>
      <c r="J27" s="382" t="n">
        <f aca="false">'Master Plan'!$H$8+(-51)</f>
        <v>46352</v>
      </c>
      <c r="K27" s="387"/>
      <c r="L27" s="387"/>
      <c r="M27" s="383" t="str">
        <f aca="false">IF('อัปเดตงาน WBS'!$L$22="","",'อัปเดตงาน WBS'!$L$22)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Plan'!$H$8+(-51)</f>
        <v>46352</v>
      </c>
      <c r="J28" s="382" t="n">
        <f aca="false">'Master Plan'!$H$8+(-51)</f>
        <v>46352</v>
      </c>
      <c r="K28" s="387"/>
      <c r="L28" s="387"/>
      <c r="M28" s="383" t="str">
        <f aca="false">IF('อัปเดตงาน WBS'!$L$23="","",'อัปเดตงาน WBS'!$L$23)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45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Plan'!$H$8+(-75)</f>
        <v>46328</v>
      </c>
      <c r="J30" s="373" t="n">
        <f aca="false">'Master Plan'!$H$8+(-75)</f>
        <v>46328</v>
      </c>
      <c r="K30" s="78"/>
      <c r="L30" s="78" t="str">
        <f aca="false">IF(ISNUMBER(อัปเดตรายสัปดาห์!$J$8),อัปเดตรายสัปดาห์!$J$8,"")</f>
        <v/>
      </c>
      <c r="M30" s="374" t="str">
        <f aca="false">IF(อัปเดตรายสัปดาห์!$J$8="Y","Y","")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Plan'!$H$8+(-75)</f>
        <v>46328</v>
      </c>
      <c r="J31" s="382" t="n">
        <f aca="false">'Master Plan'!$H$8+(-75)</f>
        <v>46328</v>
      </c>
      <c r="K31" s="387"/>
      <c r="L31" s="387"/>
      <c r="M31" s="383" t="str">
        <f aca="false">IF('อัปเดตงาน WBS'!$L$24="","",'อัปเดตงาน WBS'!$L$24)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Plan'!$H$8+(-75)</f>
        <v>46328</v>
      </c>
      <c r="J32" s="382" t="n">
        <f aca="false">'Master Plan'!$H$8+(-75)</f>
        <v>46328</v>
      </c>
      <c r="K32" s="387"/>
      <c r="L32" s="387"/>
      <c r="M32" s="383" t="str">
        <f aca="false">IF('อัปเดตงาน WBS'!$L$25="","",'อัปเดตงาน WBS'!$L$25)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Plan'!$H$8+(-75)</f>
        <v>46328</v>
      </c>
      <c r="J33" s="382" t="n">
        <f aca="false">'Master Plan'!$H$8+(-75)</f>
        <v>46328</v>
      </c>
      <c r="K33" s="387"/>
      <c r="L33" s="387"/>
      <c r="M33" s="383" t="str">
        <f aca="false">IF('อัปเดตงาน WBS'!$L$26="","",'อัปเดตงาน WBS'!$L$26)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45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Plan'!$H$8+(-68)</f>
        <v>46335</v>
      </c>
      <c r="J34" s="373" t="n">
        <f aca="false">'Master Plan'!$H$8+(-59)</f>
        <v>46344</v>
      </c>
      <c r="K34" s="78"/>
      <c r="L34" s="78" t="str">
        <f aca="false">IF(ISNUMBER(อัปเดตรายสัปดาห์!$K$8),อัปเดตรายสัปดาห์!$K$8,"")</f>
        <v/>
      </c>
      <c r="M34" s="374" t="str">
        <f aca="false">IF(อัปเดตรายสัปดาห์!$K$8="Y","Y","")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Plan'!$H$8+(-68)</f>
        <v>46335</v>
      </c>
      <c r="J35" s="382" t="n">
        <f aca="false">'Master Plan'!$H$8+(-64)</f>
        <v>46339</v>
      </c>
      <c r="K35" s="387"/>
      <c r="L35" s="387"/>
      <c r="M35" s="383" t="str">
        <f aca="false">IF('อัปเดตงาน WBS'!$L$27="","",'อัปเดตงาน WBS'!$L$27)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Plan'!$H$8+(-68)</f>
        <v>46335</v>
      </c>
      <c r="J36" s="382" t="n">
        <f aca="false">'Master Plan'!$H$8+(-63)</f>
        <v>46340</v>
      </c>
      <c r="K36" s="387"/>
      <c r="L36" s="387"/>
      <c r="M36" s="383" t="str">
        <f aca="false">IF('อัปเดตงาน WBS'!$L$28="","",'อัปเดตงาน WBS'!$L$28)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Plan'!$H$8+(-65)</f>
        <v>46338</v>
      </c>
      <c r="J37" s="382" t="n">
        <f aca="false">'Master Plan'!$H$8+(-62)</f>
        <v>46341</v>
      </c>
      <c r="K37" s="387"/>
      <c r="L37" s="387"/>
      <c r="M37" s="383" t="str">
        <f aca="false">IF('อัปเดตงาน WBS'!$L$29="","",'อัปเดตงาน WBS'!$L$29)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Plan'!$H$8+(-63)</f>
        <v>46340</v>
      </c>
      <c r="J38" s="382" t="n">
        <f aca="false">'Master Plan'!$H$8+(-59)</f>
        <v>46344</v>
      </c>
      <c r="K38" s="387"/>
      <c r="L38" s="387"/>
      <c r="M38" s="383" t="str">
        <f aca="false">IF('อัปเดตงาน WBS'!$L$30="","",'อัปเดตงาน WBS'!$L$30)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45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Plan'!$H$8+(-45)</f>
        <v>46358</v>
      </c>
      <c r="J39" s="373" t="n">
        <f aca="false">'Master Plan'!$H$8+(-45)</f>
        <v>46358</v>
      </c>
      <c r="K39" s="78"/>
      <c r="L39" s="78" t="str">
        <f aca="false">IF(ISNUMBER(อัปเดตรายสัปดาห์!$L$8),อัปเดตรายสัปดาห์!$L$8,"")</f>
        <v/>
      </c>
      <c r="M39" s="374" t="str">
        <f aca="false">IF(อัปเดตรายสัปดาห์!$L$8="Y","Y","")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Plan'!$H$8+(-45)</f>
        <v>46358</v>
      </c>
      <c r="J40" s="382" t="n">
        <f aca="false">'Master Plan'!$H$8+(-45)</f>
        <v>46358</v>
      </c>
      <c r="K40" s="387"/>
      <c r="L40" s="387"/>
      <c r="M40" s="383" t="str">
        <f aca="false">IF('อัปเดตงาน WBS'!$L$31="","",'อัปเดตงาน WBS'!$L$31)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Plan'!$H$8+(-45)</f>
        <v>46358</v>
      </c>
      <c r="J41" s="382" t="n">
        <f aca="false">'Master Plan'!$H$8+(-45)</f>
        <v>46358</v>
      </c>
      <c r="K41" s="387"/>
      <c r="L41" s="387"/>
      <c r="M41" s="383" t="str">
        <f aca="false">IF('อัปเดตงาน WBS'!$L$32="","",'อัปเดตงาน WBS'!$L$32)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Plan'!$H$8+(-45)</f>
        <v>46358</v>
      </c>
      <c r="J42" s="382" t="n">
        <f aca="false">'Master Plan'!$H$8+(-45)</f>
        <v>46358</v>
      </c>
      <c r="K42" s="387"/>
      <c r="L42" s="387"/>
      <c r="M42" s="383" t="str">
        <f aca="false">IF('อัปเดตงาน WBS'!$L$33="","",'อัปเดตงาน WBS'!$L$33)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Plan'!$H$8+(-68)</f>
        <v>46335</v>
      </c>
      <c r="J43" s="373" t="n">
        <f aca="false">'Master Plan'!$H$8+(-55)</f>
        <v>46348</v>
      </c>
      <c r="K43" s="78"/>
      <c r="L43" s="78" t="str">
        <f aca="false">IF(ISNUMBER(อัปเดตรายสัปดาห์!$M$8),อัปเดตรายสัปดาห์!$M$8,"")</f>
        <v/>
      </c>
      <c r="M43" s="374" t="str">
        <f aca="false">IF(อัปเดตรายสัปดาห์!$M$8="Y","Y","")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Plan'!$H$8+(-68)</f>
        <v>46335</v>
      </c>
      <c r="J44" s="382" t="n">
        <f aca="false">'Master Plan'!$H$8+(-65)</f>
        <v>46338</v>
      </c>
      <c r="K44" s="387"/>
      <c r="L44" s="387"/>
      <c r="M44" s="383" t="str">
        <f aca="false">IF('อัปเดตงาน WBS'!$L$34="","",'อัปเดตงาน WBS'!$L$34)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Plan'!$H$8+(-67)</f>
        <v>46336</v>
      </c>
      <c r="J45" s="382" t="n">
        <f aca="false">'Master Plan'!$H$8+(-62)</f>
        <v>46341</v>
      </c>
      <c r="K45" s="387"/>
      <c r="L45" s="387"/>
      <c r="M45" s="383" t="str">
        <f aca="false">IF('อัปเดตงาน WBS'!$L$35="","",'อัปเดตงาน WBS'!$L$35)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Plan'!$H$8+(-62)</f>
        <v>46341</v>
      </c>
      <c r="J46" s="382" t="n">
        <f aca="false">'Master Plan'!$H$8+(-55)</f>
        <v>46348</v>
      </c>
      <c r="K46" s="387"/>
      <c r="L46" s="387"/>
      <c r="M46" s="383" t="str">
        <f aca="false">IF('อัปเดตงาน WBS'!$L$36="","",'อัปเดตงาน WBS'!$L$36)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IF(ISNUMBER(อัปเดตรายสัปดาห์!$P$8),อัปเดตรายสัปดาห์!$P$8,"")</f>
        <v/>
      </c>
      <c r="M52" s="374" t="str">
        <f aca="false">IF(อัปเดตรายสัปดาห์!$P$8="Y","Y","")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WBS'!$L$37="","",'อัปเดตงาน WBS'!$L$37)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WBS'!$L$38="","",'อัปเดตงาน WBS'!$L$38)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Plan'!$H$8+(-12)</f>
        <v>46391</v>
      </c>
      <c r="J55" s="373" t="n">
        <f aca="false">'Master Plan'!$H$8+(-12)</f>
        <v>46391</v>
      </c>
      <c r="K55" s="78"/>
      <c r="L55" s="78" t="str">
        <f aca="false">IF(ISNUMBER(อัปเดตรายสัปดาห์!$Q$8),อัปเดตรายสัปดาห์!$Q$8,"")</f>
        <v/>
      </c>
      <c r="M55" s="374" t="str">
        <f aca="false">IF(อัปเดตรายสัปดาห์!$Q$8="Y","Y","")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Plan'!$AC$8)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IF(ISNUMBER(อัปเดตรายสัปดาห์!$R$8),อัปเดตรายสัปดาห์!$R$8,"")</f>
        <v/>
      </c>
      <c r="M56" s="374" t="str">
        <f aca="false">IF(อัปเดตรายสัปดาห์!$R$8="Y","Y","")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Plan'!$H$8+(-11)</f>
        <v>46392</v>
      </c>
      <c r="J57" s="373" t="n">
        <f aca="false">'Master Plan'!$H$8+(9)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IF(ISNUMBER(อัปเดตรายสัปดาห์!$S$8),อัปเดตรายสัปดาห์!$S$8,"")</f>
        <v/>
      </c>
      <c r="M57" s="374" t="str">
        <f aca="false">IF(อัปเดตรายสัปดาห์!$S$8="Y","Y","")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Plan'!$AD$8)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Plan'!$H$8+(10)</f>
        <v>46413</v>
      </c>
      <c r="J58" s="373" t="n">
        <f aca="false">'Master Plan'!$H$8+(16)</f>
        <v>46419</v>
      </c>
      <c r="K58" s="78"/>
      <c r="L58" s="78" t="str">
        <f aca="false">IF(ISNUMBER(อัปเดตรายสัปดาห์!$T$8),อัปเดตรายสัปดาห์!$T$8,"")</f>
        <v/>
      </c>
      <c r="M58" s="374" t="str">
        <f aca="false">IF(อัปเดตรายสัปดาห์!$T$8="Y","Y","")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Plan'!$AE$8)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Plan'!$H$8+(17)</f>
        <v>46420</v>
      </c>
      <c r="J59" s="373" t="n">
        <f aca="false">'Master Plan'!$H$8+(17)</f>
        <v>46420</v>
      </c>
      <c r="K59" s="78"/>
      <c r="L59" s="78" t="str">
        <f aca="false">IF(ISNUMBER(อัปเดตรายสัปดาห์!$U$8),อัปเดตรายสัปดาห์!$U$8,"")</f>
        <v/>
      </c>
      <c r="M59" s="374" t="str">
        <f aca="false">IF(อัปเดตรายสัปดาห์!$U$8="Y","Y","")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Plan'!$AF$8)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45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Plan'!$H$8+(18)</f>
        <v>46421</v>
      </c>
      <c r="J60" s="373" t="n">
        <f aca="false">'Master Plan'!$H$8+(33)</f>
        <v>46436</v>
      </c>
      <c r="K60" s="78"/>
      <c r="L60" s="78" t="str">
        <f aca="false">IF(ISNUMBER(อัปเดตรายสัปดาห์!$V$8),อัปเดตรายสัปดาห์!$V$8,"")</f>
        <v/>
      </c>
      <c r="M60" s="374" t="str">
        <f aca="false">IF(อัปเดตรายสัปดาห์!$V$8="Y","Y","")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Plan'!$AH$8)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3498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Plan'!$H$8+(-42)</f>
        <v>46361</v>
      </c>
      <c r="J62" s="373" t="n">
        <f aca="false">'Master Plan'!$H$8+(-25)</f>
        <v>46378</v>
      </c>
      <c r="K62" s="78"/>
      <c r="L62" s="78" t="str">
        <f aca="false">IF(ISNUMBER(อัปเดตรายสัปดาห์!$W$8),อัปเดตรายสัปดาห์!$W$8,"")</f>
        <v/>
      </c>
      <c r="M62" s="374" t="str">
        <f aca="false">IF(อัปเดตรายสัปดาห์!$W$8="Y","Y","")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-001",SITE_TYPE,"?*")&gt;0,MIN(1,SUMPRODUCT((SITE_ST="P9-001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Plan'!$H$8+(-42)</f>
        <v>46361</v>
      </c>
      <c r="J63" s="382" t="n">
        <f aca="false">'Master Plan'!$H$8+(-40)</f>
        <v>46363</v>
      </c>
      <c r="K63" s="387"/>
      <c r="L63" s="387"/>
      <c r="M63" s="383" t="str">
        <f aca="false">IF('อัปเดตงาน WBS'!$L$39="","",'อัปเดตงาน WBS'!$L$39)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Plan'!$H$8+(-42)</f>
        <v>46361</v>
      </c>
      <c r="J64" s="382" t="n">
        <f aca="false">'Master Plan'!$H$8+(-39)</f>
        <v>46364</v>
      </c>
      <c r="K64" s="387"/>
      <c r="L64" s="387"/>
      <c r="M64" s="383" t="str">
        <f aca="false">IF('อัปเดตงาน WBS'!$L$40="","",'อัปเดตงาน WBS'!$L$40)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Plan'!$H$8+(-40)</f>
        <v>46363</v>
      </c>
      <c r="J65" s="382" t="n">
        <f aca="false">'Master Plan'!$H$8+(-34)</f>
        <v>46369</v>
      </c>
      <c r="K65" s="387"/>
      <c r="L65" s="387"/>
      <c r="M65" s="383" t="str">
        <f aca="false">IF('อัปเดตงาน WBS'!$L$41="","",'อัปเดตงาน WBS'!$L$41)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Plan'!$H$8+(-35)</f>
        <v>46368</v>
      </c>
      <c r="J66" s="382" t="n">
        <f aca="false">'Master Plan'!$H$8+(-28)</f>
        <v>46375</v>
      </c>
      <c r="K66" s="387"/>
      <c r="L66" s="387"/>
      <c r="M66" s="383" t="str">
        <f aca="false">IF('อัปเดตงาน WBS'!$L$42="","",'อัปเดตงาน WBS'!$L$42)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Plan'!$H$8+(-32)</f>
        <v>46371</v>
      </c>
      <c r="J67" s="382" t="n">
        <f aca="false">'Master Plan'!$H$8+(-26)</f>
        <v>46377</v>
      </c>
      <c r="K67" s="387"/>
      <c r="L67" s="387"/>
      <c r="M67" s="383" t="str">
        <f aca="false">IF('อัปเดตงาน WBS'!$L$43="","",'อัปเดตงาน WBS'!$L$43)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Plan'!$H$8+(-28)</f>
        <v>46375</v>
      </c>
      <c r="J68" s="382" t="n">
        <f aca="false">'Master Plan'!$H$8+(-25)</f>
        <v>46378</v>
      </c>
      <c r="K68" s="387"/>
      <c r="L68" s="387"/>
      <c r="M68" s="383" t="str">
        <f aca="false">IF('อัปเดตงาน WBS'!$L$44="","",'อัปเดตงาน WBS'!$L$44)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Plan'!$H$8+(-26)</f>
        <v>46377</v>
      </c>
      <c r="J69" s="382" t="n">
        <f aca="false">'Master Plan'!$H$8+(-25)</f>
        <v>46378</v>
      </c>
      <c r="K69" s="387"/>
      <c r="L69" s="387"/>
      <c r="M69" s="383" t="str">
        <f aca="false">IF('อัปเดตงาน WBS'!$L$45="","",'อัปเดตงาน WBS'!$L$45)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3498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Plan'!$H$8+(-24)</f>
        <v>46379</v>
      </c>
      <c r="J70" s="373" t="n">
        <f aca="false">'Master Plan'!$H$8+(-15)</f>
        <v>46388</v>
      </c>
      <c r="K70" s="78"/>
      <c r="L70" s="78" t="str">
        <f aca="false">IF(ISNUMBER(อัปเดตรายสัปดาห์!$X$8),อัปเดตรายสัปดาห์!$X$8,"")</f>
        <v/>
      </c>
      <c r="M70" s="374" t="str">
        <f aca="false">IF(อัปเดตรายสัปดาห์!$X$8="Y","Y","")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-001",SITE_TYPE,"?*")&gt;0,MIN(1,SUMPRODUCT((SITE_ST="P9-001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Plan'!$H$8+(-24)</f>
        <v>46379</v>
      </c>
      <c r="J71" s="382" t="n">
        <f aca="false">'Master Plan'!$H$8+(-20)</f>
        <v>46383</v>
      </c>
      <c r="K71" s="387"/>
      <c r="L71" s="387"/>
      <c r="M71" s="383" t="str">
        <f aca="false">IF('อัปเดตงาน WBS'!$L$46="","",'อัปเดตงาน WBS'!$L$46)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Plan'!$H$8+(-22)</f>
        <v>46381</v>
      </c>
      <c r="J72" s="382" t="n">
        <f aca="false">'Master Plan'!$H$8+(-17)</f>
        <v>46386</v>
      </c>
      <c r="K72" s="387"/>
      <c r="L72" s="387"/>
      <c r="M72" s="383" t="str">
        <f aca="false">IF('อัปเดตงาน WBS'!$L$47="","",'อัปเดตงาน WBS'!$L$47)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Plan'!$H$8+(-21)</f>
        <v>46382</v>
      </c>
      <c r="J73" s="382" t="n">
        <f aca="false">'Master Plan'!$H$8+(-17)</f>
        <v>46386</v>
      </c>
      <c r="K73" s="387"/>
      <c r="L73" s="387"/>
      <c r="M73" s="383" t="str">
        <f aca="false">IF('อัปเดตงาน WBS'!$L$48="","",'อัปเดตงาน WBS'!$L$48)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Plan'!$H$8+(-20)</f>
        <v>46383</v>
      </c>
      <c r="J74" s="382" t="n">
        <f aca="false">'Master Plan'!$H$8+(-15)</f>
        <v>46388</v>
      </c>
      <c r="K74" s="387"/>
      <c r="L74" s="387"/>
      <c r="M74" s="383" t="str">
        <f aca="false">IF('อัปเดตงาน WBS'!$L$49="","",'อัปเดตงาน WBS'!$L$49)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Plan'!$H$8+(-17)</f>
        <v>46386</v>
      </c>
      <c r="J75" s="382" t="n">
        <f aca="false">'Master Plan'!$H$8+(-15)</f>
        <v>46388</v>
      </c>
      <c r="K75" s="387"/>
      <c r="L75" s="387"/>
      <c r="M75" s="383" t="str">
        <f aca="false">IF('อัปเดตงาน WBS'!$L$50="","",'อัปเดตงาน WBS'!$L$50)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3498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Plan'!$H$8+(-24)</f>
        <v>46379</v>
      </c>
      <c r="J76" s="373" t="n">
        <f aca="false">'Master Plan'!$H$8+(-15)</f>
        <v>46388</v>
      </c>
      <c r="K76" s="78"/>
      <c r="L76" s="78" t="str">
        <f aca="false">IF(ISNUMBER(อัปเดตรายสัปดาห์!$Y$8),อัปเดตรายสัปดาห์!$Y$8,"")</f>
        <v/>
      </c>
      <c r="M76" s="374" t="str">
        <f aca="false">IF(อัปเดตรายสัปดาห์!$Y$8="Y","Y","")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-001",SITE_TYPE,"?*")&gt;0,MIN(1,SUMPRODUCT((SITE_ST="P9-001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Plan'!$H$8+(-24)</f>
        <v>46379</v>
      </c>
      <c r="J77" s="382" t="n">
        <f aca="false">'Master Plan'!$H$8+(-21)</f>
        <v>46382</v>
      </c>
      <c r="K77" s="387"/>
      <c r="L77" s="387"/>
      <c r="M77" s="383" t="str">
        <f aca="false">IF('อัปเดตงาน WBS'!$L$51="","",'อัปเดตงาน WBS'!$L$51)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Plan'!$H$8+(-23)</f>
        <v>46380</v>
      </c>
      <c r="J78" s="382" t="n">
        <f aca="false">'Master Plan'!$H$8+(-16)</f>
        <v>46387</v>
      </c>
      <c r="K78" s="387"/>
      <c r="L78" s="387"/>
      <c r="M78" s="383" t="str">
        <f aca="false">IF('อัปเดตงาน WBS'!$L$52="","",'อัปเดตงาน WBS'!$L$52)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Plan'!$H$8+(-20)</f>
        <v>46383</v>
      </c>
      <c r="J79" s="382" t="n">
        <f aca="false">'Master Plan'!$H$8+(-15)</f>
        <v>46388</v>
      </c>
      <c r="K79" s="387"/>
      <c r="L79" s="387"/>
      <c r="M79" s="383" t="str">
        <f aca="false">IF('อัปเดตงาน WBS'!$L$53="","",'อัปเดตงาน WBS'!$L$53)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Plan'!$H$8+(-17)</f>
        <v>46386</v>
      </c>
      <c r="J80" s="382" t="n">
        <f aca="false">'Master Plan'!$H$8+(-15)</f>
        <v>46388</v>
      </c>
      <c r="K80" s="387"/>
      <c r="L80" s="387"/>
      <c r="M80" s="383" t="str">
        <f aca="false">IF('อัปเดตงาน WBS'!$L$54="","",'อัปเดตงาน WBS'!$L$54)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Plan'!$H$8+(-15)</f>
        <v>46388</v>
      </c>
      <c r="J81" s="382" t="n">
        <f aca="false">'Master Plan'!$H$8+(-15)</f>
        <v>46388</v>
      </c>
      <c r="K81" s="387"/>
      <c r="L81" s="387"/>
      <c r="M81" s="383" t="str">
        <f aca="false">IF('อัปเดตงาน WBS'!$L$55="","",'อัปเดตงาน WBS'!$L$55)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3498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Plan'!$H$8+(-21)</f>
        <v>46382</v>
      </c>
      <c r="J82" s="373" t="n">
        <f aca="false">'Master Plan'!$H$8+(-18)</f>
        <v>46385</v>
      </c>
      <c r="K82" s="78"/>
      <c r="L82" s="78" t="str">
        <f aca="false">IF(ISNUMBER(อัปเดตรายสัปดาห์!$Z$8),อัปเดตรายสัปดาห์!$Z$8,"")</f>
        <v/>
      </c>
      <c r="M82" s="374" t="str">
        <f aca="false">IF(อัปเดตรายสัปดาห์!$Z$8="Y","Y","")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Plan'!$H$8+(-21)</f>
        <v>46382</v>
      </c>
      <c r="J83" s="382" t="n">
        <f aca="false">'Master Plan'!$H$8+(-19)</f>
        <v>46384</v>
      </c>
      <c r="K83" s="387"/>
      <c r="L83" s="387"/>
      <c r="M83" s="383" t="str">
        <f aca="false">IF('อัปเดตงาน WBS'!$L$56="","",'อัปเดตงาน WBS'!$L$56)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Plan'!$H$8+(-20)</f>
        <v>46383</v>
      </c>
      <c r="J84" s="382" t="n">
        <f aca="false">'Master Plan'!$H$8+(-18)</f>
        <v>46385</v>
      </c>
      <c r="K84" s="387"/>
      <c r="L84" s="387"/>
      <c r="M84" s="383" t="str">
        <f aca="false">IF('อัปเดตงาน WBS'!$L$57="","",'อัปเดตงาน WBS'!$L$57)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3498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Plan'!$H$8+(-25)</f>
        <v>46378</v>
      </c>
      <c r="J85" s="373" t="n">
        <f aca="false">'Master Plan'!$H$8+(-17)</f>
        <v>46386</v>
      </c>
      <c r="K85" s="78"/>
      <c r="L85" s="78" t="str">
        <f aca="false">IF(ISNUMBER(อัปเดตรายสัปดาห์!$AA$8),อัปเดตรายสัปดาห์!$AA$8,"")</f>
        <v/>
      </c>
      <c r="M85" s="374" t="str">
        <f aca="false">IF(อัปเดตรายสัปดาห์!$AA$8="Y","Y","")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Plan'!$H$8+(-25)</f>
        <v>46378</v>
      </c>
      <c r="J86" s="382" t="n">
        <f aca="false">'Master Plan'!$H$8+(-21)</f>
        <v>46382</v>
      </c>
      <c r="K86" s="387"/>
      <c r="L86" s="387"/>
      <c r="M86" s="383" t="str">
        <f aca="false">IF('อัปเดตงาน WBS'!$L$58="","",'อัปเดตงาน WBS'!$L$58)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Plan'!$H$8+(-22)</f>
        <v>46381</v>
      </c>
      <c r="J87" s="382" t="n">
        <f aca="false">'Master Plan'!$H$8+(-18)</f>
        <v>46385</v>
      </c>
      <c r="K87" s="387"/>
      <c r="L87" s="387"/>
      <c r="M87" s="383" t="str">
        <f aca="false">IF('อัปเดตงาน WBS'!$L$59="","",'อัปเดตงาน WBS'!$L$59)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Plan'!$H$8+(-20)</f>
        <v>46383</v>
      </c>
      <c r="J88" s="382" t="n">
        <f aca="false">'Master Plan'!$H$8+(-17)</f>
        <v>46386</v>
      </c>
      <c r="K88" s="387"/>
      <c r="L88" s="387"/>
      <c r="M88" s="383" t="str">
        <f aca="false">IF('อัปเดตงาน WBS'!$L$60="","",'อัปเดตงาน WBS'!$L$60)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Plan'!$H$8+(-18)</f>
        <v>46385</v>
      </c>
      <c r="J89" s="382" t="n">
        <f aca="false">'Master Plan'!$H$8+(-17)</f>
        <v>46386</v>
      </c>
      <c r="K89" s="387"/>
      <c r="L89" s="387"/>
      <c r="M89" s="383" t="str">
        <f aca="false">IF('อัปเดตงาน WBS'!$L$61="","",'อัปเดตงาน WBS'!$L$61)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3498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Plan'!$H$8+(-25)</f>
        <v>46378</v>
      </c>
      <c r="J90" s="373" t="n">
        <f aca="false">'Master Plan'!$H$8+(-16)</f>
        <v>46387</v>
      </c>
      <c r="K90" s="78"/>
      <c r="L90" s="78" t="str">
        <f aca="false">IF(ISNUMBER(อัปเดตรายสัปดาห์!$AB$8),อัปเดตรายสัปดาห์!$AB$8,"")</f>
        <v/>
      </c>
      <c r="M90" s="374" t="str">
        <f aca="false">IF(อัปเดตรายสัปดาห์!$AB$8="Y","Y","")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Plan'!$H$8+(-25)</f>
        <v>46378</v>
      </c>
      <c r="J91" s="382" t="n">
        <f aca="false">'Master Plan'!$H$8+(-20)</f>
        <v>46383</v>
      </c>
      <c r="K91" s="387"/>
      <c r="L91" s="387"/>
      <c r="M91" s="383" t="str">
        <f aca="false">IF('อัปเดตงาน WBS'!$L$62="","",'อัปเดตงาน WBS'!$L$62)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Plan'!$H$8+(-20)</f>
        <v>46383</v>
      </c>
      <c r="J92" s="382" t="n">
        <f aca="false">'Master Plan'!$H$8+(-16)</f>
        <v>46387</v>
      </c>
      <c r="K92" s="387"/>
      <c r="L92" s="387"/>
      <c r="M92" s="383" t="str">
        <f aca="false">IF('อัปเดตงาน WBS'!$L$63="","",'อัปเดตงาน WBS'!$L$63)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Plan'!$H$8+(-25)</f>
        <v>46378</v>
      </c>
      <c r="J93" s="382" t="n">
        <f aca="false">'Master Plan'!$H$8+(-21)</f>
        <v>46382</v>
      </c>
      <c r="K93" s="387"/>
      <c r="L93" s="387"/>
      <c r="M93" s="383" t="str">
        <f aca="false">IF('อัปเดตงาน WBS'!$L$64="","",'อัปเดตงาน WBS'!$L$64)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Plan'!$H$8+(-21)</f>
        <v>46382</v>
      </c>
      <c r="J94" s="382" t="n">
        <f aca="false">'Master Plan'!$H$8+(-16)</f>
        <v>46387</v>
      </c>
      <c r="K94" s="387"/>
      <c r="L94" s="387"/>
      <c r="M94" s="383" t="str">
        <f aca="false">IF('อัปเดตงาน WBS'!$L$65="","",'อัปเดตงาน WBS'!$L$65)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Plan'!$H$8+(-17)</f>
        <v>46386</v>
      </c>
      <c r="J95" s="382" t="n">
        <f aca="false">'Master Plan'!$H$8+(-16)</f>
        <v>46387</v>
      </c>
      <c r="K95" s="387"/>
      <c r="L95" s="387"/>
      <c r="M95" s="383" t="str">
        <f aca="false">IF('อัปเดตงาน WBS'!$L$66="","",'อัปเดตงาน WBS'!$L$66)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3498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Plan'!$H$8+(-22)</f>
        <v>46381</v>
      </c>
      <c r="J96" s="373" t="n">
        <f aca="false">'Master Plan'!$H$8+(-16)</f>
        <v>46387</v>
      </c>
      <c r="K96" s="78"/>
      <c r="L96" s="78" t="str">
        <f aca="false">IF(ISNUMBER(อัปเดตรายสัปดาห์!$AC$8),อัปเดตรายสัปดาห์!$AC$8,"")</f>
        <v/>
      </c>
      <c r="M96" s="374" t="str">
        <f aca="false">IF(อัปเดตรายสัปดาห์!$AC$8="Y","Y","")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Plan'!$H$8+(-22)</f>
        <v>46381</v>
      </c>
      <c r="J97" s="382" t="n">
        <f aca="false">'Master Plan'!$H$8+(-17)</f>
        <v>46386</v>
      </c>
      <c r="K97" s="387"/>
      <c r="L97" s="387"/>
      <c r="M97" s="383" t="str">
        <f aca="false">IF('อัปเดตงาน WBS'!$L$67="","",'อัปเดตงาน WBS'!$L$67)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Plan'!$H$8+(-20)</f>
        <v>46383</v>
      </c>
      <c r="J98" s="382" t="n">
        <f aca="false">'Master Plan'!$H$8+(-16)</f>
        <v>46387</v>
      </c>
      <c r="K98" s="387"/>
      <c r="L98" s="387"/>
      <c r="M98" s="383" t="str">
        <f aca="false">IF('อัปเดตงาน WBS'!$L$68="","",'อัปเดตงาน WBS'!$L$68)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Plan'!$H$8+(-17)</f>
        <v>46386</v>
      </c>
      <c r="J99" s="382" t="n">
        <f aca="false">'Master Plan'!$H$8+(-16)</f>
        <v>46387</v>
      </c>
      <c r="K99" s="387"/>
      <c r="L99" s="387"/>
      <c r="M99" s="383" t="str">
        <f aca="false">IF('อัปเดตงาน WBS'!$L$69="","",'อัปเดตงาน WBS'!$L$69)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3498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Plan'!$H$8+(-20)</f>
        <v>46383</v>
      </c>
      <c r="J100" s="373" t="n">
        <f aca="false">'Master Plan'!$H$8+(-15)</f>
        <v>46388</v>
      </c>
      <c r="K100" s="78"/>
      <c r="L100" s="78" t="str">
        <f aca="false">IF(ISNUMBER(อัปเดตรายสัปดาห์!$AD$8),อัปเดตรายสัปดาห์!$AD$8,"")</f>
        <v/>
      </c>
      <c r="M100" s="374" t="str">
        <f aca="false">IF(อัปเดตรายสัปดาห์!$AD$8="Y","Y","")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Plan'!$H$8+(-20)</f>
        <v>46383</v>
      </c>
      <c r="J101" s="382" t="n">
        <f aca="false">'Master Plan'!$H$8+(-19)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Plan'!$H$8+(-19)</f>
        <v>46384</v>
      </c>
      <c r="J102" s="382" t="n">
        <f aca="false">'Master Plan'!$H$8+(-16)</f>
        <v>46387</v>
      </c>
      <c r="K102" s="387"/>
      <c r="L102" s="387"/>
      <c r="M102" s="383" t="str">
        <f aca="false">IF('อัปเดตงาน WBS'!$L$70="","",'อัปเดตงาน WBS'!$L$70)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Plan'!$H$8+(-18)</f>
        <v>46385</v>
      </c>
      <c r="J104" s="382" t="n">
        <f aca="false">'Master Plan'!$H$8+(-16)</f>
        <v>46387</v>
      </c>
      <c r="K104" s="387"/>
      <c r="L104" s="387"/>
      <c r="M104" s="383" t="str">
        <f aca="false">IF('อัปเดตงาน WBS'!$L$71="","",'อัปเดตงาน WBS'!$L$71)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Plan'!$H$8+(-18)</f>
        <v>46385</v>
      </c>
      <c r="J105" s="382" t="n">
        <f aca="false">'Master Plan'!$H$8+(-15)</f>
        <v>46388</v>
      </c>
      <c r="K105" s="387"/>
      <c r="L105" s="387"/>
      <c r="M105" s="383" t="str">
        <f aca="false">IF('อัปเดตงาน WBS'!$L$72="","",'อัปเดตงาน WBS'!$L$72)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Plan'!$H$8+(-16)</f>
        <v>46387</v>
      </c>
      <c r="J106" s="382" t="n">
        <f aca="false">'Master Plan'!$H$8+(-15)</f>
        <v>46388</v>
      </c>
      <c r="K106" s="387"/>
      <c r="L106" s="387"/>
      <c r="M106" s="383" t="str">
        <f aca="false">IF('อัปเดตงาน WBS'!$L$73="","",'อัปเดตงาน WBS'!$L$73)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3498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Plan'!$H$8+(-18)</f>
        <v>46385</v>
      </c>
      <c r="J107" s="373" t="n">
        <f aca="false">'Master Plan'!$H$8+(-14)</f>
        <v>46389</v>
      </c>
      <c r="K107" s="78"/>
      <c r="L107" s="78" t="str">
        <f aca="false">IF(ISNUMBER(อัปเดตรายสัปดาห์!$AE$8),อัปเดตรายสัปดาห์!$AE$8,"")</f>
        <v/>
      </c>
      <c r="M107" s="374" t="str">
        <f aca="false">IF(อัปเดตรายสัปดาห์!$AE$8="Y","Y","")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Plan'!$H$8+(-18)</f>
        <v>46385</v>
      </c>
      <c r="J108" s="382" t="n">
        <f aca="false">'Master Plan'!$H$8+(-15)</f>
        <v>46388</v>
      </c>
      <c r="K108" s="387"/>
      <c r="L108" s="387"/>
      <c r="M108" s="383" t="str">
        <f aca="false">IF('อัปเดตงาน WBS'!$L$74="","",'อัปเดตงาน WBS'!$L$74)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Plan'!$H$8+(-16)</f>
        <v>46387</v>
      </c>
      <c r="J109" s="382" t="n">
        <f aca="false">'Master Plan'!$H$8+(-14)</f>
        <v>46389</v>
      </c>
      <c r="K109" s="387"/>
      <c r="L109" s="387"/>
      <c r="M109" s="383" t="str">
        <f aca="false">IF('อัปเดตงาน WBS'!$L$75="","",'อัปเดตงาน WBS'!$L$75)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Plan'!$H$8+(-17)</f>
        <v>46386</v>
      </c>
      <c r="J110" s="382" t="n">
        <f aca="false">'Master Plan'!$H$8+(-15)</f>
        <v>46388</v>
      </c>
      <c r="K110" s="387"/>
      <c r="L110" s="387"/>
      <c r="M110" s="383" t="str">
        <f aca="false">IF('อัปเดตงาน WBS'!$L$76="","",'อัปเดตงาน WBS'!$L$76)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45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Plan'!$H$8+(-13)</f>
        <v>46390</v>
      </c>
      <c r="J111" s="373" t="n">
        <f aca="false">'Master Plan'!$H$8+(-13)</f>
        <v>46390</v>
      </c>
      <c r="K111" s="78"/>
      <c r="L111" s="78" t="str">
        <f aca="false">IF(ISNUMBER(อัปเดตรายสัปดาห์!$AF$8),อัปเดตรายสัปดาห์!$AF$8,"")</f>
        <v/>
      </c>
      <c r="M111" s="374" t="str">
        <f aca="false">IF(อัปเดตรายสัปดาห์!$AF$8="Y","Y","")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Plan'!$Y$8)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Plan'!$H$8+(-13)</f>
        <v>46390</v>
      </c>
      <c r="J112" s="382" t="n">
        <f aca="false">'Master Plan'!$H$8+(-13)</f>
        <v>46390</v>
      </c>
      <c r="K112" s="387"/>
      <c r="L112" s="387"/>
      <c r="M112" s="383" t="str">
        <f aca="false">IF('อัปเดตงาน WBS'!$L$77="","",'อัปเดตงาน WBS'!$L$77)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Plan'!$H$8+(-13)</f>
        <v>46390</v>
      </c>
      <c r="J113" s="382" t="n">
        <f aca="false">'Master Plan'!$H$8+(-13)</f>
        <v>46390</v>
      </c>
      <c r="K113" s="387"/>
      <c r="L113" s="387"/>
      <c r="M113" s="383" t="str">
        <f aca="false">IF('อัปเดตงาน WBS'!$L$78="","",'อัปเดตงาน WBS'!$L$78)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3498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Plan'!$H$8+(-12)</f>
        <v>46391</v>
      </c>
      <c r="J115" s="373" t="n">
        <f aca="false">'Master Plan'!$H$8+(-10)</f>
        <v>46393</v>
      </c>
      <c r="K115" s="78"/>
      <c r="L115" s="78" t="str">
        <f aca="false">IF(ISNUMBER(อัปเดตรายสัปดาห์!$AG$8),อัปเดตรายสัปดาห์!$AG$8,"")</f>
        <v/>
      </c>
      <c r="M115" s="374" t="str">
        <f aca="false">IF(อัปเดตรายสัปดาห์!$AG$8="Y","Y","")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Plan'!$AA$8)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Plan'!$H$8+(-12)</f>
        <v>46391</v>
      </c>
      <c r="J116" s="382" t="n">
        <f aca="false">'Master Plan'!$H$8+(-12)</f>
        <v>46391</v>
      </c>
      <c r="K116" s="387"/>
      <c r="L116" s="387"/>
      <c r="M116" s="383" t="str">
        <f aca="false">IF('อัปเดตงาน WBS'!$L$79="","",'อัปเดตงาน WBS'!$L$79)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Plan'!$H$8+(-12)</f>
        <v>46391</v>
      </c>
      <c r="J117" s="382" t="n">
        <f aca="false">'Master Plan'!$H$8+(-11)</f>
        <v>46392</v>
      </c>
      <c r="K117" s="387"/>
      <c r="L117" s="387"/>
      <c r="M117" s="383" t="str">
        <f aca="false">IF('อัปเดตงาน WBS'!$L$80="","",'อัปเดตงาน WBS'!$L$80)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Plan'!$H$8+(-11)</f>
        <v>46392</v>
      </c>
      <c r="J118" s="382" t="n">
        <f aca="false">'Master Plan'!$H$8+(-11)</f>
        <v>46392</v>
      </c>
      <c r="K118" s="387"/>
      <c r="L118" s="387"/>
      <c r="M118" s="383" t="str">
        <f aca="false">IF('อัปเดตงาน WBS'!$L$81="","",'อัปเดตงาน WBS'!$L$81)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Plan'!$H$8+(-11)</f>
        <v>46392</v>
      </c>
      <c r="J119" s="382" t="n">
        <f aca="false">'Master Plan'!$H$8+(-11)</f>
        <v>46392</v>
      </c>
      <c r="K119" s="387"/>
      <c r="L119" s="387"/>
      <c r="M119" s="383" t="str">
        <f aca="false">IF('อัปเดตงาน WBS'!$L$82="","",'อัปเดตงาน WBS'!$L$82)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Plan'!$H$8+(-11)</f>
        <v>46392</v>
      </c>
      <c r="J120" s="382" t="n">
        <f aca="false">'Master Plan'!$H$8+(-10)</f>
        <v>46393</v>
      </c>
      <c r="K120" s="387"/>
      <c r="L120" s="387"/>
      <c r="M120" s="383" t="str">
        <f aca="false">IF('อัปเดตงาน WBS'!$L$83="","",'อัปเดตงาน WBS'!$L$83)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Plan'!$H$8+(-11)</f>
        <v>46392</v>
      </c>
      <c r="J121" s="382" t="n">
        <f aca="false">'Master Plan'!$H$8+(-10)</f>
        <v>46393</v>
      </c>
      <c r="K121" s="387"/>
      <c r="L121" s="387"/>
      <c r="M121" s="383" t="str">
        <f aca="false">IF('อัปเดตงาน WBS'!$L$84="","",'อัปเดตงาน WBS'!$L$84)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45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Plan'!$H$8+(-10)</f>
        <v>46393</v>
      </c>
      <c r="J122" s="373" t="n">
        <f aca="false">'Master Plan'!$H$8+(-10)</f>
        <v>46393</v>
      </c>
      <c r="K122" s="78"/>
      <c r="L122" s="78" t="str">
        <f aca="false">IF(ISNUMBER(อัปเดตรายสัปดาห์!$AH$8),อัปเดตรายสัปดาห์!$AH$8,"")</f>
        <v/>
      </c>
      <c r="M122" s="374" t="str">
        <f aca="false">IF(อัปเดตรายสัปดาห์!$AH$8="Y","Y","")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Plan'!$Z$8)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45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Plan'!$H$8+(-12)</f>
        <v>46391</v>
      </c>
      <c r="J123" s="373" t="n">
        <f aca="false">'Master Plan'!$H$8+(-8)</f>
        <v>46395</v>
      </c>
      <c r="K123" s="78" t="str">
        <f aca="false">IF(ISNUMBER(อัปเดตรายสัปดาห์!$AI$8),อัปเดตรายสัปดาห์!$AI$8,"")</f>
        <v/>
      </c>
      <c r="L123" s="78" t="str">
        <f aca="false">IF(ISNUMBER(อัปเดตรายสัปดาห์!$AJ$8),อัปเดตรายสัปดาห์!$AJ$8,"")</f>
        <v/>
      </c>
      <c r="M123" s="374" t="str">
        <f aca="false">IF(อัปเดตรายสัปดาห์!$AJ$8="Y","Y","")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45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Plan'!$H$8+(37)</f>
        <v>46440</v>
      </c>
      <c r="J124" s="373" t="n">
        <f aca="false">'Master Plan'!$H$8+(50)</f>
        <v>46453</v>
      </c>
      <c r="K124" s="78"/>
      <c r="L124" s="78" t="str">
        <f aca="false">IF(ISNUMBER(อัปเดตรายสัปดาห์!$AK$8),อัปเดตรายสัปดาห์!$AK$8,"")</f>
        <v/>
      </c>
      <c r="M124" s="374" t="str">
        <f aca="false">IF(อัปเดตรายสัปดาห์!$AK$8="Y","Y","")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Plan'!$H$8+(37)</f>
        <v>46440</v>
      </c>
      <c r="J125" s="382" t="n">
        <f aca="false">'Master Plan'!$H$8+(41)</f>
        <v>46444</v>
      </c>
      <c r="K125" s="387"/>
      <c r="L125" s="387"/>
      <c r="M125" s="383" t="str">
        <f aca="false">IF('อัปเดตงาน WBS'!$L$85="","",'อัปเดตงาน WBS'!$L$85)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Plan'!$H$8+(40)</f>
        <v>46443</v>
      </c>
      <c r="J126" s="382" t="n">
        <f aca="false">'Master Plan'!$H$8+(47)</f>
        <v>46450</v>
      </c>
      <c r="K126" s="387"/>
      <c r="L126" s="387"/>
      <c r="M126" s="383" t="str">
        <f aca="false">IF('อัปเดตงาน WBS'!$L$86="","",'อัปเดตงาน WBS'!$L$86)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Plan'!$H$8+(47)</f>
        <v>46450</v>
      </c>
      <c r="J127" s="382" t="n">
        <f aca="false">'Master Plan'!$H$8+(50)</f>
        <v>46453</v>
      </c>
      <c r="K127" s="387"/>
      <c r="L127" s="387"/>
      <c r="M127" s="383" t="str">
        <f aca="false">IF('อัปเดตงาน WBS'!$L$87="","",'อัปเดตงาน WBS'!$L$87)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3498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Plan'!$H$8+(0)</f>
        <v>46403</v>
      </c>
      <c r="J128" s="373" t="n">
        <f aca="false">'Master Plan'!$H$8+(0)</f>
        <v>46403</v>
      </c>
      <c r="K128" s="78"/>
      <c r="L128" s="78" t="str">
        <f aca="false">IF(ISNUMBER(อัปเดตรายสัปดาห์!$AL$8),อัปเดตรายสัปดาห์!$AL$8,"")</f>
        <v/>
      </c>
      <c r="M128" s="374" t="str">
        <f aca="false">IF(อัปเดตรายสัปดาห์!$AL$8="Y","Y","")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Plan'!$AB$8)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Plan'!$H$8+(0)</f>
        <v>46403</v>
      </c>
      <c r="J129" s="373" t="n">
        <f aca="false">'Master Plan'!$H$8+(0)</f>
        <v>46403</v>
      </c>
      <c r="K129" s="78"/>
      <c r="L129" s="78" t="str">
        <f aca="false">IF(ISNUMBER(อัปเดตรายสัปดาห์!$AM$8),อัปเดตรายสัปดาห์!$AM$8,"")</f>
        <v/>
      </c>
      <c r="M129" s="374" t="str">
        <f aca="false">IF(อัปเดตรายสัปดาห์!$AM$8="Y","Y","")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Plan'!$H$8+(0)</f>
        <v>46403</v>
      </c>
      <c r="J130" s="373" t="n">
        <f aca="false">'Master Plan'!$H$8+(0)</f>
        <v>46403</v>
      </c>
      <c r="K130" s="78"/>
      <c r="L130" s="78" t="str">
        <f aca="false">IF(ISNUMBER(อัปเดตรายสัปดาห์!$AN$8),อัปเดตรายสัปดาห์!$AN$8,"")</f>
        <v/>
      </c>
      <c r="M130" s="374" t="str">
        <f aca="false">IF(อัปเดตรายสัปดาห์!$AN$8="Y","Y","")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45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Plan'!$H$8+(34)</f>
        <v>46437</v>
      </c>
      <c r="J131" s="373" t="n">
        <f aca="false">'Master Plan'!$H$8+(36)</f>
        <v>46439</v>
      </c>
      <c r="K131" s="78"/>
      <c r="L131" s="78" t="str">
        <f aca="false">IF(ISNUMBER(อัปเดตรายสัปดาห์!$AO$8),อัปเดตรายสัปดาห์!$AO$8,"")</f>
        <v/>
      </c>
      <c r="M131" s="374" t="str">
        <f aca="false">IF(อัปเดตรายสัปดาห์!$AO$8="Y","Y","")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SUMPRODUCT((SITE_ST="P9-001")*(SITE_TYPE=$B136)*(SITE_TYPE&lt;&gt;""))</f>
        <v>2</v>
      </c>
      <c r="E136" s="397" t="n">
        <f aca="false">SUMPRODUCT((SITE_ST="P9-001")*(SITE_TYPE=$B136)*SITE_MOD)</f>
        <v>264</v>
      </c>
      <c r="I136" s="398" t="n">
        <f aca="false">SUMPRODUCT((SITE_ST="P9-001")*(SITE_TYPE=$B136)*SITE_KWP)</f>
        <v>150.48</v>
      </c>
      <c r="J136" s="35" t="n">
        <f aca="false">IF(SUMPRODUCT((SITE_ST="P9-001")*(SITE_TYPE=$B136)*(SITE_TYPE&lt;&gt;""))=0,"",SUMPRODUCT((SITE_ST="P9-001")*(SITE_TYPE=$B136)*SITE_S21*SITE_D21)/MAX(0.0001,SUMPRODUCT((SITE_ST="P9-001")*(SITE_TYPE=$B136)*SITE_S21)))</f>
        <v>0</v>
      </c>
      <c r="K136" s="32" t="str">
        <f aca="false">IF(SUMPRODUCT((SITE_ST="P9-001")*(SITE_TYPE=$B136)*(SITE_TYPE&lt;&gt;""))=0,"",SUMPRODUCT((SITE_ST="P9-001")*(SITE_TYPE=$B136)*(SITE_TYPE&lt;&gt;"")*(SITE_T22="Y"))&amp;"/"&amp;SUMPRODUCT((SITE_ST="P9-001")*(SITE_TYPE=$B136)*(SITE_TYPE&lt;&gt;"")))</f>
        <v>0/2</v>
      </c>
      <c r="L136" s="32" t="str">
        <f aca="false">IF(SUMPRODUCT((SITE_ST="P9-001")*(SITE_TYPE=$B136)*(SITE_TYPE&lt;&gt;""))=0,"",SUMPRODUCT((SITE_ST="P9-001")*(SITE_TYPE=$B136)*(SITE_TYPE&lt;&gt;"")*(SITE_T23="Y"))&amp;"/"&amp;SUMPRODUCT((SITE_ST="P9-001")*(SITE_TYPE=$B136)*(SITE_TYPE&lt;&gt;"")))</f>
        <v>0/2</v>
      </c>
      <c r="O136" s="32" t="str">
        <f aca="false">IF(SUMPRODUCT((SITE_ST="P9-001")*(SITE_TYPE=$B136)*(LEFT(SITE_LAD,4)="ติด:"))=0,"",SUMPRODUCT((SITE_ST="P9-001")*(SITE_TYPE=$B136)*(LEFT(SITE_LAD,4)="ติด:"))&amp;" จุด")</f>
        <v>2 จุด</v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SUMPRODUCT((SITE_ST="P9-001")*(SITE_TYPE=$B137)*(SITE_TYPE&lt;&gt;""))</f>
        <v>0</v>
      </c>
      <c r="E137" s="397" t="n">
        <f aca="false">SUMPRODUCT((SITE_ST="P9-001")*(SITE_TYPE=$B137)*SITE_MOD)</f>
        <v>0</v>
      </c>
      <c r="I137" s="398" t="n">
        <f aca="false">SUMPRODUCT((SITE_ST="P9-001")*(SITE_TYPE=$B137)*SITE_KWP)</f>
        <v>0</v>
      </c>
      <c r="J137" s="35" t="str">
        <f aca="false">IF(SUMPRODUCT((SITE_ST="P9-001")*(SITE_TYPE=$B137)*(SITE_TYPE&lt;&gt;""))=0,"",SUMPRODUCT((SITE_ST="P9-001")*(SITE_TYPE=$B137)*SITE_S21*SITE_D21)/MAX(0.0001,SUMPRODUCT((SITE_ST="P9-001")*(SITE_TYPE=$B137)*SITE_S21)))</f>
        <v/>
      </c>
      <c r="K137" s="32" t="str">
        <f aca="false">IF(SUMPRODUCT((SITE_ST="P9-001")*(SITE_TYPE=$B137)*(SITE_TYPE&lt;&gt;""))=0,"",SUMPRODUCT((SITE_ST="P9-001")*(SITE_TYPE=$B137)*(SITE_TYPE&lt;&gt;"")*(SITE_T22="Y"))&amp;"/"&amp;SUMPRODUCT((SITE_ST="P9-001")*(SITE_TYPE=$B137)*(SITE_TYPE&lt;&gt;"")))</f>
        <v/>
      </c>
      <c r="L137" s="32" t="str">
        <f aca="false">IF(SUMPRODUCT((SITE_ST="P9-001")*(SITE_TYPE=$B137)*(SITE_TYPE&lt;&gt;""))=0,"",SUMPRODUCT((SITE_ST="P9-001")*(SITE_TYPE=$B137)*(SITE_TYPE&lt;&gt;"")*(SITE_T23="Y"))&amp;"/"&amp;SUMPRODUCT((SITE_ST="P9-001")*(SITE_TYPE=$B137)*(SITE_TYPE&lt;&gt;"")))</f>
        <v/>
      </c>
      <c r="O137" s="32" t="str">
        <f aca="false">IF(SUMPRODUCT((SITE_ST="P9-001")*(SITE_TYPE=$B137)*(LEFT(SITE_LAD,4)="ติด:"))=0,"",SUMPRODUCT((SITE_ST="P9-001")*(SITE_TYPE=$B137)*(LEFT(SITE_LAD,4)="ติด:"))&amp;"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SUMPRODUCT((SITE_ST="P9-001")*(SITE_TYPE=$B138)*(SITE_TYPE&lt;&gt;""))</f>
        <v>0</v>
      </c>
      <c r="E138" s="397" t="n">
        <f aca="false">SUMPRODUCT((SITE_ST="P9-001")*(SITE_TYPE=$B138)*SITE_MOD)</f>
        <v>0</v>
      </c>
      <c r="I138" s="398" t="n">
        <f aca="false">SUMPRODUCT((SITE_ST="P9-001")*(SITE_TYPE=$B138)*SITE_KWP)</f>
        <v>0</v>
      </c>
      <c r="J138" s="35" t="str">
        <f aca="false">IF(SUMPRODUCT((SITE_ST="P9-001")*(SITE_TYPE=$B138)*(SITE_TYPE&lt;&gt;""))=0,"",SUMPRODUCT((SITE_ST="P9-001")*(SITE_TYPE=$B138)*SITE_S21*SITE_D21)/MAX(0.0001,SUMPRODUCT((SITE_ST="P9-001")*(SITE_TYPE=$B138)*SITE_S21)))</f>
        <v/>
      </c>
      <c r="K138" s="32" t="str">
        <f aca="false">IF(SUMPRODUCT((SITE_ST="P9-001")*(SITE_TYPE=$B138)*(SITE_TYPE&lt;&gt;""))=0,"",SUMPRODUCT((SITE_ST="P9-001")*(SITE_TYPE=$B138)*(SITE_TYPE&lt;&gt;"")*(SITE_T22="Y"))&amp;"/"&amp;SUMPRODUCT((SITE_ST="P9-001")*(SITE_TYPE=$B138)*(SITE_TYPE&lt;&gt;"")))</f>
        <v/>
      </c>
      <c r="L138" s="32" t="str">
        <f aca="false">IF(SUMPRODUCT((SITE_ST="P9-001")*(SITE_TYPE=$B138)*(SITE_TYPE&lt;&gt;""))=0,"",SUMPRODUCT((SITE_ST="P9-001")*(SITE_TYPE=$B138)*(SITE_TYPE&lt;&gt;"")*(SITE_T23="Y"))&amp;"/"&amp;SUMPRODUCT((SITE_ST="P9-001")*(SITE_TYPE=$B138)*(SITE_TYPE&lt;&gt;"")))</f>
        <v/>
      </c>
      <c r="O138" s="32" t="str">
        <f aca="false">IF(SUMPRODUCT((SITE_ST="P9-001")*(SITE_TYPE=$B138)*(LEFT(SITE_LAD,4)="ติด:"))=0,"",SUMPRODUCT((SITE_ST="P9-001")*(SITE_TYPE=$B138)*(LEFT(SITE_LAD,4)="ติด:"))&amp;"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SUMPRODUCT((SITE_ST="P9-001")*(SITE_TYPE=$B139)*(SITE_TYPE&lt;&gt;""))</f>
        <v>0</v>
      </c>
      <c r="E139" s="397" t="n">
        <f aca="false">SUMPRODUCT((SITE_ST="P9-001")*(SITE_TYPE=$B139)*SITE_MOD)</f>
        <v>0</v>
      </c>
      <c r="I139" s="398" t="n">
        <f aca="false">SUMPRODUCT((SITE_ST="P9-001")*(SITE_TYPE=$B139)*SITE_KWP)</f>
        <v>0</v>
      </c>
      <c r="J139" s="35" t="str">
        <f aca="false">IF(SUMPRODUCT((SITE_ST="P9-001")*(SITE_TYPE=$B139)*(SITE_TYPE&lt;&gt;""))=0,"",SUMPRODUCT((SITE_ST="P9-001")*(SITE_TYPE=$B139)*SITE_S21*SITE_D21)/MAX(0.0001,SUMPRODUCT((SITE_ST="P9-001")*(SITE_TYPE=$B139)*SITE_S21)))</f>
        <v/>
      </c>
      <c r="K139" s="32" t="str">
        <f aca="false">IF(SUMPRODUCT((SITE_ST="P9-001")*(SITE_TYPE=$B139)*(SITE_TYPE&lt;&gt;""))=0,"",SUMPRODUCT((SITE_ST="P9-001")*(SITE_TYPE=$B139)*(SITE_TYPE&lt;&gt;"")*(SITE_T22="Y"))&amp;"/"&amp;SUMPRODUCT((SITE_ST="P9-001")*(SITE_TYPE=$B139)*(SITE_TYPE&lt;&gt;"")))</f>
        <v/>
      </c>
      <c r="L139" s="32" t="str">
        <f aca="false">IF(SUMPRODUCT((SITE_ST="P9-001")*(SITE_TYPE=$B139)*(SITE_TYPE&lt;&gt;""))=0,"",SUMPRODUCT((SITE_ST="P9-001")*(SITE_TYPE=$B139)*(SITE_TYPE&lt;&gt;"")*(SITE_T23="Y"))&amp;"/"&amp;SUMPRODUCT((SITE_ST="P9-001")*(SITE_TYPE=$B139)*(SITE_TYPE&lt;&gt;"")))</f>
        <v/>
      </c>
      <c r="O139" s="32" t="str">
        <f aca="false">IF(SUMPRODUCT((SITE_ST="P9-001")*(SITE_TYPE=$B139)*(LEFT(SITE_LAD,4)="ติด:"))=0,"",SUMPRODUCT((SITE_ST="P9-001")*(SITE_TYPE=$B139)*(LEFT(SITE_LAD,4)="ติด:"))&amp;"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SUMPRODUCT((SITE_ST="P9-001")*(SITE_TYPE=$B140)*(SITE_TYPE&lt;&gt;""))</f>
        <v>0</v>
      </c>
      <c r="E140" s="397" t="n">
        <f aca="false">SUMPRODUCT((SITE_ST="P9-001")*(SITE_TYPE=$B140)*SITE_MOD)</f>
        <v>0</v>
      </c>
      <c r="I140" s="398" t="n">
        <f aca="false">SUMPRODUCT((SITE_ST="P9-001")*(SITE_TYPE=$B140)*SITE_KWP)</f>
        <v>0</v>
      </c>
      <c r="J140" s="35" t="str">
        <f aca="false">IF(SUMPRODUCT((SITE_ST="P9-001")*(SITE_TYPE=$B140)*(SITE_TYPE&lt;&gt;""))=0,"",SUMPRODUCT((SITE_ST="P9-001")*(SITE_TYPE=$B140)*SITE_S21*SITE_D21)/MAX(0.0001,SUMPRODUCT((SITE_ST="P9-001")*(SITE_TYPE=$B140)*SITE_S21)))</f>
        <v/>
      </c>
      <c r="K140" s="32" t="str">
        <f aca="false">IF(SUMPRODUCT((SITE_ST="P9-001")*(SITE_TYPE=$B140)*(SITE_TYPE&lt;&gt;""))=0,"",SUMPRODUCT((SITE_ST="P9-001")*(SITE_TYPE=$B140)*(SITE_TYPE&lt;&gt;"")*(SITE_T22="Y"))&amp;"/"&amp;SUMPRODUCT((SITE_ST="P9-001")*(SITE_TYPE=$B140)*(SITE_TYPE&lt;&gt;"")))</f>
        <v/>
      </c>
      <c r="L140" s="32" t="str">
        <f aca="false">IF(SUMPRODUCT((SITE_ST="P9-001")*(SITE_TYPE=$B140)*(SITE_TYPE&lt;&gt;""))=0,"",SUMPRODUCT((SITE_ST="P9-001")*(SITE_TYPE=$B140)*(SITE_TYPE&lt;&gt;"")*(SITE_T23="Y"))&amp;"/"&amp;SUMPRODUCT((SITE_ST="P9-001")*(SITE_TYPE=$B140)*(SITE_TYPE&lt;&gt;"")))</f>
        <v/>
      </c>
      <c r="O140" s="32" t="str">
        <f aca="false">IF(SUMPRODUCT((SITE_ST="P9-001")*(SITE_TYPE=$B140)*(LEFT(SITE_LAD,4)="ติด:"))=0,"",SUMPRODUCT((SITE_ST="P9-001")*(SITE_TYPE=$B140)*(LEFT(SITE_LAD,4)="ติด:"))&amp;"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SUMPRODUCT((SITE_ST="P9-001")*(SITE_TYPE=$B141)*(SITE_TYPE&lt;&gt;""))</f>
        <v>0</v>
      </c>
      <c r="E141" s="397" t="n">
        <f aca="false">SUMPRODUCT((SITE_ST="P9-001")*(SITE_TYPE=$B141)*SITE_MOD)</f>
        <v>0</v>
      </c>
      <c r="I141" s="398" t="n">
        <f aca="false">SUMPRODUCT((SITE_ST="P9-001")*(SITE_TYPE=$B141)*SITE_KWP)</f>
        <v>0</v>
      </c>
      <c r="J141" s="35" t="str">
        <f aca="false">IF(SUMPRODUCT((SITE_ST="P9-001")*(SITE_TYPE=$B141)*(SITE_TYPE&lt;&gt;""))=0,"",SUMPRODUCT((SITE_ST="P9-001")*(SITE_TYPE=$B141)*SITE_S21*SITE_D21)/MAX(0.0001,SUMPRODUCT((SITE_ST="P9-001")*(SITE_TYPE=$B141)*SITE_S21)))</f>
        <v/>
      </c>
      <c r="K141" s="32" t="str">
        <f aca="false">IF(SUMPRODUCT((SITE_ST="P9-001")*(SITE_TYPE=$B141)*(SITE_TYPE&lt;&gt;""))=0,"",SUMPRODUCT((SITE_ST="P9-001")*(SITE_TYPE=$B141)*(SITE_TYPE&lt;&gt;"")*(SITE_T22="Y"))&amp;"/"&amp;SUMPRODUCT((SITE_ST="P9-001")*(SITE_TYPE=$B141)*(SITE_TYPE&lt;&gt;"")))</f>
        <v/>
      </c>
      <c r="L141" s="32" t="str">
        <f aca="false">IF(SUMPRODUCT((SITE_ST="P9-001")*(SITE_TYPE=$B141)*(SITE_TYPE&lt;&gt;""))=0,"",SUMPRODUCT((SITE_ST="P9-001")*(SITE_TYPE=$B141)*(SITE_TYPE&lt;&gt;"")*(SITE_T23="Y"))&amp;"/"&amp;SUMPRODUCT((SITE_ST="P9-001")*(SITE_TYPE=$B141)*(SITE_TYPE&lt;&gt;"")))</f>
        <v/>
      </c>
      <c r="O141" s="32" t="str">
        <f aca="false">IF(SUMPRODUCT((SITE_ST="P9-001")*(SITE_TYPE=$B141)*(LEFT(SITE_LAD,4)="ติด:"))=0,"",SUMPRODUCT((SITE_ST="P9-001")*(SITE_TYPE=$B141)*(LEFT(SITE_LAD,4)="ติด:"))&amp;"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SUMPRODUCT((SITE_ST="P9-001")*(SITE_TYPE&lt;&gt;""))</f>
        <v>2</v>
      </c>
      <c r="E142" s="403" t="n">
        <f aca="false">SUMPRODUCT((SITE_ST="P9-001")*SITE_MOD)</f>
        <v>264</v>
      </c>
      <c r="I142" s="404" t="n">
        <f aca="false">SUMPRODUCT((SITE_ST="P9-001")*SITE_KWP)</f>
        <v>150.48</v>
      </c>
      <c r="J142" s="405" t="n">
        <f aca="false">IF(SUMPRODUCT((SITE_ST="P9-001")*(SITE_TYPE&lt;&gt;""))=0,"",SUMPRODUCT((SITE_ST="P9-001")*SITE_S21*SITE_D21)/MAX(0.0001,SUMPRODUCT((SITE_ST="P9-001")*SITE_S21)))</f>
        <v>0</v>
      </c>
      <c r="K142" s="406" t="str">
        <f aca="false">IF(SUMPRODUCT((SITE_ST="P9-001")*(SITE_TYPE&lt;&gt;""))=0,"",SUMPRODUCT((SITE_ST="P9-001")*(SITE_TYPE&lt;&gt;"")*(SITE_T22="Y"))&amp;"/"&amp;SUMPRODUCT((SITE_ST="P9-001")*(SITE_TYPE&lt;&gt;"")))</f>
        <v>0/2</v>
      </c>
      <c r="L142" s="406" t="str">
        <f aca="false">IF(SUMPRODUCT((SITE_ST="P9-001")*(SITE_TYPE&lt;&gt;""))=0,"",SUMPRODUCT((SITE_ST="P9-001")*(SITE_TYPE&lt;&gt;"")*(SITE_T23="Y"))&amp;"/"&amp;SUMPRODUCT((SITE_ST="P9-001")*(SITE_TYPE&lt;&gt;"")))</f>
        <v>0/2</v>
      </c>
      <c r="O142" s="406" t="str">
        <f aca="false">IF(SUMPRODUCT((SITE_ST="P9-001")*(LEFT(SITE_LAD,4)="ติด:"))=0,"",SUMPRODUCT((SITE_ST="P9-001")*(LEFT(SITE_LAD,4)="ติด:"))&amp;"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IFERROR(INDEX(INVS_TYPE,MATCH("P9-001",INVS_ID,0))&amp;"","")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ทั้งก้อน",IFERROR(INDEX(INVS_SET,MATCH("P9-001",INVS_ID,0)),"")&amp;" kW, โรงเรือน "&amp;IFERROR(INDEX(INVS_SIZE,MATCH("P9-001",INVS_ID,0)),"")&amp;",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8" display="✎ กรอกความคืบหน้า"/>
    <hyperlink ref="R4" location="'Master Plan'!A8" display="← กลับ Master Plan"/>
    <hyperlink ref="M10" location="'อัปเดตงาน WBS'!L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"/>
    <hyperlink ref="M11" location="'อัปเดตงาน WBS'!L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"/>
    <hyperlink ref="M12" location="'อัปเดตงาน WBS'!L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"/>
    <hyperlink ref="M13" location="'อัปเดตงาน WBS'!L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"/>
    <hyperlink ref="M14" location="'อัปเดตงาน WBS'!L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"/>
    <hyperlink ref="M15" location="'อัปเดตงาน WBS'!L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"/>
    <hyperlink ref="M17" location="'อัปเดตงาน WBS'!L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"/>
    <hyperlink ref="M18" location="'อัปเดตงาน WBS'!L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"/>
    <hyperlink ref="M19" location="'อัปเดตงาน WBS'!L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"/>
    <hyperlink ref="M20" location="'อัปเดตงาน WBS'!L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"/>
    <hyperlink ref="M21" location="'อัปเดตงาน WBS'!L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"/>
    <hyperlink ref="M22" location="'อัปเดตงาน WBS'!L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"/>
    <hyperlink ref="M23" location="'อัปเดตงาน WBS'!L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"/>
    <hyperlink ref="M24" location="'อัปเดตงาน WBS'!L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"/>
    <hyperlink ref="M26" location="'อัปเดตงาน WBS'!L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"/>
    <hyperlink ref="M27" location="'อัปเดตงาน WBS'!L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"/>
    <hyperlink ref="M28" location="'อัปเดตงาน WBS'!L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"/>
    <hyperlink ref="M31" location="'อัปเดตงาน WBS'!L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"/>
    <hyperlink ref="M32" location="'อัปเดตงาน WBS'!L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"/>
    <hyperlink ref="M33" location="'อัปเดตงาน WBS'!L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"/>
    <hyperlink ref="M35" location="'อัปเดตงาน WBS'!L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"/>
    <hyperlink ref="M36" location="'อัปเดตงาน WBS'!L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"/>
    <hyperlink ref="M37" location="'อัปเดตงาน WBS'!L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"/>
    <hyperlink ref="M38" location="'อัปเดตงาน WBS'!L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"/>
    <hyperlink ref="M40" location="'อัปเดตงาน WBS'!L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"/>
    <hyperlink ref="M41" location="'อัปเดตงาน WBS'!L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"/>
    <hyperlink ref="M42" location="'อัปเดตงาน WBS'!L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"/>
    <hyperlink ref="M44" location="'อัปเดตงาน WBS'!L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"/>
    <hyperlink ref="M45" location="'อัปเดตงาน WBS'!L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"/>
    <hyperlink ref="M46" location="'อัปเดตงาน WBS'!L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"/>
    <hyperlink ref="M53" location="'อัปเดตงาน WBS'!L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"/>
    <hyperlink ref="M54" location="'อัปเดตงาน WBS'!L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"/>
    <hyperlink ref="M63" location="'อัปเดตงาน WBS'!L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"/>
    <hyperlink ref="M64" location="'อัปเดตงาน WBS'!L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"/>
    <hyperlink ref="M65" location="'อัปเดตงาน WBS'!L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"/>
    <hyperlink ref="M66" location="'อัปเดตงาน WBS'!L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"/>
    <hyperlink ref="M67" location="'อัปเดตงาน WBS'!L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"/>
    <hyperlink ref="M68" location="'อัปเดตงาน WBS'!L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"/>
    <hyperlink ref="M69" location="'อัปเดตงาน WBS'!L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"/>
    <hyperlink ref="M71" location="'อัปเดตงาน WBS'!L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"/>
    <hyperlink ref="M72" location="'อัปเดตงาน WBS'!L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"/>
    <hyperlink ref="M73" location="'อัปเดตงาน WBS'!L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"/>
    <hyperlink ref="M74" location="'อัปเดตงาน WBS'!L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"/>
    <hyperlink ref="M75" location="'อัปเดตงาน WBS'!L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"/>
    <hyperlink ref="M77" location="'อัปเดตงาน WBS'!L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"/>
    <hyperlink ref="M78" location="'อัปเดตงาน WBS'!L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"/>
    <hyperlink ref="M79" location="'อัปเดตงาน WBS'!L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"/>
    <hyperlink ref="M80" location="'อัปเดตงาน WBS'!L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"/>
    <hyperlink ref="M81" location="'อัปเดตงาน WBS'!L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"/>
    <hyperlink ref="M83" location="'อัปเดตงาน WBS'!L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"/>
    <hyperlink ref="M84" location="'อัปเดตงาน WBS'!L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"/>
    <hyperlink ref="M86" location="'อัปเดตงาน WBS'!L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"/>
    <hyperlink ref="M87" location="'อัปเดตงาน WBS'!L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"/>
    <hyperlink ref="M88" location="'อัปเดตงาน WBS'!L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"/>
    <hyperlink ref="M89" location="'อัปเดตงาน WBS'!L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"/>
    <hyperlink ref="M91" location="'อัปเดตงาน WBS'!L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"/>
    <hyperlink ref="M92" location="'อัปเดตงาน WBS'!L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"/>
    <hyperlink ref="M93" location="'อัปเดตงาน WBS'!L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"/>
    <hyperlink ref="M94" location="'อัปเดตงาน WBS'!L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"/>
    <hyperlink ref="M95" location="'อัปเดตงาน WBS'!L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"/>
    <hyperlink ref="M97" location="'อัปเดตงาน WBS'!L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"/>
    <hyperlink ref="M98" location="'อัปเดตงาน WBS'!L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"/>
    <hyperlink ref="M99" location="'อัปเดตงาน WBS'!L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"/>
    <hyperlink ref="M102" location="'อัปเดตงาน WBS'!L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"/>
    <hyperlink ref="M104" location="'อัปเดตงาน WBS'!L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"/>
    <hyperlink ref="M105" location="'อัปเดตงาน WBS'!L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"/>
    <hyperlink ref="M106" location="'อัปเดตงาน WBS'!L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"/>
    <hyperlink ref="M108" location="'อัปเดตงาน WBS'!L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"/>
    <hyperlink ref="M109" location="'อัปเดตงาน WBS'!L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"/>
    <hyperlink ref="M110" location="'อัปเดตงาน WBS'!L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"/>
    <hyperlink ref="M112" location="'อัปเดตงาน WBS'!L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"/>
    <hyperlink ref="M113" location="'อัปเดตงาน WBS'!L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"/>
    <hyperlink ref="M116" location="'อัปเดตงาน WBS'!L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"/>
    <hyperlink ref="M117" location="'อัปเดตงาน WBS'!L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"/>
    <hyperlink ref="M118" location="'อัปเดตงาน WBS'!L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"/>
    <hyperlink ref="M119" location="'อัปเดตงาน WBS'!L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"/>
    <hyperlink ref="M120" location="'อัปเดตงาน WBS'!L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"/>
    <hyperlink ref="M121" location="'อัปเดตงาน WBS'!L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"/>
    <hyperlink ref="M125" location="'อัปเดตงาน WBS'!L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"/>
    <hyperlink ref="M126" location="'อัปเดตงาน WBS'!L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"/>
    <hyperlink ref="M127" location="'อัปเดตงาน WBS'!L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"/>
    <hyperlink ref="D134" location="'จุดติดตั้ง'!A7" display="✎ เพิ่ม / แก้จุดติดตั้ง →"/>
    <hyperlink ref="D146" location="'Inverter station'!A6" display="file:///home/claude/dash/template/%E0%B9%81%E0%B8%A1%E0%B9%88%E0%B9%81%E0%B8%9A%E0%B8%9A%E0%B9%82%E0%B8%84%E0%B8%A3%E0%B8%87%E0%B8%81%E0%B8%B2%E0%B8%A3%20TCRoof%20(%E0%B8%97%E0%B8%B8%E0%B8%81%E0%B8%81%E0%B8%A3%E0%B8%93%E0%B8%B5).xlsx#'Inverter station'!A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6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3659</v>
      </c>
    </row>
    <row r="2" customFormat="false" ht="15" hidden="false" customHeight="false" outlineLevel="0" collapsed="false">
      <c r="A2" s="354" t="s">
        <v>3660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Plan'!$AI$9</f>
        <v>-36</v>
      </c>
      <c r="M4" s="360"/>
      <c r="N4" s="360" t="n">
        <f aca="false">'Master Plan'!$AJ$9</f>
        <v>-3</v>
      </c>
      <c r="O4" s="360"/>
      <c r="P4" s="361" t="str">
        <f aca="false">'Master Plan'!$AK$9&amp;" / "&amp;'Master Plan'!$AL$9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COUNTIFS(CR_ST,"P9-002",CR_STAT,"อนุมัติ")&amp;" รายการ, "&amp;'Master Plan'!$AO$9&amp;" วัน"</f>
        <v>0 รายการ, 0 วัน</v>
      </c>
      <c r="AG4" s="362"/>
      <c r="AH4" s="362"/>
      <c r="AI4" s="362"/>
      <c r="AJ4" s="362"/>
      <c r="AK4" s="363" t="n">
        <f aca="false">COUNTIFS(CR_ST,"P9-002",CR_STAT,"รออนุมัติ")+COUNTIFS(CR_ST,"P9-002",CR_STAT,"ขอข้อมูลเพิ่ม")</f>
        <v>0</v>
      </c>
      <c r="AL4" s="363"/>
      <c r="AM4" s="363"/>
      <c r="AN4" s="363"/>
      <c r="AO4" s="363"/>
      <c r="AP4" s="362" t="str">
        <f aca="false">COUNTIF(RW_ST,"P9-002")&amp;" ("&amp;COUNTIFS(RW_ST,"P9-002",RW_DONE,"&lt;&gt;Y")&amp;")"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COUNTIF(LL_ST,"*P9-002*")</f>
        <v>0</v>
      </c>
      <c r="BA4" s="363"/>
      <c r="BB4" s="363"/>
      <c r="BC4" s="363"/>
      <c r="BD4" s="363"/>
      <c r="BE4" s="362" t="str">
        <f aca="false">IF(COUNTIFS(SITE_ST,"P9-002",SITE_TYPE,"?*")=0,"ประมาณการ,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IF(COUNTIFS(SITE_ST,"P9-002",SITE_TYPE,"?*")=0,"ยังไม่ระบุจุด",COUNTIFS(SITE_ST,"P9-002",SITE_LAD,"ติด:*")&amp;" จุด"&amp;IF(COUNTIFS(SITE_ST,"P9-002",SITE_LAD,"⚠*")&gt;0,",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3661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49</v>
      </c>
      <c r="E9" s="372" t="n">
        <v>0</v>
      </c>
      <c r="F9" s="31"/>
      <c r="G9" s="32"/>
      <c r="H9" s="32" t="n">
        <v>1</v>
      </c>
      <c r="I9" s="373" t="n">
        <f aca="false">'Master Plan'!$H$9+(-75)</f>
        <v>46328</v>
      </c>
      <c r="J9" s="373" t="n">
        <f aca="false">'Master Plan'!$H$9+(50)</f>
        <v>46453</v>
      </c>
      <c r="K9" s="78"/>
      <c r="L9" s="78" t="str">
        <f aca="false">IF(ISNUMBER(อัปเดตรายสัปดาห์!$G$9),อัปเดตรายสัปดาห์!$G$9,"")</f>
        <v/>
      </c>
      <c r="M9" s="374" t="str">
        <f aca="false">IF(อัปเดตรายสัปดาห์!$G$9="Y","Y","")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Plan'!$H$9+(-75)</f>
        <v>46328</v>
      </c>
      <c r="J10" s="382" t="n">
        <f aca="false">'Master Plan'!$H$9+(-63)</f>
        <v>46340</v>
      </c>
      <c r="K10" s="387"/>
      <c r="L10" s="387"/>
      <c r="M10" s="383" t="str">
        <f aca="false">IF('อัปเดตงาน WBS'!$L$88="","",'อัปเดตงาน WBS'!$L$88)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Plan'!$H$9+(-75)</f>
        <v>46328</v>
      </c>
      <c r="J11" s="382" t="n">
        <f aca="false">'Master Plan'!$H$9+(-63)</f>
        <v>46340</v>
      </c>
      <c r="K11" s="387"/>
      <c r="L11" s="387"/>
      <c r="M11" s="383" t="str">
        <f aca="false">IF('อัปเดตงาน WBS'!$L$89="","",'อัปเดตงาน WBS'!$L$89)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Plan'!$H$9+(-75)</f>
        <v>46328</v>
      </c>
      <c r="J12" s="382" t="n">
        <f aca="false">'Master Plan'!$H$9+(-63)</f>
        <v>46340</v>
      </c>
      <c r="K12" s="387"/>
      <c r="L12" s="387"/>
      <c r="M12" s="383" t="str">
        <f aca="false">IF('อัปเดตงาน WBS'!$L$90="","",'อัปเดตงาน WBS'!$L$90)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Plan'!$H$9+(-75)</f>
        <v>46328</v>
      </c>
      <c r="J13" s="382" t="n">
        <f aca="false">'Master Plan'!$H$9+(-56)</f>
        <v>46347</v>
      </c>
      <c r="K13" s="387"/>
      <c r="L13" s="387"/>
      <c r="M13" s="383" t="str">
        <f aca="false">IF('อัปเดตงาน WBS'!$L$91="","",'อัปเดตงาน WBS'!$L$91)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Plan'!$H$9+(-63)</f>
        <v>46340</v>
      </c>
      <c r="J14" s="382" t="n">
        <f aca="false">'Master Plan'!$H$9+(50)</f>
        <v>46453</v>
      </c>
      <c r="K14" s="387"/>
      <c r="L14" s="387"/>
      <c r="M14" s="383" t="str">
        <f aca="false">IF('อัปเดตงาน WBS'!$L$92="","",'อัปเดตงาน WBS'!$L$92)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Plan'!$H$9+(-63)</f>
        <v>46340</v>
      </c>
      <c r="J15" s="382" t="n">
        <f aca="false">'Master Plan'!$H$9+(50)</f>
        <v>46453</v>
      </c>
      <c r="K15" s="387"/>
      <c r="L15" s="387"/>
      <c r="M15" s="383" t="str">
        <f aca="false">IF('อัปเดตงาน WBS'!$L$93="","",'อัปเดตงาน WBS'!$L$93)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Plan'!$H$9+(-56)</f>
        <v>46347</v>
      </c>
      <c r="J16" s="373" t="n">
        <f aca="false">'Master Plan'!$H$9+(-45)</f>
        <v>46358</v>
      </c>
      <c r="K16" s="78"/>
      <c r="L16" s="78" t="str">
        <f aca="false">IF(ISNUMBER(อัปเดตรายสัปดาห์!$H$9),อัปเดตรายสัปดาห์!$H$9,"")</f>
        <v/>
      </c>
      <c r="M16" s="374" t="str">
        <f aca="false">IF(อัปเดตรายสัปดาห์!$H$9="Y","Y","")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Plan'!$H$9+(-56)</f>
        <v>46347</v>
      </c>
      <c r="J17" s="382" t="n">
        <f aca="false">'Master Plan'!$H$9+(-54)</f>
        <v>46349</v>
      </c>
      <c r="K17" s="387"/>
      <c r="L17" s="387"/>
      <c r="M17" s="383" t="str">
        <f aca="false">IF('อัปเดตงาน WBS'!$L$94="","",'อัปเดตงาน WBS'!$L$94)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Plan'!$H$9+(-55)</f>
        <v>46348</v>
      </c>
      <c r="J18" s="382" t="n">
        <f aca="false">'Master Plan'!$H$9+(-52)</f>
        <v>46351</v>
      </c>
      <c r="K18" s="387"/>
      <c r="L18" s="387"/>
      <c r="M18" s="383" t="str">
        <f aca="false">IF('อัปเดตงาน WBS'!$L$95="","",'อัปเดตงาน WBS'!$L$95)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Plan'!$H$9+(-53)</f>
        <v>46350</v>
      </c>
      <c r="J19" s="382" t="n">
        <f aca="false">'Master Plan'!$H$9+(-48)</f>
        <v>46355</v>
      </c>
      <c r="K19" s="387"/>
      <c r="L19" s="387"/>
      <c r="M19" s="383" t="str">
        <f aca="false">IF('อัปเดตงาน WBS'!$L$96="","",'อัปเดตงาน WBS'!$L$96)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Plan'!$H$9+(-53)</f>
        <v>46350</v>
      </c>
      <c r="J20" s="382" t="n">
        <f aca="false">'Master Plan'!$H$9+(-48)</f>
        <v>46355</v>
      </c>
      <c r="K20" s="387"/>
      <c r="L20" s="387"/>
      <c r="M20" s="383" t="str">
        <f aca="false">IF('อัปเดตงาน WBS'!$L$97="","",'อัปเดตงาน WBS'!$L$97)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Plan'!$H$9+(-52)</f>
        <v>46351</v>
      </c>
      <c r="J21" s="382" t="n">
        <f aca="false">'Master Plan'!$H$9+(-47)</f>
        <v>46356</v>
      </c>
      <c r="K21" s="387"/>
      <c r="L21" s="387"/>
      <c r="M21" s="383" t="str">
        <f aca="false">IF('อัปเดตงาน WBS'!$L$98="","",'อัปเดตงาน WBS'!$L$98)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Plan'!$H$9+(-50)</f>
        <v>46353</v>
      </c>
      <c r="J22" s="382" t="n">
        <f aca="false">'Master Plan'!$H$9+(-46)</f>
        <v>46357</v>
      </c>
      <c r="K22" s="387"/>
      <c r="L22" s="387"/>
      <c r="M22" s="383" t="str">
        <f aca="false">IF('อัปเดตงาน WBS'!$L$99="","",'อัปเดตงาน WBS'!$L$99)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Plan'!$H$9+(-50)</f>
        <v>46353</v>
      </c>
      <c r="J23" s="382" t="n">
        <f aca="false">'Master Plan'!$H$9+(-45)</f>
        <v>46358</v>
      </c>
      <c r="K23" s="387"/>
      <c r="L23" s="387"/>
      <c r="M23" s="383" t="str">
        <f aca="false">IF('อัปเดตงาน WBS'!$L$100="","",'อัปเดตงาน WBS'!$L$100)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Plan'!$H$9+(-49)</f>
        <v>46354</v>
      </c>
      <c r="J24" s="382" t="n">
        <f aca="false">'Master Plan'!$H$9+(-45)</f>
        <v>46358</v>
      </c>
      <c r="K24" s="387"/>
      <c r="L24" s="387"/>
      <c r="M24" s="383" t="str">
        <f aca="false">IF('อัปเดตงาน WBS'!$L$101="","",'อัปเดตงาน WBS'!$L$101)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Plan'!$H$9+(-51)</f>
        <v>46352</v>
      </c>
      <c r="J25" s="373" t="n">
        <f aca="false">'Master Plan'!$H$9+(-51)</f>
        <v>46352</v>
      </c>
      <c r="K25" s="78"/>
      <c r="L25" s="78" t="str">
        <f aca="false">IF(ISNUMBER(อัปเดตรายสัปดาห์!$I$9),อัปเดตรายสัปดาห์!$I$9,"")</f>
        <v/>
      </c>
      <c r="M25" s="374" t="str">
        <f aca="false">IF(อัปเดตรายสัปดาห์!$I$9="Y","Y","")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Plan'!$H$9+(-51)</f>
        <v>46352</v>
      </c>
      <c r="J26" s="382" t="n">
        <f aca="false">'Master Plan'!$H$9+(-51)</f>
        <v>46352</v>
      </c>
      <c r="K26" s="387"/>
      <c r="L26" s="387"/>
      <c r="M26" s="383" t="str">
        <f aca="false">IF('อัปเดตงาน WBS'!$L$102="","",'อัปเดตงาน WBS'!$L$102)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Plan'!$H$9+(-51)</f>
        <v>46352</v>
      </c>
      <c r="J27" s="382" t="n">
        <f aca="false">'Master Plan'!$H$9+(-51)</f>
        <v>46352</v>
      </c>
      <c r="K27" s="387"/>
      <c r="L27" s="387"/>
      <c r="M27" s="383" t="str">
        <f aca="false">IF('อัปเดตงาน WBS'!$L$103="","",'อัปเดตงาน WBS'!$L$103)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Plan'!$H$9+(-51)</f>
        <v>46352</v>
      </c>
      <c r="J28" s="382" t="n">
        <f aca="false">'Master Plan'!$H$9+(-51)</f>
        <v>46352</v>
      </c>
      <c r="K28" s="387"/>
      <c r="L28" s="387"/>
      <c r="M28" s="383" t="str">
        <f aca="false">IF('อัปเดตงาน WBS'!$L$104="","",'อัปเดตงาน WBS'!$L$104)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49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Plan'!$H$9+(-75)</f>
        <v>46328</v>
      </c>
      <c r="J30" s="373" t="n">
        <f aca="false">'Master Plan'!$H$9+(-75)</f>
        <v>46328</v>
      </c>
      <c r="K30" s="78"/>
      <c r="L30" s="78" t="str">
        <f aca="false">IF(ISNUMBER(อัปเดตรายสัปดาห์!$J$9),อัปเดตรายสัปดาห์!$J$9,"")</f>
        <v/>
      </c>
      <c r="M30" s="374" t="str">
        <f aca="false">IF(อัปเดตรายสัปดาห์!$J$9="Y","Y","")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Plan'!$H$9+(-75)</f>
        <v>46328</v>
      </c>
      <c r="J31" s="382" t="n">
        <f aca="false">'Master Plan'!$H$9+(-75)</f>
        <v>46328</v>
      </c>
      <c r="K31" s="387"/>
      <c r="L31" s="387"/>
      <c r="M31" s="383" t="str">
        <f aca="false">IF('อัปเดตงาน WBS'!$L$105="","",'อัปเดตงาน WBS'!$L$105)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Plan'!$H$9+(-75)</f>
        <v>46328</v>
      </c>
      <c r="J32" s="382" t="n">
        <f aca="false">'Master Plan'!$H$9+(-75)</f>
        <v>46328</v>
      </c>
      <c r="K32" s="387"/>
      <c r="L32" s="387"/>
      <c r="M32" s="383" t="str">
        <f aca="false">IF('อัปเดตงาน WBS'!$L$106="","",'อัปเดตงาน WBS'!$L$106)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Plan'!$H$9+(-75)</f>
        <v>46328</v>
      </c>
      <c r="J33" s="382" t="n">
        <f aca="false">'Master Plan'!$H$9+(-75)</f>
        <v>46328</v>
      </c>
      <c r="K33" s="387"/>
      <c r="L33" s="387"/>
      <c r="M33" s="383" t="str">
        <f aca="false">IF('อัปเดตงาน WBS'!$L$107="","",'อัปเดตงาน WBS'!$L$107)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49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Plan'!$H$9+(-68)</f>
        <v>46335</v>
      </c>
      <c r="J34" s="373" t="n">
        <f aca="false">'Master Plan'!$H$9+(-59)</f>
        <v>46344</v>
      </c>
      <c r="K34" s="78"/>
      <c r="L34" s="78" t="str">
        <f aca="false">IF(ISNUMBER(อัปเดตรายสัปดาห์!$K$9),อัปเดตรายสัปดาห์!$K$9,"")</f>
        <v/>
      </c>
      <c r="M34" s="374" t="str">
        <f aca="false">IF(อัปเดตรายสัปดาห์!$K$9="Y","Y","")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Plan'!$H$9+(-68)</f>
        <v>46335</v>
      </c>
      <c r="J35" s="382" t="n">
        <f aca="false">'Master Plan'!$H$9+(-64)</f>
        <v>46339</v>
      </c>
      <c r="K35" s="387"/>
      <c r="L35" s="387"/>
      <c r="M35" s="383" t="str">
        <f aca="false">IF('อัปเดตงาน WBS'!$L$108="","",'อัปเดตงาน WBS'!$L$108)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Plan'!$H$9+(-68)</f>
        <v>46335</v>
      </c>
      <c r="J36" s="382" t="n">
        <f aca="false">'Master Plan'!$H$9+(-63)</f>
        <v>46340</v>
      </c>
      <c r="K36" s="387"/>
      <c r="L36" s="387"/>
      <c r="M36" s="383" t="str">
        <f aca="false">IF('อัปเดตงาน WBS'!$L$109="","",'อัปเดตงาน WBS'!$L$109)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Plan'!$H$9+(-65)</f>
        <v>46338</v>
      </c>
      <c r="J37" s="382" t="n">
        <f aca="false">'Master Plan'!$H$9+(-62)</f>
        <v>46341</v>
      </c>
      <c r="K37" s="387"/>
      <c r="L37" s="387"/>
      <c r="M37" s="383" t="str">
        <f aca="false">IF('อัปเดตงาน WBS'!$L$110="","",'อัปเดตงาน WBS'!$L$110)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Plan'!$H$9+(-63)</f>
        <v>46340</v>
      </c>
      <c r="J38" s="382" t="n">
        <f aca="false">'Master Plan'!$H$9+(-59)</f>
        <v>46344</v>
      </c>
      <c r="K38" s="387"/>
      <c r="L38" s="387"/>
      <c r="M38" s="383" t="str">
        <f aca="false">IF('อัปเดตงาน WBS'!$L$111="","",'อัปเดตงาน WBS'!$L$111)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49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Plan'!$H$9+(-45)</f>
        <v>46358</v>
      </c>
      <c r="J39" s="373" t="n">
        <f aca="false">'Master Plan'!$H$9+(-45)</f>
        <v>46358</v>
      </c>
      <c r="K39" s="78"/>
      <c r="L39" s="78" t="str">
        <f aca="false">IF(ISNUMBER(อัปเดตรายสัปดาห์!$L$9),อัปเดตรายสัปดาห์!$L$9,"")</f>
        <v/>
      </c>
      <c r="M39" s="374" t="str">
        <f aca="false">IF(อัปเดตรายสัปดาห์!$L$9="Y","Y","")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Plan'!$H$9+(-45)</f>
        <v>46358</v>
      </c>
      <c r="J40" s="382" t="n">
        <f aca="false">'Master Plan'!$H$9+(-45)</f>
        <v>46358</v>
      </c>
      <c r="K40" s="387"/>
      <c r="L40" s="387"/>
      <c r="M40" s="383" t="str">
        <f aca="false">IF('อัปเดตงาน WBS'!$L$112="","",'อัปเดตงาน WBS'!$L$112)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Plan'!$H$9+(-45)</f>
        <v>46358</v>
      </c>
      <c r="J41" s="382" t="n">
        <f aca="false">'Master Plan'!$H$9+(-45)</f>
        <v>46358</v>
      </c>
      <c r="K41" s="387"/>
      <c r="L41" s="387"/>
      <c r="M41" s="383" t="str">
        <f aca="false">IF('อัปเดตงาน WBS'!$L$113="","",'อัปเดตงาน WBS'!$L$113)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Plan'!$H$9+(-45)</f>
        <v>46358</v>
      </c>
      <c r="J42" s="382" t="n">
        <f aca="false">'Master Plan'!$H$9+(-45)</f>
        <v>46358</v>
      </c>
      <c r="K42" s="387"/>
      <c r="L42" s="387"/>
      <c r="M42" s="383" t="str">
        <f aca="false">IF('อัปเดตงาน WBS'!$L$114="","",'อัปเดตงาน WBS'!$L$114)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Plan'!$H$9+(-68)</f>
        <v>46335</v>
      </c>
      <c r="J43" s="373" t="n">
        <f aca="false">'Master Plan'!$H$9+(-55)</f>
        <v>46348</v>
      </c>
      <c r="K43" s="78"/>
      <c r="L43" s="78" t="str">
        <f aca="false">IF(ISNUMBER(อัปเดตรายสัปดาห์!$M$9),อัปเดตรายสัปดาห์!$M$9,"")</f>
        <v/>
      </c>
      <c r="M43" s="374" t="str">
        <f aca="false">IF(อัปเดตรายสัปดาห์!$M$9="Y","Y","")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Plan'!$H$9+(-68)</f>
        <v>46335</v>
      </c>
      <c r="J44" s="382" t="n">
        <f aca="false">'Master Plan'!$H$9+(-65)</f>
        <v>46338</v>
      </c>
      <c r="K44" s="387"/>
      <c r="L44" s="387"/>
      <c r="M44" s="383" t="str">
        <f aca="false">IF('อัปเดตงาน WBS'!$L$115="","",'อัปเดตงาน WBS'!$L$115)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Plan'!$H$9+(-67)</f>
        <v>46336</v>
      </c>
      <c r="J45" s="382" t="n">
        <f aca="false">'Master Plan'!$H$9+(-62)</f>
        <v>46341</v>
      </c>
      <c r="K45" s="387"/>
      <c r="L45" s="387"/>
      <c r="M45" s="383" t="str">
        <f aca="false">IF('อัปเดตงาน WBS'!$L$116="","",'อัปเดตงาน WBS'!$L$116)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Plan'!$H$9+(-62)</f>
        <v>46341</v>
      </c>
      <c r="J46" s="382" t="n">
        <f aca="false">'Master Plan'!$H$9+(-55)</f>
        <v>46348</v>
      </c>
      <c r="K46" s="387"/>
      <c r="L46" s="387"/>
      <c r="M46" s="383" t="str">
        <f aca="false">IF('อัปเดตงาน WBS'!$L$117="","",'อัปเดตงาน WBS'!$L$117)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Plan'!$H$9+(-12)</f>
        <v>46391</v>
      </c>
      <c r="J47" s="373" t="n">
        <f aca="false">'Master Plan'!$H$9+(-12)</f>
        <v>46391</v>
      </c>
      <c r="K47" s="78"/>
      <c r="L47" s="78" t="str">
        <f aca="false">IF(ISNUMBER(อัปเดตรายสัปดาห์!$N$9),อัปเดตรายสัปดาห์!$N$9,"")</f>
        <v/>
      </c>
      <c r="M47" s="374" t="str">
        <f aca="false">IF(อัปเดตรายสัปดาห์!$N$9="Y","Y","")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Plan'!$AG$9)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Plan'!$H$9+(-12)</f>
        <v>46391</v>
      </c>
      <c r="J48" s="382" t="n">
        <f aca="false">'Master Plan'!$H$9+(-12)</f>
        <v>46391</v>
      </c>
      <c r="K48" s="387"/>
      <c r="L48" s="387"/>
      <c r="M48" s="383" t="str">
        <f aca="false">IF('อัปเดตงาน WBS'!$L$118="","",'อัปเดตงาน WBS'!$L$118)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Plan'!$H$9+(-12)</f>
        <v>46391</v>
      </c>
      <c r="J49" s="382" t="n">
        <f aca="false">'Master Plan'!$H$9+(-12)</f>
        <v>46391</v>
      </c>
      <c r="K49" s="387"/>
      <c r="L49" s="387"/>
      <c r="M49" s="383" t="str">
        <f aca="false">IF('อัปเดตงาน WBS'!$L$119="","",'อัปเดตงาน WBS'!$L$119)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Plan'!$H$9+(-11)</f>
        <v>46392</v>
      </c>
      <c r="J50" s="373" t="n">
        <f aca="false">'Master Plan'!$H$9+(18)</f>
        <v>46421</v>
      </c>
      <c r="K50" s="78"/>
      <c r="L50" s="78" t="str">
        <f aca="false">IF(ISNUMBER(อัปเดตรายสัปดาห์!$O$9),อัปเดตรายสัปดาห์!$O$9,"")</f>
        <v/>
      </c>
      <c r="M50" s="374" t="str">
        <f aca="false">IF(อัปเดตรายสัปดาห์!$O$9="Y","Y","")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Plan'!$H$9+(-12)</f>
        <v>46391</v>
      </c>
      <c r="J51" s="382" t="n">
        <f aca="false">'Master Plan'!$H$9+(-12)</f>
        <v>46391</v>
      </c>
      <c r="K51" s="387"/>
      <c r="L51" s="387"/>
      <c r="M51" s="383" t="str">
        <f aca="false">IF('อัปเดตงาน WBS'!$L$120="","",'อัปเดตงาน WBS'!$L$120)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IF(ISNUMBER(อัปเดตรายสัปดาห์!$P$9),อัปเดตรายสัปดาห์!$P$9,"")</f>
        <v/>
      </c>
      <c r="M52" s="374" t="str">
        <f aca="false">IF(อัปเดตรายสัปดาห์!$P$9="Y","Y","")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WBS'!$L$121="","",'อัปเดตงาน WBS'!$L$121)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WBS'!$L$122="","",'อัปเดตงาน WBS'!$L$122)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Plan'!$H$9+(-12)</f>
        <v>46391</v>
      </c>
      <c r="J55" s="373" t="n">
        <f aca="false">'Master Plan'!$H$9+(-12)</f>
        <v>46391</v>
      </c>
      <c r="K55" s="78"/>
      <c r="L55" s="78" t="str">
        <f aca="false">IF(ISNUMBER(อัปเดตรายสัปดาห์!$Q$9),อัปเดตรายสัปดาห์!$Q$9,"")</f>
        <v/>
      </c>
      <c r="M55" s="374" t="str">
        <f aca="false">IF(อัปเดตรายสัปดาห์!$Q$9="Y","Y","")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Plan'!$AC$9)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IF(ISNUMBER(อัปเดตรายสัปดาห์!$R$9),อัปเดตรายสัปดาห์!$R$9,"")</f>
        <v/>
      </c>
      <c r="M56" s="374" t="str">
        <f aca="false">IF(อัปเดตรายสัปดาห์!$R$9="Y","Y","")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Plan'!$H$9+(-11)</f>
        <v>46392</v>
      </c>
      <c r="J57" s="373" t="n">
        <f aca="false">'Master Plan'!$H$9+(9)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IF(ISNUMBER(อัปเดตรายสัปดาห์!$S$9),อัปเดตรายสัปดาห์!$S$9,"")</f>
        <v/>
      </c>
      <c r="M57" s="374" t="str">
        <f aca="false">IF(อัปเดตรายสัปดาห์!$S$9="Y","Y","")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Plan'!$AD$9)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Plan'!$H$9+(10)</f>
        <v>46413</v>
      </c>
      <c r="J58" s="373" t="n">
        <f aca="false">'Master Plan'!$H$9+(16)</f>
        <v>46419</v>
      </c>
      <c r="K58" s="78"/>
      <c r="L58" s="78" t="str">
        <f aca="false">IF(ISNUMBER(อัปเดตรายสัปดาห์!$T$9),อัปเดตรายสัปดาห์!$T$9,"")</f>
        <v/>
      </c>
      <c r="M58" s="374" t="str">
        <f aca="false">IF(อัปเดตรายสัปดาห์!$T$9="Y","Y","")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Plan'!$AE$9)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Plan'!$H$9+(17)</f>
        <v>46420</v>
      </c>
      <c r="J59" s="373" t="n">
        <f aca="false">'Master Plan'!$H$9+(17)</f>
        <v>46420</v>
      </c>
      <c r="K59" s="78"/>
      <c r="L59" s="78" t="str">
        <f aca="false">IF(ISNUMBER(อัปเดตรายสัปดาห์!$U$9),อัปเดตรายสัปดาห์!$U$9,"")</f>
        <v/>
      </c>
      <c r="M59" s="374" t="str">
        <f aca="false">IF(อัปเดตรายสัปดาห์!$U$9="Y","Y","")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Plan'!$AF$9)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49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Plan'!$H$9+(18)</f>
        <v>46421</v>
      </c>
      <c r="J60" s="373" t="n">
        <f aca="false">'Master Plan'!$H$9+(33)</f>
        <v>46436</v>
      </c>
      <c r="K60" s="78"/>
      <c r="L60" s="78" t="str">
        <f aca="false">IF(ISNUMBER(อัปเดตรายสัปดาห์!$V$9),อัปเดตรายสัปดาห์!$V$9,"")</f>
        <v/>
      </c>
      <c r="M60" s="374" t="str">
        <f aca="false">IF(อัปเดตรายสัปดาห์!$V$9="Y","Y","")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Plan'!$AH$9)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3667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Plan'!$H$9+(-42)</f>
        <v>46361</v>
      </c>
      <c r="J62" s="373" t="n">
        <f aca="false">'Master Plan'!$H$9+(-25)</f>
        <v>46378</v>
      </c>
      <c r="K62" s="78"/>
      <c r="L62" s="78" t="str">
        <f aca="false">IF(ISNUMBER(อัปเดตรายสัปดาห์!$W$9),อัปเดตรายสัปดาห์!$W$9,"")</f>
        <v/>
      </c>
      <c r="M62" s="374" t="str">
        <f aca="false">IF(อัปเดตรายสัปดาห์!$W$9="Y","Y","")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-002",SITE_TYPE,"?*")&gt;0,MIN(1,SUMPRODUCT((SITE_ST="P9-002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Plan'!$H$9+(-42)</f>
        <v>46361</v>
      </c>
      <c r="J63" s="382" t="n">
        <f aca="false">'Master Plan'!$H$9+(-40)</f>
        <v>46363</v>
      </c>
      <c r="K63" s="387"/>
      <c r="L63" s="387"/>
      <c r="M63" s="383" t="str">
        <f aca="false">IF('อัปเดตงาน WBS'!$L$123="","",'อัปเดตงาน WBS'!$L$123)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Plan'!$H$9+(-42)</f>
        <v>46361</v>
      </c>
      <c r="J64" s="382" t="n">
        <f aca="false">'Master Plan'!$H$9+(-39)</f>
        <v>46364</v>
      </c>
      <c r="K64" s="387"/>
      <c r="L64" s="387"/>
      <c r="M64" s="383" t="str">
        <f aca="false">IF('อัปเดตงาน WBS'!$L$124="","",'อัปเดตงาน WBS'!$L$124)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Plan'!$H$9+(-40)</f>
        <v>46363</v>
      </c>
      <c r="J65" s="382" t="n">
        <f aca="false">'Master Plan'!$H$9+(-34)</f>
        <v>46369</v>
      </c>
      <c r="K65" s="387"/>
      <c r="L65" s="387"/>
      <c r="M65" s="383" t="str">
        <f aca="false">IF('อัปเดตงาน WBS'!$L$125="","",'อัปเดตงาน WBS'!$L$125)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Plan'!$H$9+(-35)</f>
        <v>46368</v>
      </c>
      <c r="J66" s="382" t="n">
        <f aca="false">'Master Plan'!$H$9+(-28)</f>
        <v>46375</v>
      </c>
      <c r="K66" s="387"/>
      <c r="L66" s="387"/>
      <c r="M66" s="383" t="str">
        <f aca="false">IF('อัปเดตงาน WBS'!$L$126="","",'อัปเดตงาน WBS'!$L$126)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Plan'!$H$9+(-32)</f>
        <v>46371</v>
      </c>
      <c r="J67" s="382" t="n">
        <f aca="false">'Master Plan'!$H$9+(-26)</f>
        <v>46377</v>
      </c>
      <c r="K67" s="387"/>
      <c r="L67" s="387"/>
      <c r="M67" s="383" t="str">
        <f aca="false">IF('อัปเดตงาน WBS'!$L$127="","",'อัปเดตงาน WBS'!$L$127)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Plan'!$H$9+(-28)</f>
        <v>46375</v>
      </c>
      <c r="J68" s="382" t="n">
        <f aca="false">'Master Plan'!$H$9+(-25)</f>
        <v>46378</v>
      </c>
      <c r="K68" s="387"/>
      <c r="L68" s="387"/>
      <c r="M68" s="383" t="str">
        <f aca="false">IF('อัปเดตงาน WBS'!$L$128="","",'อัปเดตงาน WBS'!$L$128)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Plan'!$H$9+(-26)</f>
        <v>46377</v>
      </c>
      <c r="J69" s="382" t="n">
        <f aca="false">'Master Plan'!$H$9+(-25)</f>
        <v>46378</v>
      </c>
      <c r="K69" s="387"/>
      <c r="L69" s="387"/>
      <c r="M69" s="383" t="str">
        <f aca="false">IF('อัปเดตงาน WBS'!$L$129="","",'อัปเดตงาน WBS'!$L$129)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3667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Plan'!$H$9+(-24)</f>
        <v>46379</v>
      </c>
      <c r="J70" s="373" t="n">
        <f aca="false">'Master Plan'!$H$9+(-15)</f>
        <v>46388</v>
      </c>
      <c r="K70" s="78"/>
      <c r="L70" s="78" t="str">
        <f aca="false">IF(ISNUMBER(อัปเดตรายสัปดาห์!$X$9),อัปเดตรายสัปดาห์!$X$9,"")</f>
        <v/>
      </c>
      <c r="M70" s="374" t="str">
        <f aca="false">IF(อัปเดตรายสัปดาห์!$X$9="Y","Y","")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-002",SITE_TYPE,"?*")&gt;0,MIN(1,SUMPRODUCT((SITE_ST="P9-002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Plan'!$H$9+(-24)</f>
        <v>46379</v>
      </c>
      <c r="J71" s="382" t="n">
        <f aca="false">'Master Plan'!$H$9+(-20)</f>
        <v>46383</v>
      </c>
      <c r="K71" s="387"/>
      <c r="L71" s="387"/>
      <c r="M71" s="383" t="str">
        <f aca="false">IF('อัปเดตงาน WBS'!$L$130="","",'อัปเดตงาน WBS'!$L$130)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Plan'!$H$9+(-22)</f>
        <v>46381</v>
      </c>
      <c r="J72" s="382" t="n">
        <f aca="false">'Master Plan'!$H$9+(-17)</f>
        <v>46386</v>
      </c>
      <c r="K72" s="387"/>
      <c r="L72" s="387"/>
      <c r="M72" s="383" t="str">
        <f aca="false">IF('อัปเดตงาน WBS'!$L$131="","",'อัปเดตงาน WBS'!$L$131)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Plan'!$H$9+(-21)</f>
        <v>46382</v>
      </c>
      <c r="J73" s="382" t="n">
        <f aca="false">'Master Plan'!$H$9+(-17)</f>
        <v>46386</v>
      </c>
      <c r="K73" s="387"/>
      <c r="L73" s="387"/>
      <c r="M73" s="383" t="str">
        <f aca="false">IF('อัปเดตงาน WBS'!$L$132="","",'อัปเดตงาน WBS'!$L$132)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Plan'!$H$9+(-20)</f>
        <v>46383</v>
      </c>
      <c r="J74" s="382" t="n">
        <f aca="false">'Master Plan'!$H$9+(-15)</f>
        <v>46388</v>
      </c>
      <c r="K74" s="387"/>
      <c r="L74" s="387"/>
      <c r="M74" s="383" t="str">
        <f aca="false">IF('อัปเดตงาน WBS'!$L$133="","",'อัปเดตงาน WBS'!$L$133)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Plan'!$H$9+(-17)</f>
        <v>46386</v>
      </c>
      <c r="J75" s="382" t="n">
        <f aca="false">'Master Plan'!$H$9+(-15)</f>
        <v>46388</v>
      </c>
      <c r="K75" s="387"/>
      <c r="L75" s="387"/>
      <c r="M75" s="383" t="str">
        <f aca="false">IF('อัปเดตงาน WBS'!$L$134="","",'อัปเดตงาน WBS'!$L$134)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3667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Plan'!$H$9+(-24)</f>
        <v>46379</v>
      </c>
      <c r="J76" s="373" t="n">
        <f aca="false">'Master Plan'!$H$9+(-15)</f>
        <v>46388</v>
      </c>
      <c r="K76" s="78"/>
      <c r="L76" s="78" t="str">
        <f aca="false">IF(ISNUMBER(อัปเดตรายสัปดาห์!$Y$9),อัปเดตรายสัปดาห์!$Y$9,"")</f>
        <v/>
      </c>
      <c r="M76" s="374" t="str">
        <f aca="false">IF(อัปเดตรายสัปดาห์!$Y$9="Y","Y","")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-002",SITE_TYPE,"?*")&gt;0,MIN(1,SUMPRODUCT((SITE_ST="P9-002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Plan'!$H$9+(-24)</f>
        <v>46379</v>
      </c>
      <c r="J77" s="382" t="n">
        <f aca="false">'Master Plan'!$H$9+(-21)</f>
        <v>46382</v>
      </c>
      <c r="K77" s="387"/>
      <c r="L77" s="387"/>
      <c r="M77" s="383" t="str">
        <f aca="false">IF('อัปเดตงาน WBS'!$L$135="","",'อัปเดตงาน WBS'!$L$135)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Plan'!$H$9+(-23)</f>
        <v>46380</v>
      </c>
      <c r="J78" s="382" t="n">
        <f aca="false">'Master Plan'!$H$9+(-16)</f>
        <v>46387</v>
      </c>
      <c r="K78" s="387"/>
      <c r="L78" s="387"/>
      <c r="M78" s="383" t="str">
        <f aca="false">IF('อัปเดตงาน WBS'!$L$136="","",'อัปเดตงาน WBS'!$L$136)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Plan'!$H$9+(-20)</f>
        <v>46383</v>
      </c>
      <c r="J79" s="382" t="n">
        <f aca="false">'Master Plan'!$H$9+(-15)</f>
        <v>46388</v>
      </c>
      <c r="K79" s="387"/>
      <c r="L79" s="387"/>
      <c r="M79" s="383" t="str">
        <f aca="false">IF('อัปเดตงาน WBS'!$L$137="","",'อัปเดตงาน WBS'!$L$137)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Plan'!$H$9+(-17)</f>
        <v>46386</v>
      </c>
      <c r="J80" s="382" t="n">
        <f aca="false">'Master Plan'!$H$9+(-15)</f>
        <v>46388</v>
      </c>
      <c r="K80" s="387"/>
      <c r="L80" s="387"/>
      <c r="M80" s="383" t="str">
        <f aca="false">IF('อัปเดตงาน WBS'!$L$138="","",'อัปเดตงาน WBS'!$L$138)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Plan'!$H$9+(-15)</f>
        <v>46388</v>
      </c>
      <c r="J81" s="382" t="n">
        <f aca="false">'Master Plan'!$H$9+(-15)</f>
        <v>46388</v>
      </c>
      <c r="K81" s="387"/>
      <c r="L81" s="387"/>
      <c r="M81" s="383" t="str">
        <f aca="false">IF('อัปเดตงาน WBS'!$L$139="","",'อัปเดตงาน WBS'!$L$139)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3667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Plan'!$H$9+(-21)</f>
        <v>46382</v>
      </c>
      <c r="J82" s="373" t="n">
        <f aca="false">'Master Plan'!$H$9+(-18)</f>
        <v>46385</v>
      </c>
      <c r="K82" s="78"/>
      <c r="L82" s="78" t="str">
        <f aca="false">IF(ISNUMBER(อัปเดตรายสัปดาห์!$Z$9),อัปเดตรายสัปดาห์!$Z$9,"")</f>
        <v/>
      </c>
      <c r="M82" s="374" t="str">
        <f aca="false">IF(อัปเดตรายสัปดาห์!$Z$9="Y","Y","")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Plan'!$H$9+(-21)</f>
        <v>46382</v>
      </c>
      <c r="J83" s="382" t="n">
        <f aca="false">'Master Plan'!$H$9+(-19)</f>
        <v>46384</v>
      </c>
      <c r="K83" s="387"/>
      <c r="L83" s="387"/>
      <c r="M83" s="383" t="str">
        <f aca="false">IF('อัปเดตงาน WBS'!$L$140="","",'อัปเดตงาน WBS'!$L$140)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Plan'!$H$9+(-20)</f>
        <v>46383</v>
      </c>
      <c r="J84" s="382" t="n">
        <f aca="false">'Master Plan'!$H$9+(-18)</f>
        <v>46385</v>
      </c>
      <c r="K84" s="387"/>
      <c r="L84" s="387"/>
      <c r="M84" s="383" t="str">
        <f aca="false">IF('อัปเดตงาน WBS'!$L$141="","",'อัปเดตงาน WBS'!$L$141)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3667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Plan'!$H$9+(-25)</f>
        <v>46378</v>
      </c>
      <c r="J85" s="373" t="n">
        <f aca="false">'Master Plan'!$H$9+(-17)</f>
        <v>46386</v>
      </c>
      <c r="K85" s="78"/>
      <c r="L85" s="78" t="str">
        <f aca="false">IF(ISNUMBER(อัปเดตรายสัปดาห์!$AA$9),อัปเดตรายสัปดาห์!$AA$9,"")</f>
        <v/>
      </c>
      <c r="M85" s="374" t="str">
        <f aca="false">IF(อัปเดตรายสัปดาห์!$AA$9="Y","Y","")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Plan'!$H$9+(-25)</f>
        <v>46378</v>
      </c>
      <c r="J86" s="382" t="n">
        <f aca="false">'Master Plan'!$H$9+(-21)</f>
        <v>46382</v>
      </c>
      <c r="K86" s="387"/>
      <c r="L86" s="387"/>
      <c r="M86" s="383" t="str">
        <f aca="false">IF('อัปเดตงาน WBS'!$L$142="","",'อัปเดตงาน WBS'!$L$142)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Plan'!$H$9+(-22)</f>
        <v>46381</v>
      </c>
      <c r="J87" s="382" t="n">
        <f aca="false">'Master Plan'!$H$9+(-18)</f>
        <v>46385</v>
      </c>
      <c r="K87" s="387"/>
      <c r="L87" s="387"/>
      <c r="M87" s="383" t="str">
        <f aca="false">IF('อัปเดตงาน WBS'!$L$143="","",'อัปเดตงาน WBS'!$L$143)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Plan'!$H$9+(-20)</f>
        <v>46383</v>
      </c>
      <c r="J88" s="382" t="n">
        <f aca="false">'Master Plan'!$H$9+(-17)</f>
        <v>46386</v>
      </c>
      <c r="K88" s="387"/>
      <c r="L88" s="387"/>
      <c r="M88" s="383" t="str">
        <f aca="false">IF('อัปเดตงาน WBS'!$L$144="","",'อัปเดตงาน WBS'!$L$144)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Plan'!$H$9+(-18)</f>
        <v>46385</v>
      </c>
      <c r="J89" s="382" t="n">
        <f aca="false">'Master Plan'!$H$9+(-17)</f>
        <v>46386</v>
      </c>
      <c r="K89" s="387"/>
      <c r="L89" s="387"/>
      <c r="M89" s="383" t="str">
        <f aca="false">IF('อัปเดตงาน WBS'!$L$145="","",'อัปเดตงาน WBS'!$L$145)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3667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Plan'!$H$9+(-25)</f>
        <v>46378</v>
      </c>
      <c r="J90" s="373" t="n">
        <f aca="false">'Master Plan'!$H$9+(-16)</f>
        <v>46387</v>
      </c>
      <c r="K90" s="78"/>
      <c r="L90" s="78" t="str">
        <f aca="false">IF(ISNUMBER(อัปเดตรายสัปดาห์!$AB$9),อัปเดตรายสัปดาห์!$AB$9,"")</f>
        <v/>
      </c>
      <c r="M90" s="374" t="str">
        <f aca="false">IF(อัปเดตรายสัปดาห์!$AB$9="Y","Y","")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Plan'!$H$9+(-25)</f>
        <v>46378</v>
      </c>
      <c r="J91" s="382" t="n">
        <f aca="false">'Master Plan'!$H$9+(-20)</f>
        <v>46383</v>
      </c>
      <c r="K91" s="387"/>
      <c r="L91" s="387"/>
      <c r="M91" s="383" t="str">
        <f aca="false">IF('อัปเดตงาน WBS'!$L$146="","",'อัปเดตงาน WBS'!$L$146)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Plan'!$H$9+(-20)</f>
        <v>46383</v>
      </c>
      <c r="J92" s="382" t="n">
        <f aca="false">'Master Plan'!$H$9+(-16)</f>
        <v>46387</v>
      </c>
      <c r="K92" s="387"/>
      <c r="L92" s="387"/>
      <c r="M92" s="383" t="str">
        <f aca="false">IF('อัปเดตงาน WBS'!$L$147="","",'อัปเดตงาน WBS'!$L$147)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Plan'!$H$9+(-25)</f>
        <v>46378</v>
      </c>
      <c r="J93" s="382" t="n">
        <f aca="false">'Master Plan'!$H$9+(-21)</f>
        <v>46382</v>
      </c>
      <c r="K93" s="387"/>
      <c r="L93" s="387"/>
      <c r="M93" s="383" t="str">
        <f aca="false">IF('อัปเดตงาน WBS'!$L$148="","",'อัปเดตงาน WBS'!$L$148)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Plan'!$H$9+(-21)</f>
        <v>46382</v>
      </c>
      <c r="J94" s="382" t="n">
        <f aca="false">'Master Plan'!$H$9+(-16)</f>
        <v>46387</v>
      </c>
      <c r="K94" s="387"/>
      <c r="L94" s="387"/>
      <c r="M94" s="383" t="str">
        <f aca="false">IF('อัปเดตงาน WBS'!$L$149="","",'อัปเดตงาน WBS'!$L$149)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Plan'!$H$9+(-17)</f>
        <v>46386</v>
      </c>
      <c r="J95" s="382" t="n">
        <f aca="false">'Master Plan'!$H$9+(-16)</f>
        <v>46387</v>
      </c>
      <c r="K95" s="387"/>
      <c r="L95" s="387"/>
      <c r="M95" s="383" t="str">
        <f aca="false">IF('อัปเดตงาน WBS'!$L$150="","",'อัปเดตงาน WBS'!$L$150)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3667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Plan'!$H$9+(-22)</f>
        <v>46381</v>
      </c>
      <c r="J96" s="373" t="n">
        <f aca="false">'Master Plan'!$H$9+(-16)</f>
        <v>46387</v>
      </c>
      <c r="K96" s="78"/>
      <c r="L96" s="78" t="str">
        <f aca="false">IF(ISNUMBER(อัปเดตรายสัปดาห์!$AC$9),อัปเดตรายสัปดาห์!$AC$9,"")</f>
        <v/>
      </c>
      <c r="M96" s="374" t="str">
        <f aca="false">IF(อัปเดตรายสัปดาห์!$AC$9="Y","Y","")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Plan'!$H$9+(-22)</f>
        <v>46381</v>
      </c>
      <c r="J97" s="382" t="n">
        <f aca="false">'Master Plan'!$H$9+(-17)</f>
        <v>46386</v>
      </c>
      <c r="K97" s="387"/>
      <c r="L97" s="387"/>
      <c r="M97" s="383" t="str">
        <f aca="false">IF('อัปเดตงาน WBS'!$L$151="","",'อัปเดตงาน WBS'!$L$151)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Plan'!$H$9+(-20)</f>
        <v>46383</v>
      </c>
      <c r="J98" s="382" t="n">
        <f aca="false">'Master Plan'!$H$9+(-16)</f>
        <v>46387</v>
      </c>
      <c r="K98" s="387"/>
      <c r="L98" s="387"/>
      <c r="M98" s="383" t="str">
        <f aca="false">IF('อัปเดตงาน WBS'!$L$152="","",'อัปเดตงาน WBS'!$L$152)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Plan'!$H$9+(-17)</f>
        <v>46386</v>
      </c>
      <c r="J99" s="382" t="n">
        <f aca="false">'Master Plan'!$H$9+(-16)</f>
        <v>46387</v>
      </c>
      <c r="K99" s="387"/>
      <c r="L99" s="387"/>
      <c r="M99" s="383" t="str">
        <f aca="false">IF('อัปเดตงาน WBS'!$L$153="","",'อัปเดตงาน WBS'!$L$153)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3667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Plan'!$H$9+(-20)</f>
        <v>46383</v>
      </c>
      <c r="J100" s="373" t="n">
        <f aca="false">'Master Plan'!$H$9+(-15)</f>
        <v>46388</v>
      </c>
      <c r="K100" s="78"/>
      <c r="L100" s="78" t="str">
        <f aca="false">IF(ISNUMBER(อัปเดตรายสัปดาห์!$AD$9),อัปเดตรายสัปดาห์!$AD$9,"")</f>
        <v/>
      </c>
      <c r="M100" s="374" t="str">
        <f aca="false">IF(อัปเดตรายสัปดาห์!$AD$9="Y","Y","")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Plan'!$H$9+(-20)</f>
        <v>46383</v>
      </c>
      <c r="J101" s="382" t="n">
        <f aca="false">'Master Plan'!$H$9+(-19)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Plan'!$H$9+(-19)</f>
        <v>46384</v>
      </c>
      <c r="J102" s="382" t="n">
        <f aca="false">'Master Plan'!$H$9+(-16)</f>
        <v>46387</v>
      </c>
      <c r="K102" s="387"/>
      <c r="L102" s="387"/>
      <c r="M102" s="383" t="str">
        <f aca="false">IF('อัปเดตงาน WBS'!$L$154="","",'อัปเดตงาน WBS'!$L$154)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Plan'!$H$9+(-18)</f>
        <v>46385</v>
      </c>
      <c r="J104" s="382" t="n">
        <f aca="false">'Master Plan'!$H$9+(-16)</f>
        <v>46387</v>
      </c>
      <c r="K104" s="387"/>
      <c r="L104" s="387"/>
      <c r="M104" s="383" t="str">
        <f aca="false">IF('อัปเดตงาน WBS'!$L$155="","",'อัปเดตงาน WBS'!$L$155)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Plan'!$H$9+(-18)</f>
        <v>46385</v>
      </c>
      <c r="J105" s="382" t="n">
        <f aca="false">'Master Plan'!$H$9+(-15)</f>
        <v>46388</v>
      </c>
      <c r="K105" s="387"/>
      <c r="L105" s="387"/>
      <c r="M105" s="383" t="str">
        <f aca="false">IF('อัปเดตงาน WBS'!$L$156="","",'อัปเดตงาน WBS'!$L$156)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Plan'!$H$9+(-16)</f>
        <v>46387</v>
      </c>
      <c r="J106" s="382" t="n">
        <f aca="false">'Master Plan'!$H$9+(-15)</f>
        <v>46388</v>
      </c>
      <c r="K106" s="387"/>
      <c r="L106" s="387"/>
      <c r="M106" s="383" t="str">
        <f aca="false">IF('อัปเดตงาน WBS'!$L$157="","",'อัปเดตงาน WBS'!$L$157)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3667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Plan'!$H$9+(-18)</f>
        <v>46385</v>
      </c>
      <c r="J107" s="373" t="n">
        <f aca="false">'Master Plan'!$H$9+(-14)</f>
        <v>46389</v>
      </c>
      <c r="K107" s="78"/>
      <c r="L107" s="78" t="str">
        <f aca="false">IF(ISNUMBER(อัปเดตรายสัปดาห์!$AE$9),อัปเดตรายสัปดาห์!$AE$9,"")</f>
        <v/>
      </c>
      <c r="M107" s="374" t="str">
        <f aca="false">IF(อัปเดตรายสัปดาห์!$AE$9="Y","Y","")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Plan'!$H$9+(-18)</f>
        <v>46385</v>
      </c>
      <c r="J108" s="382" t="n">
        <f aca="false">'Master Plan'!$H$9+(-15)</f>
        <v>46388</v>
      </c>
      <c r="K108" s="387"/>
      <c r="L108" s="387"/>
      <c r="M108" s="383" t="str">
        <f aca="false">IF('อัปเดตงาน WBS'!$L$158="","",'อัปเดตงาน WBS'!$L$158)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Plan'!$H$9+(-16)</f>
        <v>46387</v>
      </c>
      <c r="J109" s="382" t="n">
        <f aca="false">'Master Plan'!$H$9+(-14)</f>
        <v>46389</v>
      </c>
      <c r="K109" s="387"/>
      <c r="L109" s="387"/>
      <c r="M109" s="383" t="str">
        <f aca="false">IF('อัปเดตงาน WBS'!$L$159="","",'อัปเดตงาน WBS'!$L$159)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Plan'!$H$9+(-17)</f>
        <v>46386</v>
      </c>
      <c r="J110" s="382" t="n">
        <f aca="false">'Master Plan'!$H$9+(-15)</f>
        <v>46388</v>
      </c>
      <c r="K110" s="387"/>
      <c r="L110" s="387"/>
      <c r="M110" s="383" t="str">
        <f aca="false">IF('อัปเดตงาน WBS'!$L$160="","",'อัปเดตงาน WBS'!$L$160)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49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Plan'!$H$9+(-13)</f>
        <v>46390</v>
      </c>
      <c r="J111" s="373" t="n">
        <f aca="false">'Master Plan'!$H$9+(-13)</f>
        <v>46390</v>
      </c>
      <c r="K111" s="78"/>
      <c r="L111" s="78" t="str">
        <f aca="false">IF(ISNUMBER(อัปเดตรายสัปดาห์!$AF$9),อัปเดตรายสัปดาห์!$AF$9,"")</f>
        <v/>
      </c>
      <c r="M111" s="374" t="str">
        <f aca="false">IF(อัปเดตรายสัปดาห์!$AF$9="Y","Y","")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Plan'!$Y$9)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Plan'!$H$9+(-13)</f>
        <v>46390</v>
      </c>
      <c r="J112" s="382" t="n">
        <f aca="false">'Master Plan'!$H$9+(-13)</f>
        <v>46390</v>
      </c>
      <c r="K112" s="387"/>
      <c r="L112" s="387"/>
      <c r="M112" s="383" t="str">
        <f aca="false">IF('อัปเดตงาน WBS'!$L$161="","",'อัปเดตงาน WBS'!$L$161)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Plan'!$H$9+(-13)</f>
        <v>46390</v>
      </c>
      <c r="J113" s="382" t="n">
        <f aca="false">'Master Plan'!$H$9+(-13)</f>
        <v>46390</v>
      </c>
      <c r="K113" s="387"/>
      <c r="L113" s="387"/>
      <c r="M113" s="383" t="str">
        <f aca="false">IF('อัปเดตงาน WBS'!$L$162="","",'อัปเดตงาน WBS'!$L$162)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3667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Plan'!$H$9+(-12)</f>
        <v>46391</v>
      </c>
      <c r="J115" s="373" t="n">
        <f aca="false">'Master Plan'!$H$9+(-10)</f>
        <v>46393</v>
      </c>
      <c r="K115" s="78"/>
      <c r="L115" s="78" t="str">
        <f aca="false">IF(ISNUMBER(อัปเดตรายสัปดาห์!$AG$9),อัปเดตรายสัปดาห์!$AG$9,"")</f>
        <v/>
      </c>
      <c r="M115" s="374" t="str">
        <f aca="false">IF(อัปเดตรายสัปดาห์!$AG$9="Y","Y","")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Plan'!$AA$9)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Plan'!$H$9+(-12)</f>
        <v>46391</v>
      </c>
      <c r="J116" s="382" t="n">
        <f aca="false">'Master Plan'!$H$9+(-12)</f>
        <v>46391</v>
      </c>
      <c r="K116" s="387"/>
      <c r="L116" s="387"/>
      <c r="M116" s="383" t="str">
        <f aca="false">IF('อัปเดตงาน WBS'!$L$163="","",'อัปเดตงาน WBS'!$L$163)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Plan'!$H$9+(-12)</f>
        <v>46391</v>
      </c>
      <c r="J117" s="382" t="n">
        <f aca="false">'Master Plan'!$H$9+(-11)</f>
        <v>46392</v>
      </c>
      <c r="K117" s="387"/>
      <c r="L117" s="387"/>
      <c r="M117" s="383" t="str">
        <f aca="false">IF('อัปเดตงาน WBS'!$L$164="","",'อัปเดตงาน WBS'!$L$164)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Plan'!$H$9+(-11)</f>
        <v>46392</v>
      </c>
      <c r="J118" s="382" t="n">
        <f aca="false">'Master Plan'!$H$9+(-11)</f>
        <v>46392</v>
      </c>
      <c r="K118" s="387"/>
      <c r="L118" s="387"/>
      <c r="M118" s="383" t="str">
        <f aca="false">IF('อัปเดตงาน WBS'!$L$165="","",'อัปเดตงาน WBS'!$L$165)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Plan'!$H$9+(-11)</f>
        <v>46392</v>
      </c>
      <c r="J119" s="382" t="n">
        <f aca="false">'Master Plan'!$H$9+(-11)</f>
        <v>46392</v>
      </c>
      <c r="K119" s="387"/>
      <c r="L119" s="387"/>
      <c r="M119" s="383" t="str">
        <f aca="false">IF('อัปเดตงาน WBS'!$L$166="","",'อัปเดตงาน WBS'!$L$166)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Plan'!$H$9+(-11)</f>
        <v>46392</v>
      </c>
      <c r="J120" s="382" t="n">
        <f aca="false">'Master Plan'!$H$9+(-10)</f>
        <v>46393</v>
      </c>
      <c r="K120" s="387"/>
      <c r="L120" s="387"/>
      <c r="M120" s="383" t="str">
        <f aca="false">IF('อัปเดตงาน WBS'!$L$167="","",'อัปเดตงาน WBS'!$L$167)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Plan'!$H$9+(-11)</f>
        <v>46392</v>
      </c>
      <c r="J121" s="382" t="n">
        <f aca="false">'Master Plan'!$H$9+(-10)</f>
        <v>46393</v>
      </c>
      <c r="K121" s="387"/>
      <c r="L121" s="387"/>
      <c r="M121" s="383" t="str">
        <f aca="false">IF('อัปเดตงาน WBS'!$L$168="","",'อัปเดตงาน WBS'!$L$168)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49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Plan'!$H$9+(-10)</f>
        <v>46393</v>
      </c>
      <c r="J122" s="373" t="n">
        <f aca="false">'Master Plan'!$H$9+(-10)</f>
        <v>46393</v>
      </c>
      <c r="K122" s="78"/>
      <c r="L122" s="78" t="str">
        <f aca="false">IF(ISNUMBER(อัปเดตรายสัปดาห์!$AH$9),อัปเดตรายสัปดาห์!$AH$9,"")</f>
        <v/>
      </c>
      <c r="M122" s="374" t="str">
        <f aca="false">IF(อัปเดตรายสัปดาห์!$AH$9="Y","Y","")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Plan'!$Z$9)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49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Plan'!$H$9+(-12)</f>
        <v>46391</v>
      </c>
      <c r="J123" s="373" t="n">
        <f aca="false">'Master Plan'!$H$9+(-8)</f>
        <v>46395</v>
      </c>
      <c r="K123" s="78" t="str">
        <f aca="false">IF(ISNUMBER(อัปเดตรายสัปดาห์!$AI$9),อัปเดตรายสัปดาห์!$AI$9,"")</f>
        <v/>
      </c>
      <c r="L123" s="78" t="str">
        <f aca="false">IF(ISNUMBER(อัปเดตรายสัปดาห์!$AJ$9),อัปเดตรายสัปดาห์!$AJ$9,"")</f>
        <v/>
      </c>
      <c r="M123" s="374" t="str">
        <f aca="false">IF(อัปเดตรายสัปดาห์!$AJ$9="Y","Y","")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49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Plan'!$H$9+(37)</f>
        <v>46440</v>
      </c>
      <c r="J124" s="373" t="n">
        <f aca="false">'Master Plan'!$H$9+(50)</f>
        <v>46453</v>
      </c>
      <c r="K124" s="78"/>
      <c r="L124" s="78" t="str">
        <f aca="false">IF(ISNUMBER(อัปเดตรายสัปดาห์!$AK$9),อัปเดตรายสัปดาห์!$AK$9,"")</f>
        <v/>
      </c>
      <c r="M124" s="374" t="str">
        <f aca="false">IF(อัปเดตรายสัปดาห์!$AK$9="Y","Y","")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Plan'!$H$9+(37)</f>
        <v>46440</v>
      </c>
      <c r="J125" s="382" t="n">
        <f aca="false">'Master Plan'!$H$9+(41)</f>
        <v>46444</v>
      </c>
      <c r="K125" s="387"/>
      <c r="L125" s="387"/>
      <c r="M125" s="383" t="str">
        <f aca="false">IF('อัปเดตงาน WBS'!$L$169="","",'อัปเดตงาน WBS'!$L$169)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Plan'!$H$9+(40)</f>
        <v>46443</v>
      </c>
      <c r="J126" s="382" t="n">
        <f aca="false">'Master Plan'!$H$9+(47)</f>
        <v>46450</v>
      </c>
      <c r="K126" s="387"/>
      <c r="L126" s="387"/>
      <c r="M126" s="383" t="str">
        <f aca="false">IF('อัปเดตงาน WBS'!$L$170="","",'อัปเดตงาน WBS'!$L$170)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Plan'!$H$9+(47)</f>
        <v>46450</v>
      </c>
      <c r="J127" s="382" t="n">
        <f aca="false">'Master Plan'!$H$9+(50)</f>
        <v>46453</v>
      </c>
      <c r="K127" s="387"/>
      <c r="L127" s="387"/>
      <c r="M127" s="383" t="str">
        <f aca="false">IF('อัปเดตงาน WBS'!$L$171="","",'อัปเดตงาน WBS'!$L$171)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3667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Plan'!$H$9+(0)</f>
        <v>46403</v>
      </c>
      <c r="J128" s="373" t="n">
        <f aca="false">'Master Plan'!$H$9+(0)</f>
        <v>46403</v>
      </c>
      <c r="K128" s="78"/>
      <c r="L128" s="78" t="str">
        <f aca="false">IF(ISNUMBER(อัปเดตรายสัปดาห์!$AL$9),อัปเดตรายสัปดาห์!$AL$9,"")</f>
        <v/>
      </c>
      <c r="M128" s="374" t="str">
        <f aca="false">IF(อัปเดตรายสัปดาห์!$AL$9="Y","Y","")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Plan'!$AB$9)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Plan'!$H$9+(0)</f>
        <v>46403</v>
      </c>
      <c r="J129" s="373" t="n">
        <f aca="false">'Master Plan'!$H$9+(0)</f>
        <v>46403</v>
      </c>
      <c r="K129" s="78"/>
      <c r="L129" s="78" t="str">
        <f aca="false">IF(ISNUMBER(อัปเดตรายสัปดาห์!$AM$9),อัปเดตรายสัปดาห์!$AM$9,"")</f>
        <v/>
      </c>
      <c r="M129" s="374" t="str">
        <f aca="false">IF(อัปเดตรายสัปดาห์!$AM$9="Y","Y","")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Plan'!$H$9+(0)</f>
        <v>46403</v>
      </c>
      <c r="J130" s="373" t="n">
        <f aca="false">'Master Plan'!$H$9+(0)</f>
        <v>46403</v>
      </c>
      <c r="K130" s="78"/>
      <c r="L130" s="78" t="str">
        <f aca="false">IF(ISNUMBER(อัปเดตรายสัปดาห์!$AN$9),อัปเดตรายสัปดาห์!$AN$9,"")</f>
        <v/>
      </c>
      <c r="M130" s="374" t="str">
        <f aca="false">IF(อัปเดตรายสัปดาห์!$AN$9="Y","Y","")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49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Plan'!$H$9+(34)</f>
        <v>46437</v>
      </c>
      <c r="J131" s="373" t="n">
        <f aca="false">'Master Plan'!$H$9+(36)</f>
        <v>46439</v>
      </c>
      <c r="K131" s="78"/>
      <c r="L131" s="78" t="str">
        <f aca="false">IF(ISNUMBER(อัปเดตรายสัปดาห์!$AO$9),อัปเดตรายสัปดาห์!$AO$9,"")</f>
        <v/>
      </c>
      <c r="M131" s="374" t="str">
        <f aca="false">IF(อัปเดตรายสัปดาห์!$AO$9="Y","Y","")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SUMPRODUCT((SITE_ST="P9-002")*(SITE_TYPE=$B136)*(SITE_TYPE&lt;&gt;""))</f>
        <v>2</v>
      </c>
      <c r="E136" s="397" t="n">
        <f aca="false">SUMPRODUCT((SITE_ST="P9-002")*(SITE_TYPE=$B136)*SITE_MOD)</f>
        <v>492</v>
      </c>
      <c r="I136" s="398" t="n">
        <f aca="false">SUMPRODUCT((SITE_ST="P9-002")*(SITE_TYPE=$B136)*SITE_KWP)</f>
        <v>280.44</v>
      </c>
      <c r="J136" s="35" t="n">
        <f aca="false">IF(SUMPRODUCT((SITE_ST="P9-002")*(SITE_TYPE=$B136)*(SITE_TYPE&lt;&gt;""))=0,"",SUMPRODUCT((SITE_ST="P9-002")*(SITE_TYPE=$B136)*SITE_S21*SITE_D21)/MAX(0.0001,SUMPRODUCT((SITE_ST="P9-002")*(SITE_TYPE=$B136)*SITE_S21)))</f>
        <v>0</v>
      </c>
      <c r="K136" s="32" t="str">
        <f aca="false">IF(SUMPRODUCT((SITE_ST="P9-002")*(SITE_TYPE=$B136)*(SITE_TYPE&lt;&gt;""))=0,"",SUMPRODUCT((SITE_ST="P9-002")*(SITE_TYPE=$B136)*(SITE_TYPE&lt;&gt;"")*(SITE_T22="Y"))&amp;"/"&amp;SUMPRODUCT((SITE_ST="P9-002")*(SITE_TYPE=$B136)*(SITE_TYPE&lt;&gt;"")))</f>
        <v>0/2</v>
      </c>
      <c r="L136" s="32" t="str">
        <f aca="false">IF(SUMPRODUCT((SITE_ST="P9-002")*(SITE_TYPE=$B136)*(SITE_TYPE&lt;&gt;""))=0,"",SUMPRODUCT((SITE_ST="P9-002")*(SITE_TYPE=$B136)*(SITE_TYPE&lt;&gt;"")*(SITE_T23="Y"))&amp;"/"&amp;SUMPRODUCT((SITE_ST="P9-002")*(SITE_TYPE=$B136)*(SITE_TYPE&lt;&gt;"")))</f>
        <v>0/2</v>
      </c>
      <c r="O136" s="32" t="str">
        <f aca="false">IF(SUMPRODUCT((SITE_ST="P9-002")*(SITE_TYPE=$B136)*(LEFT(SITE_LAD,4)="ติด:"))=0,"",SUMPRODUCT((SITE_ST="P9-002")*(SITE_TYPE=$B136)*(LEFT(SITE_LAD,4)="ติด:"))&amp;" จุด")</f>
        <v>2 จุด</v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SUMPRODUCT((SITE_ST="P9-002")*(SITE_TYPE=$B137)*(SITE_TYPE&lt;&gt;""))</f>
        <v>0</v>
      </c>
      <c r="E137" s="397" t="n">
        <f aca="false">SUMPRODUCT((SITE_ST="P9-002")*(SITE_TYPE=$B137)*SITE_MOD)</f>
        <v>0</v>
      </c>
      <c r="I137" s="398" t="n">
        <f aca="false">SUMPRODUCT((SITE_ST="P9-002")*(SITE_TYPE=$B137)*SITE_KWP)</f>
        <v>0</v>
      </c>
      <c r="J137" s="35" t="str">
        <f aca="false">IF(SUMPRODUCT((SITE_ST="P9-002")*(SITE_TYPE=$B137)*(SITE_TYPE&lt;&gt;""))=0,"",SUMPRODUCT((SITE_ST="P9-002")*(SITE_TYPE=$B137)*SITE_S21*SITE_D21)/MAX(0.0001,SUMPRODUCT((SITE_ST="P9-002")*(SITE_TYPE=$B137)*SITE_S21)))</f>
        <v/>
      </c>
      <c r="K137" s="32" t="str">
        <f aca="false">IF(SUMPRODUCT((SITE_ST="P9-002")*(SITE_TYPE=$B137)*(SITE_TYPE&lt;&gt;""))=0,"",SUMPRODUCT((SITE_ST="P9-002")*(SITE_TYPE=$B137)*(SITE_TYPE&lt;&gt;"")*(SITE_T22="Y"))&amp;"/"&amp;SUMPRODUCT((SITE_ST="P9-002")*(SITE_TYPE=$B137)*(SITE_TYPE&lt;&gt;"")))</f>
        <v/>
      </c>
      <c r="L137" s="32" t="str">
        <f aca="false">IF(SUMPRODUCT((SITE_ST="P9-002")*(SITE_TYPE=$B137)*(SITE_TYPE&lt;&gt;""))=0,"",SUMPRODUCT((SITE_ST="P9-002")*(SITE_TYPE=$B137)*(SITE_TYPE&lt;&gt;"")*(SITE_T23="Y"))&amp;"/"&amp;SUMPRODUCT((SITE_ST="P9-002")*(SITE_TYPE=$B137)*(SITE_TYPE&lt;&gt;"")))</f>
        <v/>
      </c>
      <c r="O137" s="32" t="str">
        <f aca="false">IF(SUMPRODUCT((SITE_ST="P9-002")*(SITE_TYPE=$B137)*(LEFT(SITE_LAD,4)="ติด:"))=0,"",SUMPRODUCT((SITE_ST="P9-002")*(SITE_TYPE=$B137)*(LEFT(SITE_LAD,4)="ติด:"))&amp;"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SUMPRODUCT((SITE_ST="P9-002")*(SITE_TYPE=$B138)*(SITE_TYPE&lt;&gt;""))</f>
        <v>0</v>
      </c>
      <c r="E138" s="397" t="n">
        <f aca="false">SUMPRODUCT((SITE_ST="P9-002")*(SITE_TYPE=$B138)*SITE_MOD)</f>
        <v>0</v>
      </c>
      <c r="I138" s="398" t="n">
        <f aca="false">SUMPRODUCT((SITE_ST="P9-002")*(SITE_TYPE=$B138)*SITE_KWP)</f>
        <v>0</v>
      </c>
      <c r="J138" s="35" t="str">
        <f aca="false">IF(SUMPRODUCT((SITE_ST="P9-002")*(SITE_TYPE=$B138)*(SITE_TYPE&lt;&gt;""))=0,"",SUMPRODUCT((SITE_ST="P9-002")*(SITE_TYPE=$B138)*SITE_S21*SITE_D21)/MAX(0.0001,SUMPRODUCT((SITE_ST="P9-002")*(SITE_TYPE=$B138)*SITE_S21)))</f>
        <v/>
      </c>
      <c r="K138" s="32" t="str">
        <f aca="false">IF(SUMPRODUCT((SITE_ST="P9-002")*(SITE_TYPE=$B138)*(SITE_TYPE&lt;&gt;""))=0,"",SUMPRODUCT((SITE_ST="P9-002")*(SITE_TYPE=$B138)*(SITE_TYPE&lt;&gt;"")*(SITE_T22="Y"))&amp;"/"&amp;SUMPRODUCT((SITE_ST="P9-002")*(SITE_TYPE=$B138)*(SITE_TYPE&lt;&gt;"")))</f>
        <v/>
      </c>
      <c r="L138" s="32" t="str">
        <f aca="false">IF(SUMPRODUCT((SITE_ST="P9-002")*(SITE_TYPE=$B138)*(SITE_TYPE&lt;&gt;""))=0,"",SUMPRODUCT((SITE_ST="P9-002")*(SITE_TYPE=$B138)*(SITE_TYPE&lt;&gt;"")*(SITE_T23="Y"))&amp;"/"&amp;SUMPRODUCT((SITE_ST="P9-002")*(SITE_TYPE=$B138)*(SITE_TYPE&lt;&gt;"")))</f>
        <v/>
      </c>
      <c r="O138" s="32" t="str">
        <f aca="false">IF(SUMPRODUCT((SITE_ST="P9-002")*(SITE_TYPE=$B138)*(LEFT(SITE_LAD,4)="ติด:"))=0,"",SUMPRODUCT((SITE_ST="P9-002")*(SITE_TYPE=$B138)*(LEFT(SITE_LAD,4)="ติด:"))&amp;"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SUMPRODUCT((SITE_ST="P9-002")*(SITE_TYPE=$B139)*(SITE_TYPE&lt;&gt;""))</f>
        <v>0</v>
      </c>
      <c r="E139" s="397" t="n">
        <f aca="false">SUMPRODUCT((SITE_ST="P9-002")*(SITE_TYPE=$B139)*SITE_MOD)</f>
        <v>0</v>
      </c>
      <c r="I139" s="398" t="n">
        <f aca="false">SUMPRODUCT((SITE_ST="P9-002")*(SITE_TYPE=$B139)*SITE_KWP)</f>
        <v>0</v>
      </c>
      <c r="J139" s="35" t="str">
        <f aca="false">IF(SUMPRODUCT((SITE_ST="P9-002")*(SITE_TYPE=$B139)*(SITE_TYPE&lt;&gt;""))=0,"",SUMPRODUCT((SITE_ST="P9-002")*(SITE_TYPE=$B139)*SITE_S21*SITE_D21)/MAX(0.0001,SUMPRODUCT((SITE_ST="P9-002")*(SITE_TYPE=$B139)*SITE_S21)))</f>
        <v/>
      </c>
      <c r="K139" s="32" t="str">
        <f aca="false">IF(SUMPRODUCT((SITE_ST="P9-002")*(SITE_TYPE=$B139)*(SITE_TYPE&lt;&gt;""))=0,"",SUMPRODUCT((SITE_ST="P9-002")*(SITE_TYPE=$B139)*(SITE_TYPE&lt;&gt;"")*(SITE_T22="Y"))&amp;"/"&amp;SUMPRODUCT((SITE_ST="P9-002")*(SITE_TYPE=$B139)*(SITE_TYPE&lt;&gt;"")))</f>
        <v/>
      </c>
      <c r="L139" s="32" t="str">
        <f aca="false">IF(SUMPRODUCT((SITE_ST="P9-002")*(SITE_TYPE=$B139)*(SITE_TYPE&lt;&gt;""))=0,"",SUMPRODUCT((SITE_ST="P9-002")*(SITE_TYPE=$B139)*(SITE_TYPE&lt;&gt;"")*(SITE_T23="Y"))&amp;"/"&amp;SUMPRODUCT((SITE_ST="P9-002")*(SITE_TYPE=$B139)*(SITE_TYPE&lt;&gt;"")))</f>
        <v/>
      </c>
      <c r="O139" s="32" t="str">
        <f aca="false">IF(SUMPRODUCT((SITE_ST="P9-002")*(SITE_TYPE=$B139)*(LEFT(SITE_LAD,4)="ติด:"))=0,"",SUMPRODUCT((SITE_ST="P9-002")*(SITE_TYPE=$B139)*(LEFT(SITE_LAD,4)="ติด:"))&amp;"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SUMPRODUCT((SITE_ST="P9-002")*(SITE_TYPE=$B140)*(SITE_TYPE&lt;&gt;""))</f>
        <v>0</v>
      </c>
      <c r="E140" s="397" t="n">
        <f aca="false">SUMPRODUCT((SITE_ST="P9-002")*(SITE_TYPE=$B140)*SITE_MOD)</f>
        <v>0</v>
      </c>
      <c r="I140" s="398" t="n">
        <f aca="false">SUMPRODUCT((SITE_ST="P9-002")*(SITE_TYPE=$B140)*SITE_KWP)</f>
        <v>0</v>
      </c>
      <c r="J140" s="35" t="str">
        <f aca="false">IF(SUMPRODUCT((SITE_ST="P9-002")*(SITE_TYPE=$B140)*(SITE_TYPE&lt;&gt;""))=0,"",SUMPRODUCT((SITE_ST="P9-002")*(SITE_TYPE=$B140)*SITE_S21*SITE_D21)/MAX(0.0001,SUMPRODUCT((SITE_ST="P9-002")*(SITE_TYPE=$B140)*SITE_S21)))</f>
        <v/>
      </c>
      <c r="K140" s="32" t="str">
        <f aca="false">IF(SUMPRODUCT((SITE_ST="P9-002")*(SITE_TYPE=$B140)*(SITE_TYPE&lt;&gt;""))=0,"",SUMPRODUCT((SITE_ST="P9-002")*(SITE_TYPE=$B140)*(SITE_TYPE&lt;&gt;"")*(SITE_T22="Y"))&amp;"/"&amp;SUMPRODUCT((SITE_ST="P9-002")*(SITE_TYPE=$B140)*(SITE_TYPE&lt;&gt;"")))</f>
        <v/>
      </c>
      <c r="L140" s="32" t="str">
        <f aca="false">IF(SUMPRODUCT((SITE_ST="P9-002")*(SITE_TYPE=$B140)*(SITE_TYPE&lt;&gt;""))=0,"",SUMPRODUCT((SITE_ST="P9-002")*(SITE_TYPE=$B140)*(SITE_TYPE&lt;&gt;"")*(SITE_T23="Y"))&amp;"/"&amp;SUMPRODUCT((SITE_ST="P9-002")*(SITE_TYPE=$B140)*(SITE_TYPE&lt;&gt;"")))</f>
        <v/>
      </c>
      <c r="O140" s="32" t="str">
        <f aca="false">IF(SUMPRODUCT((SITE_ST="P9-002")*(SITE_TYPE=$B140)*(LEFT(SITE_LAD,4)="ติด:"))=0,"",SUMPRODUCT((SITE_ST="P9-002")*(SITE_TYPE=$B140)*(LEFT(SITE_LAD,4)="ติด:"))&amp;"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SUMPRODUCT((SITE_ST="P9-002")*(SITE_TYPE=$B141)*(SITE_TYPE&lt;&gt;""))</f>
        <v>0</v>
      </c>
      <c r="E141" s="397" t="n">
        <f aca="false">SUMPRODUCT((SITE_ST="P9-002")*(SITE_TYPE=$B141)*SITE_MOD)</f>
        <v>0</v>
      </c>
      <c r="I141" s="398" t="n">
        <f aca="false">SUMPRODUCT((SITE_ST="P9-002")*(SITE_TYPE=$B141)*SITE_KWP)</f>
        <v>0</v>
      </c>
      <c r="J141" s="35" t="str">
        <f aca="false">IF(SUMPRODUCT((SITE_ST="P9-002")*(SITE_TYPE=$B141)*(SITE_TYPE&lt;&gt;""))=0,"",SUMPRODUCT((SITE_ST="P9-002")*(SITE_TYPE=$B141)*SITE_S21*SITE_D21)/MAX(0.0001,SUMPRODUCT((SITE_ST="P9-002")*(SITE_TYPE=$B141)*SITE_S21)))</f>
        <v/>
      </c>
      <c r="K141" s="32" t="str">
        <f aca="false">IF(SUMPRODUCT((SITE_ST="P9-002")*(SITE_TYPE=$B141)*(SITE_TYPE&lt;&gt;""))=0,"",SUMPRODUCT((SITE_ST="P9-002")*(SITE_TYPE=$B141)*(SITE_TYPE&lt;&gt;"")*(SITE_T22="Y"))&amp;"/"&amp;SUMPRODUCT((SITE_ST="P9-002")*(SITE_TYPE=$B141)*(SITE_TYPE&lt;&gt;"")))</f>
        <v/>
      </c>
      <c r="L141" s="32" t="str">
        <f aca="false">IF(SUMPRODUCT((SITE_ST="P9-002")*(SITE_TYPE=$B141)*(SITE_TYPE&lt;&gt;""))=0,"",SUMPRODUCT((SITE_ST="P9-002")*(SITE_TYPE=$B141)*(SITE_TYPE&lt;&gt;"")*(SITE_T23="Y"))&amp;"/"&amp;SUMPRODUCT((SITE_ST="P9-002")*(SITE_TYPE=$B141)*(SITE_TYPE&lt;&gt;"")))</f>
        <v/>
      </c>
      <c r="O141" s="32" t="str">
        <f aca="false">IF(SUMPRODUCT((SITE_ST="P9-002")*(SITE_TYPE=$B141)*(LEFT(SITE_LAD,4)="ติด:"))=0,"",SUMPRODUCT((SITE_ST="P9-002")*(SITE_TYPE=$B141)*(LEFT(SITE_LAD,4)="ติด:"))&amp;"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SUMPRODUCT((SITE_ST="P9-002")*(SITE_TYPE&lt;&gt;""))</f>
        <v>2</v>
      </c>
      <c r="E142" s="403" t="n">
        <f aca="false">SUMPRODUCT((SITE_ST="P9-002")*SITE_MOD)</f>
        <v>492</v>
      </c>
      <c r="I142" s="404" t="n">
        <f aca="false">SUMPRODUCT((SITE_ST="P9-002")*SITE_KWP)</f>
        <v>280.44</v>
      </c>
      <c r="J142" s="405" t="n">
        <f aca="false">IF(SUMPRODUCT((SITE_ST="P9-002")*(SITE_TYPE&lt;&gt;""))=0,"",SUMPRODUCT((SITE_ST="P9-002")*SITE_S21*SITE_D21)/MAX(0.0001,SUMPRODUCT((SITE_ST="P9-002")*SITE_S21)))</f>
        <v>0</v>
      </c>
      <c r="K142" s="406" t="str">
        <f aca="false">IF(SUMPRODUCT((SITE_ST="P9-002")*(SITE_TYPE&lt;&gt;""))=0,"",SUMPRODUCT((SITE_ST="P9-002")*(SITE_TYPE&lt;&gt;"")*(SITE_T22="Y"))&amp;"/"&amp;SUMPRODUCT((SITE_ST="P9-002")*(SITE_TYPE&lt;&gt;"")))</f>
        <v>0/2</v>
      </c>
      <c r="L142" s="406" t="str">
        <f aca="false">IF(SUMPRODUCT((SITE_ST="P9-002")*(SITE_TYPE&lt;&gt;""))=0,"",SUMPRODUCT((SITE_ST="P9-002")*(SITE_TYPE&lt;&gt;"")*(SITE_T23="Y"))&amp;"/"&amp;SUMPRODUCT((SITE_ST="P9-002")*(SITE_TYPE&lt;&gt;"")))</f>
        <v>0/2</v>
      </c>
      <c r="O142" s="406" t="str">
        <f aca="false">IF(SUMPRODUCT((SITE_ST="P9-002")*(LEFT(SITE_LAD,4)="ติด:"))=0,"",SUMPRODUCT((SITE_ST="P9-002")*(LEFT(SITE_LAD,4)="ติด:"))&amp;"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IFERROR(INDEX(INVS_TYPE,MATCH("P9-002",INVS_ID,0))&amp;"","")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ทั้งก้อน",IFERROR(INDEX(INVS_SET,MATCH("P9-002",INVS_ID,0)),"")&amp;" kW, โรงเรือน "&amp;IFERROR(INDEX(INVS_SIZE,MATCH("P9-002",INVS_ID,0)),"")&amp;",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9" display="✎ กรอกความคืบหน้า"/>
    <hyperlink ref="R4" location="'Master Plan'!A9" display="← กลับ Master Plan"/>
    <hyperlink ref="M10" location="'อัปเดตงาน WBS'!L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"/>
    <hyperlink ref="M11" location="'อัปเดตงาน WBS'!L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"/>
    <hyperlink ref="M12" location="'อัปเดตงาน WBS'!L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"/>
    <hyperlink ref="M13" location="'อัปเดตงาน WBS'!L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"/>
    <hyperlink ref="M14" location="'อัปเดตงาน WBS'!L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"/>
    <hyperlink ref="M15" location="'อัปเดตงาน WBS'!L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"/>
    <hyperlink ref="M17" location="'อัปเดตงาน WBS'!L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"/>
    <hyperlink ref="M18" location="'อัปเดตงาน WBS'!L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"/>
    <hyperlink ref="M19" location="'อัปเดตงาน WBS'!L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"/>
    <hyperlink ref="M20" location="'อัปเดตงาน WBS'!L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"/>
    <hyperlink ref="M21" location="'อัปเดตงาน WBS'!L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"/>
    <hyperlink ref="M22" location="'อัปเดตงาน WBS'!L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"/>
    <hyperlink ref="M23" location="'อัปเดตงาน WBS'!L1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"/>
    <hyperlink ref="M24" location="'อัปเดตงาน WBS'!L1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"/>
    <hyperlink ref="M26" location="'อัปเดตงาน WBS'!L1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"/>
    <hyperlink ref="M27" location="'อัปเดตงาน WBS'!L1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"/>
    <hyperlink ref="M28" location="'อัปเดตงาน WBS'!L1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"/>
    <hyperlink ref="M31" location="'อัปเดตงาน WBS'!L1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"/>
    <hyperlink ref="M32" location="'อัปเดตงาน WBS'!L1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"/>
    <hyperlink ref="M33" location="'อัปเดตงาน WBS'!L1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"/>
    <hyperlink ref="M35" location="'อัปเดตงาน WBS'!L1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"/>
    <hyperlink ref="M36" location="'อัปเดตงาน WBS'!L1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"/>
    <hyperlink ref="M37" location="'อัปเดตงาน WBS'!L1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"/>
    <hyperlink ref="M38" location="'อัปเดตงาน WBS'!L1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"/>
    <hyperlink ref="M40" location="'อัปเดตงาน WBS'!L1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"/>
    <hyperlink ref="M41" location="'อัปเดตงาน WBS'!L1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"/>
    <hyperlink ref="M42" location="'อัปเดตงาน WBS'!L1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"/>
    <hyperlink ref="M44" location="'อัปเดตงาน WBS'!L1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"/>
    <hyperlink ref="M45" location="'อัปเดตงาน WBS'!L1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"/>
    <hyperlink ref="M46" location="'อัปเดตงาน WBS'!L1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"/>
    <hyperlink ref="M48" location="'อัปเดตงาน WBS'!L1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"/>
    <hyperlink ref="M49" location="'อัปเดตงาน WBS'!L1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"/>
    <hyperlink ref="M51" location="'อัปเดตงาน WBS'!L1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"/>
    <hyperlink ref="M53" location="'อัปเดตงาน WBS'!L1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"/>
    <hyperlink ref="M54" location="'อัปเดตงาน WBS'!L1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"/>
    <hyperlink ref="M63" location="'อัปเดตงาน WBS'!L1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"/>
    <hyperlink ref="M64" location="'อัปเดตงาน WBS'!L1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"/>
    <hyperlink ref="M65" location="'อัปเดตงาน WBS'!L1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"/>
    <hyperlink ref="M66" location="'อัปเดตงาน WBS'!L1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"/>
    <hyperlink ref="M67" location="'อัปเดตงาน WBS'!L1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"/>
    <hyperlink ref="M68" location="'อัปเดตงาน WBS'!L1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"/>
    <hyperlink ref="M69" location="'อัปเดตงาน WBS'!L1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"/>
    <hyperlink ref="M71" location="'อัปเดตงาน WBS'!L1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"/>
    <hyperlink ref="M72" location="'อัปเดตงาน WBS'!L1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"/>
    <hyperlink ref="M73" location="'อัปเดตงาน WBS'!L1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"/>
    <hyperlink ref="M74" location="'อัปเดตงาน WBS'!L1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"/>
    <hyperlink ref="M75" location="'อัปเดตงาน WBS'!L1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"/>
    <hyperlink ref="M77" location="'อัปเดตงาน WBS'!L1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"/>
    <hyperlink ref="M78" location="'อัปเดตงาน WBS'!L1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"/>
    <hyperlink ref="M79" location="'อัปเดตงาน WBS'!L1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"/>
    <hyperlink ref="M80" location="'อัปเดตงาน WBS'!L1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"/>
    <hyperlink ref="M81" location="'อัปเดตงาน WBS'!L1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"/>
    <hyperlink ref="M83" location="'อัปเดตงาน WBS'!L1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"/>
    <hyperlink ref="M84" location="'อัปเดตงาน WBS'!L1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"/>
    <hyperlink ref="M86" location="'อัปเดตงาน WBS'!L1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"/>
    <hyperlink ref="M87" location="'อัปเดตงาน WBS'!L1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"/>
    <hyperlink ref="M88" location="'อัปเดตงาน WBS'!L1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"/>
    <hyperlink ref="M89" location="'อัปเดตงาน WBS'!L1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"/>
    <hyperlink ref="M91" location="'อัปเดตงาน WBS'!L1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"/>
    <hyperlink ref="M92" location="'อัปเดตงาน WBS'!L1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"/>
    <hyperlink ref="M93" location="'อัปเดตงาน WBS'!L1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"/>
    <hyperlink ref="M94" location="'อัปเดตงาน WBS'!L1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"/>
    <hyperlink ref="M95" location="'อัปเดตงาน WBS'!L1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"/>
    <hyperlink ref="M97" location="'อัปเดตงาน WBS'!L1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"/>
    <hyperlink ref="M98" location="'อัปเดตงาน WBS'!L1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"/>
    <hyperlink ref="M99" location="'อัปเดตงาน WBS'!L1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"/>
    <hyperlink ref="M102" location="'อัปเดตงาน WBS'!L1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"/>
    <hyperlink ref="M104" location="'อัปเดตงาน WBS'!L1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"/>
    <hyperlink ref="M105" location="'อัปเดตงาน WBS'!L1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"/>
    <hyperlink ref="M106" location="'อัปเดตงาน WBS'!L1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"/>
    <hyperlink ref="M108" location="'อัปเดตงาน WBS'!L1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"/>
    <hyperlink ref="M109" location="'อัปเดตงาน WBS'!L1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"/>
    <hyperlink ref="M110" location="'อัปเดตงาน WBS'!L1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"/>
    <hyperlink ref="M112" location="'อัปเดตงาน WBS'!L1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"/>
    <hyperlink ref="M113" location="'อัปเดตงาน WBS'!L1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"/>
    <hyperlink ref="M116" location="'อัปเดตงาน WBS'!L1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"/>
    <hyperlink ref="M117" location="'อัปเดตงาน WBS'!L1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"/>
    <hyperlink ref="M118" location="'อัปเดตงาน WBS'!L1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5"/>
    <hyperlink ref="M119" location="'อัปเดตงาน WBS'!L1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6"/>
    <hyperlink ref="M120" location="'อัปเดตงาน WBS'!L1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7"/>
    <hyperlink ref="M121" location="'อัปเดตงาน WBS'!L1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8"/>
    <hyperlink ref="M125" location="'อัปเดตงาน WBS'!L1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9"/>
    <hyperlink ref="M126" location="'อัปเดตงาน WBS'!L1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0"/>
    <hyperlink ref="M127" location="'อัปเดตงาน WBS'!L1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1"/>
    <hyperlink ref="D134" location="'จุดติดตั้ง'!A12" display="✎ เพิ่ม / แก้จุดติดตั้ง →"/>
    <hyperlink ref="D146" location="'Inverter station'!A7" display="file:///home/claude/dash/template/%E0%B9%81%E0%B8%A1%E0%B9%88%E0%B9%81%E0%B8%9A%E0%B8%9A%E0%B9%82%E0%B8%84%E0%B8%A3%E0%B8%87%E0%B8%81%E0%B8%B2%E0%B8%A3%20TCRoof%20(%E0%B8%97%E0%B8%B8%E0%B8%81%E0%B8%81%E0%B8%A3%E0%B8%93%E0%B8%B5).xlsx#'Inverter station'!A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3670</v>
      </c>
    </row>
    <row r="2" customFormat="false" ht="15" hidden="false" customHeight="false" outlineLevel="0" collapsed="false">
      <c r="A2" s="354" t="s">
        <v>3671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Plan'!$AI$10</f>
        <v>-36</v>
      </c>
      <c r="M4" s="360"/>
      <c r="N4" s="360" t="n">
        <f aca="false">'Master Plan'!$AJ$10</f>
        <v>-3</v>
      </c>
      <c r="O4" s="360"/>
      <c r="P4" s="361" t="str">
        <f aca="false">'Master Plan'!$AK$10&amp;" / "&amp;'Master Plan'!$AL$10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COUNTIFS(CR_ST,"P9-003",CR_STAT,"อนุมัติ")&amp;" รายการ, "&amp;'Master Plan'!$AO$10&amp;" วัน"</f>
        <v>0 รายการ, 0 วัน</v>
      </c>
      <c r="AG4" s="362"/>
      <c r="AH4" s="362"/>
      <c r="AI4" s="362"/>
      <c r="AJ4" s="362"/>
      <c r="AK4" s="363" t="n">
        <f aca="false">COUNTIFS(CR_ST,"P9-003",CR_STAT,"รออนุมัติ")+COUNTIFS(CR_ST,"P9-003",CR_STAT,"ขอข้อมูลเพิ่ม")</f>
        <v>0</v>
      </c>
      <c r="AL4" s="363"/>
      <c r="AM4" s="363"/>
      <c r="AN4" s="363"/>
      <c r="AO4" s="363"/>
      <c r="AP4" s="362" t="str">
        <f aca="false">COUNTIF(RW_ST,"P9-003")&amp;" ("&amp;COUNTIFS(RW_ST,"P9-003",RW_DONE,"&lt;&gt;Y")&amp;")"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COUNTIF(LL_ST,"*P9-003*")</f>
        <v>0</v>
      </c>
      <c r="BA4" s="363"/>
      <c r="BB4" s="363"/>
      <c r="BC4" s="363"/>
      <c r="BD4" s="363"/>
      <c r="BE4" s="362" t="str">
        <f aca="false">IF(COUNTIFS(SITE_ST,"P9-003",SITE_TYPE,"?*")=0,"ประมาณการ,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IF(COUNTIFS(SITE_ST,"P9-003",SITE_TYPE,"?*")=0,"ยังไม่ระบุจุด",COUNTIFS(SITE_ST,"P9-003",SITE_LAD,"ติด:*")&amp;" จุด"&amp;IF(COUNTIFS(SITE_ST,"P9-003",SITE_LAD,"⚠*")&gt;0,",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3672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53</v>
      </c>
      <c r="E9" s="372" t="n">
        <v>0</v>
      </c>
      <c r="F9" s="31"/>
      <c r="G9" s="32"/>
      <c r="H9" s="32" t="n">
        <v>1</v>
      </c>
      <c r="I9" s="373" t="n">
        <f aca="false">'Master Plan'!$H$10+(-75)</f>
        <v>46328</v>
      </c>
      <c r="J9" s="373" t="n">
        <f aca="false">'Master Plan'!$H$10+(50)</f>
        <v>46453</v>
      </c>
      <c r="K9" s="78"/>
      <c r="L9" s="78" t="str">
        <f aca="false">IF(ISNUMBER(อัปเดตรายสัปดาห์!$G$10),อัปเดตรายสัปดาห์!$G$10,"")</f>
        <v/>
      </c>
      <c r="M9" s="374" t="str">
        <f aca="false">IF(อัปเดตรายสัปดาห์!$G$10="Y","Y","")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Plan'!$H$10+(-75)</f>
        <v>46328</v>
      </c>
      <c r="J10" s="382" t="n">
        <f aca="false">'Master Plan'!$H$10+(-63)</f>
        <v>46340</v>
      </c>
      <c r="K10" s="387"/>
      <c r="L10" s="387"/>
      <c r="M10" s="383" t="str">
        <f aca="false">IF('อัปเดตงาน WBS'!$L$172="","",'อัปเดตงาน WBS'!$L$172)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Plan'!$H$10+(-75)</f>
        <v>46328</v>
      </c>
      <c r="J11" s="382" t="n">
        <f aca="false">'Master Plan'!$H$10+(-63)</f>
        <v>46340</v>
      </c>
      <c r="K11" s="387"/>
      <c r="L11" s="387"/>
      <c r="M11" s="383" t="str">
        <f aca="false">IF('อัปเดตงาน WBS'!$L$173="","",'อัปเดตงาน WBS'!$L$173)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Plan'!$H$10+(-75)</f>
        <v>46328</v>
      </c>
      <c r="J12" s="382" t="n">
        <f aca="false">'Master Plan'!$H$10+(-63)</f>
        <v>46340</v>
      </c>
      <c r="K12" s="387"/>
      <c r="L12" s="387"/>
      <c r="M12" s="383" t="str">
        <f aca="false">IF('อัปเดตงาน WBS'!$L$174="","",'อัปเดตงาน WBS'!$L$174)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Plan'!$H$10+(-75)</f>
        <v>46328</v>
      </c>
      <c r="J13" s="382" t="n">
        <f aca="false">'Master Plan'!$H$10+(-56)</f>
        <v>46347</v>
      </c>
      <c r="K13" s="387"/>
      <c r="L13" s="387"/>
      <c r="M13" s="383" t="str">
        <f aca="false">IF('อัปเดตงาน WBS'!$L$175="","",'อัปเดตงาน WBS'!$L$175)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Plan'!$H$10+(-63)</f>
        <v>46340</v>
      </c>
      <c r="J14" s="382" t="n">
        <f aca="false">'Master Plan'!$H$10+(50)</f>
        <v>46453</v>
      </c>
      <c r="K14" s="387"/>
      <c r="L14" s="387"/>
      <c r="M14" s="383" t="str">
        <f aca="false">IF('อัปเดตงาน WBS'!$L$176="","",'อัปเดตงาน WBS'!$L$176)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Plan'!$H$10+(-63)</f>
        <v>46340</v>
      </c>
      <c r="J15" s="382" t="n">
        <f aca="false">'Master Plan'!$H$10+(50)</f>
        <v>46453</v>
      </c>
      <c r="K15" s="387"/>
      <c r="L15" s="387"/>
      <c r="M15" s="383" t="str">
        <f aca="false">IF('อัปเดตงาน WBS'!$L$177="","",'อัปเดตงาน WBS'!$L$177)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Plan'!$H$10+(-56)</f>
        <v>46347</v>
      </c>
      <c r="J16" s="373" t="n">
        <f aca="false">'Master Plan'!$H$10+(-45)</f>
        <v>46358</v>
      </c>
      <c r="K16" s="78"/>
      <c r="L16" s="78" t="str">
        <f aca="false">IF(ISNUMBER(อัปเดตรายสัปดาห์!$H$10),อัปเดตรายสัปดาห์!$H$10,"")</f>
        <v/>
      </c>
      <c r="M16" s="374" t="str">
        <f aca="false">IF(อัปเดตรายสัปดาห์!$H$10="Y","Y","")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Plan'!$H$10+(-56)</f>
        <v>46347</v>
      </c>
      <c r="J17" s="382" t="n">
        <f aca="false">'Master Plan'!$H$10+(-54)</f>
        <v>46349</v>
      </c>
      <c r="K17" s="387"/>
      <c r="L17" s="387"/>
      <c r="M17" s="383" t="str">
        <f aca="false">IF('อัปเดตงาน WBS'!$L$178="","",'อัปเดตงาน WBS'!$L$178)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Plan'!$H$10+(-55)</f>
        <v>46348</v>
      </c>
      <c r="J18" s="382" t="n">
        <f aca="false">'Master Plan'!$H$10+(-52)</f>
        <v>46351</v>
      </c>
      <c r="K18" s="387"/>
      <c r="L18" s="387"/>
      <c r="M18" s="383" t="str">
        <f aca="false">IF('อัปเดตงาน WBS'!$L$179="","",'อัปเดตงาน WBS'!$L$179)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Plan'!$H$10+(-53)</f>
        <v>46350</v>
      </c>
      <c r="J19" s="382" t="n">
        <f aca="false">'Master Plan'!$H$10+(-48)</f>
        <v>46355</v>
      </c>
      <c r="K19" s="387"/>
      <c r="L19" s="387"/>
      <c r="M19" s="383" t="str">
        <f aca="false">IF('อัปเดตงาน WBS'!$L$180="","",'อัปเดตงาน WBS'!$L$180)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Plan'!$H$10+(-53)</f>
        <v>46350</v>
      </c>
      <c r="J20" s="382" t="n">
        <f aca="false">'Master Plan'!$H$10+(-48)</f>
        <v>46355</v>
      </c>
      <c r="K20" s="387"/>
      <c r="L20" s="387"/>
      <c r="M20" s="383" t="str">
        <f aca="false">IF('อัปเดตงาน WBS'!$L$181="","",'อัปเดตงาน WBS'!$L$181)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Plan'!$H$10+(-52)</f>
        <v>46351</v>
      </c>
      <c r="J21" s="382" t="n">
        <f aca="false">'Master Plan'!$H$10+(-47)</f>
        <v>46356</v>
      </c>
      <c r="K21" s="387"/>
      <c r="L21" s="387"/>
      <c r="M21" s="383" t="str">
        <f aca="false">IF('อัปเดตงาน WBS'!$L$182="","",'อัปเดตงาน WBS'!$L$182)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Plan'!$H$10+(-50)</f>
        <v>46353</v>
      </c>
      <c r="J22" s="382" t="n">
        <f aca="false">'Master Plan'!$H$10+(-46)</f>
        <v>46357</v>
      </c>
      <c r="K22" s="387"/>
      <c r="L22" s="387"/>
      <c r="M22" s="383" t="str">
        <f aca="false">IF('อัปเดตงาน WBS'!$L$183="","",'อัปเดตงาน WBS'!$L$183)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Plan'!$H$10+(-49)</f>
        <v>46354</v>
      </c>
      <c r="J24" s="382" t="n">
        <f aca="false">'Master Plan'!$H$10+(-45)</f>
        <v>46358</v>
      </c>
      <c r="K24" s="387"/>
      <c r="L24" s="387"/>
      <c r="M24" s="383" t="str">
        <f aca="false">IF('อัปเดตงาน WBS'!$L$184="","",'อัปเดตงาน WBS'!$L$184)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Plan'!$H$10+(-51)</f>
        <v>46352</v>
      </c>
      <c r="J25" s="373" t="n">
        <f aca="false">'Master Plan'!$H$10+(-51)</f>
        <v>46352</v>
      </c>
      <c r="K25" s="78"/>
      <c r="L25" s="78" t="str">
        <f aca="false">IF(ISNUMBER(อัปเดตรายสัปดาห์!$I$10),อัปเดตรายสัปดาห์!$I$10,"")</f>
        <v/>
      </c>
      <c r="M25" s="374" t="str">
        <f aca="false">IF(อัปเดตรายสัปดาห์!$I$10="Y","Y","")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Plan'!$H$10+(-51)</f>
        <v>46352</v>
      </c>
      <c r="J26" s="382" t="n">
        <f aca="false">'Master Plan'!$H$10+(-51)</f>
        <v>46352</v>
      </c>
      <c r="K26" s="387"/>
      <c r="L26" s="387"/>
      <c r="M26" s="383" t="str">
        <f aca="false">IF('อัปเดตงาน WBS'!$L$185="","",'อัปเดตงาน WBS'!$L$185)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Plan'!$H$10+(-51)</f>
        <v>46352</v>
      </c>
      <c r="J27" s="382" t="n">
        <f aca="false">'Master Plan'!$H$10+(-51)</f>
        <v>46352</v>
      </c>
      <c r="K27" s="387"/>
      <c r="L27" s="387"/>
      <c r="M27" s="383" t="str">
        <f aca="false">IF('อัปเดตงาน WBS'!$L$186="","",'อัปเดตงาน WBS'!$L$186)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Plan'!$H$10+(-51)</f>
        <v>46352</v>
      </c>
      <c r="J28" s="382" t="n">
        <f aca="false">'Master Plan'!$H$10+(-51)</f>
        <v>46352</v>
      </c>
      <c r="K28" s="387"/>
      <c r="L28" s="387"/>
      <c r="M28" s="383" t="str">
        <f aca="false">IF('อัปเดตงาน WBS'!$L$187="","",'อัปเดตงาน WBS'!$L$187)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53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Plan'!$H$10+(-75)</f>
        <v>46328</v>
      </c>
      <c r="J30" s="373" t="n">
        <f aca="false">'Master Plan'!$H$10+(-75)</f>
        <v>46328</v>
      </c>
      <c r="K30" s="78"/>
      <c r="L30" s="78" t="str">
        <f aca="false">IF(ISNUMBER(อัปเดตรายสัปดาห์!$J$10),อัปเดตรายสัปดาห์!$J$10,"")</f>
        <v/>
      </c>
      <c r="M30" s="374" t="str">
        <f aca="false">IF(อัปเดตรายสัปดาห์!$J$10="Y","Y","")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Plan'!$H$10+(-75)</f>
        <v>46328</v>
      </c>
      <c r="J31" s="382" t="n">
        <f aca="false">'Master Plan'!$H$10+(-75)</f>
        <v>46328</v>
      </c>
      <c r="K31" s="387"/>
      <c r="L31" s="387"/>
      <c r="M31" s="383" t="str">
        <f aca="false">IF('อัปเดตงาน WBS'!$L$188="","",'อัปเดตงาน WBS'!$L$188)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Plan'!$H$10+(-75)</f>
        <v>46328</v>
      </c>
      <c r="J32" s="382" t="n">
        <f aca="false">'Master Plan'!$H$10+(-75)</f>
        <v>46328</v>
      </c>
      <c r="K32" s="387"/>
      <c r="L32" s="387"/>
      <c r="M32" s="383" t="str">
        <f aca="false">IF('อัปเดตงาน WBS'!$L$189="","",'อัปเดตงาน WBS'!$L$189)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Plan'!$H$10+(-75)</f>
        <v>46328</v>
      </c>
      <c r="J33" s="382" t="n">
        <f aca="false">'Master Plan'!$H$10+(-75)</f>
        <v>46328</v>
      </c>
      <c r="K33" s="387"/>
      <c r="L33" s="387"/>
      <c r="M33" s="383" t="str">
        <f aca="false">IF('อัปเดตงาน WBS'!$L$190="","",'อัปเดตงาน WBS'!$L$190)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53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Plan'!$H$10+(-68)</f>
        <v>46335</v>
      </c>
      <c r="J34" s="373" t="n">
        <f aca="false">'Master Plan'!$H$10+(-59)</f>
        <v>46344</v>
      </c>
      <c r="K34" s="78"/>
      <c r="L34" s="78" t="str">
        <f aca="false">IF(ISNUMBER(อัปเดตรายสัปดาห์!$K$10),อัปเดตรายสัปดาห์!$K$10,"")</f>
        <v/>
      </c>
      <c r="M34" s="374" t="str">
        <f aca="false">IF(อัปเดตรายสัปดาห์!$K$10="Y","Y","")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Plan'!$H$10+(-68)</f>
        <v>46335</v>
      </c>
      <c r="J35" s="382" t="n">
        <f aca="false">'Master Plan'!$H$10+(-64)</f>
        <v>46339</v>
      </c>
      <c r="K35" s="387"/>
      <c r="L35" s="387"/>
      <c r="M35" s="383" t="str">
        <f aca="false">IF('อัปเดตงาน WBS'!$L$191="","",'อัปเดตงาน WBS'!$L$191)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Plan'!$H$10+(-68)</f>
        <v>46335</v>
      </c>
      <c r="J36" s="382" t="n">
        <f aca="false">'Master Plan'!$H$10+(-63)</f>
        <v>46340</v>
      </c>
      <c r="K36" s="387"/>
      <c r="L36" s="387"/>
      <c r="M36" s="383" t="str">
        <f aca="false">IF('อัปเดตงาน WBS'!$L$192="","",'อัปเดตงาน WBS'!$L$192)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Plan'!$H$10+(-65)</f>
        <v>46338</v>
      </c>
      <c r="J37" s="382" t="n">
        <f aca="false">'Master Plan'!$H$10+(-62)</f>
        <v>46341</v>
      </c>
      <c r="K37" s="387"/>
      <c r="L37" s="387"/>
      <c r="M37" s="383" t="str">
        <f aca="false">IF('อัปเดตงาน WBS'!$L$193="","",'อัปเดตงาน WBS'!$L$193)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Plan'!$H$10+(-63)</f>
        <v>46340</v>
      </c>
      <c r="J38" s="382" t="n">
        <f aca="false">'Master Plan'!$H$10+(-59)</f>
        <v>46344</v>
      </c>
      <c r="K38" s="387"/>
      <c r="L38" s="387"/>
      <c r="M38" s="383" t="str">
        <f aca="false">IF('อัปเดตงาน WBS'!$L$194="","",'อัปเดตงาน WBS'!$L$194)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53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Plan'!$H$10+(-45)</f>
        <v>46358</v>
      </c>
      <c r="J39" s="373" t="n">
        <f aca="false">'Master Plan'!$H$10+(-45)</f>
        <v>46358</v>
      </c>
      <c r="K39" s="78"/>
      <c r="L39" s="78" t="str">
        <f aca="false">IF(ISNUMBER(อัปเดตรายสัปดาห์!$L$10),อัปเดตรายสัปดาห์!$L$10,"")</f>
        <v/>
      </c>
      <c r="M39" s="374" t="str">
        <f aca="false">IF(อัปเดตรายสัปดาห์!$L$10="Y","Y","")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Plan'!$H$10+(-45)</f>
        <v>46358</v>
      </c>
      <c r="J40" s="382" t="n">
        <f aca="false">'Master Plan'!$H$10+(-45)</f>
        <v>46358</v>
      </c>
      <c r="K40" s="387"/>
      <c r="L40" s="387"/>
      <c r="M40" s="383" t="str">
        <f aca="false">IF('อัปเดตงาน WBS'!$L$195="","",'อัปเดตงาน WBS'!$L$195)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Plan'!$H$10+(-45)</f>
        <v>46358</v>
      </c>
      <c r="J41" s="382" t="n">
        <f aca="false">'Master Plan'!$H$10+(-45)</f>
        <v>46358</v>
      </c>
      <c r="K41" s="387"/>
      <c r="L41" s="387"/>
      <c r="M41" s="383" t="str">
        <f aca="false">IF('อัปเดตงาน WBS'!$L$196="","",'อัปเดตงาน WBS'!$L$196)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Plan'!$H$10+(-45)</f>
        <v>46358</v>
      </c>
      <c r="J42" s="382" t="n">
        <f aca="false">'Master Plan'!$H$10+(-45)</f>
        <v>46358</v>
      </c>
      <c r="K42" s="387"/>
      <c r="L42" s="387"/>
      <c r="M42" s="383" t="str">
        <f aca="false">IF('อัปเดตงาน WBS'!$L$197="","",'อัปเดตงาน WBS'!$L$197)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Plan'!$H$10+(-68)</f>
        <v>46335</v>
      </c>
      <c r="J43" s="373" t="n">
        <f aca="false">'Master Plan'!$H$10+(-55)</f>
        <v>46348</v>
      </c>
      <c r="K43" s="78"/>
      <c r="L43" s="78" t="str">
        <f aca="false">IF(ISNUMBER(อัปเดตรายสัปดาห์!$M$10),อัปเดตรายสัปดาห์!$M$10,"")</f>
        <v/>
      </c>
      <c r="M43" s="374" t="str">
        <f aca="false">IF(อัปเดตรายสัปดาห์!$M$10="Y","Y","")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Plan'!$H$10+(-68)</f>
        <v>46335</v>
      </c>
      <c r="J44" s="382" t="n">
        <f aca="false">'Master Plan'!$H$10+(-65)</f>
        <v>46338</v>
      </c>
      <c r="K44" s="387"/>
      <c r="L44" s="387"/>
      <c r="M44" s="383" t="str">
        <f aca="false">IF('อัปเดตงาน WBS'!$L$198="","",'อัปเดตงาน WBS'!$L$198)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Plan'!$H$10+(-67)</f>
        <v>46336</v>
      </c>
      <c r="J45" s="382" t="n">
        <f aca="false">'Master Plan'!$H$10+(-62)</f>
        <v>46341</v>
      </c>
      <c r="K45" s="387"/>
      <c r="L45" s="387"/>
      <c r="M45" s="383" t="str">
        <f aca="false">IF('อัปเดตงาน WBS'!$L$199="","",'อัปเดตงาน WBS'!$L$199)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Plan'!$H$10+(-62)</f>
        <v>46341</v>
      </c>
      <c r="J46" s="382" t="n">
        <f aca="false">'Master Plan'!$H$10+(-55)</f>
        <v>46348</v>
      </c>
      <c r="K46" s="387"/>
      <c r="L46" s="387"/>
      <c r="M46" s="383" t="str">
        <f aca="false">IF('อัปเดตงาน WBS'!$L$200="","",'อัปเดตงาน WBS'!$L$200)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IF(ISNUMBER(อัปเดตรายสัปดาห์!$P$10),อัปเดตรายสัปดาห์!$P$10,"")</f>
        <v/>
      </c>
      <c r="M52" s="374" t="str">
        <f aca="false">IF(อัปเดตรายสัปดาห์!$P$10="Y","Y","")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WBS'!$L$201="","",'อัปเดตงาน WBS'!$L$201)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WBS'!$L$202="","",'อัปเดตงาน WBS'!$L$202)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Plan'!$H$10+(-12)</f>
        <v>46391</v>
      </c>
      <c r="J55" s="373" t="n">
        <f aca="false">'Master Plan'!$H$10+(-12)</f>
        <v>46391</v>
      </c>
      <c r="K55" s="78"/>
      <c r="L55" s="78" t="str">
        <f aca="false">IF(ISNUMBER(อัปเดตรายสัปดาห์!$Q$10),อัปเดตรายสัปดาห์!$Q$10,"")</f>
        <v/>
      </c>
      <c r="M55" s="374" t="str">
        <f aca="false">IF(อัปเดตรายสัปดาห์!$Q$10="Y","Y","")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Plan'!$AC$10)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IF(ISNUMBER(อัปเดตรายสัปดาห์!$R$10),อัปเดตรายสัปดาห์!$R$10,"")</f>
        <v/>
      </c>
      <c r="M56" s="374" t="str">
        <f aca="false">IF(อัปเดตรายสัปดาห์!$R$10="Y","Y","")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Plan'!$H$10+(-11)</f>
        <v>46392</v>
      </c>
      <c r="J57" s="373" t="n">
        <f aca="false">'Master Plan'!$H$10+(9)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IF(ISNUMBER(อัปเดตรายสัปดาห์!$S$10),อัปเดตรายสัปดาห์!$S$10,"")</f>
        <v/>
      </c>
      <c r="M57" s="374" t="str">
        <f aca="false">IF(อัปเดตรายสัปดาห์!$S$10="Y","Y","")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Plan'!$AD$10)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Plan'!$H$10+(10)</f>
        <v>46413</v>
      </c>
      <c r="J58" s="373" t="n">
        <f aca="false">'Master Plan'!$H$10+(16)</f>
        <v>46419</v>
      </c>
      <c r="K58" s="78"/>
      <c r="L58" s="78" t="str">
        <f aca="false">IF(ISNUMBER(อัปเดตรายสัปดาห์!$T$10),อัปเดตรายสัปดาห์!$T$10,"")</f>
        <v/>
      </c>
      <c r="M58" s="374" t="str">
        <f aca="false">IF(อัปเดตรายสัปดาห์!$T$10="Y","Y","")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Plan'!$AE$10)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Plan'!$H$10+(17)</f>
        <v>46420</v>
      </c>
      <c r="J59" s="373" t="n">
        <f aca="false">'Master Plan'!$H$10+(17)</f>
        <v>46420</v>
      </c>
      <c r="K59" s="78"/>
      <c r="L59" s="78" t="str">
        <f aca="false">IF(ISNUMBER(อัปเดตรายสัปดาห์!$U$10),อัปเดตรายสัปดาห์!$U$10,"")</f>
        <v/>
      </c>
      <c r="M59" s="374" t="str">
        <f aca="false">IF(อัปเดตรายสัปดาห์!$U$10="Y","Y","")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Plan'!$AF$10)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53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Plan'!$H$10+(18)</f>
        <v>46421</v>
      </c>
      <c r="J60" s="373" t="n">
        <f aca="false">'Master Plan'!$H$10+(33)</f>
        <v>46436</v>
      </c>
      <c r="K60" s="78"/>
      <c r="L60" s="78" t="str">
        <f aca="false">IF(ISNUMBER(อัปเดตรายสัปดาห์!$V$10),อัปเดตรายสัปดาห์!$V$10,"")</f>
        <v/>
      </c>
      <c r="M60" s="374" t="str">
        <f aca="false">IF(อัปเดตรายสัปดาห์!$V$10="Y","Y","")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Plan'!$AH$10)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3674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Plan'!$H$10+(-42)</f>
        <v>46361</v>
      </c>
      <c r="J62" s="373" t="n">
        <f aca="false">'Master Plan'!$H$10+(-25)</f>
        <v>46378</v>
      </c>
      <c r="K62" s="78"/>
      <c r="L62" s="78" t="str">
        <f aca="false">IF(ISNUMBER(อัปเดตรายสัปดาห์!$W$10),อัปเดตรายสัปดาห์!$W$10,"")</f>
        <v/>
      </c>
      <c r="M62" s="374" t="str">
        <f aca="false">IF(อัปเดตรายสัปดาห์!$W$10="Y","Y","")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-003",SITE_TYPE,"?*")&gt;0,MIN(1,SUMPRODUCT((SITE_ST="P9-003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Plan'!$H$10+(-42)</f>
        <v>46361</v>
      </c>
      <c r="J63" s="382" t="n">
        <f aca="false">'Master Plan'!$H$10+(-40)</f>
        <v>46363</v>
      </c>
      <c r="K63" s="387"/>
      <c r="L63" s="387"/>
      <c r="M63" s="383" t="str">
        <f aca="false">IF('อัปเดตงาน WBS'!$L$203="","",'อัปเดตงาน WBS'!$L$203)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Plan'!$H$10+(-42)</f>
        <v>46361</v>
      </c>
      <c r="J64" s="382" t="n">
        <f aca="false">'Master Plan'!$H$10+(-39)</f>
        <v>46364</v>
      </c>
      <c r="K64" s="387"/>
      <c r="L64" s="387"/>
      <c r="M64" s="383" t="str">
        <f aca="false">IF('อัปเดตงาน WBS'!$L$204="","",'อัปเดตงาน WBS'!$L$204)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Plan'!$H$10+(-40)</f>
        <v>46363</v>
      </c>
      <c r="J65" s="382" t="n">
        <f aca="false">'Master Plan'!$H$10+(-34)</f>
        <v>46369</v>
      </c>
      <c r="K65" s="387"/>
      <c r="L65" s="387"/>
      <c r="M65" s="383" t="str">
        <f aca="false">IF('อัปเดตงาน WBS'!$L$205="","",'อัปเดตงาน WBS'!$L$205)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Plan'!$H$10+(-35)</f>
        <v>46368</v>
      </c>
      <c r="J66" s="382" t="n">
        <f aca="false">'Master Plan'!$H$10+(-28)</f>
        <v>46375</v>
      </c>
      <c r="K66" s="387"/>
      <c r="L66" s="387"/>
      <c r="M66" s="383" t="str">
        <f aca="false">IF('อัปเดตงาน WBS'!$L$206="","",'อัปเดตงาน WBS'!$L$206)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Plan'!$H$10+(-32)</f>
        <v>46371</v>
      </c>
      <c r="J67" s="382" t="n">
        <f aca="false">'Master Plan'!$H$10+(-26)</f>
        <v>46377</v>
      </c>
      <c r="K67" s="387"/>
      <c r="L67" s="387"/>
      <c r="M67" s="383" t="str">
        <f aca="false">IF('อัปเดตงาน WBS'!$L$207="","",'อัปเดตงาน WBS'!$L$207)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Plan'!$H$10+(-28)</f>
        <v>46375</v>
      </c>
      <c r="J68" s="382" t="n">
        <f aca="false">'Master Plan'!$H$10+(-25)</f>
        <v>46378</v>
      </c>
      <c r="K68" s="387"/>
      <c r="L68" s="387"/>
      <c r="M68" s="383" t="str">
        <f aca="false">IF('อัปเดตงาน WBS'!$L$208="","",'อัปเดตงาน WBS'!$L$208)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Plan'!$H$10+(-26)</f>
        <v>46377</v>
      </c>
      <c r="J69" s="382" t="n">
        <f aca="false">'Master Plan'!$H$10+(-25)</f>
        <v>46378</v>
      </c>
      <c r="K69" s="387"/>
      <c r="L69" s="387"/>
      <c r="M69" s="383" t="str">
        <f aca="false">IF('อัปเดตงาน WBS'!$L$209="","",'อัปเดตงาน WBS'!$L$209)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3674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Plan'!$H$10+(-24)</f>
        <v>46379</v>
      </c>
      <c r="J70" s="373" t="n">
        <f aca="false">'Master Plan'!$H$10+(-15)</f>
        <v>46388</v>
      </c>
      <c r="K70" s="78"/>
      <c r="L70" s="78" t="str">
        <f aca="false">IF(ISNUMBER(อัปเดตรายสัปดาห์!$X$10),อัปเดตรายสัปดาห์!$X$10,"")</f>
        <v/>
      </c>
      <c r="M70" s="374" t="str">
        <f aca="false">IF(อัปเดตรายสัปดาห์!$X$10="Y","Y","")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-003",SITE_TYPE,"?*")&gt;0,MIN(1,SUMPRODUCT((SITE_ST="P9-003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Plan'!$H$10+(-24)</f>
        <v>46379</v>
      </c>
      <c r="J71" s="382" t="n">
        <f aca="false">'Master Plan'!$H$10+(-20)</f>
        <v>46383</v>
      </c>
      <c r="K71" s="387"/>
      <c r="L71" s="387"/>
      <c r="M71" s="383" t="str">
        <f aca="false">IF('อัปเดตงาน WBS'!$L$210="","",'อัปเดตงาน WBS'!$L$210)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Plan'!$H$10+(-22)</f>
        <v>46381</v>
      </c>
      <c r="J72" s="382" t="n">
        <f aca="false">'Master Plan'!$H$10+(-17)</f>
        <v>46386</v>
      </c>
      <c r="K72" s="387"/>
      <c r="L72" s="387"/>
      <c r="M72" s="383" t="str">
        <f aca="false">IF('อัปเดตงาน WBS'!$L$211="","",'อัปเดตงาน WBS'!$L$211)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Plan'!$H$10+(-21)</f>
        <v>46382</v>
      </c>
      <c r="J73" s="382" t="n">
        <f aca="false">'Master Plan'!$H$10+(-17)</f>
        <v>46386</v>
      </c>
      <c r="K73" s="387"/>
      <c r="L73" s="387"/>
      <c r="M73" s="383" t="str">
        <f aca="false">IF('อัปเดตงาน WBS'!$L$212="","",'อัปเดตงาน WBS'!$L$212)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Plan'!$H$10+(-20)</f>
        <v>46383</v>
      </c>
      <c r="J74" s="382" t="n">
        <f aca="false">'Master Plan'!$H$10+(-15)</f>
        <v>46388</v>
      </c>
      <c r="K74" s="387"/>
      <c r="L74" s="387"/>
      <c r="M74" s="383" t="str">
        <f aca="false">IF('อัปเดตงาน WBS'!$L$213="","",'อัปเดตงาน WBS'!$L$213)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Plan'!$H$10+(-17)</f>
        <v>46386</v>
      </c>
      <c r="J75" s="382" t="n">
        <f aca="false">'Master Plan'!$H$10+(-15)</f>
        <v>46388</v>
      </c>
      <c r="K75" s="387"/>
      <c r="L75" s="387"/>
      <c r="M75" s="383" t="str">
        <f aca="false">IF('อัปเดตงาน WBS'!$L$214="","",'อัปเดตงาน WBS'!$L$214)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3674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Plan'!$H$10+(-24)</f>
        <v>46379</v>
      </c>
      <c r="J76" s="373" t="n">
        <f aca="false">'Master Plan'!$H$10+(-15)</f>
        <v>46388</v>
      </c>
      <c r="K76" s="78"/>
      <c r="L76" s="78" t="str">
        <f aca="false">IF(ISNUMBER(อัปเดตรายสัปดาห์!$Y$10),อัปเดตรายสัปดาห์!$Y$10,"")</f>
        <v/>
      </c>
      <c r="M76" s="374" t="str">
        <f aca="false">IF(อัปเดตรายสัปดาห์!$Y$10="Y","Y","")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-003",SITE_TYPE,"?*")&gt;0,MIN(1,SUMPRODUCT((SITE_ST="P9-003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Plan'!$H$10+(-24)</f>
        <v>46379</v>
      </c>
      <c r="J77" s="382" t="n">
        <f aca="false">'Master Plan'!$H$10+(-21)</f>
        <v>46382</v>
      </c>
      <c r="K77" s="387"/>
      <c r="L77" s="387"/>
      <c r="M77" s="383" t="str">
        <f aca="false">IF('อัปเดตงาน WBS'!$L$215="","",'อัปเดตงาน WBS'!$L$215)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Plan'!$H$10+(-23)</f>
        <v>46380</v>
      </c>
      <c r="J78" s="382" t="n">
        <f aca="false">'Master Plan'!$H$10+(-16)</f>
        <v>46387</v>
      </c>
      <c r="K78" s="387"/>
      <c r="L78" s="387"/>
      <c r="M78" s="383" t="str">
        <f aca="false">IF('อัปเดตงาน WBS'!$L$216="","",'อัปเดตงาน WBS'!$L$216)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Plan'!$H$10+(-20)</f>
        <v>46383</v>
      </c>
      <c r="J79" s="382" t="n">
        <f aca="false">'Master Plan'!$H$10+(-15)</f>
        <v>46388</v>
      </c>
      <c r="K79" s="387"/>
      <c r="L79" s="387"/>
      <c r="M79" s="383" t="str">
        <f aca="false">IF('อัปเดตงาน WBS'!$L$217="","",'อัปเดตงาน WBS'!$L$217)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Plan'!$H$10+(-17)</f>
        <v>46386</v>
      </c>
      <c r="J80" s="382" t="n">
        <f aca="false">'Master Plan'!$H$10+(-15)</f>
        <v>46388</v>
      </c>
      <c r="K80" s="387"/>
      <c r="L80" s="387"/>
      <c r="M80" s="383" t="str">
        <f aca="false">IF('อัปเดตงาน WBS'!$L$218="","",'อัปเดตงาน WBS'!$L$218)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Plan'!$H$10+(-15)</f>
        <v>46388</v>
      </c>
      <c r="J81" s="382" t="n">
        <f aca="false">'Master Plan'!$H$10+(-15)</f>
        <v>46388</v>
      </c>
      <c r="K81" s="387"/>
      <c r="L81" s="387"/>
      <c r="M81" s="383" t="str">
        <f aca="false">IF('อัปเดตงาน WBS'!$L$219="","",'อัปเดตงาน WBS'!$L$219)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3674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Plan'!$H$10+(-21)</f>
        <v>46382</v>
      </c>
      <c r="J82" s="373" t="n">
        <f aca="false">'Master Plan'!$H$10+(-18)</f>
        <v>46385</v>
      </c>
      <c r="K82" s="78"/>
      <c r="L82" s="78" t="str">
        <f aca="false">IF(ISNUMBER(อัปเดตรายสัปดาห์!$Z$10),อัปเดตรายสัปดาห์!$Z$10,"")</f>
        <v/>
      </c>
      <c r="M82" s="374" t="str">
        <f aca="false">IF(อัปเดตรายสัปดาห์!$Z$10="Y","Y","")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Plan'!$H$10+(-21)</f>
        <v>46382</v>
      </c>
      <c r="J83" s="382" t="n">
        <f aca="false">'Master Plan'!$H$10+(-19)</f>
        <v>46384</v>
      </c>
      <c r="K83" s="387"/>
      <c r="L83" s="387"/>
      <c r="M83" s="383" t="str">
        <f aca="false">IF('อัปเดตงาน WBS'!$L$220="","",'อัปเดตงาน WBS'!$L$220)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Plan'!$H$10+(-20)</f>
        <v>46383</v>
      </c>
      <c r="J84" s="382" t="n">
        <f aca="false">'Master Plan'!$H$10+(-18)</f>
        <v>46385</v>
      </c>
      <c r="K84" s="387"/>
      <c r="L84" s="387"/>
      <c r="M84" s="383" t="str">
        <f aca="false">IF('อัปเดตงาน WBS'!$L$221="","",'อัปเดตงาน WBS'!$L$221)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3674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Plan'!$H$10+(-25)</f>
        <v>46378</v>
      </c>
      <c r="J85" s="373" t="n">
        <f aca="false">'Master Plan'!$H$10+(-17)</f>
        <v>46386</v>
      </c>
      <c r="K85" s="78"/>
      <c r="L85" s="78" t="str">
        <f aca="false">IF(ISNUMBER(อัปเดตรายสัปดาห์!$AA$10),อัปเดตรายสัปดาห์!$AA$10,"")</f>
        <v/>
      </c>
      <c r="M85" s="374" t="str">
        <f aca="false">IF(อัปเดตรายสัปดาห์!$AA$10="Y","Y","")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Plan'!$H$10+(-25)</f>
        <v>46378</v>
      </c>
      <c r="J86" s="382" t="n">
        <f aca="false">'Master Plan'!$H$10+(-21)</f>
        <v>46382</v>
      </c>
      <c r="K86" s="387"/>
      <c r="L86" s="387"/>
      <c r="M86" s="383" t="str">
        <f aca="false">IF('อัปเดตงาน WBS'!$L$222="","",'อัปเดตงาน WBS'!$L$222)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Plan'!$H$10+(-22)</f>
        <v>46381</v>
      </c>
      <c r="J87" s="382" t="n">
        <f aca="false">'Master Plan'!$H$10+(-18)</f>
        <v>46385</v>
      </c>
      <c r="K87" s="387"/>
      <c r="L87" s="387"/>
      <c r="M87" s="383" t="str">
        <f aca="false">IF('อัปเดตงาน WBS'!$L$223="","",'อัปเดตงาน WBS'!$L$223)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Plan'!$H$10+(-20)</f>
        <v>46383</v>
      </c>
      <c r="J88" s="382" t="n">
        <f aca="false">'Master Plan'!$H$10+(-17)</f>
        <v>46386</v>
      </c>
      <c r="K88" s="387"/>
      <c r="L88" s="387"/>
      <c r="M88" s="383" t="str">
        <f aca="false">IF('อัปเดตงาน WBS'!$L$224="","",'อัปเดตงาน WBS'!$L$224)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Plan'!$H$10+(-18)</f>
        <v>46385</v>
      </c>
      <c r="J89" s="382" t="n">
        <f aca="false">'Master Plan'!$H$10+(-17)</f>
        <v>46386</v>
      </c>
      <c r="K89" s="387"/>
      <c r="L89" s="387"/>
      <c r="M89" s="383" t="str">
        <f aca="false">IF('อัปเดตงาน WBS'!$L$225="","",'อัปเดตงาน WBS'!$L$225)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3674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Plan'!$H$10+(-25)</f>
        <v>46378</v>
      </c>
      <c r="J90" s="373" t="n">
        <f aca="false">'Master Plan'!$H$10+(-16)</f>
        <v>46387</v>
      </c>
      <c r="K90" s="78"/>
      <c r="L90" s="78" t="str">
        <f aca="false">IF(ISNUMBER(อัปเดตรายสัปดาห์!$AB$10),อัปเดตรายสัปดาห์!$AB$10,"")</f>
        <v/>
      </c>
      <c r="M90" s="374" t="str">
        <f aca="false">IF(อัปเดตรายสัปดาห์!$AB$10="Y","Y","")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Plan'!$H$10+(-25)</f>
        <v>46378</v>
      </c>
      <c r="J91" s="382" t="n">
        <f aca="false">'Master Plan'!$H$10+(-20)</f>
        <v>46383</v>
      </c>
      <c r="K91" s="387"/>
      <c r="L91" s="387"/>
      <c r="M91" s="383" t="str">
        <f aca="false">IF('อัปเดตงาน WBS'!$L$226="","",'อัปเดตงาน WBS'!$L$226)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Plan'!$H$10+(-20)</f>
        <v>46383</v>
      </c>
      <c r="J92" s="382" t="n">
        <f aca="false">'Master Plan'!$H$10+(-16)</f>
        <v>46387</v>
      </c>
      <c r="K92" s="387"/>
      <c r="L92" s="387"/>
      <c r="M92" s="383" t="str">
        <f aca="false">IF('อัปเดตงาน WBS'!$L$227="","",'อัปเดตงาน WBS'!$L$227)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Plan'!$H$10+(-25)</f>
        <v>46378</v>
      </c>
      <c r="J93" s="382" t="n">
        <f aca="false">'Master Plan'!$H$10+(-21)</f>
        <v>46382</v>
      </c>
      <c r="K93" s="387"/>
      <c r="L93" s="387"/>
      <c r="M93" s="383" t="str">
        <f aca="false">IF('อัปเดตงาน WBS'!$L$228="","",'อัปเดตงาน WBS'!$L$228)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Plan'!$H$10+(-21)</f>
        <v>46382</v>
      </c>
      <c r="J94" s="382" t="n">
        <f aca="false">'Master Plan'!$H$10+(-16)</f>
        <v>46387</v>
      </c>
      <c r="K94" s="387"/>
      <c r="L94" s="387"/>
      <c r="M94" s="383" t="str">
        <f aca="false">IF('อัปเดตงาน WBS'!$L$229="","",'อัปเดตงาน WBS'!$L$229)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Plan'!$H$10+(-17)</f>
        <v>46386</v>
      </c>
      <c r="J95" s="382" t="n">
        <f aca="false">'Master Plan'!$H$10+(-16)</f>
        <v>46387</v>
      </c>
      <c r="K95" s="387"/>
      <c r="L95" s="387"/>
      <c r="M95" s="383" t="str">
        <f aca="false">IF('อัปเดตงาน WBS'!$L$230="","",'อัปเดตงาน WBS'!$L$230)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3674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Plan'!$H$10+(-22)</f>
        <v>46381</v>
      </c>
      <c r="J96" s="373" t="n">
        <f aca="false">'Master Plan'!$H$10+(-16)</f>
        <v>46387</v>
      </c>
      <c r="K96" s="78"/>
      <c r="L96" s="78" t="str">
        <f aca="false">IF(ISNUMBER(อัปเดตรายสัปดาห์!$AC$10),อัปเดตรายสัปดาห์!$AC$10,"")</f>
        <v/>
      </c>
      <c r="M96" s="374" t="str">
        <f aca="false">IF(อัปเดตรายสัปดาห์!$AC$10="Y","Y","")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Plan'!$H$10+(-22)</f>
        <v>46381</v>
      </c>
      <c r="J97" s="382" t="n">
        <f aca="false">'Master Plan'!$H$10+(-17)</f>
        <v>46386</v>
      </c>
      <c r="K97" s="387"/>
      <c r="L97" s="387"/>
      <c r="M97" s="383" t="str">
        <f aca="false">IF('อัปเดตงาน WBS'!$L$231="","",'อัปเดตงาน WBS'!$L$231)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Plan'!$H$10+(-20)</f>
        <v>46383</v>
      </c>
      <c r="J98" s="382" t="n">
        <f aca="false">'Master Plan'!$H$10+(-16)</f>
        <v>46387</v>
      </c>
      <c r="K98" s="387"/>
      <c r="L98" s="387"/>
      <c r="M98" s="383" t="str">
        <f aca="false">IF('อัปเดตงาน WBS'!$L$232="","",'อัปเดตงาน WBS'!$L$232)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Plan'!$H$10+(-17)</f>
        <v>46386</v>
      </c>
      <c r="J99" s="382" t="n">
        <f aca="false">'Master Plan'!$H$10+(-16)</f>
        <v>46387</v>
      </c>
      <c r="K99" s="387"/>
      <c r="L99" s="387"/>
      <c r="M99" s="383" t="str">
        <f aca="false">IF('อัปเดตงาน WBS'!$L$233="","",'อัปเดตงาน WBS'!$L$233)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3674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Plan'!$H$10+(-20)</f>
        <v>46383</v>
      </c>
      <c r="J100" s="373" t="n">
        <f aca="false">'Master Plan'!$H$10+(-15)</f>
        <v>46388</v>
      </c>
      <c r="K100" s="78"/>
      <c r="L100" s="78" t="str">
        <f aca="false">IF(ISNUMBER(อัปเดตรายสัปดาห์!$AD$10),อัปเดตรายสัปดาห์!$AD$10,"")</f>
        <v/>
      </c>
      <c r="M100" s="374" t="str">
        <f aca="false">IF(อัปเดตรายสัปดาห์!$AD$10="Y","Y","")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Plan'!$H$10+(-19)</f>
        <v>46384</v>
      </c>
      <c r="J103" s="382" t="n">
        <f aca="false">'Master Plan'!$H$10+(-16)</f>
        <v>46387</v>
      </c>
      <c r="K103" s="387"/>
      <c r="L103" s="387"/>
      <c r="M103" s="383" t="str">
        <f aca="false">IF('อัปเดตงาน WBS'!$L$234="","",'อัปเดตงาน WBS'!$L$234)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Plan'!$H$10+(-18)</f>
        <v>46385</v>
      </c>
      <c r="J104" s="382" t="n">
        <f aca="false">'Master Plan'!$H$10+(-16)</f>
        <v>46387</v>
      </c>
      <c r="K104" s="387"/>
      <c r="L104" s="387"/>
      <c r="M104" s="383" t="str">
        <f aca="false">IF('อัปเดตงาน WBS'!$L$235="","",'อัปเดตงาน WBS'!$L$235)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Plan'!$H$10+(-18)</f>
        <v>46385</v>
      </c>
      <c r="J105" s="382" t="n">
        <f aca="false">'Master Plan'!$H$10+(-15)</f>
        <v>46388</v>
      </c>
      <c r="K105" s="387"/>
      <c r="L105" s="387"/>
      <c r="M105" s="383" t="str">
        <f aca="false">IF('อัปเดตงาน WBS'!$L$236="","",'อัปเดตงาน WBS'!$L$236)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Plan'!$H$10+(-16)</f>
        <v>46387</v>
      </c>
      <c r="J106" s="382" t="n">
        <f aca="false">'Master Plan'!$H$10+(-15)</f>
        <v>46388</v>
      </c>
      <c r="K106" s="387"/>
      <c r="L106" s="387"/>
      <c r="M106" s="383" t="str">
        <f aca="false">IF('อัปเดตงาน WBS'!$L$237="","",'อัปเดตงาน WBS'!$L$237)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3674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Plan'!$H$10+(-18)</f>
        <v>46385</v>
      </c>
      <c r="J107" s="373" t="n">
        <f aca="false">'Master Plan'!$H$10+(-14)</f>
        <v>46389</v>
      </c>
      <c r="K107" s="78"/>
      <c r="L107" s="78" t="str">
        <f aca="false">IF(ISNUMBER(อัปเดตรายสัปดาห์!$AE$10),อัปเดตรายสัปดาห์!$AE$10,"")</f>
        <v/>
      </c>
      <c r="M107" s="374" t="str">
        <f aca="false">IF(อัปเดตรายสัปดาห์!$AE$10="Y","Y","")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Plan'!$H$10+(-18)</f>
        <v>46385</v>
      </c>
      <c r="J108" s="382" t="n">
        <f aca="false">'Master Plan'!$H$10+(-15)</f>
        <v>46388</v>
      </c>
      <c r="K108" s="387"/>
      <c r="L108" s="387"/>
      <c r="M108" s="383" t="str">
        <f aca="false">IF('อัปเดตงาน WBS'!$L$238="","",'อัปเดตงาน WBS'!$L$238)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Plan'!$H$10+(-16)</f>
        <v>46387</v>
      </c>
      <c r="J109" s="382" t="n">
        <f aca="false">'Master Plan'!$H$10+(-14)</f>
        <v>46389</v>
      </c>
      <c r="K109" s="387"/>
      <c r="L109" s="387"/>
      <c r="M109" s="383" t="str">
        <f aca="false">IF('อัปเดตงาน WBS'!$L$239="","",'อัปเดตงาน WBS'!$L$239)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Plan'!$H$10+(-17)</f>
        <v>46386</v>
      </c>
      <c r="J110" s="382" t="n">
        <f aca="false">'Master Plan'!$H$10+(-15)</f>
        <v>46388</v>
      </c>
      <c r="K110" s="387"/>
      <c r="L110" s="387"/>
      <c r="M110" s="383" t="str">
        <f aca="false">IF('อัปเดตงาน WBS'!$L$240="","",'อัปเดตงาน WBS'!$L$240)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53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Plan'!$H$10+(-13)</f>
        <v>46390</v>
      </c>
      <c r="J111" s="373" t="n">
        <f aca="false">'Master Plan'!$H$10+(-13)</f>
        <v>46390</v>
      </c>
      <c r="K111" s="78"/>
      <c r="L111" s="78" t="str">
        <f aca="false">IF(ISNUMBER(อัปเดตรายสัปดาห์!$AF$10),อัปเดตรายสัปดาห์!$AF$10,"")</f>
        <v/>
      </c>
      <c r="M111" s="374" t="str">
        <f aca="false">IF(อัปเดตรายสัปดาห์!$AF$10="Y","Y","")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Plan'!$Y$10)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Plan'!$H$10+(-13)</f>
        <v>46390</v>
      </c>
      <c r="J112" s="382" t="n">
        <f aca="false">'Master Plan'!$H$10+(-13)</f>
        <v>46390</v>
      </c>
      <c r="K112" s="387"/>
      <c r="L112" s="387"/>
      <c r="M112" s="383" t="str">
        <f aca="false">IF('อัปเดตงาน WBS'!$L$241="","",'อัปเดตงาน WBS'!$L$241)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Plan'!$H$10+(-13)</f>
        <v>46390</v>
      </c>
      <c r="J113" s="382" t="n">
        <f aca="false">'Master Plan'!$H$10+(-13)</f>
        <v>46390</v>
      </c>
      <c r="K113" s="387"/>
      <c r="L113" s="387"/>
      <c r="M113" s="383" t="str">
        <f aca="false">IF('อัปเดตงาน WBS'!$L$242="","",'อัปเดตงาน WBS'!$L$242)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3674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Plan'!$H$10+(-12)</f>
        <v>46391</v>
      </c>
      <c r="J115" s="373" t="n">
        <f aca="false">'Master Plan'!$H$10+(-10)</f>
        <v>46393</v>
      </c>
      <c r="K115" s="78"/>
      <c r="L115" s="78" t="str">
        <f aca="false">IF(ISNUMBER(อัปเดตรายสัปดาห์!$AG$10),อัปเดตรายสัปดาห์!$AG$10,"")</f>
        <v/>
      </c>
      <c r="M115" s="374" t="str">
        <f aca="false">IF(อัปเดตรายสัปดาห์!$AG$10="Y","Y","")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Plan'!$AA$10)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Plan'!$H$10+(-12)</f>
        <v>46391</v>
      </c>
      <c r="J116" s="382" t="n">
        <f aca="false">'Master Plan'!$H$10+(-12)</f>
        <v>46391</v>
      </c>
      <c r="K116" s="387"/>
      <c r="L116" s="387"/>
      <c r="M116" s="383" t="str">
        <f aca="false">IF('อัปเดตงาน WBS'!$L$243="","",'อัปเดตงาน WBS'!$L$243)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Plan'!$H$10+(-12)</f>
        <v>46391</v>
      </c>
      <c r="J117" s="382" t="n">
        <f aca="false">'Master Plan'!$H$10+(-11)</f>
        <v>46392</v>
      </c>
      <c r="K117" s="387"/>
      <c r="L117" s="387"/>
      <c r="M117" s="383" t="str">
        <f aca="false">IF('อัปเดตงาน WBS'!$L$244="","",'อัปเดตงาน WBS'!$L$244)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Plan'!$H$10+(-11)</f>
        <v>46392</v>
      </c>
      <c r="J118" s="382" t="n">
        <f aca="false">'Master Plan'!$H$10+(-11)</f>
        <v>46392</v>
      </c>
      <c r="K118" s="387"/>
      <c r="L118" s="387"/>
      <c r="M118" s="383" t="str">
        <f aca="false">IF('อัปเดตงาน WBS'!$L$245="","",'อัปเดตงาน WBS'!$L$245)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Plan'!$H$10+(-11)</f>
        <v>46392</v>
      </c>
      <c r="J119" s="382" t="n">
        <f aca="false">'Master Plan'!$H$10+(-11)</f>
        <v>46392</v>
      </c>
      <c r="K119" s="387"/>
      <c r="L119" s="387"/>
      <c r="M119" s="383" t="str">
        <f aca="false">IF('อัปเดตงาน WBS'!$L$246="","",'อัปเดตงาน WBS'!$L$246)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Plan'!$H$10+(-11)</f>
        <v>46392</v>
      </c>
      <c r="J120" s="382" t="n">
        <f aca="false">'Master Plan'!$H$10+(-10)</f>
        <v>46393</v>
      </c>
      <c r="K120" s="387"/>
      <c r="L120" s="387"/>
      <c r="M120" s="383" t="str">
        <f aca="false">IF('อัปเดตงาน WBS'!$L$247="","",'อัปเดตงาน WBS'!$L$247)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Plan'!$H$10+(-11)</f>
        <v>46392</v>
      </c>
      <c r="J121" s="382" t="n">
        <f aca="false">'Master Plan'!$H$10+(-10)</f>
        <v>46393</v>
      </c>
      <c r="K121" s="387"/>
      <c r="L121" s="387"/>
      <c r="M121" s="383" t="str">
        <f aca="false">IF('อัปเดตงาน WBS'!$L$248="","",'อัปเดตงาน WBS'!$L$248)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53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Plan'!$H$10+(-10)</f>
        <v>46393</v>
      </c>
      <c r="J122" s="373" t="n">
        <f aca="false">'Master Plan'!$H$10+(-10)</f>
        <v>46393</v>
      </c>
      <c r="K122" s="78"/>
      <c r="L122" s="78" t="str">
        <f aca="false">IF(ISNUMBER(อัปเดตรายสัปดาห์!$AH$10),อัปเดตรายสัปดาห์!$AH$10,"")</f>
        <v/>
      </c>
      <c r="M122" s="374" t="str">
        <f aca="false">IF(อัปเดตรายสัปดาห์!$AH$10="Y","Y","")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Plan'!$Z$10)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53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Plan'!$H$10+(-12)</f>
        <v>46391</v>
      </c>
      <c r="J123" s="373" t="n">
        <f aca="false">'Master Plan'!$H$10+(-8)</f>
        <v>46395</v>
      </c>
      <c r="K123" s="78" t="str">
        <f aca="false">IF(ISNUMBER(อัปเดตรายสัปดาห์!$AI$10),อัปเดตรายสัปดาห์!$AI$10,"")</f>
        <v/>
      </c>
      <c r="L123" s="78" t="str">
        <f aca="false">IF(ISNUMBER(อัปเดตรายสัปดาห์!$AJ$10),อัปเดตรายสัปดาห์!$AJ$10,"")</f>
        <v/>
      </c>
      <c r="M123" s="374" t="str">
        <f aca="false">IF(อัปเดตรายสัปดาห์!$AJ$10="Y","Y","")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53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Plan'!$H$10+(37)</f>
        <v>46440</v>
      </c>
      <c r="J124" s="373" t="n">
        <f aca="false">'Master Plan'!$H$10+(50)</f>
        <v>46453</v>
      </c>
      <c r="K124" s="78"/>
      <c r="L124" s="78" t="str">
        <f aca="false">IF(ISNUMBER(อัปเดตรายสัปดาห์!$AK$10),อัปเดตรายสัปดาห์!$AK$10,"")</f>
        <v/>
      </c>
      <c r="M124" s="374" t="str">
        <f aca="false">IF(อัปเดตรายสัปดาห์!$AK$10="Y","Y","")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Plan'!$H$10+(37)</f>
        <v>46440</v>
      </c>
      <c r="J125" s="382" t="n">
        <f aca="false">'Master Plan'!$H$10+(41)</f>
        <v>46444</v>
      </c>
      <c r="K125" s="387"/>
      <c r="L125" s="387"/>
      <c r="M125" s="383" t="str">
        <f aca="false">IF('อัปเดตงาน WBS'!$L$249="","",'อัปเดตงาน WBS'!$L$249)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Plan'!$H$10+(40)</f>
        <v>46443</v>
      </c>
      <c r="J126" s="382" t="n">
        <f aca="false">'Master Plan'!$H$10+(47)</f>
        <v>46450</v>
      </c>
      <c r="K126" s="387"/>
      <c r="L126" s="387"/>
      <c r="M126" s="383" t="str">
        <f aca="false">IF('อัปเดตงาน WBS'!$L$250="","",'อัปเดตงาน WBS'!$L$250)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Plan'!$H$10+(47)</f>
        <v>46450</v>
      </c>
      <c r="J127" s="382" t="n">
        <f aca="false">'Master Plan'!$H$10+(50)</f>
        <v>46453</v>
      </c>
      <c r="K127" s="387"/>
      <c r="L127" s="387"/>
      <c r="M127" s="383" t="str">
        <f aca="false">IF('อัปเดตงาน WBS'!$L$251="","",'อัปเดตงาน WBS'!$L$251)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3674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Plan'!$H$10+(0)</f>
        <v>46403</v>
      </c>
      <c r="J128" s="373" t="n">
        <f aca="false">'Master Plan'!$H$10+(0)</f>
        <v>46403</v>
      </c>
      <c r="K128" s="78"/>
      <c r="L128" s="78" t="str">
        <f aca="false">IF(ISNUMBER(อัปเดตรายสัปดาห์!$AL$10),อัปเดตรายสัปดาห์!$AL$10,"")</f>
        <v/>
      </c>
      <c r="M128" s="374" t="str">
        <f aca="false">IF(อัปเดตรายสัปดาห์!$AL$10="Y","Y","")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Plan'!$AB$10)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Plan'!$H$10+(0)</f>
        <v>46403</v>
      </c>
      <c r="J129" s="373" t="n">
        <f aca="false">'Master Plan'!$H$10+(0)</f>
        <v>46403</v>
      </c>
      <c r="K129" s="78"/>
      <c r="L129" s="78" t="str">
        <f aca="false">IF(ISNUMBER(อัปเดตรายสัปดาห์!$AM$10),อัปเดตรายสัปดาห์!$AM$10,"")</f>
        <v/>
      </c>
      <c r="M129" s="374" t="str">
        <f aca="false">IF(อัปเดตรายสัปดาห์!$AM$10="Y","Y","")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Plan'!$H$10+(0)</f>
        <v>46403</v>
      </c>
      <c r="J130" s="373" t="n">
        <f aca="false">'Master Plan'!$H$10+(0)</f>
        <v>46403</v>
      </c>
      <c r="K130" s="78"/>
      <c r="L130" s="78" t="str">
        <f aca="false">IF(ISNUMBER(อัปเดตรายสัปดาห์!$AN$10),อัปเดตรายสัปดาห์!$AN$10,"")</f>
        <v/>
      </c>
      <c r="M130" s="374" t="str">
        <f aca="false">IF(อัปเดตรายสัปดาห์!$AN$10="Y","Y","")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53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Plan'!$H$10+(34)</f>
        <v>46437</v>
      </c>
      <c r="J131" s="373" t="n">
        <f aca="false">'Master Plan'!$H$10+(36)</f>
        <v>46439</v>
      </c>
      <c r="K131" s="78"/>
      <c r="L131" s="78" t="str">
        <f aca="false">IF(ISNUMBER(อัปเดตรายสัปดาห์!$AO$10),อัปเดตรายสัปดาห์!$AO$10,"")</f>
        <v/>
      </c>
      <c r="M131" s="374" t="str">
        <f aca="false">IF(อัปเดตรายสัปดาห์!$AO$10="Y","Y","")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SUMPRODUCT((SITE_ST="P9-003")*(SITE_TYPE=$B136)*(SITE_TYPE&lt;&gt;""))</f>
        <v>2</v>
      </c>
      <c r="E136" s="397" t="n">
        <f aca="false">SUMPRODUCT((SITE_ST="P9-003")*(SITE_TYPE=$B136)*SITE_MOD)</f>
        <v>264</v>
      </c>
      <c r="I136" s="398" t="n">
        <f aca="false">SUMPRODUCT((SITE_ST="P9-003")*(SITE_TYPE=$B136)*SITE_KWP)</f>
        <v>150.48</v>
      </c>
      <c r="J136" s="35" t="n">
        <f aca="false">IF(SUMPRODUCT((SITE_ST="P9-003")*(SITE_TYPE=$B136)*(SITE_TYPE&lt;&gt;""))=0,"",SUMPRODUCT((SITE_ST="P9-003")*(SITE_TYPE=$B136)*SITE_S21*SITE_D21)/MAX(0.0001,SUMPRODUCT((SITE_ST="P9-003")*(SITE_TYPE=$B136)*SITE_S21)))</f>
        <v>0</v>
      </c>
      <c r="K136" s="32" t="str">
        <f aca="false">IF(SUMPRODUCT((SITE_ST="P9-003")*(SITE_TYPE=$B136)*(SITE_TYPE&lt;&gt;""))=0,"",SUMPRODUCT((SITE_ST="P9-003")*(SITE_TYPE=$B136)*(SITE_TYPE&lt;&gt;"")*(SITE_T22="Y"))&amp;"/"&amp;SUMPRODUCT((SITE_ST="P9-003")*(SITE_TYPE=$B136)*(SITE_TYPE&lt;&gt;"")))</f>
        <v>0/2</v>
      </c>
      <c r="L136" s="32" t="str">
        <f aca="false">IF(SUMPRODUCT((SITE_ST="P9-003")*(SITE_TYPE=$B136)*(SITE_TYPE&lt;&gt;""))=0,"",SUMPRODUCT((SITE_ST="P9-003")*(SITE_TYPE=$B136)*(SITE_TYPE&lt;&gt;"")*(SITE_T23="Y"))&amp;"/"&amp;SUMPRODUCT((SITE_ST="P9-003")*(SITE_TYPE=$B136)*(SITE_TYPE&lt;&gt;"")))</f>
        <v>0/2</v>
      </c>
      <c r="O136" s="32" t="str">
        <f aca="false">IF(SUMPRODUCT((SITE_ST="P9-003")*(SITE_TYPE=$B136)*(LEFT(SITE_LAD,4)="ติด:"))=0,"",SUMPRODUCT((SITE_ST="P9-003")*(SITE_TYPE=$B136)*(LEFT(SITE_LAD,4)="ติด:"))&amp;" จุด")</f>
        <v>2 จุด</v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SUMPRODUCT((SITE_ST="P9-003")*(SITE_TYPE=$B137)*(SITE_TYPE&lt;&gt;""))</f>
        <v>0</v>
      </c>
      <c r="E137" s="397" t="n">
        <f aca="false">SUMPRODUCT((SITE_ST="P9-003")*(SITE_TYPE=$B137)*SITE_MOD)</f>
        <v>0</v>
      </c>
      <c r="I137" s="398" t="n">
        <f aca="false">SUMPRODUCT((SITE_ST="P9-003")*(SITE_TYPE=$B137)*SITE_KWP)</f>
        <v>0</v>
      </c>
      <c r="J137" s="35" t="str">
        <f aca="false">IF(SUMPRODUCT((SITE_ST="P9-003")*(SITE_TYPE=$B137)*(SITE_TYPE&lt;&gt;""))=0,"",SUMPRODUCT((SITE_ST="P9-003")*(SITE_TYPE=$B137)*SITE_S21*SITE_D21)/MAX(0.0001,SUMPRODUCT((SITE_ST="P9-003")*(SITE_TYPE=$B137)*SITE_S21)))</f>
        <v/>
      </c>
      <c r="K137" s="32" t="str">
        <f aca="false">IF(SUMPRODUCT((SITE_ST="P9-003")*(SITE_TYPE=$B137)*(SITE_TYPE&lt;&gt;""))=0,"",SUMPRODUCT((SITE_ST="P9-003")*(SITE_TYPE=$B137)*(SITE_TYPE&lt;&gt;"")*(SITE_T22="Y"))&amp;"/"&amp;SUMPRODUCT((SITE_ST="P9-003")*(SITE_TYPE=$B137)*(SITE_TYPE&lt;&gt;"")))</f>
        <v/>
      </c>
      <c r="L137" s="32" t="str">
        <f aca="false">IF(SUMPRODUCT((SITE_ST="P9-003")*(SITE_TYPE=$B137)*(SITE_TYPE&lt;&gt;""))=0,"",SUMPRODUCT((SITE_ST="P9-003")*(SITE_TYPE=$B137)*(SITE_TYPE&lt;&gt;"")*(SITE_T23="Y"))&amp;"/"&amp;SUMPRODUCT((SITE_ST="P9-003")*(SITE_TYPE=$B137)*(SITE_TYPE&lt;&gt;"")))</f>
        <v/>
      </c>
      <c r="O137" s="32" t="str">
        <f aca="false">IF(SUMPRODUCT((SITE_ST="P9-003")*(SITE_TYPE=$B137)*(LEFT(SITE_LAD,4)="ติด:"))=0,"",SUMPRODUCT((SITE_ST="P9-003")*(SITE_TYPE=$B137)*(LEFT(SITE_LAD,4)="ติด:"))&amp;"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SUMPRODUCT((SITE_ST="P9-003")*(SITE_TYPE=$B138)*(SITE_TYPE&lt;&gt;""))</f>
        <v>0</v>
      </c>
      <c r="E138" s="397" t="n">
        <f aca="false">SUMPRODUCT((SITE_ST="P9-003")*(SITE_TYPE=$B138)*SITE_MOD)</f>
        <v>0</v>
      </c>
      <c r="I138" s="398" t="n">
        <f aca="false">SUMPRODUCT((SITE_ST="P9-003")*(SITE_TYPE=$B138)*SITE_KWP)</f>
        <v>0</v>
      </c>
      <c r="J138" s="35" t="str">
        <f aca="false">IF(SUMPRODUCT((SITE_ST="P9-003")*(SITE_TYPE=$B138)*(SITE_TYPE&lt;&gt;""))=0,"",SUMPRODUCT((SITE_ST="P9-003")*(SITE_TYPE=$B138)*SITE_S21*SITE_D21)/MAX(0.0001,SUMPRODUCT((SITE_ST="P9-003")*(SITE_TYPE=$B138)*SITE_S21)))</f>
        <v/>
      </c>
      <c r="K138" s="32" t="str">
        <f aca="false">IF(SUMPRODUCT((SITE_ST="P9-003")*(SITE_TYPE=$B138)*(SITE_TYPE&lt;&gt;""))=0,"",SUMPRODUCT((SITE_ST="P9-003")*(SITE_TYPE=$B138)*(SITE_TYPE&lt;&gt;"")*(SITE_T22="Y"))&amp;"/"&amp;SUMPRODUCT((SITE_ST="P9-003")*(SITE_TYPE=$B138)*(SITE_TYPE&lt;&gt;"")))</f>
        <v/>
      </c>
      <c r="L138" s="32" t="str">
        <f aca="false">IF(SUMPRODUCT((SITE_ST="P9-003")*(SITE_TYPE=$B138)*(SITE_TYPE&lt;&gt;""))=0,"",SUMPRODUCT((SITE_ST="P9-003")*(SITE_TYPE=$B138)*(SITE_TYPE&lt;&gt;"")*(SITE_T23="Y"))&amp;"/"&amp;SUMPRODUCT((SITE_ST="P9-003")*(SITE_TYPE=$B138)*(SITE_TYPE&lt;&gt;"")))</f>
        <v/>
      </c>
      <c r="O138" s="32" t="str">
        <f aca="false">IF(SUMPRODUCT((SITE_ST="P9-003")*(SITE_TYPE=$B138)*(LEFT(SITE_LAD,4)="ติด:"))=0,"",SUMPRODUCT((SITE_ST="P9-003")*(SITE_TYPE=$B138)*(LEFT(SITE_LAD,4)="ติด:"))&amp;"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SUMPRODUCT((SITE_ST="P9-003")*(SITE_TYPE=$B139)*(SITE_TYPE&lt;&gt;""))</f>
        <v>0</v>
      </c>
      <c r="E139" s="397" t="n">
        <f aca="false">SUMPRODUCT((SITE_ST="P9-003")*(SITE_TYPE=$B139)*SITE_MOD)</f>
        <v>0</v>
      </c>
      <c r="I139" s="398" t="n">
        <f aca="false">SUMPRODUCT((SITE_ST="P9-003")*(SITE_TYPE=$B139)*SITE_KWP)</f>
        <v>0</v>
      </c>
      <c r="J139" s="35" t="str">
        <f aca="false">IF(SUMPRODUCT((SITE_ST="P9-003")*(SITE_TYPE=$B139)*(SITE_TYPE&lt;&gt;""))=0,"",SUMPRODUCT((SITE_ST="P9-003")*(SITE_TYPE=$B139)*SITE_S21*SITE_D21)/MAX(0.0001,SUMPRODUCT((SITE_ST="P9-003")*(SITE_TYPE=$B139)*SITE_S21)))</f>
        <v/>
      </c>
      <c r="K139" s="32" t="str">
        <f aca="false">IF(SUMPRODUCT((SITE_ST="P9-003")*(SITE_TYPE=$B139)*(SITE_TYPE&lt;&gt;""))=0,"",SUMPRODUCT((SITE_ST="P9-003")*(SITE_TYPE=$B139)*(SITE_TYPE&lt;&gt;"")*(SITE_T22="Y"))&amp;"/"&amp;SUMPRODUCT((SITE_ST="P9-003")*(SITE_TYPE=$B139)*(SITE_TYPE&lt;&gt;"")))</f>
        <v/>
      </c>
      <c r="L139" s="32" t="str">
        <f aca="false">IF(SUMPRODUCT((SITE_ST="P9-003")*(SITE_TYPE=$B139)*(SITE_TYPE&lt;&gt;""))=0,"",SUMPRODUCT((SITE_ST="P9-003")*(SITE_TYPE=$B139)*(SITE_TYPE&lt;&gt;"")*(SITE_T23="Y"))&amp;"/"&amp;SUMPRODUCT((SITE_ST="P9-003")*(SITE_TYPE=$B139)*(SITE_TYPE&lt;&gt;"")))</f>
        <v/>
      </c>
      <c r="O139" s="32" t="str">
        <f aca="false">IF(SUMPRODUCT((SITE_ST="P9-003")*(SITE_TYPE=$B139)*(LEFT(SITE_LAD,4)="ติด:"))=0,"",SUMPRODUCT((SITE_ST="P9-003")*(SITE_TYPE=$B139)*(LEFT(SITE_LAD,4)="ติด:"))&amp;"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SUMPRODUCT((SITE_ST="P9-003")*(SITE_TYPE=$B140)*(SITE_TYPE&lt;&gt;""))</f>
        <v>0</v>
      </c>
      <c r="E140" s="397" t="n">
        <f aca="false">SUMPRODUCT((SITE_ST="P9-003")*(SITE_TYPE=$B140)*SITE_MOD)</f>
        <v>0</v>
      </c>
      <c r="I140" s="398" t="n">
        <f aca="false">SUMPRODUCT((SITE_ST="P9-003")*(SITE_TYPE=$B140)*SITE_KWP)</f>
        <v>0</v>
      </c>
      <c r="J140" s="35" t="str">
        <f aca="false">IF(SUMPRODUCT((SITE_ST="P9-003")*(SITE_TYPE=$B140)*(SITE_TYPE&lt;&gt;""))=0,"",SUMPRODUCT((SITE_ST="P9-003")*(SITE_TYPE=$B140)*SITE_S21*SITE_D21)/MAX(0.0001,SUMPRODUCT((SITE_ST="P9-003")*(SITE_TYPE=$B140)*SITE_S21)))</f>
        <v/>
      </c>
      <c r="K140" s="32" t="str">
        <f aca="false">IF(SUMPRODUCT((SITE_ST="P9-003")*(SITE_TYPE=$B140)*(SITE_TYPE&lt;&gt;""))=0,"",SUMPRODUCT((SITE_ST="P9-003")*(SITE_TYPE=$B140)*(SITE_TYPE&lt;&gt;"")*(SITE_T22="Y"))&amp;"/"&amp;SUMPRODUCT((SITE_ST="P9-003")*(SITE_TYPE=$B140)*(SITE_TYPE&lt;&gt;"")))</f>
        <v/>
      </c>
      <c r="L140" s="32" t="str">
        <f aca="false">IF(SUMPRODUCT((SITE_ST="P9-003")*(SITE_TYPE=$B140)*(SITE_TYPE&lt;&gt;""))=0,"",SUMPRODUCT((SITE_ST="P9-003")*(SITE_TYPE=$B140)*(SITE_TYPE&lt;&gt;"")*(SITE_T23="Y"))&amp;"/"&amp;SUMPRODUCT((SITE_ST="P9-003")*(SITE_TYPE=$B140)*(SITE_TYPE&lt;&gt;"")))</f>
        <v/>
      </c>
      <c r="O140" s="32" t="str">
        <f aca="false">IF(SUMPRODUCT((SITE_ST="P9-003")*(SITE_TYPE=$B140)*(LEFT(SITE_LAD,4)="ติด:"))=0,"",SUMPRODUCT((SITE_ST="P9-003")*(SITE_TYPE=$B140)*(LEFT(SITE_LAD,4)="ติด:"))&amp;"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SUMPRODUCT((SITE_ST="P9-003")*(SITE_TYPE=$B141)*(SITE_TYPE&lt;&gt;""))</f>
        <v>0</v>
      </c>
      <c r="E141" s="397" t="n">
        <f aca="false">SUMPRODUCT((SITE_ST="P9-003")*(SITE_TYPE=$B141)*SITE_MOD)</f>
        <v>0</v>
      </c>
      <c r="I141" s="398" t="n">
        <f aca="false">SUMPRODUCT((SITE_ST="P9-003")*(SITE_TYPE=$B141)*SITE_KWP)</f>
        <v>0</v>
      </c>
      <c r="J141" s="35" t="str">
        <f aca="false">IF(SUMPRODUCT((SITE_ST="P9-003")*(SITE_TYPE=$B141)*(SITE_TYPE&lt;&gt;""))=0,"",SUMPRODUCT((SITE_ST="P9-003")*(SITE_TYPE=$B141)*SITE_S21*SITE_D21)/MAX(0.0001,SUMPRODUCT((SITE_ST="P9-003")*(SITE_TYPE=$B141)*SITE_S21)))</f>
        <v/>
      </c>
      <c r="K141" s="32" t="str">
        <f aca="false">IF(SUMPRODUCT((SITE_ST="P9-003")*(SITE_TYPE=$B141)*(SITE_TYPE&lt;&gt;""))=0,"",SUMPRODUCT((SITE_ST="P9-003")*(SITE_TYPE=$B141)*(SITE_TYPE&lt;&gt;"")*(SITE_T22="Y"))&amp;"/"&amp;SUMPRODUCT((SITE_ST="P9-003")*(SITE_TYPE=$B141)*(SITE_TYPE&lt;&gt;"")))</f>
        <v/>
      </c>
      <c r="L141" s="32" t="str">
        <f aca="false">IF(SUMPRODUCT((SITE_ST="P9-003")*(SITE_TYPE=$B141)*(SITE_TYPE&lt;&gt;""))=0,"",SUMPRODUCT((SITE_ST="P9-003")*(SITE_TYPE=$B141)*(SITE_TYPE&lt;&gt;"")*(SITE_T23="Y"))&amp;"/"&amp;SUMPRODUCT((SITE_ST="P9-003")*(SITE_TYPE=$B141)*(SITE_TYPE&lt;&gt;"")))</f>
        <v/>
      </c>
      <c r="O141" s="32" t="str">
        <f aca="false">IF(SUMPRODUCT((SITE_ST="P9-003")*(SITE_TYPE=$B141)*(LEFT(SITE_LAD,4)="ติด:"))=0,"",SUMPRODUCT((SITE_ST="P9-003")*(SITE_TYPE=$B141)*(LEFT(SITE_LAD,4)="ติด:"))&amp;"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SUMPRODUCT((SITE_ST="P9-003")*(SITE_TYPE&lt;&gt;""))</f>
        <v>2</v>
      </c>
      <c r="E142" s="403" t="n">
        <f aca="false">SUMPRODUCT((SITE_ST="P9-003")*SITE_MOD)</f>
        <v>264</v>
      </c>
      <c r="I142" s="404" t="n">
        <f aca="false">SUMPRODUCT((SITE_ST="P9-003")*SITE_KWP)</f>
        <v>150.48</v>
      </c>
      <c r="J142" s="405" t="n">
        <f aca="false">IF(SUMPRODUCT((SITE_ST="P9-003")*(SITE_TYPE&lt;&gt;""))=0,"",SUMPRODUCT((SITE_ST="P9-003")*SITE_S21*SITE_D21)/MAX(0.0001,SUMPRODUCT((SITE_ST="P9-003")*SITE_S21)))</f>
        <v>0</v>
      </c>
      <c r="K142" s="406" t="str">
        <f aca="false">IF(SUMPRODUCT((SITE_ST="P9-003")*(SITE_TYPE&lt;&gt;""))=0,"",SUMPRODUCT((SITE_ST="P9-003")*(SITE_TYPE&lt;&gt;"")*(SITE_T22="Y"))&amp;"/"&amp;SUMPRODUCT((SITE_ST="P9-003")*(SITE_TYPE&lt;&gt;"")))</f>
        <v>0/2</v>
      </c>
      <c r="L142" s="406" t="str">
        <f aca="false">IF(SUMPRODUCT((SITE_ST="P9-003")*(SITE_TYPE&lt;&gt;""))=0,"",SUMPRODUCT((SITE_ST="P9-003")*(SITE_TYPE&lt;&gt;"")*(SITE_T23="Y"))&amp;"/"&amp;SUMPRODUCT((SITE_ST="P9-003")*(SITE_TYPE&lt;&gt;"")))</f>
        <v>0/2</v>
      </c>
      <c r="O142" s="406" t="str">
        <f aca="false">IF(SUMPRODUCT((SITE_ST="P9-003")*(LEFT(SITE_LAD,4)="ติด:"))=0,"",SUMPRODUCT((SITE_ST="P9-003")*(LEFT(SITE_LAD,4)="ติด:"))&amp;"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IFERROR(INDEX(INVS_TYPE,MATCH("P9-003",INVS_ID,0))&amp;"","")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ทั้งก้อน",IFERROR(INDEX(INVS_SET,MATCH("P9-003",INVS_ID,0)),"")&amp;" kW, โรงเรือน "&amp;IFERROR(INDEX(INVS_SIZE,MATCH("P9-003",INVS_ID,0)),"")&amp;",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0" display="✎ กรอกความคืบหน้า"/>
    <hyperlink ref="R4" location="'Master Plan'!A10" display="← กลับ Master Plan"/>
    <hyperlink ref="M10" location="'อัปเดตงาน WBS'!L1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2"/>
    <hyperlink ref="M11" location="'อัปเดตงาน WBS'!L1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3"/>
    <hyperlink ref="M12" location="'อัปเดตงาน WBS'!L1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4"/>
    <hyperlink ref="M13" location="'อัปเดตงาน WBS'!L1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5"/>
    <hyperlink ref="M14" location="'อัปเดตงาน WBS'!L1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6"/>
    <hyperlink ref="M15" location="'อัปเดตงาน WBS'!L1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7"/>
    <hyperlink ref="M17" location="'อัปเดตงาน WBS'!L1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8"/>
    <hyperlink ref="M18" location="'อัปเดตงาน WBS'!L1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79"/>
    <hyperlink ref="M19" location="'อัปเดตงาน WBS'!L1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0"/>
    <hyperlink ref="M20" location="'อัปเดตงาน WBS'!L1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1"/>
    <hyperlink ref="M21" location="'อัปเดตงาน WBS'!L1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2"/>
    <hyperlink ref="M22" location="'อัปเดตงาน WBS'!L1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3"/>
    <hyperlink ref="M24" location="'อัปเดตงาน WBS'!L1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4"/>
    <hyperlink ref="M26" location="'อัปเดตงาน WBS'!L1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5"/>
    <hyperlink ref="M27" location="'อัปเดตงาน WBS'!L1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6"/>
    <hyperlink ref="M28" location="'อัปเดตงาน WBS'!L1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7"/>
    <hyperlink ref="M31" location="'อัปเดตงาน WBS'!L1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8"/>
    <hyperlink ref="M32" location="'อัปเดตงาน WBS'!L1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89"/>
    <hyperlink ref="M33" location="'อัปเดตงาน WBS'!L1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0"/>
    <hyperlink ref="M35" location="'อัปเดตงาน WBS'!L1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1"/>
    <hyperlink ref="M36" location="'อัปเดตงาน WBS'!L1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2"/>
    <hyperlink ref="M37" location="'อัปเดตงาน WBS'!L1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3"/>
    <hyperlink ref="M38" location="'อัปเดตงาน WBS'!L1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4"/>
    <hyperlink ref="M40" location="'อัปเดตงาน WBS'!L1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5"/>
    <hyperlink ref="M41" location="'อัปเดตงาน WBS'!L1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6"/>
    <hyperlink ref="M42" location="'อัปเดตงาน WBS'!L1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7"/>
    <hyperlink ref="M44" location="'อัปเดตงาน WBS'!L1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8"/>
    <hyperlink ref="M45" location="'อัปเดตงาน WBS'!L1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99"/>
    <hyperlink ref="M46" location="'อัปเดตงาน WBS'!L2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0"/>
    <hyperlink ref="M53" location="'อัปเดตงาน WBS'!L2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1"/>
    <hyperlink ref="M54" location="'อัปเดตงาน WBS'!L2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2"/>
    <hyperlink ref="M63" location="'อัปเดตงาน WBS'!L2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3"/>
    <hyperlink ref="M64" location="'อัปเดตงาน WBS'!L2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4"/>
    <hyperlink ref="M65" location="'อัปเดตงาน WBS'!L2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5"/>
    <hyperlink ref="M66" location="'อัปเดตงาน WBS'!L2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6"/>
    <hyperlink ref="M67" location="'อัปเดตงาน WBS'!L2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7"/>
    <hyperlink ref="M68" location="'อัปเดตงาน WBS'!L2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8"/>
    <hyperlink ref="M69" location="'อัปเดตงาน WBS'!L2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09"/>
    <hyperlink ref="M71" location="'อัปเดตงาน WBS'!L2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0"/>
    <hyperlink ref="M72" location="'อัปเดตงาน WBS'!L2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1"/>
    <hyperlink ref="M73" location="'อัปเดตงาน WBS'!L2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2"/>
    <hyperlink ref="M74" location="'อัปเดตงาน WBS'!L2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3"/>
    <hyperlink ref="M75" location="'อัปเดตงาน WBS'!L2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4"/>
    <hyperlink ref="M77" location="'อัปเดตงาน WBS'!L2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5"/>
    <hyperlink ref="M78" location="'อัปเดตงาน WBS'!L2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6"/>
    <hyperlink ref="M79" location="'อัปเดตงาน WBS'!L2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7"/>
    <hyperlink ref="M80" location="'อัปเดตงาน WBS'!L2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8"/>
    <hyperlink ref="M81" location="'อัปเดตงาน WBS'!L2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19"/>
    <hyperlink ref="M83" location="'อัปเดตงาน WBS'!L2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0"/>
    <hyperlink ref="M84" location="'อัปเดตงาน WBS'!L2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1"/>
    <hyperlink ref="M86" location="'อัปเดตงาน WBS'!L2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2"/>
    <hyperlink ref="M87" location="'อัปเดตงาน WBS'!L2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3"/>
    <hyperlink ref="M88" location="'อัปเดตงาน WBS'!L2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4"/>
    <hyperlink ref="M89" location="'อัปเดตงาน WBS'!L2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5"/>
    <hyperlink ref="M91" location="'อัปเดตงาน WBS'!L2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6"/>
    <hyperlink ref="M92" location="'อัปเดตงาน WBS'!L2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7"/>
    <hyperlink ref="M93" location="'อัปเดตงาน WBS'!L2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8"/>
    <hyperlink ref="M94" location="'อัปเดตงาน WBS'!L2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29"/>
    <hyperlink ref="M95" location="'อัปเดตงาน WBS'!L2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0"/>
    <hyperlink ref="M97" location="'อัปเดตงาน WBS'!L2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1"/>
    <hyperlink ref="M98" location="'อัปเดตงาน WBS'!L2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2"/>
    <hyperlink ref="M99" location="'อัปเดตงาน WBS'!L2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3"/>
    <hyperlink ref="M103" location="'อัปเดตงาน WBS'!L2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4"/>
    <hyperlink ref="M104" location="'อัปเดตงาน WBS'!L2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5"/>
    <hyperlink ref="M105" location="'อัปเดตงาน WBS'!L2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6"/>
    <hyperlink ref="M106" location="'อัปเดตงาน WBS'!L2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7"/>
    <hyperlink ref="M108" location="'อัปเดตงาน WBS'!L2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8"/>
    <hyperlink ref="M109" location="'อัปเดตงาน WBS'!L2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39"/>
    <hyperlink ref="M110" location="'อัปเดตงาน WBS'!L2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0"/>
    <hyperlink ref="M112" location="'อัปเดตงาน WBS'!L2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1"/>
    <hyperlink ref="M113" location="'อัปเดตงาน WBS'!L2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2"/>
    <hyperlink ref="M116" location="'อัปเดตงาน WBS'!L2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3"/>
    <hyperlink ref="M117" location="'อัปเดตงาน WBS'!L2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4"/>
    <hyperlink ref="M118" location="'อัปเดตงาน WBS'!L2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5"/>
    <hyperlink ref="M119" location="'อัปเดตงาน WBS'!L2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6"/>
    <hyperlink ref="M120" location="'อัปเดตงาน WBS'!L2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7"/>
    <hyperlink ref="M121" location="'อัปเดตงาน WBS'!L2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8"/>
    <hyperlink ref="M125" location="'อัปเดตงาน WBS'!L2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49"/>
    <hyperlink ref="M126" location="'อัปเดตงาน WBS'!L2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0"/>
    <hyperlink ref="M127" location="'อัปเดตงาน WBS'!L2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1"/>
    <hyperlink ref="D134" location="'จุดติดตั้ง'!A17" display="✎ เพิ่ม / แก้จุดติดตั้ง →"/>
    <hyperlink ref="D146" location="'Inverter station'!A8" display="file:///home/claude/dash/template/%E0%B9%81%E0%B8%A1%E0%B9%88%E0%B9%81%E0%B8%9A%E0%B8%9A%E0%B9%82%E0%B8%84%E0%B8%A3%E0%B8%87%E0%B8%81%E0%B8%B2%E0%B8%A3%20TCRoof%20(%E0%B8%97%E0%B8%B8%E0%B8%81%E0%B8%81%E0%B8%A3%E0%B8%93%E0%B8%B5).xlsx#'Inverter station'!A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3680</v>
      </c>
    </row>
    <row r="2" customFormat="false" ht="15" hidden="false" customHeight="false" outlineLevel="0" collapsed="false">
      <c r="A2" s="354" t="s">
        <v>3681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Plan'!$AI$11</f>
        <v>-36</v>
      </c>
      <c r="M4" s="360"/>
      <c r="N4" s="360" t="n">
        <f aca="false">'Master Plan'!$AJ$11</f>
        <v>-3</v>
      </c>
      <c r="O4" s="360"/>
      <c r="P4" s="361" t="str">
        <f aca="false">'Master Plan'!$AK$11&amp;" / "&amp;'Master Plan'!$AL$11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COUNTIFS(CR_ST,"P9-004",CR_STAT,"อนุมัติ")&amp;" รายการ, "&amp;'Master Plan'!$AO$11&amp;" วัน"</f>
        <v>0 รายการ, 0 วัน</v>
      </c>
      <c r="AG4" s="362"/>
      <c r="AH4" s="362"/>
      <c r="AI4" s="362"/>
      <c r="AJ4" s="362"/>
      <c r="AK4" s="363" t="n">
        <f aca="false">COUNTIFS(CR_ST,"P9-004",CR_STAT,"รออนุมัติ")+COUNTIFS(CR_ST,"P9-004",CR_STAT,"ขอข้อมูลเพิ่ม")</f>
        <v>0</v>
      </c>
      <c r="AL4" s="363"/>
      <c r="AM4" s="363"/>
      <c r="AN4" s="363"/>
      <c r="AO4" s="363"/>
      <c r="AP4" s="362" t="str">
        <f aca="false">COUNTIF(RW_ST,"P9-004")&amp;" ("&amp;COUNTIFS(RW_ST,"P9-004",RW_DONE,"&lt;&gt;Y")&amp;")"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COUNTIF(LL_ST,"*P9-004*")</f>
        <v>0</v>
      </c>
      <c r="BA4" s="363"/>
      <c r="BB4" s="363"/>
      <c r="BC4" s="363"/>
      <c r="BD4" s="363"/>
      <c r="BE4" s="362" t="str">
        <f aca="false">IF(COUNTIFS(SITE_ST,"P9-004",SITE_TYPE,"?*")=0,"ประมาณการ,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IF(COUNTIFS(SITE_ST,"P9-004",SITE_TYPE,"?*")=0,"ยังไม่ระบุจุด",COUNTIFS(SITE_ST,"P9-004",SITE_LAD,"ติด:*")&amp;" จุด"&amp;IF(COUNTIFS(SITE_ST,"P9-004",SITE_LAD,"⚠*")&gt;0,",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3682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57</v>
      </c>
      <c r="E9" s="372" t="n">
        <v>0</v>
      </c>
      <c r="F9" s="31"/>
      <c r="G9" s="32"/>
      <c r="H9" s="32" t="n">
        <v>1</v>
      </c>
      <c r="I9" s="373" t="n">
        <f aca="false">'Master Plan'!$H$11+(-75)</f>
        <v>46328</v>
      </c>
      <c r="J9" s="373" t="n">
        <f aca="false">'Master Plan'!$H$11+(50)</f>
        <v>46453</v>
      </c>
      <c r="K9" s="78"/>
      <c r="L9" s="78" t="str">
        <f aca="false">IF(ISNUMBER(อัปเดตรายสัปดาห์!$G$11),อัปเดตรายสัปดาห์!$G$11,"")</f>
        <v/>
      </c>
      <c r="M9" s="374" t="str">
        <f aca="false">IF(อัปเดตรายสัปดาห์!$G$11="Y","Y","")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Plan'!$H$11+(-75)</f>
        <v>46328</v>
      </c>
      <c r="J10" s="382" t="n">
        <f aca="false">'Master Plan'!$H$11+(-63)</f>
        <v>46340</v>
      </c>
      <c r="K10" s="387"/>
      <c r="L10" s="387"/>
      <c r="M10" s="383" t="str">
        <f aca="false">IF('อัปเดตงาน WBS'!$L$252="","",'อัปเดตงาน WBS'!$L$252)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Plan'!$H$11+(-75)</f>
        <v>46328</v>
      </c>
      <c r="J11" s="382" t="n">
        <f aca="false">'Master Plan'!$H$11+(-63)</f>
        <v>46340</v>
      </c>
      <c r="K11" s="387"/>
      <c r="L11" s="387"/>
      <c r="M11" s="383" t="str">
        <f aca="false">IF('อัปเดตงาน WBS'!$L$253="","",'อัปเดตงาน WBS'!$L$253)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Plan'!$H$11+(-75)</f>
        <v>46328</v>
      </c>
      <c r="J12" s="382" t="n">
        <f aca="false">'Master Plan'!$H$11+(-63)</f>
        <v>46340</v>
      </c>
      <c r="K12" s="387"/>
      <c r="L12" s="387"/>
      <c r="M12" s="383" t="str">
        <f aca="false">IF('อัปเดตงาน WBS'!$L$254="","",'อัปเดตงาน WBS'!$L$254)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Plan'!$H$11+(-75)</f>
        <v>46328</v>
      </c>
      <c r="J13" s="382" t="n">
        <f aca="false">'Master Plan'!$H$11+(-56)</f>
        <v>46347</v>
      </c>
      <c r="K13" s="387"/>
      <c r="L13" s="387"/>
      <c r="M13" s="383" t="str">
        <f aca="false">IF('อัปเดตงาน WBS'!$L$255="","",'อัปเดตงาน WBS'!$L$255)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Plan'!$H$11+(-63)</f>
        <v>46340</v>
      </c>
      <c r="J14" s="382" t="n">
        <f aca="false">'Master Plan'!$H$11+(50)</f>
        <v>46453</v>
      </c>
      <c r="K14" s="387"/>
      <c r="L14" s="387"/>
      <c r="M14" s="383" t="str">
        <f aca="false">IF('อัปเดตงาน WBS'!$L$256="","",'อัปเดตงาน WBS'!$L$256)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Plan'!$H$11+(-63)</f>
        <v>46340</v>
      </c>
      <c r="J15" s="382" t="n">
        <f aca="false">'Master Plan'!$H$11+(50)</f>
        <v>46453</v>
      </c>
      <c r="K15" s="387"/>
      <c r="L15" s="387"/>
      <c r="M15" s="383" t="str">
        <f aca="false">IF('อัปเดตงาน WBS'!$L$257="","",'อัปเดตงาน WBS'!$L$257)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Plan'!$H$11+(-56)</f>
        <v>46347</v>
      </c>
      <c r="J16" s="373" t="n">
        <f aca="false">'Master Plan'!$H$11+(-45)</f>
        <v>46358</v>
      </c>
      <c r="K16" s="78"/>
      <c r="L16" s="78" t="str">
        <f aca="false">IF(ISNUMBER(อัปเดตรายสัปดาห์!$H$11),อัปเดตรายสัปดาห์!$H$11,"")</f>
        <v/>
      </c>
      <c r="M16" s="374" t="str">
        <f aca="false">IF(อัปเดตรายสัปดาห์!$H$11="Y","Y","")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Plan'!$H$11+(-56)</f>
        <v>46347</v>
      </c>
      <c r="J17" s="382" t="n">
        <f aca="false">'Master Plan'!$H$11+(-54)</f>
        <v>46349</v>
      </c>
      <c r="K17" s="387"/>
      <c r="L17" s="387"/>
      <c r="M17" s="383" t="str">
        <f aca="false">IF('อัปเดตงาน WBS'!$L$258="","",'อัปเดตงาน WBS'!$L$258)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Plan'!$H$11+(-55)</f>
        <v>46348</v>
      </c>
      <c r="J18" s="382" t="n">
        <f aca="false">'Master Plan'!$H$11+(-52)</f>
        <v>46351</v>
      </c>
      <c r="K18" s="387"/>
      <c r="L18" s="387"/>
      <c r="M18" s="383" t="str">
        <f aca="false">IF('อัปเดตงาน WBS'!$L$259="","",'อัปเดตงาน WBS'!$L$259)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Plan'!$H$11+(-53)</f>
        <v>46350</v>
      </c>
      <c r="J19" s="382" t="n">
        <f aca="false">'Master Plan'!$H$11+(-48)</f>
        <v>46355</v>
      </c>
      <c r="K19" s="387"/>
      <c r="L19" s="387"/>
      <c r="M19" s="383" t="str">
        <f aca="false">IF('อัปเดตงาน WBS'!$L$260="","",'อัปเดตงาน WBS'!$L$260)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Plan'!$H$11+(-53)</f>
        <v>46350</v>
      </c>
      <c r="J20" s="382" t="n">
        <f aca="false">'Master Plan'!$H$11+(-48)</f>
        <v>46355</v>
      </c>
      <c r="K20" s="387"/>
      <c r="L20" s="387"/>
      <c r="M20" s="383" t="str">
        <f aca="false">IF('อัปเดตงาน WBS'!$L$261="","",'อัปเดตงาน WBS'!$L$261)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Plan'!$H$11+(-52)</f>
        <v>46351</v>
      </c>
      <c r="J21" s="382" t="n">
        <f aca="false">'Master Plan'!$H$11+(-47)</f>
        <v>46356</v>
      </c>
      <c r="K21" s="387"/>
      <c r="L21" s="387"/>
      <c r="M21" s="383" t="str">
        <f aca="false">IF('อัปเดตงาน WBS'!$L$262="","",'อัปเดตงาน WBS'!$L$262)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Plan'!$H$11+(-50)</f>
        <v>46353</v>
      </c>
      <c r="J22" s="382" t="n">
        <f aca="false">'Master Plan'!$H$11+(-46)</f>
        <v>46357</v>
      </c>
      <c r="K22" s="387"/>
      <c r="L22" s="387"/>
      <c r="M22" s="383" t="str">
        <f aca="false">IF('อัปเดตงาน WBS'!$L$263="","",'อัปเดตงาน WBS'!$L$263)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Plan'!$H$11+(-49)</f>
        <v>46354</v>
      </c>
      <c r="J24" s="382" t="n">
        <f aca="false">'Master Plan'!$H$11+(-45)</f>
        <v>46358</v>
      </c>
      <c r="K24" s="387"/>
      <c r="L24" s="387"/>
      <c r="M24" s="383" t="str">
        <f aca="false">IF('อัปเดตงาน WBS'!$L$264="","",'อัปเดตงาน WBS'!$L$264)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Plan'!$H$11+(-51)</f>
        <v>46352</v>
      </c>
      <c r="J25" s="373" t="n">
        <f aca="false">'Master Plan'!$H$11+(-51)</f>
        <v>46352</v>
      </c>
      <c r="K25" s="78"/>
      <c r="L25" s="78" t="str">
        <f aca="false">IF(ISNUMBER(อัปเดตรายสัปดาห์!$I$11),อัปเดตรายสัปดาห์!$I$11,"")</f>
        <v/>
      </c>
      <c r="M25" s="374" t="str">
        <f aca="false">IF(อัปเดตรายสัปดาห์!$I$11="Y","Y","")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Plan'!$H$11+(-51)</f>
        <v>46352</v>
      </c>
      <c r="J26" s="382" t="n">
        <f aca="false">'Master Plan'!$H$11+(-51)</f>
        <v>46352</v>
      </c>
      <c r="K26" s="387"/>
      <c r="L26" s="387"/>
      <c r="M26" s="383" t="str">
        <f aca="false">IF('อัปเดตงาน WBS'!$L$265="","",'อัปเดตงาน WBS'!$L$265)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Plan'!$H$11+(-51)</f>
        <v>46352</v>
      </c>
      <c r="J27" s="382" t="n">
        <f aca="false">'Master Plan'!$H$11+(-51)</f>
        <v>46352</v>
      </c>
      <c r="K27" s="387"/>
      <c r="L27" s="387"/>
      <c r="M27" s="383" t="str">
        <f aca="false">IF('อัปเดตงาน WBS'!$L$266="","",'อัปเดตงาน WBS'!$L$266)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Plan'!$H$11+(-51)</f>
        <v>46352</v>
      </c>
      <c r="J28" s="382" t="n">
        <f aca="false">'Master Plan'!$H$11+(-51)</f>
        <v>46352</v>
      </c>
      <c r="K28" s="387"/>
      <c r="L28" s="387"/>
      <c r="M28" s="383" t="str">
        <f aca="false">IF('อัปเดตงาน WBS'!$L$267="","",'อัปเดตงาน WBS'!$L$267)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57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Plan'!$H$11+(-75)</f>
        <v>46328</v>
      </c>
      <c r="J30" s="373" t="n">
        <f aca="false">'Master Plan'!$H$11+(-75)</f>
        <v>46328</v>
      </c>
      <c r="K30" s="78"/>
      <c r="L30" s="78" t="str">
        <f aca="false">IF(ISNUMBER(อัปเดตรายสัปดาห์!$J$11),อัปเดตรายสัปดาห์!$J$11,"")</f>
        <v/>
      </c>
      <c r="M30" s="374" t="str">
        <f aca="false">IF(อัปเดตรายสัปดาห์!$J$11="Y","Y","")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Plan'!$H$11+(-75)</f>
        <v>46328</v>
      </c>
      <c r="J31" s="382" t="n">
        <f aca="false">'Master Plan'!$H$11+(-75)</f>
        <v>46328</v>
      </c>
      <c r="K31" s="387"/>
      <c r="L31" s="387"/>
      <c r="M31" s="383" t="str">
        <f aca="false">IF('อัปเดตงาน WBS'!$L$268="","",'อัปเดตงาน WBS'!$L$268)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Plan'!$H$11+(-75)</f>
        <v>46328</v>
      </c>
      <c r="J32" s="382" t="n">
        <f aca="false">'Master Plan'!$H$11+(-75)</f>
        <v>46328</v>
      </c>
      <c r="K32" s="387"/>
      <c r="L32" s="387"/>
      <c r="M32" s="383" t="str">
        <f aca="false">IF('อัปเดตงาน WBS'!$L$269="","",'อัปเดตงาน WBS'!$L$269)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Plan'!$H$11+(-75)</f>
        <v>46328</v>
      </c>
      <c r="J33" s="382" t="n">
        <f aca="false">'Master Plan'!$H$11+(-75)</f>
        <v>46328</v>
      </c>
      <c r="K33" s="387"/>
      <c r="L33" s="387"/>
      <c r="M33" s="383" t="str">
        <f aca="false">IF('อัปเดตงาน WBS'!$L$270="","",'อัปเดตงาน WBS'!$L$270)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57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Plan'!$H$11+(-68)</f>
        <v>46335</v>
      </c>
      <c r="J34" s="373" t="n">
        <f aca="false">'Master Plan'!$H$11+(-59)</f>
        <v>46344</v>
      </c>
      <c r="K34" s="78"/>
      <c r="L34" s="78" t="str">
        <f aca="false">IF(ISNUMBER(อัปเดตรายสัปดาห์!$K$11),อัปเดตรายสัปดาห์!$K$11,"")</f>
        <v/>
      </c>
      <c r="M34" s="374" t="str">
        <f aca="false">IF(อัปเดตรายสัปดาห์!$K$11="Y","Y","")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Plan'!$H$11+(-68)</f>
        <v>46335</v>
      </c>
      <c r="J35" s="382" t="n">
        <f aca="false">'Master Plan'!$H$11+(-64)</f>
        <v>46339</v>
      </c>
      <c r="K35" s="387"/>
      <c r="L35" s="387"/>
      <c r="M35" s="383" t="str">
        <f aca="false">IF('อัปเดตงาน WBS'!$L$271="","",'อัปเดตงาน WBS'!$L$271)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Plan'!$H$11+(-68)</f>
        <v>46335</v>
      </c>
      <c r="J36" s="382" t="n">
        <f aca="false">'Master Plan'!$H$11+(-63)</f>
        <v>46340</v>
      </c>
      <c r="K36" s="387"/>
      <c r="L36" s="387"/>
      <c r="M36" s="383" t="str">
        <f aca="false">IF('อัปเดตงาน WBS'!$L$272="","",'อัปเดตงาน WBS'!$L$272)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Plan'!$H$11+(-65)</f>
        <v>46338</v>
      </c>
      <c r="J37" s="382" t="n">
        <f aca="false">'Master Plan'!$H$11+(-62)</f>
        <v>46341</v>
      </c>
      <c r="K37" s="387"/>
      <c r="L37" s="387"/>
      <c r="M37" s="383" t="str">
        <f aca="false">IF('อัปเดตงาน WBS'!$L$273="","",'อัปเดตงาน WBS'!$L$273)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Plan'!$H$11+(-63)</f>
        <v>46340</v>
      </c>
      <c r="J38" s="382" t="n">
        <f aca="false">'Master Plan'!$H$11+(-59)</f>
        <v>46344</v>
      </c>
      <c r="K38" s="387"/>
      <c r="L38" s="387"/>
      <c r="M38" s="383" t="str">
        <f aca="false">IF('อัปเดตงาน WBS'!$L$274="","",'อัปเดตงาน WBS'!$L$274)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57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Plan'!$H$11+(-45)</f>
        <v>46358</v>
      </c>
      <c r="J39" s="373" t="n">
        <f aca="false">'Master Plan'!$H$11+(-45)</f>
        <v>46358</v>
      </c>
      <c r="K39" s="78"/>
      <c r="L39" s="78" t="str">
        <f aca="false">IF(ISNUMBER(อัปเดตรายสัปดาห์!$L$11),อัปเดตรายสัปดาห์!$L$11,"")</f>
        <v/>
      </c>
      <c r="M39" s="374" t="str">
        <f aca="false">IF(อัปเดตรายสัปดาห์!$L$11="Y","Y","")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Plan'!$H$11+(-45)</f>
        <v>46358</v>
      </c>
      <c r="J40" s="382" t="n">
        <f aca="false">'Master Plan'!$H$11+(-45)</f>
        <v>46358</v>
      </c>
      <c r="K40" s="387"/>
      <c r="L40" s="387"/>
      <c r="M40" s="383" t="str">
        <f aca="false">IF('อัปเดตงาน WBS'!$L$275="","",'อัปเดตงาน WBS'!$L$275)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Plan'!$H$11+(-45)</f>
        <v>46358</v>
      </c>
      <c r="J41" s="382" t="n">
        <f aca="false">'Master Plan'!$H$11+(-45)</f>
        <v>46358</v>
      </c>
      <c r="K41" s="387"/>
      <c r="L41" s="387"/>
      <c r="M41" s="383" t="str">
        <f aca="false">IF('อัปเดตงาน WBS'!$L$276="","",'อัปเดตงาน WBS'!$L$276)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Plan'!$H$11+(-45)</f>
        <v>46358</v>
      </c>
      <c r="J42" s="382" t="n">
        <f aca="false">'Master Plan'!$H$11+(-45)</f>
        <v>46358</v>
      </c>
      <c r="K42" s="387"/>
      <c r="L42" s="387"/>
      <c r="M42" s="383" t="str">
        <f aca="false">IF('อัปเดตงาน WBS'!$L$277="","",'อัปเดตงาน WBS'!$L$277)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Plan'!$H$11+(-68)</f>
        <v>46335</v>
      </c>
      <c r="J43" s="373" t="n">
        <f aca="false">'Master Plan'!$H$11+(-55)</f>
        <v>46348</v>
      </c>
      <c r="K43" s="78"/>
      <c r="L43" s="78" t="str">
        <f aca="false">IF(ISNUMBER(อัปเดตรายสัปดาห์!$M$11),อัปเดตรายสัปดาห์!$M$11,"")</f>
        <v/>
      </c>
      <c r="M43" s="374" t="str">
        <f aca="false">IF(อัปเดตรายสัปดาห์!$M$11="Y","Y","")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Plan'!$H$11+(-68)</f>
        <v>46335</v>
      </c>
      <c r="J44" s="382" t="n">
        <f aca="false">'Master Plan'!$H$11+(-65)</f>
        <v>46338</v>
      </c>
      <c r="K44" s="387"/>
      <c r="L44" s="387"/>
      <c r="M44" s="383" t="str">
        <f aca="false">IF('อัปเดตงาน WBS'!$L$278="","",'อัปเดตงาน WBS'!$L$278)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Plan'!$H$11+(-67)</f>
        <v>46336</v>
      </c>
      <c r="J45" s="382" t="n">
        <f aca="false">'Master Plan'!$H$11+(-62)</f>
        <v>46341</v>
      </c>
      <c r="K45" s="387"/>
      <c r="L45" s="387"/>
      <c r="M45" s="383" t="str">
        <f aca="false">IF('อัปเดตงาน WBS'!$L$279="","",'อัปเดตงาน WBS'!$L$279)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Plan'!$H$11+(-62)</f>
        <v>46341</v>
      </c>
      <c r="J46" s="382" t="n">
        <f aca="false">'Master Plan'!$H$11+(-55)</f>
        <v>46348</v>
      </c>
      <c r="K46" s="387"/>
      <c r="L46" s="387"/>
      <c r="M46" s="383" t="str">
        <f aca="false">IF('อัปเดตงาน WBS'!$L$280="","",'อัปเดตงาน WBS'!$L$280)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Plan'!$H$11+(-12)</f>
        <v>46391</v>
      </c>
      <c r="J47" s="373" t="n">
        <f aca="false">'Master Plan'!$H$11+(-12)</f>
        <v>46391</v>
      </c>
      <c r="K47" s="78"/>
      <c r="L47" s="78" t="str">
        <f aca="false">IF(ISNUMBER(อัปเดตรายสัปดาห์!$N$11),อัปเดตรายสัปดาห์!$N$11,"")</f>
        <v/>
      </c>
      <c r="M47" s="374" t="str">
        <f aca="false">IF(อัปเดตรายสัปดาห์!$N$11="Y","Y","")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Plan'!$AG$11)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Plan'!$H$11+(-12)</f>
        <v>46391</v>
      </c>
      <c r="J48" s="382" t="n">
        <f aca="false">'Master Plan'!$H$11+(-12)</f>
        <v>46391</v>
      </c>
      <c r="K48" s="387"/>
      <c r="L48" s="387"/>
      <c r="M48" s="383" t="str">
        <f aca="false">IF('อัปเดตงาน WBS'!$L$281="","",'อัปเดตงาน WBS'!$L$281)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Plan'!$H$11+(-12)</f>
        <v>46391</v>
      </c>
      <c r="J49" s="382" t="n">
        <f aca="false">'Master Plan'!$H$11+(-12)</f>
        <v>46391</v>
      </c>
      <c r="K49" s="387"/>
      <c r="L49" s="387"/>
      <c r="M49" s="383" t="str">
        <f aca="false">IF('อัปเดตงาน WBS'!$L$282="","",'อัปเดตงาน WBS'!$L$282)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Plan'!$H$11+(-11)</f>
        <v>46392</v>
      </c>
      <c r="J50" s="373" t="n">
        <f aca="false">'Master Plan'!$H$11+(18)</f>
        <v>46421</v>
      </c>
      <c r="K50" s="78"/>
      <c r="L50" s="78" t="str">
        <f aca="false">IF(ISNUMBER(อัปเดตรายสัปดาห์!$O$11),อัปเดตรายสัปดาห์!$O$11,"")</f>
        <v/>
      </c>
      <c r="M50" s="374" t="str">
        <f aca="false">IF(อัปเดตรายสัปดาห์!$O$11="Y","Y","")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Plan'!$H$11+(-12)</f>
        <v>46391</v>
      </c>
      <c r="J51" s="382" t="n">
        <f aca="false">'Master Plan'!$H$11+(-12)</f>
        <v>46391</v>
      </c>
      <c r="K51" s="387"/>
      <c r="L51" s="387"/>
      <c r="M51" s="383" t="str">
        <f aca="false">IF('อัปเดตงาน WBS'!$L$283="","",'อัปเดตงาน WBS'!$L$283)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IF(ISNUMBER(อัปเดตรายสัปดาห์!$P$11),อัปเดตรายสัปดาห์!$P$11,"")</f>
        <v/>
      </c>
      <c r="M52" s="374" t="str">
        <f aca="false">IF(อัปเดตรายสัปดาห์!$P$11="Y","Y","")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WBS'!$L$284="","",'อัปเดตงาน WBS'!$L$284)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WBS'!$L$285="","",'อัปเดตงาน WBS'!$L$285)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Plan'!$H$11+(-12)</f>
        <v>46391</v>
      </c>
      <c r="J55" s="373" t="n">
        <f aca="false">'Master Plan'!$H$11+(-12)</f>
        <v>46391</v>
      </c>
      <c r="K55" s="78"/>
      <c r="L55" s="78" t="str">
        <f aca="false">IF(ISNUMBER(อัปเดตรายสัปดาห์!$Q$11),อัปเดตรายสัปดาห์!$Q$11,"")</f>
        <v/>
      </c>
      <c r="M55" s="374" t="str">
        <f aca="false">IF(อัปเดตรายสัปดาห์!$Q$11="Y","Y","")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Plan'!$AC$11)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IF(ISNUMBER(อัปเดตรายสัปดาห์!$R$11),อัปเดตรายสัปดาห์!$R$11,"")</f>
        <v/>
      </c>
      <c r="M56" s="374" t="str">
        <f aca="false">IF(อัปเดตรายสัปดาห์!$R$11="Y","Y","")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Plan'!$H$11+(-11)</f>
        <v>46392</v>
      </c>
      <c r="J57" s="373" t="n">
        <f aca="false">'Master Plan'!$H$11+(9)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IF(ISNUMBER(อัปเดตรายสัปดาห์!$S$11),อัปเดตรายสัปดาห์!$S$11,"")</f>
        <v/>
      </c>
      <c r="M57" s="374" t="str">
        <f aca="false">IF(อัปเดตรายสัปดาห์!$S$11="Y","Y","")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Plan'!$AD$11)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Plan'!$H$11+(10)</f>
        <v>46413</v>
      </c>
      <c r="J58" s="373" t="n">
        <f aca="false">'Master Plan'!$H$11+(16)</f>
        <v>46419</v>
      </c>
      <c r="K58" s="78"/>
      <c r="L58" s="78" t="str">
        <f aca="false">IF(ISNUMBER(อัปเดตรายสัปดาห์!$T$11),อัปเดตรายสัปดาห์!$T$11,"")</f>
        <v/>
      </c>
      <c r="M58" s="374" t="str">
        <f aca="false">IF(อัปเดตรายสัปดาห์!$T$11="Y","Y","")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Plan'!$AE$11)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Plan'!$H$11+(17)</f>
        <v>46420</v>
      </c>
      <c r="J59" s="373" t="n">
        <f aca="false">'Master Plan'!$H$11+(17)</f>
        <v>46420</v>
      </c>
      <c r="K59" s="78"/>
      <c r="L59" s="78" t="str">
        <f aca="false">IF(ISNUMBER(อัปเดตรายสัปดาห์!$U$11),อัปเดตรายสัปดาห์!$U$11,"")</f>
        <v/>
      </c>
      <c r="M59" s="374" t="str">
        <f aca="false">IF(อัปเดตรายสัปดาห์!$U$11="Y","Y","")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Plan'!$AF$11)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57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Plan'!$H$11+(18)</f>
        <v>46421</v>
      </c>
      <c r="J60" s="373" t="n">
        <f aca="false">'Master Plan'!$H$11+(33)</f>
        <v>46436</v>
      </c>
      <c r="K60" s="78"/>
      <c r="L60" s="78" t="str">
        <f aca="false">IF(ISNUMBER(อัปเดตรายสัปดาห์!$V$11),อัปเดตรายสัปดาห์!$V$11,"")</f>
        <v/>
      </c>
      <c r="M60" s="374" t="str">
        <f aca="false">IF(อัปเดตรายสัปดาห์!$V$11="Y","Y","")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Plan'!$AH$11)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3683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Plan'!$H$11+(-42)</f>
        <v>46361</v>
      </c>
      <c r="J62" s="373" t="n">
        <f aca="false">'Master Plan'!$H$11+(-25)</f>
        <v>46378</v>
      </c>
      <c r="K62" s="78"/>
      <c r="L62" s="78" t="str">
        <f aca="false">IF(ISNUMBER(อัปเดตรายสัปดาห์!$W$11),อัปเดตรายสัปดาห์!$W$11,"")</f>
        <v/>
      </c>
      <c r="M62" s="374" t="str">
        <f aca="false">IF(อัปเดตรายสัปดาห์!$W$11="Y","Y","")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-004",SITE_TYPE,"?*")&gt;0,MIN(1,SUMPRODUCT((SITE_ST="P9-004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Plan'!$H$11+(-42)</f>
        <v>46361</v>
      </c>
      <c r="J63" s="382" t="n">
        <f aca="false">'Master Plan'!$H$11+(-40)</f>
        <v>46363</v>
      </c>
      <c r="K63" s="387"/>
      <c r="L63" s="387"/>
      <c r="M63" s="383" t="str">
        <f aca="false">IF('อัปเดตงาน WBS'!$L$286="","",'อัปเดตงาน WBS'!$L$286)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Plan'!$H$11+(-42)</f>
        <v>46361</v>
      </c>
      <c r="J64" s="382" t="n">
        <f aca="false">'Master Plan'!$H$11+(-39)</f>
        <v>46364</v>
      </c>
      <c r="K64" s="387"/>
      <c r="L64" s="387"/>
      <c r="M64" s="383" t="str">
        <f aca="false">IF('อัปเดตงาน WBS'!$L$287="","",'อัปเดตงาน WBS'!$L$287)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Plan'!$H$11+(-40)</f>
        <v>46363</v>
      </c>
      <c r="J65" s="382" t="n">
        <f aca="false">'Master Plan'!$H$11+(-34)</f>
        <v>46369</v>
      </c>
      <c r="K65" s="387"/>
      <c r="L65" s="387"/>
      <c r="M65" s="383" t="str">
        <f aca="false">IF('อัปเดตงาน WBS'!$L$288="","",'อัปเดตงาน WBS'!$L$288)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Plan'!$H$11+(-35)</f>
        <v>46368</v>
      </c>
      <c r="J66" s="382" t="n">
        <f aca="false">'Master Plan'!$H$11+(-28)</f>
        <v>46375</v>
      </c>
      <c r="K66" s="387"/>
      <c r="L66" s="387"/>
      <c r="M66" s="383" t="str">
        <f aca="false">IF('อัปเดตงาน WBS'!$L$289="","",'อัปเดตงาน WBS'!$L$289)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Plan'!$H$11+(-32)</f>
        <v>46371</v>
      </c>
      <c r="J67" s="382" t="n">
        <f aca="false">'Master Plan'!$H$11+(-26)</f>
        <v>46377</v>
      </c>
      <c r="K67" s="387"/>
      <c r="L67" s="387"/>
      <c r="M67" s="383" t="str">
        <f aca="false">IF('อัปเดตงาน WBS'!$L$290="","",'อัปเดตงาน WBS'!$L$290)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Plan'!$H$11+(-28)</f>
        <v>46375</v>
      </c>
      <c r="J68" s="382" t="n">
        <f aca="false">'Master Plan'!$H$11+(-25)</f>
        <v>46378</v>
      </c>
      <c r="K68" s="387"/>
      <c r="L68" s="387"/>
      <c r="M68" s="383" t="str">
        <f aca="false">IF('อัปเดตงาน WBS'!$L$291="","",'อัปเดตงาน WBS'!$L$291)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Plan'!$H$11+(-26)</f>
        <v>46377</v>
      </c>
      <c r="J69" s="382" t="n">
        <f aca="false">'Master Plan'!$H$11+(-25)</f>
        <v>46378</v>
      </c>
      <c r="K69" s="387"/>
      <c r="L69" s="387"/>
      <c r="M69" s="383" t="str">
        <f aca="false">IF('อัปเดตงาน WBS'!$L$292="","",'อัปเดตงาน WBS'!$L$292)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3683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Plan'!$H$11+(-24)</f>
        <v>46379</v>
      </c>
      <c r="J70" s="373" t="n">
        <f aca="false">'Master Plan'!$H$11+(-15)</f>
        <v>46388</v>
      </c>
      <c r="K70" s="78"/>
      <c r="L70" s="78" t="str">
        <f aca="false">IF(ISNUMBER(อัปเดตรายสัปดาห์!$X$11),อัปเดตรายสัปดาห์!$X$11,"")</f>
        <v/>
      </c>
      <c r="M70" s="374" t="str">
        <f aca="false">IF(อัปเดตรายสัปดาห์!$X$11="Y","Y","")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-004",SITE_TYPE,"?*")&gt;0,MIN(1,SUMPRODUCT((SITE_ST="P9-004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Plan'!$H$11+(-24)</f>
        <v>46379</v>
      </c>
      <c r="J71" s="382" t="n">
        <f aca="false">'Master Plan'!$H$11+(-20)</f>
        <v>46383</v>
      </c>
      <c r="K71" s="387"/>
      <c r="L71" s="387"/>
      <c r="M71" s="383" t="str">
        <f aca="false">IF('อัปเดตงาน WBS'!$L$293="","",'อัปเดตงาน WBS'!$L$293)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Plan'!$H$11+(-22)</f>
        <v>46381</v>
      </c>
      <c r="J72" s="382" t="n">
        <f aca="false">'Master Plan'!$H$11+(-17)</f>
        <v>46386</v>
      </c>
      <c r="K72" s="387"/>
      <c r="L72" s="387"/>
      <c r="M72" s="383" t="str">
        <f aca="false">IF('อัปเดตงาน WBS'!$L$294="","",'อัปเดตงาน WBS'!$L$294)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Plan'!$H$11+(-21)</f>
        <v>46382</v>
      </c>
      <c r="J73" s="382" t="n">
        <f aca="false">'Master Plan'!$H$11+(-17)</f>
        <v>46386</v>
      </c>
      <c r="K73" s="387"/>
      <c r="L73" s="387"/>
      <c r="M73" s="383" t="str">
        <f aca="false">IF('อัปเดตงาน WBS'!$L$295="","",'อัปเดตงาน WBS'!$L$295)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Plan'!$H$11+(-20)</f>
        <v>46383</v>
      </c>
      <c r="J74" s="382" t="n">
        <f aca="false">'Master Plan'!$H$11+(-15)</f>
        <v>46388</v>
      </c>
      <c r="K74" s="387"/>
      <c r="L74" s="387"/>
      <c r="M74" s="383" t="str">
        <f aca="false">IF('อัปเดตงาน WBS'!$L$296="","",'อัปเดตงาน WBS'!$L$296)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Plan'!$H$11+(-17)</f>
        <v>46386</v>
      </c>
      <c r="J75" s="382" t="n">
        <f aca="false">'Master Plan'!$H$11+(-15)</f>
        <v>46388</v>
      </c>
      <c r="K75" s="387"/>
      <c r="L75" s="387"/>
      <c r="M75" s="383" t="str">
        <f aca="false">IF('อัปเดตงาน WBS'!$L$297="","",'อัปเดตงาน WBS'!$L$297)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3683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Plan'!$H$11+(-24)</f>
        <v>46379</v>
      </c>
      <c r="J76" s="373" t="n">
        <f aca="false">'Master Plan'!$H$11+(-15)</f>
        <v>46388</v>
      </c>
      <c r="K76" s="78"/>
      <c r="L76" s="78" t="str">
        <f aca="false">IF(ISNUMBER(อัปเดตรายสัปดาห์!$Y$11),อัปเดตรายสัปดาห์!$Y$11,"")</f>
        <v/>
      </c>
      <c r="M76" s="374" t="str">
        <f aca="false">IF(อัปเดตรายสัปดาห์!$Y$11="Y","Y","")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-004",SITE_TYPE,"?*")&gt;0,MIN(1,SUMPRODUCT((SITE_ST="P9-004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Plan'!$H$11+(-24)</f>
        <v>46379</v>
      </c>
      <c r="J77" s="382" t="n">
        <f aca="false">'Master Plan'!$H$11+(-21)</f>
        <v>46382</v>
      </c>
      <c r="K77" s="387"/>
      <c r="L77" s="387"/>
      <c r="M77" s="383" t="str">
        <f aca="false">IF('อัปเดตงาน WBS'!$L$298="","",'อัปเดตงาน WBS'!$L$298)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Plan'!$H$11+(-23)</f>
        <v>46380</v>
      </c>
      <c r="J78" s="382" t="n">
        <f aca="false">'Master Plan'!$H$11+(-16)</f>
        <v>46387</v>
      </c>
      <c r="K78" s="387"/>
      <c r="L78" s="387"/>
      <c r="M78" s="383" t="str">
        <f aca="false">IF('อัปเดตงาน WBS'!$L$299="","",'อัปเดตงาน WBS'!$L$299)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Plan'!$H$11+(-20)</f>
        <v>46383</v>
      </c>
      <c r="J79" s="382" t="n">
        <f aca="false">'Master Plan'!$H$11+(-15)</f>
        <v>46388</v>
      </c>
      <c r="K79" s="387"/>
      <c r="L79" s="387"/>
      <c r="M79" s="383" t="str">
        <f aca="false">IF('อัปเดตงาน WBS'!$L$300="","",'อัปเดตงาน WBS'!$L$300)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Plan'!$H$11+(-17)</f>
        <v>46386</v>
      </c>
      <c r="J80" s="382" t="n">
        <f aca="false">'Master Plan'!$H$11+(-15)</f>
        <v>46388</v>
      </c>
      <c r="K80" s="387"/>
      <c r="L80" s="387"/>
      <c r="M80" s="383" t="str">
        <f aca="false">IF('อัปเดตงาน WBS'!$L$301="","",'อัปเดตงาน WBS'!$L$301)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Plan'!$H$11+(-15)</f>
        <v>46388</v>
      </c>
      <c r="J81" s="382" t="n">
        <f aca="false">'Master Plan'!$H$11+(-15)</f>
        <v>46388</v>
      </c>
      <c r="K81" s="387"/>
      <c r="L81" s="387"/>
      <c r="M81" s="383" t="str">
        <f aca="false">IF('อัปเดตงาน WBS'!$L$302="","",'อัปเดตงาน WBS'!$L$302)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3683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Plan'!$H$11+(-21)</f>
        <v>46382</v>
      </c>
      <c r="J82" s="373" t="n">
        <f aca="false">'Master Plan'!$H$11+(-18)</f>
        <v>46385</v>
      </c>
      <c r="K82" s="78"/>
      <c r="L82" s="78" t="str">
        <f aca="false">IF(ISNUMBER(อัปเดตรายสัปดาห์!$Z$11),อัปเดตรายสัปดาห์!$Z$11,"")</f>
        <v/>
      </c>
      <c r="M82" s="374" t="str">
        <f aca="false">IF(อัปเดตรายสัปดาห์!$Z$11="Y","Y","")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Plan'!$H$11+(-21)</f>
        <v>46382</v>
      </c>
      <c r="J83" s="382" t="n">
        <f aca="false">'Master Plan'!$H$11+(-19)</f>
        <v>46384</v>
      </c>
      <c r="K83" s="387"/>
      <c r="L83" s="387"/>
      <c r="M83" s="383" t="str">
        <f aca="false">IF('อัปเดตงาน WBS'!$L$303="","",'อัปเดตงาน WBS'!$L$303)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Plan'!$H$11+(-20)</f>
        <v>46383</v>
      </c>
      <c r="J84" s="382" t="n">
        <f aca="false">'Master Plan'!$H$11+(-18)</f>
        <v>46385</v>
      </c>
      <c r="K84" s="387"/>
      <c r="L84" s="387"/>
      <c r="M84" s="383" t="str">
        <f aca="false">IF('อัปเดตงาน WBS'!$L$304="","",'อัปเดตงาน WBS'!$L$304)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3683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Plan'!$H$11+(-25)</f>
        <v>46378</v>
      </c>
      <c r="J85" s="373" t="n">
        <f aca="false">'Master Plan'!$H$11+(-17)</f>
        <v>46386</v>
      </c>
      <c r="K85" s="78"/>
      <c r="L85" s="78" t="str">
        <f aca="false">IF(ISNUMBER(อัปเดตรายสัปดาห์!$AA$11),อัปเดตรายสัปดาห์!$AA$11,"")</f>
        <v/>
      </c>
      <c r="M85" s="374" t="str">
        <f aca="false">IF(อัปเดตรายสัปดาห์!$AA$11="Y","Y","")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Plan'!$H$11+(-25)</f>
        <v>46378</v>
      </c>
      <c r="J86" s="382" t="n">
        <f aca="false">'Master Plan'!$H$11+(-21)</f>
        <v>46382</v>
      </c>
      <c r="K86" s="387"/>
      <c r="L86" s="387"/>
      <c r="M86" s="383" t="str">
        <f aca="false">IF('อัปเดตงาน WBS'!$L$305="","",'อัปเดตงาน WBS'!$L$305)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Plan'!$H$11+(-22)</f>
        <v>46381</v>
      </c>
      <c r="J87" s="382" t="n">
        <f aca="false">'Master Plan'!$H$11+(-18)</f>
        <v>46385</v>
      </c>
      <c r="K87" s="387"/>
      <c r="L87" s="387"/>
      <c r="M87" s="383" t="str">
        <f aca="false">IF('อัปเดตงาน WBS'!$L$306="","",'อัปเดตงาน WBS'!$L$306)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Plan'!$H$11+(-20)</f>
        <v>46383</v>
      </c>
      <c r="J88" s="382" t="n">
        <f aca="false">'Master Plan'!$H$11+(-17)</f>
        <v>46386</v>
      </c>
      <c r="K88" s="387"/>
      <c r="L88" s="387"/>
      <c r="M88" s="383" t="str">
        <f aca="false">IF('อัปเดตงาน WBS'!$L$307="","",'อัปเดตงาน WBS'!$L$307)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Plan'!$H$11+(-18)</f>
        <v>46385</v>
      </c>
      <c r="J89" s="382" t="n">
        <f aca="false">'Master Plan'!$H$11+(-17)</f>
        <v>46386</v>
      </c>
      <c r="K89" s="387"/>
      <c r="L89" s="387"/>
      <c r="M89" s="383" t="str">
        <f aca="false">IF('อัปเดตงาน WBS'!$L$308="","",'อัปเดตงาน WBS'!$L$308)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3683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Plan'!$H$11+(-25)</f>
        <v>46378</v>
      </c>
      <c r="J90" s="373" t="n">
        <f aca="false">'Master Plan'!$H$11+(-16)</f>
        <v>46387</v>
      </c>
      <c r="K90" s="78"/>
      <c r="L90" s="78" t="str">
        <f aca="false">IF(ISNUMBER(อัปเดตรายสัปดาห์!$AB$11),อัปเดตรายสัปดาห์!$AB$11,"")</f>
        <v/>
      </c>
      <c r="M90" s="374" t="str">
        <f aca="false">IF(อัปเดตรายสัปดาห์!$AB$11="Y","Y","")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Plan'!$H$11+(-25)</f>
        <v>46378</v>
      </c>
      <c r="J91" s="382" t="n">
        <f aca="false">'Master Plan'!$H$11+(-20)</f>
        <v>46383</v>
      </c>
      <c r="K91" s="387"/>
      <c r="L91" s="387"/>
      <c r="M91" s="383" t="str">
        <f aca="false">IF('อัปเดตงาน WBS'!$L$309="","",'อัปเดตงาน WBS'!$L$309)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Plan'!$H$11+(-20)</f>
        <v>46383</v>
      </c>
      <c r="J92" s="382" t="n">
        <f aca="false">'Master Plan'!$H$11+(-16)</f>
        <v>46387</v>
      </c>
      <c r="K92" s="387"/>
      <c r="L92" s="387"/>
      <c r="M92" s="383" t="str">
        <f aca="false">IF('อัปเดตงาน WBS'!$L$310="","",'อัปเดตงาน WBS'!$L$310)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Plan'!$H$11+(-25)</f>
        <v>46378</v>
      </c>
      <c r="J93" s="382" t="n">
        <f aca="false">'Master Plan'!$H$11+(-21)</f>
        <v>46382</v>
      </c>
      <c r="K93" s="387"/>
      <c r="L93" s="387"/>
      <c r="M93" s="383" t="str">
        <f aca="false">IF('อัปเดตงาน WBS'!$L$311="","",'อัปเดตงาน WBS'!$L$311)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Plan'!$H$11+(-21)</f>
        <v>46382</v>
      </c>
      <c r="J94" s="382" t="n">
        <f aca="false">'Master Plan'!$H$11+(-16)</f>
        <v>46387</v>
      </c>
      <c r="K94" s="387"/>
      <c r="L94" s="387"/>
      <c r="M94" s="383" t="str">
        <f aca="false">IF('อัปเดตงาน WBS'!$L$312="","",'อัปเดตงาน WBS'!$L$312)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Plan'!$H$11+(-17)</f>
        <v>46386</v>
      </c>
      <c r="J95" s="382" t="n">
        <f aca="false">'Master Plan'!$H$11+(-16)</f>
        <v>46387</v>
      </c>
      <c r="K95" s="387"/>
      <c r="L95" s="387"/>
      <c r="M95" s="383" t="str">
        <f aca="false">IF('อัปเดตงาน WBS'!$L$313="","",'อัปเดตงาน WBS'!$L$313)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3683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Plan'!$H$11+(-22)</f>
        <v>46381</v>
      </c>
      <c r="J96" s="373" t="n">
        <f aca="false">'Master Plan'!$H$11+(-16)</f>
        <v>46387</v>
      </c>
      <c r="K96" s="78"/>
      <c r="L96" s="78" t="str">
        <f aca="false">IF(ISNUMBER(อัปเดตรายสัปดาห์!$AC$11),อัปเดตรายสัปดาห์!$AC$11,"")</f>
        <v/>
      </c>
      <c r="M96" s="374" t="str">
        <f aca="false">IF(อัปเดตรายสัปดาห์!$AC$11="Y","Y","")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Plan'!$H$11+(-22)</f>
        <v>46381</v>
      </c>
      <c r="J97" s="382" t="n">
        <f aca="false">'Master Plan'!$H$11+(-17)</f>
        <v>46386</v>
      </c>
      <c r="K97" s="387"/>
      <c r="L97" s="387"/>
      <c r="M97" s="383" t="str">
        <f aca="false">IF('อัปเดตงาน WBS'!$L$314="","",'อัปเดตงาน WBS'!$L$314)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Plan'!$H$11+(-20)</f>
        <v>46383</v>
      </c>
      <c r="J98" s="382" t="n">
        <f aca="false">'Master Plan'!$H$11+(-16)</f>
        <v>46387</v>
      </c>
      <c r="K98" s="387"/>
      <c r="L98" s="387"/>
      <c r="M98" s="383" t="str">
        <f aca="false">IF('อัปเดตงาน WBS'!$L$315="","",'อัปเดตงาน WBS'!$L$315)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Plan'!$H$11+(-17)</f>
        <v>46386</v>
      </c>
      <c r="J99" s="382" t="n">
        <f aca="false">'Master Plan'!$H$11+(-16)</f>
        <v>46387</v>
      </c>
      <c r="K99" s="387"/>
      <c r="L99" s="387"/>
      <c r="M99" s="383" t="str">
        <f aca="false">IF('อัปเดตงาน WBS'!$L$316="","",'อัปเดตงาน WBS'!$L$316)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3683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Plan'!$H$11+(-20)</f>
        <v>46383</v>
      </c>
      <c r="J100" s="373" t="n">
        <f aca="false">'Master Plan'!$H$11+(-15)</f>
        <v>46388</v>
      </c>
      <c r="K100" s="78"/>
      <c r="L100" s="78" t="str">
        <f aca="false">IF(ISNUMBER(อัปเดตรายสัปดาห์!$AD$11),อัปเดตรายสัปดาห์!$AD$11,"")</f>
        <v/>
      </c>
      <c r="M100" s="374" t="str">
        <f aca="false">IF(อัปเดตรายสัปดาห์!$AD$11="Y","Y","")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Plan'!$H$11+(-19)</f>
        <v>46384</v>
      </c>
      <c r="J103" s="382" t="n">
        <f aca="false">'Master Plan'!$H$11+(-16)</f>
        <v>46387</v>
      </c>
      <c r="K103" s="387"/>
      <c r="L103" s="387"/>
      <c r="M103" s="383" t="str">
        <f aca="false">IF('อัปเดตงาน WBS'!$L$317="","",'อัปเดตงาน WBS'!$L$317)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Plan'!$H$11+(-18)</f>
        <v>46385</v>
      </c>
      <c r="J104" s="382" t="n">
        <f aca="false">'Master Plan'!$H$11+(-16)</f>
        <v>46387</v>
      </c>
      <c r="K104" s="387"/>
      <c r="L104" s="387"/>
      <c r="M104" s="383" t="str">
        <f aca="false">IF('อัปเดตงาน WBS'!$L$318="","",'อัปเดตงาน WBS'!$L$318)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Plan'!$H$11+(-18)</f>
        <v>46385</v>
      </c>
      <c r="J105" s="382" t="n">
        <f aca="false">'Master Plan'!$H$11+(-15)</f>
        <v>46388</v>
      </c>
      <c r="K105" s="387"/>
      <c r="L105" s="387"/>
      <c r="M105" s="383" t="str">
        <f aca="false">IF('อัปเดตงาน WBS'!$L$319="","",'อัปเดตงาน WBS'!$L$319)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Plan'!$H$11+(-16)</f>
        <v>46387</v>
      </c>
      <c r="J106" s="382" t="n">
        <f aca="false">'Master Plan'!$H$11+(-15)</f>
        <v>46388</v>
      </c>
      <c r="K106" s="387"/>
      <c r="L106" s="387"/>
      <c r="M106" s="383" t="str">
        <f aca="false">IF('อัปเดตงาน WBS'!$L$320="","",'อัปเดตงาน WBS'!$L$320)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3683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Plan'!$H$11+(-18)</f>
        <v>46385</v>
      </c>
      <c r="J107" s="373" t="n">
        <f aca="false">'Master Plan'!$H$11+(-14)</f>
        <v>46389</v>
      </c>
      <c r="K107" s="78"/>
      <c r="L107" s="78" t="str">
        <f aca="false">IF(ISNUMBER(อัปเดตรายสัปดาห์!$AE$11),อัปเดตรายสัปดาห์!$AE$11,"")</f>
        <v/>
      </c>
      <c r="M107" s="374" t="str">
        <f aca="false">IF(อัปเดตรายสัปดาห์!$AE$11="Y","Y","")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Plan'!$H$11+(-18)</f>
        <v>46385</v>
      </c>
      <c r="J108" s="382" t="n">
        <f aca="false">'Master Plan'!$H$11+(-15)</f>
        <v>46388</v>
      </c>
      <c r="K108" s="387"/>
      <c r="L108" s="387"/>
      <c r="M108" s="383" t="str">
        <f aca="false">IF('อัปเดตงาน WBS'!$L$321="","",'อัปเดตงาน WBS'!$L$321)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Plan'!$H$11+(-16)</f>
        <v>46387</v>
      </c>
      <c r="J109" s="382" t="n">
        <f aca="false">'Master Plan'!$H$11+(-14)</f>
        <v>46389</v>
      </c>
      <c r="K109" s="387"/>
      <c r="L109" s="387"/>
      <c r="M109" s="383" t="str">
        <f aca="false">IF('อัปเดตงาน WBS'!$L$322="","",'อัปเดตงาน WBS'!$L$322)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Plan'!$H$11+(-17)</f>
        <v>46386</v>
      </c>
      <c r="J110" s="382" t="n">
        <f aca="false">'Master Plan'!$H$11+(-15)</f>
        <v>46388</v>
      </c>
      <c r="K110" s="387"/>
      <c r="L110" s="387"/>
      <c r="M110" s="383" t="str">
        <f aca="false">IF('อัปเดตงาน WBS'!$L$323="","",'อัปเดตงาน WBS'!$L$323)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57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Plan'!$H$11+(-13)</f>
        <v>46390</v>
      </c>
      <c r="J111" s="373" t="n">
        <f aca="false">'Master Plan'!$H$11+(-13)</f>
        <v>46390</v>
      </c>
      <c r="K111" s="78"/>
      <c r="L111" s="78" t="str">
        <f aca="false">IF(ISNUMBER(อัปเดตรายสัปดาห์!$AF$11),อัปเดตรายสัปดาห์!$AF$11,"")</f>
        <v/>
      </c>
      <c r="M111" s="374" t="str">
        <f aca="false">IF(อัปเดตรายสัปดาห์!$AF$11="Y","Y","")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Plan'!$Y$11)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Plan'!$H$11+(-13)</f>
        <v>46390</v>
      </c>
      <c r="J112" s="382" t="n">
        <f aca="false">'Master Plan'!$H$11+(-13)</f>
        <v>46390</v>
      </c>
      <c r="K112" s="387"/>
      <c r="L112" s="387"/>
      <c r="M112" s="383" t="str">
        <f aca="false">IF('อัปเดตงาน WBS'!$L$324="","",'อัปเดตงาน WBS'!$L$324)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Plan'!$H$11+(-13)</f>
        <v>46390</v>
      </c>
      <c r="J113" s="382" t="n">
        <f aca="false">'Master Plan'!$H$11+(-13)</f>
        <v>46390</v>
      </c>
      <c r="K113" s="387"/>
      <c r="L113" s="387"/>
      <c r="M113" s="383" t="str">
        <f aca="false">IF('อัปเดตงาน WBS'!$L$325="","",'อัปเดตงาน WBS'!$L$325)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3683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Plan'!$H$11+(-12)</f>
        <v>46391</v>
      </c>
      <c r="J115" s="373" t="n">
        <f aca="false">'Master Plan'!$H$11+(-10)</f>
        <v>46393</v>
      </c>
      <c r="K115" s="78"/>
      <c r="L115" s="78" t="str">
        <f aca="false">IF(ISNUMBER(อัปเดตรายสัปดาห์!$AG$11),อัปเดตรายสัปดาห์!$AG$11,"")</f>
        <v/>
      </c>
      <c r="M115" s="374" t="str">
        <f aca="false">IF(อัปเดตรายสัปดาห์!$AG$11="Y","Y","")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Plan'!$AA$11)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Plan'!$H$11+(-12)</f>
        <v>46391</v>
      </c>
      <c r="J116" s="382" t="n">
        <f aca="false">'Master Plan'!$H$11+(-12)</f>
        <v>46391</v>
      </c>
      <c r="K116" s="387"/>
      <c r="L116" s="387"/>
      <c r="M116" s="383" t="str">
        <f aca="false">IF('อัปเดตงาน WBS'!$L$326="","",'อัปเดตงาน WBS'!$L$326)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Plan'!$H$11+(-12)</f>
        <v>46391</v>
      </c>
      <c r="J117" s="382" t="n">
        <f aca="false">'Master Plan'!$H$11+(-11)</f>
        <v>46392</v>
      </c>
      <c r="K117" s="387"/>
      <c r="L117" s="387"/>
      <c r="M117" s="383" t="str">
        <f aca="false">IF('อัปเดตงาน WBS'!$L$327="","",'อัปเดตงาน WBS'!$L$327)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Plan'!$H$11+(-11)</f>
        <v>46392</v>
      </c>
      <c r="J118" s="382" t="n">
        <f aca="false">'Master Plan'!$H$11+(-11)</f>
        <v>46392</v>
      </c>
      <c r="K118" s="387"/>
      <c r="L118" s="387"/>
      <c r="M118" s="383" t="str">
        <f aca="false">IF('อัปเดตงาน WBS'!$L$328="","",'อัปเดตงาน WBS'!$L$328)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Plan'!$H$11+(-11)</f>
        <v>46392</v>
      </c>
      <c r="J119" s="382" t="n">
        <f aca="false">'Master Plan'!$H$11+(-11)</f>
        <v>46392</v>
      </c>
      <c r="K119" s="387"/>
      <c r="L119" s="387"/>
      <c r="M119" s="383" t="str">
        <f aca="false">IF('อัปเดตงาน WBS'!$L$329="","",'อัปเดตงาน WBS'!$L$329)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Plan'!$H$11+(-11)</f>
        <v>46392</v>
      </c>
      <c r="J120" s="382" t="n">
        <f aca="false">'Master Plan'!$H$11+(-10)</f>
        <v>46393</v>
      </c>
      <c r="K120" s="387"/>
      <c r="L120" s="387"/>
      <c r="M120" s="383" t="str">
        <f aca="false">IF('อัปเดตงาน WBS'!$L$330="","",'อัปเดตงาน WBS'!$L$330)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Plan'!$H$11+(-11)</f>
        <v>46392</v>
      </c>
      <c r="J121" s="382" t="n">
        <f aca="false">'Master Plan'!$H$11+(-10)</f>
        <v>46393</v>
      </c>
      <c r="K121" s="387"/>
      <c r="L121" s="387"/>
      <c r="M121" s="383" t="str">
        <f aca="false">IF('อัปเดตงาน WBS'!$L$331="","",'อัปเดตงาน WBS'!$L$331)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57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Plan'!$H$11+(-10)</f>
        <v>46393</v>
      </c>
      <c r="J122" s="373" t="n">
        <f aca="false">'Master Plan'!$H$11+(-10)</f>
        <v>46393</v>
      </c>
      <c r="K122" s="78"/>
      <c r="L122" s="78" t="str">
        <f aca="false">IF(ISNUMBER(อัปเดตรายสัปดาห์!$AH$11),อัปเดตรายสัปดาห์!$AH$11,"")</f>
        <v/>
      </c>
      <c r="M122" s="374" t="str">
        <f aca="false">IF(อัปเดตรายสัปดาห์!$AH$11="Y","Y","")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Plan'!$Z$11)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57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Plan'!$H$11+(-12)</f>
        <v>46391</v>
      </c>
      <c r="J123" s="373" t="n">
        <f aca="false">'Master Plan'!$H$11+(-8)</f>
        <v>46395</v>
      </c>
      <c r="K123" s="78" t="str">
        <f aca="false">IF(ISNUMBER(อัปเดตรายสัปดาห์!$AI$11),อัปเดตรายสัปดาห์!$AI$11,"")</f>
        <v/>
      </c>
      <c r="L123" s="78" t="str">
        <f aca="false">IF(ISNUMBER(อัปเดตรายสัปดาห์!$AJ$11),อัปเดตรายสัปดาห์!$AJ$11,"")</f>
        <v/>
      </c>
      <c r="M123" s="374" t="str">
        <f aca="false">IF(อัปเดตรายสัปดาห์!$AJ$11="Y","Y","")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57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Plan'!$H$11+(37)</f>
        <v>46440</v>
      </c>
      <c r="J124" s="373" t="n">
        <f aca="false">'Master Plan'!$H$11+(50)</f>
        <v>46453</v>
      </c>
      <c r="K124" s="78"/>
      <c r="L124" s="78" t="str">
        <f aca="false">IF(ISNUMBER(อัปเดตรายสัปดาห์!$AK$11),อัปเดตรายสัปดาห์!$AK$11,"")</f>
        <v/>
      </c>
      <c r="M124" s="374" t="str">
        <f aca="false">IF(อัปเดตรายสัปดาห์!$AK$11="Y","Y","")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Plan'!$H$11+(37)</f>
        <v>46440</v>
      </c>
      <c r="J125" s="382" t="n">
        <f aca="false">'Master Plan'!$H$11+(41)</f>
        <v>46444</v>
      </c>
      <c r="K125" s="387"/>
      <c r="L125" s="387"/>
      <c r="M125" s="383" t="str">
        <f aca="false">IF('อัปเดตงาน WBS'!$L$332="","",'อัปเดตงาน WBS'!$L$332)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Plan'!$H$11+(40)</f>
        <v>46443</v>
      </c>
      <c r="J126" s="382" t="n">
        <f aca="false">'Master Plan'!$H$11+(47)</f>
        <v>46450</v>
      </c>
      <c r="K126" s="387"/>
      <c r="L126" s="387"/>
      <c r="M126" s="383" t="str">
        <f aca="false">IF('อัปเดตงาน WBS'!$L$333="","",'อัปเดตงาน WBS'!$L$333)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Plan'!$H$11+(47)</f>
        <v>46450</v>
      </c>
      <c r="J127" s="382" t="n">
        <f aca="false">'Master Plan'!$H$11+(50)</f>
        <v>46453</v>
      </c>
      <c r="K127" s="387"/>
      <c r="L127" s="387"/>
      <c r="M127" s="383" t="str">
        <f aca="false">IF('อัปเดตงาน WBS'!$L$334="","",'อัปเดตงาน WBS'!$L$334)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3683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Plan'!$H$11+(0)</f>
        <v>46403</v>
      </c>
      <c r="J128" s="373" t="n">
        <f aca="false">'Master Plan'!$H$11+(0)</f>
        <v>46403</v>
      </c>
      <c r="K128" s="78"/>
      <c r="L128" s="78" t="str">
        <f aca="false">IF(ISNUMBER(อัปเดตรายสัปดาห์!$AL$11),อัปเดตรายสัปดาห์!$AL$11,"")</f>
        <v/>
      </c>
      <c r="M128" s="374" t="str">
        <f aca="false">IF(อัปเดตรายสัปดาห์!$AL$11="Y","Y","")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Plan'!$AB$11)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Plan'!$H$11+(0)</f>
        <v>46403</v>
      </c>
      <c r="J129" s="373" t="n">
        <f aca="false">'Master Plan'!$H$11+(0)</f>
        <v>46403</v>
      </c>
      <c r="K129" s="78"/>
      <c r="L129" s="78" t="str">
        <f aca="false">IF(ISNUMBER(อัปเดตรายสัปดาห์!$AM$11),อัปเดตรายสัปดาห์!$AM$11,"")</f>
        <v/>
      </c>
      <c r="M129" s="374" t="str">
        <f aca="false">IF(อัปเดตรายสัปดาห์!$AM$11="Y","Y","")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Plan'!$H$11+(0)</f>
        <v>46403</v>
      </c>
      <c r="J130" s="373" t="n">
        <f aca="false">'Master Plan'!$H$11+(0)</f>
        <v>46403</v>
      </c>
      <c r="K130" s="78"/>
      <c r="L130" s="78" t="str">
        <f aca="false">IF(ISNUMBER(อัปเดตรายสัปดาห์!$AN$11),อัปเดตรายสัปดาห์!$AN$11,"")</f>
        <v/>
      </c>
      <c r="M130" s="374" t="str">
        <f aca="false">IF(อัปเดตรายสัปดาห์!$AN$11="Y","Y","")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57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Plan'!$H$11+(34)</f>
        <v>46437</v>
      </c>
      <c r="J131" s="373" t="n">
        <f aca="false">'Master Plan'!$H$11+(36)</f>
        <v>46439</v>
      </c>
      <c r="K131" s="78"/>
      <c r="L131" s="78" t="str">
        <f aca="false">IF(ISNUMBER(อัปเดตรายสัปดาห์!$AO$11),อัปเดตรายสัปดาห์!$AO$11,"")</f>
        <v/>
      </c>
      <c r="M131" s="374" t="str">
        <f aca="false">IF(อัปเดตรายสัปดาห์!$AO$11="Y","Y","")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SUMPRODUCT((SITE_ST="P9-004")*(SITE_TYPE=$B136)*(SITE_TYPE&lt;&gt;""))</f>
        <v>2</v>
      </c>
      <c r="E136" s="397" t="n">
        <f aca="false">SUMPRODUCT((SITE_ST="P9-004")*(SITE_TYPE=$B136)*SITE_MOD)</f>
        <v>492</v>
      </c>
      <c r="I136" s="398" t="n">
        <f aca="false">SUMPRODUCT((SITE_ST="P9-004")*(SITE_TYPE=$B136)*SITE_KWP)</f>
        <v>280.44</v>
      </c>
      <c r="J136" s="35" t="n">
        <f aca="false">IF(SUMPRODUCT((SITE_ST="P9-004")*(SITE_TYPE=$B136)*(SITE_TYPE&lt;&gt;""))=0,"",SUMPRODUCT((SITE_ST="P9-004")*(SITE_TYPE=$B136)*SITE_S21*SITE_D21)/MAX(0.0001,SUMPRODUCT((SITE_ST="P9-004")*(SITE_TYPE=$B136)*SITE_S21)))</f>
        <v>0</v>
      </c>
      <c r="K136" s="32" t="str">
        <f aca="false">IF(SUMPRODUCT((SITE_ST="P9-004")*(SITE_TYPE=$B136)*(SITE_TYPE&lt;&gt;""))=0,"",SUMPRODUCT((SITE_ST="P9-004")*(SITE_TYPE=$B136)*(SITE_TYPE&lt;&gt;"")*(SITE_T22="Y"))&amp;"/"&amp;SUMPRODUCT((SITE_ST="P9-004")*(SITE_TYPE=$B136)*(SITE_TYPE&lt;&gt;"")))</f>
        <v>0/2</v>
      </c>
      <c r="L136" s="32" t="str">
        <f aca="false">IF(SUMPRODUCT((SITE_ST="P9-004")*(SITE_TYPE=$B136)*(SITE_TYPE&lt;&gt;""))=0,"",SUMPRODUCT((SITE_ST="P9-004")*(SITE_TYPE=$B136)*(SITE_TYPE&lt;&gt;"")*(SITE_T23="Y"))&amp;"/"&amp;SUMPRODUCT((SITE_ST="P9-004")*(SITE_TYPE=$B136)*(SITE_TYPE&lt;&gt;"")))</f>
        <v>0/2</v>
      </c>
      <c r="O136" s="32" t="str">
        <f aca="false">IF(SUMPRODUCT((SITE_ST="P9-004")*(SITE_TYPE=$B136)*(LEFT(SITE_LAD,4)="ติด:"))=0,"",SUMPRODUCT((SITE_ST="P9-004")*(SITE_TYPE=$B136)*(LEFT(SITE_LAD,4)="ติด:"))&amp;" จุด")</f>
        <v>2 จุด</v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SUMPRODUCT((SITE_ST="P9-004")*(SITE_TYPE=$B137)*(SITE_TYPE&lt;&gt;""))</f>
        <v>0</v>
      </c>
      <c r="E137" s="397" t="n">
        <f aca="false">SUMPRODUCT((SITE_ST="P9-004")*(SITE_TYPE=$B137)*SITE_MOD)</f>
        <v>0</v>
      </c>
      <c r="I137" s="398" t="n">
        <f aca="false">SUMPRODUCT((SITE_ST="P9-004")*(SITE_TYPE=$B137)*SITE_KWP)</f>
        <v>0</v>
      </c>
      <c r="J137" s="35" t="str">
        <f aca="false">IF(SUMPRODUCT((SITE_ST="P9-004")*(SITE_TYPE=$B137)*(SITE_TYPE&lt;&gt;""))=0,"",SUMPRODUCT((SITE_ST="P9-004")*(SITE_TYPE=$B137)*SITE_S21*SITE_D21)/MAX(0.0001,SUMPRODUCT((SITE_ST="P9-004")*(SITE_TYPE=$B137)*SITE_S21)))</f>
        <v/>
      </c>
      <c r="K137" s="32" t="str">
        <f aca="false">IF(SUMPRODUCT((SITE_ST="P9-004")*(SITE_TYPE=$B137)*(SITE_TYPE&lt;&gt;""))=0,"",SUMPRODUCT((SITE_ST="P9-004")*(SITE_TYPE=$B137)*(SITE_TYPE&lt;&gt;"")*(SITE_T22="Y"))&amp;"/"&amp;SUMPRODUCT((SITE_ST="P9-004")*(SITE_TYPE=$B137)*(SITE_TYPE&lt;&gt;"")))</f>
        <v/>
      </c>
      <c r="L137" s="32" t="str">
        <f aca="false">IF(SUMPRODUCT((SITE_ST="P9-004")*(SITE_TYPE=$B137)*(SITE_TYPE&lt;&gt;""))=0,"",SUMPRODUCT((SITE_ST="P9-004")*(SITE_TYPE=$B137)*(SITE_TYPE&lt;&gt;"")*(SITE_T23="Y"))&amp;"/"&amp;SUMPRODUCT((SITE_ST="P9-004")*(SITE_TYPE=$B137)*(SITE_TYPE&lt;&gt;"")))</f>
        <v/>
      </c>
      <c r="O137" s="32" t="str">
        <f aca="false">IF(SUMPRODUCT((SITE_ST="P9-004")*(SITE_TYPE=$B137)*(LEFT(SITE_LAD,4)="ติด:"))=0,"",SUMPRODUCT((SITE_ST="P9-004")*(SITE_TYPE=$B137)*(LEFT(SITE_LAD,4)="ติด:"))&amp;"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SUMPRODUCT((SITE_ST="P9-004")*(SITE_TYPE=$B138)*(SITE_TYPE&lt;&gt;""))</f>
        <v>0</v>
      </c>
      <c r="E138" s="397" t="n">
        <f aca="false">SUMPRODUCT((SITE_ST="P9-004")*(SITE_TYPE=$B138)*SITE_MOD)</f>
        <v>0</v>
      </c>
      <c r="I138" s="398" t="n">
        <f aca="false">SUMPRODUCT((SITE_ST="P9-004")*(SITE_TYPE=$B138)*SITE_KWP)</f>
        <v>0</v>
      </c>
      <c r="J138" s="35" t="str">
        <f aca="false">IF(SUMPRODUCT((SITE_ST="P9-004")*(SITE_TYPE=$B138)*(SITE_TYPE&lt;&gt;""))=0,"",SUMPRODUCT((SITE_ST="P9-004")*(SITE_TYPE=$B138)*SITE_S21*SITE_D21)/MAX(0.0001,SUMPRODUCT((SITE_ST="P9-004")*(SITE_TYPE=$B138)*SITE_S21)))</f>
        <v/>
      </c>
      <c r="K138" s="32" t="str">
        <f aca="false">IF(SUMPRODUCT((SITE_ST="P9-004")*(SITE_TYPE=$B138)*(SITE_TYPE&lt;&gt;""))=0,"",SUMPRODUCT((SITE_ST="P9-004")*(SITE_TYPE=$B138)*(SITE_TYPE&lt;&gt;"")*(SITE_T22="Y"))&amp;"/"&amp;SUMPRODUCT((SITE_ST="P9-004")*(SITE_TYPE=$B138)*(SITE_TYPE&lt;&gt;"")))</f>
        <v/>
      </c>
      <c r="L138" s="32" t="str">
        <f aca="false">IF(SUMPRODUCT((SITE_ST="P9-004")*(SITE_TYPE=$B138)*(SITE_TYPE&lt;&gt;""))=0,"",SUMPRODUCT((SITE_ST="P9-004")*(SITE_TYPE=$B138)*(SITE_TYPE&lt;&gt;"")*(SITE_T23="Y"))&amp;"/"&amp;SUMPRODUCT((SITE_ST="P9-004")*(SITE_TYPE=$B138)*(SITE_TYPE&lt;&gt;"")))</f>
        <v/>
      </c>
      <c r="O138" s="32" t="str">
        <f aca="false">IF(SUMPRODUCT((SITE_ST="P9-004")*(SITE_TYPE=$B138)*(LEFT(SITE_LAD,4)="ติด:"))=0,"",SUMPRODUCT((SITE_ST="P9-004")*(SITE_TYPE=$B138)*(LEFT(SITE_LAD,4)="ติด:"))&amp;"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SUMPRODUCT((SITE_ST="P9-004")*(SITE_TYPE=$B139)*(SITE_TYPE&lt;&gt;""))</f>
        <v>0</v>
      </c>
      <c r="E139" s="397" t="n">
        <f aca="false">SUMPRODUCT((SITE_ST="P9-004")*(SITE_TYPE=$B139)*SITE_MOD)</f>
        <v>0</v>
      </c>
      <c r="I139" s="398" t="n">
        <f aca="false">SUMPRODUCT((SITE_ST="P9-004")*(SITE_TYPE=$B139)*SITE_KWP)</f>
        <v>0</v>
      </c>
      <c r="J139" s="35" t="str">
        <f aca="false">IF(SUMPRODUCT((SITE_ST="P9-004")*(SITE_TYPE=$B139)*(SITE_TYPE&lt;&gt;""))=0,"",SUMPRODUCT((SITE_ST="P9-004")*(SITE_TYPE=$B139)*SITE_S21*SITE_D21)/MAX(0.0001,SUMPRODUCT((SITE_ST="P9-004")*(SITE_TYPE=$B139)*SITE_S21)))</f>
        <v/>
      </c>
      <c r="K139" s="32" t="str">
        <f aca="false">IF(SUMPRODUCT((SITE_ST="P9-004")*(SITE_TYPE=$B139)*(SITE_TYPE&lt;&gt;""))=0,"",SUMPRODUCT((SITE_ST="P9-004")*(SITE_TYPE=$B139)*(SITE_TYPE&lt;&gt;"")*(SITE_T22="Y"))&amp;"/"&amp;SUMPRODUCT((SITE_ST="P9-004")*(SITE_TYPE=$B139)*(SITE_TYPE&lt;&gt;"")))</f>
        <v/>
      </c>
      <c r="L139" s="32" t="str">
        <f aca="false">IF(SUMPRODUCT((SITE_ST="P9-004")*(SITE_TYPE=$B139)*(SITE_TYPE&lt;&gt;""))=0,"",SUMPRODUCT((SITE_ST="P9-004")*(SITE_TYPE=$B139)*(SITE_TYPE&lt;&gt;"")*(SITE_T23="Y"))&amp;"/"&amp;SUMPRODUCT((SITE_ST="P9-004")*(SITE_TYPE=$B139)*(SITE_TYPE&lt;&gt;"")))</f>
        <v/>
      </c>
      <c r="O139" s="32" t="str">
        <f aca="false">IF(SUMPRODUCT((SITE_ST="P9-004")*(SITE_TYPE=$B139)*(LEFT(SITE_LAD,4)="ติด:"))=0,"",SUMPRODUCT((SITE_ST="P9-004")*(SITE_TYPE=$B139)*(LEFT(SITE_LAD,4)="ติด:"))&amp;"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SUMPRODUCT((SITE_ST="P9-004")*(SITE_TYPE=$B140)*(SITE_TYPE&lt;&gt;""))</f>
        <v>0</v>
      </c>
      <c r="E140" s="397" t="n">
        <f aca="false">SUMPRODUCT((SITE_ST="P9-004")*(SITE_TYPE=$B140)*SITE_MOD)</f>
        <v>0</v>
      </c>
      <c r="I140" s="398" t="n">
        <f aca="false">SUMPRODUCT((SITE_ST="P9-004")*(SITE_TYPE=$B140)*SITE_KWP)</f>
        <v>0</v>
      </c>
      <c r="J140" s="35" t="str">
        <f aca="false">IF(SUMPRODUCT((SITE_ST="P9-004")*(SITE_TYPE=$B140)*(SITE_TYPE&lt;&gt;""))=0,"",SUMPRODUCT((SITE_ST="P9-004")*(SITE_TYPE=$B140)*SITE_S21*SITE_D21)/MAX(0.0001,SUMPRODUCT((SITE_ST="P9-004")*(SITE_TYPE=$B140)*SITE_S21)))</f>
        <v/>
      </c>
      <c r="K140" s="32" t="str">
        <f aca="false">IF(SUMPRODUCT((SITE_ST="P9-004")*(SITE_TYPE=$B140)*(SITE_TYPE&lt;&gt;""))=0,"",SUMPRODUCT((SITE_ST="P9-004")*(SITE_TYPE=$B140)*(SITE_TYPE&lt;&gt;"")*(SITE_T22="Y"))&amp;"/"&amp;SUMPRODUCT((SITE_ST="P9-004")*(SITE_TYPE=$B140)*(SITE_TYPE&lt;&gt;"")))</f>
        <v/>
      </c>
      <c r="L140" s="32" t="str">
        <f aca="false">IF(SUMPRODUCT((SITE_ST="P9-004")*(SITE_TYPE=$B140)*(SITE_TYPE&lt;&gt;""))=0,"",SUMPRODUCT((SITE_ST="P9-004")*(SITE_TYPE=$B140)*(SITE_TYPE&lt;&gt;"")*(SITE_T23="Y"))&amp;"/"&amp;SUMPRODUCT((SITE_ST="P9-004")*(SITE_TYPE=$B140)*(SITE_TYPE&lt;&gt;"")))</f>
        <v/>
      </c>
      <c r="O140" s="32" t="str">
        <f aca="false">IF(SUMPRODUCT((SITE_ST="P9-004")*(SITE_TYPE=$B140)*(LEFT(SITE_LAD,4)="ติด:"))=0,"",SUMPRODUCT((SITE_ST="P9-004")*(SITE_TYPE=$B140)*(LEFT(SITE_LAD,4)="ติด:"))&amp;"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SUMPRODUCT((SITE_ST="P9-004")*(SITE_TYPE=$B141)*(SITE_TYPE&lt;&gt;""))</f>
        <v>0</v>
      </c>
      <c r="E141" s="397" t="n">
        <f aca="false">SUMPRODUCT((SITE_ST="P9-004")*(SITE_TYPE=$B141)*SITE_MOD)</f>
        <v>0</v>
      </c>
      <c r="I141" s="398" t="n">
        <f aca="false">SUMPRODUCT((SITE_ST="P9-004")*(SITE_TYPE=$B141)*SITE_KWP)</f>
        <v>0</v>
      </c>
      <c r="J141" s="35" t="str">
        <f aca="false">IF(SUMPRODUCT((SITE_ST="P9-004")*(SITE_TYPE=$B141)*(SITE_TYPE&lt;&gt;""))=0,"",SUMPRODUCT((SITE_ST="P9-004")*(SITE_TYPE=$B141)*SITE_S21*SITE_D21)/MAX(0.0001,SUMPRODUCT((SITE_ST="P9-004")*(SITE_TYPE=$B141)*SITE_S21)))</f>
        <v/>
      </c>
      <c r="K141" s="32" t="str">
        <f aca="false">IF(SUMPRODUCT((SITE_ST="P9-004")*(SITE_TYPE=$B141)*(SITE_TYPE&lt;&gt;""))=0,"",SUMPRODUCT((SITE_ST="P9-004")*(SITE_TYPE=$B141)*(SITE_TYPE&lt;&gt;"")*(SITE_T22="Y"))&amp;"/"&amp;SUMPRODUCT((SITE_ST="P9-004")*(SITE_TYPE=$B141)*(SITE_TYPE&lt;&gt;"")))</f>
        <v/>
      </c>
      <c r="L141" s="32" t="str">
        <f aca="false">IF(SUMPRODUCT((SITE_ST="P9-004")*(SITE_TYPE=$B141)*(SITE_TYPE&lt;&gt;""))=0,"",SUMPRODUCT((SITE_ST="P9-004")*(SITE_TYPE=$B141)*(SITE_TYPE&lt;&gt;"")*(SITE_T23="Y"))&amp;"/"&amp;SUMPRODUCT((SITE_ST="P9-004")*(SITE_TYPE=$B141)*(SITE_TYPE&lt;&gt;"")))</f>
        <v/>
      </c>
      <c r="O141" s="32" t="str">
        <f aca="false">IF(SUMPRODUCT((SITE_ST="P9-004")*(SITE_TYPE=$B141)*(LEFT(SITE_LAD,4)="ติด:"))=0,"",SUMPRODUCT((SITE_ST="P9-004")*(SITE_TYPE=$B141)*(LEFT(SITE_LAD,4)="ติด:"))&amp;"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SUMPRODUCT((SITE_ST="P9-004")*(SITE_TYPE&lt;&gt;""))</f>
        <v>2</v>
      </c>
      <c r="E142" s="403" t="n">
        <f aca="false">SUMPRODUCT((SITE_ST="P9-004")*SITE_MOD)</f>
        <v>492</v>
      </c>
      <c r="I142" s="404" t="n">
        <f aca="false">SUMPRODUCT((SITE_ST="P9-004")*SITE_KWP)</f>
        <v>280.44</v>
      </c>
      <c r="J142" s="405" t="n">
        <f aca="false">IF(SUMPRODUCT((SITE_ST="P9-004")*(SITE_TYPE&lt;&gt;""))=0,"",SUMPRODUCT((SITE_ST="P9-004")*SITE_S21*SITE_D21)/MAX(0.0001,SUMPRODUCT((SITE_ST="P9-004")*SITE_S21)))</f>
        <v>0</v>
      </c>
      <c r="K142" s="406" t="str">
        <f aca="false">IF(SUMPRODUCT((SITE_ST="P9-004")*(SITE_TYPE&lt;&gt;""))=0,"",SUMPRODUCT((SITE_ST="P9-004")*(SITE_TYPE&lt;&gt;"")*(SITE_T22="Y"))&amp;"/"&amp;SUMPRODUCT((SITE_ST="P9-004")*(SITE_TYPE&lt;&gt;"")))</f>
        <v>0/2</v>
      </c>
      <c r="L142" s="406" t="str">
        <f aca="false">IF(SUMPRODUCT((SITE_ST="P9-004")*(SITE_TYPE&lt;&gt;""))=0,"",SUMPRODUCT((SITE_ST="P9-004")*(SITE_TYPE&lt;&gt;"")*(SITE_T23="Y"))&amp;"/"&amp;SUMPRODUCT((SITE_ST="P9-004")*(SITE_TYPE&lt;&gt;"")))</f>
        <v>0/2</v>
      </c>
      <c r="O142" s="406" t="str">
        <f aca="false">IF(SUMPRODUCT((SITE_ST="P9-004")*(LEFT(SITE_LAD,4)="ติด:"))=0,"",SUMPRODUCT((SITE_ST="P9-004")*(LEFT(SITE_LAD,4)="ติด:"))&amp;"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IFERROR(INDEX(INVS_TYPE,MATCH("P9-004",INVS_ID,0))&amp;"","")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ทั้งก้อน",IFERROR(INDEX(INVS_SET,MATCH("P9-004",INVS_ID,0)),"")&amp;" kW, โรงเรือน "&amp;IFERROR(INDEX(INVS_SIZE,MATCH("P9-004",INVS_ID,0)),"")&amp;",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1" display="✎ กรอกความคืบหน้า"/>
    <hyperlink ref="R4" location="'Master Plan'!A11" display="← กลับ Master Plan"/>
    <hyperlink ref="M10" location="'อัปเดตงาน WBS'!L2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2"/>
    <hyperlink ref="M11" location="'อัปเดตงาน WBS'!L2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3"/>
    <hyperlink ref="M12" location="'อัปเดตงาน WBS'!L2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4"/>
    <hyperlink ref="M13" location="'อัปเดตงาน WBS'!L2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5"/>
    <hyperlink ref="M14" location="'อัปเดตงาน WBS'!L2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6"/>
    <hyperlink ref="M15" location="'อัปเดตงาน WBS'!L2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7"/>
    <hyperlink ref="M17" location="'อัปเดตงาน WBS'!L2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8"/>
    <hyperlink ref="M18" location="'อัปเดตงาน WBS'!L2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59"/>
    <hyperlink ref="M19" location="'อัปเดตงาน WBS'!L2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0"/>
    <hyperlink ref="M20" location="'อัปเดตงาน WBS'!L2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1"/>
    <hyperlink ref="M21" location="'อัปเดตงาน WBS'!L2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2"/>
    <hyperlink ref="M22" location="'อัปเดตงาน WBS'!L2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3"/>
    <hyperlink ref="M24" location="'อัปเดตงาน WBS'!L2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4"/>
    <hyperlink ref="M26" location="'อัปเดตงาน WBS'!L2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5"/>
    <hyperlink ref="M27" location="'อัปเดตงาน WBS'!L2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6"/>
    <hyperlink ref="M28" location="'อัปเดตงาน WBS'!L2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7"/>
    <hyperlink ref="M31" location="'อัปเดตงาน WBS'!L2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8"/>
    <hyperlink ref="M32" location="'อัปเดตงาน WBS'!L2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69"/>
    <hyperlink ref="M33" location="'อัปเดตงาน WBS'!L2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0"/>
    <hyperlink ref="M35" location="'อัปเดตงาน WBS'!L2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1"/>
    <hyperlink ref="M36" location="'อัปเดตงาน WBS'!L2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2"/>
    <hyperlink ref="M37" location="'อัปเดตงาน WBS'!L2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3"/>
    <hyperlink ref="M38" location="'อัปเดตงาน WBS'!L2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4"/>
    <hyperlink ref="M40" location="'อัปเดตงาน WBS'!L2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5"/>
    <hyperlink ref="M41" location="'อัปเดตงาน WBS'!L2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6"/>
    <hyperlink ref="M42" location="'อัปเดตงาน WBS'!L2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7"/>
    <hyperlink ref="M44" location="'อัปเดตงาน WBS'!L2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8"/>
    <hyperlink ref="M45" location="'อัปเดตงาน WBS'!L2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79"/>
    <hyperlink ref="M46" location="'อัปเดตงาน WBS'!L2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0"/>
    <hyperlink ref="M48" location="'อัปเดตงาน WBS'!L2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1"/>
    <hyperlink ref="M49" location="'อัปเดตงาน WBS'!L2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2"/>
    <hyperlink ref="M51" location="'อัปเดตงาน WBS'!L2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3"/>
    <hyperlink ref="M53" location="'อัปเดตงาน WBS'!L2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4"/>
    <hyperlink ref="M54" location="'อัปเดตงาน WBS'!L2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5"/>
    <hyperlink ref="M63" location="'อัปเดตงาน WBS'!L2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6"/>
    <hyperlink ref="M64" location="'อัปเดตงาน WBS'!L2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7"/>
    <hyperlink ref="M65" location="'อัปเดตงาน WBS'!L2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8"/>
    <hyperlink ref="M66" location="'อัปเดตงาน WBS'!L2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89"/>
    <hyperlink ref="M67" location="'อัปเดตงาน WBS'!L2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0"/>
    <hyperlink ref="M68" location="'อัปเดตงาน WBS'!L2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1"/>
    <hyperlink ref="M69" location="'อัปเดตงาน WBS'!L2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2"/>
    <hyperlink ref="M71" location="'อัปเดตงาน WBS'!L2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3"/>
    <hyperlink ref="M72" location="'อัปเดตงาน WBS'!L2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4"/>
    <hyperlink ref="M73" location="'อัปเดตงาน WBS'!L2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5"/>
    <hyperlink ref="M74" location="'อัปเดตงาน WBS'!L2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6"/>
    <hyperlink ref="M75" location="'อัปเดตงาน WBS'!L2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7"/>
    <hyperlink ref="M77" location="'อัปเดตงาน WBS'!L2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8"/>
    <hyperlink ref="M78" location="'อัปเดตงาน WBS'!L2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299"/>
    <hyperlink ref="M79" location="'อัปเดตงาน WBS'!L3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0"/>
    <hyperlink ref="M80" location="'อัปเดตงาน WBS'!L3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1"/>
    <hyperlink ref="M81" location="'อัปเดตงาน WBS'!L3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2"/>
    <hyperlink ref="M83" location="'อัปเดตงาน WBS'!L3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3"/>
    <hyperlink ref="M84" location="'อัปเดตงาน WBS'!L3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4"/>
    <hyperlink ref="M86" location="'อัปเดตงาน WBS'!L3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5"/>
    <hyperlink ref="M87" location="'อัปเดตงาน WBS'!L3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6"/>
    <hyperlink ref="M88" location="'อัปเดตงาน WBS'!L3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7"/>
    <hyperlink ref="M89" location="'อัปเดตงาน WBS'!L3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8"/>
    <hyperlink ref="M91" location="'อัปเดตงาน WBS'!L3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09"/>
    <hyperlink ref="M92" location="'อัปเดตงาน WBS'!L3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0"/>
    <hyperlink ref="M93" location="'อัปเดตงาน WBS'!L3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1"/>
    <hyperlink ref="M94" location="'อัปเดตงาน WBS'!L3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2"/>
    <hyperlink ref="M95" location="'อัปเดตงาน WBS'!L3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3"/>
    <hyperlink ref="M97" location="'อัปเดตงาน WBS'!L3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4"/>
    <hyperlink ref="M98" location="'อัปเดตงาน WBS'!L3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5"/>
    <hyperlink ref="M99" location="'อัปเดตงาน WBS'!L3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6"/>
    <hyperlink ref="M103" location="'อัปเดตงาน WBS'!L3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7"/>
    <hyperlink ref="M104" location="'อัปเดตงาน WBS'!L3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8"/>
    <hyperlink ref="M105" location="'อัปเดตงาน WBS'!L3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19"/>
    <hyperlink ref="M106" location="'อัปเดตงาน WBS'!L3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0"/>
    <hyperlink ref="M108" location="'อัปเดตงาน WBS'!L3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1"/>
    <hyperlink ref="M109" location="'อัปเดตงาน WBS'!L3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2"/>
    <hyperlink ref="M110" location="'อัปเดตงาน WBS'!L3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3"/>
    <hyperlink ref="M112" location="'อัปเดตงาน WBS'!L3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4"/>
    <hyperlink ref="M113" location="'อัปเดตงาน WBS'!L3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5"/>
    <hyperlink ref="M116" location="'อัปเดตงาน WBS'!L3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6"/>
    <hyperlink ref="M117" location="'อัปเดตงาน WBS'!L3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7"/>
    <hyperlink ref="M118" location="'อัปเดตงาน WBS'!L3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8"/>
    <hyperlink ref="M119" location="'อัปเดตงาน WBS'!L3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29"/>
    <hyperlink ref="M120" location="'อัปเดตงาน WBS'!L3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0"/>
    <hyperlink ref="M121" location="'อัปเดตงาน WBS'!L3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1"/>
    <hyperlink ref="M125" location="'อัปเดตงาน WBS'!L3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2"/>
    <hyperlink ref="M126" location="'อัปเดตงาน WBS'!L3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3"/>
    <hyperlink ref="M127" location="'อัปเดตงาน WBS'!L3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4"/>
    <hyperlink ref="D134" location="'จุดติดตั้ง'!A22" display="✎ เพิ่ม / แก้จุดติดตั้ง →"/>
    <hyperlink ref="D146" location="'Inverter station'!A9" display="file:///home/claude/dash/template/%E0%B9%81%E0%B8%A1%E0%B9%88%E0%B9%81%E0%B8%9A%E0%B8%9A%E0%B9%82%E0%B8%84%E0%B8%A3%E0%B8%87%E0%B8%81%E0%B8%B2%E0%B8%A3%20TCRoof%20(%E0%B8%97%E0%B8%B8%E0%B8%81%E0%B8%81%E0%B8%A3%E0%B8%93%E0%B8%B5).xlsx#'Inverter station'!A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3684</v>
      </c>
    </row>
    <row r="2" customFormat="false" ht="15" hidden="false" customHeight="false" outlineLevel="0" collapsed="false">
      <c r="A2" s="354" t="s">
        <v>3685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Plan'!$AI$12</f>
        <v>-36</v>
      </c>
      <c r="M4" s="360"/>
      <c r="N4" s="360" t="n">
        <f aca="false">'Master Plan'!$AJ$12</f>
        <v>-3</v>
      </c>
      <c r="O4" s="360"/>
      <c r="P4" s="361" t="str">
        <f aca="false">'Master Plan'!$AK$12&amp;" / "&amp;'Master Plan'!$AL$12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COUNTIFS(CR_ST,"P9-005",CR_STAT,"อนุมัติ")&amp;" รายการ, "&amp;'Master Plan'!$AO$12&amp;" วัน"</f>
        <v>0 รายการ, 0 วัน</v>
      </c>
      <c r="AG4" s="362"/>
      <c r="AH4" s="362"/>
      <c r="AI4" s="362"/>
      <c r="AJ4" s="362"/>
      <c r="AK4" s="363" t="n">
        <f aca="false">COUNTIFS(CR_ST,"P9-005",CR_STAT,"รออนุมัติ")+COUNTIFS(CR_ST,"P9-005",CR_STAT,"ขอข้อมูลเพิ่ม")</f>
        <v>0</v>
      </c>
      <c r="AL4" s="363"/>
      <c r="AM4" s="363"/>
      <c r="AN4" s="363"/>
      <c r="AO4" s="363"/>
      <c r="AP4" s="362" t="str">
        <f aca="false">COUNTIF(RW_ST,"P9-005")&amp;" ("&amp;COUNTIFS(RW_ST,"P9-005",RW_DONE,"&lt;&gt;Y")&amp;")"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COUNTIF(LL_ST,"*P9-005*")</f>
        <v>0</v>
      </c>
      <c r="BA4" s="363"/>
      <c r="BB4" s="363"/>
      <c r="BC4" s="363"/>
      <c r="BD4" s="363"/>
      <c r="BE4" s="362" t="str">
        <f aca="false">IF(COUNTIFS(SITE_ST,"P9-005",SITE_TYPE,"?*")=0,"ประมาณการ,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IF(COUNTIFS(SITE_ST,"P9-005",SITE_TYPE,"?*")=0,"ยังไม่ระบุจุด",COUNTIFS(SITE_ST,"P9-005",SITE_LAD,"ติด:*")&amp;" จุด"&amp;IF(COUNTIFS(SITE_ST,"P9-005",SITE_LAD,"⚠*")&gt;0,",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3686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61</v>
      </c>
      <c r="E9" s="372" t="n">
        <v>0</v>
      </c>
      <c r="F9" s="31"/>
      <c r="G9" s="32"/>
      <c r="H9" s="32" t="n">
        <v>1</v>
      </c>
      <c r="I9" s="373" t="n">
        <f aca="false">'Master Plan'!$H$12+(-75)</f>
        <v>46328</v>
      </c>
      <c r="J9" s="373" t="n">
        <f aca="false">'Master Plan'!$H$12+(50)</f>
        <v>46453</v>
      </c>
      <c r="K9" s="78"/>
      <c r="L9" s="78" t="str">
        <f aca="false">IF(ISNUMBER(อัปเดตรายสัปดาห์!$G$12),อัปเดตรายสัปดาห์!$G$12,"")</f>
        <v/>
      </c>
      <c r="M9" s="374" t="str">
        <f aca="false">IF(อัปเดตรายสัปดาห์!$G$12="Y","Y","")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Plan'!$H$12+(-75)</f>
        <v>46328</v>
      </c>
      <c r="J10" s="382" t="n">
        <f aca="false">'Master Plan'!$H$12+(-63)</f>
        <v>46340</v>
      </c>
      <c r="K10" s="387"/>
      <c r="L10" s="387"/>
      <c r="M10" s="383" t="str">
        <f aca="false">IF('อัปเดตงาน WBS'!$L$335="","",'อัปเดตงาน WBS'!$L$335)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Plan'!$H$12+(-75)</f>
        <v>46328</v>
      </c>
      <c r="J11" s="382" t="n">
        <f aca="false">'Master Plan'!$H$12+(-63)</f>
        <v>46340</v>
      </c>
      <c r="K11" s="387"/>
      <c r="L11" s="387"/>
      <c r="M11" s="383" t="str">
        <f aca="false">IF('อัปเดตงาน WBS'!$L$336="","",'อัปเดตงาน WBS'!$L$336)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Plan'!$H$12+(-75)</f>
        <v>46328</v>
      </c>
      <c r="J12" s="382" t="n">
        <f aca="false">'Master Plan'!$H$12+(-63)</f>
        <v>46340</v>
      </c>
      <c r="K12" s="387"/>
      <c r="L12" s="387"/>
      <c r="M12" s="383" t="str">
        <f aca="false">IF('อัปเดตงาน WBS'!$L$337="","",'อัปเดตงาน WBS'!$L$337)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Plan'!$H$12+(-75)</f>
        <v>46328</v>
      </c>
      <c r="J13" s="382" t="n">
        <f aca="false">'Master Plan'!$H$12+(-56)</f>
        <v>46347</v>
      </c>
      <c r="K13" s="387"/>
      <c r="L13" s="387"/>
      <c r="M13" s="383" t="str">
        <f aca="false">IF('อัปเดตงาน WBS'!$L$338="","",'อัปเดตงาน WBS'!$L$338)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Plan'!$H$12+(-63)</f>
        <v>46340</v>
      </c>
      <c r="J14" s="382" t="n">
        <f aca="false">'Master Plan'!$H$12+(50)</f>
        <v>46453</v>
      </c>
      <c r="K14" s="387"/>
      <c r="L14" s="387"/>
      <c r="M14" s="383" t="str">
        <f aca="false">IF('อัปเดตงาน WBS'!$L$339="","",'อัปเดตงาน WBS'!$L$339)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Plan'!$H$12+(-63)</f>
        <v>46340</v>
      </c>
      <c r="J15" s="382" t="n">
        <f aca="false">'Master Plan'!$H$12+(50)</f>
        <v>46453</v>
      </c>
      <c r="K15" s="387"/>
      <c r="L15" s="387"/>
      <c r="M15" s="383" t="str">
        <f aca="false">IF('อัปเดตงาน WBS'!$L$340="","",'อัปเดตงาน WBS'!$L$340)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Plan'!$H$12+(-56)</f>
        <v>46347</v>
      </c>
      <c r="J16" s="373" t="n">
        <f aca="false">'Master Plan'!$H$12+(-45)</f>
        <v>46358</v>
      </c>
      <c r="K16" s="78"/>
      <c r="L16" s="78" t="str">
        <f aca="false">IF(ISNUMBER(อัปเดตรายสัปดาห์!$H$12),อัปเดตรายสัปดาห์!$H$12,"")</f>
        <v/>
      </c>
      <c r="M16" s="374" t="str">
        <f aca="false">IF(อัปเดตรายสัปดาห์!$H$12="Y","Y","")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Plan'!$H$12+(-56)</f>
        <v>46347</v>
      </c>
      <c r="J17" s="382" t="n">
        <f aca="false">'Master Plan'!$H$12+(-54)</f>
        <v>46349</v>
      </c>
      <c r="K17" s="387"/>
      <c r="L17" s="387"/>
      <c r="M17" s="383" t="str">
        <f aca="false">IF('อัปเดตงาน WBS'!$L$341="","",'อัปเดตงาน WBS'!$L$341)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Plan'!$H$12+(-55)</f>
        <v>46348</v>
      </c>
      <c r="J18" s="382" t="n">
        <f aca="false">'Master Plan'!$H$12+(-52)</f>
        <v>46351</v>
      </c>
      <c r="K18" s="387"/>
      <c r="L18" s="387"/>
      <c r="M18" s="383" t="str">
        <f aca="false">IF('อัปเดตงาน WBS'!$L$342="","",'อัปเดตงาน WBS'!$L$342)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Plan'!$H$12+(-53)</f>
        <v>46350</v>
      </c>
      <c r="J19" s="382" t="n">
        <f aca="false">'Master Plan'!$H$12+(-48)</f>
        <v>46355</v>
      </c>
      <c r="K19" s="387"/>
      <c r="L19" s="387"/>
      <c r="M19" s="383" t="str">
        <f aca="false">IF('อัปเดตงาน WBS'!$L$343="","",'อัปเดตงาน WBS'!$L$343)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Plan'!$H$12+(-53)</f>
        <v>46350</v>
      </c>
      <c r="J20" s="382" t="n">
        <f aca="false">'Master Plan'!$H$12+(-48)</f>
        <v>46355</v>
      </c>
      <c r="K20" s="387"/>
      <c r="L20" s="387"/>
      <c r="M20" s="383" t="str">
        <f aca="false">IF('อัปเดตงาน WBS'!$L$344="","",'อัปเดตงาน WBS'!$L$344)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Plan'!$H$12+(-52)</f>
        <v>46351</v>
      </c>
      <c r="J21" s="382" t="n">
        <f aca="false">'Master Plan'!$H$12+(-47)</f>
        <v>46356</v>
      </c>
      <c r="K21" s="387"/>
      <c r="L21" s="387"/>
      <c r="M21" s="383" t="str">
        <f aca="false">IF('อัปเดตงาน WBS'!$L$345="","",'อัปเดตงาน WBS'!$L$345)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Plan'!$H$12+(-50)</f>
        <v>46353</v>
      </c>
      <c r="J22" s="382" t="n">
        <f aca="false">'Master Plan'!$H$12+(-46)</f>
        <v>46357</v>
      </c>
      <c r="K22" s="387"/>
      <c r="L22" s="387"/>
      <c r="M22" s="383" t="str">
        <f aca="false">IF('อัปเดตงาน WBS'!$L$346="","",'อัปเดตงาน WBS'!$L$346)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Plan'!$H$12+(-50)</f>
        <v>46353</v>
      </c>
      <c r="J23" s="382" t="n">
        <f aca="false">'Master Plan'!$H$12+(-45)</f>
        <v>46358</v>
      </c>
      <c r="K23" s="387"/>
      <c r="L23" s="387"/>
      <c r="M23" s="383" t="str">
        <f aca="false">IF('อัปเดตงาน WBS'!$L$347="","",'อัปเดตงาน WBS'!$L$347)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Plan'!$H$12+(-49)</f>
        <v>46354</v>
      </c>
      <c r="J24" s="382" t="n">
        <f aca="false">'Master Plan'!$H$12+(-45)</f>
        <v>46358</v>
      </c>
      <c r="K24" s="387"/>
      <c r="L24" s="387"/>
      <c r="M24" s="383" t="str">
        <f aca="false">IF('อัปเดตงาน WBS'!$L$348="","",'อัปเดตงาน WBS'!$L$348)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Plan'!$H$12+(-51)</f>
        <v>46352</v>
      </c>
      <c r="J25" s="373" t="n">
        <f aca="false">'Master Plan'!$H$12+(-51)</f>
        <v>46352</v>
      </c>
      <c r="K25" s="78"/>
      <c r="L25" s="78" t="str">
        <f aca="false">IF(ISNUMBER(อัปเดตรายสัปดาห์!$I$12),อัปเดตรายสัปดาห์!$I$12,"")</f>
        <v/>
      </c>
      <c r="M25" s="374" t="str">
        <f aca="false">IF(อัปเดตรายสัปดาห์!$I$12="Y","Y","")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Plan'!$H$12+(-51)</f>
        <v>46352</v>
      </c>
      <c r="J26" s="382" t="n">
        <f aca="false">'Master Plan'!$H$12+(-51)</f>
        <v>46352</v>
      </c>
      <c r="K26" s="387"/>
      <c r="L26" s="387"/>
      <c r="M26" s="383" t="str">
        <f aca="false">IF('อัปเดตงาน WBS'!$L$349="","",'อัปเดตงาน WBS'!$L$349)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Plan'!$H$12+(-51)</f>
        <v>46352</v>
      </c>
      <c r="J27" s="382" t="n">
        <f aca="false">'Master Plan'!$H$12+(-51)</f>
        <v>46352</v>
      </c>
      <c r="K27" s="387"/>
      <c r="L27" s="387"/>
      <c r="M27" s="383" t="str">
        <f aca="false">IF('อัปเดตงาน WBS'!$L$350="","",'อัปเดตงาน WBS'!$L$350)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Plan'!$H$12+(-51)</f>
        <v>46352</v>
      </c>
      <c r="J28" s="382" t="n">
        <f aca="false">'Master Plan'!$H$12+(-51)</f>
        <v>46352</v>
      </c>
      <c r="K28" s="387"/>
      <c r="L28" s="387"/>
      <c r="M28" s="383" t="str">
        <f aca="false">IF('อัปเดตงาน WBS'!$L$351="","",'อัปเดตงาน WBS'!$L$351)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61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Plan'!$H$12+(-75)</f>
        <v>46328</v>
      </c>
      <c r="J30" s="373" t="n">
        <f aca="false">'Master Plan'!$H$12+(-75)</f>
        <v>46328</v>
      </c>
      <c r="K30" s="78"/>
      <c r="L30" s="78" t="str">
        <f aca="false">IF(ISNUMBER(อัปเดตรายสัปดาห์!$J$12),อัปเดตรายสัปดาห์!$J$12,"")</f>
        <v/>
      </c>
      <c r="M30" s="374" t="str">
        <f aca="false">IF(อัปเดตรายสัปดาห์!$J$12="Y","Y","")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Plan'!$H$12+(-75)</f>
        <v>46328</v>
      </c>
      <c r="J31" s="382" t="n">
        <f aca="false">'Master Plan'!$H$12+(-75)</f>
        <v>46328</v>
      </c>
      <c r="K31" s="387"/>
      <c r="L31" s="387"/>
      <c r="M31" s="383" t="str">
        <f aca="false">IF('อัปเดตงาน WBS'!$L$352="","",'อัปเดตงาน WBS'!$L$352)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Plan'!$H$12+(-75)</f>
        <v>46328</v>
      </c>
      <c r="J32" s="382" t="n">
        <f aca="false">'Master Plan'!$H$12+(-75)</f>
        <v>46328</v>
      </c>
      <c r="K32" s="387"/>
      <c r="L32" s="387"/>
      <c r="M32" s="383" t="str">
        <f aca="false">IF('อัปเดตงาน WBS'!$L$353="","",'อัปเดตงาน WBS'!$L$353)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Plan'!$H$12+(-75)</f>
        <v>46328</v>
      </c>
      <c r="J33" s="382" t="n">
        <f aca="false">'Master Plan'!$H$12+(-75)</f>
        <v>46328</v>
      </c>
      <c r="K33" s="387"/>
      <c r="L33" s="387"/>
      <c r="M33" s="383" t="str">
        <f aca="false">IF('อัปเดตงาน WBS'!$L$354="","",'อัปเดตงาน WBS'!$L$354)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61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Plan'!$H$12+(-68)</f>
        <v>46335</v>
      </c>
      <c r="J34" s="373" t="n">
        <f aca="false">'Master Plan'!$H$12+(-59)</f>
        <v>46344</v>
      </c>
      <c r="K34" s="78"/>
      <c r="L34" s="78" t="str">
        <f aca="false">IF(ISNUMBER(อัปเดตรายสัปดาห์!$K$12),อัปเดตรายสัปดาห์!$K$12,"")</f>
        <v/>
      </c>
      <c r="M34" s="374" t="str">
        <f aca="false">IF(อัปเดตรายสัปดาห์!$K$12="Y","Y","")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Plan'!$H$12+(-68)</f>
        <v>46335</v>
      </c>
      <c r="J35" s="382" t="n">
        <f aca="false">'Master Plan'!$H$12+(-64)</f>
        <v>46339</v>
      </c>
      <c r="K35" s="387"/>
      <c r="L35" s="387"/>
      <c r="M35" s="383" t="str">
        <f aca="false">IF('อัปเดตงาน WBS'!$L$355="","",'อัปเดตงาน WBS'!$L$355)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Plan'!$H$12+(-68)</f>
        <v>46335</v>
      </c>
      <c r="J36" s="382" t="n">
        <f aca="false">'Master Plan'!$H$12+(-63)</f>
        <v>46340</v>
      </c>
      <c r="K36" s="387"/>
      <c r="L36" s="387"/>
      <c r="M36" s="383" t="str">
        <f aca="false">IF('อัปเดตงาน WBS'!$L$356="","",'อัปเดตงาน WBS'!$L$356)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Plan'!$H$12+(-65)</f>
        <v>46338</v>
      </c>
      <c r="J37" s="382" t="n">
        <f aca="false">'Master Plan'!$H$12+(-62)</f>
        <v>46341</v>
      </c>
      <c r="K37" s="387"/>
      <c r="L37" s="387"/>
      <c r="M37" s="383" t="str">
        <f aca="false">IF('อัปเดตงาน WBS'!$L$357="","",'อัปเดตงาน WBS'!$L$357)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Plan'!$H$12+(-63)</f>
        <v>46340</v>
      </c>
      <c r="J38" s="382" t="n">
        <f aca="false">'Master Plan'!$H$12+(-59)</f>
        <v>46344</v>
      </c>
      <c r="K38" s="387"/>
      <c r="L38" s="387"/>
      <c r="M38" s="383" t="str">
        <f aca="false">IF('อัปเดตงาน WBS'!$L$358="","",'อัปเดตงาน WBS'!$L$358)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61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Plan'!$H$12+(-45)</f>
        <v>46358</v>
      </c>
      <c r="J39" s="373" t="n">
        <f aca="false">'Master Plan'!$H$12+(-45)</f>
        <v>46358</v>
      </c>
      <c r="K39" s="78"/>
      <c r="L39" s="78" t="str">
        <f aca="false">IF(ISNUMBER(อัปเดตรายสัปดาห์!$L$12),อัปเดตรายสัปดาห์!$L$12,"")</f>
        <v/>
      </c>
      <c r="M39" s="374" t="str">
        <f aca="false">IF(อัปเดตรายสัปดาห์!$L$12="Y","Y","")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Plan'!$H$12+(-45)</f>
        <v>46358</v>
      </c>
      <c r="J40" s="382" t="n">
        <f aca="false">'Master Plan'!$H$12+(-45)</f>
        <v>46358</v>
      </c>
      <c r="K40" s="387"/>
      <c r="L40" s="387"/>
      <c r="M40" s="383" t="str">
        <f aca="false">IF('อัปเดตงาน WBS'!$L$359="","",'อัปเดตงาน WBS'!$L$359)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Plan'!$H$12+(-45)</f>
        <v>46358</v>
      </c>
      <c r="J41" s="382" t="n">
        <f aca="false">'Master Plan'!$H$12+(-45)</f>
        <v>46358</v>
      </c>
      <c r="K41" s="387"/>
      <c r="L41" s="387"/>
      <c r="M41" s="383" t="str">
        <f aca="false">IF('อัปเดตงาน WBS'!$L$360="","",'อัปเดตงาน WBS'!$L$360)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Plan'!$H$12+(-45)</f>
        <v>46358</v>
      </c>
      <c r="J42" s="382" t="n">
        <f aca="false">'Master Plan'!$H$12+(-45)</f>
        <v>46358</v>
      </c>
      <c r="K42" s="387"/>
      <c r="L42" s="387"/>
      <c r="M42" s="383" t="str">
        <f aca="false">IF('อัปเดตงาน WBS'!$L$361="","",'อัปเดตงาน WBS'!$L$361)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Plan'!$H$12+(-68)</f>
        <v>46335</v>
      </c>
      <c r="J43" s="373" t="n">
        <f aca="false">'Master Plan'!$H$12+(-55)</f>
        <v>46348</v>
      </c>
      <c r="K43" s="78"/>
      <c r="L43" s="78" t="str">
        <f aca="false">IF(ISNUMBER(อัปเดตรายสัปดาห์!$M$12),อัปเดตรายสัปดาห์!$M$12,"")</f>
        <v/>
      </c>
      <c r="M43" s="374" t="str">
        <f aca="false">IF(อัปเดตรายสัปดาห์!$M$12="Y","Y","")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Plan'!$H$12+(-68)</f>
        <v>46335</v>
      </c>
      <c r="J44" s="382" t="n">
        <f aca="false">'Master Plan'!$H$12+(-65)</f>
        <v>46338</v>
      </c>
      <c r="K44" s="387"/>
      <c r="L44" s="387"/>
      <c r="M44" s="383" t="str">
        <f aca="false">IF('อัปเดตงาน WBS'!$L$362="","",'อัปเดตงาน WBS'!$L$362)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Plan'!$H$12+(-67)</f>
        <v>46336</v>
      </c>
      <c r="J45" s="382" t="n">
        <f aca="false">'Master Plan'!$H$12+(-62)</f>
        <v>46341</v>
      </c>
      <c r="K45" s="387"/>
      <c r="L45" s="387"/>
      <c r="M45" s="383" t="str">
        <f aca="false">IF('อัปเดตงาน WBS'!$L$363="","",'อัปเดตงาน WBS'!$L$363)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Plan'!$H$12+(-62)</f>
        <v>46341</v>
      </c>
      <c r="J46" s="382" t="n">
        <f aca="false">'Master Plan'!$H$12+(-55)</f>
        <v>46348</v>
      </c>
      <c r="K46" s="387"/>
      <c r="L46" s="387"/>
      <c r="M46" s="383" t="str">
        <f aca="false">IF('อัปเดตงาน WBS'!$L$364="","",'อัปเดตงาน WBS'!$L$364)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IF(ISNUMBER(อัปเดตรายสัปดาห์!$P$12),อัปเดตรายสัปดาห์!$P$12,"")</f>
        <v/>
      </c>
      <c r="M52" s="374" t="str">
        <f aca="false">IF(อัปเดตรายสัปดาห์!$P$12="Y","Y","")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WBS'!$L$365="","",'อัปเดตงาน WBS'!$L$365)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WBS'!$L$366="","",'อัปเดตงาน WBS'!$L$366)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Plan'!$H$12+(-12)</f>
        <v>46391</v>
      </c>
      <c r="J55" s="373" t="n">
        <f aca="false">'Master Plan'!$H$12+(-12)</f>
        <v>46391</v>
      </c>
      <c r="K55" s="78"/>
      <c r="L55" s="78" t="str">
        <f aca="false">IF(ISNUMBER(อัปเดตรายสัปดาห์!$Q$12),อัปเดตรายสัปดาห์!$Q$12,"")</f>
        <v/>
      </c>
      <c r="M55" s="374" t="str">
        <f aca="false">IF(อัปเดตรายสัปดาห์!$Q$12="Y","Y","")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Plan'!$AC$12)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IF(ISNUMBER(อัปเดตรายสัปดาห์!$R$12),อัปเดตรายสัปดาห์!$R$12,"")</f>
        <v/>
      </c>
      <c r="M56" s="374" t="str">
        <f aca="false">IF(อัปเดตรายสัปดาห์!$R$12="Y","Y","")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Plan'!$H$12+(-11)</f>
        <v>46392</v>
      </c>
      <c r="J57" s="373" t="n">
        <f aca="false">'Master Plan'!$H$12+(9)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IF(ISNUMBER(อัปเดตรายสัปดาห์!$S$12),อัปเดตรายสัปดาห์!$S$12,"")</f>
        <v/>
      </c>
      <c r="M57" s="374" t="str">
        <f aca="false">IF(อัปเดตรายสัปดาห์!$S$12="Y","Y","")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Plan'!$AD$12)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Plan'!$H$12+(10)</f>
        <v>46413</v>
      </c>
      <c r="J58" s="373" t="n">
        <f aca="false">'Master Plan'!$H$12+(16)</f>
        <v>46419</v>
      </c>
      <c r="K58" s="78"/>
      <c r="L58" s="78" t="str">
        <f aca="false">IF(ISNUMBER(อัปเดตรายสัปดาห์!$T$12),อัปเดตรายสัปดาห์!$T$12,"")</f>
        <v/>
      </c>
      <c r="M58" s="374" t="str">
        <f aca="false">IF(อัปเดตรายสัปดาห์!$T$12="Y","Y","")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Plan'!$AE$12)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Plan'!$H$12+(17)</f>
        <v>46420</v>
      </c>
      <c r="J59" s="373" t="n">
        <f aca="false">'Master Plan'!$H$12+(17)</f>
        <v>46420</v>
      </c>
      <c r="K59" s="78"/>
      <c r="L59" s="78" t="str">
        <f aca="false">IF(ISNUMBER(อัปเดตรายสัปดาห์!$U$12),อัปเดตรายสัปดาห์!$U$12,"")</f>
        <v/>
      </c>
      <c r="M59" s="374" t="str">
        <f aca="false">IF(อัปเดตรายสัปดาห์!$U$12="Y","Y","")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Plan'!$AF$12)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61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Plan'!$H$12+(18)</f>
        <v>46421</v>
      </c>
      <c r="J60" s="373" t="n">
        <f aca="false">'Master Plan'!$H$12+(33)</f>
        <v>46436</v>
      </c>
      <c r="K60" s="78"/>
      <c r="L60" s="78" t="str">
        <f aca="false">IF(ISNUMBER(อัปเดตรายสัปดาห์!$V$12),อัปเดตรายสัปดาห์!$V$12,"")</f>
        <v/>
      </c>
      <c r="M60" s="374" t="str">
        <f aca="false">IF(อัปเดตรายสัปดาห์!$V$12="Y","Y","")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Plan'!$AH$12)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3687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Plan'!$H$12+(-42)</f>
        <v>46361</v>
      </c>
      <c r="J62" s="373" t="n">
        <f aca="false">'Master Plan'!$H$12+(-25)</f>
        <v>46378</v>
      </c>
      <c r="K62" s="78"/>
      <c r="L62" s="78" t="str">
        <f aca="false">IF(ISNUMBER(อัปเดตรายสัปดาห์!$W$12),อัปเดตรายสัปดาห์!$W$12,"")</f>
        <v/>
      </c>
      <c r="M62" s="374" t="str">
        <f aca="false">IF(อัปเดตรายสัปดาห์!$W$12="Y","Y","")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-005",SITE_TYPE,"?*")&gt;0,MIN(1,SUMPRODUCT((SITE_ST="P9-005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Plan'!$H$12+(-42)</f>
        <v>46361</v>
      </c>
      <c r="J63" s="382" t="n">
        <f aca="false">'Master Plan'!$H$12+(-40)</f>
        <v>46363</v>
      </c>
      <c r="K63" s="387"/>
      <c r="L63" s="387"/>
      <c r="M63" s="383" t="str">
        <f aca="false">IF('อัปเดตงาน WBS'!$L$367="","",'อัปเดตงาน WBS'!$L$367)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Plan'!$H$12+(-42)</f>
        <v>46361</v>
      </c>
      <c r="J64" s="382" t="n">
        <f aca="false">'Master Plan'!$H$12+(-39)</f>
        <v>46364</v>
      </c>
      <c r="K64" s="387"/>
      <c r="L64" s="387"/>
      <c r="M64" s="383" t="str">
        <f aca="false">IF('อัปเดตงาน WBS'!$L$368="","",'อัปเดตงาน WBS'!$L$368)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Plan'!$H$12+(-40)</f>
        <v>46363</v>
      </c>
      <c r="J65" s="382" t="n">
        <f aca="false">'Master Plan'!$H$12+(-34)</f>
        <v>46369</v>
      </c>
      <c r="K65" s="387"/>
      <c r="L65" s="387"/>
      <c r="M65" s="383" t="str">
        <f aca="false">IF('อัปเดตงาน WBS'!$L$369="","",'อัปเดตงาน WBS'!$L$369)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Plan'!$H$12+(-35)</f>
        <v>46368</v>
      </c>
      <c r="J66" s="382" t="n">
        <f aca="false">'Master Plan'!$H$12+(-28)</f>
        <v>46375</v>
      </c>
      <c r="K66" s="387"/>
      <c r="L66" s="387"/>
      <c r="M66" s="383" t="str">
        <f aca="false">IF('อัปเดตงาน WBS'!$L$370="","",'อัปเดตงาน WBS'!$L$370)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Plan'!$H$12+(-32)</f>
        <v>46371</v>
      </c>
      <c r="J67" s="382" t="n">
        <f aca="false">'Master Plan'!$H$12+(-26)</f>
        <v>46377</v>
      </c>
      <c r="K67" s="387"/>
      <c r="L67" s="387"/>
      <c r="M67" s="383" t="str">
        <f aca="false">IF('อัปเดตงาน WBS'!$L$371="","",'อัปเดตงาน WBS'!$L$371)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Plan'!$H$12+(-28)</f>
        <v>46375</v>
      </c>
      <c r="J68" s="382" t="n">
        <f aca="false">'Master Plan'!$H$12+(-25)</f>
        <v>46378</v>
      </c>
      <c r="K68" s="387"/>
      <c r="L68" s="387"/>
      <c r="M68" s="383" t="str">
        <f aca="false">IF('อัปเดตงาน WBS'!$L$372="","",'อัปเดตงาน WBS'!$L$372)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Plan'!$H$12+(-26)</f>
        <v>46377</v>
      </c>
      <c r="J69" s="382" t="n">
        <f aca="false">'Master Plan'!$H$12+(-25)</f>
        <v>46378</v>
      </c>
      <c r="K69" s="387"/>
      <c r="L69" s="387"/>
      <c r="M69" s="383" t="str">
        <f aca="false">IF('อัปเดตงาน WBS'!$L$373="","",'อัปเดตงาน WBS'!$L$373)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3687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Plan'!$H$12+(-24)</f>
        <v>46379</v>
      </c>
      <c r="J70" s="373" t="n">
        <f aca="false">'Master Plan'!$H$12+(-15)</f>
        <v>46388</v>
      </c>
      <c r="K70" s="78"/>
      <c r="L70" s="78" t="str">
        <f aca="false">IF(ISNUMBER(อัปเดตรายสัปดาห์!$X$12),อัปเดตรายสัปดาห์!$X$12,"")</f>
        <v/>
      </c>
      <c r="M70" s="374" t="str">
        <f aca="false">IF(อัปเดตรายสัปดาห์!$X$12="Y","Y","")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-005",SITE_TYPE,"?*")&gt;0,MIN(1,SUMPRODUCT((SITE_ST="P9-005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Plan'!$H$12+(-24)</f>
        <v>46379</v>
      </c>
      <c r="J71" s="382" t="n">
        <f aca="false">'Master Plan'!$H$12+(-20)</f>
        <v>46383</v>
      </c>
      <c r="K71" s="387"/>
      <c r="L71" s="387"/>
      <c r="M71" s="383" t="str">
        <f aca="false">IF('อัปเดตงาน WBS'!$L$374="","",'อัปเดตงาน WBS'!$L$374)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Plan'!$H$12+(-22)</f>
        <v>46381</v>
      </c>
      <c r="J72" s="382" t="n">
        <f aca="false">'Master Plan'!$H$12+(-17)</f>
        <v>46386</v>
      </c>
      <c r="K72" s="387"/>
      <c r="L72" s="387"/>
      <c r="M72" s="383" t="str">
        <f aca="false">IF('อัปเดตงาน WBS'!$L$375="","",'อัปเดตงาน WBS'!$L$375)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Plan'!$H$12+(-21)</f>
        <v>46382</v>
      </c>
      <c r="J73" s="382" t="n">
        <f aca="false">'Master Plan'!$H$12+(-17)</f>
        <v>46386</v>
      </c>
      <c r="K73" s="387"/>
      <c r="L73" s="387"/>
      <c r="M73" s="383" t="str">
        <f aca="false">IF('อัปเดตงาน WBS'!$L$376="","",'อัปเดตงาน WBS'!$L$376)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Plan'!$H$12+(-20)</f>
        <v>46383</v>
      </c>
      <c r="J74" s="382" t="n">
        <f aca="false">'Master Plan'!$H$12+(-15)</f>
        <v>46388</v>
      </c>
      <c r="K74" s="387"/>
      <c r="L74" s="387"/>
      <c r="M74" s="383" t="str">
        <f aca="false">IF('อัปเดตงาน WBS'!$L$377="","",'อัปเดตงาน WBS'!$L$377)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Plan'!$H$12+(-17)</f>
        <v>46386</v>
      </c>
      <c r="J75" s="382" t="n">
        <f aca="false">'Master Plan'!$H$12+(-15)</f>
        <v>46388</v>
      </c>
      <c r="K75" s="387"/>
      <c r="L75" s="387"/>
      <c r="M75" s="383" t="str">
        <f aca="false">IF('อัปเดตงาน WBS'!$L$378="","",'อัปเดตงาน WBS'!$L$378)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3687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Plan'!$H$12+(-24)</f>
        <v>46379</v>
      </c>
      <c r="J76" s="373" t="n">
        <f aca="false">'Master Plan'!$H$12+(-15)</f>
        <v>46388</v>
      </c>
      <c r="K76" s="78"/>
      <c r="L76" s="78" t="str">
        <f aca="false">IF(ISNUMBER(อัปเดตรายสัปดาห์!$Y$12),อัปเดตรายสัปดาห์!$Y$12,"")</f>
        <v/>
      </c>
      <c r="M76" s="374" t="str">
        <f aca="false">IF(อัปเดตรายสัปดาห์!$Y$12="Y","Y","")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-005",SITE_TYPE,"?*")&gt;0,MIN(1,SUMPRODUCT((SITE_ST="P9-005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Plan'!$H$12+(-24)</f>
        <v>46379</v>
      </c>
      <c r="J77" s="382" t="n">
        <f aca="false">'Master Plan'!$H$12+(-21)</f>
        <v>46382</v>
      </c>
      <c r="K77" s="387"/>
      <c r="L77" s="387"/>
      <c r="M77" s="383" t="str">
        <f aca="false">IF('อัปเดตงาน WBS'!$L$379="","",'อัปเดตงาน WBS'!$L$379)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Plan'!$H$12+(-23)</f>
        <v>46380</v>
      </c>
      <c r="J78" s="382" t="n">
        <f aca="false">'Master Plan'!$H$12+(-16)</f>
        <v>46387</v>
      </c>
      <c r="K78" s="387"/>
      <c r="L78" s="387"/>
      <c r="M78" s="383" t="str">
        <f aca="false">IF('อัปเดตงาน WBS'!$L$380="","",'อัปเดตงาน WBS'!$L$380)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Plan'!$H$12+(-20)</f>
        <v>46383</v>
      </c>
      <c r="J79" s="382" t="n">
        <f aca="false">'Master Plan'!$H$12+(-15)</f>
        <v>46388</v>
      </c>
      <c r="K79" s="387"/>
      <c r="L79" s="387"/>
      <c r="M79" s="383" t="str">
        <f aca="false">IF('อัปเดตงาน WBS'!$L$381="","",'อัปเดตงาน WBS'!$L$381)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Plan'!$H$12+(-17)</f>
        <v>46386</v>
      </c>
      <c r="J80" s="382" t="n">
        <f aca="false">'Master Plan'!$H$12+(-15)</f>
        <v>46388</v>
      </c>
      <c r="K80" s="387"/>
      <c r="L80" s="387"/>
      <c r="M80" s="383" t="str">
        <f aca="false">IF('อัปเดตงาน WBS'!$L$382="","",'อัปเดตงาน WBS'!$L$382)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Plan'!$H$12+(-15)</f>
        <v>46388</v>
      </c>
      <c r="J81" s="382" t="n">
        <f aca="false">'Master Plan'!$H$12+(-15)</f>
        <v>46388</v>
      </c>
      <c r="K81" s="387"/>
      <c r="L81" s="387"/>
      <c r="M81" s="383" t="str">
        <f aca="false">IF('อัปเดตงาน WBS'!$L$383="","",'อัปเดตงาน WBS'!$L$383)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3687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Plan'!$H$12+(-21)</f>
        <v>46382</v>
      </c>
      <c r="J82" s="373" t="n">
        <f aca="false">'Master Plan'!$H$12+(-18)</f>
        <v>46385</v>
      </c>
      <c r="K82" s="78"/>
      <c r="L82" s="78" t="str">
        <f aca="false">IF(ISNUMBER(อัปเดตรายสัปดาห์!$Z$12),อัปเดตรายสัปดาห์!$Z$12,"")</f>
        <v/>
      </c>
      <c r="M82" s="374" t="str">
        <f aca="false">IF(อัปเดตรายสัปดาห์!$Z$12="Y","Y","")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Plan'!$H$12+(-21)</f>
        <v>46382</v>
      </c>
      <c r="J83" s="382" t="n">
        <f aca="false">'Master Plan'!$H$12+(-19)</f>
        <v>46384</v>
      </c>
      <c r="K83" s="387"/>
      <c r="L83" s="387"/>
      <c r="M83" s="383" t="str">
        <f aca="false">IF('อัปเดตงาน WBS'!$L$384="","",'อัปเดตงาน WBS'!$L$384)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Plan'!$H$12+(-20)</f>
        <v>46383</v>
      </c>
      <c r="J84" s="382" t="n">
        <f aca="false">'Master Plan'!$H$12+(-18)</f>
        <v>46385</v>
      </c>
      <c r="K84" s="387"/>
      <c r="L84" s="387"/>
      <c r="M84" s="383" t="str">
        <f aca="false">IF('อัปเดตงาน WBS'!$L$385="","",'อัปเดตงาน WBS'!$L$385)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3687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Plan'!$H$12+(-25)</f>
        <v>46378</v>
      </c>
      <c r="J85" s="373" t="n">
        <f aca="false">'Master Plan'!$H$12+(-17)</f>
        <v>46386</v>
      </c>
      <c r="K85" s="78"/>
      <c r="L85" s="78" t="str">
        <f aca="false">IF(ISNUMBER(อัปเดตรายสัปดาห์!$AA$12),อัปเดตรายสัปดาห์!$AA$12,"")</f>
        <v/>
      </c>
      <c r="M85" s="374" t="str">
        <f aca="false">IF(อัปเดตรายสัปดาห์!$AA$12="Y","Y","")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Plan'!$H$12+(-25)</f>
        <v>46378</v>
      </c>
      <c r="J86" s="382" t="n">
        <f aca="false">'Master Plan'!$H$12+(-21)</f>
        <v>46382</v>
      </c>
      <c r="K86" s="387"/>
      <c r="L86" s="387"/>
      <c r="M86" s="383" t="str">
        <f aca="false">IF('อัปเดตงาน WBS'!$L$386="","",'อัปเดตงาน WBS'!$L$386)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Plan'!$H$12+(-22)</f>
        <v>46381</v>
      </c>
      <c r="J87" s="382" t="n">
        <f aca="false">'Master Plan'!$H$12+(-18)</f>
        <v>46385</v>
      </c>
      <c r="K87" s="387"/>
      <c r="L87" s="387"/>
      <c r="M87" s="383" t="str">
        <f aca="false">IF('อัปเดตงาน WBS'!$L$387="","",'อัปเดตงาน WBS'!$L$387)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Plan'!$H$12+(-20)</f>
        <v>46383</v>
      </c>
      <c r="J88" s="382" t="n">
        <f aca="false">'Master Plan'!$H$12+(-17)</f>
        <v>46386</v>
      </c>
      <c r="K88" s="387"/>
      <c r="L88" s="387"/>
      <c r="M88" s="383" t="str">
        <f aca="false">IF('อัปเดตงาน WBS'!$L$388="","",'อัปเดตงาน WBS'!$L$388)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Plan'!$H$12+(-18)</f>
        <v>46385</v>
      </c>
      <c r="J89" s="382" t="n">
        <f aca="false">'Master Plan'!$H$12+(-17)</f>
        <v>46386</v>
      </c>
      <c r="K89" s="387"/>
      <c r="L89" s="387"/>
      <c r="M89" s="383" t="str">
        <f aca="false">IF('อัปเดตงาน WBS'!$L$389="","",'อัปเดตงาน WBS'!$L$389)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3687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Plan'!$H$12+(-25)</f>
        <v>46378</v>
      </c>
      <c r="J90" s="373" t="n">
        <f aca="false">'Master Plan'!$H$12+(-16)</f>
        <v>46387</v>
      </c>
      <c r="K90" s="78"/>
      <c r="L90" s="78" t="str">
        <f aca="false">IF(ISNUMBER(อัปเดตรายสัปดาห์!$AB$12),อัปเดตรายสัปดาห์!$AB$12,"")</f>
        <v/>
      </c>
      <c r="M90" s="374" t="str">
        <f aca="false">IF(อัปเดตรายสัปดาห์!$AB$12="Y","Y","")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Plan'!$H$12+(-25)</f>
        <v>46378</v>
      </c>
      <c r="J91" s="382" t="n">
        <f aca="false">'Master Plan'!$H$12+(-20)</f>
        <v>46383</v>
      </c>
      <c r="K91" s="387"/>
      <c r="L91" s="387"/>
      <c r="M91" s="383" t="str">
        <f aca="false">IF('อัปเดตงาน WBS'!$L$390="","",'อัปเดตงาน WBS'!$L$390)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Plan'!$H$12+(-20)</f>
        <v>46383</v>
      </c>
      <c r="J92" s="382" t="n">
        <f aca="false">'Master Plan'!$H$12+(-16)</f>
        <v>46387</v>
      </c>
      <c r="K92" s="387"/>
      <c r="L92" s="387"/>
      <c r="M92" s="383" t="str">
        <f aca="false">IF('อัปเดตงาน WBS'!$L$391="","",'อัปเดตงาน WBS'!$L$391)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Plan'!$H$12+(-25)</f>
        <v>46378</v>
      </c>
      <c r="J93" s="382" t="n">
        <f aca="false">'Master Plan'!$H$12+(-21)</f>
        <v>46382</v>
      </c>
      <c r="K93" s="387"/>
      <c r="L93" s="387"/>
      <c r="M93" s="383" t="str">
        <f aca="false">IF('อัปเดตงาน WBS'!$L$392="","",'อัปเดตงาน WBS'!$L$392)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Plan'!$H$12+(-21)</f>
        <v>46382</v>
      </c>
      <c r="J94" s="382" t="n">
        <f aca="false">'Master Plan'!$H$12+(-16)</f>
        <v>46387</v>
      </c>
      <c r="K94" s="387"/>
      <c r="L94" s="387"/>
      <c r="M94" s="383" t="str">
        <f aca="false">IF('อัปเดตงาน WBS'!$L$393="","",'อัปเดตงาน WBS'!$L$393)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Plan'!$H$12+(-17)</f>
        <v>46386</v>
      </c>
      <c r="J95" s="382" t="n">
        <f aca="false">'Master Plan'!$H$12+(-16)</f>
        <v>46387</v>
      </c>
      <c r="K95" s="387"/>
      <c r="L95" s="387"/>
      <c r="M95" s="383" t="str">
        <f aca="false">IF('อัปเดตงาน WBS'!$L$394="","",'อัปเดตงาน WBS'!$L$394)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3687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Plan'!$H$12+(-22)</f>
        <v>46381</v>
      </c>
      <c r="J96" s="373" t="n">
        <f aca="false">'Master Plan'!$H$12+(-16)</f>
        <v>46387</v>
      </c>
      <c r="K96" s="78"/>
      <c r="L96" s="78" t="str">
        <f aca="false">IF(ISNUMBER(อัปเดตรายสัปดาห์!$AC$12),อัปเดตรายสัปดาห์!$AC$12,"")</f>
        <v/>
      </c>
      <c r="M96" s="374" t="str">
        <f aca="false">IF(อัปเดตรายสัปดาห์!$AC$12="Y","Y","")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Plan'!$H$12+(-22)</f>
        <v>46381</v>
      </c>
      <c r="J97" s="382" t="n">
        <f aca="false">'Master Plan'!$H$12+(-17)</f>
        <v>46386</v>
      </c>
      <c r="K97" s="387"/>
      <c r="L97" s="387"/>
      <c r="M97" s="383" t="str">
        <f aca="false">IF('อัปเดตงาน WBS'!$L$395="","",'อัปเดตงาน WBS'!$L$395)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Plan'!$H$12+(-20)</f>
        <v>46383</v>
      </c>
      <c r="J98" s="382" t="n">
        <f aca="false">'Master Plan'!$H$12+(-16)</f>
        <v>46387</v>
      </c>
      <c r="K98" s="387"/>
      <c r="L98" s="387"/>
      <c r="M98" s="383" t="str">
        <f aca="false">IF('อัปเดตงาน WBS'!$L$396="","",'อัปเดตงาน WBS'!$L$396)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Plan'!$H$12+(-17)</f>
        <v>46386</v>
      </c>
      <c r="J99" s="382" t="n">
        <f aca="false">'Master Plan'!$H$12+(-16)</f>
        <v>46387</v>
      </c>
      <c r="K99" s="387"/>
      <c r="L99" s="387"/>
      <c r="M99" s="383" t="str">
        <f aca="false">IF('อัปเดตงาน WBS'!$L$397="","",'อัปเดตงาน WBS'!$L$397)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3687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Plan'!$H$12+(-20)</f>
        <v>46383</v>
      </c>
      <c r="J100" s="373" t="n">
        <f aca="false">'Master Plan'!$H$12+(-15)</f>
        <v>46388</v>
      </c>
      <c r="K100" s="78"/>
      <c r="L100" s="78" t="str">
        <f aca="false">IF(ISNUMBER(อัปเดตรายสัปดาห์!$AD$12),อัปเดตรายสัปดาห์!$AD$12,"")</f>
        <v/>
      </c>
      <c r="M100" s="374" t="str">
        <f aca="false">IF(อัปเดตรายสัปดาห์!$AD$12="Y","Y","")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Plan'!$H$12+(-20)</f>
        <v>46383</v>
      </c>
      <c r="J101" s="382" t="n">
        <f aca="false">'Master Plan'!$H$12+(-19)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Plan'!$H$12+(-19)</f>
        <v>46384</v>
      </c>
      <c r="J102" s="382" t="n">
        <f aca="false">'Master Plan'!$H$12+(-16)</f>
        <v>46387</v>
      </c>
      <c r="K102" s="387"/>
      <c r="L102" s="387"/>
      <c r="M102" s="383" t="str">
        <f aca="false">IF('อัปเดตงาน WBS'!$L$398="","",'อัปเดตงาน WBS'!$L$398)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Plan'!$H$12+(-18)</f>
        <v>46385</v>
      </c>
      <c r="J104" s="382" t="n">
        <f aca="false">'Master Plan'!$H$12+(-16)</f>
        <v>46387</v>
      </c>
      <c r="K104" s="387"/>
      <c r="L104" s="387"/>
      <c r="M104" s="383" t="str">
        <f aca="false">IF('อัปเดตงาน WBS'!$L$399="","",'อัปเดตงาน WBS'!$L$399)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Plan'!$H$12+(-18)</f>
        <v>46385</v>
      </c>
      <c r="J105" s="382" t="n">
        <f aca="false">'Master Plan'!$H$12+(-15)</f>
        <v>46388</v>
      </c>
      <c r="K105" s="387"/>
      <c r="L105" s="387"/>
      <c r="M105" s="383" t="str">
        <f aca="false">IF('อัปเดตงาน WBS'!$L$400="","",'อัปเดตงาน WBS'!$L$400)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Plan'!$H$12+(-16)</f>
        <v>46387</v>
      </c>
      <c r="J106" s="382" t="n">
        <f aca="false">'Master Plan'!$H$12+(-15)</f>
        <v>46388</v>
      </c>
      <c r="K106" s="387"/>
      <c r="L106" s="387"/>
      <c r="M106" s="383" t="str">
        <f aca="false">IF('อัปเดตงาน WBS'!$L$401="","",'อัปเดตงาน WBS'!$L$401)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3687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Plan'!$H$12+(-18)</f>
        <v>46385</v>
      </c>
      <c r="J107" s="373" t="n">
        <f aca="false">'Master Plan'!$H$12+(-14)</f>
        <v>46389</v>
      </c>
      <c r="K107" s="78"/>
      <c r="L107" s="78" t="str">
        <f aca="false">IF(ISNUMBER(อัปเดตรายสัปดาห์!$AE$12),อัปเดตรายสัปดาห์!$AE$12,"")</f>
        <v/>
      </c>
      <c r="M107" s="374" t="str">
        <f aca="false">IF(อัปเดตรายสัปดาห์!$AE$12="Y","Y","")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Plan'!$H$12+(-18)</f>
        <v>46385</v>
      </c>
      <c r="J108" s="382" t="n">
        <f aca="false">'Master Plan'!$H$12+(-15)</f>
        <v>46388</v>
      </c>
      <c r="K108" s="387"/>
      <c r="L108" s="387"/>
      <c r="M108" s="383" t="str">
        <f aca="false">IF('อัปเดตงาน WBS'!$L$402="","",'อัปเดตงาน WBS'!$L$402)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Plan'!$H$12+(-16)</f>
        <v>46387</v>
      </c>
      <c r="J109" s="382" t="n">
        <f aca="false">'Master Plan'!$H$12+(-14)</f>
        <v>46389</v>
      </c>
      <c r="K109" s="387"/>
      <c r="L109" s="387"/>
      <c r="M109" s="383" t="str">
        <f aca="false">IF('อัปเดตงาน WBS'!$L$403="","",'อัปเดตงาน WBS'!$L$403)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Plan'!$H$12+(-17)</f>
        <v>46386</v>
      </c>
      <c r="J110" s="382" t="n">
        <f aca="false">'Master Plan'!$H$12+(-15)</f>
        <v>46388</v>
      </c>
      <c r="K110" s="387"/>
      <c r="L110" s="387"/>
      <c r="M110" s="383" t="str">
        <f aca="false">IF('อัปเดตงาน WBS'!$L$404="","",'อัปเดตงาน WBS'!$L$404)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61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Plan'!$H$12+(-13)</f>
        <v>46390</v>
      </c>
      <c r="J111" s="373" t="n">
        <f aca="false">'Master Plan'!$H$12+(-13)</f>
        <v>46390</v>
      </c>
      <c r="K111" s="78"/>
      <c r="L111" s="78" t="str">
        <f aca="false">IF(ISNUMBER(อัปเดตรายสัปดาห์!$AF$12),อัปเดตรายสัปดาห์!$AF$12,"")</f>
        <v/>
      </c>
      <c r="M111" s="374" t="str">
        <f aca="false">IF(อัปเดตรายสัปดาห์!$AF$12="Y","Y","")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Plan'!$Y$12)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Plan'!$H$12+(-13)</f>
        <v>46390</v>
      </c>
      <c r="J112" s="382" t="n">
        <f aca="false">'Master Plan'!$H$12+(-13)</f>
        <v>46390</v>
      </c>
      <c r="K112" s="387"/>
      <c r="L112" s="387"/>
      <c r="M112" s="383" t="str">
        <f aca="false">IF('อัปเดตงาน WBS'!$L$405="","",'อัปเดตงาน WBS'!$L$405)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Plan'!$H$12+(-13)</f>
        <v>46390</v>
      </c>
      <c r="J113" s="382" t="n">
        <f aca="false">'Master Plan'!$H$12+(-13)</f>
        <v>46390</v>
      </c>
      <c r="K113" s="387"/>
      <c r="L113" s="387"/>
      <c r="M113" s="383" t="str">
        <f aca="false">IF('อัปเดตงาน WBS'!$L$406="","",'อัปเดตงาน WBS'!$L$406)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3687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Plan'!$H$12+(-12)</f>
        <v>46391</v>
      </c>
      <c r="J115" s="373" t="n">
        <f aca="false">'Master Plan'!$H$12+(-10)</f>
        <v>46393</v>
      </c>
      <c r="K115" s="78"/>
      <c r="L115" s="78" t="str">
        <f aca="false">IF(ISNUMBER(อัปเดตรายสัปดาห์!$AG$12),อัปเดตรายสัปดาห์!$AG$12,"")</f>
        <v/>
      </c>
      <c r="M115" s="374" t="str">
        <f aca="false">IF(อัปเดตรายสัปดาห์!$AG$12="Y","Y","")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Plan'!$AA$12)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Plan'!$H$12+(-12)</f>
        <v>46391</v>
      </c>
      <c r="J116" s="382" t="n">
        <f aca="false">'Master Plan'!$H$12+(-12)</f>
        <v>46391</v>
      </c>
      <c r="K116" s="387"/>
      <c r="L116" s="387"/>
      <c r="M116" s="383" t="str">
        <f aca="false">IF('อัปเดตงาน WBS'!$L$407="","",'อัปเดตงาน WBS'!$L$407)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Plan'!$H$12+(-12)</f>
        <v>46391</v>
      </c>
      <c r="J117" s="382" t="n">
        <f aca="false">'Master Plan'!$H$12+(-11)</f>
        <v>46392</v>
      </c>
      <c r="K117" s="387"/>
      <c r="L117" s="387"/>
      <c r="M117" s="383" t="str">
        <f aca="false">IF('อัปเดตงาน WBS'!$L$408="","",'อัปเดตงาน WBS'!$L$408)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Plan'!$H$12+(-11)</f>
        <v>46392</v>
      </c>
      <c r="J118" s="382" t="n">
        <f aca="false">'Master Plan'!$H$12+(-11)</f>
        <v>46392</v>
      </c>
      <c r="K118" s="387"/>
      <c r="L118" s="387"/>
      <c r="M118" s="383" t="str">
        <f aca="false">IF('อัปเดตงาน WBS'!$L$409="","",'อัปเดตงาน WBS'!$L$409)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Plan'!$H$12+(-11)</f>
        <v>46392</v>
      </c>
      <c r="J119" s="382" t="n">
        <f aca="false">'Master Plan'!$H$12+(-11)</f>
        <v>46392</v>
      </c>
      <c r="K119" s="387"/>
      <c r="L119" s="387"/>
      <c r="M119" s="383" t="str">
        <f aca="false">IF('อัปเดตงาน WBS'!$L$410="","",'อัปเดตงาน WBS'!$L$410)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Plan'!$H$12+(-11)</f>
        <v>46392</v>
      </c>
      <c r="J120" s="382" t="n">
        <f aca="false">'Master Plan'!$H$12+(-10)</f>
        <v>46393</v>
      </c>
      <c r="K120" s="387"/>
      <c r="L120" s="387"/>
      <c r="M120" s="383" t="str">
        <f aca="false">IF('อัปเดตงาน WBS'!$L$411="","",'อัปเดตงาน WBS'!$L$411)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Plan'!$H$12+(-11)</f>
        <v>46392</v>
      </c>
      <c r="J121" s="382" t="n">
        <f aca="false">'Master Plan'!$H$12+(-10)</f>
        <v>46393</v>
      </c>
      <c r="K121" s="387"/>
      <c r="L121" s="387"/>
      <c r="M121" s="383" t="str">
        <f aca="false">IF('อัปเดตงาน WBS'!$L$412="","",'อัปเดตงาน WBS'!$L$412)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61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Plan'!$H$12+(-10)</f>
        <v>46393</v>
      </c>
      <c r="J122" s="373" t="n">
        <f aca="false">'Master Plan'!$H$12+(-10)</f>
        <v>46393</v>
      </c>
      <c r="K122" s="78"/>
      <c r="L122" s="78" t="str">
        <f aca="false">IF(ISNUMBER(อัปเดตรายสัปดาห์!$AH$12),อัปเดตรายสัปดาห์!$AH$12,"")</f>
        <v/>
      </c>
      <c r="M122" s="374" t="str">
        <f aca="false">IF(อัปเดตรายสัปดาห์!$AH$12="Y","Y","")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Plan'!$Z$12)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61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Plan'!$H$12+(-12)</f>
        <v>46391</v>
      </c>
      <c r="J123" s="373" t="n">
        <f aca="false">'Master Plan'!$H$12+(-8)</f>
        <v>46395</v>
      </c>
      <c r="K123" s="78" t="str">
        <f aca="false">IF(ISNUMBER(อัปเดตรายสัปดาห์!$AI$12),อัปเดตรายสัปดาห์!$AI$12,"")</f>
        <v/>
      </c>
      <c r="L123" s="78" t="str">
        <f aca="false">IF(ISNUMBER(อัปเดตรายสัปดาห์!$AJ$12),อัปเดตรายสัปดาห์!$AJ$12,"")</f>
        <v/>
      </c>
      <c r="M123" s="374" t="str">
        <f aca="false">IF(อัปเดตรายสัปดาห์!$AJ$12="Y","Y","")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61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Plan'!$H$12+(37)</f>
        <v>46440</v>
      </c>
      <c r="J124" s="373" t="n">
        <f aca="false">'Master Plan'!$H$12+(50)</f>
        <v>46453</v>
      </c>
      <c r="K124" s="78"/>
      <c r="L124" s="78" t="str">
        <f aca="false">IF(ISNUMBER(อัปเดตรายสัปดาห์!$AK$12),อัปเดตรายสัปดาห์!$AK$12,"")</f>
        <v/>
      </c>
      <c r="M124" s="374" t="str">
        <f aca="false">IF(อัปเดตรายสัปดาห์!$AK$12="Y","Y","")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Plan'!$H$12+(37)</f>
        <v>46440</v>
      </c>
      <c r="J125" s="382" t="n">
        <f aca="false">'Master Plan'!$H$12+(41)</f>
        <v>46444</v>
      </c>
      <c r="K125" s="387"/>
      <c r="L125" s="387"/>
      <c r="M125" s="383" t="str">
        <f aca="false">IF('อัปเดตงาน WBS'!$L$413="","",'อัปเดตงาน WBS'!$L$413)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Plan'!$H$12+(40)</f>
        <v>46443</v>
      </c>
      <c r="J126" s="382" t="n">
        <f aca="false">'Master Plan'!$H$12+(47)</f>
        <v>46450</v>
      </c>
      <c r="K126" s="387"/>
      <c r="L126" s="387"/>
      <c r="M126" s="383" t="str">
        <f aca="false">IF('อัปเดตงาน WBS'!$L$414="","",'อัปเดตงาน WBS'!$L$414)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Plan'!$H$12+(47)</f>
        <v>46450</v>
      </c>
      <c r="J127" s="382" t="n">
        <f aca="false">'Master Plan'!$H$12+(50)</f>
        <v>46453</v>
      </c>
      <c r="K127" s="387"/>
      <c r="L127" s="387"/>
      <c r="M127" s="383" t="str">
        <f aca="false">IF('อัปเดตงาน WBS'!$L$415="","",'อัปเดตงาน WBS'!$L$415)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3687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Plan'!$H$12+(0)</f>
        <v>46403</v>
      </c>
      <c r="J128" s="373" t="n">
        <f aca="false">'Master Plan'!$H$12+(0)</f>
        <v>46403</v>
      </c>
      <c r="K128" s="78"/>
      <c r="L128" s="78" t="str">
        <f aca="false">IF(ISNUMBER(อัปเดตรายสัปดาห์!$AL$12),อัปเดตรายสัปดาห์!$AL$12,"")</f>
        <v/>
      </c>
      <c r="M128" s="374" t="str">
        <f aca="false">IF(อัปเดตรายสัปดาห์!$AL$12="Y","Y","")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Plan'!$AB$12)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Plan'!$H$12+(0)</f>
        <v>46403</v>
      </c>
      <c r="J129" s="373" t="n">
        <f aca="false">'Master Plan'!$H$12+(0)</f>
        <v>46403</v>
      </c>
      <c r="K129" s="78"/>
      <c r="L129" s="78" t="str">
        <f aca="false">IF(ISNUMBER(อัปเดตรายสัปดาห์!$AM$12),อัปเดตรายสัปดาห์!$AM$12,"")</f>
        <v/>
      </c>
      <c r="M129" s="374" t="str">
        <f aca="false">IF(อัปเดตรายสัปดาห์!$AM$12="Y","Y","")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Plan'!$H$12+(0)</f>
        <v>46403</v>
      </c>
      <c r="J130" s="373" t="n">
        <f aca="false">'Master Plan'!$H$12+(0)</f>
        <v>46403</v>
      </c>
      <c r="K130" s="78"/>
      <c r="L130" s="78" t="str">
        <f aca="false">IF(ISNUMBER(อัปเดตรายสัปดาห์!$AN$12),อัปเดตรายสัปดาห์!$AN$12,"")</f>
        <v/>
      </c>
      <c r="M130" s="374" t="str">
        <f aca="false">IF(อัปเดตรายสัปดาห์!$AN$12="Y","Y","")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61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Plan'!$H$12+(34)</f>
        <v>46437</v>
      </c>
      <c r="J131" s="373" t="n">
        <f aca="false">'Master Plan'!$H$12+(36)</f>
        <v>46439</v>
      </c>
      <c r="K131" s="78"/>
      <c r="L131" s="78" t="str">
        <f aca="false">IF(ISNUMBER(อัปเดตรายสัปดาห์!$AO$12),อัปเดตรายสัปดาห์!$AO$12,"")</f>
        <v/>
      </c>
      <c r="M131" s="374" t="str">
        <f aca="false">IF(อัปเดตรายสัปดาห์!$AO$12="Y","Y","")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SUMPRODUCT((SITE_ST="P9-005")*(SITE_TYPE=$B136)*(SITE_TYPE&lt;&gt;""))</f>
        <v>0</v>
      </c>
      <c r="E136" s="397" t="n">
        <f aca="false">SUMPRODUCT((SITE_ST="P9-005")*(SITE_TYPE=$B136)*SITE_MOD)</f>
        <v>0</v>
      </c>
      <c r="I136" s="398" t="n">
        <f aca="false">SUMPRODUCT((SITE_ST="P9-005")*(SITE_TYPE=$B136)*SITE_KWP)</f>
        <v>0</v>
      </c>
      <c r="J136" s="35" t="str">
        <f aca="false">IF(SUMPRODUCT((SITE_ST="P9-005")*(SITE_TYPE=$B136)*(SITE_TYPE&lt;&gt;""))=0,"",SUMPRODUCT((SITE_ST="P9-005")*(SITE_TYPE=$B136)*SITE_S21*SITE_D21)/MAX(0.0001,SUMPRODUCT((SITE_ST="P9-005")*(SITE_TYPE=$B136)*SITE_S21)))</f>
        <v/>
      </c>
      <c r="K136" s="32" t="str">
        <f aca="false">IF(SUMPRODUCT((SITE_ST="P9-005")*(SITE_TYPE=$B136)*(SITE_TYPE&lt;&gt;""))=0,"",SUMPRODUCT((SITE_ST="P9-005")*(SITE_TYPE=$B136)*(SITE_TYPE&lt;&gt;"")*(SITE_T22="Y"))&amp;"/"&amp;SUMPRODUCT((SITE_ST="P9-005")*(SITE_TYPE=$B136)*(SITE_TYPE&lt;&gt;"")))</f>
        <v/>
      </c>
      <c r="L136" s="32" t="str">
        <f aca="false">IF(SUMPRODUCT((SITE_ST="P9-005")*(SITE_TYPE=$B136)*(SITE_TYPE&lt;&gt;""))=0,"",SUMPRODUCT((SITE_ST="P9-005")*(SITE_TYPE=$B136)*(SITE_TYPE&lt;&gt;"")*(SITE_T23="Y"))&amp;"/"&amp;SUMPRODUCT((SITE_ST="P9-005")*(SITE_TYPE=$B136)*(SITE_TYPE&lt;&gt;"")))</f>
        <v/>
      </c>
      <c r="O136" s="32" t="str">
        <f aca="false">IF(SUMPRODUCT((SITE_ST="P9-005")*(SITE_TYPE=$B136)*(LEFT(SITE_LAD,4)="ติด:"))=0,"",SUMPRODUCT((SITE_ST="P9-005")*(SITE_TYPE=$B136)*(LEFT(SITE_LAD,4)="ติด:"))&amp;"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SUMPRODUCT((SITE_ST="P9-005")*(SITE_TYPE=$B137)*(SITE_TYPE&lt;&gt;""))</f>
        <v>2</v>
      </c>
      <c r="E137" s="397" t="n">
        <f aca="false">SUMPRODUCT((SITE_ST="P9-005")*(SITE_TYPE=$B137)*SITE_MOD)</f>
        <v>264</v>
      </c>
      <c r="I137" s="398" t="n">
        <f aca="false">SUMPRODUCT((SITE_ST="P9-005")*(SITE_TYPE=$B137)*SITE_KWP)</f>
        <v>150.48</v>
      </c>
      <c r="J137" s="35" t="n">
        <f aca="false">IF(SUMPRODUCT((SITE_ST="P9-005")*(SITE_TYPE=$B137)*(SITE_TYPE&lt;&gt;""))=0,"",SUMPRODUCT((SITE_ST="P9-005")*(SITE_TYPE=$B137)*SITE_S21*SITE_D21)/MAX(0.0001,SUMPRODUCT((SITE_ST="P9-005")*(SITE_TYPE=$B137)*SITE_S21)))</f>
        <v>0</v>
      </c>
      <c r="K137" s="32" t="str">
        <f aca="false">IF(SUMPRODUCT((SITE_ST="P9-005")*(SITE_TYPE=$B137)*(SITE_TYPE&lt;&gt;""))=0,"",SUMPRODUCT((SITE_ST="P9-005")*(SITE_TYPE=$B137)*(SITE_TYPE&lt;&gt;"")*(SITE_T22="Y"))&amp;"/"&amp;SUMPRODUCT((SITE_ST="P9-005")*(SITE_TYPE=$B137)*(SITE_TYPE&lt;&gt;"")))</f>
        <v>0/2</v>
      </c>
      <c r="L137" s="32" t="str">
        <f aca="false">IF(SUMPRODUCT((SITE_ST="P9-005")*(SITE_TYPE=$B137)*(SITE_TYPE&lt;&gt;""))=0,"",SUMPRODUCT((SITE_ST="P9-005")*(SITE_TYPE=$B137)*(SITE_TYPE&lt;&gt;"")*(SITE_T23="Y"))&amp;"/"&amp;SUMPRODUCT((SITE_ST="P9-005")*(SITE_TYPE=$B137)*(SITE_TYPE&lt;&gt;"")))</f>
        <v>0/2</v>
      </c>
      <c r="O137" s="32" t="str">
        <f aca="false">IF(SUMPRODUCT((SITE_ST="P9-005")*(SITE_TYPE=$B137)*(LEFT(SITE_LAD,4)="ติด:"))=0,"",SUMPRODUCT((SITE_ST="P9-005")*(SITE_TYPE=$B137)*(LEFT(SITE_LAD,4)="ติด:"))&amp;" จุด")</f>
        <v>2 จุด</v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SUMPRODUCT((SITE_ST="P9-005")*(SITE_TYPE=$B138)*(SITE_TYPE&lt;&gt;""))</f>
        <v>0</v>
      </c>
      <c r="E138" s="397" t="n">
        <f aca="false">SUMPRODUCT((SITE_ST="P9-005")*(SITE_TYPE=$B138)*SITE_MOD)</f>
        <v>0</v>
      </c>
      <c r="I138" s="398" t="n">
        <f aca="false">SUMPRODUCT((SITE_ST="P9-005")*(SITE_TYPE=$B138)*SITE_KWP)</f>
        <v>0</v>
      </c>
      <c r="J138" s="35" t="str">
        <f aca="false">IF(SUMPRODUCT((SITE_ST="P9-005")*(SITE_TYPE=$B138)*(SITE_TYPE&lt;&gt;""))=0,"",SUMPRODUCT((SITE_ST="P9-005")*(SITE_TYPE=$B138)*SITE_S21*SITE_D21)/MAX(0.0001,SUMPRODUCT((SITE_ST="P9-005")*(SITE_TYPE=$B138)*SITE_S21)))</f>
        <v/>
      </c>
      <c r="K138" s="32" t="str">
        <f aca="false">IF(SUMPRODUCT((SITE_ST="P9-005")*(SITE_TYPE=$B138)*(SITE_TYPE&lt;&gt;""))=0,"",SUMPRODUCT((SITE_ST="P9-005")*(SITE_TYPE=$B138)*(SITE_TYPE&lt;&gt;"")*(SITE_T22="Y"))&amp;"/"&amp;SUMPRODUCT((SITE_ST="P9-005")*(SITE_TYPE=$B138)*(SITE_TYPE&lt;&gt;"")))</f>
        <v/>
      </c>
      <c r="L138" s="32" t="str">
        <f aca="false">IF(SUMPRODUCT((SITE_ST="P9-005")*(SITE_TYPE=$B138)*(SITE_TYPE&lt;&gt;""))=0,"",SUMPRODUCT((SITE_ST="P9-005")*(SITE_TYPE=$B138)*(SITE_TYPE&lt;&gt;"")*(SITE_T23="Y"))&amp;"/"&amp;SUMPRODUCT((SITE_ST="P9-005")*(SITE_TYPE=$B138)*(SITE_TYPE&lt;&gt;"")))</f>
        <v/>
      </c>
      <c r="O138" s="32" t="str">
        <f aca="false">IF(SUMPRODUCT((SITE_ST="P9-005")*(SITE_TYPE=$B138)*(LEFT(SITE_LAD,4)="ติด:"))=0,"",SUMPRODUCT((SITE_ST="P9-005")*(SITE_TYPE=$B138)*(LEFT(SITE_LAD,4)="ติด:"))&amp;"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SUMPRODUCT((SITE_ST="P9-005")*(SITE_TYPE=$B139)*(SITE_TYPE&lt;&gt;""))</f>
        <v>0</v>
      </c>
      <c r="E139" s="397" t="n">
        <f aca="false">SUMPRODUCT((SITE_ST="P9-005")*(SITE_TYPE=$B139)*SITE_MOD)</f>
        <v>0</v>
      </c>
      <c r="I139" s="398" t="n">
        <f aca="false">SUMPRODUCT((SITE_ST="P9-005")*(SITE_TYPE=$B139)*SITE_KWP)</f>
        <v>0</v>
      </c>
      <c r="J139" s="35" t="str">
        <f aca="false">IF(SUMPRODUCT((SITE_ST="P9-005")*(SITE_TYPE=$B139)*(SITE_TYPE&lt;&gt;""))=0,"",SUMPRODUCT((SITE_ST="P9-005")*(SITE_TYPE=$B139)*SITE_S21*SITE_D21)/MAX(0.0001,SUMPRODUCT((SITE_ST="P9-005")*(SITE_TYPE=$B139)*SITE_S21)))</f>
        <v/>
      </c>
      <c r="K139" s="32" t="str">
        <f aca="false">IF(SUMPRODUCT((SITE_ST="P9-005")*(SITE_TYPE=$B139)*(SITE_TYPE&lt;&gt;""))=0,"",SUMPRODUCT((SITE_ST="P9-005")*(SITE_TYPE=$B139)*(SITE_TYPE&lt;&gt;"")*(SITE_T22="Y"))&amp;"/"&amp;SUMPRODUCT((SITE_ST="P9-005")*(SITE_TYPE=$B139)*(SITE_TYPE&lt;&gt;"")))</f>
        <v/>
      </c>
      <c r="L139" s="32" t="str">
        <f aca="false">IF(SUMPRODUCT((SITE_ST="P9-005")*(SITE_TYPE=$B139)*(SITE_TYPE&lt;&gt;""))=0,"",SUMPRODUCT((SITE_ST="P9-005")*(SITE_TYPE=$B139)*(SITE_TYPE&lt;&gt;"")*(SITE_T23="Y"))&amp;"/"&amp;SUMPRODUCT((SITE_ST="P9-005")*(SITE_TYPE=$B139)*(SITE_TYPE&lt;&gt;"")))</f>
        <v/>
      </c>
      <c r="O139" s="32" t="str">
        <f aca="false">IF(SUMPRODUCT((SITE_ST="P9-005")*(SITE_TYPE=$B139)*(LEFT(SITE_LAD,4)="ติด:"))=0,"",SUMPRODUCT((SITE_ST="P9-005")*(SITE_TYPE=$B139)*(LEFT(SITE_LAD,4)="ติด:"))&amp;"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SUMPRODUCT((SITE_ST="P9-005")*(SITE_TYPE=$B140)*(SITE_TYPE&lt;&gt;""))</f>
        <v>0</v>
      </c>
      <c r="E140" s="397" t="n">
        <f aca="false">SUMPRODUCT((SITE_ST="P9-005")*(SITE_TYPE=$B140)*SITE_MOD)</f>
        <v>0</v>
      </c>
      <c r="I140" s="398" t="n">
        <f aca="false">SUMPRODUCT((SITE_ST="P9-005")*(SITE_TYPE=$B140)*SITE_KWP)</f>
        <v>0</v>
      </c>
      <c r="J140" s="35" t="str">
        <f aca="false">IF(SUMPRODUCT((SITE_ST="P9-005")*(SITE_TYPE=$B140)*(SITE_TYPE&lt;&gt;""))=0,"",SUMPRODUCT((SITE_ST="P9-005")*(SITE_TYPE=$B140)*SITE_S21*SITE_D21)/MAX(0.0001,SUMPRODUCT((SITE_ST="P9-005")*(SITE_TYPE=$B140)*SITE_S21)))</f>
        <v/>
      </c>
      <c r="K140" s="32" t="str">
        <f aca="false">IF(SUMPRODUCT((SITE_ST="P9-005")*(SITE_TYPE=$B140)*(SITE_TYPE&lt;&gt;""))=0,"",SUMPRODUCT((SITE_ST="P9-005")*(SITE_TYPE=$B140)*(SITE_TYPE&lt;&gt;"")*(SITE_T22="Y"))&amp;"/"&amp;SUMPRODUCT((SITE_ST="P9-005")*(SITE_TYPE=$B140)*(SITE_TYPE&lt;&gt;"")))</f>
        <v/>
      </c>
      <c r="L140" s="32" t="str">
        <f aca="false">IF(SUMPRODUCT((SITE_ST="P9-005")*(SITE_TYPE=$B140)*(SITE_TYPE&lt;&gt;""))=0,"",SUMPRODUCT((SITE_ST="P9-005")*(SITE_TYPE=$B140)*(SITE_TYPE&lt;&gt;"")*(SITE_T23="Y"))&amp;"/"&amp;SUMPRODUCT((SITE_ST="P9-005")*(SITE_TYPE=$B140)*(SITE_TYPE&lt;&gt;"")))</f>
        <v/>
      </c>
      <c r="O140" s="32" t="str">
        <f aca="false">IF(SUMPRODUCT((SITE_ST="P9-005")*(SITE_TYPE=$B140)*(LEFT(SITE_LAD,4)="ติด:"))=0,"",SUMPRODUCT((SITE_ST="P9-005")*(SITE_TYPE=$B140)*(LEFT(SITE_LAD,4)="ติด:"))&amp;"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SUMPRODUCT((SITE_ST="P9-005")*(SITE_TYPE=$B141)*(SITE_TYPE&lt;&gt;""))</f>
        <v>0</v>
      </c>
      <c r="E141" s="397" t="n">
        <f aca="false">SUMPRODUCT((SITE_ST="P9-005")*(SITE_TYPE=$B141)*SITE_MOD)</f>
        <v>0</v>
      </c>
      <c r="I141" s="398" t="n">
        <f aca="false">SUMPRODUCT((SITE_ST="P9-005")*(SITE_TYPE=$B141)*SITE_KWP)</f>
        <v>0</v>
      </c>
      <c r="J141" s="35" t="str">
        <f aca="false">IF(SUMPRODUCT((SITE_ST="P9-005")*(SITE_TYPE=$B141)*(SITE_TYPE&lt;&gt;""))=0,"",SUMPRODUCT((SITE_ST="P9-005")*(SITE_TYPE=$B141)*SITE_S21*SITE_D21)/MAX(0.0001,SUMPRODUCT((SITE_ST="P9-005")*(SITE_TYPE=$B141)*SITE_S21)))</f>
        <v/>
      </c>
      <c r="K141" s="32" t="str">
        <f aca="false">IF(SUMPRODUCT((SITE_ST="P9-005")*(SITE_TYPE=$B141)*(SITE_TYPE&lt;&gt;""))=0,"",SUMPRODUCT((SITE_ST="P9-005")*(SITE_TYPE=$B141)*(SITE_TYPE&lt;&gt;"")*(SITE_T22="Y"))&amp;"/"&amp;SUMPRODUCT((SITE_ST="P9-005")*(SITE_TYPE=$B141)*(SITE_TYPE&lt;&gt;"")))</f>
        <v/>
      </c>
      <c r="L141" s="32" t="str">
        <f aca="false">IF(SUMPRODUCT((SITE_ST="P9-005")*(SITE_TYPE=$B141)*(SITE_TYPE&lt;&gt;""))=0,"",SUMPRODUCT((SITE_ST="P9-005")*(SITE_TYPE=$B141)*(SITE_TYPE&lt;&gt;"")*(SITE_T23="Y"))&amp;"/"&amp;SUMPRODUCT((SITE_ST="P9-005")*(SITE_TYPE=$B141)*(SITE_TYPE&lt;&gt;"")))</f>
        <v/>
      </c>
      <c r="O141" s="32" t="str">
        <f aca="false">IF(SUMPRODUCT((SITE_ST="P9-005")*(SITE_TYPE=$B141)*(LEFT(SITE_LAD,4)="ติด:"))=0,"",SUMPRODUCT((SITE_ST="P9-005")*(SITE_TYPE=$B141)*(LEFT(SITE_LAD,4)="ติด:"))&amp;"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SUMPRODUCT((SITE_ST="P9-005")*(SITE_TYPE&lt;&gt;""))</f>
        <v>2</v>
      </c>
      <c r="E142" s="403" t="n">
        <f aca="false">SUMPRODUCT((SITE_ST="P9-005")*SITE_MOD)</f>
        <v>264</v>
      </c>
      <c r="I142" s="404" t="n">
        <f aca="false">SUMPRODUCT((SITE_ST="P9-005")*SITE_KWP)</f>
        <v>150.48</v>
      </c>
      <c r="J142" s="405" t="n">
        <f aca="false">IF(SUMPRODUCT((SITE_ST="P9-005")*(SITE_TYPE&lt;&gt;""))=0,"",SUMPRODUCT((SITE_ST="P9-005")*SITE_S21*SITE_D21)/MAX(0.0001,SUMPRODUCT((SITE_ST="P9-005")*SITE_S21)))</f>
        <v>0</v>
      </c>
      <c r="K142" s="406" t="str">
        <f aca="false">IF(SUMPRODUCT((SITE_ST="P9-005")*(SITE_TYPE&lt;&gt;""))=0,"",SUMPRODUCT((SITE_ST="P9-005")*(SITE_TYPE&lt;&gt;"")*(SITE_T22="Y"))&amp;"/"&amp;SUMPRODUCT((SITE_ST="P9-005")*(SITE_TYPE&lt;&gt;"")))</f>
        <v>0/2</v>
      </c>
      <c r="L142" s="406" t="str">
        <f aca="false">IF(SUMPRODUCT((SITE_ST="P9-005")*(SITE_TYPE&lt;&gt;""))=0,"",SUMPRODUCT((SITE_ST="P9-005")*(SITE_TYPE&lt;&gt;"")*(SITE_T23="Y"))&amp;"/"&amp;SUMPRODUCT((SITE_ST="P9-005")*(SITE_TYPE&lt;&gt;"")))</f>
        <v>0/2</v>
      </c>
      <c r="O142" s="406" t="str">
        <f aca="false">IF(SUMPRODUCT((SITE_ST="P9-005")*(LEFT(SITE_LAD,4)="ติด:"))=0,"",SUMPRODUCT((SITE_ST="P9-005")*(LEFT(SITE_LAD,4)="ติด:"))&amp;"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IFERROR(INDEX(INVS_TYPE,MATCH("P9-005",INVS_ID,0))&amp;"","")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ทั้งก้อน",IFERROR(INDEX(INVS_SET,MATCH("P9-005",INVS_ID,0)),"")&amp;" kW, โรงเรือน "&amp;IFERROR(INDEX(INVS_SIZE,MATCH("P9-005",INVS_ID,0)),"")&amp;",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2" display="✎ กรอกความคืบหน้า"/>
    <hyperlink ref="R4" location="'Master Plan'!A12" display="← กลับ Master Plan"/>
    <hyperlink ref="M10" location="'อัปเดตงาน WBS'!L3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5"/>
    <hyperlink ref="M11" location="'อัปเดตงาน WBS'!L3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6"/>
    <hyperlink ref="M12" location="'อัปเดตงาน WBS'!L3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7"/>
    <hyperlink ref="M13" location="'อัปเดตงาน WBS'!L3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8"/>
    <hyperlink ref="M14" location="'อัปเดตงาน WBS'!L3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39"/>
    <hyperlink ref="M15" location="'อัปเดตงาน WBS'!L3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0"/>
    <hyperlink ref="M17" location="'อัปเดตงาน WBS'!L3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1"/>
    <hyperlink ref="M18" location="'อัปเดตงาน WBS'!L3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2"/>
    <hyperlink ref="M19" location="'อัปเดตงาน WBS'!L3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3"/>
    <hyperlink ref="M20" location="'อัปเดตงาน WBS'!L3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4"/>
    <hyperlink ref="M21" location="'อัปเดตงาน WBS'!L3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5"/>
    <hyperlink ref="M22" location="'อัปเดตงาน WBS'!L3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6"/>
    <hyperlink ref="M23" location="'อัปเดตงาน WBS'!L3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7"/>
    <hyperlink ref="M24" location="'อัปเดตงาน WBS'!L3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8"/>
    <hyperlink ref="M26" location="'อัปเดตงาน WBS'!L3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49"/>
    <hyperlink ref="M27" location="'อัปเดตงาน WBS'!L3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0"/>
    <hyperlink ref="M28" location="'อัปเดตงาน WBS'!L3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1"/>
    <hyperlink ref="M31" location="'อัปเดตงาน WBS'!L3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2"/>
    <hyperlink ref="M32" location="'อัปเดตงาน WBS'!L3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3"/>
    <hyperlink ref="M33" location="'อัปเดตงาน WBS'!L3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4"/>
    <hyperlink ref="M35" location="'อัปเดตงาน WBS'!L3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5"/>
    <hyperlink ref="M36" location="'อัปเดตงาน WBS'!L3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6"/>
    <hyperlink ref="M37" location="'อัปเดตงาน WBS'!L3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7"/>
    <hyperlink ref="M38" location="'อัปเดตงาน WBS'!L3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8"/>
    <hyperlink ref="M40" location="'อัปเดตงาน WBS'!L3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59"/>
    <hyperlink ref="M41" location="'อัปเดตงาน WBS'!L3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0"/>
    <hyperlink ref="M42" location="'อัปเดตงาน WBS'!L3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1"/>
    <hyperlink ref="M44" location="'อัปเดตงาน WBS'!L3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2"/>
    <hyperlink ref="M45" location="'อัปเดตงาน WBS'!L3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3"/>
    <hyperlink ref="M46" location="'อัปเดตงาน WBS'!L3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4"/>
    <hyperlink ref="M53" location="'อัปเดตงาน WBS'!L3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5"/>
    <hyperlink ref="M54" location="'อัปเดตงาน WBS'!L3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6"/>
    <hyperlink ref="M63" location="'อัปเดตงาน WBS'!L3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7"/>
    <hyperlink ref="M64" location="'อัปเดตงาน WBS'!L3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8"/>
    <hyperlink ref="M65" location="'อัปเดตงาน WBS'!L3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69"/>
    <hyperlink ref="M66" location="'อัปเดตงาน WBS'!L3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0"/>
    <hyperlink ref="M67" location="'อัปเดตงาน WBS'!L3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1"/>
    <hyperlink ref="M68" location="'อัปเดตงาน WBS'!L3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2"/>
    <hyperlink ref="M69" location="'อัปเดตงาน WBS'!L3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3"/>
    <hyperlink ref="M71" location="'อัปเดตงาน WBS'!L3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4"/>
    <hyperlink ref="M72" location="'อัปเดตงาน WBS'!L3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5"/>
    <hyperlink ref="M73" location="'อัปเดตงาน WBS'!L3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6"/>
    <hyperlink ref="M74" location="'อัปเดตงาน WBS'!L3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7"/>
    <hyperlink ref="M75" location="'อัปเดตงาน WBS'!L3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8"/>
    <hyperlink ref="M77" location="'อัปเดตงาน WBS'!L3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79"/>
    <hyperlink ref="M78" location="'อัปเดตงาน WBS'!L3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0"/>
    <hyperlink ref="M79" location="'อัปเดตงาน WBS'!L3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1"/>
    <hyperlink ref="M80" location="'อัปเดตงาน WBS'!L3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2"/>
    <hyperlink ref="M81" location="'อัปเดตงาน WBS'!L3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3"/>
    <hyperlink ref="M83" location="'อัปเดตงาน WBS'!L3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4"/>
    <hyperlink ref="M84" location="'อัปเดตงาน WBS'!L3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5"/>
    <hyperlink ref="M86" location="'อัปเดตงาน WBS'!L3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6"/>
    <hyperlink ref="M87" location="'อัปเดตงาน WBS'!L3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7"/>
    <hyperlink ref="M88" location="'อัปเดตงาน WBS'!L3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8"/>
    <hyperlink ref="M89" location="'อัปเดตงาน WBS'!L3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89"/>
    <hyperlink ref="M91" location="'อัปเดตงาน WBS'!L3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0"/>
    <hyperlink ref="M92" location="'อัปเดตงาน WBS'!L3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1"/>
    <hyperlink ref="M93" location="'อัปเดตงาน WBS'!L3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2"/>
    <hyperlink ref="M94" location="'อัปเดตงาน WBS'!L3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3"/>
    <hyperlink ref="M95" location="'อัปเดตงาน WBS'!L3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4"/>
    <hyperlink ref="M97" location="'อัปเดตงาน WBS'!L3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5"/>
    <hyperlink ref="M98" location="'อัปเดตงาน WBS'!L3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6"/>
    <hyperlink ref="M99" location="'อัปเดตงาน WBS'!L3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7"/>
    <hyperlink ref="M102" location="'อัปเดตงาน WBS'!L3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8"/>
    <hyperlink ref="M104" location="'อัปเดตงาน WBS'!L3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399"/>
    <hyperlink ref="M105" location="'อัปเดตงาน WBS'!L4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0"/>
    <hyperlink ref="M106" location="'อัปเดตงาน WBS'!L4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1"/>
    <hyperlink ref="M108" location="'อัปเดตงาน WBS'!L4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2"/>
    <hyperlink ref="M109" location="'อัปเดตงาน WBS'!L4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3"/>
    <hyperlink ref="M110" location="'อัปเดตงาน WBS'!L4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4"/>
    <hyperlink ref="M112" location="'อัปเดตงาน WBS'!L4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5"/>
    <hyperlink ref="M113" location="'อัปเดตงาน WBS'!L4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6"/>
    <hyperlink ref="M116" location="'อัปเดตงาน WBS'!L4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7"/>
    <hyperlink ref="M117" location="'อัปเดตงาน WBS'!L4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8"/>
    <hyperlink ref="M118" location="'อัปเดตงาน WBS'!L4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09"/>
    <hyperlink ref="M119" location="'อัปเดตงาน WBS'!L4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0"/>
    <hyperlink ref="M120" location="'อัปเดตงาน WBS'!L4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1"/>
    <hyperlink ref="M121" location="'อัปเดตงาน WBS'!L4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2"/>
    <hyperlink ref="M125" location="'อัปเดตงาน WBS'!L4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3"/>
    <hyperlink ref="M126" location="'อัปเดตงาน WBS'!L4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4"/>
    <hyperlink ref="M127" location="'อัปเดตงาน WBS'!L4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5"/>
    <hyperlink ref="D134" location="'จุดติดตั้ง'!A27" display="✎ เพิ่ม / แก้จุดติดตั้ง →"/>
    <hyperlink ref="D146" location="'Inverter station'!A10" display="file:///home/claude/dash/template/%E0%B9%81%E0%B8%A1%E0%B9%88%E0%B9%81%E0%B8%9A%E0%B8%9A%E0%B9%82%E0%B8%84%E0%B8%A3%E0%B8%87%E0%B8%81%E0%B8%B2%E0%B8%A3%20TCRoof%20(%E0%B8%97%E0%B8%B8%E0%B8%81%E0%B8%81%E0%B8%A3%E0%B8%93%E0%B8%B5).xlsx#'Inverter station'!A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6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3688</v>
      </c>
    </row>
    <row r="2" customFormat="false" ht="15" hidden="false" customHeight="false" outlineLevel="0" collapsed="false">
      <c r="A2" s="354" t="s">
        <v>3689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Plan'!$AI$13</f>
        <v>-36</v>
      </c>
      <c r="M4" s="360"/>
      <c r="N4" s="360" t="n">
        <f aca="false">'Master Plan'!$AJ$13</f>
        <v>-3</v>
      </c>
      <c r="O4" s="360"/>
      <c r="P4" s="361" t="str">
        <f aca="false">'Master Plan'!$AK$13&amp;" / "&amp;'Master Plan'!$AL$13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COUNTIFS(CR_ST,"P9-006",CR_STAT,"อนุมัติ")&amp;" รายการ, "&amp;'Master Plan'!$AO$13&amp;" วัน"</f>
        <v>0 รายการ, 0 วัน</v>
      </c>
      <c r="AG4" s="362"/>
      <c r="AH4" s="362"/>
      <c r="AI4" s="362"/>
      <c r="AJ4" s="362"/>
      <c r="AK4" s="363" t="n">
        <f aca="false">COUNTIFS(CR_ST,"P9-006",CR_STAT,"รออนุมัติ")+COUNTIFS(CR_ST,"P9-006",CR_STAT,"ขอข้อมูลเพิ่ม")</f>
        <v>0</v>
      </c>
      <c r="AL4" s="363"/>
      <c r="AM4" s="363"/>
      <c r="AN4" s="363"/>
      <c r="AO4" s="363"/>
      <c r="AP4" s="362" t="str">
        <f aca="false">COUNTIF(RW_ST,"P9-006")&amp;" ("&amp;COUNTIFS(RW_ST,"P9-006",RW_DONE,"&lt;&gt;Y")&amp;")"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COUNTIF(LL_ST,"*P9-006*")</f>
        <v>0</v>
      </c>
      <c r="BA4" s="363"/>
      <c r="BB4" s="363"/>
      <c r="BC4" s="363"/>
      <c r="BD4" s="363"/>
      <c r="BE4" s="362" t="str">
        <f aca="false">IF(COUNTIFS(SITE_ST,"P9-006",SITE_TYPE,"?*")=0,"ประมาณการ,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IF(COUNTIFS(SITE_ST,"P9-006",SITE_TYPE,"?*")=0,"ยังไม่ระบุจุด",COUNTIFS(SITE_ST,"P9-006",SITE_LAD,"ติด:*")&amp;" จุด"&amp;IF(COUNTIFS(SITE_ST,"P9-006",SITE_LAD,"⚠*")&gt;0,",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3690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65</v>
      </c>
      <c r="E9" s="372" t="n">
        <v>0</v>
      </c>
      <c r="F9" s="31"/>
      <c r="G9" s="32"/>
      <c r="H9" s="32" t="n">
        <v>1</v>
      </c>
      <c r="I9" s="373" t="n">
        <f aca="false">'Master Plan'!$H$13+(-75)</f>
        <v>46328</v>
      </c>
      <c r="J9" s="373" t="n">
        <f aca="false">'Master Plan'!$H$13+(50)</f>
        <v>46453</v>
      </c>
      <c r="K9" s="78"/>
      <c r="L9" s="78" t="str">
        <f aca="false">IF(ISNUMBER(อัปเดตรายสัปดาห์!$G$13),อัปเดตรายสัปดาห์!$G$13,"")</f>
        <v/>
      </c>
      <c r="M9" s="374" t="str">
        <f aca="false">IF(อัปเดตรายสัปดาห์!$G$13="Y","Y","")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Plan'!$H$13+(-75)</f>
        <v>46328</v>
      </c>
      <c r="J10" s="382" t="n">
        <f aca="false">'Master Plan'!$H$13+(-63)</f>
        <v>46340</v>
      </c>
      <c r="K10" s="387"/>
      <c r="L10" s="387"/>
      <c r="M10" s="383" t="str">
        <f aca="false">IF('อัปเดตงาน WBS'!$L$416="","",'อัปเดตงาน WBS'!$L$416)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Plan'!$H$13+(-75)</f>
        <v>46328</v>
      </c>
      <c r="J11" s="382" t="n">
        <f aca="false">'Master Plan'!$H$13+(-63)</f>
        <v>46340</v>
      </c>
      <c r="K11" s="387"/>
      <c r="L11" s="387"/>
      <c r="M11" s="383" t="str">
        <f aca="false">IF('อัปเดตงาน WBS'!$L$417="","",'อัปเดตงาน WBS'!$L$417)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Plan'!$H$13+(-75)</f>
        <v>46328</v>
      </c>
      <c r="J12" s="382" t="n">
        <f aca="false">'Master Plan'!$H$13+(-63)</f>
        <v>46340</v>
      </c>
      <c r="K12" s="387"/>
      <c r="L12" s="387"/>
      <c r="M12" s="383" t="str">
        <f aca="false">IF('อัปเดตงาน WBS'!$L$418="","",'อัปเดตงาน WBS'!$L$418)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Plan'!$H$13+(-75)</f>
        <v>46328</v>
      </c>
      <c r="J13" s="382" t="n">
        <f aca="false">'Master Plan'!$H$13+(-56)</f>
        <v>46347</v>
      </c>
      <c r="K13" s="387"/>
      <c r="L13" s="387"/>
      <c r="M13" s="383" t="str">
        <f aca="false">IF('อัปเดตงาน WBS'!$L$419="","",'อัปเดตงาน WBS'!$L$419)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Plan'!$H$13+(-63)</f>
        <v>46340</v>
      </c>
      <c r="J14" s="382" t="n">
        <f aca="false">'Master Plan'!$H$13+(50)</f>
        <v>46453</v>
      </c>
      <c r="K14" s="387"/>
      <c r="L14" s="387"/>
      <c r="M14" s="383" t="str">
        <f aca="false">IF('อัปเดตงาน WBS'!$L$420="","",'อัปเดตงาน WBS'!$L$420)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Plan'!$H$13+(-63)</f>
        <v>46340</v>
      </c>
      <c r="J15" s="382" t="n">
        <f aca="false">'Master Plan'!$H$13+(50)</f>
        <v>46453</v>
      </c>
      <c r="K15" s="387"/>
      <c r="L15" s="387"/>
      <c r="M15" s="383" t="str">
        <f aca="false">IF('อัปเดตงาน WBS'!$L$421="","",'อัปเดตงาน WBS'!$L$421)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Plan'!$H$13+(-56)</f>
        <v>46347</v>
      </c>
      <c r="J16" s="373" t="n">
        <f aca="false">'Master Plan'!$H$13+(-45)</f>
        <v>46358</v>
      </c>
      <c r="K16" s="78"/>
      <c r="L16" s="78" t="str">
        <f aca="false">IF(ISNUMBER(อัปเดตรายสัปดาห์!$H$13),อัปเดตรายสัปดาห์!$H$13,"")</f>
        <v/>
      </c>
      <c r="M16" s="374" t="str">
        <f aca="false">IF(อัปเดตรายสัปดาห์!$H$13="Y","Y","")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Plan'!$H$13+(-56)</f>
        <v>46347</v>
      </c>
      <c r="J17" s="382" t="n">
        <f aca="false">'Master Plan'!$H$13+(-54)</f>
        <v>46349</v>
      </c>
      <c r="K17" s="387"/>
      <c r="L17" s="387"/>
      <c r="M17" s="383" t="str">
        <f aca="false">IF('อัปเดตงาน WBS'!$L$422="","",'อัปเดตงาน WBS'!$L$422)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Plan'!$H$13+(-55)</f>
        <v>46348</v>
      </c>
      <c r="J18" s="382" t="n">
        <f aca="false">'Master Plan'!$H$13+(-52)</f>
        <v>46351</v>
      </c>
      <c r="K18" s="387"/>
      <c r="L18" s="387"/>
      <c r="M18" s="383" t="str">
        <f aca="false">IF('อัปเดตงาน WBS'!$L$423="","",'อัปเดตงาน WBS'!$L$423)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Plan'!$H$13+(-53)</f>
        <v>46350</v>
      </c>
      <c r="J19" s="382" t="n">
        <f aca="false">'Master Plan'!$H$13+(-48)</f>
        <v>46355</v>
      </c>
      <c r="K19" s="387"/>
      <c r="L19" s="387"/>
      <c r="M19" s="383" t="str">
        <f aca="false">IF('อัปเดตงาน WBS'!$L$424="","",'อัปเดตงาน WBS'!$L$424)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Plan'!$H$13+(-53)</f>
        <v>46350</v>
      </c>
      <c r="J20" s="382" t="n">
        <f aca="false">'Master Plan'!$H$13+(-48)</f>
        <v>46355</v>
      </c>
      <c r="K20" s="387"/>
      <c r="L20" s="387"/>
      <c r="M20" s="383" t="str">
        <f aca="false">IF('อัปเดตงาน WBS'!$L$425="","",'อัปเดตงาน WBS'!$L$425)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Plan'!$H$13+(-52)</f>
        <v>46351</v>
      </c>
      <c r="J21" s="382" t="n">
        <f aca="false">'Master Plan'!$H$13+(-47)</f>
        <v>46356</v>
      </c>
      <c r="K21" s="387"/>
      <c r="L21" s="387"/>
      <c r="M21" s="383" t="str">
        <f aca="false">IF('อัปเดตงาน WBS'!$L$426="","",'อัปเดตงาน WBS'!$L$426)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Plan'!$H$13+(-50)</f>
        <v>46353</v>
      </c>
      <c r="J22" s="382" t="n">
        <f aca="false">'Master Plan'!$H$13+(-46)</f>
        <v>46357</v>
      </c>
      <c r="K22" s="387"/>
      <c r="L22" s="387"/>
      <c r="M22" s="383" t="str">
        <f aca="false">IF('อัปเดตงาน WBS'!$L$427="","",'อัปเดตงาน WBS'!$L$427)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Plan'!$H$13+(-50)</f>
        <v>46353</v>
      </c>
      <c r="J23" s="382" t="n">
        <f aca="false">'Master Plan'!$H$13+(-45)</f>
        <v>46358</v>
      </c>
      <c r="K23" s="387"/>
      <c r="L23" s="387"/>
      <c r="M23" s="383" t="str">
        <f aca="false">IF('อัปเดตงาน WBS'!$L$428="","",'อัปเดตงาน WBS'!$L$428)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Plan'!$H$13+(-49)</f>
        <v>46354</v>
      </c>
      <c r="J24" s="382" t="n">
        <f aca="false">'Master Plan'!$H$13+(-45)</f>
        <v>46358</v>
      </c>
      <c r="K24" s="387"/>
      <c r="L24" s="387"/>
      <c r="M24" s="383" t="str">
        <f aca="false">IF('อัปเดตงาน WBS'!$L$429="","",'อัปเดตงาน WBS'!$L$429)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Plan'!$H$13+(-51)</f>
        <v>46352</v>
      </c>
      <c r="J25" s="373" t="n">
        <f aca="false">'Master Plan'!$H$13+(-51)</f>
        <v>46352</v>
      </c>
      <c r="K25" s="78"/>
      <c r="L25" s="78" t="str">
        <f aca="false">IF(ISNUMBER(อัปเดตรายสัปดาห์!$I$13),อัปเดตรายสัปดาห์!$I$13,"")</f>
        <v/>
      </c>
      <c r="M25" s="374" t="str">
        <f aca="false">IF(อัปเดตรายสัปดาห์!$I$13="Y","Y","")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Plan'!$H$13+(-51)</f>
        <v>46352</v>
      </c>
      <c r="J26" s="382" t="n">
        <f aca="false">'Master Plan'!$H$13+(-51)</f>
        <v>46352</v>
      </c>
      <c r="K26" s="387"/>
      <c r="L26" s="387"/>
      <c r="M26" s="383" t="str">
        <f aca="false">IF('อัปเดตงาน WBS'!$L$430="","",'อัปเดตงาน WBS'!$L$430)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Plan'!$H$13+(-51)</f>
        <v>46352</v>
      </c>
      <c r="J27" s="382" t="n">
        <f aca="false">'Master Plan'!$H$13+(-51)</f>
        <v>46352</v>
      </c>
      <c r="K27" s="387"/>
      <c r="L27" s="387"/>
      <c r="M27" s="383" t="str">
        <f aca="false">IF('อัปเดตงาน WBS'!$L$431="","",'อัปเดตงาน WBS'!$L$431)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Plan'!$H$13+(-51)</f>
        <v>46352</v>
      </c>
      <c r="J28" s="382" t="n">
        <f aca="false">'Master Plan'!$H$13+(-51)</f>
        <v>46352</v>
      </c>
      <c r="K28" s="387"/>
      <c r="L28" s="387"/>
      <c r="M28" s="383" t="str">
        <f aca="false">IF('อัปเดตงาน WBS'!$L$432="","",'อัปเดตงาน WBS'!$L$432)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65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Plan'!$H$13+(-75)</f>
        <v>46328</v>
      </c>
      <c r="J30" s="373" t="n">
        <f aca="false">'Master Plan'!$H$13+(-75)</f>
        <v>46328</v>
      </c>
      <c r="K30" s="78"/>
      <c r="L30" s="78" t="str">
        <f aca="false">IF(ISNUMBER(อัปเดตรายสัปดาห์!$J$13),อัปเดตรายสัปดาห์!$J$13,"")</f>
        <v/>
      </c>
      <c r="M30" s="374" t="str">
        <f aca="false">IF(อัปเดตรายสัปดาห์!$J$13="Y","Y","")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Plan'!$H$13+(-75)</f>
        <v>46328</v>
      </c>
      <c r="J31" s="382" t="n">
        <f aca="false">'Master Plan'!$H$13+(-75)</f>
        <v>46328</v>
      </c>
      <c r="K31" s="387"/>
      <c r="L31" s="387"/>
      <c r="M31" s="383" t="str">
        <f aca="false">IF('อัปเดตงาน WBS'!$L$433="","",'อัปเดตงาน WBS'!$L$433)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Plan'!$H$13+(-75)</f>
        <v>46328</v>
      </c>
      <c r="J32" s="382" t="n">
        <f aca="false">'Master Plan'!$H$13+(-75)</f>
        <v>46328</v>
      </c>
      <c r="K32" s="387"/>
      <c r="L32" s="387"/>
      <c r="M32" s="383" t="str">
        <f aca="false">IF('อัปเดตงาน WBS'!$L$434="","",'อัปเดตงาน WBS'!$L$434)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Plan'!$H$13+(-75)</f>
        <v>46328</v>
      </c>
      <c r="J33" s="382" t="n">
        <f aca="false">'Master Plan'!$H$13+(-75)</f>
        <v>46328</v>
      </c>
      <c r="K33" s="387"/>
      <c r="L33" s="387"/>
      <c r="M33" s="383" t="str">
        <f aca="false">IF('อัปเดตงาน WBS'!$L$435="","",'อัปเดตงาน WBS'!$L$435)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65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Plan'!$H$13+(-68)</f>
        <v>46335</v>
      </c>
      <c r="J34" s="373" t="n">
        <f aca="false">'Master Plan'!$H$13+(-59)</f>
        <v>46344</v>
      </c>
      <c r="K34" s="78"/>
      <c r="L34" s="78" t="str">
        <f aca="false">IF(ISNUMBER(อัปเดตรายสัปดาห์!$K$13),อัปเดตรายสัปดาห์!$K$13,"")</f>
        <v/>
      </c>
      <c r="M34" s="374" t="str">
        <f aca="false">IF(อัปเดตรายสัปดาห์!$K$13="Y","Y","")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Plan'!$H$13+(-68)</f>
        <v>46335</v>
      </c>
      <c r="J35" s="382" t="n">
        <f aca="false">'Master Plan'!$H$13+(-64)</f>
        <v>46339</v>
      </c>
      <c r="K35" s="387"/>
      <c r="L35" s="387"/>
      <c r="M35" s="383" t="str">
        <f aca="false">IF('อัปเดตงาน WBS'!$L$436="","",'อัปเดตงาน WBS'!$L$436)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Plan'!$H$13+(-68)</f>
        <v>46335</v>
      </c>
      <c r="J36" s="382" t="n">
        <f aca="false">'Master Plan'!$H$13+(-63)</f>
        <v>46340</v>
      </c>
      <c r="K36" s="387"/>
      <c r="L36" s="387"/>
      <c r="M36" s="383" t="str">
        <f aca="false">IF('อัปเดตงาน WBS'!$L$437="","",'อัปเดตงาน WBS'!$L$437)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Plan'!$H$13+(-65)</f>
        <v>46338</v>
      </c>
      <c r="J37" s="382" t="n">
        <f aca="false">'Master Plan'!$H$13+(-62)</f>
        <v>46341</v>
      </c>
      <c r="K37" s="387"/>
      <c r="L37" s="387"/>
      <c r="M37" s="383" t="str">
        <f aca="false">IF('อัปเดตงาน WBS'!$L$438="","",'อัปเดตงาน WBS'!$L$438)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Plan'!$H$13+(-63)</f>
        <v>46340</v>
      </c>
      <c r="J38" s="382" t="n">
        <f aca="false">'Master Plan'!$H$13+(-59)</f>
        <v>46344</v>
      </c>
      <c r="K38" s="387"/>
      <c r="L38" s="387"/>
      <c r="M38" s="383" t="str">
        <f aca="false">IF('อัปเดตงาน WBS'!$L$439="","",'อัปเดตงาน WBS'!$L$439)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65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Plan'!$H$13+(-45)</f>
        <v>46358</v>
      </c>
      <c r="J39" s="373" t="n">
        <f aca="false">'Master Plan'!$H$13+(-45)</f>
        <v>46358</v>
      </c>
      <c r="K39" s="78"/>
      <c r="L39" s="78" t="str">
        <f aca="false">IF(ISNUMBER(อัปเดตรายสัปดาห์!$L$13),อัปเดตรายสัปดาห์!$L$13,"")</f>
        <v/>
      </c>
      <c r="M39" s="374" t="str">
        <f aca="false">IF(อัปเดตรายสัปดาห์!$L$13="Y","Y","")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Plan'!$H$13+(-45)</f>
        <v>46358</v>
      </c>
      <c r="J40" s="382" t="n">
        <f aca="false">'Master Plan'!$H$13+(-45)</f>
        <v>46358</v>
      </c>
      <c r="K40" s="387"/>
      <c r="L40" s="387"/>
      <c r="M40" s="383" t="str">
        <f aca="false">IF('อัปเดตงาน WBS'!$L$440="","",'อัปเดตงาน WBS'!$L$440)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Plan'!$H$13+(-45)</f>
        <v>46358</v>
      </c>
      <c r="J41" s="382" t="n">
        <f aca="false">'Master Plan'!$H$13+(-45)</f>
        <v>46358</v>
      </c>
      <c r="K41" s="387"/>
      <c r="L41" s="387"/>
      <c r="M41" s="383" t="str">
        <f aca="false">IF('อัปเดตงาน WBS'!$L$441="","",'อัปเดตงาน WBS'!$L$441)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Plan'!$H$13+(-45)</f>
        <v>46358</v>
      </c>
      <c r="J42" s="382" t="n">
        <f aca="false">'Master Plan'!$H$13+(-45)</f>
        <v>46358</v>
      </c>
      <c r="K42" s="387"/>
      <c r="L42" s="387"/>
      <c r="M42" s="383" t="str">
        <f aca="false">IF('อัปเดตงาน WBS'!$L$442="","",'อัปเดตงาน WBS'!$L$442)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Plan'!$H$13+(-68)</f>
        <v>46335</v>
      </c>
      <c r="J43" s="373" t="n">
        <f aca="false">'Master Plan'!$H$13+(-55)</f>
        <v>46348</v>
      </c>
      <c r="K43" s="78"/>
      <c r="L43" s="78" t="str">
        <f aca="false">IF(ISNUMBER(อัปเดตรายสัปดาห์!$M$13),อัปเดตรายสัปดาห์!$M$13,"")</f>
        <v/>
      </c>
      <c r="M43" s="374" t="str">
        <f aca="false">IF(อัปเดตรายสัปดาห์!$M$13="Y","Y","")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Plan'!$H$13+(-68)</f>
        <v>46335</v>
      </c>
      <c r="J44" s="382" t="n">
        <f aca="false">'Master Plan'!$H$13+(-65)</f>
        <v>46338</v>
      </c>
      <c r="K44" s="387"/>
      <c r="L44" s="387"/>
      <c r="M44" s="383" t="str">
        <f aca="false">IF('อัปเดตงาน WBS'!$L$443="","",'อัปเดตงาน WBS'!$L$443)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Plan'!$H$13+(-67)</f>
        <v>46336</v>
      </c>
      <c r="J45" s="382" t="n">
        <f aca="false">'Master Plan'!$H$13+(-62)</f>
        <v>46341</v>
      </c>
      <c r="K45" s="387"/>
      <c r="L45" s="387"/>
      <c r="M45" s="383" t="str">
        <f aca="false">IF('อัปเดตงาน WBS'!$L$444="","",'อัปเดตงาน WBS'!$L$444)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Plan'!$H$13+(-62)</f>
        <v>46341</v>
      </c>
      <c r="J46" s="382" t="n">
        <f aca="false">'Master Plan'!$H$13+(-55)</f>
        <v>46348</v>
      </c>
      <c r="K46" s="387"/>
      <c r="L46" s="387"/>
      <c r="M46" s="383" t="str">
        <f aca="false">IF('อัปเดตงาน WBS'!$L$445="","",'อัปเดตงาน WBS'!$L$445)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Plan'!$H$13+(-12)</f>
        <v>46391</v>
      </c>
      <c r="J47" s="373" t="n">
        <f aca="false">'Master Plan'!$H$13+(-12)</f>
        <v>46391</v>
      </c>
      <c r="K47" s="78"/>
      <c r="L47" s="78" t="str">
        <f aca="false">IF(ISNUMBER(อัปเดตรายสัปดาห์!$N$13),อัปเดตรายสัปดาห์!$N$13,"")</f>
        <v/>
      </c>
      <c r="M47" s="374" t="str">
        <f aca="false">IF(อัปเดตรายสัปดาห์!$N$13="Y","Y","")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Plan'!$AG$13)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Plan'!$H$13+(-12)</f>
        <v>46391</v>
      </c>
      <c r="J48" s="382" t="n">
        <f aca="false">'Master Plan'!$H$13+(-12)</f>
        <v>46391</v>
      </c>
      <c r="K48" s="387"/>
      <c r="L48" s="387"/>
      <c r="M48" s="383" t="str">
        <f aca="false">IF('อัปเดตงาน WBS'!$L$446="","",'อัปเดตงาน WBS'!$L$446)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Plan'!$H$13+(-12)</f>
        <v>46391</v>
      </c>
      <c r="J49" s="382" t="n">
        <f aca="false">'Master Plan'!$H$13+(-12)</f>
        <v>46391</v>
      </c>
      <c r="K49" s="387"/>
      <c r="L49" s="387"/>
      <c r="M49" s="383" t="str">
        <f aca="false">IF('อัปเดตงาน WBS'!$L$447="","",'อัปเดตงาน WBS'!$L$447)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Plan'!$H$13+(-11)</f>
        <v>46392</v>
      </c>
      <c r="J50" s="373" t="n">
        <f aca="false">'Master Plan'!$H$13+(18)</f>
        <v>46421</v>
      </c>
      <c r="K50" s="78"/>
      <c r="L50" s="78" t="str">
        <f aca="false">IF(ISNUMBER(อัปเดตรายสัปดาห์!$O$13),อัปเดตรายสัปดาห์!$O$13,"")</f>
        <v/>
      </c>
      <c r="M50" s="374" t="str">
        <f aca="false">IF(อัปเดตรายสัปดาห์!$O$13="Y","Y","")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Plan'!$H$13+(-12)</f>
        <v>46391</v>
      </c>
      <c r="J51" s="382" t="n">
        <f aca="false">'Master Plan'!$H$13+(-12)</f>
        <v>46391</v>
      </c>
      <c r="K51" s="387"/>
      <c r="L51" s="387"/>
      <c r="M51" s="383" t="str">
        <f aca="false">IF('อัปเดตงาน WBS'!$L$448="","",'อัปเดตงาน WBS'!$L$448)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IF(ISNUMBER(อัปเดตรายสัปดาห์!$P$13),อัปเดตรายสัปดาห์!$P$13,"")</f>
        <v/>
      </c>
      <c r="M52" s="374" t="str">
        <f aca="false">IF(อัปเดตรายสัปดาห์!$P$13="Y","Y","")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WBS'!$L$449="","",'อัปเดตงาน WBS'!$L$449)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WBS'!$L$450="","",'อัปเดตงาน WBS'!$L$450)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Plan'!$H$13+(-12)</f>
        <v>46391</v>
      </c>
      <c r="J55" s="373" t="n">
        <f aca="false">'Master Plan'!$H$13+(-12)</f>
        <v>46391</v>
      </c>
      <c r="K55" s="78"/>
      <c r="L55" s="78" t="str">
        <f aca="false">IF(ISNUMBER(อัปเดตรายสัปดาห์!$Q$13),อัปเดตรายสัปดาห์!$Q$13,"")</f>
        <v/>
      </c>
      <c r="M55" s="374" t="str">
        <f aca="false">IF(อัปเดตรายสัปดาห์!$Q$13="Y","Y","")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Plan'!$AC$13)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IF(ISNUMBER(อัปเดตรายสัปดาห์!$R$13),อัปเดตรายสัปดาห์!$R$13,"")</f>
        <v/>
      </c>
      <c r="M56" s="374" t="str">
        <f aca="false">IF(อัปเดตรายสัปดาห์!$R$13="Y","Y","")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Plan'!$H$13+(-11)</f>
        <v>46392</v>
      </c>
      <c r="J57" s="373" t="n">
        <f aca="false">'Master Plan'!$H$13+(9)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IF(ISNUMBER(อัปเดตรายสัปดาห์!$S$13),อัปเดตรายสัปดาห์!$S$13,"")</f>
        <v/>
      </c>
      <c r="M57" s="374" t="str">
        <f aca="false">IF(อัปเดตรายสัปดาห์!$S$13="Y","Y","")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Plan'!$AD$13)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Plan'!$H$13+(10)</f>
        <v>46413</v>
      </c>
      <c r="J58" s="373" t="n">
        <f aca="false">'Master Plan'!$H$13+(16)</f>
        <v>46419</v>
      </c>
      <c r="K58" s="78"/>
      <c r="L58" s="78" t="str">
        <f aca="false">IF(ISNUMBER(อัปเดตรายสัปดาห์!$T$13),อัปเดตรายสัปดาห์!$T$13,"")</f>
        <v/>
      </c>
      <c r="M58" s="374" t="str">
        <f aca="false">IF(อัปเดตรายสัปดาห์!$T$13="Y","Y","")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Plan'!$AE$13)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Plan'!$H$13+(17)</f>
        <v>46420</v>
      </c>
      <c r="J59" s="373" t="n">
        <f aca="false">'Master Plan'!$H$13+(17)</f>
        <v>46420</v>
      </c>
      <c r="K59" s="78"/>
      <c r="L59" s="78" t="str">
        <f aca="false">IF(ISNUMBER(อัปเดตรายสัปดาห์!$U$13),อัปเดตรายสัปดาห์!$U$13,"")</f>
        <v/>
      </c>
      <c r="M59" s="374" t="str">
        <f aca="false">IF(อัปเดตรายสัปดาห์!$U$13="Y","Y","")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Plan'!$AF$13)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65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Plan'!$H$13+(18)</f>
        <v>46421</v>
      </c>
      <c r="J60" s="373" t="n">
        <f aca="false">'Master Plan'!$H$13+(33)</f>
        <v>46436</v>
      </c>
      <c r="K60" s="78"/>
      <c r="L60" s="78" t="str">
        <f aca="false">IF(ISNUMBER(อัปเดตรายสัปดาห์!$V$13),อัปเดตรายสัปดาห์!$V$13,"")</f>
        <v/>
      </c>
      <c r="M60" s="374" t="str">
        <f aca="false">IF(อัปเดตรายสัปดาห์!$V$13="Y","Y","")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Plan'!$AH$13)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3691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Plan'!$H$13+(-42)</f>
        <v>46361</v>
      </c>
      <c r="J62" s="373" t="n">
        <f aca="false">'Master Plan'!$H$13+(-25)</f>
        <v>46378</v>
      </c>
      <c r="K62" s="78"/>
      <c r="L62" s="78" t="str">
        <f aca="false">IF(ISNUMBER(อัปเดตรายสัปดาห์!$W$13),อัปเดตรายสัปดาห์!$W$13,"")</f>
        <v/>
      </c>
      <c r="M62" s="374" t="str">
        <f aca="false">IF(อัปเดตรายสัปดาห์!$W$13="Y","Y","")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-006",SITE_TYPE,"?*")&gt;0,MIN(1,SUMPRODUCT((SITE_ST="P9-006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Plan'!$H$13+(-42)</f>
        <v>46361</v>
      </c>
      <c r="J63" s="382" t="n">
        <f aca="false">'Master Plan'!$H$13+(-40)</f>
        <v>46363</v>
      </c>
      <c r="K63" s="387"/>
      <c r="L63" s="387"/>
      <c r="M63" s="383" t="str">
        <f aca="false">IF('อัปเดตงาน WBS'!$L$451="","",'อัปเดตงาน WBS'!$L$451)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Plan'!$H$13+(-42)</f>
        <v>46361</v>
      </c>
      <c r="J64" s="382" t="n">
        <f aca="false">'Master Plan'!$H$13+(-39)</f>
        <v>46364</v>
      </c>
      <c r="K64" s="387"/>
      <c r="L64" s="387"/>
      <c r="M64" s="383" t="str">
        <f aca="false">IF('อัปเดตงาน WBS'!$L$452="","",'อัปเดตงาน WBS'!$L$452)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Plan'!$H$13+(-40)</f>
        <v>46363</v>
      </c>
      <c r="J65" s="382" t="n">
        <f aca="false">'Master Plan'!$H$13+(-34)</f>
        <v>46369</v>
      </c>
      <c r="K65" s="387"/>
      <c r="L65" s="387"/>
      <c r="M65" s="383" t="str">
        <f aca="false">IF('อัปเดตงาน WBS'!$L$453="","",'อัปเดตงาน WBS'!$L$453)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Plan'!$H$13+(-35)</f>
        <v>46368</v>
      </c>
      <c r="J66" s="382" t="n">
        <f aca="false">'Master Plan'!$H$13+(-28)</f>
        <v>46375</v>
      </c>
      <c r="K66" s="387"/>
      <c r="L66" s="387"/>
      <c r="M66" s="383" t="str">
        <f aca="false">IF('อัปเดตงาน WBS'!$L$454="","",'อัปเดตงาน WBS'!$L$454)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Plan'!$H$13+(-32)</f>
        <v>46371</v>
      </c>
      <c r="J67" s="382" t="n">
        <f aca="false">'Master Plan'!$H$13+(-26)</f>
        <v>46377</v>
      </c>
      <c r="K67" s="387"/>
      <c r="L67" s="387"/>
      <c r="M67" s="383" t="str">
        <f aca="false">IF('อัปเดตงาน WBS'!$L$455="","",'อัปเดตงาน WBS'!$L$455)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Plan'!$H$13+(-28)</f>
        <v>46375</v>
      </c>
      <c r="J68" s="382" t="n">
        <f aca="false">'Master Plan'!$H$13+(-25)</f>
        <v>46378</v>
      </c>
      <c r="K68" s="387"/>
      <c r="L68" s="387"/>
      <c r="M68" s="383" t="str">
        <f aca="false">IF('อัปเดตงาน WBS'!$L$456="","",'อัปเดตงาน WBS'!$L$456)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Plan'!$H$13+(-26)</f>
        <v>46377</v>
      </c>
      <c r="J69" s="382" t="n">
        <f aca="false">'Master Plan'!$H$13+(-25)</f>
        <v>46378</v>
      </c>
      <c r="K69" s="387"/>
      <c r="L69" s="387"/>
      <c r="M69" s="383" t="str">
        <f aca="false">IF('อัปเดตงาน WBS'!$L$457="","",'อัปเดตงาน WBS'!$L$457)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3691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Plan'!$H$13+(-24)</f>
        <v>46379</v>
      </c>
      <c r="J70" s="373" t="n">
        <f aca="false">'Master Plan'!$H$13+(-15)</f>
        <v>46388</v>
      </c>
      <c r="K70" s="78"/>
      <c r="L70" s="78" t="str">
        <f aca="false">IF(ISNUMBER(อัปเดตรายสัปดาห์!$X$13),อัปเดตรายสัปดาห์!$X$13,"")</f>
        <v/>
      </c>
      <c r="M70" s="374" t="str">
        <f aca="false">IF(อัปเดตรายสัปดาห์!$X$13="Y","Y","")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-006",SITE_TYPE,"?*")&gt;0,MIN(1,SUMPRODUCT((SITE_ST="P9-006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Plan'!$H$13+(-24)</f>
        <v>46379</v>
      </c>
      <c r="J71" s="382" t="n">
        <f aca="false">'Master Plan'!$H$13+(-20)</f>
        <v>46383</v>
      </c>
      <c r="K71" s="387"/>
      <c r="L71" s="387"/>
      <c r="M71" s="383" t="str">
        <f aca="false">IF('อัปเดตงาน WBS'!$L$458="","",'อัปเดตงาน WBS'!$L$458)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Plan'!$H$13+(-22)</f>
        <v>46381</v>
      </c>
      <c r="J72" s="382" t="n">
        <f aca="false">'Master Plan'!$H$13+(-17)</f>
        <v>46386</v>
      </c>
      <c r="K72" s="387"/>
      <c r="L72" s="387"/>
      <c r="M72" s="383" t="str">
        <f aca="false">IF('อัปเดตงาน WBS'!$L$459="","",'อัปเดตงาน WBS'!$L$459)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Plan'!$H$13+(-21)</f>
        <v>46382</v>
      </c>
      <c r="J73" s="382" t="n">
        <f aca="false">'Master Plan'!$H$13+(-17)</f>
        <v>46386</v>
      </c>
      <c r="K73" s="387"/>
      <c r="L73" s="387"/>
      <c r="M73" s="383" t="str">
        <f aca="false">IF('อัปเดตงาน WBS'!$L$460="","",'อัปเดตงาน WBS'!$L$460)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Plan'!$H$13+(-20)</f>
        <v>46383</v>
      </c>
      <c r="J74" s="382" t="n">
        <f aca="false">'Master Plan'!$H$13+(-15)</f>
        <v>46388</v>
      </c>
      <c r="K74" s="387"/>
      <c r="L74" s="387"/>
      <c r="M74" s="383" t="str">
        <f aca="false">IF('อัปเดตงาน WBS'!$L$461="","",'อัปเดตงาน WBS'!$L$461)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Plan'!$H$13+(-17)</f>
        <v>46386</v>
      </c>
      <c r="J75" s="382" t="n">
        <f aca="false">'Master Plan'!$H$13+(-15)</f>
        <v>46388</v>
      </c>
      <c r="K75" s="387"/>
      <c r="L75" s="387"/>
      <c r="M75" s="383" t="str">
        <f aca="false">IF('อัปเดตงาน WBS'!$L$462="","",'อัปเดตงาน WBS'!$L$462)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3691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Plan'!$H$13+(-24)</f>
        <v>46379</v>
      </c>
      <c r="J76" s="373" t="n">
        <f aca="false">'Master Plan'!$H$13+(-15)</f>
        <v>46388</v>
      </c>
      <c r="K76" s="78"/>
      <c r="L76" s="78" t="str">
        <f aca="false">IF(ISNUMBER(อัปเดตรายสัปดาห์!$Y$13),อัปเดตรายสัปดาห์!$Y$13,"")</f>
        <v/>
      </c>
      <c r="M76" s="374" t="str">
        <f aca="false">IF(อัปเดตรายสัปดาห์!$Y$13="Y","Y","")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-006",SITE_TYPE,"?*")&gt;0,MIN(1,SUMPRODUCT((SITE_ST="P9-006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Plan'!$H$13+(-24)</f>
        <v>46379</v>
      </c>
      <c r="J77" s="382" t="n">
        <f aca="false">'Master Plan'!$H$13+(-21)</f>
        <v>46382</v>
      </c>
      <c r="K77" s="387"/>
      <c r="L77" s="387"/>
      <c r="M77" s="383" t="str">
        <f aca="false">IF('อัปเดตงาน WBS'!$L$463="","",'อัปเดตงาน WBS'!$L$463)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Plan'!$H$13+(-23)</f>
        <v>46380</v>
      </c>
      <c r="J78" s="382" t="n">
        <f aca="false">'Master Plan'!$H$13+(-16)</f>
        <v>46387</v>
      </c>
      <c r="K78" s="387"/>
      <c r="L78" s="387"/>
      <c r="M78" s="383" t="str">
        <f aca="false">IF('อัปเดตงาน WBS'!$L$464="","",'อัปเดตงาน WBS'!$L$464)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Plan'!$H$13+(-20)</f>
        <v>46383</v>
      </c>
      <c r="J79" s="382" t="n">
        <f aca="false">'Master Plan'!$H$13+(-15)</f>
        <v>46388</v>
      </c>
      <c r="K79" s="387"/>
      <c r="L79" s="387"/>
      <c r="M79" s="383" t="str">
        <f aca="false">IF('อัปเดตงาน WBS'!$L$465="","",'อัปเดตงาน WBS'!$L$465)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Plan'!$H$13+(-17)</f>
        <v>46386</v>
      </c>
      <c r="J80" s="382" t="n">
        <f aca="false">'Master Plan'!$H$13+(-15)</f>
        <v>46388</v>
      </c>
      <c r="K80" s="387"/>
      <c r="L80" s="387"/>
      <c r="M80" s="383" t="str">
        <f aca="false">IF('อัปเดตงาน WBS'!$L$466="","",'อัปเดตงาน WBS'!$L$466)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Plan'!$H$13+(-15)</f>
        <v>46388</v>
      </c>
      <c r="J81" s="382" t="n">
        <f aca="false">'Master Plan'!$H$13+(-15)</f>
        <v>46388</v>
      </c>
      <c r="K81" s="387"/>
      <c r="L81" s="387"/>
      <c r="M81" s="383" t="str">
        <f aca="false">IF('อัปเดตงาน WBS'!$L$467="","",'อัปเดตงาน WBS'!$L$467)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3691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Plan'!$H$13+(-21)</f>
        <v>46382</v>
      </c>
      <c r="J82" s="373" t="n">
        <f aca="false">'Master Plan'!$H$13+(-18)</f>
        <v>46385</v>
      </c>
      <c r="K82" s="78"/>
      <c r="L82" s="78" t="str">
        <f aca="false">IF(ISNUMBER(อัปเดตรายสัปดาห์!$Z$13),อัปเดตรายสัปดาห์!$Z$13,"")</f>
        <v/>
      </c>
      <c r="M82" s="374" t="str">
        <f aca="false">IF(อัปเดตรายสัปดาห์!$Z$13="Y","Y","")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Plan'!$H$13+(-21)</f>
        <v>46382</v>
      </c>
      <c r="J83" s="382" t="n">
        <f aca="false">'Master Plan'!$H$13+(-19)</f>
        <v>46384</v>
      </c>
      <c r="K83" s="387"/>
      <c r="L83" s="387"/>
      <c r="M83" s="383" t="str">
        <f aca="false">IF('อัปเดตงาน WBS'!$L$468="","",'อัปเดตงาน WBS'!$L$468)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Plan'!$H$13+(-20)</f>
        <v>46383</v>
      </c>
      <c r="J84" s="382" t="n">
        <f aca="false">'Master Plan'!$H$13+(-18)</f>
        <v>46385</v>
      </c>
      <c r="K84" s="387"/>
      <c r="L84" s="387"/>
      <c r="M84" s="383" t="str">
        <f aca="false">IF('อัปเดตงาน WBS'!$L$469="","",'อัปเดตงาน WBS'!$L$469)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3691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Plan'!$H$13+(-25)</f>
        <v>46378</v>
      </c>
      <c r="J85" s="373" t="n">
        <f aca="false">'Master Plan'!$H$13+(-17)</f>
        <v>46386</v>
      </c>
      <c r="K85" s="78"/>
      <c r="L85" s="78" t="str">
        <f aca="false">IF(ISNUMBER(อัปเดตรายสัปดาห์!$AA$13),อัปเดตรายสัปดาห์!$AA$13,"")</f>
        <v/>
      </c>
      <c r="M85" s="374" t="str">
        <f aca="false">IF(อัปเดตรายสัปดาห์!$AA$13="Y","Y","")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Plan'!$H$13+(-25)</f>
        <v>46378</v>
      </c>
      <c r="J86" s="382" t="n">
        <f aca="false">'Master Plan'!$H$13+(-21)</f>
        <v>46382</v>
      </c>
      <c r="K86" s="387"/>
      <c r="L86" s="387"/>
      <c r="M86" s="383" t="str">
        <f aca="false">IF('อัปเดตงาน WBS'!$L$470="","",'อัปเดตงาน WBS'!$L$470)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Plan'!$H$13+(-22)</f>
        <v>46381</v>
      </c>
      <c r="J87" s="382" t="n">
        <f aca="false">'Master Plan'!$H$13+(-18)</f>
        <v>46385</v>
      </c>
      <c r="K87" s="387"/>
      <c r="L87" s="387"/>
      <c r="M87" s="383" t="str">
        <f aca="false">IF('อัปเดตงาน WBS'!$L$471="","",'อัปเดตงาน WBS'!$L$471)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Plan'!$H$13+(-20)</f>
        <v>46383</v>
      </c>
      <c r="J88" s="382" t="n">
        <f aca="false">'Master Plan'!$H$13+(-17)</f>
        <v>46386</v>
      </c>
      <c r="K88" s="387"/>
      <c r="L88" s="387"/>
      <c r="M88" s="383" t="str">
        <f aca="false">IF('อัปเดตงาน WBS'!$L$472="","",'อัปเดตงาน WBS'!$L$472)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Plan'!$H$13+(-18)</f>
        <v>46385</v>
      </c>
      <c r="J89" s="382" t="n">
        <f aca="false">'Master Plan'!$H$13+(-17)</f>
        <v>46386</v>
      </c>
      <c r="K89" s="387"/>
      <c r="L89" s="387"/>
      <c r="M89" s="383" t="str">
        <f aca="false">IF('อัปเดตงาน WBS'!$L$473="","",'อัปเดตงาน WBS'!$L$473)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3691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Plan'!$H$13+(-25)</f>
        <v>46378</v>
      </c>
      <c r="J90" s="373" t="n">
        <f aca="false">'Master Plan'!$H$13+(-16)</f>
        <v>46387</v>
      </c>
      <c r="K90" s="78"/>
      <c r="L90" s="78" t="str">
        <f aca="false">IF(ISNUMBER(อัปเดตรายสัปดาห์!$AB$13),อัปเดตรายสัปดาห์!$AB$13,"")</f>
        <v/>
      </c>
      <c r="M90" s="374" t="str">
        <f aca="false">IF(อัปเดตรายสัปดาห์!$AB$13="Y","Y","")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Plan'!$H$13+(-25)</f>
        <v>46378</v>
      </c>
      <c r="J91" s="382" t="n">
        <f aca="false">'Master Plan'!$H$13+(-20)</f>
        <v>46383</v>
      </c>
      <c r="K91" s="387"/>
      <c r="L91" s="387"/>
      <c r="M91" s="383" t="str">
        <f aca="false">IF('อัปเดตงาน WBS'!$L$474="","",'อัปเดตงาน WBS'!$L$474)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Plan'!$H$13+(-20)</f>
        <v>46383</v>
      </c>
      <c r="J92" s="382" t="n">
        <f aca="false">'Master Plan'!$H$13+(-16)</f>
        <v>46387</v>
      </c>
      <c r="K92" s="387"/>
      <c r="L92" s="387"/>
      <c r="M92" s="383" t="str">
        <f aca="false">IF('อัปเดตงาน WBS'!$L$475="","",'อัปเดตงาน WBS'!$L$475)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Plan'!$H$13+(-25)</f>
        <v>46378</v>
      </c>
      <c r="J93" s="382" t="n">
        <f aca="false">'Master Plan'!$H$13+(-21)</f>
        <v>46382</v>
      </c>
      <c r="K93" s="387"/>
      <c r="L93" s="387"/>
      <c r="M93" s="383" t="str">
        <f aca="false">IF('อัปเดตงาน WBS'!$L$476="","",'อัปเดตงาน WBS'!$L$476)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Plan'!$H$13+(-21)</f>
        <v>46382</v>
      </c>
      <c r="J94" s="382" t="n">
        <f aca="false">'Master Plan'!$H$13+(-16)</f>
        <v>46387</v>
      </c>
      <c r="K94" s="387"/>
      <c r="L94" s="387"/>
      <c r="M94" s="383" t="str">
        <f aca="false">IF('อัปเดตงาน WBS'!$L$477="","",'อัปเดตงาน WBS'!$L$477)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Plan'!$H$13+(-17)</f>
        <v>46386</v>
      </c>
      <c r="J95" s="382" t="n">
        <f aca="false">'Master Plan'!$H$13+(-16)</f>
        <v>46387</v>
      </c>
      <c r="K95" s="387"/>
      <c r="L95" s="387"/>
      <c r="M95" s="383" t="str">
        <f aca="false">IF('อัปเดตงาน WBS'!$L$478="","",'อัปเดตงาน WBS'!$L$478)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3691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Plan'!$H$13+(-22)</f>
        <v>46381</v>
      </c>
      <c r="J96" s="373" t="n">
        <f aca="false">'Master Plan'!$H$13+(-16)</f>
        <v>46387</v>
      </c>
      <c r="K96" s="78"/>
      <c r="L96" s="78" t="str">
        <f aca="false">IF(ISNUMBER(อัปเดตรายสัปดาห์!$AC$13),อัปเดตรายสัปดาห์!$AC$13,"")</f>
        <v/>
      </c>
      <c r="M96" s="374" t="str">
        <f aca="false">IF(อัปเดตรายสัปดาห์!$AC$13="Y","Y","")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Plan'!$H$13+(-22)</f>
        <v>46381</v>
      </c>
      <c r="J97" s="382" t="n">
        <f aca="false">'Master Plan'!$H$13+(-17)</f>
        <v>46386</v>
      </c>
      <c r="K97" s="387"/>
      <c r="L97" s="387"/>
      <c r="M97" s="383" t="str">
        <f aca="false">IF('อัปเดตงาน WBS'!$L$479="","",'อัปเดตงาน WBS'!$L$479)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Plan'!$H$13+(-20)</f>
        <v>46383</v>
      </c>
      <c r="J98" s="382" t="n">
        <f aca="false">'Master Plan'!$H$13+(-16)</f>
        <v>46387</v>
      </c>
      <c r="K98" s="387"/>
      <c r="L98" s="387"/>
      <c r="M98" s="383" t="str">
        <f aca="false">IF('อัปเดตงาน WBS'!$L$480="","",'อัปเดตงาน WBS'!$L$480)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Plan'!$H$13+(-17)</f>
        <v>46386</v>
      </c>
      <c r="J99" s="382" t="n">
        <f aca="false">'Master Plan'!$H$13+(-16)</f>
        <v>46387</v>
      </c>
      <c r="K99" s="387"/>
      <c r="L99" s="387"/>
      <c r="M99" s="383" t="str">
        <f aca="false">IF('อัปเดตงาน WBS'!$L$481="","",'อัปเดตงาน WBS'!$L$481)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3691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Plan'!$H$13+(-20)</f>
        <v>46383</v>
      </c>
      <c r="J100" s="373" t="n">
        <f aca="false">'Master Plan'!$H$13+(-15)</f>
        <v>46388</v>
      </c>
      <c r="K100" s="78"/>
      <c r="L100" s="78" t="str">
        <f aca="false">IF(ISNUMBER(อัปเดตรายสัปดาห์!$AD$13),อัปเดตรายสัปดาห์!$AD$13,"")</f>
        <v/>
      </c>
      <c r="M100" s="374" t="str">
        <f aca="false">IF(อัปเดตรายสัปดาห์!$AD$13="Y","Y","")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Plan'!$H$13+(-20)</f>
        <v>46383</v>
      </c>
      <c r="J101" s="382" t="n">
        <f aca="false">'Master Plan'!$H$13+(-19)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Plan'!$H$13+(-19)</f>
        <v>46384</v>
      </c>
      <c r="J102" s="382" t="n">
        <f aca="false">'Master Plan'!$H$13+(-16)</f>
        <v>46387</v>
      </c>
      <c r="K102" s="387"/>
      <c r="L102" s="387"/>
      <c r="M102" s="383" t="str">
        <f aca="false">IF('อัปเดตงาน WBS'!$L$482="","",'อัปเดตงาน WBS'!$L$482)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Plan'!$H$13+(-18)</f>
        <v>46385</v>
      </c>
      <c r="J104" s="382" t="n">
        <f aca="false">'Master Plan'!$H$13+(-16)</f>
        <v>46387</v>
      </c>
      <c r="K104" s="387"/>
      <c r="L104" s="387"/>
      <c r="M104" s="383" t="str">
        <f aca="false">IF('อัปเดตงาน WBS'!$L$483="","",'อัปเดตงาน WBS'!$L$483)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Plan'!$H$13+(-18)</f>
        <v>46385</v>
      </c>
      <c r="J105" s="382" t="n">
        <f aca="false">'Master Plan'!$H$13+(-15)</f>
        <v>46388</v>
      </c>
      <c r="K105" s="387"/>
      <c r="L105" s="387"/>
      <c r="M105" s="383" t="str">
        <f aca="false">IF('อัปเดตงาน WBS'!$L$484="","",'อัปเดตงาน WBS'!$L$484)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Plan'!$H$13+(-16)</f>
        <v>46387</v>
      </c>
      <c r="J106" s="382" t="n">
        <f aca="false">'Master Plan'!$H$13+(-15)</f>
        <v>46388</v>
      </c>
      <c r="K106" s="387"/>
      <c r="L106" s="387"/>
      <c r="M106" s="383" t="str">
        <f aca="false">IF('อัปเดตงาน WBS'!$L$485="","",'อัปเดตงาน WBS'!$L$485)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3691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Plan'!$H$13+(-18)</f>
        <v>46385</v>
      </c>
      <c r="J107" s="373" t="n">
        <f aca="false">'Master Plan'!$H$13+(-14)</f>
        <v>46389</v>
      </c>
      <c r="K107" s="78"/>
      <c r="L107" s="78" t="str">
        <f aca="false">IF(ISNUMBER(อัปเดตรายสัปดาห์!$AE$13),อัปเดตรายสัปดาห์!$AE$13,"")</f>
        <v/>
      </c>
      <c r="M107" s="374" t="str">
        <f aca="false">IF(อัปเดตรายสัปดาห์!$AE$13="Y","Y","")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Plan'!$H$13+(-18)</f>
        <v>46385</v>
      </c>
      <c r="J108" s="382" t="n">
        <f aca="false">'Master Plan'!$H$13+(-15)</f>
        <v>46388</v>
      </c>
      <c r="K108" s="387"/>
      <c r="L108" s="387"/>
      <c r="M108" s="383" t="str">
        <f aca="false">IF('อัปเดตงาน WBS'!$L$486="","",'อัปเดตงาน WBS'!$L$486)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Plan'!$H$13+(-16)</f>
        <v>46387</v>
      </c>
      <c r="J109" s="382" t="n">
        <f aca="false">'Master Plan'!$H$13+(-14)</f>
        <v>46389</v>
      </c>
      <c r="K109" s="387"/>
      <c r="L109" s="387"/>
      <c r="M109" s="383" t="str">
        <f aca="false">IF('อัปเดตงาน WBS'!$L$487="","",'อัปเดตงาน WBS'!$L$487)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Plan'!$H$13+(-17)</f>
        <v>46386</v>
      </c>
      <c r="J110" s="382" t="n">
        <f aca="false">'Master Plan'!$H$13+(-15)</f>
        <v>46388</v>
      </c>
      <c r="K110" s="387"/>
      <c r="L110" s="387"/>
      <c r="M110" s="383" t="str">
        <f aca="false">IF('อัปเดตงาน WBS'!$L$488="","",'อัปเดตงาน WBS'!$L$488)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65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Plan'!$H$13+(-13)</f>
        <v>46390</v>
      </c>
      <c r="J111" s="373" t="n">
        <f aca="false">'Master Plan'!$H$13+(-13)</f>
        <v>46390</v>
      </c>
      <c r="K111" s="78"/>
      <c r="L111" s="78" t="str">
        <f aca="false">IF(ISNUMBER(อัปเดตรายสัปดาห์!$AF$13),อัปเดตรายสัปดาห์!$AF$13,"")</f>
        <v/>
      </c>
      <c r="M111" s="374" t="str">
        <f aca="false">IF(อัปเดตรายสัปดาห์!$AF$13="Y","Y","")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Plan'!$Y$13)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Plan'!$H$13+(-13)</f>
        <v>46390</v>
      </c>
      <c r="J112" s="382" t="n">
        <f aca="false">'Master Plan'!$H$13+(-13)</f>
        <v>46390</v>
      </c>
      <c r="K112" s="387"/>
      <c r="L112" s="387"/>
      <c r="M112" s="383" t="str">
        <f aca="false">IF('อัปเดตงาน WBS'!$L$489="","",'อัปเดตงาน WBS'!$L$489)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Plan'!$H$13+(-13)</f>
        <v>46390</v>
      </c>
      <c r="J113" s="382" t="n">
        <f aca="false">'Master Plan'!$H$13+(-13)</f>
        <v>46390</v>
      </c>
      <c r="K113" s="387"/>
      <c r="L113" s="387"/>
      <c r="M113" s="383" t="str">
        <f aca="false">IF('อัปเดตงาน WBS'!$L$490="","",'อัปเดตงาน WBS'!$L$490)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3691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Plan'!$H$13+(-12)</f>
        <v>46391</v>
      </c>
      <c r="J115" s="373" t="n">
        <f aca="false">'Master Plan'!$H$13+(-10)</f>
        <v>46393</v>
      </c>
      <c r="K115" s="78"/>
      <c r="L115" s="78" t="str">
        <f aca="false">IF(ISNUMBER(อัปเดตรายสัปดาห์!$AG$13),อัปเดตรายสัปดาห์!$AG$13,"")</f>
        <v/>
      </c>
      <c r="M115" s="374" t="str">
        <f aca="false">IF(อัปเดตรายสัปดาห์!$AG$13="Y","Y","")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Plan'!$AA$13)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Plan'!$H$13+(-12)</f>
        <v>46391</v>
      </c>
      <c r="J116" s="382" t="n">
        <f aca="false">'Master Plan'!$H$13+(-12)</f>
        <v>46391</v>
      </c>
      <c r="K116" s="387"/>
      <c r="L116" s="387"/>
      <c r="M116" s="383" t="str">
        <f aca="false">IF('อัปเดตงาน WBS'!$L$491="","",'อัปเดตงาน WBS'!$L$491)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Plan'!$H$13+(-12)</f>
        <v>46391</v>
      </c>
      <c r="J117" s="382" t="n">
        <f aca="false">'Master Plan'!$H$13+(-11)</f>
        <v>46392</v>
      </c>
      <c r="K117" s="387"/>
      <c r="L117" s="387"/>
      <c r="M117" s="383" t="str">
        <f aca="false">IF('อัปเดตงาน WBS'!$L$492="","",'อัปเดตงาน WBS'!$L$492)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Plan'!$H$13+(-11)</f>
        <v>46392</v>
      </c>
      <c r="J118" s="382" t="n">
        <f aca="false">'Master Plan'!$H$13+(-11)</f>
        <v>46392</v>
      </c>
      <c r="K118" s="387"/>
      <c r="L118" s="387"/>
      <c r="M118" s="383" t="str">
        <f aca="false">IF('อัปเดตงาน WBS'!$L$493="","",'อัปเดตงาน WBS'!$L$493)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Plan'!$H$13+(-11)</f>
        <v>46392</v>
      </c>
      <c r="J119" s="382" t="n">
        <f aca="false">'Master Plan'!$H$13+(-11)</f>
        <v>46392</v>
      </c>
      <c r="K119" s="387"/>
      <c r="L119" s="387"/>
      <c r="M119" s="383" t="str">
        <f aca="false">IF('อัปเดตงาน WBS'!$L$494="","",'อัปเดตงาน WBS'!$L$494)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Plan'!$H$13+(-11)</f>
        <v>46392</v>
      </c>
      <c r="J120" s="382" t="n">
        <f aca="false">'Master Plan'!$H$13+(-10)</f>
        <v>46393</v>
      </c>
      <c r="K120" s="387"/>
      <c r="L120" s="387"/>
      <c r="M120" s="383" t="str">
        <f aca="false">IF('อัปเดตงาน WBS'!$L$495="","",'อัปเดตงาน WBS'!$L$495)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Plan'!$H$13+(-11)</f>
        <v>46392</v>
      </c>
      <c r="J121" s="382" t="n">
        <f aca="false">'Master Plan'!$H$13+(-10)</f>
        <v>46393</v>
      </c>
      <c r="K121" s="387"/>
      <c r="L121" s="387"/>
      <c r="M121" s="383" t="str">
        <f aca="false">IF('อัปเดตงาน WBS'!$L$496="","",'อัปเดตงาน WBS'!$L$496)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65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Plan'!$H$13+(-10)</f>
        <v>46393</v>
      </c>
      <c r="J122" s="373" t="n">
        <f aca="false">'Master Plan'!$H$13+(-10)</f>
        <v>46393</v>
      </c>
      <c r="K122" s="78"/>
      <c r="L122" s="78" t="str">
        <f aca="false">IF(ISNUMBER(อัปเดตรายสัปดาห์!$AH$13),อัปเดตรายสัปดาห์!$AH$13,"")</f>
        <v/>
      </c>
      <c r="M122" s="374" t="str">
        <f aca="false">IF(อัปเดตรายสัปดาห์!$AH$13="Y","Y","")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Plan'!$Z$13)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65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Plan'!$H$13+(-12)</f>
        <v>46391</v>
      </c>
      <c r="J123" s="373" t="n">
        <f aca="false">'Master Plan'!$H$13+(-8)</f>
        <v>46395</v>
      </c>
      <c r="K123" s="78" t="str">
        <f aca="false">IF(ISNUMBER(อัปเดตรายสัปดาห์!$AI$13),อัปเดตรายสัปดาห์!$AI$13,"")</f>
        <v/>
      </c>
      <c r="L123" s="78" t="str">
        <f aca="false">IF(ISNUMBER(อัปเดตรายสัปดาห์!$AJ$13),อัปเดตรายสัปดาห์!$AJ$13,"")</f>
        <v/>
      </c>
      <c r="M123" s="374" t="str">
        <f aca="false">IF(อัปเดตรายสัปดาห์!$AJ$13="Y","Y","")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65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Plan'!$H$13+(37)</f>
        <v>46440</v>
      </c>
      <c r="J124" s="373" t="n">
        <f aca="false">'Master Plan'!$H$13+(50)</f>
        <v>46453</v>
      </c>
      <c r="K124" s="78"/>
      <c r="L124" s="78" t="str">
        <f aca="false">IF(ISNUMBER(อัปเดตรายสัปดาห์!$AK$13),อัปเดตรายสัปดาห์!$AK$13,"")</f>
        <v/>
      </c>
      <c r="M124" s="374" t="str">
        <f aca="false">IF(อัปเดตรายสัปดาห์!$AK$13="Y","Y","")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Plan'!$H$13+(37)</f>
        <v>46440</v>
      </c>
      <c r="J125" s="382" t="n">
        <f aca="false">'Master Plan'!$H$13+(41)</f>
        <v>46444</v>
      </c>
      <c r="K125" s="387"/>
      <c r="L125" s="387"/>
      <c r="M125" s="383" t="str">
        <f aca="false">IF('อัปเดตงาน WBS'!$L$497="","",'อัปเดตงาน WBS'!$L$497)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Plan'!$H$13+(40)</f>
        <v>46443</v>
      </c>
      <c r="J126" s="382" t="n">
        <f aca="false">'Master Plan'!$H$13+(47)</f>
        <v>46450</v>
      </c>
      <c r="K126" s="387"/>
      <c r="L126" s="387"/>
      <c r="M126" s="383" t="str">
        <f aca="false">IF('อัปเดตงาน WBS'!$L$498="","",'อัปเดตงาน WBS'!$L$498)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Plan'!$H$13+(47)</f>
        <v>46450</v>
      </c>
      <c r="J127" s="382" t="n">
        <f aca="false">'Master Plan'!$H$13+(50)</f>
        <v>46453</v>
      </c>
      <c r="K127" s="387"/>
      <c r="L127" s="387"/>
      <c r="M127" s="383" t="str">
        <f aca="false">IF('อัปเดตงาน WBS'!$L$499="","",'อัปเดตงาน WBS'!$L$499)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3691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Plan'!$H$13+(0)</f>
        <v>46403</v>
      </c>
      <c r="J128" s="373" t="n">
        <f aca="false">'Master Plan'!$H$13+(0)</f>
        <v>46403</v>
      </c>
      <c r="K128" s="78"/>
      <c r="L128" s="78" t="str">
        <f aca="false">IF(ISNUMBER(อัปเดตรายสัปดาห์!$AL$13),อัปเดตรายสัปดาห์!$AL$13,"")</f>
        <v/>
      </c>
      <c r="M128" s="374" t="str">
        <f aca="false">IF(อัปเดตรายสัปดาห์!$AL$13="Y","Y","")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Plan'!$AB$13)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Plan'!$H$13+(0)</f>
        <v>46403</v>
      </c>
      <c r="J129" s="373" t="n">
        <f aca="false">'Master Plan'!$H$13+(0)</f>
        <v>46403</v>
      </c>
      <c r="K129" s="78"/>
      <c r="L129" s="78" t="str">
        <f aca="false">IF(ISNUMBER(อัปเดตรายสัปดาห์!$AM$13),อัปเดตรายสัปดาห์!$AM$13,"")</f>
        <v/>
      </c>
      <c r="M129" s="374" t="str">
        <f aca="false">IF(อัปเดตรายสัปดาห์!$AM$13="Y","Y","")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Plan'!$H$13+(0)</f>
        <v>46403</v>
      </c>
      <c r="J130" s="373" t="n">
        <f aca="false">'Master Plan'!$H$13+(0)</f>
        <v>46403</v>
      </c>
      <c r="K130" s="78"/>
      <c r="L130" s="78" t="str">
        <f aca="false">IF(ISNUMBER(อัปเดตรายสัปดาห์!$AN$13),อัปเดตรายสัปดาห์!$AN$13,"")</f>
        <v/>
      </c>
      <c r="M130" s="374" t="str">
        <f aca="false">IF(อัปเดตรายสัปดาห์!$AN$13="Y","Y","")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65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Plan'!$H$13+(34)</f>
        <v>46437</v>
      </c>
      <c r="J131" s="373" t="n">
        <f aca="false">'Master Plan'!$H$13+(36)</f>
        <v>46439</v>
      </c>
      <c r="K131" s="78"/>
      <c r="L131" s="78" t="str">
        <f aca="false">IF(ISNUMBER(อัปเดตรายสัปดาห์!$AO$13),อัปเดตรายสัปดาห์!$AO$13,"")</f>
        <v/>
      </c>
      <c r="M131" s="374" t="str">
        <f aca="false">IF(อัปเดตรายสัปดาห์!$AO$13="Y","Y","")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SUMPRODUCT((SITE_ST="P9-006")*(SITE_TYPE=$B136)*(SITE_TYPE&lt;&gt;""))</f>
        <v>0</v>
      </c>
      <c r="E136" s="397" t="n">
        <f aca="false">SUMPRODUCT((SITE_ST="P9-006")*(SITE_TYPE=$B136)*SITE_MOD)</f>
        <v>0</v>
      </c>
      <c r="I136" s="398" t="n">
        <f aca="false">SUMPRODUCT((SITE_ST="P9-006")*(SITE_TYPE=$B136)*SITE_KWP)</f>
        <v>0</v>
      </c>
      <c r="J136" s="35" t="str">
        <f aca="false">IF(SUMPRODUCT((SITE_ST="P9-006")*(SITE_TYPE=$B136)*(SITE_TYPE&lt;&gt;""))=0,"",SUMPRODUCT((SITE_ST="P9-006")*(SITE_TYPE=$B136)*SITE_S21*SITE_D21)/MAX(0.0001,SUMPRODUCT((SITE_ST="P9-006")*(SITE_TYPE=$B136)*SITE_S21)))</f>
        <v/>
      </c>
      <c r="K136" s="32" t="str">
        <f aca="false">IF(SUMPRODUCT((SITE_ST="P9-006")*(SITE_TYPE=$B136)*(SITE_TYPE&lt;&gt;""))=0,"",SUMPRODUCT((SITE_ST="P9-006")*(SITE_TYPE=$B136)*(SITE_TYPE&lt;&gt;"")*(SITE_T22="Y"))&amp;"/"&amp;SUMPRODUCT((SITE_ST="P9-006")*(SITE_TYPE=$B136)*(SITE_TYPE&lt;&gt;"")))</f>
        <v/>
      </c>
      <c r="L136" s="32" t="str">
        <f aca="false">IF(SUMPRODUCT((SITE_ST="P9-006")*(SITE_TYPE=$B136)*(SITE_TYPE&lt;&gt;""))=0,"",SUMPRODUCT((SITE_ST="P9-006")*(SITE_TYPE=$B136)*(SITE_TYPE&lt;&gt;"")*(SITE_T23="Y"))&amp;"/"&amp;SUMPRODUCT((SITE_ST="P9-006")*(SITE_TYPE=$B136)*(SITE_TYPE&lt;&gt;"")))</f>
        <v/>
      </c>
      <c r="O136" s="32" t="str">
        <f aca="false">IF(SUMPRODUCT((SITE_ST="P9-006")*(SITE_TYPE=$B136)*(LEFT(SITE_LAD,4)="ติด:"))=0,"",SUMPRODUCT((SITE_ST="P9-006")*(SITE_TYPE=$B136)*(LEFT(SITE_LAD,4)="ติด:"))&amp;"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SUMPRODUCT((SITE_ST="P9-006")*(SITE_TYPE=$B137)*(SITE_TYPE&lt;&gt;""))</f>
        <v>2</v>
      </c>
      <c r="E137" s="397" t="n">
        <f aca="false">SUMPRODUCT((SITE_ST="P9-006")*(SITE_TYPE=$B137)*SITE_MOD)</f>
        <v>492</v>
      </c>
      <c r="I137" s="398" t="n">
        <f aca="false">SUMPRODUCT((SITE_ST="P9-006")*(SITE_TYPE=$B137)*SITE_KWP)</f>
        <v>280.44</v>
      </c>
      <c r="J137" s="35" t="n">
        <f aca="false">IF(SUMPRODUCT((SITE_ST="P9-006")*(SITE_TYPE=$B137)*(SITE_TYPE&lt;&gt;""))=0,"",SUMPRODUCT((SITE_ST="P9-006")*(SITE_TYPE=$B137)*SITE_S21*SITE_D21)/MAX(0.0001,SUMPRODUCT((SITE_ST="P9-006")*(SITE_TYPE=$B137)*SITE_S21)))</f>
        <v>0</v>
      </c>
      <c r="K137" s="32" t="str">
        <f aca="false">IF(SUMPRODUCT((SITE_ST="P9-006")*(SITE_TYPE=$B137)*(SITE_TYPE&lt;&gt;""))=0,"",SUMPRODUCT((SITE_ST="P9-006")*(SITE_TYPE=$B137)*(SITE_TYPE&lt;&gt;"")*(SITE_T22="Y"))&amp;"/"&amp;SUMPRODUCT((SITE_ST="P9-006")*(SITE_TYPE=$B137)*(SITE_TYPE&lt;&gt;"")))</f>
        <v>0/2</v>
      </c>
      <c r="L137" s="32" t="str">
        <f aca="false">IF(SUMPRODUCT((SITE_ST="P9-006")*(SITE_TYPE=$B137)*(SITE_TYPE&lt;&gt;""))=0,"",SUMPRODUCT((SITE_ST="P9-006")*(SITE_TYPE=$B137)*(SITE_TYPE&lt;&gt;"")*(SITE_T23="Y"))&amp;"/"&amp;SUMPRODUCT((SITE_ST="P9-006")*(SITE_TYPE=$B137)*(SITE_TYPE&lt;&gt;"")))</f>
        <v>0/2</v>
      </c>
      <c r="O137" s="32" t="str">
        <f aca="false">IF(SUMPRODUCT((SITE_ST="P9-006")*(SITE_TYPE=$B137)*(LEFT(SITE_LAD,4)="ติด:"))=0,"",SUMPRODUCT((SITE_ST="P9-006")*(SITE_TYPE=$B137)*(LEFT(SITE_LAD,4)="ติด:"))&amp;" จุด")</f>
        <v>2 จุด</v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SUMPRODUCT((SITE_ST="P9-006")*(SITE_TYPE=$B138)*(SITE_TYPE&lt;&gt;""))</f>
        <v>0</v>
      </c>
      <c r="E138" s="397" t="n">
        <f aca="false">SUMPRODUCT((SITE_ST="P9-006")*(SITE_TYPE=$B138)*SITE_MOD)</f>
        <v>0</v>
      </c>
      <c r="I138" s="398" t="n">
        <f aca="false">SUMPRODUCT((SITE_ST="P9-006")*(SITE_TYPE=$B138)*SITE_KWP)</f>
        <v>0</v>
      </c>
      <c r="J138" s="35" t="str">
        <f aca="false">IF(SUMPRODUCT((SITE_ST="P9-006")*(SITE_TYPE=$B138)*(SITE_TYPE&lt;&gt;""))=0,"",SUMPRODUCT((SITE_ST="P9-006")*(SITE_TYPE=$B138)*SITE_S21*SITE_D21)/MAX(0.0001,SUMPRODUCT((SITE_ST="P9-006")*(SITE_TYPE=$B138)*SITE_S21)))</f>
        <v/>
      </c>
      <c r="K138" s="32" t="str">
        <f aca="false">IF(SUMPRODUCT((SITE_ST="P9-006")*(SITE_TYPE=$B138)*(SITE_TYPE&lt;&gt;""))=0,"",SUMPRODUCT((SITE_ST="P9-006")*(SITE_TYPE=$B138)*(SITE_TYPE&lt;&gt;"")*(SITE_T22="Y"))&amp;"/"&amp;SUMPRODUCT((SITE_ST="P9-006")*(SITE_TYPE=$B138)*(SITE_TYPE&lt;&gt;"")))</f>
        <v/>
      </c>
      <c r="L138" s="32" t="str">
        <f aca="false">IF(SUMPRODUCT((SITE_ST="P9-006")*(SITE_TYPE=$B138)*(SITE_TYPE&lt;&gt;""))=0,"",SUMPRODUCT((SITE_ST="P9-006")*(SITE_TYPE=$B138)*(SITE_TYPE&lt;&gt;"")*(SITE_T23="Y"))&amp;"/"&amp;SUMPRODUCT((SITE_ST="P9-006")*(SITE_TYPE=$B138)*(SITE_TYPE&lt;&gt;"")))</f>
        <v/>
      </c>
      <c r="O138" s="32" t="str">
        <f aca="false">IF(SUMPRODUCT((SITE_ST="P9-006")*(SITE_TYPE=$B138)*(LEFT(SITE_LAD,4)="ติด:"))=0,"",SUMPRODUCT((SITE_ST="P9-006")*(SITE_TYPE=$B138)*(LEFT(SITE_LAD,4)="ติด:"))&amp;"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SUMPRODUCT((SITE_ST="P9-006")*(SITE_TYPE=$B139)*(SITE_TYPE&lt;&gt;""))</f>
        <v>0</v>
      </c>
      <c r="E139" s="397" t="n">
        <f aca="false">SUMPRODUCT((SITE_ST="P9-006")*(SITE_TYPE=$B139)*SITE_MOD)</f>
        <v>0</v>
      </c>
      <c r="I139" s="398" t="n">
        <f aca="false">SUMPRODUCT((SITE_ST="P9-006")*(SITE_TYPE=$B139)*SITE_KWP)</f>
        <v>0</v>
      </c>
      <c r="J139" s="35" t="str">
        <f aca="false">IF(SUMPRODUCT((SITE_ST="P9-006")*(SITE_TYPE=$B139)*(SITE_TYPE&lt;&gt;""))=0,"",SUMPRODUCT((SITE_ST="P9-006")*(SITE_TYPE=$B139)*SITE_S21*SITE_D21)/MAX(0.0001,SUMPRODUCT((SITE_ST="P9-006")*(SITE_TYPE=$B139)*SITE_S21)))</f>
        <v/>
      </c>
      <c r="K139" s="32" t="str">
        <f aca="false">IF(SUMPRODUCT((SITE_ST="P9-006")*(SITE_TYPE=$B139)*(SITE_TYPE&lt;&gt;""))=0,"",SUMPRODUCT((SITE_ST="P9-006")*(SITE_TYPE=$B139)*(SITE_TYPE&lt;&gt;"")*(SITE_T22="Y"))&amp;"/"&amp;SUMPRODUCT((SITE_ST="P9-006")*(SITE_TYPE=$B139)*(SITE_TYPE&lt;&gt;"")))</f>
        <v/>
      </c>
      <c r="L139" s="32" t="str">
        <f aca="false">IF(SUMPRODUCT((SITE_ST="P9-006")*(SITE_TYPE=$B139)*(SITE_TYPE&lt;&gt;""))=0,"",SUMPRODUCT((SITE_ST="P9-006")*(SITE_TYPE=$B139)*(SITE_TYPE&lt;&gt;"")*(SITE_T23="Y"))&amp;"/"&amp;SUMPRODUCT((SITE_ST="P9-006")*(SITE_TYPE=$B139)*(SITE_TYPE&lt;&gt;"")))</f>
        <v/>
      </c>
      <c r="O139" s="32" t="str">
        <f aca="false">IF(SUMPRODUCT((SITE_ST="P9-006")*(SITE_TYPE=$B139)*(LEFT(SITE_LAD,4)="ติด:"))=0,"",SUMPRODUCT((SITE_ST="P9-006")*(SITE_TYPE=$B139)*(LEFT(SITE_LAD,4)="ติด:"))&amp;"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SUMPRODUCT((SITE_ST="P9-006")*(SITE_TYPE=$B140)*(SITE_TYPE&lt;&gt;""))</f>
        <v>0</v>
      </c>
      <c r="E140" s="397" t="n">
        <f aca="false">SUMPRODUCT((SITE_ST="P9-006")*(SITE_TYPE=$B140)*SITE_MOD)</f>
        <v>0</v>
      </c>
      <c r="I140" s="398" t="n">
        <f aca="false">SUMPRODUCT((SITE_ST="P9-006")*(SITE_TYPE=$B140)*SITE_KWP)</f>
        <v>0</v>
      </c>
      <c r="J140" s="35" t="str">
        <f aca="false">IF(SUMPRODUCT((SITE_ST="P9-006")*(SITE_TYPE=$B140)*(SITE_TYPE&lt;&gt;""))=0,"",SUMPRODUCT((SITE_ST="P9-006")*(SITE_TYPE=$B140)*SITE_S21*SITE_D21)/MAX(0.0001,SUMPRODUCT((SITE_ST="P9-006")*(SITE_TYPE=$B140)*SITE_S21)))</f>
        <v/>
      </c>
      <c r="K140" s="32" t="str">
        <f aca="false">IF(SUMPRODUCT((SITE_ST="P9-006")*(SITE_TYPE=$B140)*(SITE_TYPE&lt;&gt;""))=0,"",SUMPRODUCT((SITE_ST="P9-006")*(SITE_TYPE=$B140)*(SITE_TYPE&lt;&gt;"")*(SITE_T22="Y"))&amp;"/"&amp;SUMPRODUCT((SITE_ST="P9-006")*(SITE_TYPE=$B140)*(SITE_TYPE&lt;&gt;"")))</f>
        <v/>
      </c>
      <c r="L140" s="32" t="str">
        <f aca="false">IF(SUMPRODUCT((SITE_ST="P9-006")*(SITE_TYPE=$B140)*(SITE_TYPE&lt;&gt;""))=0,"",SUMPRODUCT((SITE_ST="P9-006")*(SITE_TYPE=$B140)*(SITE_TYPE&lt;&gt;"")*(SITE_T23="Y"))&amp;"/"&amp;SUMPRODUCT((SITE_ST="P9-006")*(SITE_TYPE=$B140)*(SITE_TYPE&lt;&gt;"")))</f>
        <v/>
      </c>
      <c r="O140" s="32" t="str">
        <f aca="false">IF(SUMPRODUCT((SITE_ST="P9-006")*(SITE_TYPE=$B140)*(LEFT(SITE_LAD,4)="ติด:"))=0,"",SUMPRODUCT((SITE_ST="P9-006")*(SITE_TYPE=$B140)*(LEFT(SITE_LAD,4)="ติด:"))&amp;"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SUMPRODUCT((SITE_ST="P9-006")*(SITE_TYPE=$B141)*(SITE_TYPE&lt;&gt;""))</f>
        <v>0</v>
      </c>
      <c r="E141" s="397" t="n">
        <f aca="false">SUMPRODUCT((SITE_ST="P9-006")*(SITE_TYPE=$B141)*SITE_MOD)</f>
        <v>0</v>
      </c>
      <c r="I141" s="398" t="n">
        <f aca="false">SUMPRODUCT((SITE_ST="P9-006")*(SITE_TYPE=$B141)*SITE_KWP)</f>
        <v>0</v>
      </c>
      <c r="J141" s="35" t="str">
        <f aca="false">IF(SUMPRODUCT((SITE_ST="P9-006")*(SITE_TYPE=$B141)*(SITE_TYPE&lt;&gt;""))=0,"",SUMPRODUCT((SITE_ST="P9-006")*(SITE_TYPE=$B141)*SITE_S21*SITE_D21)/MAX(0.0001,SUMPRODUCT((SITE_ST="P9-006")*(SITE_TYPE=$B141)*SITE_S21)))</f>
        <v/>
      </c>
      <c r="K141" s="32" t="str">
        <f aca="false">IF(SUMPRODUCT((SITE_ST="P9-006")*(SITE_TYPE=$B141)*(SITE_TYPE&lt;&gt;""))=0,"",SUMPRODUCT((SITE_ST="P9-006")*(SITE_TYPE=$B141)*(SITE_TYPE&lt;&gt;"")*(SITE_T22="Y"))&amp;"/"&amp;SUMPRODUCT((SITE_ST="P9-006")*(SITE_TYPE=$B141)*(SITE_TYPE&lt;&gt;"")))</f>
        <v/>
      </c>
      <c r="L141" s="32" t="str">
        <f aca="false">IF(SUMPRODUCT((SITE_ST="P9-006")*(SITE_TYPE=$B141)*(SITE_TYPE&lt;&gt;""))=0,"",SUMPRODUCT((SITE_ST="P9-006")*(SITE_TYPE=$B141)*(SITE_TYPE&lt;&gt;"")*(SITE_T23="Y"))&amp;"/"&amp;SUMPRODUCT((SITE_ST="P9-006")*(SITE_TYPE=$B141)*(SITE_TYPE&lt;&gt;"")))</f>
        <v/>
      </c>
      <c r="O141" s="32" t="str">
        <f aca="false">IF(SUMPRODUCT((SITE_ST="P9-006")*(SITE_TYPE=$B141)*(LEFT(SITE_LAD,4)="ติด:"))=0,"",SUMPRODUCT((SITE_ST="P9-006")*(SITE_TYPE=$B141)*(LEFT(SITE_LAD,4)="ติด:"))&amp;"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SUMPRODUCT((SITE_ST="P9-006")*(SITE_TYPE&lt;&gt;""))</f>
        <v>2</v>
      </c>
      <c r="E142" s="403" t="n">
        <f aca="false">SUMPRODUCT((SITE_ST="P9-006")*SITE_MOD)</f>
        <v>492</v>
      </c>
      <c r="I142" s="404" t="n">
        <f aca="false">SUMPRODUCT((SITE_ST="P9-006")*SITE_KWP)</f>
        <v>280.44</v>
      </c>
      <c r="J142" s="405" t="n">
        <f aca="false">IF(SUMPRODUCT((SITE_ST="P9-006")*(SITE_TYPE&lt;&gt;""))=0,"",SUMPRODUCT((SITE_ST="P9-006")*SITE_S21*SITE_D21)/MAX(0.0001,SUMPRODUCT((SITE_ST="P9-006")*SITE_S21)))</f>
        <v>0</v>
      </c>
      <c r="K142" s="406" t="str">
        <f aca="false">IF(SUMPRODUCT((SITE_ST="P9-006")*(SITE_TYPE&lt;&gt;""))=0,"",SUMPRODUCT((SITE_ST="P9-006")*(SITE_TYPE&lt;&gt;"")*(SITE_T22="Y"))&amp;"/"&amp;SUMPRODUCT((SITE_ST="P9-006")*(SITE_TYPE&lt;&gt;"")))</f>
        <v>0/2</v>
      </c>
      <c r="L142" s="406" t="str">
        <f aca="false">IF(SUMPRODUCT((SITE_ST="P9-006")*(SITE_TYPE&lt;&gt;""))=0,"",SUMPRODUCT((SITE_ST="P9-006")*(SITE_TYPE&lt;&gt;"")*(SITE_T23="Y"))&amp;"/"&amp;SUMPRODUCT((SITE_ST="P9-006")*(SITE_TYPE&lt;&gt;"")))</f>
        <v>0/2</v>
      </c>
      <c r="O142" s="406" t="str">
        <f aca="false">IF(SUMPRODUCT((SITE_ST="P9-006")*(LEFT(SITE_LAD,4)="ติด:"))=0,"",SUMPRODUCT((SITE_ST="P9-006")*(LEFT(SITE_LAD,4)="ติด:"))&amp;"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IFERROR(INDEX(INVS_TYPE,MATCH("P9-006",INVS_ID,0))&amp;"","")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ทั้งก้อน",IFERROR(INDEX(INVS_SET,MATCH("P9-006",INVS_ID,0)),"")&amp;" kW, โรงเรือน "&amp;IFERROR(INDEX(INVS_SIZE,MATCH("P9-006",INVS_ID,0)),"")&amp;",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3" display="✎ กรอกความคืบหน้า"/>
    <hyperlink ref="R4" location="'Master Plan'!A13" display="← กลับ Master Plan"/>
    <hyperlink ref="M10" location="'อัปเดตงาน WBS'!L4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6"/>
    <hyperlink ref="M11" location="'อัปเดตงาน WBS'!L4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7"/>
    <hyperlink ref="M12" location="'อัปเดตงาน WBS'!L4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8"/>
    <hyperlink ref="M13" location="'อัปเดตงาน WBS'!L4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19"/>
    <hyperlink ref="M14" location="'อัปเดตงาน WBS'!L4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0"/>
    <hyperlink ref="M15" location="'อัปเดตงาน WBS'!L4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1"/>
    <hyperlink ref="M17" location="'อัปเดตงาน WBS'!L4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2"/>
    <hyperlink ref="M18" location="'อัปเดตงาน WBS'!L4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3"/>
    <hyperlink ref="M19" location="'อัปเดตงาน WBS'!L4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4"/>
    <hyperlink ref="M20" location="'อัปเดตงาน WBS'!L4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5"/>
    <hyperlink ref="M21" location="'อัปเดตงาน WBS'!L4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6"/>
    <hyperlink ref="M22" location="'อัปเดตงาน WBS'!L4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7"/>
    <hyperlink ref="M23" location="'อัปเดตงาน WBS'!L4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8"/>
    <hyperlink ref="M24" location="'อัปเดตงาน WBS'!L4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29"/>
    <hyperlink ref="M26" location="'อัปเดตงาน WBS'!L4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0"/>
    <hyperlink ref="M27" location="'อัปเดตงาน WBS'!L4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1"/>
    <hyperlink ref="M28" location="'อัปเดตงาน WBS'!L4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2"/>
    <hyperlink ref="M31" location="'อัปเดตงาน WBS'!L4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3"/>
    <hyperlink ref="M32" location="'อัปเดตงาน WBS'!L4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4"/>
    <hyperlink ref="M33" location="'อัปเดตงาน WBS'!L4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5"/>
    <hyperlink ref="M35" location="'อัปเดตงาน WBS'!L4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6"/>
    <hyperlink ref="M36" location="'อัปเดตงาน WBS'!L4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7"/>
    <hyperlink ref="M37" location="'อัปเดตงาน WBS'!L4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8"/>
    <hyperlink ref="M38" location="'อัปเดตงาน WBS'!L4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39"/>
    <hyperlink ref="M40" location="'อัปเดตงาน WBS'!L4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0"/>
    <hyperlink ref="M41" location="'อัปเดตงาน WBS'!L4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1"/>
    <hyperlink ref="M42" location="'อัปเดตงาน WBS'!L4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2"/>
    <hyperlink ref="M44" location="'อัปเดตงาน WBS'!L4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3"/>
    <hyperlink ref="M45" location="'อัปเดตงาน WBS'!L4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4"/>
    <hyperlink ref="M46" location="'อัปเดตงาน WBS'!L4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5"/>
    <hyperlink ref="M48" location="'อัปเดตงาน WBS'!L4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6"/>
    <hyperlink ref="M49" location="'อัปเดตงาน WBS'!L4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7"/>
    <hyperlink ref="M51" location="'อัปเดตงาน WBS'!L4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8"/>
    <hyperlink ref="M53" location="'อัปเดตงาน WBS'!L4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49"/>
    <hyperlink ref="M54" location="'อัปเดตงาน WBS'!L4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0"/>
    <hyperlink ref="M63" location="'อัปเดตงาน WBS'!L4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1"/>
    <hyperlink ref="M64" location="'อัปเดตงาน WBS'!L4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2"/>
    <hyperlink ref="M65" location="'อัปเดตงาน WBS'!L4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3"/>
    <hyperlink ref="M66" location="'อัปเดตงาน WBS'!L4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4"/>
    <hyperlink ref="M67" location="'อัปเดตงาน WBS'!L4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5"/>
    <hyperlink ref="M68" location="'อัปเดตงาน WBS'!L4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6"/>
    <hyperlink ref="M69" location="'อัปเดตงาน WBS'!L4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7"/>
    <hyperlink ref="M71" location="'อัปเดตงาน WBS'!L4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8"/>
    <hyperlink ref="M72" location="'อัปเดตงาน WBS'!L4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59"/>
    <hyperlink ref="M73" location="'อัปเดตงาน WBS'!L4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0"/>
    <hyperlink ref="M74" location="'อัปเดตงาน WBS'!L4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1"/>
    <hyperlink ref="M75" location="'อัปเดตงาน WBS'!L4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2"/>
    <hyperlink ref="M77" location="'อัปเดตงาน WBS'!L4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3"/>
    <hyperlink ref="M78" location="'อัปเดตงาน WBS'!L4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4"/>
    <hyperlink ref="M79" location="'อัปเดตงาน WBS'!L4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5"/>
    <hyperlink ref="M80" location="'อัปเดตงาน WBS'!L4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6"/>
    <hyperlink ref="M81" location="'อัปเดตงาน WBS'!L4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7"/>
    <hyperlink ref="M83" location="'อัปเดตงาน WBS'!L4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8"/>
    <hyperlink ref="M84" location="'อัปเดตงาน WBS'!L4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69"/>
    <hyperlink ref="M86" location="'อัปเดตงาน WBS'!L4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0"/>
    <hyperlink ref="M87" location="'อัปเดตงาน WBS'!L4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1"/>
    <hyperlink ref="M88" location="'อัปเดตงาน WBS'!L4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2"/>
    <hyperlink ref="M89" location="'อัปเดตงาน WBS'!L4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3"/>
    <hyperlink ref="M91" location="'อัปเดตงาน WBS'!L4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4"/>
    <hyperlink ref="M92" location="'อัปเดตงาน WBS'!L4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5"/>
    <hyperlink ref="M93" location="'อัปเดตงาน WBS'!L4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6"/>
    <hyperlink ref="M94" location="'อัปเดตงาน WBS'!L4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7"/>
    <hyperlink ref="M95" location="'อัปเดตงาน WBS'!L4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8"/>
    <hyperlink ref="M97" location="'อัปเดตงาน WBS'!L4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79"/>
    <hyperlink ref="M98" location="'อัปเดตงาน WBS'!L4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0"/>
    <hyperlink ref="M99" location="'อัปเดตงาน WBS'!L4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1"/>
    <hyperlink ref="M102" location="'อัปเดตงาน WBS'!L4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2"/>
    <hyperlink ref="M104" location="'อัปเดตงาน WBS'!L4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3"/>
    <hyperlink ref="M105" location="'อัปเดตงาน WBS'!L4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4"/>
    <hyperlink ref="M106" location="'อัปเดตงาน WBS'!L4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5"/>
    <hyperlink ref="M108" location="'อัปเดตงาน WBS'!L4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6"/>
    <hyperlink ref="M109" location="'อัปเดตงาน WBS'!L4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7"/>
    <hyperlink ref="M110" location="'อัปเดตงาน WBS'!L4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8"/>
    <hyperlink ref="M112" location="'อัปเดตงาน WBS'!L4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89"/>
    <hyperlink ref="M113" location="'อัปเดตงาน WBS'!L4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0"/>
    <hyperlink ref="M116" location="'อัปเดตงาน WBS'!L4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1"/>
    <hyperlink ref="M117" location="'อัปเดตงาน WBS'!L4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2"/>
    <hyperlink ref="M118" location="'อัปเดตงาน WBS'!L4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3"/>
    <hyperlink ref="M119" location="'อัปเดตงาน WBS'!L4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4"/>
    <hyperlink ref="M120" location="'อัปเดตงาน WBS'!L4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5"/>
    <hyperlink ref="M121" location="'อัปเดตงาน WBS'!L4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6"/>
    <hyperlink ref="M125" location="'อัปเดตงาน WBS'!L4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7"/>
    <hyperlink ref="M126" location="'อัปเดตงาน WBS'!L4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8"/>
    <hyperlink ref="M127" location="'อัปเดตงาน WBS'!L4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499"/>
    <hyperlink ref="D134" location="'จุดติดตั้ง'!A32" display="✎ เพิ่ม / แก้จุดติดตั้ง →"/>
    <hyperlink ref="D146" location="'Inverter station'!A11" display="file:///home/claude/dash/template/%E0%B9%81%E0%B8%A1%E0%B9%88%E0%B9%81%E0%B8%9A%E0%B8%9A%E0%B9%82%E0%B8%84%E0%B8%A3%E0%B8%87%E0%B8%81%E0%B8%B2%E0%B8%A3%20TCRoof%20(%E0%B8%97%E0%B8%B8%E0%B8%81%E0%B8%81%E0%B8%A3%E0%B8%93%E0%B8%B5).xlsx#'Inverter station'!A1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3692</v>
      </c>
    </row>
    <row r="2" customFormat="false" ht="15" hidden="false" customHeight="false" outlineLevel="0" collapsed="false">
      <c r="A2" s="354" t="s">
        <v>3693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Plan'!$AI$14</f>
        <v>-36</v>
      </c>
      <c r="M4" s="360"/>
      <c r="N4" s="360" t="n">
        <f aca="false">'Master Plan'!$AJ$14</f>
        <v>-3</v>
      </c>
      <c r="O4" s="360"/>
      <c r="P4" s="361" t="str">
        <f aca="false">'Master Plan'!$AK$14&amp;" / "&amp;'Master Plan'!$AL$14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COUNTIFS(CR_ST,"P9-007",CR_STAT,"อนุมัติ")&amp;" รายการ, "&amp;'Master Plan'!$AO$14&amp;" วัน"</f>
        <v>0 รายการ, 0 วัน</v>
      </c>
      <c r="AG4" s="362"/>
      <c r="AH4" s="362"/>
      <c r="AI4" s="362"/>
      <c r="AJ4" s="362"/>
      <c r="AK4" s="363" t="n">
        <f aca="false">COUNTIFS(CR_ST,"P9-007",CR_STAT,"รออนุมัติ")+COUNTIFS(CR_ST,"P9-007",CR_STAT,"ขอข้อมูลเพิ่ม")</f>
        <v>0</v>
      </c>
      <c r="AL4" s="363"/>
      <c r="AM4" s="363"/>
      <c r="AN4" s="363"/>
      <c r="AO4" s="363"/>
      <c r="AP4" s="362" t="str">
        <f aca="false">COUNTIF(RW_ST,"P9-007")&amp;" ("&amp;COUNTIFS(RW_ST,"P9-007",RW_DONE,"&lt;&gt;Y")&amp;")"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COUNTIF(LL_ST,"*P9-007*")</f>
        <v>0</v>
      </c>
      <c r="BA4" s="363"/>
      <c r="BB4" s="363"/>
      <c r="BC4" s="363"/>
      <c r="BD4" s="363"/>
      <c r="BE4" s="362" t="str">
        <f aca="false">IF(COUNTIFS(SITE_ST,"P9-007",SITE_TYPE,"?*")=0,"ประมาณการ,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IF(COUNTIFS(SITE_ST,"P9-007",SITE_TYPE,"?*")=0,"ยังไม่ระบุจุด",COUNTIFS(SITE_ST,"P9-007",SITE_LAD,"ติด:*")&amp;" จุด"&amp;IF(COUNTIFS(SITE_ST,"P9-007",SITE_LAD,"⚠*")&gt;0,",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3694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69</v>
      </c>
      <c r="E9" s="372" t="n">
        <v>0</v>
      </c>
      <c r="F9" s="31"/>
      <c r="G9" s="32"/>
      <c r="H9" s="32" t="n">
        <v>1</v>
      </c>
      <c r="I9" s="373" t="n">
        <f aca="false">'Master Plan'!$H$14+(-75)</f>
        <v>46328</v>
      </c>
      <c r="J9" s="373" t="n">
        <f aca="false">'Master Plan'!$H$14+(50)</f>
        <v>46453</v>
      </c>
      <c r="K9" s="78"/>
      <c r="L9" s="78" t="str">
        <f aca="false">IF(ISNUMBER(อัปเดตรายสัปดาห์!$G$14),อัปเดตรายสัปดาห์!$G$14,"")</f>
        <v/>
      </c>
      <c r="M9" s="374" t="str">
        <f aca="false">IF(อัปเดตรายสัปดาห์!$G$14="Y","Y","")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Plan'!$H$14+(-75)</f>
        <v>46328</v>
      </c>
      <c r="J10" s="382" t="n">
        <f aca="false">'Master Plan'!$H$14+(-63)</f>
        <v>46340</v>
      </c>
      <c r="K10" s="387"/>
      <c r="L10" s="387"/>
      <c r="M10" s="383" t="str">
        <f aca="false">IF('อัปเดตงาน WBS'!$L$500="","",'อัปเดตงาน WBS'!$L$500)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Plan'!$H$14+(-75)</f>
        <v>46328</v>
      </c>
      <c r="J11" s="382" t="n">
        <f aca="false">'Master Plan'!$H$14+(-63)</f>
        <v>46340</v>
      </c>
      <c r="K11" s="387"/>
      <c r="L11" s="387"/>
      <c r="M11" s="383" t="str">
        <f aca="false">IF('อัปเดตงาน WBS'!$L$501="","",'อัปเดตงาน WBS'!$L$501)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Plan'!$H$14+(-75)</f>
        <v>46328</v>
      </c>
      <c r="J12" s="382" t="n">
        <f aca="false">'Master Plan'!$H$14+(-63)</f>
        <v>46340</v>
      </c>
      <c r="K12" s="387"/>
      <c r="L12" s="387"/>
      <c r="M12" s="383" t="str">
        <f aca="false">IF('อัปเดตงาน WBS'!$L$502="","",'อัปเดตงาน WBS'!$L$502)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Plan'!$H$14+(-75)</f>
        <v>46328</v>
      </c>
      <c r="J13" s="382" t="n">
        <f aca="false">'Master Plan'!$H$14+(-56)</f>
        <v>46347</v>
      </c>
      <c r="K13" s="387"/>
      <c r="L13" s="387"/>
      <c r="M13" s="383" t="str">
        <f aca="false">IF('อัปเดตงาน WBS'!$L$503="","",'อัปเดตงาน WBS'!$L$503)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Plan'!$H$14+(-63)</f>
        <v>46340</v>
      </c>
      <c r="J14" s="382" t="n">
        <f aca="false">'Master Plan'!$H$14+(50)</f>
        <v>46453</v>
      </c>
      <c r="K14" s="387"/>
      <c r="L14" s="387"/>
      <c r="M14" s="383" t="str">
        <f aca="false">IF('อัปเดตงาน WBS'!$L$504="","",'อัปเดตงาน WBS'!$L$504)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Plan'!$H$14+(-63)</f>
        <v>46340</v>
      </c>
      <c r="J15" s="382" t="n">
        <f aca="false">'Master Plan'!$H$14+(50)</f>
        <v>46453</v>
      </c>
      <c r="K15" s="387"/>
      <c r="L15" s="387"/>
      <c r="M15" s="383" t="str">
        <f aca="false">IF('อัปเดตงาน WBS'!$L$505="","",'อัปเดตงาน WBS'!$L$505)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Plan'!$H$14+(-56)</f>
        <v>46347</v>
      </c>
      <c r="J16" s="373" t="n">
        <f aca="false">'Master Plan'!$H$14+(-45)</f>
        <v>46358</v>
      </c>
      <c r="K16" s="78"/>
      <c r="L16" s="78" t="str">
        <f aca="false">IF(ISNUMBER(อัปเดตรายสัปดาห์!$H$14),อัปเดตรายสัปดาห์!$H$14,"")</f>
        <v/>
      </c>
      <c r="M16" s="374" t="str">
        <f aca="false">IF(อัปเดตรายสัปดาห์!$H$14="Y","Y","")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Plan'!$H$14+(-56)</f>
        <v>46347</v>
      </c>
      <c r="J17" s="382" t="n">
        <f aca="false">'Master Plan'!$H$14+(-54)</f>
        <v>46349</v>
      </c>
      <c r="K17" s="387"/>
      <c r="L17" s="387"/>
      <c r="M17" s="383" t="str">
        <f aca="false">IF('อัปเดตงาน WBS'!$L$506="","",'อัปเดตงาน WBS'!$L$506)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Plan'!$H$14+(-55)</f>
        <v>46348</v>
      </c>
      <c r="J18" s="382" t="n">
        <f aca="false">'Master Plan'!$H$14+(-52)</f>
        <v>46351</v>
      </c>
      <c r="K18" s="387"/>
      <c r="L18" s="387"/>
      <c r="M18" s="383" t="str">
        <f aca="false">IF('อัปเดตงาน WBS'!$L$507="","",'อัปเดตงาน WBS'!$L$507)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Plan'!$H$14+(-53)</f>
        <v>46350</v>
      </c>
      <c r="J19" s="382" t="n">
        <f aca="false">'Master Plan'!$H$14+(-48)</f>
        <v>46355</v>
      </c>
      <c r="K19" s="387"/>
      <c r="L19" s="387"/>
      <c r="M19" s="383" t="str">
        <f aca="false">IF('อัปเดตงาน WBS'!$L$508="","",'อัปเดตงาน WBS'!$L$508)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Plan'!$H$14+(-53)</f>
        <v>46350</v>
      </c>
      <c r="J20" s="382" t="n">
        <f aca="false">'Master Plan'!$H$14+(-48)</f>
        <v>46355</v>
      </c>
      <c r="K20" s="387"/>
      <c r="L20" s="387"/>
      <c r="M20" s="383" t="str">
        <f aca="false">IF('อัปเดตงาน WBS'!$L$509="","",'อัปเดตงาน WBS'!$L$509)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Plan'!$H$14+(-52)</f>
        <v>46351</v>
      </c>
      <c r="J21" s="382" t="n">
        <f aca="false">'Master Plan'!$H$14+(-47)</f>
        <v>46356</v>
      </c>
      <c r="K21" s="387"/>
      <c r="L21" s="387"/>
      <c r="M21" s="383" t="str">
        <f aca="false">IF('อัปเดตงาน WBS'!$L$510="","",'อัปเดตงาน WBS'!$L$510)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Plan'!$H$14+(-50)</f>
        <v>46353</v>
      </c>
      <c r="J22" s="382" t="n">
        <f aca="false">'Master Plan'!$H$14+(-46)</f>
        <v>46357</v>
      </c>
      <c r="K22" s="387"/>
      <c r="L22" s="387"/>
      <c r="M22" s="383" t="str">
        <f aca="false">IF('อัปเดตงาน WBS'!$L$511="","",'อัปเดตงาน WBS'!$L$511)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Plan'!$H$14+(-49)</f>
        <v>46354</v>
      </c>
      <c r="J24" s="382" t="n">
        <f aca="false">'Master Plan'!$H$14+(-45)</f>
        <v>46358</v>
      </c>
      <c r="K24" s="387"/>
      <c r="L24" s="387"/>
      <c r="M24" s="383" t="str">
        <f aca="false">IF('อัปเดตงาน WBS'!$L$512="","",'อัปเดตงาน WBS'!$L$512)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Plan'!$H$14+(-51)</f>
        <v>46352</v>
      </c>
      <c r="J25" s="373" t="n">
        <f aca="false">'Master Plan'!$H$14+(-51)</f>
        <v>46352</v>
      </c>
      <c r="K25" s="78"/>
      <c r="L25" s="78" t="str">
        <f aca="false">IF(ISNUMBER(อัปเดตรายสัปดาห์!$I$14),อัปเดตรายสัปดาห์!$I$14,"")</f>
        <v/>
      </c>
      <c r="M25" s="374" t="str">
        <f aca="false">IF(อัปเดตรายสัปดาห์!$I$14="Y","Y","")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Plan'!$H$14+(-51)</f>
        <v>46352</v>
      </c>
      <c r="J26" s="382" t="n">
        <f aca="false">'Master Plan'!$H$14+(-51)</f>
        <v>46352</v>
      </c>
      <c r="K26" s="387"/>
      <c r="L26" s="387"/>
      <c r="M26" s="383" t="str">
        <f aca="false">IF('อัปเดตงาน WBS'!$L$513="","",'อัปเดตงาน WBS'!$L$513)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Plan'!$H$14+(-51)</f>
        <v>46352</v>
      </c>
      <c r="J27" s="382" t="n">
        <f aca="false">'Master Plan'!$H$14+(-51)</f>
        <v>46352</v>
      </c>
      <c r="K27" s="387"/>
      <c r="L27" s="387"/>
      <c r="M27" s="383" t="str">
        <f aca="false">IF('อัปเดตงาน WBS'!$L$514="","",'อัปเดตงาน WBS'!$L$514)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Plan'!$H$14+(-51)</f>
        <v>46352</v>
      </c>
      <c r="J28" s="382" t="n">
        <f aca="false">'Master Plan'!$H$14+(-51)</f>
        <v>46352</v>
      </c>
      <c r="K28" s="387"/>
      <c r="L28" s="387"/>
      <c r="M28" s="383" t="str">
        <f aca="false">IF('อัปเดตงาน WBS'!$L$515="","",'อัปเดตงาน WBS'!$L$515)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69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Plan'!$H$14+(-75)</f>
        <v>46328</v>
      </c>
      <c r="J30" s="373" t="n">
        <f aca="false">'Master Plan'!$H$14+(-75)</f>
        <v>46328</v>
      </c>
      <c r="K30" s="78"/>
      <c r="L30" s="78" t="str">
        <f aca="false">IF(ISNUMBER(อัปเดตรายสัปดาห์!$J$14),อัปเดตรายสัปดาห์!$J$14,"")</f>
        <v/>
      </c>
      <c r="M30" s="374" t="str">
        <f aca="false">IF(อัปเดตรายสัปดาห์!$J$14="Y","Y","")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Plan'!$H$14+(-75)</f>
        <v>46328</v>
      </c>
      <c r="J31" s="382" t="n">
        <f aca="false">'Master Plan'!$H$14+(-75)</f>
        <v>46328</v>
      </c>
      <c r="K31" s="387"/>
      <c r="L31" s="387"/>
      <c r="M31" s="383" t="str">
        <f aca="false">IF('อัปเดตงาน WBS'!$L$516="","",'อัปเดตงาน WBS'!$L$516)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Plan'!$H$14+(-75)</f>
        <v>46328</v>
      </c>
      <c r="J32" s="382" t="n">
        <f aca="false">'Master Plan'!$H$14+(-75)</f>
        <v>46328</v>
      </c>
      <c r="K32" s="387"/>
      <c r="L32" s="387"/>
      <c r="M32" s="383" t="str">
        <f aca="false">IF('อัปเดตงาน WBS'!$L$517="","",'อัปเดตงาน WBS'!$L$517)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Plan'!$H$14+(-75)</f>
        <v>46328</v>
      </c>
      <c r="J33" s="382" t="n">
        <f aca="false">'Master Plan'!$H$14+(-75)</f>
        <v>46328</v>
      </c>
      <c r="K33" s="387"/>
      <c r="L33" s="387"/>
      <c r="M33" s="383" t="str">
        <f aca="false">IF('อัปเดตงาน WBS'!$L$518="","",'อัปเดตงาน WBS'!$L$518)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69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Plan'!$H$14+(-68)</f>
        <v>46335</v>
      </c>
      <c r="J34" s="373" t="n">
        <f aca="false">'Master Plan'!$H$14+(-59)</f>
        <v>46344</v>
      </c>
      <c r="K34" s="78"/>
      <c r="L34" s="78" t="str">
        <f aca="false">IF(ISNUMBER(อัปเดตรายสัปดาห์!$K$14),อัปเดตรายสัปดาห์!$K$14,"")</f>
        <v/>
      </c>
      <c r="M34" s="374" t="str">
        <f aca="false">IF(อัปเดตรายสัปดาห์!$K$14="Y","Y","")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Plan'!$H$14+(-68)</f>
        <v>46335</v>
      </c>
      <c r="J35" s="382" t="n">
        <f aca="false">'Master Plan'!$H$14+(-64)</f>
        <v>46339</v>
      </c>
      <c r="K35" s="387"/>
      <c r="L35" s="387"/>
      <c r="M35" s="383" t="str">
        <f aca="false">IF('อัปเดตงาน WBS'!$L$519="","",'อัปเดตงาน WBS'!$L$519)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Plan'!$H$14+(-68)</f>
        <v>46335</v>
      </c>
      <c r="J36" s="382" t="n">
        <f aca="false">'Master Plan'!$H$14+(-63)</f>
        <v>46340</v>
      </c>
      <c r="K36" s="387"/>
      <c r="L36" s="387"/>
      <c r="M36" s="383" t="str">
        <f aca="false">IF('อัปเดตงาน WBS'!$L$520="","",'อัปเดตงาน WBS'!$L$520)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Plan'!$H$14+(-65)</f>
        <v>46338</v>
      </c>
      <c r="J37" s="382" t="n">
        <f aca="false">'Master Plan'!$H$14+(-62)</f>
        <v>46341</v>
      </c>
      <c r="K37" s="387"/>
      <c r="L37" s="387"/>
      <c r="M37" s="383" t="str">
        <f aca="false">IF('อัปเดตงาน WBS'!$L$521="","",'อัปเดตงาน WBS'!$L$521)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Plan'!$H$14+(-63)</f>
        <v>46340</v>
      </c>
      <c r="J38" s="382" t="n">
        <f aca="false">'Master Plan'!$H$14+(-59)</f>
        <v>46344</v>
      </c>
      <c r="K38" s="387"/>
      <c r="L38" s="387"/>
      <c r="M38" s="383" t="str">
        <f aca="false">IF('อัปเดตงาน WBS'!$L$522="","",'อัปเดตงาน WBS'!$L$522)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69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Plan'!$H$14+(-45)</f>
        <v>46358</v>
      </c>
      <c r="J39" s="373" t="n">
        <f aca="false">'Master Plan'!$H$14+(-45)</f>
        <v>46358</v>
      </c>
      <c r="K39" s="78"/>
      <c r="L39" s="78" t="str">
        <f aca="false">IF(ISNUMBER(อัปเดตรายสัปดาห์!$L$14),อัปเดตรายสัปดาห์!$L$14,"")</f>
        <v/>
      </c>
      <c r="M39" s="374" t="str">
        <f aca="false">IF(อัปเดตรายสัปดาห์!$L$14="Y","Y","")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Plan'!$H$14+(-45)</f>
        <v>46358</v>
      </c>
      <c r="J40" s="382" t="n">
        <f aca="false">'Master Plan'!$H$14+(-45)</f>
        <v>46358</v>
      </c>
      <c r="K40" s="387"/>
      <c r="L40" s="387"/>
      <c r="M40" s="383" t="str">
        <f aca="false">IF('อัปเดตงาน WBS'!$L$523="","",'อัปเดตงาน WBS'!$L$523)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Plan'!$H$14+(-45)</f>
        <v>46358</v>
      </c>
      <c r="J41" s="382" t="n">
        <f aca="false">'Master Plan'!$H$14+(-45)</f>
        <v>46358</v>
      </c>
      <c r="K41" s="387"/>
      <c r="L41" s="387"/>
      <c r="M41" s="383" t="str">
        <f aca="false">IF('อัปเดตงาน WBS'!$L$524="","",'อัปเดตงาน WBS'!$L$524)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Plan'!$H$14+(-45)</f>
        <v>46358</v>
      </c>
      <c r="J42" s="382" t="n">
        <f aca="false">'Master Plan'!$H$14+(-45)</f>
        <v>46358</v>
      </c>
      <c r="K42" s="387"/>
      <c r="L42" s="387"/>
      <c r="M42" s="383" t="str">
        <f aca="false">IF('อัปเดตงาน WBS'!$L$525="","",'อัปเดตงาน WBS'!$L$525)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Plan'!$H$14+(-68)</f>
        <v>46335</v>
      </c>
      <c r="J43" s="373" t="n">
        <f aca="false">'Master Plan'!$H$14+(-55)</f>
        <v>46348</v>
      </c>
      <c r="K43" s="78"/>
      <c r="L43" s="78" t="str">
        <f aca="false">IF(ISNUMBER(อัปเดตรายสัปดาห์!$M$14),อัปเดตรายสัปดาห์!$M$14,"")</f>
        <v/>
      </c>
      <c r="M43" s="374" t="str">
        <f aca="false">IF(อัปเดตรายสัปดาห์!$M$14="Y","Y","")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Plan'!$H$14+(-68)</f>
        <v>46335</v>
      </c>
      <c r="J44" s="382" t="n">
        <f aca="false">'Master Plan'!$H$14+(-65)</f>
        <v>46338</v>
      </c>
      <c r="K44" s="387"/>
      <c r="L44" s="387"/>
      <c r="M44" s="383" t="str">
        <f aca="false">IF('อัปเดตงาน WBS'!$L$526="","",'อัปเดตงาน WBS'!$L$526)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Plan'!$H$14+(-67)</f>
        <v>46336</v>
      </c>
      <c r="J45" s="382" t="n">
        <f aca="false">'Master Plan'!$H$14+(-62)</f>
        <v>46341</v>
      </c>
      <c r="K45" s="387"/>
      <c r="L45" s="387"/>
      <c r="M45" s="383" t="str">
        <f aca="false">IF('อัปเดตงาน WBS'!$L$527="","",'อัปเดตงาน WBS'!$L$527)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Plan'!$H$14+(-62)</f>
        <v>46341</v>
      </c>
      <c r="J46" s="382" t="n">
        <f aca="false">'Master Plan'!$H$14+(-55)</f>
        <v>46348</v>
      </c>
      <c r="K46" s="387"/>
      <c r="L46" s="387"/>
      <c r="M46" s="383" t="str">
        <f aca="false">IF('อัปเดตงาน WBS'!$L$528="","",'อัปเดตงาน WBS'!$L$528)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IF(ISNUMBER(อัปเดตรายสัปดาห์!$P$14),อัปเดตรายสัปดาห์!$P$14,"")</f>
        <v/>
      </c>
      <c r="M52" s="374" t="str">
        <f aca="false">IF(อัปเดตรายสัปดาห์!$P$14="Y","Y","")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WBS'!$L$529="","",'อัปเดตงาน WBS'!$L$529)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WBS'!$L$530="","",'อัปเดตงาน WBS'!$L$530)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Plan'!$H$14+(-12)</f>
        <v>46391</v>
      </c>
      <c r="J55" s="373" t="n">
        <f aca="false">'Master Plan'!$H$14+(-12)</f>
        <v>46391</v>
      </c>
      <c r="K55" s="78"/>
      <c r="L55" s="78" t="str">
        <f aca="false">IF(ISNUMBER(อัปเดตรายสัปดาห์!$Q$14),อัปเดตรายสัปดาห์!$Q$14,"")</f>
        <v/>
      </c>
      <c r="M55" s="374" t="str">
        <f aca="false">IF(อัปเดตรายสัปดาห์!$Q$14="Y","Y","")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Plan'!$AC$14)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IF(ISNUMBER(อัปเดตรายสัปดาห์!$R$14),อัปเดตรายสัปดาห์!$R$14,"")</f>
        <v/>
      </c>
      <c r="M56" s="374" t="str">
        <f aca="false">IF(อัปเดตรายสัปดาห์!$R$14="Y","Y","")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Plan'!$H$14+(-11)</f>
        <v>46392</v>
      </c>
      <c r="J57" s="373" t="n">
        <f aca="false">'Master Plan'!$H$14+(9)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IF(ISNUMBER(อัปเดตรายสัปดาห์!$S$14),อัปเดตรายสัปดาห์!$S$14,"")</f>
        <v/>
      </c>
      <c r="M57" s="374" t="str">
        <f aca="false">IF(อัปเดตรายสัปดาห์!$S$14="Y","Y","")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Plan'!$AD$14)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Plan'!$H$14+(10)</f>
        <v>46413</v>
      </c>
      <c r="J58" s="373" t="n">
        <f aca="false">'Master Plan'!$H$14+(16)</f>
        <v>46419</v>
      </c>
      <c r="K58" s="78"/>
      <c r="L58" s="78" t="str">
        <f aca="false">IF(ISNUMBER(อัปเดตรายสัปดาห์!$T$14),อัปเดตรายสัปดาห์!$T$14,"")</f>
        <v/>
      </c>
      <c r="M58" s="374" t="str">
        <f aca="false">IF(อัปเดตรายสัปดาห์!$T$14="Y","Y","")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Plan'!$AE$14)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Plan'!$H$14+(17)</f>
        <v>46420</v>
      </c>
      <c r="J59" s="373" t="n">
        <f aca="false">'Master Plan'!$H$14+(17)</f>
        <v>46420</v>
      </c>
      <c r="K59" s="78"/>
      <c r="L59" s="78" t="str">
        <f aca="false">IF(ISNUMBER(อัปเดตรายสัปดาห์!$U$14),อัปเดตรายสัปดาห์!$U$14,"")</f>
        <v/>
      </c>
      <c r="M59" s="374" t="str">
        <f aca="false">IF(อัปเดตรายสัปดาห์!$U$14="Y","Y","")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Plan'!$AF$14)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69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Plan'!$H$14+(18)</f>
        <v>46421</v>
      </c>
      <c r="J60" s="373" t="n">
        <f aca="false">'Master Plan'!$H$14+(33)</f>
        <v>46436</v>
      </c>
      <c r="K60" s="78"/>
      <c r="L60" s="78" t="str">
        <f aca="false">IF(ISNUMBER(อัปเดตรายสัปดาห์!$V$14),อัปเดตรายสัปดาห์!$V$14,"")</f>
        <v/>
      </c>
      <c r="M60" s="374" t="str">
        <f aca="false">IF(อัปเดตรายสัปดาห์!$V$14="Y","Y","")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Plan'!$AH$14)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3695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Plan'!$H$14+(-42)</f>
        <v>46361</v>
      </c>
      <c r="J62" s="373" t="n">
        <f aca="false">'Master Plan'!$H$14+(-25)</f>
        <v>46378</v>
      </c>
      <c r="K62" s="78"/>
      <c r="L62" s="78" t="str">
        <f aca="false">IF(ISNUMBER(อัปเดตรายสัปดาห์!$W$14),อัปเดตรายสัปดาห์!$W$14,"")</f>
        <v/>
      </c>
      <c r="M62" s="374" t="str">
        <f aca="false">IF(อัปเดตรายสัปดาห์!$W$14="Y","Y","")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-007",SITE_TYPE,"?*")&gt;0,MIN(1,SUMPRODUCT((SITE_ST="P9-007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Plan'!$H$14+(-42)</f>
        <v>46361</v>
      </c>
      <c r="J63" s="382" t="n">
        <f aca="false">'Master Plan'!$H$14+(-40)</f>
        <v>46363</v>
      </c>
      <c r="K63" s="387"/>
      <c r="L63" s="387"/>
      <c r="M63" s="383" t="str">
        <f aca="false">IF('อัปเดตงาน WBS'!$L$531="","",'อัปเดตงาน WBS'!$L$531)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Plan'!$H$14+(-42)</f>
        <v>46361</v>
      </c>
      <c r="J64" s="382" t="n">
        <f aca="false">'Master Plan'!$H$14+(-39)</f>
        <v>46364</v>
      </c>
      <c r="K64" s="387"/>
      <c r="L64" s="387"/>
      <c r="M64" s="383" t="str">
        <f aca="false">IF('อัปเดตงาน WBS'!$L$532="","",'อัปเดตงาน WBS'!$L$532)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Plan'!$H$14+(-40)</f>
        <v>46363</v>
      </c>
      <c r="J65" s="382" t="n">
        <f aca="false">'Master Plan'!$H$14+(-34)</f>
        <v>46369</v>
      </c>
      <c r="K65" s="387"/>
      <c r="L65" s="387"/>
      <c r="M65" s="383" t="str">
        <f aca="false">IF('อัปเดตงาน WBS'!$L$533="","",'อัปเดตงาน WBS'!$L$533)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Plan'!$H$14+(-35)</f>
        <v>46368</v>
      </c>
      <c r="J66" s="382" t="n">
        <f aca="false">'Master Plan'!$H$14+(-28)</f>
        <v>46375</v>
      </c>
      <c r="K66" s="387"/>
      <c r="L66" s="387"/>
      <c r="M66" s="383" t="str">
        <f aca="false">IF('อัปเดตงาน WBS'!$L$534="","",'อัปเดตงาน WBS'!$L$534)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Plan'!$H$14+(-32)</f>
        <v>46371</v>
      </c>
      <c r="J67" s="382" t="n">
        <f aca="false">'Master Plan'!$H$14+(-26)</f>
        <v>46377</v>
      </c>
      <c r="K67" s="387"/>
      <c r="L67" s="387"/>
      <c r="M67" s="383" t="str">
        <f aca="false">IF('อัปเดตงาน WBS'!$L$535="","",'อัปเดตงาน WBS'!$L$535)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Plan'!$H$14+(-28)</f>
        <v>46375</v>
      </c>
      <c r="J68" s="382" t="n">
        <f aca="false">'Master Plan'!$H$14+(-25)</f>
        <v>46378</v>
      </c>
      <c r="K68" s="387"/>
      <c r="L68" s="387"/>
      <c r="M68" s="383" t="str">
        <f aca="false">IF('อัปเดตงาน WBS'!$L$536="","",'อัปเดตงาน WBS'!$L$536)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Plan'!$H$14+(-26)</f>
        <v>46377</v>
      </c>
      <c r="J69" s="382" t="n">
        <f aca="false">'Master Plan'!$H$14+(-25)</f>
        <v>46378</v>
      </c>
      <c r="K69" s="387"/>
      <c r="L69" s="387"/>
      <c r="M69" s="383" t="str">
        <f aca="false">IF('อัปเดตงาน WBS'!$L$537="","",'อัปเดตงาน WBS'!$L$537)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3695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Plan'!$H$14+(-24)</f>
        <v>46379</v>
      </c>
      <c r="J70" s="373" t="n">
        <f aca="false">'Master Plan'!$H$14+(-15)</f>
        <v>46388</v>
      </c>
      <c r="K70" s="78"/>
      <c r="L70" s="78" t="str">
        <f aca="false">IF(ISNUMBER(อัปเดตรายสัปดาห์!$X$14),อัปเดตรายสัปดาห์!$X$14,"")</f>
        <v/>
      </c>
      <c r="M70" s="374" t="str">
        <f aca="false">IF(อัปเดตรายสัปดาห์!$X$14="Y","Y","")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-007",SITE_TYPE,"?*")&gt;0,MIN(1,SUMPRODUCT((SITE_ST="P9-007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Plan'!$H$14+(-24)</f>
        <v>46379</v>
      </c>
      <c r="J71" s="382" t="n">
        <f aca="false">'Master Plan'!$H$14+(-20)</f>
        <v>46383</v>
      </c>
      <c r="K71" s="387"/>
      <c r="L71" s="387"/>
      <c r="M71" s="383" t="str">
        <f aca="false">IF('อัปเดตงาน WBS'!$L$538="","",'อัปเดตงาน WBS'!$L$538)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Plan'!$H$14+(-22)</f>
        <v>46381</v>
      </c>
      <c r="J72" s="382" t="n">
        <f aca="false">'Master Plan'!$H$14+(-17)</f>
        <v>46386</v>
      </c>
      <c r="K72" s="387"/>
      <c r="L72" s="387"/>
      <c r="M72" s="383" t="str">
        <f aca="false">IF('อัปเดตงาน WBS'!$L$539="","",'อัปเดตงาน WBS'!$L$539)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Plan'!$H$14+(-21)</f>
        <v>46382</v>
      </c>
      <c r="J73" s="382" t="n">
        <f aca="false">'Master Plan'!$H$14+(-17)</f>
        <v>46386</v>
      </c>
      <c r="K73" s="387"/>
      <c r="L73" s="387"/>
      <c r="M73" s="383" t="str">
        <f aca="false">IF('อัปเดตงาน WBS'!$L$540="","",'อัปเดตงาน WBS'!$L$540)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Plan'!$H$14+(-20)</f>
        <v>46383</v>
      </c>
      <c r="J74" s="382" t="n">
        <f aca="false">'Master Plan'!$H$14+(-15)</f>
        <v>46388</v>
      </c>
      <c r="K74" s="387"/>
      <c r="L74" s="387"/>
      <c r="M74" s="383" t="str">
        <f aca="false">IF('อัปเดตงาน WBS'!$L$541="","",'อัปเดตงาน WBS'!$L$541)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Plan'!$H$14+(-17)</f>
        <v>46386</v>
      </c>
      <c r="J75" s="382" t="n">
        <f aca="false">'Master Plan'!$H$14+(-15)</f>
        <v>46388</v>
      </c>
      <c r="K75" s="387"/>
      <c r="L75" s="387"/>
      <c r="M75" s="383" t="str">
        <f aca="false">IF('อัปเดตงาน WBS'!$L$542="","",'อัปเดตงาน WBS'!$L$542)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3695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Plan'!$H$14+(-24)</f>
        <v>46379</v>
      </c>
      <c r="J76" s="373" t="n">
        <f aca="false">'Master Plan'!$H$14+(-15)</f>
        <v>46388</v>
      </c>
      <c r="K76" s="78"/>
      <c r="L76" s="78" t="str">
        <f aca="false">IF(ISNUMBER(อัปเดตรายสัปดาห์!$Y$14),อัปเดตรายสัปดาห์!$Y$14,"")</f>
        <v/>
      </c>
      <c r="M76" s="374" t="str">
        <f aca="false">IF(อัปเดตรายสัปดาห์!$Y$14="Y","Y","")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-007",SITE_TYPE,"?*")&gt;0,MIN(1,SUMPRODUCT((SITE_ST="P9-007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Plan'!$H$14+(-24)</f>
        <v>46379</v>
      </c>
      <c r="J77" s="382" t="n">
        <f aca="false">'Master Plan'!$H$14+(-21)</f>
        <v>46382</v>
      </c>
      <c r="K77" s="387"/>
      <c r="L77" s="387"/>
      <c r="M77" s="383" t="str">
        <f aca="false">IF('อัปเดตงาน WBS'!$L$543="","",'อัปเดตงาน WBS'!$L$543)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Plan'!$H$14+(-23)</f>
        <v>46380</v>
      </c>
      <c r="J78" s="382" t="n">
        <f aca="false">'Master Plan'!$H$14+(-16)</f>
        <v>46387</v>
      </c>
      <c r="K78" s="387"/>
      <c r="L78" s="387"/>
      <c r="M78" s="383" t="str">
        <f aca="false">IF('อัปเดตงาน WBS'!$L$544="","",'อัปเดตงาน WBS'!$L$544)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Plan'!$H$14+(-20)</f>
        <v>46383</v>
      </c>
      <c r="J79" s="382" t="n">
        <f aca="false">'Master Plan'!$H$14+(-15)</f>
        <v>46388</v>
      </c>
      <c r="K79" s="387"/>
      <c r="L79" s="387"/>
      <c r="M79" s="383" t="str">
        <f aca="false">IF('อัปเดตงาน WBS'!$L$545="","",'อัปเดตงาน WBS'!$L$545)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Plan'!$H$14+(-17)</f>
        <v>46386</v>
      </c>
      <c r="J80" s="382" t="n">
        <f aca="false">'Master Plan'!$H$14+(-15)</f>
        <v>46388</v>
      </c>
      <c r="K80" s="387"/>
      <c r="L80" s="387"/>
      <c r="M80" s="383" t="str">
        <f aca="false">IF('อัปเดตงาน WBS'!$L$546="","",'อัปเดตงาน WBS'!$L$546)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Plan'!$H$14+(-15)</f>
        <v>46388</v>
      </c>
      <c r="J81" s="382" t="n">
        <f aca="false">'Master Plan'!$H$14+(-15)</f>
        <v>46388</v>
      </c>
      <c r="K81" s="387"/>
      <c r="L81" s="387"/>
      <c r="M81" s="383" t="str">
        <f aca="false">IF('อัปเดตงาน WBS'!$L$547="","",'อัปเดตงาน WBS'!$L$547)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3695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Plan'!$H$14+(-21)</f>
        <v>46382</v>
      </c>
      <c r="J82" s="373" t="n">
        <f aca="false">'Master Plan'!$H$14+(-18)</f>
        <v>46385</v>
      </c>
      <c r="K82" s="78"/>
      <c r="L82" s="78" t="str">
        <f aca="false">IF(ISNUMBER(อัปเดตรายสัปดาห์!$Z$14),อัปเดตรายสัปดาห์!$Z$14,"")</f>
        <v/>
      </c>
      <c r="M82" s="374" t="str">
        <f aca="false">IF(อัปเดตรายสัปดาห์!$Z$14="Y","Y","")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Plan'!$H$14+(-21)</f>
        <v>46382</v>
      </c>
      <c r="J83" s="382" t="n">
        <f aca="false">'Master Plan'!$H$14+(-19)</f>
        <v>46384</v>
      </c>
      <c r="K83" s="387"/>
      <c r="L83" s="387"/>
      <c r="M83" s="383" t="str">
        <f aca="false">IF('อัปเดตงาน WBS'!$L$548="","",'อัปเดตงาน WBS'!$L$548)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Plan'!$H$14+(-20)</f>
        <v>46383</v>
      </c>
      <c r="J84" s="382" t="n">
        <f aca="false">'Master Plan'!$H$14+(-18)</f>
        <v>46385</v>
      </c>
      <c r="K84" s="387"/>
      <c r="L84" s="387"/>
      <c r="M84" s="383" t="str">
        <f aca="false">IF('อัปเดตงาน WBS'!$L$549="","",'อัปเดตงาน WBS'!$L$549)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3695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Plan'!$H$14+(-25)</f>
        <v>46378</v>
      </c>
      <c r="J85" s="373" t="n">
        <f aca="false">'Master Plan'!$H$14+(-17)</f>
        <v>46386</v>
      </c>
      <c r="K85" s="78"/>
      <c r="L85" s="78" t="str">
        <f aca="false">IF(ISNUMBER(อัปเดตรายสัปดาห์!$AA$14),อัปเดตรายสัปดาห์!$AA$14,"")</f>
        <v/>
      </c>
      <c r="M85" s="374" t="str">
        <f aca="false">IF(อัปเดตรายสัปดาห์!$AA$14="Y","Y","")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Plan'!$H$14+(-25)</f>
        <v>46378</v>
      </c>
      <c r="J86" s="382" t="n">
        <f aca="false">'Master Plan'!$H$14+(-21)</f>
        <v>46382</v>
      </c>
      <c r="K86" s="387"/>
      <c r="L86" s="387"/>
      <c r="M86" s="383" t="str">
        <f aca="false">IF('อัปเดตงาน WBS'!$L$550="","",'อัปเดตงาน WBS'!$L$550)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Plan'!$H$14+(-22)</f>
        <v>46381</v>
      </c>
      <c r="J87" s="382" t="n">
        <f aca="false">'Master Plan'!$H$14+(-18)</f>
        <v>46385</v>
      </c>
      <c r="K87" s="387"/>
      <c r="L87" s="387"/>
      <c r="M87" s="383" t="str">
        <f aca="false">IF('อัปเดตงาน WBS'!$L$551="","",'อัปเดตงาน WBS'!$L$551)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Plan'!$H$14+(-20)</f>
        <v>46383</v>
      </c>
      <c r="J88" s="382" t="n">
        <f aca="false">'Master Plan'!$H$14+(-17)</f>
        <v>46386</v>
      </c>
      <c r="K88" s="387"/>
      <c r="L88" s="387"/>
      <c r="M88" s="383" t="str">
        <f aca="false">IF('อัปเดตงาน WBS'!$L$552="","",'อัปเดตงาน WBS'!$L$552)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Plan'!$H$14+(-18)</f>
        <v>46385</v>
      </c>
      <c r="J89" s="382" t="n">
        <f aca="false">'Master Plan'!$H$14+(-17)</f>
        <v>46386</v>
      </c>
      <c r="K89" s="387"/>
      <c r="L89" s="387"/>
      <c r="M89" s="383" t="str">
        <f aca="false">IF('อัปเดตงาน WBS'!$L$553="","",'อัปเดตงาน WBS'!$L$553)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3695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Plan'!$H$14+(-25)</f>
        <v>46378</v>
      </c>
      <c r="J90" s="373" t="n">
        <f aca="false">'Master Plan'!$H$14+(-16)</f>
        <v>46387</v>
      </c>
      <c r="K90" s="78"/>
      <c r="L90" s="78" t="str">
        <f aca="false">IF(ISNUMBER(อัปเดตรายสัปดาห์!$AB$14),อัปเดตรายสัปดาห์!$AB$14,"")</f>
        <v/>
      </c>
      <c r="M90" s="374" t="str">
        <f aca="false">IF(อัปเดตรายสัปดาห์!$AB$14="Y","Y","")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Plan'!$H$14+(-25)</f>
        <v>46378</v>
      </c>
      <c r="J91" s="382" t="n">
        <f aca="false">'Master Plan'!$H$14+(-20)</f>
        <v>46383</v>
      </c>
      <c r="K91" s="387"/>
      <c r="L91" s="387"/>
      <c r="M91" s="383" t="str">
        <f aca="false">IF('อัปเดตงาน WBS'!$L$554="","",'อัปเดตงาน WBS'!$L$554)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Plan'!$H$14+(-20)</f>
        <v>46383</v>
      </c>
      <c r="J92" s="382" t="n">
        <f aca="false">'Master Plan'!$H$14+(-16)</f>
        <v>46387</v>
      </c>
      <c r="K92" s="387"/>
      <c r="L92" s="387"/>
      <c r="M92" s="383" t="str">
        <f aca="false">IF('อัปเดตงาน WBS'!$L$555="","",'อัปเดตงาน WBS'!$L$555)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Plan'!$H$14+(-25)</f>
        <v>46378</v>
      </c>
      <c r="J93" s="382" t="n">
        <f aca="false">'Master Plan'!$H$14+(-21)</f>
        <v>46382</v>
      </c>
      <c r="K93" s="387"/>
      <c r="L93" s="387"/>
      <c r="M93" s="383" t="str">
        <f aca="false">IF('อัปเดตงาน WBS'!$L$556="","",'อัปเดตงาน WBS'!$L$556)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Plan'!$H$14+(-21)</f>
        <v>46382</v>
      </c>
      <c r="J94" s="382" t="n">
        <f aca="false">'Master Plan'!$H$14+(-16)</f>
        <v>46387</v>
      </c>
      <c r="K94" s="387"/>
      <c r="L94" s="387"/>
      <c r="M94" s="383" t="str">
        <f aca="false">IF('อัปเดตงาน WBS'!$L$557="","",'อัปเดตงาน WBS'!$L$557)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Plan'!$H$14+(-17)</f>
        <v>46386</v>
      </c>
      <c r="J95" s="382" t="n">
        <f aca="false">'Master Plan'!$H$14+(-16)</f>
        <v>46387</v>
      </c>
      <c r="K95" s="387"/>
      <c r="L95" s="387"/>
      <c r="M95" s="383" t="str">
        <f aca="false">IF('อัปเดตงาน WBS'!$L$558="","",'อัปเดตงาน WBS'!$L$558)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3695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Plan'!$H$14+(-22)</f>
        <v>46381</v>
      </c>
      <c r="J96" s="373" t="n">
        <f aca="false">'Master Plan'!$H$14+(-16)</f>
        <v>46387</v>
      </c>
      <c r="K96" s="78"/>
      <c r="L96" s="78" t="str">
        <f aca="false">IF(ISNUMBER(อัปเดตรายสัปดาห์!$AC$14),อัปเดตรายสัปดาห์!$AC$14,"")</f>
        <v/>
      </c>
      <c r="M96" s="374" t="str">
        <f aca="false">IF(อัปเดตรายสัปดาห์!$AC$14="Y","Y","")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Plan'!$H$14+(-22)</f>
        <v>46381</v>
      </c>
      <c r="J97" s="382" t="n">
        <f aca="false">'Master Plan'!$H$14+(-17)</f>
        <v>46386</v>
      </c>
      <c r="K97" s="387"/>
      <c r="L97" s="387"/>
      <c r="M97" s="383" t="str">
        <f aca="false">IF('อัปเดตงาน WBS'!$L$559="","",'อัปเดตงาน WBS'!$L$559)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Plan'!$H$14+(-20)</f>
        <v>46383</v>
      </c>
      <c r="J98" s="382" t="n">
        <f aca="false">'Master Plan'!$H$14+(-16)</f>
        <v>46387</v>
      </c>
      <c r="K98" s="387"/>
      <c r="L98" s="387"/>
      <c r="M98" s="383" t="str">
        <f aca="false">IF('อัปเดตงาน WBS'!$L$560="","",'อัปเดตงาน WBS'!$L$560)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Plan'!$H$14+(-17)</f>
        <v>46386</v>
      </c>
      <c r="J99" s="382" t="n">
        <f aca="false">'Master Plan'!$H$14+(-16)</f>
        <v>46387</v>
      </c>
      <c r="K99" s="387"/>
      <c r="L99" s="387"/>
      <c r="M99" s="383" t="str">
        <f aca="false">IF('อัปเดตงาน WBS'!$L$561="","",'อัปเดตงาน WBS'!$L$561)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3695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Plan'!$H$14+(-20)</f>
        <v>46383</v>
      </c>
      <c r="J100" s="373" t="n">
        <f aca="false">'Master Plan'!$H$14+(-15)</f>
        <v>46388</v>
      </c>
      <c r="K100" s="78"/>
      <c r="L100" s="78" t="str">
        <f aca="false">IF(ISNUMBER(อัปเดตรายสัปดาห์!$AD$14),อัปเดตรายสัปดาห์!$AD$14,"")</f>
        <v/>
      </c>
      <c r="M100" s="374" t="str">
        <f aca="false">IF(อัปเดตรายสัปดาห์!$AD$14="Y","Y","")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Plan'!$H$14+(-19)</f>
        <v>46384</v>
      </c>
      <c r="J103" s="382" t="n">
        <f aca="false">'Master Plan'!$H$14+(-16)</f>
        <v>46387</v>
      </c>
      <c r="K103" s="387"/>
      <c r="L103" s="387"/>
      <c r="M103" s="383" t="str">
        <f aca="false">IF('อัปเดตงาน WBS'!$L$562="","",'อัปเดตงาน WBS'!$L$562)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Plan'!$H$14+(-18)</f>
        <v>46385</v>
      </c>
      <c r="J104" s="382" t="n">
        <f aca="false">'Master Plan'!$H$14+(-16)</f>
        <v>46387</v>
      </c>
      <c r="K104" s="387"/>
      <c r="L104" s="387"/>
      <c r="M104" s="383" t="str">
        <f aca="false">IF('อัปเดตงาน WBS'!$L$563="","",'อัปเดตงาน WBS'!$L$563)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Plan'!$H$14+(-18)</f>
        <v>46385</v>
      </c>
      <c r="J105" s="382" t="n">
        <f aca="false">'Master Plan'!$H$14+(-15)</f>
        <v>46388</v>
      </c>
      <c r="K105" s="387"/>
      <c r="L105" s="387"/>
      <c r="M105" s="383" t="str">
        <f aca="false">IF('อัปเดตงาน WBS'!$L$564="","",'อัปเดตงาน WBS'!$L$564)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Plan'!$H$14+(-16)</f>
        <v>46387</v>
      </c>
      <c r="J106" s="382" t="n">
        <f aca="false">'Master Plan'!$H$14+(-15)</f>
        <v>46388</v>
      </c>
      <c r="K106" s="387"/>
      <c r="L106" s="387"/>
      <c r="M106" s="383" t="str">
        <f aca="false">IF('อัปเดตงาน WBS'!$L$565="","",'อัปเดตงาน WBS'!$L$565)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3695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Plan'!$H$14+(-18)</f>
        <v>46385</v>
      </c>
      <c r="J107" s="373" t="n">
        <f aca="false">'Master Plan'!$H$14+(-14)</f>
        <v>46389</v>
      </c>
      <c r="K107" s="78"/>
      <c r="L107" s="78" t="str">
        <f aca="false">IF(ISNUMBER(อัปเดตรายสัปดาห์!$AE$14),อัปเดตรายสัปดาห์!$AE$14,"")</f>
        <v/>
      </c>
      <c r="M107" s="374" t="str">
        <f aca="false">IF(อัปเดตรายสัปดาห์!$AE$14="Y","Y","")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Plan'!$H$14+(-18)</f>
        <v>46385</v>
      </c>
      <c r="J108" s="382" t="n">
        <f aca="false">'Master Plan'!$H$14+(-15)</f>
        <v>46388</v>
      </c>
      <c r="K108" s="387"/>
      <c r="L108" s="387"/>
      <c r="M108" s="383" t="str">
        <f aca="false">IF('อัปเดตงาน WBS'!$L$566="","",'อัปเดตงาน WBS'!$L$566)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Plan'!$H$14+(-16)</f>
        <v>46387</v>
      </c>
      <c r="J109" s="382" t="n">
        <f aca="false">'Master Plan'!$H$14+(-14)</f>
        <v>46389</v>
      </c>
      <c r="K109" s="387"/>
      <c r="L109" s="387"/>
      <c r="M109" s="383" t="str">
        <f aca="false">IF('อัปเดตงาน WBS'!$L$567="","",'อัปเดตงาน WBS'!$L$567)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Plan'!$H$14+(-17)</f>
        <v>46386</v>
      </c>
      <c r="J110" s="382" t="n">
        <f aca="false">'Master Plan'!$H$14+(-15)</f>
        <v>46388</v>
      </c>
      <c r="K110" s="387"/>
      <c r="L110" s="387"/>
      <c r="M110" s="383" t="str">
        <f aca="false">IF('อัปเดตงาน WBS'!$L$568="","",'อัปเดตงาน WBS'!$L$568)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69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Plan'!$H$14+(-13)</f>
        <v>46390</v>
      </c>
      <c r="J111" s="373" t="n">
        <f aca="false">'Master Plan'!$H$14+(-13)</f>
        <v>46390</v>
      </c>
      <c r="K111" s="78"/>
      <c r="L111" s="78" t="str">
        <f aca="false">IF(ISNUMBER(อัปเดตรายสัปดาห์!$AF$14),อัปเดตรายสัปดาห์!$AF$14,"")</f>
        <v/>
      </c>
      <c r="M111" s="374" t="str">
        <f aca="false">IF(อัปเดตรายสัปดาห์!$AF$14="Y","Y","")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Plan'!$Y$14)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Plan'!$H$14+(-13)</f>
        <v>46390</v>
      </c>
      <c r="J112" s="382" t="n">
        <f aca="false">'Master Plan'!$H$14+(-13)</f>
        <v>46390</v>
      </c>
      <c r="K112" s="387"/>
      <c r="L112" s="387"/>
      <c r="M112" s="383" t="str">
        <f aca="false">IF('อัปเดตงาน WBS'!$L$569="","",'อัปเดตงาน WBS'!$L$569)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Plan'!$H$14+(-13)</f>
        <v>46390</v>
      </c>
      <c r="J113" s="382" t="n">
        <f aca="false">'Master Plan'!$H$14+(-13)</f>
        <v>46390</v>
      </c>
      <c r="K113" s="387"/>
      <c r="L113" s="387"/>
      <c r="M113" s="383" t="str">
        <f aca="false">IF('อัปเดตงาน WBS'!$L$570="","",'อัปเดตงาน WBS'!$L$570)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3695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Plan'!$H$14+(-12)</f>
        <v>46391</v>
      </c>
      <c r="J115" s="373" t="n">
        <f aca="false">'Master Plan'!$H$14+(-10)</f>
        <v>46393</v>
      </c>
      <c r="K115" s="78"/>
      <c r="L115" s="78" t="str">
        <f aca="false">IF(ISNUMBER(อัปเดตรายสัปดาห์!$AG$14),อัปเดตรายสัปดาห์!$AG$14,"")</f>
        <v/>
      </c>
      <c r="M115" s="374" t="str">
        <f aca="false">IF(อัปเดตรายสัปดาห์!$AG$14="Y","Y","")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Plan'!$AA$14)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Plan'!$H$14+(-12)</f>
        <v>46391</v>
      </c>
      <c r="J116" s="382" t="n">
        <f aca="false">'Master Plan'!$H$14+(-12)</f>
        <v>46391</v>
      </c>
      <c r="K116" s="387"/>
      <c r="L116" s="387"/>
      <c r="M116" s="383" t="str">
        <f aca="false">IF('อัปเดตงาน WBS'!$L$571="","",'อัปเดตงาน WBS'!$L$571)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Plan'!$H$14+(-12)</f>
        <v>46391</v>
      </c>
      <c r="J117" s="382" t="n">
        <f aca="false">'Master Plan'!$H$14+(-11)</f>
        <v>46392</v>
      </c>
      <c r="K117" s="387"/>
      <c r="L117" s="387"/>
      <c r="M117" s="383" t="str">
        <f aca="false">IF('อัปเดตงาน WBS'!$L$572="","",'อัปเดตงาน WBS'!$L$572)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Plan'!$H$14+(-11)</f>
        <v>46392</v>
      </c>
      <c r="J118" s="382" t="n">
        <f aca="false">'Master Plan'!$H$14+(-11)</f>
        <v>46392</v>
      </c>
      <c r="K118" s="387"/>
      <c r="L118" s="387"/>
      <c r="M118" s="383" t="str">
        <f aca="false">IF('อัปเดตงาน WBS'!$L$573="","",'อัปเดตงาน WBS'!$L$573)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Plan'!$H$14+(-11)</f>
        <v>46392</v>
      </c>
      <c r="J119" s="382" t="n">
        <f aca="false">'Master Plan'!$H$14+(-11)</f>
        <v>46392</v>
      </c>
      <c r="K119" s="387"/>
      <c r="L119" s="387"/>
      <c r="M119" s="383" t="str">
        <f aca="false">IF('อัปเดตงาน WBS'!$L$574="","",'อัปเดตงาน WBS'!$L$574)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Plan'!$H$14+(-11)</f>
        <v>46392</v>
      </c>
      <c r="J120" s="382" t="n">
        <f aca="false">'Master Plan'!$H$14+(-10)</f>
        <v>46393</v>
      </c>
      <c r="K120" s="387"/>
      <c r="L120" s="387"/>
      <c r="M120" s="383" t="str">
        <f aca="false">IF('อัปเดตงาน WBS'!$L$575="","",'อัปเดตงาน WBS'!$L$575)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Plan'!$H$14+(-11)</f>
        <v>46392</v>
      </c>
      <c r="J121" s="382" t="n">
        <f aca="false">'Master Plan'!$H$14+(-10)</f>
        <v>46393</v>
      </c>
      <c r="K121" s="387"/>
      <c r="L121" s="387"/>
      <c r="M121" s="383" t="str">
        <f aca="false">IF('อัปเดตงาน WBS'!$L$576="","",'อัปเดตงาน WBS'!$L$576)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69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Plan'!$H$14+(-10)</f>
        <v>46393</v>
      </c>
      <c r="J122" s="373" t="n">
        <f aca="false">'Master Plan'!$H$14+(-10)</f>
        <v>46393</v>
      </c>
      <c r="K122" s="78"/>
      <c r="L122" s="78" t="str">
        <f aca="false">IF(ISNUMBER(อัปเดตรายสัปดาห์!$AH$14),อัปเดตรายสัปดาห์!$AH$14,"")</f>
        <v/>
      </c>
      <c r="M122" s="374" t="str">
        <f aca="false">IF(อัปเดตรายสัปดาห์!$AH$14="Y","Y","")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Plan'!$Z$14)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69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Plan'!$H$14+(-12)</f>
        <v>46391</v>
      </c>
      <c r="J123" s="373" t="n">
        <f aca="false">'Master Plan'!$H$14+(-8)</f>
        <v>46395</v>
      </c>
      <c r="K123" s="78" t="str">
        <f aca="false">IF(ISNUMBER(อัปเดตรายสัปดาห์!$AI$14),อัปเดตรายสัปดาห์!$AI$14,"")</f>
        <v/>
      </c>
      <c r="L123" s="78" t="str">
        <f aca="false">IF(ISNUMBER(อัปเดตรายสัปดาห์!$AJ$14),อัปเดตรายสัปดาห์!$AJ$14,"")</f>
        <v/>
      </c>
      <c r="M123" s="374" t="str">
        <f aca="false">IF(อัปเดตรายสัปดาห์!$AJ$14="Y","Y","")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69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Plan'!$H$14+(37)</f>
        <v>46440</v>
      </c>
      <c r="J124" s="373" t="n">
        <f aca="false">'Master Plan'!$H$14+(50)</f>
        <v>46453</v>
      </c>
      <c r="K124" s="78"/>
      <c r="L124" s="78" t="str">
        <f aca="false">IF(ISNUMBER(อัปเดตรายสัปดาห์!$AK$14),อัปเดตรายสัปดาห์!$AK$14,"")</f>
        <v/>
      </c>
      <c r="M124" s="374" t="str">
        <f aca="false">IF(อัปเดตรายสัปดาห์!$AK$14="Y","Y","")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Plan'!$H$14+(37)</f>
        <v>46440</v>
      </c>
      <c r="J125" s="382" t="n">
        <f aca="false">'Master Plan'!$H$14+(41)</f>
        <v>46444</v>
      </c>
      <c r="K125" s="387"/>
      <c r="L125" s="387"/>
      <c r="M125" s="383" t="str">
        <f aca="false">IF('อัปเดตงาน WBS'!$L$577="","",'อัปเดตงาน WBS'!$L$577)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Plan'!$H$14+(40)</f>
        <v>46443</v>
      </c>
      <c r="J126" s="382" t="n">
        <f aca="false">'Master Plan'!$H$14+(47)</f>
        <v>46450</v>
      </c>
      <c r="K126" s="387"/>
      <c r="L126" s="387"/>
      <c r="M126" s="383" t="str">
        <f aca="false">IF('อัปเดตงาน WBS'!$L$578="","",'อัปเดตงาน WBS'!$L$578)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Plan'!$H$14+(47)</f>
        <v>46450</v>
      </c>
      <c r="J127" s="382" t="n">
        <f aca="false">'Master Plan'!$H$14+(50)</f>
        <v>46453</v>
      </c>
      <c r="K127" s="387"/>
      <c r="L127" s="387"/>
      <c r="M127" s="383" t="str">
        <f aca="false">IF('อัปเดตงาน WBS'!$L$579="","",'อัปเดตงาน WBS'!$L$579)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3695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Plan'!$H$14+(0)</f>
        <v>46403</v>
      </c>
      <c r="J128" s="373" t="n">
        <f aca="false">'Master Plan'!$H$14+(0)</f>
        <v>46403</v>
      </c>
      <c r="K128" s="78"/>
      <c r="L128" s="78" t="str">
        <f aca="false">IF(ISNUMBER(อัปเดตรายสัปดาห์!$AL$14),อัปเดตรายสัปดาห์!$AL$14,"")</f>
        <v/>
      </c>
      <c r="M128" s="374" t="str">
        <f aca="false">IF(อัปเดตรายสัปดาห์!$AL$14="Y","Y","")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Plan'!$AB$14)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Plan'!$H$14+(0)</f>
        <v>46403</v>
      </c>
      <c r="J129" s="373" t="n">
        <f aca="false">'Master Plan'!$H$14+(0)</f>
        <v>46403</v>
      </c>
      <c r="K129" s="78"/>
      <c r="L129" s="78" t="str">
        <f aca="false">IF(ISNUMBER(อัปเดตรายสัปดาห์!$AM$14),อัปเดตรายสัปดาห์!$AM$14,"")</f>
        <v/>
      </c>
      <c r="M129" s="374" t="str">
        <f aca="false">IF(อัปเดตรายสัปดาห์!$AM$14="Y","Y","")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Plan'!$H$14+(0)</f>
        <v>46403</v>
      </c>
      <c r="J130" s="373" t="n">
        <f aca="false">'Master Plan'!$H$14+(0)</f>
        <v>46403</v>
      </c>
      <c r="K130" s="78"/>
      <c r="L130" s="78" t="str">
        <f aca="false">IF(ISNUMBER(อัปเดตรายสัปดาห์!$AN$14),อัปเดตรายสัปดาห์!$AN$14,"")</f>
        <v/>
      </c>
      <c r="M130" s="374" t="str">
        <f aca="false">IF(อัปเดตรายสัปดาห์!$AN$14="Y","Y","")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69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Plan'!$H$14+(34)</f>
        <v>46437</v>
      </c>
      <c r="J131" s="373" t="n">
        <f aca="false">'Master Plan'!$H$14+(36)</f>
        <v>46439</v>
      </c>
      <c r="K131" s="78"/>
      <c r="L131" s="78" t="str">
        <f aca="false">IF(ISNUMBER(อัปเดตรายสัปดาห์!$AO$14),อัปเดตรายสัปดาห์!$AO$14,"")</f>
        <v/>
      </c>
      <c r="M131" s="374" t="str">
        <f aca="false">IF(อัปเดตรายสัปดาห์!$AO$14="Y","Y","")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SUMPRODUCT((SITE_ST="P9-007")*(SITE_TYPE=$B136)*(SITE_TYPE&lt;&gt;""))</f>
        <v>0</v>
      </c>
      <c r="E136" s="397" t="n">
        <f aca="false">SUMPRODUCT((SITE_ST="P9-007")*(SITE_TYPE=$B136)*SITE_MOD)</f>
        <v>0</v>
      </c>
      <c r="I136" s="398" t="n">
        <f aca="false">SUMPRODUCT((SITE_ST="P9-007")*(SITE_TYPE=$B136)*SITE_KWP)</f>
        <v>0</v>
      </c>
      <c r="J136" s="35" t="str">
        <f aca="false">IF(SUMPRODUCT((SITE_ST="P9-007")*(SITE_TYPE=$B136)*(SITE_TYPE&lt;&gt;""))=0,"",SUMPRODUCT((SITE_ST="P9-007")*(SITE_TYPE=$B136)*SITE_S21*SITE_D21)/MAX(0.0001,SUMPRODUCT((SITE_ST="P9-007")*(SITE_TYPE=$B136)*SITE_S21)))</f>
        <v/>
      </c>
      <c r="K136" s="32" t="str">
        <f aca="false">IF(SUMPRODUCT((SITE_ST="P9-007")*(SITE_TYPE=$B136)*(SITE_TYPE&lt;&gt;""))=0,"",SUMPRODUCT((SITE_ST="P9-007")*(SITE_TYPE=$B136)*(SITE_TYPE&lt;&gt;"")*(SITE_T22="Y"))&amp;"/"&amp;SUMPRODUCT((SITE_ST="P9-007")*(SITE_TYPE=$B136)*(SITE_TYPE&lt;&gt;"")))</f>
        <v/>
      </c>
      <c r="L136" s="32" t="str">
        <f aca="false">IF(SUMPRODUCT((SITE_ST="P9-007")*(SITE_TYPE=$B136)*(SITE_TYPE&lt;&gt;""))=0,"",SUMPRODUCT((SITE_ST="P9-007")*(SITE_TYPE=$B136)*(SITE_TYPE&lt;&gt;"")*(SITE_T23="Y"))&amp;"/"&amp;SUMPRODUCT((SITE_ST="P9-007")*(SITE_TYPE=$B136)*(SITE_TYPE&lt;&gt;"")))</f>
        <v/>
      </c>
      <c r="O136" s="32" t="str">
        <f aca="false">IF(SUMPRODUCT((SITE_ST="P9-007")*(SITE_TYPE=$B136)*(LEFT(SITE_LAD,4)="ติด:"))=0,"",SUMPRODUCT((SITE_ST="P9-007")*(SITE_TYPE=$B136)*(LEFT(SITE_LAD,4)="ติด:"))&amp;"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SUMPRODUCT((SITE_ST="P9-007")*(SITE_TYPE=$B137)*(SITE_TYPE&lt;&gt;""))</f>
        <v>2</v>
      </c>
      <c r="E137" s="397" t="n">
        <f aca="false">SUMPRODUCT((SITE_ST="P9-007")*(SITE_TYPE=$B137)*SITE_MOD)</f>
        <v>264</v>
      </c>
      <c r="I137" s="398" t="n">
        <f aca="false">SUMPRODUCT((SITE_ST="P9-007")*(SITE_TYPE=$B137)*SITE_KWP)</f>
        <v>150.48</v>
      </c>
      <c r="J137" s="35" t="n">
        <f aca="false">IF(SUMPRODUCT((SITE_ST="P9-007")*(SITE_TYPE=$B137)*(SITE_TYPE&lt;&gt;""))=0,"",SUMPRODUCT((SITE_ST="P9-007")*(SITE_TYPE=$B137)*SITE_S21*SITE_D21)/MAX(0.0001,SUMPRODUCT((SITE_ST="P9-007")*(SITE_TYPE=$B137)*SITE_S21)))</f>
        <v>0</v>
      </c>
      <c r="K137" s="32" t="str">
        <f aca="false">IF(SUMPRODUCT((SITE_ST="P9-007")*(SITE_TYPE=$B137)*(SITE_TYPE&lt;&gt;""))=0,"",SUMPRODUCT((SITE_ST="P9-007")*(SITE_TYPE=$B137)*(SITE_TYPE&lt;&gt;"")*(SITE_T22="Y"))&amp;"/"&amp;SUMPRODUCT((SITE_ST="P9-007")*(SITE_TYPE=$B137)*(SITE_TYPE&lt;&gt;"")))</f>
        <v>0/2</v>
      </c>
      <c r="L137" s="32" t="str">
        <f aca="false">IF(SUMPRODUCT((SITE_ST="P9-007")*(SITE_TYPE=$B137)*(SITE_TYPE&lt;&gt;""))=0,"",SUMPRODUCT((SITE_ST="P9-007")*(SITE_TYPE=$B137)*(SITE_TYPE&lt;&gt;"")*(SITE_T23="Y"))&amp;"/"&amp;SUMPRODUCT((SITE_ST="P9-007")*(SITE_TYPE=$B137)*(SITE_TYPE&lt;&gt;"")))</f>
        <v>0/2</v>
      </c>
      <c r="O137" s="32" t="str">
        <f aca="false">IF(SUMPRODUCT((SITE_ST="P9-007")*(SITE_TYPE=$B137)*(LEFT(SITE_LAD,4)="ติด:"))=0,"",SUMPRODUCT((SITE_ST="P9-007")*(SITE_TYPE=$B137)*(LEFT(SITE_LAD,4)="ติด:"))&amp;" จุด")</f>
        <v>2 จุด</v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SUMPRODUCT((SITE_ST="P9-007")*(SITE_TYPE=$B138)*(SITE_TYPE&lt;&gt;""))</f>
        <v>0</v>
      </c>
      <c r="E138" s="397" t="n">
        <f aca="false">SUMPRODUCT((SITE_ST="P9-007")*(SITE_TYPE=$B138)*SITE_MOD)</f>
        <v>0</v>
      </c>
      <c r="I138" s="398" t="n">
        <f aca="false">SUMPRODUCT((SITE_ST="P9-007")*(SITE_TYPE=$B138)*SITE_KWP)</f>
        <v>0</v>
      </c>
      <c r="J138" s="35" t="str">
        <f aca="false">IF(SUMPRODUCT((SITE_ST="P9-007")*(SITE_TYPE=$B138)*(SITE_TYPE&lt;&gt;""))=0,"",SUMPRODUCT((SITE_ST="P9-007")*(SITE_TYPE=$B138)*SITE_S21*SITE_D21)/MAX(0.0001,SUMPRODUCT((SITE_ST="P9-007")*(SITE_TYPE=$B138)*SITE_S21)))</f>
        <v/>
      </c>
      <c r="K138" s="32" t="str">
        <f aca="false">IF(SUMPRODUCT((SITE_ST="P9-007")*(SITE_TYPE=$B138)*(SITE_TYPE&lt;&gt;""))=0,"",SUMPRODUCT((SITE_ST="P9-007")*(SITE_TYPE=$B138)*(SITE_TYPE&lt;&gt;"")*(SITE_T22="Y"))&amp;"/"&amp;SUMPRODUCT((SITE_ST="P9-007")*(SITE_TYPE=$B138)*(SITE_TYPE&lt;&gt;"")))</f>
        <v/>
      </c>
      <c r="L138" s="32" t="str">
        <f aca="false">IF(SUMPRODUCT((SITE_ST="P9-007")*(SITE_TYPE=$B138)*(SITE_TYPE&lt;&gt;""))=0,"",SUMPRODUCT((SITE_ST="P9-007")*(SITE_TYPE=$B138)*(SITE_TYPE&lt;&gt;"")*(SITE_T23="Y"))&amp;"/"&amp;SUMPRODUCT((SITE_ST="P9-007")*(SITE_TYPE=$B138)*(SITE_TYPE&lt;&gt;"")))</f>
        <v/>
      </c>
      <c r="O138" s="32" t="str">
        <f aca="false">IF(SUMPRODUCT((SITE_ST="P9-007")*(SITE_TYPE=$B138)*(LEFT(SITE_LAD,4)="ติด:"))=0,"",SUMPRODUCT((SITE_ST="P9-007")*(SITE_TYPE=$B138)*(LEFT(SITE_LAD,4)="ติด:"))&amp;"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SUMPRODUCT((SITE_ST="P9-007")*(SITE_TYPE=$B139)*(SITE_TYPE&lt;&gt;""))</f>
        <v>0</v>
      </c>
      <c r="E139" s="397" t="n">
        <f aca="false">SUMPRODUCT((SITE_ST="P9-007")*(SITE_TYPE=$B139)*SITE_MOD)</f>
        <v>0</v>
      </c>
      <c r="I139" s="398" t="n">
        <f aca="false">SUMPRODUCT((SITE_ST="P9-007")*(SITE_TYPE=$B139)*SITE_KWP)</f>
        <v>0</v>
      </c>
      <c r="J139" s="35" t="str">
        <f aca="false">IF(SUMPRODUCT((SITE_ST="P9-007")*(SITE_TYPE=$B139)*(SITE_TYPE&lt;&gt;""))=0,"",SUMPRODUCT((SITE_ST="P9-007")*(SITE_TYPE=$B139)*SITE_S21*SITE_D21)/MAX(0.0001,SUMPRODUCT((SITE_ST="P9-007")*(SITE_TYPE=$B139)*SITE_S21)))</f>
        <v/>
      </c>
      <c r="K139" s="32" t="str">
        <f aca="false">IF(SUMPRODUCT((SITE_ST="P9-007")*(SITE_TYPE=$B139)*(SITE_TYPE&lt;&gt;""))=0,"",SUMPRODUCT((SITE_ST="P9-007")*(SITE_TYPE=$B139)*(SITE_TYPE&lt;&gt;"")*(SITE_T22="Y"))&amp;"/"&amp;SUMPRODUCT((SITE_ST="P9-007")*(SITE_TYPE=$B139)*(SITE_TYPE&lt;&gt;"")))</f>
        <v/>
      </c>
      <c r="L139" s="32" t="str">
        <f aca="false">IF(SUMPRODUCT((SITE_ST="P9-007")*(SITE_TYPE=$B139)*(SITE_TYPE&lt;&gt;""))=0,"",SUMPRODUCT((SITE_ST="P9-007")*(SITE_TYPE=$B139)*(SITE_TYPE&lt;&gt;"")*(SITE_T23="Y"))&amp;"/"&amp;SUMPRODUCT((SITE_ST="P9-007")*(SITE_TYPE=$B139)*(SITE_TYPE&lt;&gt;"")))</f>
        <v/>
      </c>
      <c r="O139" s="32" t="str">
        <f aca="false">IF(SUMPRODUCT((SITE_ST="P9-007")*(SITE_TYPE=$B139)*(LEFT(SITE_LAD,4)="ติด:"))=0,"",SUMPRODUCT((SITE_ST="P9-007")*(SITE_TYPE=$B139)*(LEFT(SITE_LAD,4)="ติด:"))&amp;"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SUMPRODUCT((SITE_ST="P9-007")*(SITE_TYPE=$B140)*(SITE_TYPE&lt;&gt;""))</f>
        <v>0</v>
      </c>
      <c r="E140" s="397" t="n">
        <f aca="false">SUMPRODUCT((SITE_ST="P9-007")*(SITE_TYPE=$B140)*SITE_MOD)</f>
        <v>0</v>
      </c>
      <c r="I140" s="398" t="n">
        <f aca="false">SUMPRODUCT((SITE_ST="P9-007")*(SITE_TYPE=$B140)*SITE_KWP)</f>
        <v>0</v>
      </c>
      <c r="J140" s="35" t="str">
        <f aca="false">IF(SUMPRODUCT((SITE_ST="P9-007")*(SITE_TYPE=$B140)*(SITE_TYPE&lt;&gt;""))=0,"",SUMPRODUCT((SITE_ST="P9-007")*(SITE_TYPE=$B140)*SITE_S21*SITE_D21)/MAX(0.0001,SUMPRODUCT((SITE_ST="P9-007")*(SITE_TYPE=$B140)*SITE_S21)))</f>
        <v/>
      </c>
      <c r="K140" s="32" t="str">
        <f aca="false">IF(SUMPRODUCT((SITE_ST="P9-007")*(SITE_TYPE=$B140)*(SITE_TYPE&lt;&gt;""))=0,"",SUMPRODUCT((SITE_ST="P9-007")*(SITE_TYPE=$B140)*(SITE_TYPE&lt;&gt;"")*(SITE_T22="Y"))&amp;"/"&amp;SUMPRODUCT((SITE_ST="P9-007")*(SITE_TYPE=$B140)*(SITE_TYPE&lt;&gt;"")))</f>
        <v/>
      </c>
      <c r="L140" s="32" t="str">
        <f aca="false">IF(SUMPRODUCT((SITE_ST="P9-007")*(SITE_TYPE=$B140)*(SITE_TYPE&lt;&gt;""))=0,"",SUMPRODUCT((SITE_ST="P9-007")*(SITE_TYPE=$B140)*(SITE_TYPE&lt;&gt;"")*(SITE_T23="Y"))&amp;"/"&amp;SUMPRODUCT((SITE_ST="P9-007")*(SITE_TYPE=$B140)*(SITE_TYPE&lt;&gt;"")))</f>
        <v/>
      </c>
      <c r="O140" s="32" t="str">
        <f aca="false">IF(SUMPRODUCT((SITE_ST="P9-007")*(SITE_TYPE=$B140)*(LEFT(SITE_LAD,4)="ติด:"))=0,"",SUMPRODUCT((SITE_ST="P9-007")*(SITE_TYPE=$B140)*(LEFT(SITE_LAD,4)="ติด:"))&amp;"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SUMPRODUCT((SITE_ST="P9-007")*(SITE_TYPE=$B141)*(SITE_TYPE&lt;&gt;""))</f>
        <v>0</v>
      </c>
      <c r="E141" s="397" t="n">
        <f aca="false">SUMPRODUCT((SITE_ST="P9-007")*(SITE_TYPE=$B141)*SITE_MOD)</f>
        <v>0</v>
      </c>
      <c r="I141" s="398" t="n">
        <f aca="false">SUMPRODUCT((SITE_ST="P9-007")*(SITE_TYPE=$B141)*SITE_KWP)</f>
        <v>0</v>
      </c>
      <c r="J141" s="35" t="str">
        <f aca="false">IF(SUMPRODUCT((SITE_ST="P9-007")*(SITE_TYPE=$B141)*(SITE_TYPE&lt;&gt;""))=0,"",SUMPRODUCT((SITE_ST="P9-007")*(SITE_TYPE=$B141)*SITE_S21*SITE_D21)/MAX(0.0001,SUMPRODUCT((SITE_ST="P9-007")*(SITE_TYPE=$B141)*SITE_S21)))</f>
        <v/>
      </c>
      <c r="K141" s="32" t="str">
        <f aca="false">IF(SUMPRODUCT((SITE_ST="P9-007")*(SITE_TYPE=$B141)*(SITE_TYPE&lt;&gt;""))=0,"",SUMPRODUCT((SITE_ST="P9-007")*(SITE_TYPE=$B141)*(SITE_TYPE&lt;&gt;"")*(SITE_T22="Y"))&amp;"/"&amp;SUMPRODUCT((SITE_ST="P9-007")*(SITE_TYPE=$B141)*(SITE_TYPE&lt;&gt;"")))</f>
        <v/>
      </c>
      <c r="L141" s="32" t="str">
        <f aca="false">IF(SUMPRODUCT((SITE_ST="P9-007")*(SITE_TYPE=$B141)*(SITE_TYPE&lt;&gt;""))=0,"",SUMPRODUCT((SITE_ST="P9-007")*(SITE_TYPE=$B141)*(SITE_TYPE&lt;&gt;"")*(SITE_T23="Y"))&amp;"/"&amp;SUMPRODUCT((SITE_ST="P9-007")*(SITE_TYPE=$B141)*(SITE_TYPE&lt;&gt;"")))</f>
        <v/>
      </c>
      <c r="O141" s="32" t="str">
        <f aca="false">IF(SUMPRODUCT((SITE_ST="P9-007")*(SITE_TYPE=$B141)*(LEFT(SITE_LAD,4)="ติด:"))=0,"",SUMPRODUCT((SITE_ST="P9-007")*(SITE_TYPE=$B141)*(LEFT(SITE_LAD,4)="ติด:"))&amp;"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SUMPRODUCT((SITE_ST="P9-007")*(SITE_TYPE&lt;&gt;""))</f>
        <v>2</v>
      </c>
      <c r="E142" s="403" t="n">
        <f aca="false">SUMPRODUCT((SITE_ST="P9-007")*SITE_MOD)</f>
        <v>264</v>
      </c>
      <c r="I142" s="404" t="n">
        <f aca="false">SUMPRODUCT((SITE_ST="P9-007")*SITE_KWP)</f>
        <v>150.48</v>
      </c>
      <c r="J142" s="405" t="n">
        <f aca="false">IF(SUMPRODUCT((SITE_ST="P9-007")*(SITE_TYPE&lt;&gt;""))=0,"",SUMPRODUCT((SITE_ST="P9-007")*SITE_S21*SITE_D21)/MAX(0.0001,SUMPRODUCT((SITE_ST="P9-007")*SITE_S21)))</f>
        <v>0</v>
      </c>
      <c r="K142" s="406" t="str">
        <f aca="false">IF(SUMPRODUCT((SITE_ST="P9-007")*(SITE_TYPE&lt;&gt;""))=0,"",SUMPRODUCT((SITE_ST="P9-007")*(SITE_TYPE&lt;&gt;"")*(SITE_T22="Y"))&amp;"/"&amp;SUMPRODUCT((SITE_ST="P9-007")*(SITE_TYPE&lt;&gt;"")))</f>
        <v>0/2</v>
      </c>
      <c r="L142" s="406" t="str">
        <f aca="false">IF(SUMPRODUCT((SITE_ST="P9-007")*(SITE_TYPE&lt;&gt;""))=0,"",SUMPRODUCT((SITE_ST="P9-007")*(SITE_TYPE&lt;&gt;"")*(SITE_T23="Y"))&amp;"/"&amp;SUMPRODUCT((SITE_ST="P9-007")*(SITE_TYPE&lt;&gt;"")))</f>
        <v>0/2</v>
      </c>
      <c r="O142" s="406" t="str">
        <f aca="false">IF(SUMPRODUCT((SITE_ST="P9-007")*(LEFT(SITE_LAD,4)="ติด:"))=0,"",SUMPRODUCT((SITE_ST="P9-007")*(LEFT(SITE_LAD,4)="ติด:"))&amp;"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IFERROR(INDEX(INVS_TYPE,MATCH("P9-007",INVS_ID,0))&amp;"","")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ทั้งก้อน",IFERROR(INDEX(INVS_SET,MATCH("P9-007",INVS_ID,0)),"")&amp;" kW, โรงเรือน "&amp;IFERROR(INDEX(INVS_SIZE,MATCH("P9-007",INVS_ID,0)),"")&amp;",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4" display="✎ กรอกความคืบหน้า"/>
    <hyperlink ref="R4" location="'Master Plan'!A14" display="← กลับ Master Plan"/>
    <hyperlink ref="M10" location="'อัปเดตงาน WBS'!L5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0"/>
    <hyperlink ref="M11" location="'อัปเดตงาน WBS'!L5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1"/>
    <hyperlink ref="M12" location="'อัปเดตงาน WBS'!L5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2"/>
    <hyperlink ref="M13" location="'อัปเดตงาน WBS'!L5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3"/>
    <hyperlink ref="M14" location="'อัปเดตงาน WBS'!L5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4"/>
    <hyperlink ref="M15" location="'อัปเดตงาน WBS'!L5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5"/>
    <hyperlink ref="M17" location="'อัปเดตงาน WBS'!L5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6"/>
    <hyperlink ref="M18" location="'อัปเดตงาน WBS'!L5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7"/>
    <hyperlink ref="M19" location="'อัปเดตงาน WBS'!L5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8"/>
    <hyperlink ref="M20" location="'อัปเดตงาน WBS'!L5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09"/>
    <hyperlink ref="M21" location="'อัปเดตงาน WBS'!L5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0"/>
    <hyperlink ref="M22" location="'อัปเดตงาน WBS'!L5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1"/>
    <hyperlink ref="M24" location="'อัปเดตงาน WBS'!L5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2"/>
    <hyperlink ref="M26" location="'อัปเดตงาน WBS'!L5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3"/>
    <hyperlink ref="M27" location="'อัปเดตงาน WBS'!L5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4"/>
    <hyperlink ref="M28" location="'อัปเดตงาน WBS'!L5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5"/>
    <hyperlink ref="M31" location="'อัปเดตงาน WBS'!L5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6"/>
    <hyperlink ref="M32" location="'อัปเดตงาน WBS'!L5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7"/>
    <hyperlink ref="M33" location="'อัปเดตงาน WBS'!L5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8"/>
    <hyperlink ref="M35" location="'อัปเดตงาน WBS'!L5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19"/>
    <hyperlink ref="M36" location="'อัปเดตงาน WBS'!L5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0"/>
    <hyperlink ref="M37" location="'อัปเดตงาน WBS'!L5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1"/>
    <hyperlink ref="M38" location="'อัปเดตงาน WBS'!L5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2"/>
    <hyperlink ref="M40" location="'อัปเดตงาน WBS'!L5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3"/>
    <hyperlink ref="M41" location="'อัปเดตงาน WBS'!L5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4"/>
    <hyperlink ref="M42" location="'อัปเดตงาน WBS'!L5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5"/>
    <hyperlink ref="M44" location="'อัปเดตงาน WBS'!L5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6"/>
    <hyperlink ref="M45" location="'อัปเดตงาน WBS'!L5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7"/>
    <hyperlink ref="M46" location="'อัปเดตงาน WBS'!L5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8"/>
    <hyperlink ref="M53" location="'อัปเดตงาน WBS'!L5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29"/>
    <hyperlink ref="M54" location="'อัปเดตงาน WBS'!L5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0"/>
    <hyperlink ref="M63" location="'อัปเดตงาน WBS'!L5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1"/>
    <hyperlink ref="M64" location="'อัปเดตงาน WBS'!L5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2"/>
    <hyperlink ref="M65" location="'อัปเดตงาน WBS'!L5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3"/>
    <hyperlink ref="M66" location="'อัปเดตงาน WBS'!L5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4"/>
    <hyperlink ref="M67" location="'อัปเดตงาน WBS'!L5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5"/>
    <hyperlink ref="M68" location="'อัปเดตงาน WBS'!L5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6"/>
    <hyperlink ref="M69" location="'อัปเดตงาน WBS'!L5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7"/>
    <hyperlink ref="M71" location="'อัปเดตงาน WBS'!L5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8"/>
    <hyperlink ref="M72" location="'อัปเดตงาน WBS'!L5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39"/>
    <hyperlink ref="M73" location="'อัปเดตงาน WBS'!L5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0"/>
    <hyperlink ref="M74" location="'อัปเดตงาน WBS'!L5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1"/>
    <hyperlink ref="M75" location="'อัปเดตงาน WBS'!L5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2"/>
    <hyperlink ref="M77" location="'อัปเดตงาน WBS'!L5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3"/>
    <hyperlink ref="M78" location="'อัปเดตงาน WBS'!L5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4"/>
    <hyperlink ref="M79" location="'อัปเดตงาน WBS'!L5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5"/>
    <hyperlink ref="M80" location="'อัปเดตงาน WBS'!L5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6"/>
    <hyperlink ref="M81" location="'อัปเดตงาน WBS'!L5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7"/>
    <hyperlink ref="M83" location="'อัปเดตงาน WBS'!L5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8"/>
    <hyperlink ref="M84" location="'อัปเดตงาน WBS'!L5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49"/>
    <hyperlink ref="M86" location="'อัปเดตงาน WBS'!L5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0"/>
    <hyperlink ref="M87" location="'อัปเดตงาน WBS'!L5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1"/>
    <hyperlink ref="M88" location="'อัปเดตงาน WBS'!L5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2"/>
    <hyperlink ref="M89" location="'อัปเดตงาน WBS'!L5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3"/>
    <hyperlink ref="M91" location="'อัปเดตงาน WBS'!L5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4"/>
    <hyperlink ref="M92" location="'อัปเดตงาน WBS'!L5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5"/>
    <hyperlink ref="M93" location="'อัปเดตงาน WBS'!L5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6"/>
    <hyperlink ref="M94" location="'อัปเดตงาน WBS'!L5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7"/>
    <hyperlink ref="M95" location="'อัปเดตงาน WBS'!L5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8"/>
    <hyperlink ref="M97" location="'อัปเดตงาน WBS'!L5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59"/>
    <hyperlink ref="M98" location="'อัปเดตงาน WBS'!L5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0"/>
    <hyperlink ref="M99" location="'อัปเดตงาน WBS'!L5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1"/>
    <hyperlink ref="M103" location="'อัปเดตงาน WBS'!L5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2"/>
    <hyperlink ref="M104" location="'อัปเดตงาน WBS'!L5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3"/>
    <hyperlink ref="M105" location="'อัปเดตงาน WBS'!L5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4"/>
    <hyperlink ref="M106" location="'อัปเดตงาน WBS'!L5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5"/>
    <hyperlink ref="M108" location="'อัปเดตงาน WBS'!L5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6"/>
    <hyperlink ref="M109" location="'อัปเดตงาน WBS'!L5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7"/>
    <hyperlink ref="M110" location="'อัปเดตงาน WBS'!L5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8"/>
    <hyperlink ref="M112" location="'อัปเดตงาน WBS'!L5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69"/>
    <hyperlink ref="M113" location="'อัปเดตงาน WBS'!L5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0"/>
    <hyperlink ref="M116" location="'อัปเดตงาน WBS'!L5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1"/>
    <hyperlink ref="M117" location="'อัปเดตงาน WBS'!L5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2"/>
    <hyperlink ref="M118" location="'อัปเดตงาน WBS'!L5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3"/>
    <hyperlink ref="M119" location="'อัปเดตงาน WBS'!L5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4"/>
    <hyperlink ref="M120" location="'อัปเดตงาน WBS'!L5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5"/>
    <hyperlink ref="M121" location="'อัปเดตงาน WBS'!L5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6"/>
    <hyperlink ref="M125" location="'อัปเดตงาน WBS'!L5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7"/>
    <hyperlink ref="M126" location="'อัปเดตงาน WBS'!L5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8"/>
    <hyperlink ref="M127" location="'อัปเดตงาน WBS'!L5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79"/>
    <hyperlink ref="D134" location="'จุดติดตั้ง'!A37" display="✎ เพิ่ม / แก้จุดติดตั้ง →"/>
    <hyperlink ref="D146" location="'Inverter station'!A12" display="file:///home/claude/dash/template/%E0%B9%81%E0%B8%A1%E0%B9%88%E0%B9%81%E0%B8%9A%E0%B8%9A%E0%B9%82%E0%B8%84%E0%B8%A3%E0%B8%87%E0%B8%81%E0%B8%B2%E0%B8%A3%20TCRoof%20(%E0%B8%97%E0%B8%B8%E0%B8%81%E0%B8%81%E0%B8%A3%E0%B8%93%E0%B8%B5).xlsx#'Inverter station'!A1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3696</v>
      </c>
    </row>
    <row r="2" customFormat="false" ht="15" hidden="false" customHeight="false" outlineLevel="0" collapsed="false">
      <c r="A2" s="354" t="s">
        <v>3697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Plan'!$AI$15</f>
        <v>-36</v>
      </c>
      <c r="M4" s="360"/>
      <c r="N4" s="360" t="n">
        <f aca="false">'Master Plan'!$AJ$15</f>
        <v>-3</v>
      </c>
      <c r="O4" s="360"/>
      <c r="P4" s="361" t="str">
        <f aca="false">'Master Plan'!$AK$15&amp;" / "&amp;'Master Plan'!$AL$15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COUNTIFS(CR_ST,"P9-008",CR_STAT,"อนุมัติ")&amp;" รายการ, "&amp;'Master Plan'!$AO$15&amp;" วัน"</f>
        <v>0 รายการ, 0 วัน</v>
      </c>
      <c r="AG4" s="362"/>
      <c r="AH4" s="362"/>
      <c r="AI4" s="362"/>
      <c r="AJ4" s="362"/>
      <c r="AK4" s="363" t="n">
        <f aca="false">COUNTIFS(CR_ST,"P9-008",CR_STAT,"รออนุมัติ")+COUNTIFS(CR_ST,"P9-008",CR_STAT,"ขอข้อมูลเพิ่ม")</f>
        <v>0</v>
      </c>
      <c r="AL4" s="363"/>
      <c r="AM4" s="363"/>
      <c r="AN4" s="363"/>
      <c r="AO4" s="363"/>
      <c r="AP4" s="362" t="str">
        <f aca="false">COUNTIF(RW_ST,"P9-008")&amp;" ("&amp;COUNTIFS(RW_ST,"P9-008",RW_DONE,"&lt;&gt;Y")&amp;")"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COUNTIF(LL_ST,"*P9-008*")</f>
        <v>0</v>
      </c>
      <c r="BA4" s="363"/>
      <c r="BB4" s="363"/>
      <c r="BC4" s="363"/>
      <c r="BD4" s="363"/>
      <c r="BE4" s="362" t="str">
        <f aca="false">IF(COUNTIFS(SITE_ST,"P9-008",SITE_TYPE,"?*")=0,"ประมาณการ,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IF(COUNTIFS(SITE_ST,"P9-008",SITE_TYPE,"?*")=0,"ยังไม่ระบุจุด",COUNTIFS(SITE_ST,"P9-008",SITE_LAD,"ติด:*")&amp;" จุด"&amp;IF(COUNTIFS(SITE_ST,"P9-008",SITE_LAD,"⚠*")&gt;0,", ⚠ กรอกความสูง",""))</f>
        <v>2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3698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73</v>
      </c>
      <c r="E9" s="372" t="n">
        <v>0</v>
      </c>
      <c r="F9" s="31"/>
      <c r="G9" s="32"/>
      <c r="H9" s="32" t="n">
        <v>1</v>
      </c>
      <c r="I9" s="373" t="n">
        <f aca="false">'Master Plan'!$H$15+(-75)</f>
        <v>46328</v>
      </c>
      <c r="J9" s="373" t="n">
        <f aca="false">'Master Plan'!$H$15+(50)</f>
        <v>46453</v>
      </c>
      <c r="K9" s="78"/>
      <c r="L9" s="78" t="str">
        <f aca="false">IF(ISNUMBER(อัปเดตรายสัปดาห์!$G$15),อัปเดตรายสัปดาห์!$G$15,"")</f>
        <v/>
      </c>
      <c r="M9" s="374" t="str">
        <f aca="false">IF(อัปเดตรายสัปดาห์!$G$15="Y","Y","")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Plan'!$H$15+(-75)</f>
        <v>46328</v>
      </c>
      <c r="J10" s="382" t="n">
        <f aca="false">'Master Plan'!$H$15+(-63)</f>
        <v>46340</v>
      </c>
      <c r="K10" s="387"/>
      <c r="L10" s="387"/>
      <c r="M10" s="383" t="str">
        <f aca="false">IF('อัปเดตงาน WBS'!$L$580="","",'อัปเดตงาน WBS'!$L$580)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Plan'!$H$15+(-75)</f>
        <v>46328</v>
      </c>
      <c r="J11" s="382" t="n">
        <f aca="false">'Master Plan'!$H$15+(-63)</f>
        <v>46340</v>
      </c>
      <c r="K11" s="387"/>
      <c r="L11" s="387"/>
      <c r="M11" s="383" t="str">
        <f aca="false">IF('อัปเดตงาน WBS'!$L$581="","",'อัปเดตงาน WBS'!$L$581)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Plan'!$H$15+(-75)</f>
        <v>46328</v>
      </c>
      <c r="J12" s="382" t="n">
        <f aca="false">'Master Plan'!$H$15+(-63)</f>
        <v>46340</v>
      </c>
      <c r="K12" s="387"/>
      <c r="L12" s="387"/>
      <c r="M12" s="383" t="str">
        <f aca="false">IF('อัปเดตงาน WBS'!$L$582="","",'อัปเดตงาน WBS'!$L$582)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Plan'!$H$15+(-75)</f>
        <v>46328</v>
      </c>
      <c r="J13" s="382" t="n">
        <f aca="false">'Master Plan'!$H$15+(-56)</f>
        <v>46347</v>
      </c>
      <c r="K13" s="387"/>
      <c r="L13" s="387"/>
      <c r="M13" s="383" t="str">
        <f aca="false">IF('อัปเดตงาน WBS'!$L$583="","",'อัปเดตงาน WBS'!$L$583)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Plan'!$H$15+(-63)</f>
        <v>46340</v>
      </c>
      <c r="J14" s="382" t="n">
        <f aca="false">'Master Plan'!$H$15+(50)</f>
        <v>46453</v>
      </c>
      <c r="K14" s="387"/>
      <c r="L14" s="387"/>
      <c r="M14" s="383" t="str">
        <f aca="false">IF('อัปเดตงาน WBS'!$L$584="","",'อัปเดตงาน WBS'!$L$584)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Plan'!$H$15+(-63)</f>
        <v>46340</v>
      </c>
      <c r="J15" s="382" t="n">
        <f aca="false">'Master Plan'!$H$15+(50)</f>
        <v>46453</v>
      </c>
      <c r="K15" s="387"/>
      <c r="L15" s="387"/>
      <c r="M15" s="383" t="str">
        <f aca="false">IF('อัปเดตงาน WBS'!$L$585="","",'อัปเดตงาน WBS'!$L$585)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Plan'!$H$15+(-56)</f>
        <v>46347</v>
      </c>
      <c r="J16" s="373" t="n">
        <f aca="false">'Master Plan'!$H$15+(-45)</f>
        <v>46358</v>
      </c>
      <c r="K16" s="78"/>
      <c r="L16" s="78" t="str">
        <f aca="false">IF(ISNUMBER(อัปเดตรายสัปดาห์!$H$15),อัปเดตรายสัปดาห์!$H$15,"")</f>
        <v/>
      </c>
      <c r="M16" s="374" t="str">
        <f aca="false">IF(อัปเดตรายสัปดาห์!$H$15="Y","Y","")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Plan'!$H$15+(-56)</f>
        <v>46347</v>
      </c>
      <c r="J17" s="382" t="n">
        <f aca="false">'Master Plan'!$H$15+(-54)</f>
        <v>46349</v>
      </c>
      <c r="K17" s="387"/>
      <c r="L17" s="387"/>
      <c r="M17" s="383" t="str">
        <f aca="false">IF('อัปเดตงาน WBS'!$L$586="","",'อัปเดตงาน WBS'!$L$586)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Plan'!$H$15+(-55)</f>
        <v>46348</v>
      </c>
      <c r="J18" s="382" t="n">
        <f aca="false">'Master Plan'!$H$15+(-52)</f>
        <v>46351</v>
      </c>
      <c r="K18" s="387"/>
      <c r="L18" s="387"/>
      <c r="M18" s="383" t="str">
        <f aca="false">IF('อัปเดตงาน WBS'!$L$587="","",'อัปเดตงาน WBS'!$L$587)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Plan'!$H$15+(-53)</f>
        <v>46350</v>
      </c>
      <c r="J19" s="382" t="n">
        <f aca="false">'Master Plan'!$H$15+(-48)</f>
        <v>46355</v>
      </c>
      <c r="K19" s="387"/>
      <c r="L19" s="387"/>
      <c r="M19" s="383" t="str">
        <f aca="false">IF('อัปเดตงาน WBS'!$L$588="","",'อัปเดตงาน WBS'!$L$588)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Plan'!$H$15+(-53)</f>
        <v>46350</v>
      </c>
      <c r="J20" s="382" t="n">
        <f aca="false">'Master Plan'!$H$15+(-48)</f>
        <v>46355</v>
      </c>
      <c r="K20" s="387"/>
      <c r="L20" s="387"/>
      <c r="M20" s="383" t="str">
        <f aca="false">IF('อัปเดตงาน WBS'!$L$589="","",'อัปเดตงาน WBS'!$L$589)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Plan'!$H$15+(-52)</f>
        <v>46351</v>
      </c>
      <c r="J21" s="382" t="n">
        <f aca="false">'Master Plan'!$H$15+(-47)</f>
        <v>46356</v>
      </c>
      <c r="K21" s="387"/>
      <c r="L21" s="387"/>
      <c r="M21" s="383" t="str">
        <f aca="false">IF('อัปเดตงาน WBS'!$L$590="","",'อัปเดตงาน WBS'!$L$590)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Plan'!$H$15+(-50)</f>
        <v>46353</v>
      </c>
      <c r="J22" s="382" t="n">
        <f aca="false">'Master Plan'!$H$15+(-46)</f>
        <v>46357</v>
      </c>
      <c r="K22" s="387"/>
      <c r="L22" s="387"/>
      <c r="M22" s="383" t="str">
        <f aca="false">IF('อัปเดตงาน WBS'!$L$591="","",'อัปเดตงาน WBS'!$L$591)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Plan'!$H$15+(-49)</f>
        <v>46354</v>
      </c>
      <c r="J24" s="382" t="n">
        <f aca="false">'Master Plan'!$H$15+(-45)</f>
        <v>46358</v>
      </c>
      <c r="K24" s="387"/>
      <c r="L24" s="387"/>
      <c r="M24" s="383" t="str">
        <f aca="false">IF('อัปเดตงาน WBS'!$L$592="","",'อัปเดตงาน WBS'!$L$592)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Plan'!$H$15+(-51)</f>
        <v>46352</v>
      </c>
      <c r="J25" s="373" t="n">
        <f aca="false">'Master Plan'!$H$15+(-51)</f>
        <v>46352</v>
      </c>
      <c r="K25" s="78"/>
      <c r="L25" s="78" t="str">
        <f aca="false">IF(ISNUMBER(อัปเดตรายสัปดาห์!$I$15),อัปเดตรายสัปดาห์!$I$15,"")</f>
        <v/>
      </c>
      <c r="M25" s="374" t="str">
        <f aca="false">IF(อัปเดตรายสัปดาห์!$I$15="Y","Y","")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Plan'!$H$15+(-51)</f>
        <v>46352</v>
      </c>
      <c r="J26" s="382" t="n">
        <f aca="false">'Master Plan'!$H$15+(-51)</f>
        <v>46352</v>
      </c>
      <c r="K26" s="387"/>
      <c r="L26" s="387"/>
      <c r="M26" s="383" t="str">
        <f aca="false">IF('อัปเดตงาน WBS'!$L$593="","",'อัปเดตงาน WBS'!$L$593)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Plan'!$H$15+(-51)</f>
        <v>46352</v>
      </c>
      <c r="J27" s="382" t="n">
        <f aca="false">'Master Plan'!$H$15+(-51)</f>
        <v>46352</v>
      </c>
      <c r="K27" s="387"/>
      <c r="L27" s="387"/>
      <c r="M27" s="383" t="str">
        <f aca="false">IF('อัปเดตงาน WBS'!$L$594="","",'อัปเดตงาน WBS'!$L$594)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Plan'!$H$15+(-51)</f>
        <v>46352</v>
      </c>
      <c r="J28" s="382" t="n">
        <f aca="false">'Master Plan'!$H$15+(-51)</f>
        <v>46352</v>
      </c>
      <c r="K28" s="387"/>
      <c r="L28" s="387"/>
      <c r="M28" s="383" t="str">
        <f aca="false">IF('อัปเดตงาน WBS'!$L$595="","",'อัปเดตงาน WBS'!$L$595)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73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Plan'!$H$15+(-75)</f>
        <v>46328</v>
      </c>
      <c r="J30" s="373" t="n">
        <f aca="false">'Master Plan'!$H$15+(-75)</f>
        <v>46328</v>
      </c>
      <c r="K30" s="78"/>
      <c r="L30" s="78" t="str">
        <f aca="false">IF(ISNUMBER(อัปเดตรายสัปดาห์!$J$15),อัปเดตรายสัปดาห์!$J$15,"")</f>
        <v/>
      </c>
      <c r="M30" s="374" t="str">
        <f aca="false">IF(อัปเดตรายสัปดาห์!$J$15="Y","Y","")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Plan'!$H$15+(-75)</f>
        <v>46328</v>
      </c>
      <c r="J31" s="382" t="n">
        <f aca="false">'Master Plan'!$H$15+(-75)</f>
        <v>46328</v>
      </c>
      <c r="K31" s="387"/>
      <c r="L31" s="387"/>
      <c r="M31" s="383" t="str">
        <f aca="false">IF('อัปเดตงาน WBS'!$L$596="","",'อัปเดตงาน WBS'!$L$596)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Plan'!$H$15+(-75)</f>
        <v>46328</v>
      </c>
      <c r="J32" s="382" t="n">
        <f aca="false">'Master Plan'!$H$15+(-75)</f>
        <v>46328</v>
      </c>
      <c r="K32" s="387"/>
      <c r="L32" s="387"/>
      <c r="M32" s="383" t="str">
        <f aca="false">IF('อัปเดตงาน WBS'!$L$597="","",'อัปเดตงาน WBS'!$L$597)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Plan'!$H$15+(-75)</f>
        <v>46328</v>
      </c>
      <c r="J33" s="382" t="n">
        <f aca="false">'Master Plan'!$H$15+(-75)</f>
        <v>46328</v>
      </c>
      <c r="K33" s="387"/>
      <c r="L33" s="387"/>
      <c r="M33" s="383" t="str">
        <f aca="false">IF('อัปเดตงาน WBS'!$L$598="","",'อัปเดตงาน WBS'!$L$598)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73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Plan'!$H$15+(-68)</f>
        <v>46335</v>
      </c>
      <c r="J34" s="373" t="n">
        <f aca="false">'Master Plan'!$H$15+(-59)</f>
        <v>46344</v>
      </c>
      <c r="K34" s="78"/>
      <c r="L34" s="78" t="str">
        <f aca="false">IF(ISNUMBER(อัปเดตรายสัปดาห์!$K$15),อัปเดตรายสัปดาห์!$K$15,"")</f>
        <v/>
      </c>
      <c r="M34" s="374" t="str">
        <f aca="false">IF(อัปเดตรายสัปดาห์!$K$15="Y","Y","")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Plan'!$H$15+(-68)</f>
        <v>46335</v>
      </c>
      <c r="J35" s="382" t="n">
        <f aca="false">'Master Plan'!$H$15+(-64)</f>
        <v>46339</v>
      </c>
      <c r="K35" s="387"/>
      <c r="L35" s="387"/>
      <c r="M35" s="383" t="str">
        <f aca="false">IF('อัปเดตงาน WBS'!$L$599="","",'อัปเดตงาน WBS'!$L$599)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Plan'!$H$15+(-68)</f>
        <v>46335</v>
      </c>
      <c r="J36" s="382" t="n">
        <f aca="false">'Master Plan'!$H$15+(-63)</f>
        <v>46340</v>
      </c>
      <c r="K36" s="387"/>
      <c r="L36" s="387"/>
      <c r="M36" s="383" t="str">
        <f aca="false">IF('อัปเดตงาน WBS'!$L$600="","",'อัปเดตงาน WBS'!$L$600)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Plan'!$H$15+(-65)</f>
        <v>46338</v>
      </c>
      <c r="J37" s="382" t="n">
        <f aca="false">'Master Plan'!$H$15+(-62)</f>
        <v>46341</v>
      </c>
      <c r="K37" s="387"/>
      <c r="L37" s="387"/>
      <c r="M37" s="383" t="str">
        <f aca="false">IF('อัปเดตงาน WBS'!$L$601="","",'อัปเดตงาน WBS'!$L$601)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Plan'!$H$15+(-63)</f>
        <v>46340</v>
      </c>
      <c r="J38" s="382" t="n">
        <f aca="false">'Master Plan'!$H$15+(-59)</f>
        <v>46344</v>
      </c>
      <c r="K38" s="387"/>
      <c r="L38" s="387"/>
      <c r="M38" s="383" t="str">
        <f aca="false">IF('อัปเดตงาน WBS'!$L$602="","",'อัปเดตงาน WBS'!$L$602)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73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Plan'!$H$15+(-45)</f>
        <v>46358</v>
      </c>
      <c r="J39" s="373" t="n">
        <f aca="false">'Master Plan'!$H$15+(-45)</f>
        <v>46358</v>
      </c>
      <c r="K39" s="78"/>
      <c r="L39" s="78" t="str">
        <f aca="false">IF(ISNUMBER(อัปเดตรายสัปดาห์!$L$15),อัปเดตรายสัปดาห์!$L$15,"")</f>
        <v/>
      </c>
      <c r="M39" s="374" t="str">
        <f aca="false">IF(อัปเดตรายสัปดาห์!$L$15="Y","Y","")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Plan'!$H$15+(-45)</f>
        <v>46358</v>
      </c>
      <c r="J40" s="382" t="n">
        <f aca="false">'Master Plan'!$H$15+(-45)</f>
        <v>46358</v>
      </c>
      <c r="K40" s="387"/>
      <c r="L40" s="387"/>
      <c r="M40" s="383" t="str">
        <f aca="false">IF('อัปเดตงาน WBS'!$L$603="","",'อัปเดตงาน WBS'!$L$603)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Plan'!$H$15+(-45)</f>
        <v>46358</v>
      </c>
      <c r="J41" s="382" t="n">
        <f aca="false">'Master Plan'!$H$15+(-45)</f>
        <v>46358</v>
      </c>
      <c r="K41" s="387"/>
      <c r="L41" s="387"/>
      <c r="M41" s="383" t="str">
        <f aca="false">IF('อัปเดตงาน WBS'!$L$604="","",'อัปเดตงาน WBS'!$L$604)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Plan'!$H$15+(-45)</f>
        <v>46358</v>
      </c>
      <c r="J42" s="382" t="n">
        <f aca="false">'Master Plan'!$H$15+(-45)</f>
        <v>46358</v>
      </c>
      <c r="K42" s="387"/>
      <c r="L42" s="387"/>
      <c r="M42" s="383" t="str">
        <f aca="false">IF('อัปเดตงาน WBS'!$L$605="","",'อัปเดตงาน WBS'!$L$605)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Plan'!$H$15+(-68)</f>
        <v>46335</v>
      </c>
      <c r="J43" s="373" t="n">
        <f aca="false">'Master Plan'!$H$15+(-55)</f>
        <v>46348</v>
      </c>
      <c r="K43" s="78"/>
      <c r="L43" s="78" t="str">
        <f aca="false">IF(ISNUMBER(อัปเดตรายสัปดาห์!$M$15),อัปเดตรายสัปดาห์!$M$15,"")</f>
        <v/>
      </c>
      <c r="M43" s="374" t="str">
        <f aca="false">IF(อัปเดตรายสัปดาห์!$M$15="Y","Y","")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Plan'!$H$15+(-68)</f>
        <v>46335</v>
      </c>
      <c r="J44" s="382" t="n">
        <f aca="false">'Master Plan'!$H$15+(-65)</f>
        <v>46338</v>
      </c>
      <c r="K44" s="387"/>
      <c r="L44" s="387"/>
      <c r="M44" s="383" t="str">
        <f aca="false">IF('อัปเดตงาน WBS'!$L$606="","",'อัปเดตงาน WBS'!$L$606)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Plan'!$H$15+(-67)</f>
        <v>46336</v>
      </c>
      <c r="J45" s="382" t="n">
        <f aca="false">'Master Plan'!$H$15+(-62)</f>
        <v>46341</v>
      </c>
      <c r="K45" s="387"/>
      <c r="L45" s="387"/>
      <c r="M45" s="383" t="str">
        <f aca="false">IF('อัปเดตงาน WBS'!$L$607="","",'อัปเดตงาน WBS'!$L$607)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Plan'!$H$15+(-62)</f>
        <v>46341</v>
      </c>
      <c r="J46" s="382" t="n">
        <f aca="false">'Master Plan'!$H$15+(-55)</f>
        <v>46348</v>
      </c>
      <c r="K46" s="387"/>
      <c r="L46" s="387"/>
      <c r="M46" s="383" t="str">
        <f aca="false">IF('อัปเดตงาน WBS'!$L$608="","",'อัปเดตงาน WBS'!$L$608)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Plan'!$H$15+(-12)</f>
        <v>46391</v>
      </c>
      <c r="J47" s="373" t="n">
        <f aca="false">'Master Plan'!$H$15+(-12)</f>
        <v>46391</v>
      </c>
      <c r="K47" s="78"/>
      <c r="L47" s="78" t="str">
        <f aca="false">IF(ISNUMBER(อัปเดตรายสัปดาห์!$N$15),อัปเดตรายสัปดาห์!$N$15,"")</f>
        <v/>
      </c>
      <c r="M47" s="374" t="str">
        <f aca="false">IF(อัปเดตรายสัปดาห์!$N$15="Y","Y","")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Plan'!$AG$15)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Plan'!$H$15+(-12)</f>
        <v>46391</v>
      </c>
      <c r="J48" s="382" t="n">
        <f aca="false">'Master Plan'!$H$15+(-12)</f>
        <v>46391</v>
      </c>
      <c r="K48" s="387"/>
      <c r="L48" s="387"/>
      <c r="M48" s="383" t="str">
        <f aca="false">IF('อัปเดตงาน WBS'!$L$609="","",'อัปเดตงาน WBS'!$L$609)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Plan'!$H$15+(-12)</f>
        <v>46391</v>
      </c>
      <c r="J49" s="382" t="n">
        <f aca="false">'Master Plan'!$H$15+(-12)</f>
        <v>46391</v>
      </c>
      <c r="K49" s="387"/>
      <c r="L49" s="387"/>
      <c r="M49" s="383" t="str">
        <f aca="false">IF('อัปเดตงาน WBS'!$L$610="","",'อัปเดตงาน WBS'!$L$610)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Plan'!$H$15+(-11)</f>
        <v>46392</v>
      </c>
      <c r="J50" s="373" t="n">
        <f aca="false">'Master Plan'!$H$15+(18)</f>
        <v>46421</v>
      </c>
      <c r="K50" s="78"/>
      <c r="L50" s="78" t="str">
        <f aca="false">IF(ISNUMBER(อัปเดตรายสัปดาห์!$O$15),อัปเดตรายสัปดาห์!$O$15,"")</f>
        <v/>
      </c>
      <c r="M50" s="374" t="str">
        <f aca="false">IF(อัปเดตรายสัปดาห์!$O$15="Y","Y","")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Plan'!$H$15+(-12)</f>
        <v>46391</v>
      </c>
      <c r="J51" s="382" t="n">
        <f aca="false">'Master Plan'!$H$15+(-12)</f>
        <v>46391</v>
      </c>
      <c r="K51" s="387"/>
      <c r="L51" s="387"/>
      <c r="M51" s="383" t="str">
        <f aca="false">IF('อัปเดตงาน WBS'!$L$611="","",'อัปเดตงาน WBS'!$L$611)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IF(ISNUMBER(อัปเดตรายสัปดาห์!$P$15),อัปเดตรายสัปดาห์!$P$15,"")</f>
        <v/>
      </c>
      <c r="M52" s="374" t="str">
        <f aca="false">IF(อัปเดตรายสัปดาห์!$P$15="Y","Y","")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WBS'!$L$612="","",'อัปเดตงาน WBS'!$L$612)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WBS'!$L$613="","",'อัปเดตงาน WBS'!$L$613)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Plan'!$H$15+(-12)</f>
        <v>46391</v>
      </c>
      <c r="J55" s="373" t="n">
        <f aca="false">'Master Plan'!$H$15+(-12)</f>
        <v>46391</v>
      </c>
      <c r="K55" s="78"/>
      <c r="L55" s="78" t="str">
        <f aca="false">IF(ISNUMBER(อัปเดตรายสัปดาห์!$Q$15),อัปเดตรายสัปดาห์!$Q$15,"")</f>
        <v/>
      </c>
      <c r="M55" s="374" t="str">
        <f aca="false">IF(อัปเดตรายสัปดาห์!$Q$15="Y","Y","")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Plan'!$AC$15)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IF(ISNUMBER(อัปเดตรายสัปดาห์!$R$15),อัปเดตรายสัปดาห์!$R$15,"")</f>
        <v/>
      </c>
      <c r="M56" s="374" t="str">
        <f aca="false">IF(อัปเดตรายสัปดาห์!$R$15="Y","Y","")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Plan'!$H$15+(-11)</f>
        <v>46392</v>
      </c>
      <c r="J57" s="373" t="n">
        <f aca="false">'Master Plan'!$H$15+(9)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IF(ISNUMBER(อัปเดตรายสัปดาห์!$S$15),อัปเดตรายสัปดาห์!$S$15,"")</f>
        <v/>
      </c>
      <c r="M57" s="374" t="str">
        <f aca="false">IF(อัปเดตรายสัปดาห์!$S$15="Y","Y","")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Plan'!$AD$15)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Plan'!$H$15+(10)</f>
        <v>46413</v>
      </c>
      <c r="J58" s="373" t="n">
        <f aca="false">'Master Plan'!$H$15+(16)</f>
        <v>46419</v>
      </c>
      <c r="K58" s="78"/>
      <c r="L58" s="78" t="str">
        <f aca="false">IF(ISNUMBER(อัปเดตรายสัปดาห์!$T$15),อัปเดตรายสัปดาห์!$T$15,"")</f>
        <v/>
      </c>
      <c r="M58" s="374" t="str">
        <f aca="false">IF(อัปเดตรายสัปดาห์!$T$15="Y","Y","")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Plan'!$AE$15)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Plan'!$H$15+(17)</f>
        <v>46420</v>
      </c>
      <c r="J59" s="373" t="n">
        <f aca="false">'Master Plan'!$H$15+(17)</f>
        <v>46420</v>
      </c>
      <c r="K59" s="78"/>
      <c r="L59" s="78" t="str">
        <f aca="false">IF(ISNUMBER(อัปเดตรายสัปดาห์!$U$15),อัปเดตรายสัปดาห์!$U$15,"")</f>
        <v/>
      </c>
      <c r="M59" s="374" t="str">
        <f aca="false">IF(อัปเดตรายสัปดาห์!$U$15="Y","Y","")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Plan'!$AF$15)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73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Plan'!$H$15+(18)</f>
        <v>46421</v>
      </c>
      <c r="J60" s="373" t="n">
        <f aca="false">'Master Plan'!$H$15+(33)</f>
        <v>46436</v>
      </c>
      <c r="K60" s="78"/>
      <c r="L60" s="78" t="str">
        <f aca="false">IF(ISNUMBER(อัปเดตรายสัปดาห์!$V$15),อัปเดตรายสัปดาห์!$V$15,"")</f>
        <v/>
      </c>
      <c r="M60" s="374" t="str">
        <f aca="false">IF(อัปเดตรายสัปดาห์!$V$15="Y","Y","")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Plan'!$AH$15)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3699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Plan'!$H$15+(-42)</f>
        <v>46361</v>
      </c>
      <c r="J62" s="373" t="n">
        <f aca="false">'Master Plan'!$H$15+(-25)</f>
        <v>46378</v>
      </c>
      <c r="K62" s="78"/>
      <c r="L62" s="78" t="str">
        <f aca="false">IF(ISNUMBER(อัปเดตรายสัปดาห์!$W$15),อัปเดตรายสัปดาห์!$W$15,"")</f>
        <v/>
      </c>
      <c r="M62" s="374" t="str">
        <f aca="false">IF(อัปเดตรายสัปดาห์!$W$15="Y","Y","")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-008",SITE_TYPE,"?*")&gt;0,MIN(1,SUMPRODUCT((SITE_ST="P9-008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Plan'!$H$15+(-42)</f>
        <v>46361</v>
      </c>
      <c r="J63" s="382" t="n">
        <f aca="false">'Master Plan'!$H$15+(-40)</f>
        <v>46363</v>
      </c>
      <c r="K63" s="387"/>
      <c r="L63" s="387"/>
      <c r="M63" s="383" t="str">
        <f aca="false">IF('อัปเดตงาน WBS'!$L$614="","",'อัปเดตงาน WBS'!$L$614)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Plan'!$H$15+(-42)</f>
        <v>46361</v>
      </c>
      <c r="J64" s="382" t="n">
        <f aca="false">'Master Plan'!$H$15+(-39)</f>
        <v>46364</v>
      </c>
      <c r="K64" s="387"/>
      <c r="L64" s="387"/>
      <c r="M64" s="383" t="str">
        <f aca="false">IF('อัปเดตงาน WBS'!$L$615="","",'อัปเดตงาน WBS'!$L$615)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Plan'!$H$15+(-40)</f>
        <v>46363</v>
      </c>
      <c r="J65" s="382" t="n">
        <f aca="false">'Master Plan'!$H$15+(-34)</f>
        <v>46369</v>
      </c>
      <c r="K65" s="387"/>
      <c r="L65" s="387"/>
      <c r="M65" s="383" t="str">
        <f aca="false">IF('อัปเดตงาน WBS'!$L$616="","",'อัปเดตงาน WBS'!$L$616)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Plan'!$H$15+(-35)</f>
        <v>46368</v>
      </c>
      <c r="J66" s="382" t="n">
        <f aca="false">'Master Plan'!$H$15+(-28)</f>
        <v>46375</v>
      </c>
      <c r="K66" s="387"/>
      <c r="L66" s="387"/>
      <c r="M66" s="383" t="str">
        <f aca="false">IF('อัปเดตงาน WBS'!$L$617="","",'อัปเดตงาน WBS'!$L$617)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Plan'!$H$15+(-32)</f>
        <v>46371</v>
      </c>
      <c r="J67" s="382" t="n">
        <f aca="false">'Master Plan'!$H$15+(-26)</f>
        <v>46377</v>
      </c>
      <c r="K67" s="387"/>
      <c r="L67" s="387"/>
      <c r="M67" s="383" t="str">
        <f aca="false">IF('อัปเดตงาน WBS'!$L$618="","",'อัปเดตงาน WBS'!$L$618)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Plan'!$H$15+(-28)</f>
        <v>46375</v>
      </c>
      <c r="J68" s="382" t="n">
        <f aca="false">'Master Plan'!$H$15+(-25)</f>
        <v>46378</v>
      </c>
      <c r="K68" s="387"/>
      <c r="L68" s="387"/>
      <c r="M68" s="383" t="str">
        <f aca="false">IF('อัปเดตงาน WBS'!$L$619="","",'อัปเดตงาน WBS'!$L$619)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Plan'!$H$15+(-26)</f>
        <v>46377</v>
      </c>
      <c r="J69" s="382" t="n">
        <f aca="false">'Master Plan'!$H$15+(-25)</f>
        <v>46378</v>
      </c>
      <c r="K69" s="387"/>
      <c r="L69" s="387"/>
      <c r="M69" s="383" t="str">
        <f aca="false">IF('อัปเดตงาน WBS'!$L$620="","",'อัปเดตงาน WBS'!$L$620)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3699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Plan'!$H$15+(-24)</f>
        <v>46379</v>
      </c>
      <c r="J70" s="373" t="n">
        <f aca="false">'Master Plan'!$H$15+(-15)</f>
        <v>46388</v>
      </c>
      <c r="K70" s="78"/>
      <c r="L70" s="78" t="str">
        <f aca="false">IF(ISNUMBER(อัปเดตรายสัปดาห์!$X$15),อัปเดตรายสัปดาห์!$X$15,"")</f>
        <v/>
      </c>
      <c r="M70" s="374" t="str">
        <f aca="false">IF(อัปเดตรายสัปดาห์!$X$15="Y","Y","")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-008",SITE_TYPE,"?*")&gt;0,MIN(1,SUMPRODUCT((SITE_ST="P9-008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Plan'!$H$15+(-24)</f>
        <v>46379</v>
      </c>
      <c r="J71" s="382" t="n">
        <f aca="false">'Master Plan'!$H$15+(-20)</f>
        <v>46383</v>
      </c>
      <c r="K71" s="387"/>
      <c r="L71" s="387"/>
      <c r="M71" s="383" t="str">
        <f aca="false">IF('อัปเดตงาน WBS'!$L$621="","",'อัปเดตงาน WBS'!$L$621)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Plan'!$H$15+(-22)</f>
        <v>46381</v>
      </c>
      <c r="J72" s="382" t="n">
        <f aca="false">'Master Plan'!$H$15+(-17)</f>
        <v>46386</v>
      </c>
      <c r="K72" s="387"/>
      <c r="L72" s="387"/>
      <c r="M72" s="383" t="str">
        <f aca="false">IF('อัปเดตงาน WBS'!$L$622="","",'อัปเดตงาน WBS'!$L$622)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Plan'!$H$15+(-21)</f>
        <v>46382</v>
      </c>
      <c r="J73" s="382" t="n">
        <f aca="false">'Master Plan'!$H$15+(-17)</f>
        <v>46386</v>
      </c>
      <c r="K73" s="387"/>
      <c r="L73" s="387"/>
      <c r="M73" s="383" t="str">
        <f aca="false">IF('อัปเดตงาน WBS'!$L$623="","",'อัปเดตงาน WBS'!$L$623)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Plan'!$H$15+(-20)</f>
        <v>46383</v>
      </c>
      <c r="J74" s="382" t="n">
        <f aca="false">'Master Plan'!$H$15+(-15)</f>
        <v>46388</v>
      </c>
      <c r="K74" s="387"/>
      <c r="L74" s="387"/>
      <c r="M74" s="383" t="str">
        <f aca="false">IF('อัปเดตงาน WBS'!$L$624="","",'อัปเดตงาน WBS'!$L$624)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Plan'!$H$15+(-17)</f>
        <v>46386</v>
      </c>
      <c r="J75" s="382" t="n">
        <f aca="false">'Master Plan'!$H$15+(-15)</f>
        <v>46388</v>
      </c>
      <c r="K75" s="387"/>
      <c r="L75" s="387"/>
      <c r="M75" s="383" t="str">
        <f aca="false">IF('อัปเดตงาน WBS'!$L$625="","",'อัปเดตงาน WBS'!$L$625)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3699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Plan'!$H$15+(-24)</f>
        <v>46379</v>
      </c>
      <c r="J76" s="373" t="n">
        <f aca="false">'Master Plan'!$H$15+(-15)</f>
        <v>46388</v>
      </c>
      <c r="K76" s="78"/>
      <c r="L76" s="78" t="str">
        <f aca="false">IF(ISNUMBER(อัปเดตรายสัปดาห์!$Y$15),อัปเดตรายสัปดาห์!$Y$15,"")</f>
        <v/>
      </c>
      <c r="M76" s="374" t="str">
        <f aca="false">IF(อัปเดตรายสัปดาห์!$Y$15="Y","Y","")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-008",SITE_TYPE,"?*")&gt;0,MIN(1,SUMPRODUCT((SITE_ST="P9-008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Plan'!$H$15+(-24)</f>
        <v>46379</v>
      </c>
      <c r="J77" s="382" t="n">
        <f aca="false">'Master Plan'!$H$15+(-21)</f>
        <v>46382</v>
      </c>
      <c r="K77" s="387"/>
      <c r="L77" s="387"/>
      <c r="M77" s="383" t="str">
        <f aca="false">IF('อัปเดตงาน WBS'!$L$626="","",'อัปเดตงาน WBS'!$L$626)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Plan'!$H$15+(-23)</f>
        <v>46380</v>
      </c>
      <c r="J78" s="382" t="n">
        <f aca="false">'Master Plan'!$H$15+(-16)</f>
        <v>46387</v>
      </c>
      <c r="K78" s="387"/>
      <c r="L78" s="387"/>
      <c r="M78" s="383" t="str">
        <f aca="false">IF('อัปเดตงาน WBS'!$L$627="","",'อัปเดตงาน WBS'!$L$627)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Plan'!$H$15+(-20)</f>
        <v>46383</v>
      </c>
      <c r="J79" s="382" t="n">
        <f aca="false">'Master Plan'!$H$15+(-15)</f>
        <v>46388</v>
      </c>
      <c r="K79" s="387"/>
      <c r="L79" s="387"/>
      <c r="M79" s="383" t="str">
        <f aca="false">IF('อัปเดตงาน WBS'!$L$628="","",'อัปเดตงาน WBS'!$L$628)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Plan'!$H$15+(-17)</f>
        <v>46386</v>
      </c>
      <c r="J80" s="382" t="n">
        <f aca="false">'Master Plan'!$H$15+(-15)</f>
        <v>46388</v>
      </c>
      <c r="K80" s="387"/>
      <c r="L80" s="387"/>
      <c r="M80" s="383" t="str">
        <f aca="false">IF('อัปเดตงาน WBS'!$L$629="","",'อัปเดตงาน WBS'!$L$629)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Plan'!$H$15+(-15)</f>
        <v>46388</v>
      </c>
      <c r="J81" s="382" t="n">
        <f aca="false">'Master Plan'!$H$15+(-15)</f>
        <v>46388</v>
      </c>
      <c r="K81" s="387"/>
      <c r="L81" s="387"/>
      <c r="M81" s="383" t="str">
        <f aca="false">IF('อัปเดตงาน WBS'!$L$630="","",'อัปเดตงาน WBS'!$L$630)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3699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Plan'!$H$15+(-21)</f>
        <v>46382</v>
      </c>
      <c r="J82" s="373" t="n">
        <f aca="false">'Master Plan'!$H$15+(-18)</f>
        <v>46385</v>
      </c>
      <c r="K82" s="78"/>
      <c r="L82" s="78" t="str">
        <f aca="false">IF(ISNUMBER(อัปเดตรายสัปดาห์!$Z$15),อัปเดตรายสัปดาห์!$Z$15,"")</f>
        <v/>
      </c>
      <c r="M82" s="374" t="str">
        <f aca="false">IF(อัปเดตรายสัปดาห์!$Z$15="Y","Y","")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Plan'!$H$15+(-21)</f>
        <v>46382</v>
      </c>
      <c r="J83" s="382" t="n">
        <f aca="false">'Master Plan'!$H$15+(-19)</f>
        <v>46384</v>
      </c>
      <c r="K83" s="387"/>
      <c r="L83" s="387"/>
      <c r="M83" s="383" t="str">
        <f aca="false">IF('อัปเดตงาน WBS'!$L$631="","",'อัปเดตงาน WBS'!$L$631)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Plan'!$H$15+(-20)</f>
        <v>46383</v>
      </c>
      <c r="J84" s="382" t="n">
        <f aca="false">'Master Plan'!$H$15+(-18)</f>
        <v>46385</v>
      </c>
      <c r="K84" s="387"/>
      <c r="L84" s="387"/>
      <c r="M84" s="383" t="str">
        <f aca="false">IF('อัปเดตงาน WBS'!$L$632="","",'อัปเดตงาน WBS'!$L$632)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3699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Plan'!$H$15+(-25)</f>
        <v>46378</v>
      </c>
      <c r="J85" s="373" t="n">
        <f aca="false">'Master Plan'!$H$15+(-17)</f>
        <v>46386</v>
      </c>
      <c r="K85" s="78"/>
      <c r="L85" s="78" t="str">
        <f aca="false">IF(ISNUMBER(อัปเดตรายสัปดาห์!$AA$15),อัปเดตรายสัปดาห์!$AA$15,"")</f>
        <v/>
      </c>
      <c r="M85" s="374" t="str">
        <f aca="false">IF(อัปเดตรายสัปดาห์!$AA$15="Y","Y","")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Plan'!$H$15+(-25)</f>
        <v>46378</v>
      </c>
      <c r="J86" s="382" t="n">
        <f aca="false">'Master Plan'!$H$15+(-21)</f>
        <v>46382</v>
      </c>
      <c r="K86" s="387"/>
      <c r="L86" s="387"/>
      <c r="M86" s="383" t="str">
        <f aca="false">IF('อัปเดตงาน WBS'!$L$633="","",'อัปเดตงาน WBS'!$L$633)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Plan'!$H$15+(-22)</f>
        <v>46381</v>
      </c>
      <c r="J87" s="382" t="n">
        <f aca="false">'Master Plan'!$H$15+(-18)</f>
        <v>46385</v>
      </c>
      <c r="K87" s="387"/>
      <c r="L87" s="387"/>
      <c r="M87" s="383" t="str">
        <f aca="false">IF('อัปเดตงาน WBS'!$L$634="","",'อัปเดตงาน WBS'!$L$634)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Plan'!$H$15+(-20)</f>
        <v>46383</v>
      </c>
      <c r="J88" s="382" t="n">
        <f aca="false">'Master Plan'!$H$15+(-17)</f>
        <v>46386</v>
      </c>
      <c r="K88" s="387"/>
      <c r="L88" s="387"/>
      <c r="M88" s="383" t="str">
        <f aca="false">IF('อัปเดตงาน WBS'!$L$635="","",'อัปเดตงาน WBS'!$L$635)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Plan'!$H$15+(-18)</f>
        <v>46385</v>
      </c>
      <c r="J89" s="382" t="n">
        <f aca="false">'Master Plan'!$H$15+(-17)</f>
        <v>46386</v>
      </c>
      <c r="K89" s="387"/>
      <c r="L89" s="387"/>
      <c r="M89" s="383" t="str">
        <f aca="false">IF('อัปเดตงาน WBS'!$L$636="","",'อัปเดตงาน WBS'!$L$636)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3699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Plan'!$H$15+(-25)</f>
        <v>46378</v>
      </c>
      <c r="J90" s="373" t="n">
        <f aca="false">'Master Plan'!$H$15+(-16)</f>
        <v>46387</v>
      </c>
      <c r="K90" s="78"/>
      <c r="L90" s="78" t="str">
        <f aca="false">IF(ISNUMBER(อัปเดตรายสัปดาห์!$AB$15),อัปเดตรายสัปดาห์!$AB$15,"")</f>
        <v/>
      </c>
      <c r="M90" s="374" t="str">
        <f aca="false">IF(อัปเดตรายสัปดาห์!$AB$15="Y","Y","")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Plan'!$H$15+(-25)</f>
        <v>46378</v>
      </c>
      <c r="J91" s="382" t="n">
        <f aca="false">'Master Plan'!$H$15+(-20)</f>
        <v>46383</v>
      </c>
      <c r="K91" s="387"/>
      <c r="L91" s="387"/>
      <c r="M91" s="383" t="str">
        <f aca="false">IF('อัปเดตงาน WBS'!$L$637="","",'อัปเดตงาน WBS'!$L$637)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Plan'!$H$15+(-20)</f>
        <v>46383</v>
      </c>
      <c r="J92" s="382" t="n">
        <f aca="false">'Master Plan'!$H$15+(-16)</f>
        <v>46387</v>
      </c>
      <c r="K92" s="387"/>
      <c r="L92" s="387"/>
      <c r="M92" s="383" t="str">
        <f aca="false">IF('อัปเดตงาน WBS'!$L$638="","",'อัปเดตงาน WBS'!$L$638)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Plan'!$H$15+(-25)</f>
        <v>46378</v>
      </c>
      <c r="J93" s="382" t="n">
        <f aca="false">'Master Plan'!$H$15+(-21)</f>
        <v>46382</v>
      </c>
      <c r="K93" s="387"/>
      <c r="L93" s="387"/>
      <c r="M93" s="383" t="str">
        <f aca="false">IF('อัปเดตงาน WBS'!$L$639="","",'อัปเดตงาน WBS'!$L$639)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Plan'!$H$15+(-21)</f>
        <v>46382</v>
      </c>
      <c r="J94" s="382" t="n">
        <f aca="false">'Master Plan'!$H$15+(-16)</f>
        <v>46387</v>
      </c>
      <c r="K94" s="387"/>
      <c r="L94" s="387"/>
      <c r="M94" s="383" t="str">
        <f aca="false">IF('อัปเดตงาน WBS'!$L$640="","",'อัปเดตงาน WBS'!$L$640)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Plan'!$H$15+(-17)</f>
        <v>46386</v>
      </c>
      <c r="J95" s="382" t="n">
        <f aca="false">'Master Plan'!$H$15+(-16)</f>
        <v>46387</v>
      </c>
      <c r="K95" s="387"/>
      <c r="L95" s="387"/>
      <c r="M95" s="383" t="str">
        <f aca="false">IF('อัปเดตงาน WBS'!$L$641="","",'อัปเดตงาน WBS'!$L$641)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3699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Plan'!$H$15+(-22)</f>
        <v>46381</v>
      </c>
      <c r="J96" s="373" t="n">
        <f aca="false">'Master Plan'!$H$15+(-16)</f>
        <v>46387</v>
      </c>
      <c r="K96" s="78"/>
      <c r="L96" s="78" t="str">
        <f aca="false">IF(ISNUMBER(อัปเดตรายสัปดาห์!$AC$15),อัปเดตรายสัปดาห์!$AC$15,"")</f>
        <v/>
      </c>
      <c r="M96" s="374" t="str">
        <f aca="false">IF(อัปเดตรายสัปดาห์!$AC$15="Y","Y","")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Plan'!$H$15+(-22)</f>
        <v>46381</v>
      </c>
      <c r="J97" s="382" t="n">
        <f aca="false">'Master Plan'!$H$15+(-17)</f>
        <v>46386</v>
      </c>
      <c r="K97" s="387"/>
      <c r="L97" s="387"/>
      <c r="M97" s="383" t="str">
        <f aca="false">IF('อัปเดตงาน WBS'!$L$642="","",'อัปเดตงาน WBS'!$L$642)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Plan'!$H$15+(-20)</f>
        <v>46383</v>
      </c>
      <c r="J98" s="382" t="n">
        <f aca="false">'Master Plan'!$H$15+(-16)</f>
        <v>46387</v>
      </c>
      <c r="K98" s="387"/>
      <c r="L98" s="387"/>
      <c r="M98" s="383" t="str">
        <f aca="false">IF('อัปเดตงาน WBS'!$L$643="","",'อัปเดตงาน WBS'!$L$643)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Plan'!$H$15+(-17)</f>
        <v>46386</v>
      </c>
      <c r="J99" s="382" t="n">
        <f aca="false">'Master Plan'!$H$15+(-16)</f>
        <v>46387</v>
      </c>
      <c r="K99" s="387"/>
      <c r="L99" s="387"/>
      <c r="M99" s="383" t="str">
        <f aca="false">IF('อัปเดตงาน WBS'!$L$644="","",'อัปเดตงาน WBS'!$L$644)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3699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Plan'!$H$15+(-20)</f>
        <v>46383</v>
      </c>
      <c r="J100" s="373" t="n">
        <f aca="false">'Master Plan'!$H$15+(-15)</f>
        <v>46388</v>
      </c>
      <c r="K100" s="78"/>
      <c r="L100" s="78" t="str">
        <f aca="false">IF(ISNUMBER(อัปเดตรายสัปดาห์!$AD$15),อัปเดตรายสัปดาห์!$AD$15,"")</f>
        <v/>
      </c>
      <c r="M100" s="374" t="str">
        <f aca="false">IF(อัปเดตรายสัปดาห์!$AD$15="Y","Y","")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Plan'!$H$15+(-19)</f>
        <v>46384</v>
      </c>
      <c r="J103" s="382" t="n">
        <f aca="false">'Master Plan'!$H$15+(-16)</f>
        <v>46387</v>
      </c>
      <c r="K103" s="387"/>
      <c r="L103" s="387"/>
      <c r="M103" s="383" t="str">
        <f aca="false">IF('อัปเดตงาน WBS'!$L$645="","",'อัปเดตงาน WBS'!$L$645)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Plan'!$H$15+(-18)</f>
        <v>46385</v>
      </c>
      <c r="J104" s="382" t="n">
        <f aca="false">'Master Plan'!$H$15+(-16)</f>
        <v>46387</v>
      </c>
      <c r="K104" s="387"/>
      <c r="L104" s="387"/>
      <c r="M104" s="383" t="str">
        <f aca="false">IF('อัปเดตงาน WBS'!$L$646="","",'อัปเดตงาน WBS'!$L$646)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Plan'!$H$15+(-18)</f>
        <v>46385</v>
      </c>
      <c r="J105" s="382" t="n">
        <f aca="false">'Master Plan'!$H$15+(-15)</f>
        <v>46388</v>
      </c>
      <c r="K105" s="387"/>
      <c r="L105" s="387"/>
      <c r="M105" s="383" t="str">
        <f aca="false">IF('อัปเดตงาน WBS'!$L$647="","",'อัปเดตงาน WBS'!$L$647)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Plan'!$H$15+(-16)</f>
        <v>46387</v>
      </c>
      <c r="J106" s="382" t="n">
        <f aca="false">'Master Plan'!$H$15+(-15)</f>
        <v>46388</v>
      </c>
      <c r="K106" s="387"/>
      <c r="L106" s="387"/>
      <c r="M106" s="383" t="str">
        <f aca="false">IF('อัปเดตงาน WBS'!$L$648="","",'อัปเดตงาน WBS'!$L$648)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3699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Plan'!$H$15+(-18)</f>
        <v>46385</v>
      </c>
      <c r="J107" s="373" t="n">
        <f aca="false">'Master Plan'!$H$15+(-14)</f>
        <v>46389</v>
      </c>
      <c r="K107" s="78"/>
      <c r="L107" s="78" t="str">
        <f aca="false">IF(ISNUMBER(อัปเดตรายสัปดาห์!$AE$15),อัปเดตรายสัปดาห์!$AE$15,"")</f>
        <v/>
      </c>
      <c r="M107" s="374" t="str">
        <f aca="false">IF(อัปเดตรายสัปดาห์!$AE$15="Y","Y","")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Plan'!$H$15+(-18)</f>
        <v>46385</v>
      </c>
      <c r="J108" s="382" t="n">
        <f aca="false">'Master Plan'!$H$15+(-15)</f>
        <v>46388</v>
      </c>
      <c r="K108" s="387"/>
      <c r="L108" s="387"/>
      <c r="M108" s="383" t="str">
        <f aca="false">IF('อัปเดตงาน WBS'!$L$649="","",'อัปเดตงาน WBS'!$L$649)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Plan'!$H$15+(-16)</f>
        <v>46387</v>
      </c>
      <c r="J109" s="382" t="n">
        <f aca="false">'Master Plan'!$H$15+(-14)</f>
        <v>46389</v>
      </c>
      <c r="K109" s="387"/>
      <c r="L109" s="387"/>
      <c r="M109" s="383" t="str">
        <f aca="false">IF('อัปเดตงาน WBS'!$L$650="","",'อัปเดตงาน WBS'!$L$650)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Plan'!$H$15+(-17)</f>
        <v>46386</v>
      </c>
      <c r="J110" s="382" t="n">
        <f aca="false">'Master Plan'!$H$15+(-15)</f>
        <v>46388</v>
      </c>
      <c r="K110" s="387"/>
      <c r="L110" s="387"/>
      <c r="M110" s="383" t="str">
        <f aca="false">IF('อัปเดตงาน WBS'!$L$651="","",'อัปเดตงาน WBS'!$L$651)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73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Plan'!$H$15+(-13)</f>
        <v>46390</v>
      </c>
      <c r="J111" s="373" t="n">
        <f aca="false">'Master Plan'!$H$15+(-13)</f>
        <v>46390</v>
      </c>
      <c r="K111" s="78"/>
      <c r="L111" s="78" t="str">
        <f aca="false">IF(ISNUMBER(อัปเดตรายสัปดาห์!$AF$15),อัปเดตรายสัปดาห์!$AF$15,"")</f>
        <v/>
      </c>
      <c r="M111" s="374" t="str">
        <f aca="false">IF(อัปเดตรายสัปดาห์!$AF$15="Y","Y","")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Plan'!$Y$15)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Plan'!$H$15+(-13)</f>
        <v>46390</v>
      </c>
      <c r="J112" s="382" t="n">
        <f aca="false">'Master Plan'!$H$15+(-13)</f>
        <v>46390</v>
      </c>
      <c r="K112" s="387"/>
      <c r="L112" s="387"/>
      <c r="M112" s="383" t="str">
        <f aca="false">IF('อัปเดตงาน WBS'!$L$652="","",'อัปเดตงาน WBS'!$L$652)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Plan'!$H$15+(-13)</f>
        <v>46390</v>
      </c>
      <c r="J113" s="382" t="n">
        <f aca="false">'Master Plan'!$H$15+(-13)</f>
        <v>46390</v>
      </c>
      <c r="K113" s="387"/>
      <c r="L113" s="387"/>
      <c r="M113" s="383" t="str">
        <f aca="false">IF('อัปเดตงาน WBS'!$L$653="","",'อัปเดตงาน WBS'!$L$653)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3699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Plan'!$H$15+(-12)</f>
        <v>46391</v>
      </c>
      <c r="J115" s="373" t="n">
        <f aca="false">'Master Plan'!$H$15+(-10)</f>
        <v>46393</v>
      </c>
      <c r="K115" s="78"/>
      <c r="L115" s="78" t="str">
        <f aca="false">IF(ISNUMBER(อัปเดตรายสัปดาห์!$AG$15),อัปเดตรายสัปดาห์!$AG$15,"")</f>
        <v/>
      </c>
      <c r="M115" s="374" t="str">
        <f aca="false">IF(อัปเดตรายสัปดาห์!$AG$15="Y","Y","")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Plan'!$AA$15)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Plan'!$H$15+(-12)</f>
        <v>46391</v>
      </c>
      <c r="J116" s="382" t="n">
        <f aca="false">'Master Plan'!$H$15+(-12)</f>
        <v>46391</v>
      </c>
      <c r="K116" s="387"/>
      <c r="L116" s="387"/>
      <c r="M116" s="383" t="str">
        <f aca="false">IF('อัปเดตงาน WBS'!$L$654="","",'อัปเดตงาน WBS'!$L$654)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Plan'!$H$15+(-12)</f>
        <v>46391</v>
      </c>
      <c r="J117" s="382" t="n">
        <f aca="false">'Master Plan'!$H$15+(-11)</f>
        <v>46392</v>
      </c>
      <c r="K117" s="387"/>
      <c r="L117" s="387"/>
      <c r="M117" s="383" t="str">
        <f aca="false">IF('อัปเดตงาน WBS'!$L$655="","",'อัปเดตงาน WBS'!$L$655)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Plan'!$H$15+(-11)</f>
        <v>46392</v>
      </c>
      <c r="J118" s="382" t="n">
        <f aca="false">'Master Plan'!$H$15+(-11)</f>
        <v>46392</v>
      </c>
      <c r="K118" s="387"/>
      <c r="L118" s="387"/>
      <c r="M118" s="383" t="str">
        <f aca="false">IF('อัปเดตงาน WBS'!$L$656="","",'อัปเดตงาน WBS'!$L$656)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Plan'!$H$15+(-11)</f>
        <v>46392</v>
      </c>
      <c r="J119" s="382" t="n">
        <f aca="false">'Master Plan'!$H$15+(-11)</f>
        <v>46392</v>
      </c>
      <c r="K119" s="387"/>
      <c r="L119" s="387"/>
      <c r="M119" s="383" t="str">
        <f aca="false">IF('อัปเดตงาน WBS'!$L$657="","",'อัปเดตงาน WBS'!$L$657)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Plan'!$H$15+(-11)</f>
        <v>46392</v>
      </c>
      <c r="J120" s="382" t="n">
        <f aca="false">'Master Plan'!$H$15+(-10)</f>
        <v>46393</v>
      </c>
      <c r="K120" s="387"/>
      <c r="L120" s="387"/>
      <c r="M120" s="383" t="str">
        <f aca="false">IF('อัปเดตงาน WBS'!$L$658="","",'อัปเดตงาน WBS'!$L$658)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Plan'!$H$15+(-11)</f>
        <v>46392</v>
      </c>
      <c r="J121" s="382" t="n">
        <f aca="false">'Master Plan'!$H$15+(-10)</f>
        <v>46393</v>
      </c>
      <c r="K121" s="387"/>
      <c r="L121" s="387"/>
      <c r="M121" s="383" t="str">
        <f aca="false">IF('อัปเดตงาน WBS'!$L$659="","",'อัปเดตงาน WBS'!$L$659)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73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Plan'!$H$15+(-10)</f>
        <v>46393</v>
      </c>
      <c r="J122" s="373" t="n">
        <f aca="false">'Master Plan'!$H$15+(-10)</f>
        <v>46393</v>
      </c>
      <c r="K122" s="78"/>
      <c r="L122" s="78" t="str">
        <f aca="false">IF(ISNUMBER(อัปเดตรายสัปดาห์!$AH$15),อัปเดตรายสัปดาห์!$AH$15,"")</f>
        <v/>
      </c>
      <c r="M122" s="374" t="str">
        <f aca="false">IF(อัปเดตรายสัปดาห์!$AH$15="Y","Y","")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Plan'!$Z$15)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73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Plan'!$H$15+(-12)</f>
        <v>46391</v>
      </c>
      <c r="J123" s="373" t="n">
        <f aca="false">'Master Plan'!$H$15+(-8)</f>
        <v>46395</v>
      </c>
      <c r="K123" s="78" t="str">
        <f aca="false">IF(ISNUMBER(อัปเดตรายสัปดาห์!$AI$15),อัปเดตรายสัปดาห์!$AI$15,"")</f>
        <v/>
      </c>
      <c r="L123" s="78" t="str">
        <f aca="false">IF(ISNUMBER(อัปเดตรายสัปดาห์!$AJ$15),อัปเดตรายสัปดาห์!$AJ$15,"")</f>
        <v/>
      </c>
      <c r="M123" s="374" t="str">
        <f aca="false">IF(อัปเดตรายสัปดาห์!$AJ$15="Y","Y","")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73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Plan'!$H$15+(37)</f>
        <v>46440</v>
      </c>
      <c r="J124" s="373" t="n">
        <f aca="false">'Master Plan'!$H$15+(50)</f>
        <v>46453</v>
      </c>
      <c r="K124" s="78"/>
      <c r="L124" s="78" t="str">
        <f aca="false">IF(ISNUMBER(อัปเดตรายสัปดาห์!$AK$15),อัปเดตรายสัปดาห์!$AK$15,"")</f>
        <v/>
      </c>
      <c r="M124" s="374" t="str">
        <f aca="false">IF(อัปเดตรายสัปดาห์!$AK$15="Y","Y","")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Plan'!$H$15+(37)</f>
        <v>46440</v>
      </c>
      <c r="J125" s="382" t="n">
        <f aca="false">'Master Plan'!$H$15+(41)</f>
        <v>46444</v>
      </c>
      <c r="K125" s="387"/>
      <c r="L125" s="387"/>
      <c r="M125" s="383" t="str">
        <f aca="false">IF('อัปเดตงาน WBS'!$L$660="","",'อัปเดตงาน WBS'!$L$660)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Plan'!$H$15+(40)</f>
        <v>46443</v>
      </c>
      <c r="J126" s="382" t="n">
        <f aca="false">'Master Plan'!$H$15+(47)</f>
        <v>46450</v>
      </c>
      <c r="K126" s="387"/>
      <c r="L126" s="387"/>
      <c r="M126" s="383" t="str">
        <f aca="false">IF('อัปเดตงาน WBS'!$L$661="","",'อัปเดตงาน WBS'!$L$661)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Plan'!$H$15+(47)</f>
        <v>46450</v>
      </c>
      <c r="J127" s="382" t="n">
        <f aca="false">'Master Plan'!$H$15+(50)</f>
        <v>46453</v>
      </c>
      <c r="K127" s="387"/>
      <c r="L127" s="387"/>
      <c r="M127" s="383" t="str">
        <f aca="false">IF('อัปเดตงาน WBS'!$L$662="","",'อัปเดตงาน WBS'!$L$662)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3699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Plan'!$H$15+(0)</f>
        <v>46403</v>
      </c>
      <c r="J128" s="373" t="n">
        <f aca="false">'Master Plan'!$H$15+(0)</f>
        <v>46403</v>
      </c>
      <c r="K128" s="78"/>
      <c r="L128" s="78" t="str">
        <f aca="false">IF(ISNUMBER(อัปเดตรายสัปดาห์!$AL$15),อัปเดตรายสัปดาห์!$AL$15,"")</f>
        <v/>
      </c>
      <c r="M128" s="374" t="str">
        <f aca="false">IF(อัปเดตรายสัปดาห์!$AL$15="Y","Y","")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Plan'!$AB$15)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Plan'!$H$15+(0)</f>
        <v>46403</v>
      </c>
      <c r="J129" s="373" t="n">
        <f aca="false">'Master Plan'!$H$15+(0)</f>
        <v>46403</v>
      </c>
      <c r="K129" s="78"/>
      <c r="L129" s="78" t="str">
        <f aca="false">IF(ISNUMBER(อัปเดตรายสัปดาห์!$AM$15),อัปเดตรายสัปดาห์!$AM$15,"")</f>
        <v/>
      </c>
      <c r="M129" s="374" t="str">
        <f aca="false">IF(อัปเดตรายสัปดาห์!$AM$15="Y","Y","")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Plan'!$H$15+(0)</f>
        <v>46403</v>
      </c>
      <c r="J130" s="373" t="n">
        <f aca="false">'Master Plan'!$H$15+(0)</f>
        <v>46403</v>
      </c>
      <c r="K130" s="78"/>
      <c r="L130" s="78" t="str">
        <f aca="false">IF(ISNUMBER(อัปเดตรายสัปดาห์!$AN$15),อัปเดตรายสัปดาห์!$AN$15,"")</f>
        <v/>
      </c>
      <c r="M130" s="374" t="str">
        <f aca="false">IF(อัปเดตรายสัปดาห์!$AN$15="Y","Y","")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73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Plan'!$H$15+(34)</f>
        <v>46437</v>
      </c>
      <c r="J131" s="373" t="n">
        <f aca="false">'Master Plan'!$H$15+(36)</f>
        <v>46439</v>
      </c>
      <c r="K131" s="78"/>
      <c r="L131" s="78" t="str">
        <f aca="false">IF(ISNUMBER(อัปเดตรายสัปดาห์!$AO$15),อัปเดตรายสัปดาห์!$AO$15,"")</f>
        <v/>
      </c>
      <c r="M131" s="374" t="str">
        <f aca="false">IF(อัปเดตรายสัปดาห์!$AO$15="Y","Y","")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SUMPRODUCT((SITE_ST="P9-008")*(SITE_TYPE=$B136)*(SITE_TYPE&lt;&gt;""))</f>
        <v>0</v>
      </c>
      <c r="E136" s="397" t="n">
        <f aca="false">SUMPRODUCT((SITE_ST="P9-008")*(SITE_TYPE=$B136)*SITE_MOD)</f>
        <v>0</v>
      </c>
      <c r="I136" s="398" t="n">
        <f aca="false">SUMPRODUCT((SITE_ST="P9-008")*(SITE_TYPE=$B136)*SITE_KWP)</f>
        <v>0</v>
      </c>
      <c r="J136" s="35" t="str">
        <f aca="false">IF(SUMPRODUCT((SITE_ST="P9-008")*(SITE_TYPE=$B136)*(SITE_TYPE&lt;&gt;""))=0,"",SUMPRODUCT((SITE_ST="P9-008")*(SITE_TYPE=$B136)*SITE_S21*SITE_D21)/MAX(0.0001,SUMPRODUCT((SITE_ST="P9-008")*(SITE_TYPE=$B136)*SITE_S21)))</f>
        <v/>
      </c>
      <c r="K136" s="32" t="str">
        <f aca="false">IF(SUMPRODUCT((SITE_ST="P9-008")*(SITE_TYPE=$B136)*(SITE_TYPE&lt;&gt;""))=0,"",SUMPRODUCT((SITE_ST="P9-008")*(SITE_TYPE=$B136)*(SITE_TYPE&lt;&gt;"")*(SITE_T22="Y"))&amp;"/"&amp;SUMPRODUCT((SITE_ST="P9-008")*(SITE_TYPE=$B136)*(SITE_TYPE&lt;&gt;"")))</f>
        <v/>
      </c>
      <c r="L136" s="32" t="str">
        <f aca="false">IF(SUMPRODUCT((SITE_ST="P9-008")*(SITE_TYPE=$B136)*(SITE_TYPE&lt;&gt;""))=0,"",SUMPRODUCT((SITE_ST="P9-008")*(SITE_TYPE=$B136)*(SITE_TYPE&lt;&gt;"")*(SITE_T23="Y"))&amp;"/"&amp;SUMPRODUCT((SITE_ST="P9-008")*(SITE_TYPE=$B136)*(SITE_TYPE&lt;&gt;"")))</f>
        <v/>
      </c>
      <c r="O136" s="32" t="str">
        <f aca="false">IF(SUMPRODUCT((SITE_ST="P9-008")*(SITE_TYPE=$B136)*(LEFT(SITE_LAD,4)="ติด:"))=0,"",SUMPRODUCT((SITE_ST="P9-008")*(SITE_TYPE=$B136)*(LEFT(SITE_LAD,4)="ติด:"))&amp;"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SUMPRODUCT((SITE_ST="P9-008")*(SITE_TYPE=$B137)*(SITE_TYPE&lt;&gt;""))</f>
        <v>2</v>
      </c>
      <c r="E137" s="397" t="n">
        <f aca="false">SUMPRODUCT((SITE_ST="P9-008")*(SITE_TYPE=$B137)*SITE_MOD)</f>
        <v>492</v>
      </c>
      <c r="I137" s="398" t="n">
        <f aca="false">SUMPRODUCT((SITE_ST="P9-008")*(SITE_TYPE=$B137)*SITE_KWP)</f>
        <v>280.44</v>
      </c>
      <c r="J137" s="35" t="n">
        <f aca="false">IF(SUMPRODUCT((SITE_ST="P9-008")*(SITE_TYPE=$B137)*(SITE_TYPE&lt;&gt;""))=0,"",SUMPRODUCT((SITE_ST="P9-008")*(SITE_TYPE=$B137)*SITE_S21*SITE_D21)/MAX(0.0001,SUMPRODUCT((SITE_ST="P9-008")*(SITE_TYPE=$B137)*SITE_S21)))</f>
        <v>0</v>
      </c>
      <c r="K137" s="32" t="str">
        <f aca="false">IF(SUMPRODUCT((SITE_ST="P9-008")*(SITE_TYPE=$B137)*(SITE_TYPE&lt;&gt;""))=0,"",SUMPRODUCT((SITE_ST="P9-008")*(SITE_TYPE=$B137)*(SITE_TYPE&lt;&gt;"")*(SITE_T22="Y"))&amp;"/"&amp;SUMPRODUCT((SITE_ST="P9-008")*(SITE_TYPE=$B137)*(SITE_TYPE&lt;&gt;"")))</f>
        <v>0/2</v>
      </c>
      <c r="L137" s="32" t="str">
        <f aca="false">IF(SUMPRODUCT((SITE_ST="P9-008")*(SITE_TYPE=$B137)*(SITE_TYPE&lt;&gt;""))=0,"",SUMPRODUCT((SITE_ST="P9-008")*(SITE_TYPE=$B137)*(SITE_TYPE&lt;&gt;"")*(SITE_T23="Y"))&amp;"/"&amp;SUMPRODUCT((SITE_ST="P9-008")*(SITE_TYPE=$B137)*(SITE_TYPE&lt;&gt;"")))</f>
        <v>0/2</v>
      </c>
      <c r="O137" s="32" t="str">
        <f aca="false">IF(SUMPRODUCT((SITE_ST="P9-008")*(SITE_TYPE=$B137)*(LEFT(SITE_LAD,4)="ติด:"))=0,"",SUMPRODUCT((SITE_ST="P9-008")*(SITE_TYPE=$B137)*(LEFT(SITE_LAD,4)="ติด:"))&amp;" จุด")</f>
        <v>2 จุด</v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SUMPRODUCT((SITE_ST="P9-008")*(SITE_TYPE=$B138)*(SITE_TYPE&lt;&gt;""))</f>
        <v>0</v>
      </c>
      <c r="E138" s="397" t="n">
        <f aca="false">SUMPRODUCT((SITE_ST="P9-008")*(SITE_TYPE=$B138)*SITE_MOD)</f>
        <v>0</v>
      </c>
      <c r="I138" s="398" t="n">
        <f aca="false">SUMPRODUCT((SITE_ST="P9-008")*(SITE_TYPE=$B138)*SITE_KWP)</f>
        <v>0</v>
      </c>
      <c r="J138" s="35" t="str">
        <f aca="false">IF(SUMPRODUCT((SITE_ST="P9-008")*(SITE_TYPE=$B138)*(SITE_TYPE&lt;&gt;""))=0,"",SUMPRODUCT((SITE_ST="P9-008")*(SITE_TYPE=$B138)*SITE_S21*SITE_D21)/MAX(0.0001,SUMPRODUCT((SITE_ST="P9-008")*(SITE_TYPE=$B138)*SITE_S21)))</f>
        <v/>
      </c>
      <c r="K138" s="32" t="str">
        <f aca="false">IF(SUMPRODUCT((SITE_ST="P9-008")*(SITE_TYPE=$B138)*(SITE_TYPE&lt;&gt;""))=0,"",SUMPRODUCT((SITE_ST="P9-008")*(SITE_TYPE=$B138)*(SITE_TYPE&lt;&gt;"")*(SITE_T22="Y"))&amp;"/"&amp;SUMPRODUCT((SITE_ST="P9-008")*(SITE_TYPE=$B138)*(SITE_TYPE&lt;&gt;"")))</f>
        <v/>
      </c>
      <c r="L138" s="32" t="str">
        <f aca="false">IF(SUMPRODUCT((SITE_ST="P9-008")*(SITE_TYPE=$B138)*(SITE_TYPE&lt;&gt;""))=0,"",SUMPRODUCT((SITE_ST="P9-008")*(SITE_TYPE=$B138)*(SITE_TYPE&lt;&gt;"")*(SITE_T23="Y"))&amp;"/"&amp;SUMPRODUCT((SITE_ST="P9-008")*(SITE_TYPE=$B138)*(SITE_TYPE&lt;&gt;"")))</f>
        <v/>
      </c>
      <c r="O138" s="32" t="str">
        <f aca="false">IF(SUMPRODUCT((SITE_ST="P9-008")*(SITE_TYPE=$B138)*(LEFT(SITE_LAD,4)="ติด:"))=0,"",SUMPRODUCT((SITE_ST="P9-008")*(SITE_TYPE=$B138)*(LEFT(SITE_LAD,4)="ติด:"))&amp;"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SUMPRODUCT((SITE_ST="P9-008")*(SITE_TYPE=$B139)*(SITE_TYPE&lt;&gt;""))</f>
        <v>0</v>
      </c>
      <c r="E139" s="397" t="n">
        <f aca="false">SUMPRODUCT((SITE_ST="P9-008")*(SITE_TYPE=$B139)*SITE_MOD)</f>
        <v>0</v>
      </c>
      <c r="I139" s="398" t="n">
        <f aca="false">SUMPRODUCT((SITE_ST="P9-008")*(SITE_TYPE=$B139)*SITE_KWP)</f>
        <v>0</v>
      </c>
      <c r="J139" s="35" t="str">
        <f aca="false">IF(SUMPRODUCT((SITE_ST="P9-008")*(SITE_TYPE=$B139)*(SITE_TYPE&lt;&gt;""))=0,"",SUMPRODUCT((SITE_ST="P9-008")*(SITE_TYPE=$B139)*SITE_S21*SITE_D21)/MAX(0.0001,SUMPRODUCT((SITE_ST="P9-008")*(SITE_TYPE=$B139)*SITE_S21)))</f>
        <v/>
      </c>
      <c r="K139" s="32" t="str">
        <f aca="false">IF(SUMPRODUCT((SITE_ST="P9-008")*(SITE_TYPE=$B139)*(SITE_TYPE&lt;&gt;""))=0,"",SUMPRODUCT((SITE_ST="P9-008")*(SITE_TYPE=$B139)*(SITE_TYPE&lt;&gt;"")*(SITE_T22="Y"))&amp;"/"&amp;SUMPRODUCT((SITE_ST="P9-008")*(SITE_TYPE=$B139)*(SITE_TYPE&lt;&gt;"")))</f>
        <v/>
      </c>
      <c r="L139" s="32" t="str">
        <f aca="false">IF(SUMPRODUCT((SITE_ST="P9-008")*(SITE_TYPE=$B139)*(SITE_TYPE&lt;&gt;""))=0,"",SUMPRODUCT((SITE_ST="P9-008")*(SITE_TYPE=$B139)*(SITE_TYPE&lt;&gt;"")*(SITE_T23="Y"))&amp;"/"&amp;SUMPRODUCT((SITE_ST="P9-008")*(SITE_TYPE=$B139)*(SITE_TYPE&lt;&gt;"")))</f>
        <v/>
      </c>
      <c r="O139" s="32" t="str">
        <f aca="false">IF(SUMPRODUCT((SITE_ST="P9-008")*(SITE_TYPE=$B139)*(LEFT(SITE_LAD,4)="ติด:"))=0,"",SUMPRODUCT((SITE_ST="P9-008")*(SITE_TYPE=$B139)*(LEFT(SITE_LAD,4)="ติด:"))&amp;"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SUMPRODUCT((SITE_ST="P9-008")*(SITE_TYPE=$B140)*(SITE_TYPE&lt;&gt;""))</f>
        <v>0</v>
      </c>
      <c r="E140" s="397" t="n">
        <f aca="false">SUMPRODUCT((SITE_ST="P9-008")*(SITE_TYPE=$B140)*SITE_MOD)</f>
        <v>0</v>
      </c>
      <c r="I140" s="398" t="n">
        <f aca="false">SUMPRODUCT((SITE_ST="P9-008")*(SITE_TYPE=$B140)*SITE_KWP)</f>
        <v>0</v>
      </c>
      <c r="J140" s="35" t="str">
        <f aca="false">IF(SUMPRODUCT((SITE_ST="P9-008")*(SITE_TYPE=$B140)*(SITE_TYPE&lt;&gt;""))=0,"",SUMPRODUCT((SITE_ST="P9-008")*(SITE_TYPE=$B140)*SITE_S21*SITE_D21)/MAX(0.0001,SUMPRODUCT((SITE_ST="P9-008")*(SITE_TYPE=$B140)*SITE_S21)))</f>
        <v/>
      </c>
      <c r="K140" s="32" t="str">
        <f aca="false">IF(SUMPRODUCT((SITE_ST="P9-008")*(SITE_TYPE=$B140)*(SITE_TYPE&lt;&gt;""))=0,"",SUMPRODUCT((SITE_ST="P9-008")*(SITE_TYPE=$B140)*(SITE_TYPE&lt;&gt;"")*(SITE_T22="Y"))&amp;"/"&amp;SUMPRODUCT((SITE_ST="P9-008")*(SITE_TYPE=$B140)*(SITE_TYPE&lt;&gt;"")))</f>
        <v/>
      </c>
      <c r="L140" s="32" t="str">
        <f aca="false">IF(SUMPRODUCT((SITE_ST="P9-008")*(SITE_TYPE=$B140)*(SITE_TYPE&lt;&gt;""))=0,"",SUMPRODUCT((SITE_ST="P9-008")*(SITE_TYPE=$B140)*(SITE_TYPE&lt;&gt;"")*(SITE_T23="Y"))&amp;"/"&amp;SUMPRODUCT((SITE_ST="P9-008")*(SITE_TYPE=$B140)*(SITE_TYPE&lt;&gt;"")))</f>
        <v/>
      </c>
      <c r="O140" s="32" t="str">
        <f aca="false">IF(SUMPRODUCT((SITE_ST="P9-008")*(SITE_TYPE=$B140)*(LEFT(SITE_LAD,4)="ติด:"))=0,"",SUMPRODUCT((SITE_ST="P9-008")*(SITE_TYPE=$B140)*(LEFT(SITE_LAD,4)="ติด:"))&amp;"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SUMPRODUCT((SITE_ST="P9-008")*(SITE_TYPE=$B141)*(SITE_TYPE&lt;&gt;""))</f>
        <v>0</v>
      </c>
      <c r="E141" s="397" t="n">
        <f aca="false">SUMPRODUCT((SITE_ST="P9-008")*(SITE_TYPE=$B141)*SITE_MOD)</f>
        <v>0</v>
      </c>
      <c r="I141" s="398" t="n">
        <f aca="false">SUMPRODUCT((SITE_ST="P9-008")*(SITE_TYPE=$B141)*SITE_KWP)</f>
        <v>0</v>
      </c>
      <c r="J141" s="35" t="str">
        <f aca="false">IF(SUMPRODUCT((SITE_ST="P9-008")*(SITE_TYPE=$B141)*(SITE_TYPE&lt;&gt;""))=0,"",SUMPRODUCT((SITE_ST="P9-008")*(SITE_TYPE=$B141)*SITE_S21*SITE_D21)/MAX(0.0001,SUMPRODUCT((SITE_ST="P9-008")*(SITE_TYPE=$B141)*SITE_S21)))</f>
        <v/>
      </c>
      <c r="K141" s="32" t="str">
        <f aca="false">IF(SUMPRODUCT((SITE_ST="P9-008")*(SITE_TYPE=$B141)*(SITE_TYPE&lt;&gt;""))=0,"",SUMPRODUCT((SITE_ST="P9-008")*(SITE_TYPE=$B141)*(SITE_TYPE&lt;&gt;"")*(SITE_T22="Y"))&amp;"/"&amp;SUMPRODUCT((SITE_ST="P9-008")*(SITE_TYPE=$B141)*(SITE_TYPE&lt;&gt;"")))</f>
        <v/>
      </c>
      <c r="L141" s="32" t="str">
        <f aca="false">IF(SUMPRODUCT((SITE_ST="P9-008")*(SITE_TYPE=$B141)*(SITE_TYPE&lt;&gt;""))=0,"",SUMPRODUCT((SITE_ST="P9-008")*(SITE_TYPE=$B141)*(SITE_TYPE&lt;&gt;"")*(SITE_T23="Y"))&amp;"/"&amp;SUMPRODUCT((SITE_ST="P9-008")*(SITE_TYPE=$B141)*(SITE_TYPE&lt;&gt;"")))</f>
        <v/>
      </c>
      <c r="O141" s="32" t="str">
        <f aca="false">IF(SUMPRODUCT((SITE_ST="P9-008")*(SITE_TYPE=$B141)*(LEFT(SITE_LAD,4)="ติด:"))=0,"",SUMPRODUCT((SITE_ST="P9-008")*(SITE_TYPE=$B141)*(LEFT(SITE_LAD,4)="ติด:"))&amp;"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SUMPRODUCT((SITE_ST="P9-008")*(SITE_TYPE&lt;&gt;""))</f>
        <v>2</v>
      </c>
      <c r="E142" s="403" t="n">
        <f aca="false">SUMPRODUCT((SITE_ST="P9-008")*SITE_MOD)</f>
        <v>492</v>
      </c>
      <c r="I142" s="404" t="n">
        <f aca="false">SUMPRODUCT((SITE_ST="P9-008")*SITE_KWP)</f>
        <v>280.44</v>
      </c>
      <c r="J142" s="405" t="n">
        <f aca="false">IF(SUMPRODUCT((SITE_ST="P9-008")*(SITE_TYPE&lt;&gt;""))=0,"",SUMPRODUCT((SITE_ST="P9-008")*SITE_S21*SITE_D21)/MAX(0.0001,SUMPRODUCT((SITE_ST="P9-008")*SITE_S21)))</f>
        <v>0</v>
      </c>
      <c r="K142" s="406" t="str">
        <f aca="false">IF(SUMPRODUCT((SITE_ST="P9-008")*(SITE_TYPE&lt;&gt;""))=0,"",SUMPRODUCT((SITE_ST="P9-008")*(SITE_TYPE&lt;&gt;"")*(SITE_T22="Y"))&amp;"/"&amp;SUMPRODUCT((SITE_ST="P9-008")*(SITE_TYPE&lt;&gt;"")))</f>
        <v>0/2</v>
      </c>
      <c r="L142" s="406" t="str">
        <f aca="false">IF(SUMPRODUCT((SITE_ST="P9-008")*(SITE_TYPE&lt;&gt;""))=0,"",SUMPRODUCT((SITE_ST="P9-008")*(SITE_TYPE&lt;&gt;"")*(SITE_T23="Y"))&amp;"/"&amp;SUMPRODUCT((SITE_ST="P9-008")*(SITE_TYPE&lt;&gt;"")))</f>
        <v>0/2</v>
      </c>
      <c r="O142" s="406" t="str">
        <f aca="false">IF(SUMPRODUCT((SITE_ST="P9-008")*(LEFT(SITE_LAD,4)="ติด:"))=0,"",SUMPRODUCT((SITE_ST="P9-008")*(LEFT(SITE_LAD,4)="ติด:"))&amp;" จุด")</f>
        <v>2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IFERROR(INDEX(INVS_TYPE,MATCH("P9-008",INVS_ID,0))&amp;"","")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ทั้งก้อน",IFERROR(INDEX(INVS_SET,MATCH("P9-008",INVS_ID,0)),"")&amp;" kW, โรงเรือน "&amp;IFERROR(INDEX(INVS_SIZE,MATCH("P9-008",INVS_ID,0)),"")&amp;",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5" display="✎ กรอกความคืบหน้า"/>
    <hyperlink ref="R4" location="'Master Plan'!A15" display="← กลับ Master Plan"/>
    <hyperlink ref="M10" location="'อัปเดตงาน WBS'!L5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0"/>
    <hyperlink ref="M11" location="'อัปเดตงาน WBS'!L5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1"/>
    <hyperlink ref="M12" location="'อัปเดตงาน WBS'!L5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2"/>
    <hyperlink ref="M13" location="'อัปเดตงาน WBS'!L5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3"/>
    <hyperlink ref="M14" location="'อัปเดตงาน WBS'!L5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4"/>
    <hyperlink ref="M15" location="'อัปเดตงาน WBS'!L5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5"/>
    <hyperlink ref="M17" location="'อัปเดตงาน WBS'!L5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6"/>
    <hyperlink ref="M18" location="'อัปเดตงาน WBS'!L5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7"/>
    <hyperlink ref="M19" location="'อัปเดตงาน WBS'!L5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8"/>
    <hyperlink ref="M20" location="'อัปเดตงาน WBS'!L5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89"/>
    <hyperlink ref="M21" location="'อัปเดตงาน WBS'!L5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0"/>
    <hyperlink ref="M22" location="'อัปเดตงาน WBS'!L5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1"/>
    <hyperlink ref="M24" location="'อัปเดตงาน WBS'!L5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2"/>
    <hyperlink ref="M26" location="'อัปเดตงาน WBS'!L5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3"/>
    <hyperlink ref="M27" location="'อัปเดตงาน WBS'!L5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4"/>
    <hyperlink ref="M28" location="'อัปเดตงาน WBS'!L5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5"/>
    <hyperlink ref="M31" location="'อัปเดตงาน WBS'!L5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6"/>
    <hyperlink ref="M32" location="'อัปเดตงาน WBS'!L5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7"/>
    <hyperlink ref="M33" location="'อัปเดตงาน WBS'!L5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8"/>
    <hyperlink ref="M35" location="'อัปเดตงาน WBS'!L5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599"/>
    <hyperlink ref="M36" location="'อัปเดตงาน WBS'!L6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0"/>
    <hyperlink ref="M37" location="'อัปเดตงาน WBS'!L6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1"/>
    <hyperlink ref="M38" location="'อัปเดตงาน WBS'!L6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2"/>
    <hyperlink ref="M40" location="'อัปเดตงาน WBS'!L6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3"/>
    <hyperlink ref="M41" location="'อัปเดตงาน WBS'!L6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4"/>
    <hyperlink ref="M42" location="'อัปเดตงาน WBS'!L6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5"/>
    <hyperlink ref="M44" location="'อัปเดตงาน WBS'!L6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6"/>
    <hyperlink ref="M45" location="'อัปเดตงาน WBS'!L6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7"/>
    <hyperlink ref="M46" location="'อัปเดตงาน WBS'!L6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8"/>
    <hyperlink ref="M48" location="'อัปเดตงาน WBS'!L6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09"/>
    <hyperlink ref="M49" location="'อัปเดตงาน WBS'!L6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0"/>
    <hyperlink ref="M51" location="'อัปเดตงาน WBS'!L6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1"/>
    <hyperlink ref="M53" location="'อัปเดตงาน WBS'!L6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2"/>
    <hyperlink ref="M54" location="'อัปเดตงาน WBS'!L6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3"/>
    <hyperlink ref="M63" location="'อัปเดตงาน WBS'!L6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4"/>
    <hyperlink ref="M64" location="'อัปเดตงาน WBS'!L6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5"/>
    <hyperlink ref="M65" location="'อัปเดตงาน WBS'!L6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6"/>
    <hyperlink ref="M66" location="'อัปเดตงาน WBS'!L6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7"/>
    <hyperlink ref="M67" location="'อัปเดตงาน WBS'!L6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8"/>
    <hyperlink ref="M68" location="'อัปเดตงาน WBS'!L6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19"/>
    <hyperlink ref="M69" location="'อัปเดตงาน WBS'!L6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0"/>
    <hyperlink ref="M71" location="'อัปเดตงาน WBS'!L6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1"/>
    <hyperlink ref="M72" location="'อัปเดตงาน WBS'!L6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2"/>
    <hyperlink ref="M73" location="'อัปเดตงาน WBS'!L6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3"/>
    <hyperlink ref="M74" location="'อัปเดตงาน WBS'!L6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4"/>
    <hyperlink ref="M75" location="'อัปเดตงาน WBS'!L6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5"/>
    <hyperlink ref="M77" location="'อัปเดตงาน WBS'!L6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6"/>
    <hyperlink ref="M78" location="'อัปเดตงาน WBS'!L6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7"/>
    <hyperlink ref="M79" location="'อัปเดตงาน WBS'!L6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8"/>
    <hyperlink ref="M80" location="'อัปเดตงาน WBS'!L6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29"/>
    <hyperlink ref="M81" location="'อัปเดตงาน WBS'!L6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0"/>
    <hyperlink ref="M83" location="'อัปเดตงาน WBS'!L6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1"/>
    <hyperlink ref="M84" location="'อัปเดตงาน WBS'!L6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2"/>
    <hyperlink ref="M86" location="'อัปเดตงาน WBS'!L6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3"/>
    <hyperlink ref="M87" location="'อัปเดตงาน WBS'!L6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4"/>
    <hyperlink ref="M88" location="'อัปเดตงาน WBS'!L6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5"/>
    <hyperlink ref="M89" location="'อัปเดตงาน WBS'!L6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6"/>
    <hyperlink ref="M91" location="'อัปเดตงาน WBS'!L6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7"/>
    <hyperlink ref="M92" location="'อัปเดตงาน WBS'!L6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8"/>
    <hyperlink ref="M93" location="'อัปเดตงาน WBS'!L6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39"/>
    <hyperlink ref="M94" location="'อัปเดตงาน WBS'!L6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0"/>
    <hyperlink ref="M95" location="'อัปเดตงาน WBS'!L6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1"/>
    <hyperlink ref="M97" location="'อัปเดตงาน WBS'!L6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2"/>
    <hyperlink ref="M98" location="'อัปเดตงาน WBS'!L6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3"/>
    <hyperlink ref="M99" location="'อัปเดตงาน WBS'!L6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4"/>
    <hyperlink ref="M103" location="'อัปเดตงาน WBS'!L6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5"/>
    <hyperlink ref="M104" location="'อัปเดตงาน WBS'!L6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6"/>
    <hyperlink ref="M105" location="'อัปเดตงาน WBS'!L6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7"/>
    <hyperlink ref="M106" location="'อัปเดตงาน WBS'!L6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8"/>
    <hyperlink ref="M108" location="'อัปเดตงาน WBS'!L6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49"/>
    <hyperlink ref="M109" location="'อัปเดตงาน WBS'!L6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0"/>
    <hyperlink ref="M110" location="'อัปเดตงาน WBS'!L6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1"/>
    <hyperlink ref="M112" location="'อัปเดตงาน WBS'!L6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2"/>
    <hyperlink ref="M113" location="'อัปเดตงาน WBS'!L6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3"/>
    <hyperlink ref="M116" location="'อัปเดตงาน WBS'!L6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4"/>
    <hyperlink ref="M117" location="'อัปเดตงาน WBS'!L6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5"/>
    <hyperlink ref="M118" location="'อัปเดตงาน WBS'!L6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6"/>
    <hyperlink ref="M119" location="'อัปเดตงาน WBS'!L6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7"/>
    <hyperlink ref="M120" location="'อัปเดตงาน WBS'!L6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8"/>
    <hyperlink ref="M121" location="'อัปเดตงาน WBS'!L6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59"/>
    <hyperlink ref="M125" location="'อัปเดตงาน WBS'!L6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0"/>
    <hyperlink ref="M126" location="'อัปเดตงาน WBS'!L6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1"/>
    <hyperlink ref="M127" location="'อัปเดตงาน WBS'!L6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2"/>
    <hyperlink ref="D134" location="'จุดติดตั้ง'!A42" display="✎ เพิ่ม / แก้จุดติดตั้ง →"/>
    <hyperlink ref="D146" location="'Inverter station'!A13" display="file:///home/claude/dash/template/%E0%B9%81%E0%B8%A1%E0%B9%88%E0%B9%81%E0%B8%9A%E0%B8%9A%E0%B9%82%E0%B8%84%E0%B8%A3%E0%B8%87%E0%B8%81%E0%B8%B2%E0%B8%A3%20TCRoof%20(%E0%B8%97%E0%B8%B8%E0%B8%81%E0%B8%81%E0%B8%A3%E0%B8%93%E0%B8%B5).xlsx#'Inverter station'!A1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3700</v>
      </c>
    </row>
    <row r="2" customFormat="false" ht="15" hidden="false" customHeight="false" outlineLevel="0" collapsed="false">
      <c r="A2" s="354" t="s">
        <v>3701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Plan'!$AI$16</f>
        <v>-36</v>
      </c>
      <c r="M4" s="360"/>
      <c r="N4" s="360" t="n">
        <f aca="false">'Master Plan'!$AJ$16</f>
        <v>-3</v>
      </c>
      <c r="O4" s="360"/>
      <c r="P4" s="361" t="str">
        <f aca="false">'Master Plan'!$AK$16&amp;" / "&amp;'Master Plan'!$AL$16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COUNTIFS(CR_ST,"P9-009",CR_STAT,"อนุมัติ")&amp;" รายการ, "&amp;'Master Plan'!$AO$16&amp;" วัน"</f>
        <v>0 รายการ, 0 วัน</v>
      </c>
      <c r="AG4" s="362"/>
      <c r="AH4" s="362"/>
      <c r="AI4" s="362"/>
      <c r="AJ4" s="362"/>
      <c r="AK4" s="363" t="n">
        <f aca="false">COUNTIFS(CR_ST,"P9-009",CR_STAT,"รออนุมัติ")+COUNTIFS(CR_ST,"P9-009",CR_STAT,"ขอข้อมูลเพิ่ม")</f>
        <v>0</v>
      </c>
      <c r="AL4" s="363"/>
      <c r="AM4" s="363"/>
      <c r="AN4" s="363"/>
      <c r="AO4" s="363"/>
      <c r="AP4" s="362" t="str">
        <f aca="false">COUNTIF(RW_ST,"P9-009")&amp;" ("&amp;COUNTIFS(RW_ST,"P9-009",RW_DONE,"&lt;&gt;Y")&amp;")"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COUNTIF(LL_ST,"*P9-009*")</f>
        <v>0</v>
      </c>
      <c r="BA4" s="363"/>
      <c r="BB4" s="363"/>
      <c r="BC4" s="363"/>
      <c r="BD4" s="363"/>
      <c r="BE4" s="362" t="str">
        <f aca="false">IF(COUNTIFS(SITE_ST,"P9-009",SITE_TYPE,"?*")=0,"ประมาณการ,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IF(COUNTIFS(SITE_ST,"P9-009",SITE_TYPE,"?*")=0,"ยังไม่ระบุจุด",COUNTIFS(SITE_ST,"P9-009",SITE_LAD,"ติด:*")&amp;" จุด"&amp;IF(COUNTIFS(SITE_ST,"P9-009",SITE_LAD,"⚠*")&gt;0,", ⚠ กรอกความสูง",""))</f>
        <v>1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3702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77</v>
      </c>
      <c r="E9" s="372" t="n">
        <v>0</v>
      </c>
      <c r="F9" s="31"/>
      <c r="G9" s="32"/>
      <c r="H9" s="32" t="n">
        <v>1</v>
      </c>
      <c r="I9" s="373" t="n">
        <f aca="false">'Master Plan'!$H$16+(-75)</f>
        <v>46328</v>
      </c>
      <c r="J9" s="373" t="n">
        <f aca="false">'Master Plan'!$H$16+(50)</f>
        <v>46453</v>
      </c>
      <c r="K9" s="78"/>
      <c r="L9" s="78" t="str">
        <f aca="false">IF(ISNUMBER(อัปเดตรายสัปดาห์!$G$16),อัปเดตรายสัปดาห์!$G$16,"")</f>
        <v/>
      </c>
      <c r="M9" s="374" t="str">
        <f aca="false">IF(อัปเดตรายสัปดาห์!$G$16="Y","Y","")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Plan'!$H$16+(-75)</f>
        <v>46328</v>
      </c>
      <c r="J10" s="382" t="n">
        <f aca="false">'Master Plan'!$H$16+(-63)</f>
        <v>46340</v>
      </c>
      <c r="K10" s="387"/>
      <c r="L10" s="387"/>
      <c r="M10" s="383" t="str">
        <f aca="false">IF('อัปเดตงาน WBS'!$L$663="","",'อัปเดตงาน WBS'!$L$663)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Plan'!$H$16+(-75)</f>
        <v>46328</v>
      </c>
      <c r="J11" s="382" t="n">
        <f aca="false">'Master Plan'!$H$16+(-63)</f>
        <v>46340</v>
      </c>
      <c r="K11" s="387"/>
      <c r="L11" s="387"/>
      <c r="M11" s="383" t="str">
        <f aca="false">IF('อัปเดตงาน WBS'!$L$664="","",'อัปเดตงาน WBS'!$L$664)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Plan'!$H$16+(-75)</f>
        <v>46328</v>
      </c>
      <c r="J12" s="382" t="n">
        <f aca="false">'Master Plan'!$H$16+(-63)</f>
        <v>46340</v>
      </c>
      <c r="K12" s="387"/>
      <c r="L12" s="387"/>
      <c r="M12" s="383" t="str">
        <f aca="false">IF('อัปเดตงาน WBS'!$L$665="","",'อัปเดตงาน WBS'!$L$665)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Plan'!$H$16+(-75)</f>
        <v>46328</v>
      </c>
      <c r="J13" s="382" t="n">
        <f aca="false">'Master Plan'!$H$16+(-56)</f>
        <v>46347</v>
      </c>
      <c r="K13" s="387"/>
      <c r="L13" s="387"/>
      <c r="M13" s="383" t="str">
        <f aca="false">IF('อัปเดตงาน WBS'!$L$666="","",'อัปเดตงาน WBS'!$L$666)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Plan'!$H$16+(-63)</f>
        <v>46340</v>
      </c>
      <c r="J14" s="382" t="n">
        <f aca="false">'Master Plan'!$H$16+(50)</f>
        <v>46453</v>
      </c>
      <c r="K14" s="387"/>
      <c r="L14" s="387"/>
      <c r="M14" s="383" t="str">
        <f aca="false">IF('อัปเดตงาน WBS'!$L$667="","",'อัปเดตงาน WBS'!$L$667)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Plan'!$H$16+(-63)</f>
        <v>46340</v>
      </c>
      <c r="J15" s="382" t="n">
        <f aca="false">'Master Plan'!$H$16+(50)</f>
        <v>46453</v>
      </c>
      <c r="K15" s="387"/>
      <c r="L15" s="387"/>
      <c r="M15" s="383" t="str">
        <f aca="false">IF('อัปเดตงาน WBS'!$L$668="","",'อัปเดตงาน WBS'!$L$668)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Plan'!$H$16+(-56)</f>
        <v>46347</v>
      </c>
      <c r="J16" s="373" t="n">
        <f aca="false">'Master Plan'!$H$16+(-45)</f>
        <v>46358</v>
      </c>
      <c r="K16" s="78"/>
      <c r="L16" s="78" t="str">
        <f aca="false">IF(ISNUMBER(อัปเดตรายสัปดาห์!$H$16),อัปเดตรายสัปดาห์!$H$16,"")</f>
        <v/>
      </c>
      <c r="M16" s="374" t="str">
        <f aca="false">IF(อัปเดตรายสัปดาห์!$H$16="Y","Y","")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Plan'!$H$16+(-56)</f>
        <v>46347</v>
      </c>
      <c r="J17" s="382" t="n">
        <f aca="false">'Master Plan'!$H$16+(-54)</f>
        <v>46349</v>
      </c>
      <c r="K17" s="387"/>
      <c r="L17" s="387"/>
      <c r="M17" s="383" t="str">
        <f aca="false">IF('อัปเดตงาน WBS'!$L$669="","",'อัปเดตงาน WBS'!$L$669)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Plan'!$H$16+(-55)</f>
        <v>46348</v>
      </c>
      <c r="J18" s="382" t="n">
        <f aca="false">'Master Plan'!$H$16+(-52)</f>
        <v>46351</v>
      </c>
      <c r="K18" s="387"/>
      <c r="L18" s="387"/>
      <c r="M18" s="383" t="str">
        <f aca="false">IF('อัปเดตงาน WBS'!$L$670="","",'อัปเดตงาน WBS'!$L$670)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Plan'!$H$16+(-53)</f>
        <v>46350</v>
      </c>
      <c r="J19" s="382" t="n">
        <f aca="false">'Master Plan'!$H$16+(-48)</f>
        <v>46355</v>
      </c>
      <c r="K19" s="387"/>
      <c r="L19" s="387"/>
      <c r="M19" s="383" t="str">
        <f aca="false">IF('อัปเดตงาน WBS'!$L$671="","",'อัปเดตงาน WBS'!$L$671)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Plan'!$H$16+(-53)</f>
        <v>46350</v>
      </c>
      <c r="J20" s="382" t="n">
        <f aca="false">'Master Plan'!$H$16+(-48)</f>
        <v>46355</v>
      </c>
      <c r="K20" s="387"/>
      <c r="L20" s="387"/>
      <c r="M20" s="383" t="str">
        <f aca="false">IF('อัปเดตงาน WBS'!$L$672="","",'อัปเดตงาน WBS'!$L$672)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Plan'!$H$16+(-52)</f>
        <v>46351</v>
      </c>
      <c r="J21" s="382" t="n">
        <f aca="false">'Master Plan'!$H$16+(-47)</f>
        <v>46356</v>
      </c>
      <c r="K21" s="387"/>
      <c r="L21" s="387"/>
      <c r="M21" s="383" t="str">
        <f aca="false">IF('อัปเดตงาน WBS'!$L$673="","",'อัปเดตงาน WBS'!$L$673)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Plan'!$H$16+(-50)</f>
        <v>46353</v>
      </c>
      <c r="J22" s="382" t="n">
        <f aca="false">'Master Plan'!$H$16+(-46)</f>
        <v>46357</v>
      </c>
      <c r="K22" s="387"/>
      <c r="L22" s="387"/>
      <c r="M22" s="383" t="str">
        <f aca="false">IF('อัปเดตงาน WBS'!$L$674="","",'อัปเดตงาน WBS'!$L$674)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Plan'!$H$16+(-50)</f>
        <v>46353</v>
      </c>
      <c r="J23" s="382" t="n">
        <f aca="false">'Master Plan'!$H$16+(-45)</f>
        <v>46358</v>
      </c>
      <c r="K23" s="387"/>
      <c r="L23" s="387"/>
      <c r="M23" s="383" t="str">
        <f aca="false">IF('อัปเดตงาน WBS'!$L$675="","",'อัปเดตงาน WBS'!$L$675)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Plan'!$H$16+(-49)</f>
        <v>46354</v>
      </c>
      <c r="J24" s="382" t="n">
        <f aca="false">'Master Plan'!$H$16+(-45)</f>
        <v>46358</v>
      </c>
      <c r="K24" s="387"/>
      <c r="L24" s="387"/>
      <c r="M24" s="383" t="str">
        <f aca="false">IF('อัปเดตงาน WBS'!$L$676="","",'อัปเดตงาน WBS'!$L$676)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Plan'!$H$16+(-51)</f>
        <v>46352</v>
      </c>
      <c r="J25" s="373" t="n">
        <f aca="false">'Master Plan'!$H$16+(-51)</f>
        <v>46352</v>
      </c>
      <c r="K25" s="78"/>
      <c r="L25" s="78" t="str">
        <f aca="false">IF(ISNUMBER(อัปเดตรายสัปดาห์!$I$16),อัปเดตรายสัปดาห์!$I$16,"")</f>
        <v/>
      </c>
      <c r="M25" s="374" t="str">
        <f aca="false">IF(อัปเดตรายสัปดาห์!$I$16="Y","Y","")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Plan'!$H$16+(-51)</f>
        <v>46352</v>
      </c>
      <c r="J26" s="382" t="n">
        <f aca="false">'Master Plan'!$H$16+(-51)</f>
        <v>46352</v>
      </c>
      <c r="K26" s="387"/>
      <c r="L26" s="387"/>
      <c r="M26" s="383" t="str">
        <f aca="false">IF('อัปเดตงาน WBS'!$L$677="","",'อัปเดตงาน WBS'!$L$677)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Plan'!$H$16+(-51)</f>
        <v>46352</v>
      </c>
      <c r="J27" s="382" t="n">
        <f aca="false">'Master Plan'!$H$16+(-51)</f>
        <v>46352</v>
      </c>
      <c r="K27" s="387"/>
      <c r="L27" s="387"/>
      <c r="M27" s="383" t="str">
        <f aca="false">IF('อัปเดตงาน WBS'!$L$678="","",'อัปเดตงาน WBS'!$L$678)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Plan'!$H$16+(-51)</f>
        <v>46352</v>
      </c>
      <c r="J28" s="382" t="n">
        <f aca="false">'Master Plan'!$H$16+(-51)</f>
        <v>46352</v>
      </c>
      <c r="K28" s="387"/>
      <c r="L28" s="387"/>
      <c r="M28" s="383" t="str">
        <f aca="false">IF('อัปเดตงาน WBS'!$L$679="","",'อัปเดตงาน WBS'!$L$679)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77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Plan'!$H$16+(-75)</f>
        <v>46328</v>
      </c>
      <c r="J30" s="373" t="n">
        <f aca="false">'Master Plan'!$H$16+(-75)</f>
        <v>46328</v>
      </c>
      <c r="K30" s="78"/>
      <c r="L30" s="78" t="str">
        <f aca="false">IF(ISNUMBER(อัปเดตรายสัปดาห์!$J$16),อัปเดตรายสัปดาห์!$J$16,"")</f>
        <v/>
      </c>
      <c r="M30" s="374" t="str">
        <f aca="false">IF(อัปเดตรายสัปดาห์!$J$16="Y","Y","")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Plan'!$H$16+(-75)</f>
        <v>46328</v>
      </c>
      <c r="J31" s="382" t="n">
        <f aca="false">'Master Plan'!$H$16+(-75)</f>
        <v>46328</v>
      </c>
      <c r="K31" s="387"/>
      <c r="L31" s="387"/>
      <c r="M31" s="383" t="str">
        <f aca="false">IF('อัปเดตงาน WBS'!$L$680="","",'อัปเดตงาน WBS'!$L$680)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Plan'!$H$16+(-75)</f>
        <v>46328</v>
      </c>
      <c r="J32" s="382" t="n">
        <f aca="false">'Master Plan'!$H$16+(-75)</f>
        <v>46328</v>
      </c>
      <c r="K32" s="387"/>
      <c r="L32" s="387"/>
      <c r="M32" s="383" t="str">
        <f aca="false">IF('อัปเดตงาน WBS'!$L$681="","",'อัปเดตงาน WBS'!$L$681)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Plan'!$H$16+(-75)</f>
        <v>46328</v>
      </c>
      <c r="J33" s="382" t="n">
        <f aca="false">'Master Plan'!$H$16+(-75)</f>
        <v>46328</v>
      </c>
      <c r="K33" s="387"/>
      <c r="L33" s="387"/>
      <c r="M33" s="383" t="str">
        <f aca="false">IF('อัปเดตงาน WBS'!$L$682="","",'อัปเดตงาน WBS'!$L$682)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77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Plan'!$H$16+(-68)</f>
        <v>46335</v>
      </c>
      <c r="J34" s="373" t="n">
        <f aca="false">'Master Plan'!$H$16+(-59)</f>
        <v>46344</v>
      </c>
      <c r="K34" s="78"/>
      <c r="L34" s="78" t="str">
        <f aca="false">IF(ISNUMBER(อัปเดตรายสัปดาห์!$K$16),อัปเดตรายสัปดาห์!$K$16,"")</f>
        <v/>
      </c>
      <c r="M34" s="374" t="str">
        <f aca="false">IF(อัปเดตรายสัปดาห์!$K$16="Y","Y","")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Plan'!$H$16+(-68)</f>
        <v>46335</v>
      </c>
      <c r="J35" s="382" t="n">
        <f aca="false">'Master Plan'!$H$16+(-64)</f>
        <v>46339</v>
      </c>
      <c r="K35" s="387"/>
      <c r="L35" s="387"/>
      <c r="M35" s="383" t="str">
        <f aca="false">IF('อัปเดตงาน WBS'!$L$683="","",'อัปเดตงาน WBS'!$L$683)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Plan'!$H$16+(-68)</f>
        <v>46335</v>
      </c>
      <c r="J36" s="382" t="n">
        <f aca="false">'Master Plan'!$H$16+(-63)</f>
        <v>46340</v>
      </c>
      <c r="K36" s="387"/>
      <c r="L36" s="387"/>
      <c r="M36" s="383" t="str">
        <f aca="false">IF('อัปเดตงาน WBS'!$L$684="","",'อัปเดตงาน WBS'!$L$684)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Plan'!$H$16+(-65)</f>
        <v>46338</v>
      </c>
      <c r="J37" s="382" t="n">
        <f aca="false">'Master Plan'!$H$16+(-62)</f>
        <v>46341</v>
      </c>
      <c r="K37" s="387"/>
      <c r="L37" s="387"/>
      <c r="M37" s="383" t="str">
        <f aca="false">IF('อัปเดตงาน WBS'!$L$685="","",'อัปเดตงาน WBS'!$L$685)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Plan'!$H$16+(-63)</f>
        <v>46340</v>
      </c>
      <c r="J38" s="382" t="n">
        <f aca="false">'Master Plan'!$H$16+(-59)</f>
        <v>46344</v>
      </c>
      <c r="K38" s="387"/>
      <c r="L38" s="387"/>
      <c r="M38" s="383" t="str">
        <f aca="false">IF('อัปเดตงาน WBS'!$L$686="","",'อัปเดตงาน WBS'!$L$686)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77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Plan'!$H$16+(-45)</f>
        <v>46358</v>
      </c>
      <c r="J39" s="373" t="n">
        <f aca="false">'Master Plan'!$H$16+(-45)</f>
        <v>46358</v>
      </c>
      <c r="K39" s="78"/>
      <c r="L39" s="78" t="str">
        <f aca="false">IF(ISNUMBER(อัปเดตรายสัปดาห์!$L$16),อัปเดตรายสัปดาห์!$L$16,"")</f>
        <v/>
      </c>
      <c r="M39" s="374" t="str">
        <f aca="false">IF(อัปเดตรายสัปดาห์!$L$16="Y","Y","")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Plan'!$H$16+(-45)</f>
        <v>46358</v>
      </c>
      <c r="J40" s="382" t="n">
        <f aca="false">'Master Plan'!$H$16+(-45)</f>
        <v>46358</v>
      </c>
      <c r="K40" s="387"/>
      <c r="L40" s="387"/>
      <c r="M40" s="383" t="str">
        <f aca="false">IF('อัปเดตงาน WBS'!$L$687="","",'อัปเดตงาน WBS'!$L$687)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Plan'!$H$16+(-45)</f>
        <v>46358</v>
      </c>
      <c r="J41" s="382" t="n">
        <f aca="false">'Master Plan'!$H$16+(-45)</f>
        <v>46358</v>
      </c>
      <c r="K41" s="387"/>
      <c r="L41" s="387"/>
      <c r="M41" s="383" t="str">
        <f aca="false">IF('อัปเดตงาน WBS'!$L$688="","",'อัปเดตงาน WBS'!$L$688)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Plan'!$H$16+(-45)</f>
        <v>46358</v>
      </c>
      <c r="J42" s="382" t="n">
        <f aca="false">'Master Plan'!$H$16+(-45)</f>
        <v>46358</v>
      </c>
      <c r="K42" s="387"/>
      <c r="L42" s="387"/>
      <c r="M42" s="383" t="str">
        <f aca="false">IF('อัปเดตงาน WBS'!$L$689="","",'อัปเดตงาน WBS'!$L$689)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Plan'!$H$16+(-68)</f>
        <v>46335</v>
      </c>
      <c r="J43" s="373" t="n">
        <f aca="false">'Master Plan'!$H$16+(-55)</f>
        <v>46348</v>
      </c>
      <c r="K43" s="78"/>
      <c r="L43" s="78" t="str">
        <f aca="false">IF(ISNUMBER(อัปเดตรายสัปดาห์!$M$16),อัปเดตรายสัปดาห์!$M$16,"")</f>
        <v/>
      </c>
      <c r="M43" s="374" t="str">
        <f aca="false">IF(อัปเดตรายสัปดาห์!$M$16="Y","Y","")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Plan'!$H$16+(-68)</f>
        <v>46335</v>
      </c>
      <c r="J44" s="382" t="n">
        <f aca="false">'Master Plan'!$H$16+(-65)</f>
        <v>46338</v>
      </c>
      <c r="K44" s="387"/>
      <c r="L44" s="387"/>
      <c r="M44" s="383" t="str">
        <f aca="false">IF('อัปเดตงาน WBS'!$L$690="","",'อัปเดตงาน WBS'!$L$690)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Plan'!$H$16+(-67)</f>
        <v>46336</v>
      </c>
      <c r="J45" s="382" t="n">
        <f aca="false">'Master Plan'!$H$16+(-62)</f>
        <v>46341</v>
      </c>
      <c r="K45" s="387"/>
      <c r="L45" s="387"/>
      <c r="M45" s="383" t="str">
        <f aca="false">IF('อัปเดตงาน WBS'!$L$691="","",'อัปเดตงาน WBS'!$L$691)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Plan'!$H$16+(-62)</f>
        <v>46341</v>
      </c>
      <c r="J46" s="382" t="n">
        <f aca="false">'Master Plan'!$H$16+(-55)</f>
        <v>46348</v>
      </c>
      <c r="K46" s="387"/>
      <c r="L46" s="387"/>
      <c r="M46" s="383" t="str">
        <f aca="false">IF('อัปเดตงาน WBS'!$L$692="","",'อัปเดตงาน WBS'!$L$692)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IF(ISNUMBER(อัปเดตรายสัปดาห์!$P$16),อัปเดตรายสัปดาห์!$P$16,"")</f>
        <v/>
      </c>
      <c r="M52" s="374" t="str">
        <f aca="false">IF(อัปเดตรายสัปดาห์!$P$16="Y","Y","")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WBS'!$L$693="","",'อัปเดตงาน WBS'!$L$693)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WBS'!$L$694="","",'อัปเดตงาน WBS'!$L$694)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Plan'!$H$16+(-12)</f>
        <v>46391</v>
      </c>
      <c r="J55" s="373" t="n">
        <f aca="false">'Master Plan'!$H$16+(-12)</f>
        <v>46391</v>
      </c>
      <c r="K55" s="78"/>
      <c r="L55" s="78" t="str">
        <f aca="false">IF(ISNUMBER(อัปเดตรายสัปดาห์!$Q$16),อัปเดตรายสัปดาห์!$Q$16,"")</f>
        <v/>
      </c>
      <c r="M55" s="374" t="str">
        <f aca="false">IF(อัปเดตรายสัปดาห์!$Q$16="Y","Y","")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Plan'!$AC$16)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IF(ISNUMBER(อัปเดตรายสัปดาห์!$R$16),อัปเดตรายสัปดาห์!$R$16,"")</f>
        <v/>
      </c>
      <c r="M56" s="374" t="str">
        <f aca="false">IF(อัปเดตรายสัปดาห์!$R$16="Y","Y","")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Plan'!$H$16+(-11)</f>
        <v>46392</v>
      </c>
      <c r="J57" s="373" t="n">
        <f aca="false">'Master Plan'!$H$16+(9)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IF(ISNUMBER(อัปเดตรายสัปดาห์!$S$16),อัปเดตรายสัปดาห์!$S$16,"")</f>
        <v/>
      </c>
      <c r="M57" s="374" t="str">
        <f aca="false">IF(อัปเดตรายสัปดาห์!$S$16="Y","Y","")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Plan'!$AD$16)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Plan'!$H$16+(10)</f>
        <v>46413</v>
      </c>
      <c r="J58" s="373" t="n">
        <f aca="false">'Master Plan'!$H$16+(16)</f>
        <v>46419</v>
      </c>
      <c r="K58" s="78"/>
      <c r="L58" s="78" t="str">
        <f aca="false">IF(ISNUMBER(อัปเดตรายสัปดาห์!$T$16),อัปเดตรายสัปดาห์!$T$16,"")</f>
        <v/>
      </c>
      <c r="M58" s="374" t="str">
        <f aca="false">IF(อัปเดตรายสัปดาห์!$T$16="Y","Y","")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Plan'!$AE$16)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Plan'!$H$16+(17)</f>
        <v>46420</v>
      </c>
      <c r="J59" s="373" t="n">
        <f aca="false">'Master Plan'!$H$16+(17)</f>
        <v>46420</v>
      </c>
      <c r="K59" s="78"/>
      <c r="L59" s="78" t="str">
        <f aca="false">IF(ISNUMBER(อัปเดตรายสัปดาห์!$U$16),อัปเดตรายสัปดาห์!$U$16,"")</f>
        <v/>
      </c>
      <c r="M59" s="374" t="str">
        <f aca="false">IF(อัปเดตรายสัปดาห์!$U$16="Y","Y","")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Plan'!$AF$16)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77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Plan'!$H$16+(18)</f>
        <v>46421</v>
      </c>
      <c r="J60" s="373" t="n">
        <f aca="false">'Master Plan'!$H$16+(33)</f>
        <v>46436</v>
      </c>
      <c r="K60" s="78"/>
      <c r="L60" s="78" t="str">
        <f aca="false">IF(ISNUMBER(อัปเดตรายสัปดาห์!$V$16),อัปเดตรายสัปดาห์!$V$16,"")</f>
        <v/>
      </c>
      <c r="M60" s="374" t="str">
        <f aca="false">IF(อัปเดตรายสัปดาห์!$V$16="Y","Y","")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Plan'!$AH$16)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3703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Plan'!$H$16+(-42)</f>
        <v>46361</v>
      </c>
      <c r="J62" s="373" t="n">
        <f aca="false">'Master Plan'!$H$16+(-25)</f>
        <v>46378</v>
      </c>
      <c r="K62" s="78"/>
      <c r="L62" s="78" t="str">
        <f aca="false">IF(ISNUMBER(อัปเดตรายสัปดาห์!$W$16),อัปเดตรายสัปดาห์!$W$16,"")</f>
        <v/>
      </c>
      <c r="M62" s="374" t="str">
        <f aca="false">IF(อัปเดตรายสัปดาห์!$W$16="Y","Y","")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-009",SITE_TYPE,"?*")&gt;0,MIN(1,SUMPRODUCT((SITE_ST="P9-009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Plan'!$H$16+(-42)</f>
        <v>46361</v>
      </c>
      <c r="J63" s="382" t="n">
        <f aca="false">'Master Plan'!$H$16+(-40)</f>
        <v>46363</v>
      </c>
      <c r="K63" s="387"/>
      <c r="L63" s="387"/>
      <c r="M63" s="383" t="str">
        <f aca="false">IF('อัปเดตงาน WBS'!$L$695="","",'อัปเดตงาน WBS'!$L$695)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Plan'!$H$16+(-42)</f>
        <v>46361</v>
      </c>
      <c r="J64" s="382" t="n">
        <f aca="false">'Master Plan'!$H$16+(-39)</f>
        <v>46364</v>
      </c>
      <c r="K64" s="387"/>
      <c r="L64" s="387"/>
      <c r="M64" s="383" t="str">
        <f aca="false">IF('อัปเดตงาน WBS'!$L$696="","",'อัปเดตงาน WBS'!$L$696)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Plan'!$H$16+(-40)</f>
        <v>46363</v>
      </c>
      <c r="J65" s="382" t="n">
        <f aca="false">'Master Plan'!$H$16+(-34)</f>
        <v>46369</v>
      </c>
      <c r="K65" s="387"/>
      <c r="L65" s="387"/>
      <c r="M65" s="383" t="str">
        <f aca="false">IF('อัปเดตงาน WBS'!$L$697="","",'อัปเดตงาน WBS'!$L$697)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Plan'!$H$16+(-35)</f>
        <v>46368</v>
      </c>
      <c r="J66" s="382" t="n">
        <f aca="false">'Master Plan'!$H$16+(-28)</f>
        <v>46375</v>
      </c>
      <c r="K66" s="387"/>
      <c r="L66" s="387"/>
      <c r="M66" s="383" t="str">
        <f aca="false">IF('อัปเดตงาน WBS'!$L$698="","",'อัปเดตงาน WBS'!$L$698)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Plan'!$H$16+(-32)</f>
        <v>46371</v>
      </c>
      <c r="J67" s="382" t="n">
        <f aca="false">'Master Plan'!$H$16+(-26)</f>
        <v>46377</v>
      </c>
      <c r="K67" s="387"/>
      <c r="L67" s="387"/>
      <c r="M67" s="383" t="str">
        <f aca="false">IF('อัปเดตงาน WBS'!$L$699="","",'อัปเดตงาน WBS'!$L$699)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Plan'!$H$16+(-28)</f>
        <v>46375</v>
      </c>
      <c r="J68" s="382" t="n">
        <f aca="false">'Master Plan'!$H$16+(-25)</f>
        <v>46378</v>
      </c>
      <c r="K68" s="387"/>
      <c r="L68" s="387"/>
      <c r="M68" s="383" t="str">
        <f aca="false">IF('อัปเดตงาน WBS'!$L$700="","",'อัปเดตงาน WBS'!$L$700)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Plan'!$H$16+(-26)</f>
        <v>46377</v>
      </c>
      <c r="J69" s="382" t="n">
        <f aca="false">'Master Plan'!$H$16+(-25)</f>
        <v>46378</v>
      </c>
      <c r="K69" s="387"/>
      <c r="L69" s="387"/>
      <c r="M69" s="383" t="str">
        <f aca="false">IF('อัปเดตงาน WBS'!$L$701="","",'อัปเดตงาน WBS'!$L$701)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3703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Plan'!$H$16+(-24)</f>
        <v>46379</v>
      </c>
      <c r="J70" s="373" t="n">
        <f aca="false">'Master Plan'!$H$16+(-15)</f>
        <v>46388</v>
      </c>
      <c r="K70" s="78"/>
      <c r="L70" s="78" t="str">
        <f aca="false">IF(ISNUMBER(อัปเดตรายสัปดาห์!$X$16),อัปเดตรายสัปดาห์!$X$16,"")</f>
        <v/>
      </c>
      <c r="M70" s="374" t="str">
        <f aca="false">IF(อัปเดตรายสัปดาห์!$X$16="Y","Y","")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-009",SITE_TYPE,"?*")&gt;0,MIN(1,SUMPRODUCT((SITE_ST="P9-009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Plan'!$H$16+(-24)</f>
        <v>46379</v>
      </c>
      <c r="J71" s="382" t="n">
        <f aca="false">'Master Plan'!$H$16+(-20)</f>
        <v>46383</v>
      </c>
      <c r="K71" s="387"/>
      <c r="L71" s="387"/>
      <c r="M71" s="383" t="str">
        <f aca="false">IF('อัปเดตงาน WBS'!$L$702="","",'อัปเดตงาน WBS'!$L$702)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Plan'!$H$16+(-22)</f>
        <v>46381</v>
      </c>
      <c r="J72" s="382" t="n">
        <f aca="false">'Master Plan'!$H$16+(-17)</f>
        <v>46386</v>
      </c>
      <c r="K72" s="387"/>
      <c r="L72" s="387"/>
      <c r="M72" s="383" t="str">
        <f aca="false">IF('อัปเดตงาน WBS'!$L$703="","",'อัปเดตงาน WBS'!$L$703)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Plan'!$H$16+(-21)</f>
        <v>46382</v>
      </c>
      <c r="J73" s="382" t="n">
        <f aca="false">'Master Plan'!$H$16+(-17)</f>
        <v>46386</v>
      </c>
      <c r="K73" s="387"/>
      <c r="L73" s="387"/>
      <c r="M73" s="383" t="str">
        <f aca="false">IF('อัปเดตงาน WBS'!$L$704="","",'อัปเดตงาน WBS'!$L$704)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Plan'!$H$16+(-20)</f>
        <v>46383</v>
      </c>
      <c r="J74" s="382" t="n">
        <f aca="false">'Master Plan'!$H$16+(-15)</f>
        <v>46388</v>
      </c>
      <c r="K74" s="387"/>
      <c r="L74" s="387"/>
      <c r="M74" s="383" t="str">
        <f aca="false">IF('อัปเดตงาน WBS'!$L$705="","",'อัปเดตงาน WBS'!$L$705)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Plan'!$H$16+(-17)</f>
        <v>46386</v>
      </c>
      <c r="J75" s="382" t="n">
        <f aca="false">'Master Plan'!$H$16+(-15)</f>
        <v>46388</v>
      </c>
      <c r="K75" s="387"/>
      <c r="L75" s="387"/>
      <c r="M75" s="383" t="str">
        <f aca="false">IF('อัปเดตงาน WBS'!$L$706="","",'อัปเดตงาน WBS'!$L$706)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3703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Plan'!$H$16+(-24)</f>
        <v>46379</v>
      </c>
      <c r="J76" s="373" t="n">
        <f aca="false">'Master Plan'!$H$16+(-15)</f>
        <v>46388</v>
      </c>
      <c r="K76" s="78"/>
      <c r="L76" s="78" t="str">
        <f aca="false">IF(ISNUMBER(อัปเดตรายสัปดาห์!$Y$16),อัปเดตรายสัปดาห์!$Y$16,"")</f>
        <v/>
      </c>
      <c r="M76" s="374" t="str">
        <f aca="false">IF(อัปเดตรายสัปดาห์!$Y$16="Y","Y","")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-009",SITE_TYPE,"?*")&gt;0,MIN(1,SUMPRODUCT((SITE_ST="P9-009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Plan'!$H$16+(-24)</f>
        <v>46379</v>
      </c>
      <c r="J77" s="382" t="n">
        <f aca="false">'Master Plan'!$H$16+(-21)</f>
        <v>46382</v>
      </c>
      <c r="K77" s="387"/>
      <c r="L77" s="387"/>
      <c r="M77" s="383" t="str">
        <f aca="false">IF('อัปเดตงาน WBS'!$L$707="","",'อัปเดตงาน WBS'!$L$707)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Plan'!$H$16+(-23)</f>
        <v>46380</v>
      </c>
      <c r="J78" s="382" t="n">
        <f aca="false">'Master Plan'!$H$16+(-16)</f>
        <v>46387</v>
      </c>
      <c r="K78" s="387"/>
      <c r="L78" s="387"/>
      <c r="M78" s="383" t="str">
        <f aca="false">IF('อัปเดตงาน WBS'!$L$708="","",'อัปเดตงาน WBS'!$L$708)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Plan'!$H$16+(-20)</f>
        <v>46383</v>
      </c>
      <c r="J79" s="382" t="n">
        <f aca="false">'Master Plan'!$H$16+(-15)</f>
        <v>46388</v>
      </c>
      <c r="K79" s="387"/>
      <c r="L79" s="387"/>
      <c r="M79" s="383" t="str">
        <f aca="false">IF('อัปเดตงาน WBS'!$L$709="","",'อัปเดตงาน WBS'!$L$709)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Plan'!$H$16+(-17)</f>
        <v>46386</v>
      </c>
      <c r="J80" s="382" t="n">
        <f aca="false">'Master Plan'!$H$16+(-15)</f>
        <v>46388</v>
      </c>
      <c r="K80" s="387"/>
      <c r="L80" s="387"/>
      <c r="M80" s="383" t="str">
        <f aca="false">IF('อัปเดตงาน WBS'!$L$710="","",'อัปเดตงาน WBS'!$L$710)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Plan'!$H$16+(-15)</f>
        <v>46388</v>
      </c>
      <c r="J81" s="382" t="n">
        <f aca="false">'Master Plan'!$H$16+(-15)</f>
        <v>46388</v>
      </c>
      <c r="K81" s="387"/>
      <c r="L81" s="387"/>
      <c r="M81" s="383" t="str">
        <f aca="false">IF('อัปเดตงาน WBS'!$L$711="","",'อัปเดตงาน WBS'!$L$711)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3703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Plan'!$H$16+(-21)</f>
        <v>46382</v>
      </c>
      <c r="J82" s="373" t="n">
        <f aca="false">'Master Plan'!$H$16+(-18)</f>
        <v>46385</v>
      </c>
      <c r="K82" s="78"/>
      <c r="L82" s="78" t="str">
        <f aca="false">IF(ISNUMBER(อัปเดตรายสัปดาห์!$Z$16),อัปเดตรายสัปดาห์!$Z$16,"")</f>
        <v/>
      </c>
      <c r="M82" s="374" t="str">
        <f aca="false">IF(อัปเดตรายสัปดาห์!$Z$16="Y","Y","")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Plan'!$H$16+(-21)</f>
        <v>46382</v>
      </c>
      <c r="J83" s="382" t="n">
        <f aca="false">'Master Plan'!$H$16+(-19)</f>
        <v>46384</v>
      </c>
      <c r="K83" s="387"/>
      <c r="L83" s="387"/>
      <c r="M83" s="383" t="str">
        <f aca="false">IF('อัปเดตงาน WBS'!$L$712="","",'อัปเดตงาน WBS'!$L$712)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Plan'!$H$16+(-20)</f>
        <v>46383</v>
      </c>
      <c r="J84" s="382" t="n">
        <f aca="false">'Master Plan'!$H$16+(-18)</f>
        <v>46385</v>
      </c>
      <c r="K84" s="387"/>
      <c r="L84" s="387"/>
      <c r="M84" s="383" t="str">
        <f aca="false">IF('อัปเดตงาน WBS'!$L$713="","",'อัปเดตงาน WBS'!$L$713)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3703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Plan'!$H$16+(-25)</f>
        <v>46378</v>
      </c>
      <c r="J85" s="373" t="n">
        <f aca="false">'Master Plan'!$H$16+(-17)</f>
        <v>46386</v>
      </c>
      <c r="K85" s="78"/>
      <c r="L85" s="78" t="str">
        <f aca="false">IF(ISNUMBER(อัปเดตรายสัปดาห์!$AA$16),อัปเดตรายสัปดาห์!$AA$16,"")</f>
        <v/>
      </c>
      <c r="M85" s="374" t="str">
        <f aca="false">IF(อัปเดตรายสัปดาห์!$AA$16="Y","Y","")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Plan'!$H$16+(-25)</f>
        <v>46378</v>
      </c>
      <c r="J86" s="382" t="n">
        <f aca="false">'Master Plan'!$H$16+(-21)</f>
        <v>46382</v>
      </c>
      <c r="K86" s="387"/>
      <c r="L86" s="387"/>
      <c r="M86" s="383" t="str">
        <f aca="false">IF('อัปเดตงาน WBS'!$L$714="","",'อัปเดตงาน WBS'!$L$714)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Plan'!$H$16+(-22)</f>
        <v>46381</v>
      </c>
      <c r="J87" s="382" t="n">
        <f aca="false">'Master Plan'!$H$16+(-18)</f>
        <v>46385</v>
      </c>
      <c r="K87" s="387"/>
      <c r="L87" s="387"/>
      <c r="M87" s="383" t="str">
        <f aca="false">IF('อัปเดตงาน WBS'!$L$715="","",'อัปเดตงาน WBS'!$L$715)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Plan'!$H$16+(-20)</f>
        <v>46383</v>
      </c>
      <c r="J88" s="382" t="n">
        <f aca="false">'Master Plan'!$H$16+(-17)</f>
        <v>46386</v>
      </c>
      <c r="K88" s="387"/>
      <c r="L88" s="387"/>
      <c r="M88" s="383" t="str">
        <f aca="false">IF('อัปเดตงาน WBS'!$L$716="","",'อัปเดตงาน WBS'!$L$716)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Plan'!$H$16+(-18)</f>
        <v>46385</v>
      </c>
      <c r="J89" s="382" t="n">
        <f aca="false">'Master Plan'!$H$16+(-17)</f>
        <v>46386</v>
      </c>
      <c r="K89" s="387"/>
      <c r="L89" s="387"/>
      <c r="M89" s="383" t="str">
        <f aca="false">IF('อัปเดตงาน WBS'!$L$717="","",'อัปเดตงาน WBS'!$L$717)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3703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Plan'!$H$16+(-25)</f>
        <v>46378</v>
      </c>
      <c r="J90" s="373" t="n">
        <f aca="false">'Master Plan'!$H$16+(-16)</f>
        <v>46387</v>
      </c>
      <c r="K90" s="78"/>
      <c r="L90" s="78" t="str">
        <f aca="false">IF(ISNUMBER(อัปเดตรายสัปดาห์!$AB$16),อัปเดตรายสัปดาห์!$AB$16,"")</f>
        <v/>
      </c>
      <c r="M90" s="374" t="str">
        <f aca="false">IF(อัปเดตรายสัปดาห์!$AB$16="Y","Y","")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Plan'!$H$16+(-25)</f>
        <v>46378</v>
      </c>
      <c r="J91" s="382" t="n">
        <f aca="false">'Master Plan'!$H$16+(-20)</f>
        <v>46383</v>
      </c>
      <c r="K91" s="387"/>
      <c r="L91" s="387"/>
      <c r="M91" s="383" t="str">
        <f aca="false">IF('อัปเดตงาน WBS'!$L$718="","",'อัปเดตงาน WBS'!$L$718)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Plan'!$H$16+(-20)</f>
        <v>46383</v>
      </c>
      <c r="J92" s="382" t="n">
        <f aca="false">'Master Plan'!$H$16+(-16)</f>
        <v>46387</v>
      </c>
      <c r="K92" s="387"/>
      <c r="L92" s="387"/>
      <c r="M92" s="383" t="str">
        <f aca="false">IF('อัปเดตงาน WBS'!$L$719="","",'อัปเดตงาน WBS'!$L$719)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Plan'!$H$16+(-25)</f>
        <v>46378</v>
      </c>
      <c r="J93" s="382" t="n">
        <f aca="false">'Master Plan'!$H$16+(-21)</f>
        <v>46382</v>
      </c>
      <c r="K93" s="387"/>
      <c r="L93" s="387"/>
      <c r="M93" s="383" t="str">
        <f aca="false">IF('อัปเดตงาน WBS'!$L$720="","",'อัปเดตงาน WBS'!$L$720)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Plan'!$H$16+(-21)</f>
        <v>46382</v>
      </c>
      <c r="J94" s="382" t="n">
        <f aca="false">'Master Plan'!$H$16+(-16)</f>
        <v>46387</v>
      </c>
      <c r="K94" s="387"/>
      <c r="L94" s="387"/>
      <c r="M94" s="383" t="str">
        <f aca="false">IF('อัปเดตงาน WBS'!$L$721="","",'อัปเดตงาน WBS'!$L$721)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Plan'!$H$16+(-17)</f>
        <v>46386</v>
      </c>
      <c r="J95" s="382" t="n">
        <f aca="false">'Master Plan'!$H$16+(-16)</f>
        <v>46387</v>
      </c>
      <c r="K95" s="387"/>
      <c r="L95" s="387"/>
      <c r="M95" s="383" t="str">
        <f aca="false">IF('อัปเดตงาน WBS'!$L$722="","",'อัปเดตงาน WBS'!$L$722)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3703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Plan'!$H$16+(-22)</f>
        <v>46381</v>
      </c>
      <c r="J96" s="373" t="n">
        <f aca="false">'Master Plan'!$H$16+(-16)</f>
        <v>46387</v>
      </c>
      <c r="K96" s="78"/>
      <c r="L96" s="78" t="str">
        <f aca="false">IF(ISNUMBER(อัปเดตรายสัปดาห์!$AC$16),อัปเดตรายสัปดาห์!$AC$16,"")</f>
        <v/>
      </c>
      <c r="M96" s="374" t="str">
        <f aca="false">IF(อัปเดตรายสัปดาห์!$AC$16="Y","Y","")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Plan'!$H$16+(-22)</f>
        <v>46381</v>
      </c>
      <c r="J97" s="382" t="n">
        <f aca="false">'Master Plan'!$H$16+(-17)</f>
        <v>46386</v>
      </c>
      <c r="K97" s="387"/>
      <c r="L97" s="387"/>
      <c r="M97" s="383" t="str">
        <f aca="false">IF('อัปเดตงาน WBS'!$L$723="","",'อัปเดตงาน WBS'!$L$723)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Plan'!$H$16+(-20)</f>
        <v>46383</v>
      </c>
      <c r="J98" s="382" t="n">
        <f aca="false">'Master Plan'!$H$16+(-16)</f>
        <v>46387</v>
      </c>
      <c r="K98" s="387"/>
      <c r="L98" s="387"/>
      <c r="M98" s="383" t="str">
        <f aca="false">IF('อัปเดตงาน WBS'!$L$724="","",'อัปเดตงาน WBS'!$L$724)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Plan'!$H$16+(-17)</f>
        <v>46386</v>
      </c>
      <c r="J99" s="382" t="n">
        <f aca="false">'Master Plan'!$H$16+(-16)</f>
        <v>46387</v>
      </c>
      <c r="K99" s="387"/>
      <c r="L99" s="387"/>
      <c r="M99" s="383" t="str">
        <f aca="false">IF('อัปเดตงาน WBS'!$L$725="","",'อัปเดตงาน WBS'!$L$725)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3703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Plan'!$H$16+(-20)</f>
        <v>46383</v>
      </c>
      <c r="J100" s="373" t="n">
        <f aca="false">'Master Plan'!$H$16+(-15)</f>
        <v>46388</v>
      </c>
      <c r="K100" s="78"/>
      <c r="L100" s="78" t="str">
        <f aca="false">IF(ISNUMBER(อัปเดตรายสัปดาห์!$AD$16),อัปเดตรายสัปดาห์!$AD$16,"")</f>
        <v/>
      </c>
      <c r="M100" s="374" t="str">
        <f aca="false">IF(อัปเดตรายสัปดาห์!$AD$16="Y","Y","")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Plan'!$H$16+(-20)</f>
        <v>46383</v>
      </c>
      <c r="J101" s="382" t="n">
        <f aca="false">'Master Plan'!$H$16+(-19)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Plan'!$H$16+(-19)</f>
        <v>46384</v>
      </c>
      <c r="J102" s="382" t="n">
        <f aca="false">'Master Plan'!$H$16+(-16)</f>
        <v>46387</v>
      </c>
      <c r="K102" s="387"/>
      <c r="L102" s="387"/>
      <c r="M102" s="383" t="str">
        <f aca="false">IF('อัปเดตงาน WBS'!$L$726="","",'อัปเดตงาน WBS'!$L$726)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Plan'!$H$16+(-18)</f>
        <v>46385</v>
      </c>
      <c r="J104" s="382" t="n">
        <f aca="false">'Master Plan'!$H$16+(-16)</f>
        <v>46387</v>
      </c>
      <c r="K104" s="387"/>
      <c r="L104" s="387"/>
      <c r="M104" s="383" t="str">
        <f aca="false">IF('อัปเดตงาน WBS'!$L$727="","",'อัปเดตงาน WBS'!$L$727)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Plan'!$H$16+(-18)</f>
        <v>46385</v>
      </c>
      <c r="J105" s="382" t="n">
        <f aca="false">'Master Plan'!$H$16+(-15)</f>
        <v>46388</v>
      </c>
      <c r="K105" s="387"/>
      <c r="L105" s="387"/>
      <c r="M105" s="383" t="str">
        <f aca="false">IF('อัปเดตงาน WBS'!$L$728="","",'อัปเดตงาน WBS'!$L$728)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Plan'!$H$16+(-16)</f>
        <v>46387</v>
      </c>
      <c r="J106" s="382" t="n">
        <f aca="false">'Master Plan'!$H$16+(-15)</f>
        <v>46388</v>
      </c>
      <c r="K106" s="387"/>
      <c r="L106" s="387"/>
      <c r="M106" s="383" t="str">
        <f aca="false">IF('อัปเดตงาน WBS'!$L$729="","",'อัปเดตงาน WBS'!$L$729)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3703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Plan'!$H$16+(-18)</f>
        <v>46385</v>
      </c>
      <c r="J107" s="373" t="n">
        <f aca="false">'Master Plan'!$H$16+(-14)</f>
        <v>46389</v>
      </c>
      <c r="K107" s="78"/>
      <c r="L107" s="78" t="str">
        <f aca="false">IF(ISNUMBER(อัปเดตรายสัปดาห์!$AE$16),อัปเดตรายสัปดาห์!$AE$16,"")</f>
        <v/>
      </c>
      <c r="M107" s="374" t="str">
        <f aca="false">IF(อัปเดตรายสัปดาห์!$AE$16="Y","Y","")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Plan'!$H$16+(-18)</f>
        <v>46385</v>
      </c>
      <c r="J108" s="382" t="n">
        <f aca="false">'Master Plan'!$H$16+(-15)</f>
        <v>46388</v>
      </c>
      <c r="K108" s="387"/>
      <c r="L108" s="387"/>
      <c r="M108" s="383" t="str">
        <f aca="false">IF('อัปเดตงาน WBS'!$L$730="","",'อัปเดตงาน WBS'!$L$730)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Plan'!$H$16+(-16)</f>
        <v>46387</v>
      </c>
      <c r="J109" s="382" t="n">
        <f aca="false">'Master Plan'!$H$16+(-14)</f>
        <v>46389</v>
      </c>
      <c r="K109" s="387"/>
      <c r="L109" s="387"/>
      <c r="M109" s="383" t="str">
        <f aca="false">IF('อัปเดตงาน WBS'!$L$731="","",'อัปเดตงาน WBS'!$L$731)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Plan'!$H$16+(-17)</f>
        <v>46386</v>
      </c>
      <c r="J110" s="382" t="n">
        <f aca="false">'Master Plan'!$H$16+(-15)</f>
        <v>46388</v>
      </c>
      <c r="K110" s="387"/>
      <c r="L110" s="387"/>
      <c r="M110" s="383" t="str">
        <f aca="false">IF('อัปเดตงาน WBS'!$L$732="","",'อัปเดตงาน WBS'!$L$732)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77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Plan'!$H$16+(-13)</f>
        <v>46390</v>
      </c>
      <c r="J111" s="373" t="n">
        <f aca="false">'Master Plan'!$H$16+(-13)</f>
        <v>46390</v>
      </c>
      <c r="K111" s="78"/>
      <c r="L111" s="78" t="str">
        <f aca="false">IF(ISNUMBER(อัปเดตรายสัปดาห์!$AF$16),อัปเดตรายสัปดาห์!$AF$16,"")</f>
        <v/>
      </c>
      <c r="M111" s="374" t="str">
        <f aca="false">IF(อัปเดตรายสัปดาห์!$AF$16="Y","Y","")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Plan'!$Y$16)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Plan'!$H$16+(-13)</f>
        <v>46390</v>
      </c>
      <c r="J112" s="382" t="n">
        <f aca="false">'Master Plan'!$H$16+(-13)</f>
        <v>46390</v>
      </c>
      <c r="K112" s="387"/>
      <c r="L112" s="387"/>
      <c r="M112" s="383" t="str">
        <f aca="false">IF('อัปเดตงาน WBS'!$L$733="","",'อัปเดตงาน WBS'!$L$733)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Plan'!$H$16+(-13)</f>
        <v>46390</v>
      </c>
      <c r="J113" s="382" t="n">
        <f aca="false">'Master Plan'!$H$16+(-13)</f>
        <v>46390</v>
      </c>
      <c r="K113" s="387"/>
      <c r="L113" s="387"/>
      <c r="M113" s="383" t="str">
        <f aca="false">IF('อัปเดตงาน WBS'!$L$734="","",'อัปเดตงาน WBS'!$L$734)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3703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Plan'!$H$16+(-12)</f>
        <v>46391</v>
      </c>
      <c r="J115" s="373" t="n">
        <f aca="false">'Master Plan'!$H$16+(-10)</f>
        <v>46393</v>
      </c>
      <c r="K115" s="78"/>
      <c r="L115" s="78" t="str">
        <f aca="false">IF(ISNUMBER(อัปเดตรายสัปดาห์!$AG$16),อัปเดตรายสัปดาห์!$AG$16,"")</f>
        <v/>
      </c>
      <c r="M115" s="374" t="str">
        <f aca="false">IF(อัปเดตรายสัปดาห์!$AG$16="Y","Y","")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Plan'!$AA$16)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Plan'!$H$16+(-12)</f>
        <v>46391</v>
      </c>
      <c r="J116" s="382" t="n">
        <f aca="false">'Master Plan'!$H$16+(-12)</f>
        <v>46391</v>
      </c>
      <c r="K116" s="387"/>
      <c r="L116" s="387"/>
      <c r="M116" s="383" t="str">
        <f aca="false">IF('อัปเดตงาน WBS'!$L$735="","",'อัปเดตงาน WBS'!$L$735)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Plan'!$H$16+(-12)</f>
        <v>46391</v>
      </c>
      <c r="J117" s="382" t="n">
        <f aca="false">'Master Plan'!$H$16+(-11)</f>
        <v>46392</v>
      </c>
      <c r="K117" s="387"/>
      <c r="L117" s="387"/>
      <c r="M117" s="383" t="str">
        <f aca="false">IF('อัปเดตงาน WBS'!$L$736="","",'อัปเดตงาน WBS'!$L$736)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Plan'!$H$16+(-11)</f>
        <v>46392</v>
      </c>
      <c r="J118" s="382" t="n">
        <f aca="false">'Master Plan'!$H$16+(-11)</f>
        <v>46392</v>
      </c>
      <c r="K118" s="387"/>
      <c r="L118" s="387"/>
      <c r="M118" s="383" t="str">
        <f aca="false">IF('อัปเดตงาน WBS'!$L$737="","",'อัปเดตงาน WBS'!$L$737)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Plan'!$H$16+(-11)</f>
        <v>46392</v>
      </c>
      <c r="J119" s="382" t="n">
        <f aca="false">'Master Plan'!$H$16+(-11)</f>
        <v>46392</v>
      </c>
      <c r="K119" s="387"/>
      <c r="L119" s="387"/>
      <c r="M119" s="383" t="str">
        <f aca="false">IF('อัปเดตงาน WBS'!$L$738="","",'อัปเดตงาน WBS'!$L$738)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Plan'!$H$16+(-11)</f>
        <v>46392</v>
      </c>
      <c r="J120" s="382" t="n">
        <f aca="false">'Master Plan'!$H$16+(-10)</f>
        <v>46393</v>
      </c>
      <c r="K120" s="387"/>
      <c r="L120" s="387"/>
      <c r="M120" s="383" t="str">
        <f aca="false">IF('อัปเดตงาน WBS'!$L$739="","",'อัปเดตงาน WBS'!$L$739)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Plan'!$H$16+(-11)</f>
        <v>46392</v>
      </c>
      <c r="J121" s="382" t="n">
        <f aca="false">'Master Plan'!$H$16+(-10)</f>
        <v>46393</v>
      </c>
      <c r="K121" s="387"/>
      <c r="L121" s="387"/>
      <c r="M121" s="383" t="str">
        <f aca="false">IF('อัปเดตงาน WBS'!$L$740="","",'อัปเดตงาน WBS'!$L$740)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77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Plan'!$H$16+(-10)</f>
        <v>46393</v>
      </c>
      <c r="J122" s="373" t="n">
        <f aca="false">'Master Plan'!$H$16+(-10)</f>
        <v>46393</v>
      </c>
      <c r="K122" s="78"/>
      <c r="L122" s="78" t="str">
        <f aca="false">IF(ISNUMBER(อัปเดตรายสัปดาห์!$AH$16),อัปเดตรายสัปดาห์!$AH$16,"")</f>
        <v/>
      </c>
      <c r="M122" s="374" t="str">
        <f aca="false">IF(อัปเดตรายสัปดาห์!$AH$16="Y","Y","")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Plan'!$Z$16)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77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Plan'!$H$16+(-12)</f>
        <v>46391</v>
      </c>
      <c r="J123" s="373" t="n">
        <f aca="false">'Master Plan'!$H$16+(-8)</f>
        <v>46395</v>
      </c>
      <c r="K123" s="78" t="str">
        <f aca="false">IF(ISNUMBER(อัปเดตรายสัปดาห์!$AI$16),อัปเดตรายสัปดาห์!$AI$16,"")</f>
        <v/>
      </c>
      <c r="L123" s="78" t="str">
        <f aca="false">IF(ISNUMBER(อัปเดตรายสัปดาห์!$AJ$16),อัปเดตรายสัปดาห์!$AJ$16,"")</f>
        <v/>
      </c>
      <c r="M123" s="374" t="str">
        <f aca="false">IF(อัปเดตรายสัปดาห์!$AJ$16="Y","Y","")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77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Plan'!$H$16+(37)</f>
        <v>46440</v>
      </c>
      <c r="J124" s="373" t="n">
        <f aca="false">'Master Plan'!$H$16+(50)</f>
        <v>46453</v>
      </c>
      <c r="K124" s="78"/>
      <c r="L124" s="78" t="str">
        <f aca="false">IF(ISNUMBER(อัปเดตรายสัปดาห์!$AK$16),อัปเดตรายสัปดาห์!$AK$16,"")</f>
        <v/>
      </c>
      <c r="M124" s="374" t="str">
        <f aca="false">IF(อัปเดตรายสัปดาห์!$AK$16="Y","Y","")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Plan'!$H$16+(37)</f>
        <v>46440</v>
      </c>
      <c r="J125" s="382" t="n">
        <f aca="false">'Master Plan'!$H$16+(41)</f>
        <v>46444</v>
      </c>
      <c r="K125" s="387"/>
      <c r="L125" s="387"/>
      <c r="M125" s="383" t="str">
        <f aca="false">IF('อัปเดตงาน WBS'!$L$741="","",'อัปเดตงาน WBS'!$L$741)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Plan'!$H$16+(40)</f>
        <v>46443</v>
      </c>
      <c r="J126" s="382" t="n">
        <f aca="false">'Master Plan'!$H$16+(47)</f>
        <v>46450</v>
      </c>
      <c r="K126" s="387"/>
      <c r="L126" s="387"/>
      <c r="M126" s="383" t="str">
        <f aca="false">IF('อัปเดตงาน WBS'!$L$742="","",'อัปเดตงาน WBS'!$L$742)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Plan'!$H$16+(47)</f>
        <v>46450</v>
      </c>
      <c r="J127" s="382" t="n">
        <f aca="false">'Master Plan'!$H$16+(50)</f>
        <v>46453</v>
      </c>
      <c r="K127" s="387"/>
      <c r="L127" s="387"/>
      <c r="M127" s="383" t="str">
        <f aca="false">IF('อัปเดตงาน WBS'!$L$743="","",'อัปเดตงาน WBS'!$L$743)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3703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Plan'!$H$16+(0)</f>
        <v>46403</v>
      </c>
      <c r="J128" s="373" t="n">
        <f aca="false">'Master Plan'!$H$16+(0)</f>
        <v>46403</v>
      </c>
      <c r="K128" s="78"/>
      <c r="L128" s="78" t="str">
        <f aca="false">IF(ISNUMBER(อัปเดตรายสัปดาห์!$AL$16),อัปเดตรายสัปดาห์!$AL$16,"")</f>
        <v/>
      </c>
      <c r="M128" s="374" t="str">
        <f aca="false">IF(อัปเดตรายสัปดาห์!$AL$16="Y","Y","")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Plan'!$AB$16)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Plan'!$H$16+(0)</f>
        <v>46403</v>
      </c>
      <c r="J129" s="373" t="n">
        <f aca="false">'Master Plan'!$H$16+(0)</f>
        <v>46403</v>
      </c>
      <c r="K129" s="78"/>
      <c r="L129" s="78" t="str">
        <f aca="false">IF(ISNUMBER(อัปเดตรายสัปดาห์!$AM$16),อัปเดตรายสัปดาห์!$AM$16,"")</f>
        <v/>
      </c>
      <c r="M129" s="374" t="str">
        <f aca="false">IF(อัปเดตรายสัปดาห์!$AM$16="Y","Y","")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Plan'!$H$16+(0)</f>
        <v>46403</v>
      </c>
      <c r="J130" s="373" t="n">
        <f aca="false">'Master Plan'!$H$16+(0)</f>
        <v>46403</v>
      </c>
      <c r="K130" s="78"/>
      <c r="L130" s="78" t="str">
        <f aca="false">IF(ISNUMBER(อัปเดตรายสัปดาห์!$AN$16),อัปเดตรายสัปดาห์!$AN$16,"")</f>
        <v/>
      </c>
      <c r="M130" s="374" t="str">
        <f aca="false">IF(อัปเดตรายสัปดาห์!$AN$16="Y","Y","")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77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Plan'!$H$16+(34)</f>
        <v>46437</v>
      </c>
      <c r="J131" s="373" t="n">
        <f aca="false">'Master Plan'!$H$16+(36)</f>
        <v>46439</v>
      </c>
      <c r="K131" s="78"/>
      <c r="L131" s="78" t="str">
        <f aca="false">IF(ISNUMBER(อัปเดตรายสัปดาห์!$AO$16),อัปเดตรายสัปดาห์!$AO$16,"")</f>
        <v/>
      </c>
      <c r="M131" s="374" t="str">
        <f aca="false">IF(อัปเดตรายสัปดาห์!$AO$16="Y","Y","")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SUMPRODUCT((SITE_ST="P9-009")*(SITE_TYPE=$B136)*(SITE_TYPE&lt;&gt;""))</f>
        <v>0</v>
      </c>
      <c r="E136" s="397" t="n">
        <f aca="false">SUMPRODUCT((SITE_ST="P9-009")*(SITE_TYPE=$B136)*SITE_MOD)</f>
        <v>0</v>
      </c>
      <c r="I136" s="398" t="n">
        <f aca="false">SUMPRODUCT((SITE_ST="P9-009")*(SITE_TYPE=$B136)*SITE_KWP)</f>
        <v>0</v>
      </c>
      <c r="J136" s="35" t="str">
        <f aca="false">IF(SUMPRODUCT((SITE_ST="P9-009")*(SITE_TYPE=$B136)*(SITE_TYPE&lt;&gt;""))=0,"",SUMPRODUCT((SITE_ST="P9-009")*(SITE_TYPE=$B136)*SITE_S21*SITE_D21)/MAX(0.0001,SUMPRODUCT((SITE_ST="P9-009")*(SITE_TYPE=$B136)*SITE_S21)))</f>
        <v/>
      </c>
      <c r="K136" s="32" t="str">
        <f aca="false">IF(SUMPRODUCT((SITE_ST="P9-009")*(SITE_TYPE=$B136)*(SITE_TYPE&lt;&gt;""))=0,"",SUMPRODUCT((SITE_ST="P9-009")*(SITE_TYPE=$B136)*(SITE_TYPE&lt;&gt;"")*(SITE_T22="Y"))&amp;"/"&amp;SUMPRODUCT((SITE_ST="P9-009")*(SITE_TYPE=$B136)*(SITE_TYPE&lt;&gt;"")))</f>
        <v/>
      </c>
      <c r="L136" s="32" t="str">
        <f aca="false">IF(SUMPRODUCT((SITE_ST="P9-009")*(SITE_TYPE=$B136)*(SITE_TYPE&lt;&gt;""))=0,"",SUMPRODUCT((SITE_ST="P9-009")*(SITE_TYPE=$B136)*(SITE_TYPE&lt;&gt;"")*(SITE_T23="Y"))&amp;"/"&amp;SUMPRODUCT((SITE_ST="P9-009")*(SITE_TYPE=$B136)*(SITE_TYPE&lt;&gt;"")))</f>
        <v/>
      </c>
      <c r="O136" s="32" t="str">
        <f aca="false">IF(SUMPRODUCT((SITE_ST="P9-009")*(SITE_TYPE=$B136)*(LEFT(SITE_LAD,4)="ติด:"))=0,"",SUMPRODUCT((SITE_ST="P9-009")*(SITE_TYPE=$B136)*(LEFT(SITE_LAD,4)="ติด:"))&amp;"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SUMPRODUCT((SITE_ST="P9-009")*(SITE_TYPE=$B137)*(SITE_TYPE&lt;&gt;""))</f>
        <v>0</v>
      </c>
      <c r="E137" s="397" t="n">
        <f aca="false">SUMPRODUCT((SITE_ST="P9-009")*(SITE_TYPE=$B137)*SITE_MOD)</f>
        <v>0</v>
      </c>
      <c r="I137" s="398" t="n">
        <f aca="false">SUMPRODUCT((SITE_ST="P9-009")*(SITE_TYPE=$B137)*SITE_KWP)</f>
        <v>0</v>
      </c>
      <c r="J137" s="35" t="str">
        <f aca="false">IF(SUMPRODUCT((SITE_ST="P9-009")*(SITE_TYPE=$B137)*(SITE_TYPE&lt;&gt;""))=0,"",SUMPRODUCT((SITE_ST="P9-009")*(SITE_TYPE=$B137)*SITE_S21*SITE_D21)/MAX(0.0001,SUMPRODUCT((SITE_ST="P9-009")*(SITE_TYPE=$B137)*SITE_S21)))</f>
        <v/>
      </c>
      <c r="K137" s="32" t="str">
        <f aca="false">IF(SUMPRODUCT((SITE_ST="P9-009")*(SITE_TYPE=$B137)*(SITE_TYPE&lt;&gt;""))=0,"",SUMPRODUCT((SITE_ST="P9-009")*(SITE_TYPE=$B137)*(SITE_TYPE&lt;&gt;"")*(SITE_T22="Y"))&amp;"/"&amp;SUMPRODUCT((SITE_ST="P9-009")*(SITE_TYPE=$B137)*(SITE_TYPE&lt;&gt;"")))</f>
        <v/>
      </c>
      <c r="L137" s="32" t="str">
        <f aca="false">IF(SUMPRODUCT((SITE_ST="P9-009")*(SITE_TYPE=$B137)*(SITE_TYPE&lt;&gt;""))=0,"",SUMPRODUCT((SITE_ST="P9-009")*(SITE_TYPE=$B137)*(SITE_TYPE&lt;&gt;"")*(SITE_T23="Y"))&amp;"/"&amp;SUMPRODUCT((SITE_ST="P9-009")*(SITE_TYPE=$B137)*(SITE_TYPE&lt;&gt;"")))</f>
        <v/>
      </c>
      <c r="O137" s="32" t="str">
        <f aca="false">IF(SUMPRODUCT((SITE_ST="P9-009")*(SITE_TYPE=$B137)*(LEFT(SITE_LAD,4)="ติด:"))=0,"",SUMPRODUCT((SITE_ST="P9-009")*(SITE_TYPE=$B137)*(LEFT(SITE_LAD,4)="ติด:"))&amp;"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SUMPRODUCT((SITE_ST="P9-009")*(SITE_TYPE=$B138)*(SITE_TYPE&lt;&gt;""))</f>
        <v>0</v>
      </c>
      <c r="E138" s="397" t="n">
        <f aca="false">SUMPRODUCT((SITE_ST="P9-009")*(SITE_TYPE=$B138)*SITE_MOD)</f>
        <v>0</v>
      </c>
      <c r="I138" s="398" t="n">
        <f aca="false">SUMPRODUCT((SITE_ST="P9-009")*(SITE_TYPE=$B138)*SITE_KWP)</f>
        <v>0</v>
      </c>
      <c r="J138" s="35" t="str">
        <f aca="false">IF(SUMPRODUCT((SITE_ST="P9-009")*(SITE_TYPE=$B138)*(SITE_TYPE&lt;&gt;""))=0,"",SUMPRODUCT((SITE_ST="P9-009")*(SITE_TYPE=$B138)*SITE_S21*SITE_D21)/MAX(0.0001,SUMPRODUCT((SITE_ST="P9-009")*(SITE_TYPE=$B138)*SITE_S21)))</f>
        <v/>
      </c>
      <c r="K138" s="32" t="str">
        <f aca="false">IF(SUMPRODUCT((SITE_ST="P9-009")*(SITE_TYPE=$B138)*(SITE_TYPE&lt;&gt;""))=0,"",SUMPRODUCT((SITE_ST="P9-009")*(SITE_TYPE=$B138)*(SITE_TYPE&lt;&gt;"")*(SITE_T22="Y"))&amp;"/"&amp;SUMPRODUCT((SITE_ST="P9-009")*(SITE_TYPE=$B138)*(SITE_TYPE&lt;&gt;"")))</f>
        <v/>
      </c>
      <c r="L138" s="32" t="str">
        <f aca="false">IF(SUMPRODUCT((SITE_ST="P9-009")*(SITE_TYPE=$B138)*(SITE_TYPE&lt;&gt;""))=0,"",SUMPRODUCT((SITE_ST="P9-009")*(SITE_TYPE=$B138)*(SITE_TYPE&lt;&gt;"")*(SITE_T23="Y"))&amp;"/"&amp;SUMPRODUCT((SITE_ST="P9-009")*(SITE_TYPE=$B138)*(SITE_TYPE&lt;&gt;"")))</f>
        <v/>
      </c>
      <c r="O138" s="32" t="str">
        <f aca="false">IF(SUMPRODUCT((SITE_ST="P9-009")*(SITE_TYPE=$B138)*(LEFT(SITE_LAD,4)="ติด:"))=0,"",SUMPRODUCT((SITE_ST="P9-009")*(SITE_TYPE=$B138)*(LEFT(SITE_LAD,4)="ติด:"))&amp;"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SUMPRODUCT((SITE_ST="P9-009")*(SITE_TYPE=$B139)*(SITE_TYPE&lt;&gt;""))</f>
        <v>1</v>
      </c>
      <c r="E139" s="397" t="n">
        <f aca="false">SUMPRODUCT((SITE_ST="P9-009")*(SITE_TYPE=$B139)*SITE_MOD)</f>
        <v>264</v>
      </c>
      <c r="I139" s="398" t="n">
        <f aca="false">SUMPRODUCT((SITE_ST="P9-009")*(SITE_TYPE=$B139)*SITE_KWP)</f>
        <v>150.48</v>
      </c>
      <c r="J139" s="35" t="n">
        <f aca="false">IF(SUMPRODUCT((SITE_ST="P9-009")*(SITE_TYPE=$B139)*(SITE_TYPE&lt;&gt;""))=0,"",SUMPRODUCT((SITE_ST="P9-009")*(SITE_TYPE=$B139)*SITE_S21*SITE_D21)/MAX(0.0001,SUMPRODUCT((SITE_ST="P9-009")*(SITE_TYPE=$B139)*SITE_S21)))</f>
        <v>0</v>
      </c>
      <c r="K139" s="32" t="str">
        <f aca="false">IF(SUMPRODUCT((SITE_ST="P9-009")*(SITE_TYPE=$B139)*(SITE_TYPE&lt;&gt;""))=0,"",SUMPRODUCT((SITE_ST="P9-009")*(SITE_TYPE=$B139)*(SITE_TYPE&lt;&gt;"")*(SITE_T22="Y"))&amp;"/"&amp;SUMPRODUCT((SITE_ST="P9-009")*(SITE_TYPE=$B139)*(SITE_TYPE&lt;&gt;"")))</f>
        <v>0/1</v>
      </c>
      <c r="L139" s="32" t="str">
        <f aca="false">IF(SUMPRODUCT((SITE_ST="P9-009")*(SITE_TYPE=$B139)*(SITE_TYPE&lt;&gt;""))=0,"",SUMPRODUCT((SITE_ST="P9-009")*(SITE_TYPE=$B139)*(SITE_TYPE&lt;&gt;"")*(SITE_T23="Y"))&amp;"/"&amp;SUMPRODUCT((SITE_ST="P9-009")*(SITE_TYPE=$B139)*(SITE_TYPE&lt;&gt;"")))</f>
        <v>0/1</v>
      </c>
      <c r="O139" s="32" t="str">
        <f aca="false">IF(SUMPRODUCT((SITE_ST="P9-009")*(SITE_TYPE=$B139)*(LEFT(SITE_LAD,4)="ติด:"))=0,"",SUMPRODUCT((SITE_ST="P9-009")*(SITE_TYPE=$B139)*(LEFT(SITE_LAD,4)="ติด:"))&amp;" จุด")</f>
        <v>1 จุด</v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SUMPRODUCT((SITE_ST="P9-009")*(SITE_TYPE=$B140)*(SITE_TYPE&lt;&gt;""))</f>
        <v>0</v>
      </c>
      <c r="E140" s="397" t="n">
        <f aca="false">SUMPRODUCT((SITE_ST="P9-009")*(SITE_TYPE=$B140)*SITE_MOD)</f>
        <v>0</v>
      </c>
      <c r="I140" s="398" t="n">
        <f aca="false">SUMPRODUCT((SITE_ST="P9-009")*(SITE_TYPE=$B140)*SITE_KWP)</f>
        <v>0</v>
      </c>
      <c r="J140" s="35" t="str">
        <f aca="false">IF(SUMPRODUCT((SITE_ST="P9-009")*(SITE_TYPE=$B140)*(SITE_TYPE&lt;&gt;""))=0,"",SUMPRODUCT((SITE_ST="P9-009")*(SITE_TYPE=$B140)*SITE_S21*SITE_D21)/MAX(0.0001,SUMPRODUCT((SITE_ST="P9-009")*(SITE_TYPE=$B140)*SITE_S21)))</f>
        <v/>
      </c>
      <c r="K140" s="32" t="str">
        <f aca="false">IF(SUMPRODUCT((SITE_ST="P9-009")*(SITE_TYPE=$B140)*(SITE_TYPE&lt;&gt;""))=0,"",SUMPRODUCT((SITE_ST="P9-009")*(SITE_TYPE=$B140)*(SITE_TYPE&lt;&gt;"")*(SITE_T22="Y"))&amp;"/"&amp;SUMPRODUCT((SITE_ST="P9-009")*(SITE_TYPE=$B140)*(SITE_TYPE&lt;&gt;"")))</f>
        <v/>
      </c>
      <c r="L140" s="32" t="str">
        <f aca="false">IF(SUMPRODUCT((SITE_ST="P9-009")*(SITE_TYPE=$B140)*(SITE_TYPE&lt;&gt;""))=0,"",SUMPRODUCT((SITE_ST="P9-009")*(SITE_TYPE=$B140)*(SITE_TYPE&lt;&gt;"")*(SITE_T23="Y"))&amp;"/"&amp;SUMPRODUCT((SITE_ST="P9-009")*(SITE_TYPE=$B140)*(SITE_TYPE&lt;&gt;"")))</f>
        <v/>
      </c>
      <c r="O140" s="32" t="str">
        <f aca="false">IF(SUMPRODUCT((SITE_ST="P9-009")*(SITE_TYPE=$B140)*(LEFT(SITE_LAD,4)="ติด:"))=0,"",SUMPRODUCT((SITE_ST="P9-009")*(SITE_TYPE=$B140)*(LEFT(SITE_LAD,4)="ติด:"))&amp;"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SUMPRODUCT((SITE_ST="P9-009")*(SITE_TYPE=$B141)*(SITE_TYPE&lt;&gt;""))</f>
        <v>0</v>
      </c>
      <c r="E141" s="397" t="n">
        <f aca="false">SUMPRODUCT((SITE_ST="P9-009")*(SITE_TYPE=$B141)*SITE_MOD)</f>
        <v>0</v>
      </c>
      <c r="I141" s="398" t="n">
        <f aca="false">SUMPRODUCT((SITE_ST="P9-009")*(SITE_TYPE=$B141)*SITE_KWP)</f>
        <v>0</v>
      </c>
      <c r="J141" s="35" t="str">
        <f aca="false">IF(SUMPRODUCT((SITE_ST="P9-009")*(SITE_TYPE=$B141)*(SITE_TYPE&lt;&gt;""))=0,"",SUMPRODUCT((SITE_ST="P9-009")*(SITE_TYPE=$B141)*SITE_S21*SITE_D21)/MAX(0.0001,SUMPRODUCT((SITE_ST="P9-009")*(SITE_TYPE=$B141)*SITE_S21)))</f>
        <v/>
      </c>
      <c r="K141" s="32" t="str">
        <f aca="false">IF(SUMPRODUCT((SITE_ST="P9-009")*(SITE_TYPE=$B141)*(SITE_TYPE&lt;&gt;""))=0,"",SUMPRODUCT((SITE_ST="P9-009")*(SITE_TYPE=$B141)*(SITE_TYPE&lt;&gt;"")*(SITE_T22="Y"))&amp;"/"&amp;SUMPRODUCT((SITE_ST="P9-009")*(SITE_TYPE=$B141)*(SITE_TYPE&lt;&gt;"")))</f>
        <v/>
      </c>
      <c r="L141" s="32" t="str">
        <f aca="false">IF(SUMPRODUCT((SITE_ST="P9-009")*(SITE_TYPE=$B141)*(SITE_TYPE&lt;&gt;""))=0,"",SUMPRODUCT((SITE_ST="P9-009")*(SITE_TYPE=$B141)*(SITE_TYPE&lt;&gt;"")*(SITE_T23="Y"))&amp;"/"&amp;SUMPRODUCT((SITE_ST="P9-009")*(SITE_TYPE=$B141)*(SITE_TYPE&lt;&gt;"")))</f>
        <v/>
      </c>
      <c r="O141" s="32" t="str">
        <f aca="false">IF(SUMPRODUCT((SITE_ST="P9-009")*(SITE_TYPE=$B141)*(LEFT(SITE_LAD,4)="ติด:"))=0,"",SUMPRODUCT((SITE_ST="P9-009")*(SITE_TYPE=$B141)*(LEFT(SITE_LAD,4)="ติด:"))&amp;"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SUMPRODUCT((SITE_ST="P9-009")*(SITE_TYPE&lt;&gt;""))</f>
        <v>1</v>
      </c>
      <c r="E142" s="403" t="n">
        <f aca="false">SUMPRODUCT((SITE_ST="P9-009")*SITE_MOD)</f>
        <v>264</v>
      </c>
      <c r="I142" s="404" t="n">
        <f aca="false">SUMPRODUCT((SITE_ST="P9-009")*SITE_KWP)</f>
        <v>150.48</v>
      </c>
      <c r="J142" s="405" t="n">
        <f aca="false">IF(SUMPRODUCT((SITE_ST="P9-009")*(SITE_TYPE&lt;&gt;""))=0,"",SUMPRODUCT((SITE_ST="P9-009")*SITE_S21*SITE_D21)/MAX(0.0001,SUMPRODUCT((SITE_ST="P9-009")*SITE_S21)))</f>
        <v>0</v>
      </c>
      <c r="K142" s="406" t="str">
        <f aca="false">IF(SUMPRODUCT((SITE_ST="P9-009")*(SITE_TYPE&lt;&gt;""))=0,"",SUMPRODUCT((SITE_ST="P9-009")*(SITE_TYPE&lt;&gt;"")*(SITE_T22="Y"))&amp;"/"&amp;SUMPRODUCT((SITE_ST="P9-009")*(SITE_TYPE&lt;&gt;"")))</f>
        <v>0/1</v>
      </c>
      <c r="L142" s="406" t="str">
        <f aca="false">IF(SUMPRODUCT((SITE_ST="P9-009")*(SITE_TYPE&lt;&gt;""))=0,"",SUMPRODUCT((SITE_ST="P9-009")*(SITE_TYPE&lt;&gt;"")*(SITE_T23="Y"))&amp;"/"&amp;SUMPRODUCT((SITE_ST="P9-009")*(SITE_TYPE&lt;&gt;"")))</f>
        <v>0/1</v>
      </c>
      <c r="O142" s="406" t="str">
        <f aca="false">IF(SUMPRODUCT((SITE_ST="P9-009")*(LEFT(SITE_LAD,4)="ติด:"))=0,"",SUMPRODUCT((SITE_ST="P9-009")*(LEFT(SITE_LAD,4)="ติด:"))&amp;" จุด")</f>
        <v>1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IFERROR(INDEX(INVS_TYPE,MATCH("P9-009",INVS_ID,0))&amp;"","")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ทั้งก้อน",IFERROR(INDEX(INVS_SET,MATCH("P9-009",INVS_ID,0)),"")&amp;" kW, โรงเรือน "&amp;IFERROR(INDEX(INVS_SIZE,MATCH("P9-009",INVS_ID,0)),"")&amp;",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6" display="✎ กรอกความคืบหน้า"/>
    <hyperlink ref="R4" location="'Master Plan'!A16" display="← กลับ Master Plan"/>
    <hyperlink ref="M10" location="'อัปเดตงาน WBS'!L6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3"/>
    <hyperlink ref="M11" location="'อัปเดตงาน WBS'!L6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4"/>
    <hyperlink ref="M12" location="'อัปเดตงาน WBS'!L6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5"/>
    <hyperlink ref="M13" location="'อัปเดตงาน WBS'!L6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6"/>
    <hyperlink ref="M14" location="'อัปเดตงาน WBS'!L6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7"/>
    <hyperlink ref="M15" location="'อัปเดตงาน WBS'!L6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8"/>
    <hyperlink ref="M17" location="'อัปเดตงาน WBS'!L6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69"/>
    <hyperlink ref="M18" location="'อัปเดตงาน WBS'!L6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0"/>
    <hyperlink ref="M19" location="'อัปเดตงาน WBS'!L6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1"/>
    <hyperlink ref="M20" location="'อัปเดตงาน WBS'!L6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2"/>
    <hyperlink ref="M21" location="'อัปเดตงาน WBS'!L6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3"/>
    <hyperlink ref="M22" location="'อัปเดตงาน WBS'!L6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4"/>
    <hyperlink ref="M23" location="'อัปเดตงาน WBS'!L6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5"/>
    <hyperlink ref="M24" location="'อัปเดตงาน WBS'!L6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6"/>
    <hyperlink ref="M26" location="'อัปเดตงาน WBS'!L6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7"/>
    <hyperlink ref="M27" location="'อัปเดตงาน WBS'!L6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8"/>
    <hyperlink ref="M28" location="'อัปเดตงาน WBS'!L6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79"/>
    <hyperlink ref="M31" location="'อัปเดตงาน WBS'!L6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0"/>
    <hyperlink ref="M32" location="'อัปเดตงาน WBS'!L6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1"/>
    <hyperlink ref="M33" location="'อัปเดตงาน WBS'!L6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2"/>
    <hyperlink ref="M35" location="'อัปเดตงาน WBS'!L6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3"/>
    <hyperlink ref="M36" location="'อัปเดตงาน WBS'!L6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4"/>
    <hyperlink ref="M37" location="'อัปเดตงาน WBS'!L6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5"/>
    <hyperlink ref="M38" location="'อัปเดตงาน WBS'!L6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6"/>
    <hyperlink ref="M40" location="'อัปเดตงาน WBS'!L6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7"/>
    <hyperlink ref="M41" location="'อัปเดตงาน WBS'!L6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8"/>
    <hyperlink ref="M42" location="'อัปเดตงาน WBS'!L6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89"/>
    <hyperlink ref="M44" location="'อัปเดตงาน WBS'!L6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0"/>
    <hyperlink ref="M45" location="'อัปเดตงาน WBS'!L6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1"/>
    <hyperlink ref="M46" location="'อัปเดตงาน WBS'!L6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2"/>
    <hyperlink ref="M53" location="'อัปเดตงาน WBS'!L6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3"/>
    <hyperlink ref="M54" location="'อัปเดตงาน WBS'!L6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4"/>
    <hyperlink ref="M63" location="'อัปเดตงาน WBS'!L6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5"/>
    <hyperlink ref="M64" location="'อัปเดตงาน WBS'!L6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6"/>
    <hyperlink ref="M65" location="'อัปเดตงาน WBS'!L6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7"/>
    <hyperlink ref="M66" location="'อัปเดตงาน WBS'!L6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8"/>
    <hyperlink ref="M67" location="'อัปเดตงาน WBS'!L6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699"/>
    <hyperlink ref="M68" location="'อัปเดตงาน WBS'!L7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0"/>
    <hyperlink ref="M69" location="'อัปเดตงาน WBS'!L7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1"/>
    <hyperlink ref="M71" location="'อัปเดตงาน WBS'!L7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2"/>
    <hyperlink ref="M72" location="'อัปเดตงาน WBS'!L7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3"/>
    <hyperlink ref="M73" location="'อัปเดตงาน WBS'!L7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4"/>
    <hyperlink ref="M74" location="'อัปเดตงาน WBS'!L7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5"/>
    <hyperlink ref="M75" location="'อัปเดตงาน WBS'!L7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6"/>
    <hyperlink ref="M77" location="'อัปเดตงาน WBS'!L7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7"/>
    <hyperlink ref="M78" location="'อัปเดตงาน WBS'!L7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8"/>
    <hyperlink ref="M79" location="'อัปเดตงาน WBS'!L7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09"/>
    <hyperlink ref="M80" location="'อัปเดตงาน WBS'!L7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0"/>
    <hyperlink ref="M81" location="'อัปเดตงาน WBS'!L7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1"/>
    <hyperlink ref="M83" location="'อัปเดตงาน WBS'!L7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2"/>
    <hyperlink ref="M84" location="'อัปเดตงาน WBS'!L7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3"/>
    <hyperlink ref="M86" location="'อัปเดตงาน WBS'!L7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4"/>
    <hyperlink ref="M87" location="'อัปเดตงาน WBS'!L7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5"/>
    <hyperlink ref="M88" location="'อัปเดตงาน WBS'!L7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6"/>
    <hyperlink ref="M89" location="'อัปเดตงาน WBS'!L7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7"/>
    <hyperlink ref="M91" location="'อัปเดตงาน WBS'!L7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8"/>
    <hyperlink ref="M92" location="'อัปเดตงาน WBS'!L7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19"/>
    <hyperlink ref="M93" location="'อัปเดตงาน WBS'!L7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0"/>
    <hyperlink ref="M94" location="'อัปเดตงาน WBS'!L7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1"/>
    <hyperlink ref="M95" location="'อัปเดตงาน WBS'!L7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2"/>
    <hyperlink ref="M97" location="'อัปเดตงาน WBS'!L7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3"/>
    <hyperlink ref="M98" location="'อัปเดตงาน WBS'!L7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4"/>
    <hyperlink ref="M99" location="'อัปเดตงาน WBS'!L7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5"/>
    <hyperlink ref="M102" location="'อัปเดตงาน WBS'!L7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6"/>
    <hyperlink ref="M104" location="'อัปเดตงาน WBS'!L7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7"/>
    <hyperlink ref="M105" location="'อัปเดตงาน WBS'!L7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8"/>
    <hyperlink ref="M106" location="'อัปเดตงาน WBS'!L7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29"/>
    <hyperlink ref="M108" location="'อัปเดตงาน WBS'!L7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0"/>
    <hyperlink ref="M109" location="'อัปเดตงาน WBS'!L7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1"/>
    <hyperlink ref="M110" location="'อัปเดตงาน WBS'!L7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2"/>
    <hyperlink ref="M112" location="'อัปเดตงาน WBS'!L7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3"/>
    <hyperlink ref="M113" location="'อัปเดตงาน WBS'!L7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4"/>
    <hyperlink ref="M116" location="'อัปเดตงาน WBS'!L7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5"/>
    <hyperlink ref="M117" location="'อัปเดตงาน WBS'!L7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6"/>
    <hyperlink ref="M118" location="'อัปเดตงาน WBS'!L7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7"/>
    <hyperlink ref="M119" location="'อัปเดตงาน WBS'!L7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8"/>
    <hyperlink ref="M120" location="'อัปเดตงาน WBS'!L7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39"/>
    <hyperlink ref="M121" location="'อัปเดตงาน WBS'!L7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0"/>
    <hyperlink ref="M125" location="'อัปเดตงาน WBS'!L7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1"/>
    <hyperlink ref="M126" location="'อัปเดตงาน WBS'!L7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2"/>
    <hyperlink ref="M127" location="'อัปเดตงาน WBS'!L7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3"/>
    <hyperlink ref="D134" location="'จุดติดตั้ง'!A47" display="✎ เพิ่ม / แก้จุดติดตั้ง →"/>
    <hyperlink ref="D146" location="'Inverter station'!A14" display="file:///home/claude/dash/template/%E0%B9%81%E0%B8%A1%E0%B9%88%E0%B9%81%E0%B8%9A%E0%B8%9A%E0%B9%82%E0%B8%84%E0%B8%A3%E0%B8%87%E0%B8%81%E0%B8%B2%E0%B8%A3%20TCRoof%20(%E0%B8%97%E0%B8%B8%E0%B8%81%E0%B8%81%E0%B8%A3%E0%B8%93%E0%B8%B5).xlsx#'Inverter station'!A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6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3704</v>
      </c>
    </row>
    <row r="2" customFormat="false" ht="15" hidden="false" customHeight="false" outlineLevel="0" collapsed="false">
      <c r="A2" s="354" t="s">
        <v>3705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Plan'!$AI$17</f>
        <v>-36</v>
      </c>
      <c r="M4" s="360"/>
      <c r="N4" s="360" t="n">
        <f aca="false">'Master Plan'!$AJ$17</f>
        <v>-3</v>
      </c>
      <c r="O4" s="360"/>
      <c r="P4" s="361" t="str">
        <f aca="false">'Master Plan'!$AK$17&amp;" / "&amp;'Master Plan'!$AL$17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COUNTIFS(CR_ST,"P9-010",CR_STAT,"อนุมัติ")&amp;" รายการ, "&amp;'Master Plan'!$AO$17&amp;" วัน"</f>
        <v>0 รายการ, 0 วัน</v>
      </c>
      <c r="AG4" s="362"/>
      <c r="AH4" s="362"/>
      <c r="AI4" s="362"/>
      <c r="AJ4" s="362"/>
      <c r="AK4" s="363" t="n">
        <f aca="false">COUNTIFS(CR_ST,"P9-010",CR_STAT,"รออนุมัติ")+COUNTIFS(CR_ST,"P9-010",CR_STAT,"ขอข้อมูลเพิ่ม")</f>
        <v>0</v>
      </c>
      <c r="AL4" s="363"/>
      <c r="AM4" s="363"/>
      <c r="AN4" s="363"/>
      <c r="AO4" s="363"/>
      <c r="AP4" s="362" t="str">
        <f aca="false">COUNTIF(RW_ST,"P9-010")&amp;" ("&amp;COUNTIFS(RW_ST,"P9-010",RW_DONE,"&lt;&gt;Y")&amp;")"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COUNTIF(LL_ST,"*P9-010*")</f>
        <v>0</v>
      </c>
      <c r="BA4" s="363"/>
      <c r="BB4" s="363"/>
      <c r="BC4" s="363"/>
      <c r="BD4" s="363"/>
      <c r="BE4" s="362" t="str">
        <f aca="false">IF(COUNTIFS(SITE_ST,"P9-010",SITE_TYPE,"?*")=0,"ประมาณการ,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IF(COUNTIFS(SITE_ST,"P9-010",SITE_TYPE,"?*")=0,"ยังไม่ระบุจุด",COUNTIFS(SITE_ST,"P9-010",SITE_LAD,"ติด:*")&amp;" จุด"&amp;IF(COUNTIFS(SITE_ST,"P9-010",SITE_LAD,"⚠*")&gt;0,", ⚠ กรอกความสูง",""))</f>
        <v>1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3706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81</v>
      </c>
      <c r="E9" s="372" t="n">
        <v>0</v>
      </c>
      <c r="F9" s="31"/>
      <c r="G9" s="32"/>
      <c r="H9" s="32" t="n">
        <v>1</v>
      </c>
      <c r="I9" s="373" t="n">
        <f aca="false">'Master Plan'!$H$17+(-75)</f>
        <v>46328</v>
      </c>
      <c r="J9" s="373" t="n">
        <f aca="false">'Master Plan'!$H$17+(50)</f>
        <v>46453</v>
      </c>
      <c r="K9" s="78"/>
      <c r="L9" s="78" t="str">
        <f aca="false">IF(ISNUMBER(อัปเดตรายสัปดาห์!$G$17),อัปเดตรายสัปดาห์!$G$17,"")</f>
        <v/>
      </c>
      <c r="M9" s="374" t="str">
        <f aca="false">IF(อัปเดตรายสัปดาห์!$G$17="Y","Y","")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Plan'!$H$17+(-75)</f>
        <v>46328</v>
      </c>
      <c r="J10" s="382" t="n">
        <f aca="false">'Master Plan'!$H$17+(-63)</f>
        <v>46340</v>
      </c>
      <c r="K10" s="387"/>
      <c r="L10" s="387"/>
      <c r="M10" s="383" t="str">
        <f aca="false">IF('อัปเดตงาน WBS'!$L$744="","",'อัปเดตงาน WBS'!$L$744)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Plan'!$H$17+(-75)</f>
        <v>46328</v>
      </c>
      <c r="J11" s="382" t="n">
        <f aca="false">'Master Plan'!$H$17+(-63)</f>
        <v>46340</v>
      </c>
      <c r="K11" s="387"/>
      <c r="L11" s="387"/>
      <c r="M11" s="383" t="str">
        <f aca="false">IF('อัปเดตงาน WBS'!$L$745="","",'อัปเดตงาน WBS'!$L$745)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Plan'!$H$17+(-75)</f>
        <v>46328</v>
      </c>
      <c r="J12" s="382" t="n">
        <f aca="false">'Master Plan'!$H$17+(-63)</f>
        <v>46340</v>
      </c>
      <c r="K12" s="387"/>
      <c r="L12" s="387"/>
      <c r="M12" s="383" t="str">
        <f aca="false">IF('อัปเดตงาน WBS'!$L$746="","",'อัปเดตงาน WBS'!$L$746)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Plan'!$H$17+(-75)</f>
        <v>46328</v>
      </c>
      <c r="J13" s="382" t="n">
        <f aca="false">'Master Plan'!$H$17+(-56)</f>
        <v>46347</v>
      </c>
      <c r="K13" s="387"/>
      <c r="L13" s="387"/>
      <c r="M13" s="383" t="str">
        <f aca="false">IF('อัปเดตงาน WBS'!$L$747="","",'อัปเดตงาน WBS'!$L$747)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Plan'!$H$17+(-63)</f>
        <v>46340</v>
      </c>
      <c r="J14" s="382" t="n">
        <f aca="false">'Master Plan'!$H$17+(50)</f>
        <v>46453</v>
      </c>
      <c r="K14" s="387"/>
      <c r="L14" s="387"/>
      <c r="M14" s="383" t="str">
        <f aca="false">IF('อัปเดตงาน WBS'!$L$748="","",'อัปเดตงาน WBS'!$L$748)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Plan'!$H$17+(-63)</f>
        <v>46340</v>
      </c>
      <c r="J15" s="382" t="n">
        <f aca="false">'Master Plan'!$H$17+(50)</f>
        <v>46453</v>
      </c>
      <c r="K15" s="387"/>
      <c r="L15" s="387"/>
      <c r="M15" s="383" t="str">
        <f aca="false">IF('อัปเดตงาน WBS'!$L$749="","",'อัปเดตงาน WBS'!$L$749)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Plan'!$H$17+(-56)</f>
        <v>46347</v>
      </c>
      <c r="J16" s="373" t="n">
        <f aca="false">'Master Plan'!$H$17+(-45)</f>
        <v>46358</v>
      </c>
      <c r="K16" s="78"/>
      <c r="L16" s="78" t="str">
        <f aca="false">IF(ISNUMBER(อัปเดตรายสัปดาห์!$H$17),อัปเดตรายสัปดาห์!$H$17,"")</f>
        <v/>
      </c>
      <c r="M16" s="374" t="str">
        <f aca="false">IF(อัปเดตรายสัปดาห์!$H$17="Y","Y","")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Plan'!$H$17+(-56)</f>
        <v>46347</v>
      </c>
      <c r="J17" s="382" t="n">
        <f aca="false">'Master Plan'!$H$17+(-54)</f>
        <v>46349</v>
      </c>
      <c r="K17" s="387"/>
      <c r="L17" s="387"/>
      <c r="M17" s="383" t="str">
        <f aca="false">IF('อัปเดตงาน WBS'!$L$750="","",'อัปเดตงาน WBS'!$L$750)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Plan'!$H$17+(-55)</f>
        <v>46348</v>
      </c>
      <c r="J18" s="382" t="n">
        <f aca="false">'Master Plan'!$H$17+(-52)</f>
        <v>46351</v>
      </c>
      <c r="K18" s="387"/>
      <c r="L18" s="387"/>
      <c r="M18" s="383" t="str">
        <f aca="false">IF('อัปเดตงาน WBS'!$L$751="","",'อัปเดตงาน WBS'!$L$751)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Plan'!$H$17+(-53)</f>
        <v>46350</v>
      </c>
      <c r="J19" s="382" t="n">
        <f aca="false">'Master Plan'!$H$17+(-48)</f>
        <v>46355</v>
      </c>
      <c r="K19" s="387"/>
      <c r="L19" s="387"/>
      <c r="M19" s="383" t="str">
        <f aca="false">IF('อัปเดตงาน WBS'!$L$752="","",'อัปเดตงาน WBS'!$L$752)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Plan'!$H$17+(-53)</f>
        <v>46350</v>
      </c>
      <c r="J20" s="382" t="n">
        <f aca="false">'Master Plan'!$H$17+(-48)</f>
        <v>46355</v>
      </c>
      <c r="K20" s="387"/>
      <c r="L20" s="387"/>
      <c r="M20" s="383" t="str">
        <f aca="false">IF('อัปเดตงาน WBS'!$L$753="","",'อัปเดตงาน WBS'!$L$753)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Plan'!$H$17+(-52)</f>
        <v>46351</v>
      </c>
      <c r="J21" s="382" t="n">
        <f aca="false">'Master Plan'!$H$17+(-47)</f>
        <v>46356</v>
      </c>
      <c r="K21" s="387"/>
      <c r="L21" s="387"/>
      <c r="M21" s="383" t="str">
        <f aca="false">IF('อัปเดตงาน WBS'!$L$754="","",'อัปเดตงาน WBS'!$L$754)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Plan'!$H$17+(-50)</f>
        <v>46353</v>
      </c>
      <c r="J22" s="382" t="n">
        <f aca="false">'Master Plan'!$H$17+(-46)</f>
        <v>46357</v>
      </c>
      <c r="K22" s="387"/>
      <c r="L22" s="387"/>
      <c r="M22" s="383" t="str">
        <f aca="false">IF('อัปเดตงาน WBS'!$L$755="","",'อัปเดตงาน WBS'!$L$755)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Plan'!$H$17+(-50)</f>
        <v>46353</v>
      </c>
      <c r="J23" s="382" t="n">
        <f aca="false">'Master Plan'!$H$17+(-45)</f>
        <v>46358</v>
      </c>
      <c r="K23" s="387"/>
      <c r="L23" s="387"/>
      <c r="M23" s="383" t="str">
        <f aca="false">IF('อัปเดตงาน WBS'!$L$756="","",'อัปเดตงาน WBS'!$L$756)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Plan'!$H$17+(-49)</f>
        <v>46354</v>
      </c>
      <c r="J24" s="382" t="n">
        <f aca="false">'Master Plan'!$H$17+(-45)</f>
        <v>46358</v>
      </c>
      <c r="K24" s="387"/>
      <c r="L24" s="387"/>
      <c r="M24" s="383" t="str">
        <f aca="false">IF('อัปเดตงาน WBS'!$L$757="","",'อัปเดตงาน WBS'!$L$757)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Plan'!$H$17+(-51)</f>
        <v>46352</v>
      </c>
      <c r="J25" s="373" t="n">
        <f aca="false">'Master Plan'!$H$17+(-51)</f>
        <v>46352</v>
      </c>
      <c r="K25" s="78"/>
      <c r="L25" s="78" t="str">
        <f aca="false">IF(ISNUMBER(อัปเดตรายสัปดาห์!$I$17),อัปเดตรายสัปดาห์!$I$17,"")</f>
        <v/>
      </c>
      <c r="M25" s="374" t="str">
        <f aca="false">IF(อัปเดตรายสัปดาห์!$I$17="Y","Y","")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Plan'!$H$17+(-51)</f>
        <v>46352</v>
      </c>
      <c r="J26" s="382" t="n">
        <f aca="false">'Master Plan'!$H$17+(-51)</f>
        <v>46352</v>
      </c>
      <c r="K26" s="387"/>
      <c r="L26" s="387"/>
      <c r="M26" s="383" t="str">
        <f aca="false">IF('อัปเดตงาน WBS'!$L$758="","",'อัปเดตงาน WBS'!$L$758)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Plan'!$H$17+(-51)</f>
        <v>46352</v>
      </c>
      <c r="J27" s="382" t="n">
        <f aca="false">'Master Plan'!$H$17+(-51)</f>
        <v>46352</v>
      </c>
      <c r="K27" s="387"/>
      <c r="L27" s="387"/>
      <c r="M27" s="383" t="str">
        <f aca="false">IF('อัปเดตงาน WBS'!$L$759="","",'อัปเดตงาน WBS'!$L$759)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Plan'!$H$17+(-51)</f>
        <v>46352</v>
      </c>
      <c r="J28" s="382" t="n">
        <f aca="false">'Master Plan'!$H$17+(-51)</f>
        <v>46352</v>
      </c>
      <c r="K28" s="387"/>
      <c r="L28" s="387"/>
      <c r="M28" s="383" t="str">
        <f aca="false">IF('อัปเดตงาน WBS'!$L$760="","",'อัปเดตงาน WBS'!$L$760)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81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Plan'!$H$17+(-75)</f>
        <v>46328</v>
      </c>
      <c r="J30" s="373" t="n">
        <f aca="false">'Master Plan'!$H$17+(-75)</f>
        <v>46328</v>
      </c>
      <c r="K30" s="78"/>
      <c r="L30" s="78" t="str">
        <f aca="false">IF(ISNUMBER(อัปเดตรายสัปดาห์!$J$17),อัปเดตรายสัปดาห์!$J$17,"")</f>
        <v/>
      </c>
      <c r="M30" s="374" t="str">
        <f aca="false">IF(อัปเดตรายสัปดาห์!$J$17="Y","Y","")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Plan'!$H$17+(-75)</f>
        <v>46328</v>
      </c>
      <c r="J31" s="382" t="n">
        <f aca="false">'Master Plan'!$H$17+(-75)</f>
        <v>46328</v>
      </c>
      <c r="K31" s="387"/>
      <c r="L31" s="387"/>
      <c r="M31" s="383" t="str">
        <f aca="false">IF('อัปเดตงาน WBS'!$L$761="","",'อัปเดตงาน WBS'!$L$761)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Plan'!$H$17+(-75)</f>
        <v>46328</v>
      </c>
      <c r="J32" s="382" t="n">
        <f aca="false">'Master Plan'!$H$17+(-75)</f>
        <v>46328</v>
      </c>
      <c r="K32" s="387"/>
      <c r="L32" s="387"/>
      <c r="M32" s="383" t="str">
        <f aca="false">IF('อัปเดตงาน WBS'!$L$762="","",'อัปเดตงาน WBS'!$L$762)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Plan'!$H$17+(-75)</f>
        <v>46328</v>
      </c>
      <c r="J33" s="382" t="n">
        <f aca="false">'Master Plan'!$H$17+(-75)</f>
        <v>46328</v>
      </c>
      <c r="K33" s="387"/>
      <c r="L33" s="387"/>
      <c r="M33" s="383" t="str">
        <f aca="false">IF('อัปเดตงาน WBS'!$L$763="","",'อัปเดตงาน WBS'!$L$763)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81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Plan'!$H$17+(-68)</f>
        <v>46335</v>
      </c>
      <c r="J34" s="373" t="n">
        <f aca="false">'Master Plan'!$H$17+(-59)</f>
        <v>46344</v>
      </c>
      <c r="K34" s="78"/>
      <c r="L34" s="78" t="str">
        <f aca="false">IF(ISNUMBER(อัปเดตรายสัปดาห์!$K$17),อัปเดตรายสัปดาห์!$K$17,"")</f>
        <v/>
      </c>
      <c r="M34" s="374" t="str">
        <f aca="false">IF(อัปเดตรายสัปดาห์!$K$17="Y","Y","")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Plan'!$H$17+(-68)</f>
        <v>46335</v>
      </c>
      <c r="J35" s="382" t="n">
        <f aca="false">'Master Plan'!$H$17+(-64)</f>
        <v>46339</v>
      </c>
      <c r="K35" s="387"/>
      <c r="L35" s="387"/>
      <c r="M35" s="383" t="str">
        <f aca="false">IF('อัปเดตงาน WBS'!$L$764="","",'อัปเดตงาน WBS'!$L$764)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Plan'!$H$17+(-68)</f>
        <v>46335</v>
      </c>
      <c r="J36" s="382" t="n">
        <f aca="false">'Master Plan'!$H$17+(-63)</f>
        <v>46340</v>
      </c>
      <c r="K36" s="387"/>
      <c r="L36" s="387"/>
      <c r="M36" s="383" t="str">
        <f aca="false">IF('อัปเดตงาน WBS'!$L$765="","",'อัปเดตงาน WBS'!$L$765)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Plan'!$H$17+(-65)</f>
        <v>46338</v>
      </c>
      <c r="J37" s="382" t="n">
        <f aca="false">'Master Plan'!$H$17+(-62)</f>
        <v>46341</v>
      </c>
      <c r="K37" s="387"/>
      <c r="L37" s="387"/>
      <c r="M37" s="383" t="str">
        <f aca="false">IF('อัปเดตงาน WBS'!$L$766="","",'อัปเดตงาน WBS'!$L$766)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Plan'!$H$17+(-63)</f>
        <v>46340</v>
      </c>
      <c r="J38" s="382" t="n">
        <f aca="false">'Master Plan'!$H$17+(-59)</f>
        <v>46344</v>
      </c>
      <c r="K38" s="387"/>
      <c r="L38" s="387"/>
      <c r="M38" s="383" t="str">
        <f aca="false">IF('อัปเดตงาน WBS'!$L$767="","",'อัปเดตงาน WBS'!$L$767)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81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Plan'!$H$17+(-45)</f>
        <v>46358</v>
      </c>
      <c r="J39" s="373" t="n">
        <f aca="false">'Master Plan'!$H$17+(-45)</f>
        <v>46358</v>
      </c>
      <c r="K39" s="78"/>
      <c r="L39" s="78" t="str">
        <f aca="false">IF(ISNUMBER(อัปเดตรายสัปดาห์!$L$17),อัปเดตรายสัปดาห์!$L$17,"")</f>
        <v/>
      </c>
      <c r="M39" s="374" t="str">
        <f aca="false">IF(อัปเดตรายสัปดาห์!$L$17="Y","Y","")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Plan'!$H$17+(-45)</f>
        <v>46358</v>
      </c>
      <c r="J40" s="382" t="n">
        <f aca="false">'Master Plan'!$H$17+(-45)</f>
        <v>46358</v>
      </c>
      <c r="K40" s="387"/>
      <c r="L40" s="387"/>
      <c r="M40" s="383" t="str">
        <f aca="false">IF('อัปเดตงาน WBS'!$L$768="","",'อัปเดตงาน WBS'!$L$768)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Plan'!$H$17+(-45)</f>
        <v>46358</v>
      </c>
      <c r="J41" s="382" t="n">
        <f aca="false">'Master Plan'!$H$17+(-45)</f>
        <v>46358</v>
      </c>
      <c r="K41" s="387"/>
      <c r="L41" s="387"/>
      <c r="M41" s="383" t="str">
        <f aca="false">IF('อัปเดตงาน WBS'!$L$769="","",'อัปเดตงาน WBS'!$L$769)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Plan'!$H$17+(-45)</f>
        <v>46358</v>
      </c>
      <c r="J42" s="382" t="n">
        <f aca="false">'Master Plan'!$H$17+(-45)</f>
        <v>46358</v>
      </c>
      <c r="K42" s="387"/>
      <c r="L42" s="387"/>
      <c r="M42" s="383" t="str">
        <f aca="false">IF('อัปเดตงาน WBS'!$L$770="","",'อัปเดตงาน WBS'!$L$770)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Plan'!$H$17+(-68)</f>
        <v>46335</v>
      </c>
      <c r="J43" s="373" t="n">
        <f aca="false">'Master Plan'!$H$17+(-55)</f>
        <v>46348</v>
      </c>
      <c r="K43" s="78"/>
      <c r="L43" s="78" t="str">
        <f aca="false">IF(ISNUMBER(อัปเดตรายสัปดาห์!$M$17),อัปเดตรายสัปดาห์!$M$17,"")</f>
        <v/>
      </c>
      <c r="M43" s="374" t="str">
        <f aca="false">IF(อัปเดตรายสัปดาห์!$M$17="Y","Y","")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Plan'!$H$17+(-68)</f>
        <v>46335</v>
      </c>
      <c r="J44" s="382" t="n">
        <f aca="false">'Master Plan'!$H$17+(-65)</f>
        <v>46338</v>
      </c>
      <c r="K44" s="387"/>
      <c r="L44" s="387"/>
      <c r="M44" s="383" t="str">
        <f aca="false">IF('อัปเดตงาน WBS'!$L$771="","",'อัปเดตงาน WBS'!$L$771)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Plan'!$H$17+(-67)</f>
        <v>46336</v>
      </c>
      <c r="J45" s="382" t="n">
        <f aca="false">'Master Plan'!$H$17+(-62)</f>
        <v>46341</v>
      </c>
      <c r="K45" s="387"/>
      <c r="L45" s="387"/>
      <c r="M45" s="383" t="str">
        <f aca="false">IF('อัปเดตงาน WBS'!$L$772="","",'อัปเดตงาน WBS'!$L$772)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Plan'!$H$17+(-62)</f>
        <v>46341</v>
      </c>
      <c r="J46" s="382" t="n">
        <f aca="false">'Master Plan'!$H$17+(-55)</f>
        <v>46348</v>
      </c>
      <c r="K46" s="387"/>
      <c r="L46" s="387"/>
      <c r="M46" s="383" t="str">
        <f aca="false">IF('อัปเดตงาน WBS'!$L$773="","",'อัปเดตงาน WBS'!$L$773)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Plan'!$H$17+(-12)</f>
        <v>46391</v>
      </c>
      <c r="J47" s="373" t="n">
        <f aca="false">'Master Plan'!$H$17+(-12)</f>
        <v>46391</v>
      </c>
      <c r="K47" s="78"/>
      <c r="L47" s="78" t="str">
        <f aca="false">IF(ISNUMBER(อัปเดตรายสัปดาห์!$N$17),อัปเดตรายสัปดาห์!$N$17,"")</f>
        <v/>
      </c>
      <c r="M47" s="374" t="str">
        <f aca="false">IF(อัปเดตรายสัปดาห์!$N$17="Y","Y","")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Plan'!$AG$17)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Plan'!$H$17+(-12)</f>
        <v>46391</v>
      </c>
      <c r="J48" s="382" t="n">
        <f aca="false">'Master Plan'!$H$17+(-12)</f>
        <v>46391</v>
      </c>
      <c r="K48" s="387"/>
      <c r="L48" s="387"/>
      <c r="M48" s="383" t="str">
        <f aca="false">IF('อัปเดตงาน WBS'!$L$774="","",'อัปเดตงาน WBS'!$L$774)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Plan'!$H$17+(-12)</f>
        <v>46391</v>
      </c>
      <c r="J49" s="382" t="n">
        <f aca="false">'Master Plan'!$H$17+(-12)</f>
        <v>46391</v>
      </c>
      <c r="K49" s="387"/>
      <c r="L49" s="387"/>
      <c r="M49" s="383" t="str">
        <f aca="false">IF('อัปเดตงาน WBS'!$L$775="","",'อัปเดตงาน WBS'!$L$775)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Plan'!$H$17+(-11)</f>
        <v>46392</v>
      </c>
      <c r="J50" s="373" t="n">
        <f aca="false">'Master Plan'!$H$17+(18)</f>
        <v>46421</v>
      </c>
      <c r="K50" s="78"/>
      <c r="L50" s="78" t="str">
        <f aca="false">IF(ISNUMBER(อัปเดตรายสัปดาห์!$O$17),อัปเดตรายสัปดาห์!$O$17,"")</f>
        <v/>
      </c>
      <c r="M50" s="374" t="str">
        <f aca="false">IF(อัปเดตรายสัปดาห์!$O$17="Y","Y","")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Plan'!$H$17+(-12)</f>
        <v>46391</v>
      </c>
      <c r="J51" s="382" t="n">
        <f aca="false">'Master Plan'!$H$17+(-12)</f>
        <v>46391</v>
      </c>
      <c r="K51" s="387"/>
      <c r="L51" s="387"/>
      <c r="M51" s="383" t="str">
        <f aca="false">IF('อัปเดตงาน WBS'!$L$776="","",'อัปเดตงาน WBS'!$L$776)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IF(ISNUMBER(อัปเดตรายสัปดาห์!$P$17),อัปเดตรายสัปดาห์!$P$17,"")</f>
        <v/>
      </c>
      <c r="M52" s="374" t="str">
        <f aca="false">IF(อัปเดตรายสัปดาห์!$P$17="Y","Y","")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WBS'!$L$777="","",'อัปเดตงาน WBS'!$L$777)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WBS'!$L$778="","",'อัปเดตงาน WBS'!$L$778)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Plan'!$H$17+(-12)</f>
        <v>46391</v>
      </c>
      <c r="J55" s="373" t="n">
        <f aca="false">'Master Plan'!$H$17+(-12)</f>
        <v>46391</v>
      </c>
      <c r="K55" s="78"/>
      <c r="L55" s="78" t="str">
        <f aca="false">IF(ISNUMBER(อัปเดตรายสัปดาห์!$Q$17),อัปเดตรายสัปดาห์!$Q$17,"")</f>
        <v/>
      </c>
      <c r="M55" s="374" t="str">
        <f aca="false">IF(อัปเดตรายสัปดาห์!$Q$17="Y","Y","")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Plan'!$AC$17)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IF(ISNUMBER(อัปเดตรายสัปดาห์!$R$17),อัปเดตรายสัปดาห์!$R$17,"")</f>
        <v/>
      </c>
      <c r="M56" s="374" t="str">
        <f aca="false">IF(อัปเดตรายสัปดาห์!$R$17="Y","Y","")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Plan'!$H$17+(-11)</f>
        <v>46392</v>
      </c>
      <c r="J57" s="373" t="n">
        <f aca="false">'Master Plan'!$H$17+(9)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IF(ISNUMBER(อัปเดตรายสัปดาห์!$S$17),อัปเดตรายสัปดาห์!$S$17,"")</f>
        <v/>
      </c>
      <c r="M57" s="374" t="str">
        <f aca="false">IF(อัปเดตรายสัปดาห์!$S$17="Y","Y","")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Plan'!$AD$17)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Plan'!$H$17+(10)</f>
        <v>46413</v>
      </c>
      <c r="J58" s="373" t="n">
        <f aca="false">'Master Plan'!$H$17+(16)</f>
        <v>46419</v>
      </c>
      <c r="K58" s="78"/>
      <c r="L58" s="78" t="str">
        <f aca="false">IF(ISNUMBER(อัปเดตรายสัปดาห์!$T$17),อัปเดตรายสัปดาห์!$T$17,"")</f>
        <v/>
      </c>
      <c r="M58" s="374" t="str">
        <f aca="false">IF(อัปเดตรายสัปดาห์!$T$17="Y","Y","")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Plan'!$AE$17)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Plan'!$H$17+(17)</f>
        <v>46420</v>
      </c>
      <c r="J59" s="373" t="n">
        <f aca="false">'Master Plan'!$H$17+(17)</f>
        <v>46420</v>
      </c>
      <c r="K59" s="78"/>
      <c r="L59" s="78" t="str">
        <f aca="false">IF(ISNUMBER(อัปเดตรายสัปดาห์!$U$17),อัปเดตรายสัปดาห์!$U$17,"")</f>
        <v/>
      </c>
      <c r="M59" s="374" t="str">
        <f aca="false">IF(อัปเดตรายสัปดาห์!$U$17="Y","Y","")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Plan'!$AF$17)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81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Plan'!$H$17+(18)</f>
        <v>46421</v>
      </c>
      <c r="J60" s="373" t="n">
        <f aca="false">'Master Plan'!$H$17+(33)</f>
        <v>46436</v>
      </c>
      <c r="K60" s="78"/>
      <c r="L60" s="78" t="str">
        <f aca="false">IF(ISNUMBER(อัปเดตรายสัปดาห์!$V$17),อัปเดตรายสัปดาห์!$V$17,"")</f>
        <v/>
      </c>
      <c r="M60" s="374" t="str">
        <f aca="false">IF(อัปเดตรายสัปดาห์!$V$17="Y","Y","")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Plan'!$AH$17)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3707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Plan'!$H$17+(-42)</f>
        <v>46361</v>
      </c>
      <c r="J62" s="373" t="n">
        <f aca="false">'Master Plan'!$H$17+(-25)</f>
        <v>46378</v>
      </c>
      <c r="K62" s="78"/>
      <c r="L62" s="78" t="str">
        <f aca="false">IF(ISNUMBER(อัปเดตรายสัปดาห์!$W$17),อัปเดตรายสัปดาห์!$W$17,"")</f>
        <v/>
      </c>
      <c r="M62" s="374" t="str">
        <f aca="false">IF(อัปเดตรายสัปดาห์!$W$17="Y","Y","")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-010",SITE_TYPE,"?*")&gt;0,MIN(1,SUMPRODUCT((SITE_ST="P9-010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Plan'!$H$17+(-42)</f>
        <v>46361</v>
      </c>
      <c r="J63" s="382" t="n">
        <f aca="false">'Master Plan'!$H$17+(-40)</f>
        <v>46363</v>
      </c>
      <c r="K63" s="387"/>
      <c r="L63" s="387"/>
      <c r="M63" s="383" t="str">
        <f aca="false">IF('อัปเดตงาน WBS'!$L$779="","",'อัปเดตงาน WBS'!$L$779)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Plan'!$H$17+(-42)</f>
        <v>46361</v>
      </c>
      <c r="J64" s="382" t="n">
        <f aca="false">'Master Plan'!$H$17+(-39)</f>
        <v>46364</v>
      </c>
      <c r="K64" s="387"/>
      <c r="L64" s="387"/>
      <c r="M64" s="383" t="str">
        <f aca="false">IF('อัปเดตงาน WBS'!$L$780="","",'อัปเดตงาน WBS'!$L$780)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Plan'!$H$17+(-40)</f>
        <v>46363</v>
      </c>
      <c r="J65" s="382" t="n">
        <f aca="false">'Master Plan'!$H$17+(-34)</f>
        <v>46369</v>
      </c>
      <c r="K65" s="387"/>
      <c r="L65" s="387"/>
      <c r="M65" s="383" t="str">
        <f aca="false">IF('อัปเดตงาน WBS'!$L$781="","",'อัปเดตงาน WBS'!$L$781)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Plan'!$H$17+(-35)</f>
        <v>46368</v>
      </c>
      <c r="J66" s="382" t="n">
        <f aca="false">'Master Plan'!$H$17+(-28)</f>
        <v>46375</v>
      </c>
      <c r="K66" s="387"/>
      <c r="L66" s="387"/>
      <c r="M66" s="383" t="str">
        <f aca="false">IF('อัปเดตงาน WBS'!$L$782="","",'อัปเดตงาน WBS'!$L$782)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Plan'!$H$17+(-32)</f>
        <v>46371</v>
      </c>
      <c r="J67" s="382" t="n">
        <f aca="false">'Master Plan'!$H$17+(-26)</f>
        <v>46377</v>
      </c>
      <c r="K67" s="387"/>
      <c r="L67" s="387"/>
      <c r="M67" s="383" t="str">
        <f aca="false">IF('อัปเดตงาน WBS'!$L$783="","",'อัปเดตงาน WBS'!$L$783)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Plan'!$H$17+(-28)</f>
        <v>46375</v>
      </c>
      <c r="J68" s="382" t="n">
        <f aca="false">'Master Plan'!$H$17+(-25)</f>
        <v>46378</v>
      </c>
      <c r="K68" s="387"/>
      <c r="L68" s="387"/>
      <c r="M68" s="383" t="str">
        <f aca="false">IF('อัปเดตงาน WBS'!$L$784="","",'อัปเดตงาน WBS'!$L$784)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Plan'!$H$17+(-26)</f>
        <v>46377</v>
      </c>
      <c r="J69" s="382" t="n">
        <f aca="false">'Master Plan'!$H$17+(-25)</f>
        <v>46378</v>
      </c>
      <c r="K69" s="387"/>
      <c r="L69" s="387"/>
      <c r="M69" s="383" t="str">
        <f aca="false">IF('อัปเดตงาน WBS'!$L$785="","",'อัปเดตงาน WBS'!$L$785)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3707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Plan'!$H$17+(-24)</f>
        <v>46379</v>
      </c>
      <c r="J70" s="373" t="n">
        <f aca="false">'Master Plan'!$H$17+(-15)</f>
        <v>46388</v>
      </c>
      <c r="K70" s="78"/>
      <c r="L70" s="78" t="str">
        <f aca="false">IF(ISNUMBER(อัปเดตรายสัปดาห์!$X$17),อัปเดตรายสัปดาห์!$X$17,"")</f>
        <v/>
      </c>
      <c r="M70" s="374" t="str">
        <f aca="false">IF(อัปเดตรายสัปดาห์!$X$17="Y","Y","")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-010",SITE_TYPE,"?*")&gt;0,MIN(1,SUMPRODUCT((SITE_ST="P9-010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Plan'!$H$17+(-24)</f>
        <v>46379</v>
      </c>
      <c r="J71" s="382" t="n">
        <f aca="false">'Master Plan'!$H$17+(-20)</f>
        <v>46383</v>
      </c>
      <c r="K71" s="387"/>
      <c r="L71" s="387"/>
      <c r="M71" s="383" t="str">
        <f aca="false">IF('อัปเดตงาน WBS'!$L$786="","",'อัปเดตงาน WBS'!$L$786)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Plan'!$H$17+(-22)</f>
        <v>46381</v>
      </c>
      <c r="J72" s="382" t="n">
        <f aca="false">'Master Plan'!$H$17+(-17)</f>
        <v>46386</v>
      </c>
      <c r="K72" s="387"/>
      <c r="L72" s="387"/>
      <c r="M72" s="383" t="str">
        <f aca="false">IF('อัปเดตงาน WBS'!$L$787="","",'อัปเดตงาน WBS'!$L$787)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Plan'!$H$17+(-21)</f>
        <v>46382</v>
      </c>
      <c r="J73" s="382" t="n">
        <f aca="false">'Master Plan'!$H$17+(-17)</f>
        <v>46386</v>
      </c>
      <c r="K73" s="387"/>
      <c r="L73" s="387"/>
      <c r="M73" s="383" t="str">
        <f aca="false">IF('อัปเดตงาน WBS'!$L$788="","",'อัปเดตงาน WBS'!$L$788)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Plan'!$H$17+(-20)</f>
        <v>46383</v>
      </c>
      <c r="J74" s="382" t="n">
        <f aca="false">'Master Plan'!$H$17+(-15)</f>
        <v>46388</v>
      </c>
      <c r="K74" s="387"/>
      <c r="L74" s="387"/>
      <c r="M74" s="383" t="str">
        <f aca="false">IF('อัปเดตงาน WBS'!$L$789="","",'อัปเดตงาน WBS'!$L$789)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Plan'!$H$17+(-17)</f>
        <v>46386</v>
      </c>
      <c r="J75" s="382" t="n">
        <f aca="false">'Master Plan'!$H$17+(-15)</f>
        <v>46388</v>
      </c>
      <c r="K75" s="387"/>
      <c r="L75" s="387"/>
      <c r="M75" s="383" t="str">
        <f aca="false">IF('อัปเดตงาน WBS'!$L$790="","",'อัปเดตงาน WBS'!$L$790)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3707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Plan'!$H$17+(-24)</f>
        <v>46379</v>
      </c>
      <c r="J76" s="373" t="n">
        <f aca="false">'Master Plan'!$H$17+(-15)</f>
        <v>46388</v>
      </c>
      <c r="K76" s="78"/>
      <c r="L76" s="78" t="str">
        <f aca="false">IF(ISNUMBER(อัปเดตรายสัปดาห์!$Y$17),อัปเดตรายสัปดาห์!$Y$17,"")</f>
        <v/>
      </c>
      <c r="M76" s="374" t="str">
        <f aca="false">IF(อัปเดตรายสัปดาห์!$Y$17="Y","Y","")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-010",SITE_TYPE,"?*")&gt;0,MIN(1,SUMPRODUCT((SITE_ST="P9-010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Plan'!$H$17+(-24)</f>
        <v>46379</v>
      </c>
      <c r="J77" s="382" t="n">
        <f aca="false">'Master Plan'!$H$17+(-21)</f>
        <v>46382</v>
      </c>
      <c r="K77" s="387"/>
      <c r="L77" s="387"/>
      <c r="M77" s="383" t="str">
        <f aca="false">IF('อัปเดตงาน WBS'!$L$791="","",'อัปเดตงาน WBS'!$L$791)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Plan'!$H$17+(-23)</f>
        <v>46380</v>
      </c>
      <c r="J78" s="382" t="n">
        <f aca="false">'Master Plan'!$H$17+(-16)</f>
        <v>46387</v>
      </c>
      <c r="K78" s="387"/>
      <c r="L78" s="387"/>
      <c r="M78" s="383" t="str">
        <f aca="false">IF('อัปเดตงาน WBS'!$L$792="","",'อัปเดตงาน WBS'!$L$792)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Plan'!$H$17+(-20)</f>
        <v>46383</v>
      </c>
      <c r="J79" s="382" t="n">
        <f aca="false">'Master Plan'!$H$17+(-15)</f>
        <v>46388</v>
      </c>
      <c r="K79" s="387"/>
      <c r="L79" s="387"/>
      <c r="M79" s="383" t="str">
        <f aca="false">IF('อัปเดตงาน WBS'!$L$793="","",'อัปเดตงาน WBS'!$L$793)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Plan'!$H$17+(-17)</f>
        <v>46386</v>
      </c>
      <c r="J80" s="382" t="n">
        <f aca="false">'Master Plan'!$H$17+(-15)</f>
        <v>46388</v>
      </c>
      <c r="K80" s="387"/>
      <c r="L80" s="387"/>
      <c r="M80" s="383" t="str">
        <f aca="false">IF('อัปเดตงาน WBS'!$L$794="","",'อัปเดตงาน WBS'!$L$794)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Plan'!$H$17+(-15)</f>
        <v>46388</v>
      </c>
      <c r="J81" s="382" t="n">
        <f aca="false">'Master Plan'!$H$17+(-15)</f>
        <v>46388</v>
      </c>
      <c r="K81" s="387"/>
      <c r="L81" s="387"/>
      <c r="M81" s="383" t="str">
        <f aca="false">IF('อัปเดตงาน WBS'!$L$795="","",'อัปเดตงาน WBS'!$L$795)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3707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Plan'!$H$17+(-21)</f>
        <v>46382</v>
      </c>
      <c r="J82" s="373" t="n">
        <f aca="false">'Master Plan'!$H$17+(-18)</f>
        <v>46385</v>
      </c>
      <c r="K82" s="78"/>
      <c r="L82" s="78" t="str">
        <f aca="false">IF(ISNUMBER(อัปเดตรายสัปดาห์!$Z$17),อัปเดตรายสัปดาห์!$Z$17,"")</f>
        <v/>
      </c>
      <c r="M82" s="374" t="str">
        <f aca="false">IF(อัปเดตรายสัปดาห์!$Z$17="Y","Y","")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Plan'!$H$17+(-21)</f>
        <v>46382</v>
      </c>
      <c r="J83" s="382" t="n">
        <f aca="false">'Master Plan'!$H$17+(-19)</f>
        <v>46384</v>
      </c>
      <c r="K83" s="387"/>
      <c r="L83" s="387"/>
      <c r="M83" s="383" t="str">
        <f aca="false">IF('อัปเดตงาน WBS'!$L$796="","",'อัปเดตงาน WBS'!$L$796)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Plan'!$H$17+(-20)</f>
        <v>46383</v>
      </c>
      <c r="J84" s="382" t="n">
        <f aca="false">'Master Plan'!$H$17+(-18)</f>
        <v>46385</v>
      </c>
      <c r="K84" s="387"/>
      <c r="L84" s="387"/>
      <c r="M84" s="383" t="str">
        <f aca="false">IF('อัปเดตงาน WBS'!$L$797="","",'อัปเดตงาน WBS'!$L$797)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3707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Plan'!$H$17+(-25)</f>
        <v>46378</v>
      </c>
      <c r="J85" s="373" t="n">
        <f aca="false">'Master Plan'!$H$17+(-17)</f>
        <v>46386</v>
      </c>
      <c r="K85" s="78"/>
      <c r="L85" s="78" t="str">
        <f aca="false">IF(ISNUMBER(อัปเดตรายสัปดาห์!$AA$17),อัปเดตรายสัปดาห์!$AA$17,"")</f>
        <v/>
      </c>
      <c r="M85" s="374" t="str">
        <f aca="false">IF(อัปเดตรายสัปดาห์!$AA$17="Y","Y","")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Plan'!$H$17+(-25)</f>
        <v>46378</v>
      </c>
      <c r="J86" s="382" t="n">
        <f aca="false">'Master Plan'!$H$17+(-21)</f>
        <v>46382</v>
      </c>
      <c r="K86" s="387"/>
      <c r="L86" s="387"/>
      <c r="M86" s="383" t="str">
        <f aca="false">IF('อัปเดตงาน WBS'!$L$798="","",'อัปเดตงาน WBS'!$L$798)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Plan'!$H$17+(-22)</f>
        <v>46381</v>
      </c>
      <c r="J87" s="382" t="n">
        <f aca="false">'Master Plan'!$H$17+(-18)</f>
        <v>46385</v>
      </c>
      <c r="K87" s="387"/>
      <c r="L87" s="387"/>
      <c r="M87" s="383" t="str">
        <f aca="false">IF('อัปเดตงาน WBS'!$L$799="","",'อัปเดตงาน WBS'!$L$799)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Plan'!$H$17+(-20)</f>
        <v>46383</v>
      </c>
      <c r="J88" s="382" t="n">
        <f aca="false">'Master Plan'!$H$17+(-17)</f>
        <v>46386</v>
      </c>
      <c r="K88" s="387"/>
      <c r="L88" s="387"/>
      <c r="M88" s="383" t="str">
        <f aca="false">IF('อัปเดตงาน WBS'!$L$800="","",'อัปเดตงาน WBS'!$L$800)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Plan'!$H$17+(-18)</f>
        <v>46385</v>
      </c>
      <c r="J89" s="382" t="n">
        <f aca="false">'Master Plan'!$H$17+(-17)</f>
        <v>46386</v>
      </c>
      <c r="K89" s="387"/>
      <c r="L89" s="387"/>
      <c r="M89" s="383" t="str">
        <f aca="false">IF('อัปเดตงาน WBS'!$L$801="","",'อัปเดตงาน WBS'!$L$801)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3707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Plan'!$H$17+(-25)</f>
        <v>46378</v>
      </c>
      <c r="J90" s="373" t="n">
        <f aca="false">'Master Plan'!$H$17+(-16)</f>
        <v>46387</v>
      </c>
      <c r="K90" s="78"/>
      <c r="L90" s="78" t="str">
        <f aca="false">IF(ISNUMBER(อัปเดตรายสัปดาห์!$AB$17),อัปเดตรายสัปดาห์!$AB$17,"")</f>
        <v/>
      </c>
      <c r="M90" s="374" t="str">
        <f aca="false">IF(อัปเดตรายสัปดาห์!$AB$17="Y","Y","")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Plan'!$H$17+(-25)</f>
        <v>46378</v>
      </c>
      <c r="J91" s="382" t="n">
        <f aca="false">'Master Plan'!$H$17+(-20)</f>
        <v>46383</v>
      </c>
      <c r="K91" s="387"/>
      <c r="L91" s="387"/>
      <c r="M91" s="383" t="str">
        <f aca="false">IF('อัปเดตงาน WBS'!$L$802="","",'อัปเดตงาน WBS'!$L$802)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Plan'!$H$17+(-20)</f>
        <v>46383</v>
      </c>
      <c r="J92" s="382" t="n">
        <f aca="false">'Master Plan'!$H$17+(-16)</f>
        <v>46387</v>
      </c>
      <c r="K92" s="387"/>
      <c r="L92" s="387"/>
      <c r="M92" s="383" t="str">
        <f aca="false">IF('อัปเดตงาน WBS'!$L$803="","",'อัปเดตงาน WBS'!$L$803)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Plan'!$H$17+(-25)</f>
        <v>46378</v>
      </c>
      <c r="J93" s="382" t="n">
        <f aca="false">'Master Plan'!$H$17+(-21)</f>
        <v>46382</v>
      </c>
      <c r="K93" s="387"/>
      <c r="L93" s="387"/>
      <c r="M93" s="383" t="str">
        <f aca="false">IF('อัปเดตงาน WBS'!$L$804="","",'อัปเดตงาน WBS'!$L$804)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Plan'!$H$17+(-21)</f>
        <v>46382</v>
      </c>
      <c r="J94" s="382" t="n">
        <f aca="false">'Master Plan'!$H$17+(-16)</f>
        <v>46387</v>
      </c>
      <c r="K94" s="387"/>
      <c r="L94" s="387"/>
      <c r="M94" s="383" t="str">
        <f aca="false">IF('อัปเดตงาน WBS'!$L$805="","",'อัปเดตงาน WBS'!$L$805)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Plan'!$H$17+(-17)</f>
        <v>46386</v>
      </c>
      <c r="J95" s="382" t="n">
        <f aca="false">'Master Plan'!$H$17+(-16)</f>
        <v>46387</v>
      </c>
      <c r="K95" s="387"/>
      <c r="L95" s="387"/>
      <c r="M95" s="383" t="str">
        <f aca="false">IF('อัปเดตงาน WBS'!$L$806="","",'อัปเดตงาน WBS'!$L$806)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3707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Plan'!$H$17+(-22)</f>
        <v>46381</v>
      </c>
      <c r="J96" s="373" t="n">
        <f aca="false">'Master Plan'!$H$17+(-16)</f>
        <v>46387</v>
      </c>
      <c r="K96" s="78"/>
      <c r="L96" s="78" t="str">
        <f aca="false">IF(ISNUMBER(อัปเดตรายสัปดาห์!$AC$17),อัปเดตรายสัปดาห์!$AC$17,"")</f>
        <v/>
      </c>
      <c r="M96" s="374" t="str">
        <f aca="false">IF(อัปเดตรายสัปดาห์!$AC$17="Y","Y","")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Plan'!$H$17+(-22)</f>
        <v>46381</v>
      </c>
      <c r="J97" s="382" t="n">
        <f aca="false">'Master Plan'!$H$17+(-17)</f>
        <v>46386</v>
      </c>
      <c r="K97" s="387"/>
      <c r="L97" s="387"/>
      <c r="M97" s="383" t="str">
        <f aca="false">IF('อัปเดตงาน WBS'!$L$807="","",'อัปเดตงาน WBS'!$L$807)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Plan'!$H$17+(-20)</f>
        <v>46383</v>
      </c>
      <c r="J98" s="382" t="n">
        <f aca="false">'Master Plan'!$H$17+(-16)</f>
        <v>46387</v>
      </c>
      <c r="K98" s="387"/>
      <c r="L98" s="387"/>
      <c r="M98" s="383" t="str">
        <f aca="false">IF('อัปเดตงาน WBS'!$L$808="","",'อัปเดตงาน WBS'!$L$808)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Plan'!$H$17+(-17)</f>
        <v>46386</v>
      </c>
      <c r="J99" s="382" t="n">
        <f aca="false">'Master Plan'!$H$17+(-16)</f>
        <v>46387</v>
      </c>
      <c r="K99" s="387"/>
      <c r="L99" s="387"/>
      <c r="M99" s="383" t="str">
        <f aca="false">IF('อัปเดตงาน WBS'!$L$809="","",'อัปเดตงาน WBS'!$L$809)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3707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Plan'!$H$17+(-20)</f>
        <v>46383</v>
      </c>
      <c r="J100" s="373" t="n">
        <f aca="false">'Master Plan'!$H$17+(-15)</f>
        <v>46388</v>
      </c>
      <c r="K100" s="78"/>
      <c r="L100" s="78" t="str">
        <f aca="false">IF(ISNUMBER(อัปเดตรายสัปดาห์!$AD$17),อัปเดตรายสัปดาห์!$AD$17,"")</f>
        <v/>
      </c>
      <c r="M100" s="374" t="str">
        <f aca="false">IF(อัปเดตรายสัปดาห์!$AD$17="Y","Y","")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Plan'!$H$17+(-20)</f>
        <v>46383</v>
      </c>
      <c r="J101" s="382" t="n">
        <f aca="false">'Master Plan'!$H$17+(-19)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Plan'!$H$17+(-19)</f>
        <v>46384</v>
      </c>
      <c r="J102" s="382" t="n">
        <f aca="false">'Master Plan'!$H$17+(-16)</f>
        <v>46387</v>
      </c>
      <c r="K102" s="387"/>
      <c r="L102" s="387"/>
      <c r="M102" s="383" t="str">
        <f aca="false">IF('อัปเดตงาน WBS'!$L$810="","",'อัปเดตงาน WBS'!$L$810)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Plan'!$H$17+(-18)</f>
        <v>46385</v>
      </c>
      <c r="J104" s="382" t="n">
        <f aca="false">'Master Plan'!$H$17+(-16)</f>
        <v>46387</v>
      </c>
      <c r="K104" s="387"/>
      <c r="L104" s="387"/>
      <c r="M104" s="383" t="str">
        <f aca="false">IF('อัปเดตงาน WBS'!$L$811="","",'อัปเดตงาน WBS'!$L$811)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Plan'!$H$17+(-18)</f>
        <v>46385</v>
      </c>
      <c r="J105" s="382" t="n">
        <f aca="false">'Master Plan'!$H$17+(-15)</f>
        <v>46388</v>
      </c>
      <c r="K105" s="387"/>
      <c r="L105" s="387"/>
      <c r="M105" s="383" t="str">
        <f aca="false">IF('อัปเดตงาน WBS'!$L$812="","",'อัปเดตงาน WBS'!$L$812)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Plan'!$H$17+(-16)</f>
        <v>46387</v>
      </c>
      <c r="J106" s="382" t="n">
        <f aca="false">'Master Plan'!$H$17+(-15)</f>
        <v>46388</v>
      </c>
      <c r="K106" s="387"/>
      <c r="L106" s="387"/>
      <c r="M106" s="383" t="str">
        <f aca="false">IF('อัปเดตงาน WBS'!$L$813="","",'อัปเดตงาน WBS'!$L$813)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3707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Plan'!$H$17+(-18)</f>
        <v>46385</v>
      </c>
      <c r="J107" s="373" t="n">
        <f aca="false">'Master Plan'!$H$17+(-14)</f>
        <v>46389</v>
      </c>
      <c r="K107" s="78"/>
      <c r="L107" s="78" t="str">
        <f aca="false">IF(ISNUMBER(อัปเดตรายสัปดาห์!$AE$17),อัปเดตรายสัปดาห์!$AE$17,"")</f>
        <v/>
      </c>
      <c r="M107" s="374" t="str">
        <f aca="false">IF(อัปเดตรายสัปดาห์!$AE$17="Y","Y","")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Plan'!$H$17+(-18)</f>
        <v>46385</v>
      </c>
      <c r="J108" s="382" t="n">
        <f aca="false">'Master Plan'!$H$17+(-15)</f>
        <v>46388</v>
      </c>
      <c r="K108" s="387"/>
      <c r="L108" s="387"/>
      <c r="M108" s="383" t="str">
        <f aca="false">IF('อัปเดตงาน WBS'!$L$814="","",'อัปเดตงาน WBS'!$L$814)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Plan'!$H$17+(-16)</f>
        <v>46387</v>
      </c>
      <c r="J109" s="382" t="n">
        <f aca="false">'Master Plan'!$H$17+(-14)</f>
        <v>46389</v>
      </c>
      <c r="K109" s="387"/>
      <c r="L109" s="387"/>
      <c r="M109" s="383" t="str">
        <f aca="false">IF('อัปเดตงาน WBS'!$L$815="","",'อัปเดตงาน WBS'!$L$815)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Plan'!$H$17+(-17)</f>
        <v>46386</v>
      </c>
      <c r="J110" s="382" t="n">
        <f aca="false">'Master Plan'!$H$17+(-15)</f>
        <v>46388</v>
      </c>
      <c r="K110" s="387"/>
      <c r="L110" s="387"/>
      <c r="M110" s="383" t="str">
        <f aca="false">IF('อัปเดตงาน WBS'!$L$816="","",'อัปเดตงาน WBS'!$L$816)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81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Plan'!$H$17+(-13)</f>
        <v>46390</v>
      </c>
      <c r="J111" s="373" t="n">
        <f aca="false">'Master Plan'!$H$17+(-13)</f>
        <v>46390</v>
      </c>
      <c r="K111" s="78"/>
      <c r="L111" s="78" t="str">
        <f aca="false">IF(ISNUMBER(อัปเดตรายสัปดาห์!$AF$17),อัปเดตรายสัปดาห์!$AF$17,"")</f>
        <v/>
      </c>
      <c r="M111" s="374" t="str">
        <f aca="false">IF(อัปเดตรายสัปดาห์!$AF$17="Y","Y","")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Plan'!$Y$17)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Plan'!$H$17+(-13)</f>
        <v>46390</v>
      </c>
      <c r="J112" s="382" t="n">
        <f aca="false">'Master Plan'!$H$17+(-13)</f>
        <v>46390</v>
      </c>
      <c r="K112" s="387"/>
      <c r="L112" s="387"/>
      <c r="M112" s="383" t="str">
        <f aca="false">IF('อัปเดตงาน WBS'!$L$817="","",'อัปเดตงาน WBS'!$L$817)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Plan'!$H$17+(-13)</f>
        <v>46390</v>
      </c>
      <c r="J113" s="382" t="n">
        <f aca="false">'Master Plan'!$H$17+(-13)</f>
        <v>46390</v>
      </c>
      <c r="K113" s="387"/>
      <c r="L113" s="387"/>
      <c r="M113" s="383" t="str">
        <f aca="false">IF('อัปเดตงาน WBS'!$L$818="","",'อัปเดตงาน WBS'!$L$818)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3707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Plan'!$H$17+(-12)</f>
        <v>46391</v>
      </c>
      <c r="J115" s="373" t="n">
        <f aca="false">'Master Plan'!$H$17+(-10)</f>
        <v>46393</v>
      </c>
      <c r="K115" s="78"/>
      <c r="L115" s="78" t="str">
        <f aca="false">IF(ISNUMBER(อัปเดตรายสัปดาห์!$AG$17),อัปเดตรายสัปดาห์!$AG$17,"")</f>
        <v/>
      </c>
      <c r="M115" s="374" t="str">
        <f aca="false">IF(อัปเดตรายสัปดาห์!$AG$17="Y","Y","")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Plan'!$AA$17)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Plan'!$H$17+(-12)</f>
        <v>46391</v>
      </c>
      <c r="J116" s="382" t="n">
        <f aca="false">'Master Plan'!$H$17+(-12)</f>
        <v>46391</v>
      </c>
      <c r="K116" s="387"/>
      <c r="L116" s="387"/>
      <c r="M116" s="383" t="str">
        <f aca="false">IF('อัปเดตงาน WBS'!$L$819="","",'อัปเดตงาน WBS'!$L$819)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Plan'!$H$17+(-12)</f>
        <v>46391</v>
      </c>
      <c r="J117" s="382" t="n">
        <f aca="false">'Master Plan'!$H$17+(-11)</f>
        <v>46392</v>
      </c>
      <c r="K117" s="387"/>
      <c r="L117" s="387"/>
      <c r="M117" s="383" t="str">
        <f aca="false">IF('อัปเดตงาน WBS'!$L$820="","",'อัปเดตงาน WBS'!$L$820)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Plan'!$H$17+(-11)</f>
        <v>46392</v>
      </c>
      <c r="J118" s="382" t="n">
        <f aca="false">'Master Plan'!$H$17+(-11)</f>
        <v>46392</v>
      </c>
      <c r="K118" s="387"/>
      <c r="L118" s="387"/>
      <c r="M118" s="383" t="str">
        <f aca="false">IF('อัปเดตงาน WBS'!$L$821="","",'อัปเดตงาน WBS'!$L$821)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Plan'!$H$17+(-11)</f>
        <v>46392</v>
      </c>
      <c r="J119" s="382" t="n">
        <f aca="false">'Master Plan'!$H$17+(-11)</f>
        <v>46392</v>
      </c>
      <c r="K119" s="387"/>
      <c r="L119" s="387"/>
      <c r="M119" s="383" t="str">
        <f aca="false">IF('อัปเดตงาน WBS'!$L$822="","",'อัปเดตงาน WBS'!$L$822)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Plan'!$H$17+(-11)</f>
        <v>46392</v>
      </c>
      <c r="J120" s="382" t="n">
        <f aca="false">'Master Plan'!$H$17+(-10)</f>
        <v>46393</v>
      </c>
      <c r="K120" s="387"/>
      <c r="L120" s="387"/>
      <c r="M120" s="383" t="str">
        <f aca="false">IF('อัปเดตงาน WBS'!$L$823="","",'อัปเดตงาน WBS'!$L$823)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Plan'!$H$17+(-11)</f>
        <v>46392</v>
      </c>
      <c r="J121" s="382" t="n">
        <f aca="false">'Master Plan'!$H$17+(-10)</f>
        <v>46393</v>
      </c>
      <c r="K121" s="387"/>
      <c r="L121" s="387"/>
      <c r="M121" s="383" t="str">
        <f aca="false">IF('อัปเดตงาน WBS'!$L$824="","",'อัปเดตงาน WBS'!$L$824)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81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Plan'!$H$17+(-10)</f>
        <v>46393</v>
      </c>
      <c r="J122" s="373" t="n">
        <f aca="false">'Master Plan'!$H$17+(-10)</f>
        <v>46393</v>
      </c>
      <c r="K122" s="78"/>
      <c r="L122" s="78" t="str">
        <f aca="false">IF(ISNUMBER(อัปเดตรายสัปดาห์!$AH$17),อัปเดตรายสัปดาห์!$AH$17,"")</f>
        <v/>
      </c>
      <c r="M122" s="374" t="str">
        <f aca="false">IF(อัปเดตรายสัปดาห์!$AH$17="Y","Y","")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Plan'!$Z$17)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81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Plan'!$H$17+(-12)</f>
        <v>46391</v>
      </c>
      <c r="J123" s="373" t="n">
        <f aca="false">'Master Plan'!$H$17+(-8)</f>
        <v>46395</v>
      </c>
      <c r="K123" s="78" t="str">
        <f aca="false">IF(ISNUMBER(อัปเดตรายสัปดาห์!$AI$17),อัปเดตรายสัปดาห์!$AI$17,"")</f>
        <v/>
      </c>
      <c r="L123" s="78" t="str">
        <f aca="false">IF(ISNUMBER(อัปเดตรายสัปดาห์!$AJ$17),อัปเดตรายสัปดาห์!$AJ$17,"")</f>
        <v/>
      </c>
      <c r="M123" s="374" t="str">
        <f aca="false">IF(อัปเดตรายสัปดาห์!$AJ$17="Y","Y","")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81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Plan'!$H$17+(37)</f>
        <v>46440</v>
      </c>
      <c r="J124" s="373" t="n">
        <f aca="false">'Master Plan'!$H$17+(50)</f>
        <v>46453</v>
      </c>
      <c r="K124" s="78"/>
      <c r="L124" s="78" t="str">
        <f aca="false">IF(ISNUMBER(อัปเดตรายสัปดาห์!$AK$17),อัปเดตรายสัปดาห์!$AK$17,"")</f>
        <v/>
      </c>
      <c r="M124" s="374" t="str">
        <f aca="false">IF(อัปเดตรายสัปดาห์!$AK$17="Y","Y","")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Plan'!$H$17+(37)</f>
        <v>46440</v>
      </c>
      <c r="J125" s="382" t="n">
        <f aca="false">'Master Plan'!$H$17+(41)</f>
        <v>46444</v>
      </c>
      <c r="K125" s="387"/>
      <c r="L125" s="387"/>
      <c r="M125" s="383" t="str">
        <f aca="false">IF('อัปเดตงาน WBS'!$L$825="","",'อัปเดตงาน WBS'!$L$825)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Plan'!$H$17+(40)</f>
        <v>46443</v>
      </c>
      <c r="J126" s="382" t="n">
        <f aca="false">'Master Plan'!$H$17+(47)</f>
        <v>46450</v>
      </c>
      <c r="K126" s="387"/>
      <c r="L126" s="387"/>
      <c r="M126" s="383" t="str">
        <f aca="false">IF('อัปเดตงาน WBS'!$L$826="","",'อัปเดตงาน WBS'!$L$826)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Plan'!$H$17+(47)</f>
        <v>46450</v>
      </c>
      <c r="J127" s="382" t="n">
        <f aca="false">'Master Plan'!$H$17+(50)</f>
        <v>46453</v>
      </c>
      <c r="K127" s="387"/>
      <c r="L127" s="387"/>
      <c r="M127" s="383" t="str">
        <f aca="false">IF('อัปเดตงาน WBS'!$L$827="","",'อัปเดตงาน WBS'!$L$827)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3707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Plan'!$H$17+(0)</f>
        <v>46403</v>
      </c>
      <c r="J128" s="373" t="n">
        <f aca="false">'Master Plan'!$H$17+(0)</f>
        <v>46403</v>
      </c>
      <c r="K128" s="78"/>
      <c r="L128" s="78" t="str">
        <f aca="false">IF(ISNUMBER(อัปเดตรายสัปดาห์!$AL$17),อัปเดตรายสัปดาห์!$AL$17,"")</f>
        <v/>
      </c>
      <c r="M128" s="374" t="str">
        <f aca="false">IF(อัปเดตรายสัปดาห์!$AL$17="Y","Y","")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Plan'!$AB$17)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Plan'!$H$17+(0)</f>
        <v>46403</v>
      </c>
      <c r="J129" s="373" t="n">
        <f aca="false">'Master Plan'!$H$17+(0)</f>
        <v>46403</v>
      </c>
      <c r="K129" s="78"/>
      <c r="L129" s="78" t="str">
        <f aca="false">IF(ISNUMBER(อัปเดตรายสัปดาห์!$AM$17),อัปเดตรายสัปดาห์!$AM$17,"")</f>
        <v/>
      </c>
      <c r="M129" s="374" t="str">
        <f aca="false">IF(อัปเดตรายสัปดาห์!$AM$17="Y","Y","")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Plan'!$H$17+(0)</f>
        <v>46403</v>
      </c>
      <c r="J130" s="373" t="n">
        <f aca="false">'Master Plan'!$H$17+(0)</f>
        <v>46403</v>
      </c>
      <c r="K130" s="78"/>
      <c r="L130" s="78" t="str">
        <f aca="false">IF(ISNUMBER(อัปเดตรายสัปดาห์!$AN$17),อัปเดตรายสัปดาห์!$AN$17,"")</f>
        <v/>
      </c>
      <c r="M130" s="374" t="str">
        <f aca="false">IF(อัปเดตรายสัปดาห์!$AN$17="Y","Y","")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81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Plan'!$H$17+(34)</f>
        <v>46437</v>
      </c>
      <c r="J131" s="373" t="n">
        <f aca="false">'Master Plan'!$H$17+(36)</f>
        <v>46439</v>
      </c>
      <c r="K131" s="78"/>
      <c r="L131" s="78" t="str">
        <f aca="false">IF(ISNUMBER(อัปเดตรายสัปดาห์!$AO$17),อัปเดตรายสัปดาห์!$AO$17,"")</f>
        <v/>
      </c>
      <c r="M131" s="374" t="str">
        <f aca="false">IF(อัปเดตรายสัปดาห์!$AO$17="Y","Y","")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SUMPRODUCT((SITE_ST="P9-010")*(SITE_TYPE=$B136)*(SITE_TYPE&lt;&gt;""))</f>
        <v>0</v>
      </c>
      <c r="E136" s="397" t="n">
        <f aca="false">SUMPRODUCT((SITE_ST="P9-010")*(SITE_TYPE=$B136)*SITE_MOD)</f>
        <v>0</v>
      </c>
      <c r="I136" s="398" t="n">
        <f aca="false">SUMPRODUCT((SITE_ST="P9-010")*(SITE_TYPE=$B136)*SITE_KWP)</f>
        <v>0</v>
      </c>
      <c r="J136" s="35" t="str">
        <f aca="false">IF(SUMPRODUCT((SITE_ST="P9-010")*(SITE_TYPE=$B136)*(SITE_TYPE&lt;&gt;""))=0,"",SUMPRODUCT((SITE_ST="P9-010")*(SITE_TYPE=$B136)*SITE_S21*SITE_D21)/MAX(0.0001,SUMPRODUCT((SITE_ST="P9-010")*(SITE_TYPE=$B136)*SITE_S21)))</f>
        <v/>
      </c>
      <c r="K136" s="32" t="str">
        <f aca="false">IF(SUMPRODUCT((SITE_ST="P9-010")*(SITE_TYPE=$B136)*(SITE_TYPE&lt;&gt;""))=0,"",SUMPRODUCT((SITE_ST="P9-010")*(SITE_TYPE=$B136)*(SITE_TYPE&lt;&gt;"")*(SITE_T22="Y"))&amp;"/"&amp;SUMPRODUCT((SITE_ST="P9-010")*(SITE_TYPE=$B136)*(SITE_TYPE&lt;&gt;"")))</f>
        <v/>
      </c>
      <c r="L136" s="32" t="str">
        <f aca="false">IF(SUMPRODUCT((SITE_ST="P9-010")*(SITE_TYPE=$B136)*(SITE_TYPE&lt;&gt;""))=0,"",SUMPRODUCT((SITE_ST="P9-010")*(SITE_TYPE=$B136)*(SITE_TYPE&lt;&gt;"")*(SITE_T23="Y"))&amp;"/"&amp;SUMPRODUCT((SITE_ST="P9-010")*(SITE_TYPE=$B136)*(SITE_TYPE&lt;&gt;"")))</f>
        <v/>
      </c>
      <c r="O136" s="32" t="str">
        <f aca="false">IF(SUMPRODUCT((SITE_ST="P9-010")*(SITE_TYPE=$B136)*(LEFT(SITE_LAD,4)="ติด:"))=0,"",SUMPRODUCT((SITE_ST="P9-010")*(SITE_TYPE=$B136)*(LEFT(SITE_LAD,4)="ติด:"))&amp;"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SUMPRODUCT((SITE_ST="P9-010")*(SITE_TYPE=$B137)*(SITE_TYPE&lt;&gt;""))</f>
        <v>0</v>
      </c>
      <c r="E137" s="397" t="n">
        <f aca="false">SUMPRODUCT((SITE_ST="P9-010")*(SITE_TYPE=$B137)*SITE_MOD)</f>
        <v>0</v>
      </c>
      <c r="I137" s="398" t="n">
        <f aca="false">SUMPRODUCT((SITE_ST="P9-010")*(SITE_TYPE=$B137)*SITE_KWP)</f>
        <v>0</v>
      </c>
      <c r="J137" s="35" t="str">
        <f aca="false">IF(SUMPRODUCT((SITE_ST="P9-010")*(SITE_TYPE=$B137)*(SITE_TYPE&lt;&gt;""))=0,"",SUMPRODUCT((SITE_ST="P9-010")*(SITE_TYPE=$B137)*SITE_S21*SITE_D21)/MAX(0.0001,SUMPRODUCT((SITE_ST="P9-010")*(SITE_TYPE=$B137)*SITE_S21)))</f>
        <v/>
      </c>
      <c r="K137" s="32" t="str">
        <f aca="false">IF(SUMPRODUCT((SITE_ST="P9-010")*(SITE_TYPE=$B137)*(SITE_TYPE&lt;&gt;""))=0,"",SUMPRODUCT((SITE_ST="P9-010")*(SITE_TYPE=$B137)*(SITE_TYPE&lt;&gt;"")*(SITE_T22="Y"))&amp;"/"&amp;SUMPRODUCT((SITE_ST="P9-010")*(SITE_TYPE=$B137)*(SITE_TYPE&lt;&gt;"")))</f>
        <v/>
      </c>
      <c r="L137" s="32" t="str">
        <f aca="false">IF(SUMPRODUCT((SITE_ST="P9-010")*(SITE_TYPE=$B137)*(SITE_TYPE&lt;&gt;""))=0,"",SUMPRODUCT((SITE_ST="P9-010")*(SITE_TYPE=$B137)*(SITE_TYPE&lt;&gt;"")*(SITE_T23="Y"))&amp;"/"&amp;SUMPRODUCT((SITE_ST="P9-010")*(SITE_TYPE=$B137)*(SITE_TYPE&lt;&gt;"")))</f>
        <v/>
      </c>
      <c r="O137" s="32" t="str">
        <f aca="false">IF(SUMPRODUCT((SITE_ST="P9-010")*(SITE_TYPE=$B137)*(LEFT(SITE_LAD,4)="ติด:"))=0,"",SUMPRODUCT((SITE_ST="P9-010")*(SITE_TYPE=$B137)*(LEFT(SITE_LAD,4)="ติด:"))&amp;"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SUMPRODUCT((SITE_ST="P9-010")*(SITE_TYPE=$B138)*(SITE_TYPE&lt;&gt;""))</f>
        <v>0</v>
      </c>
      <c r="E138" s="397" t="n">
        <f aca="false">SUMPRODUCT((SITE_ST="P9-010")*(SITE_TYPE=$B138)*SITE_MOD)</f>
        <v>0</v>
      </c>
      <c r="I138" s="398" t="n">
        <f aca="false">SUMPRODUCT((SITE_ST="P9-010")*(SITE_TYPE=$B138)*SITE_KWP)</f>
        <v>0</v>
      </c>
      <c r="J138" s="35" t="str">
        <f aca="false">IF(SUMPRODUCT((SITE_ST="P9-010")*(SITE_TYPE=$B138)*(SITE_TYPE&lt;&gt;""))=0,"",SUMPRODUCT((SITE_ST="P9-010")*(SITE_TYPE=$B138)*SITE_S21*SITE_D21)/MAX(0.0001,SUMPRODUCT((SITE_ST="P9-010")*(SITE_TYPE=$B138)*SITE_S21)))</f>
        <v/>
      </c>
      <c r="K138" s="32" t="str">
        <f aca="false">IF(SUMPRODUCT((SITE_ST="P9-010")*(SITE_TYPE=$B138)*(SITE_TYPE&lt;&gt;""))=0,"",SUMPRODUCT((SITE_ST="P9-010")*(SITE_TYPE=$B138)*(SITE_TYPE&lt;&gt;"")*(SITE_T22="Y"))&amp;"/"&amp;SUMPRODUCT((SITE_ST="P9-010")*(SITE_TYPE=$B138)*(SITE_TYPE&lt;&gt;"")))</f>
        <v/>
      </c>
      <c r="L138" s="32" t="str">
        <f aca="false">IF(SUMPRODUCT((SITE_ST="P9-010")*(SITE_TYPE=$B138)*(SITE_TYPE&lt;&gt;""))=0,"",SUMPRODUCT((SITE_ST="P9-010")*(SITE_TYPE=$B138)*(SITE_TYPE&lt;&gt;"")*(SITE_T23="Y"))&amp;"/"&amp;SUMPRODUCT((SITE_ST="P9-010")*(SITE_TYPE=$B138)*(SITE_TYPE&lt;&gt;"")))</f>
        <v/>
      </c>
      <c r="O138" s="32" t="str">
        <f aca="false">IF(SUMPRODUCT((SITE_ST="P9-010")*(SITE_TYPE=$B138)*(LEFT(SITE_LAD,4)="ติด:"))=0,"",SUMPRODUCT((SITE_ST="P9-010")*(SITE_TYPE=$B138)*(LEFT(SITE_LAD,4)="ติด:"))&amp;"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SUMPRODUCT((SITE_ST="P9-010")*(SITE_TYPE=$B139)*(SITE_TYPE&lt;&gt;""))</f>
        <v>1</v>
      </c>
      <c r="E139" s="397" t="n">
        <f aca="false">SUMPRODUCT((SITE_ST="P9-010")*(SITE_TYPE=$B139)*SITE_MOD)</f>
        <v>492</v>
      </c>
      <c r="I139" s="398" t="n">
        <f aca="false">SUMPRODUCT((SITE_ST="P9-010")*(SITE_TYPE=$B139)*SITE_KWP)</f>
        <v>280.44</v>
      </c>
      <c r="J139" s="35" t="n">
        <f aca="false">IF(SUMPRODUCT((SITE_ST="P9-010")*(SITE_TYPE=$B139)*(SITE_TYPE&lt;&gt;""))=0,"",SUMPRODUCT((SITE_ST="P9-010")*(SITE_TYPE=$B139)*SITE_S21*SITE_D21)/MAX(0.0001,SUMPRODUCT((SITE_ST="P9-010")*(SITE_TYPE=$B139)*SITE_S21)))</f>
        <v>0</v>
      </c>
      <c r="K139" s="32" t="str">
        <f aca="false">IF(SUMPRODUCT((SITE_ST="P9-010")*(SITE_TYPE=$B139)*(SITE_TYPE&lt;&gt;""))=0,"",SUMPRODUCT((SITE_ST="P9-010")*(SITE_TYPE=$B139)*(SITE_TYPE&lt;&gt;"")*(SITE_T22="Y"))&amp;"/"&amp;SUMPRODUCT((SITE_ST="P9-010")*(SITE_TYPE=$B139)*(SITE_TYPE&lt;&gt;"")))</f>
        <v>0/1</v>
      </c>
      <c r="L139" s="32" t="str">
        <f aca="false">IF(SUMPRODUCT((SITE_ST="P9-010")*(SITE_TYPE=$B139)*(SITE_TYPE&lt;&gt;""))=0,"",SUMPRODUCT((SITE_ST="P9-010")*(SITE_TYPE=$B139)*(SITE_TYPE&lt;&gt;"")*(SITE_T23="Y"))&amp;"/"&amp;SUMPRODUCT((SITE_ST="P9-010")*(SITE_TYPE=$B139)*(SITE_TYPE&lt;&gt;"")))</f>
        <v>0/1</v>
      </c>
      <c r="O139" s="32" t="str">
        <f aca="false">IF(SUMPRODUCT((SITE_ST="P9-010")*(SITE_TYPE=$B139)*(LEFT(SITE_LAD,4)="ติด:"))=0,"",SUMPRODUCT((SITE_ST="P9-010")*(SITE_TYPE=$B139)*(LEFT(SITE_LAD,4)="ติด:"))&amp;" จุด")</f>
        <v>1 จุด</v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SUMPRODUCT((SITE_ST="P9-010")*(SITE_TYPE=$B140)*(SITE_TYPE&lt;&gt;""))</f>
        <v>0</v>
      </c>
      <c r="E140" s="397" t="n">
        <f aca="false">SUMPRODUCT((SITE_ST="P9-010")*(SITE_TYPE=$B140)*SITE_MOD)</f>
        <v>0</v>
      </c>
      <c r="I140" s="398" t="n">
        <f aca="false">SUMPRODUCT((SITE_ST="P9-010")*(SITE_TYPE=$B140)*SITE_KWP)</f>
        <v>0</v>
      </c>
      <c r="J140" s="35" t="str">
        <f aca="false">IF(SUMPRODUCT((SITE_ST="P9-010")*(SITE_TYPE=$B140)*(SITE_TYPE&lt;&gt;""))=0,"",SUMPRODUCT((SITE_ST="P9-010")*(SITE_TYPE=$B140)*SITE_S21*SITE_D21)/MAX(0.0001,SUMPRODUCT((SITE_ST="P9-010")*(SITE_TYPE=$B140)*SITE_S21)))</f>
        <v/>
      </c>
      <c r="K140" s="32" t="str">
        <f aca="false">IF(SUMPRODUCT((SITE_ST="P9-010")*(SITE_TYPE=$B140)*(SITE_TYPE&lt;&gt;""))=0,"",SUMPRODUCT((SITE_ST="P9-010")*(SITE_TYPE=$B140)*(SITE_TYPE&lt;&gt;"")*(SITE_T22="Y"))&amp;"/"&amp;SUMPRODUCT((SITE_ST="P9-010")*(SITE_TYPE=$B140)*(SITE_TYPE&lt;&gt;"")))</f>
        <v/>
      </c>
      <c r="L140" s="32" t="str">
        <f aca="false">IF(SUMPRODUCT((SITE_ST="P9-010")*(SITE_TYPE=$B140)*(SITE_TYPE&lt;&gt;""))=0,"",SUMPRODUCT((SITE_ST="P9-010")*(SITE_TYPE=$B140)*(SITE_TYPE&lt;&gt;"")*(SITE_T23="Y"))&amp;"/"&amp;SUMPRODUCT((SITE_ST="P9-010")*(SITE_TYPE=$B140)*(SITE_TYPE&lt;&gt;"")))</f>
        <v/>
      </c>
      <c r="O140" s="32" t="str">
        <f aca="false">IF(SUMPRODUCT((SITE_ST="P9-010")*(SITE_TYPE=$B140)*(LEFT(SITE_LAD,4)="ติด:"))=0,"",SUMPRODUCT((SITE_ST="P9-010")*(SITE_TYPE=$B140)*(LEFT(SITE_LAD,4)="ติด:"))&amp;"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SUMPRODUCT((SITE_ST="P9-010")*(SITE_TYPE=$B141)*(SITE_TYPE&lt;&gt;""))</f>
        <v>0</v>
      </c>
      <c r="E141" s="397" t="n">
        <f aca="false">SUMPRODUCT((SITE_ST="P9-010")*(SITE_TYPE=$B141)*SITE_MOD)</f>
        <v>0</v>
      </c>
      <c r="I141" s="398" t="n">
        <f aca="false">SUMPRODUCT((SITE_ST="P9-010")*(SITE_TYPE=$B141)*SITE_KWP)</f>
        <v>0</v>
      </c>
      <c r="J141" s="35" t="str">
        <f aca="false">IF(SUMPRODUCT((SITE_ST="P9-010")*(SITE_TYPE=$B141)*(SITE_TYPE&lt;&gt;""))=0,"",SUMPRODUCT((SITE_ST="P9-010")*(SITE_TYPE=$B141)*SITE_S21*SITE_D21)/MAX(0.0001,SUMPRODUCT((SITE_ST="P9-010")*(SITE_TYPE=$B141)*SITE_S21)))</f>
        <v/>
      </c>
      <c r="K141" s="32" t="str">
        <f aca="false">IF(SUMPRODUCT((SITE_ST="P9-010")*(SITE_TYPE=$B141)*(SITE_TYPE&lt;&gt;""))=0,"",SUMPRODUCT((SITE_ST="P9-010")*(SITE_TYPE=$B141)*(SITE_TYPE&lt;&gt;"")*(SITE_T22="Y"))&amp;"/"&amp;SUMPRODUCT((SITE_ST="P9-010")*(SITE_TYPE=$B141)*(SITE_TYPE&lt;&gt;"")))</f>
        <v/>
      </c>
      <c r="L141" s="32" t="str">
        <f aca="false">IF(SUMPRODUCT((SITE_ST="P9-010")*(SITE_TYPE=$B141)*(SITE_TYPE&lt;&gt;""))=0,"",SUMPRODUCT((SITE_ST="P9-010")*(SITE_TYPE=$B141)*(SITE_TYPE&lt;&gt;"")*(SITE_T23="Y"))&amp;"/"&amp;SUMPRODUCT((SITE_ST="P9-010")*(SITE_TYPE=$B141)*(SITE_TYPE&lt;&gt;"")))</f>
        <v/>
      </c>
      <c r="O141" s="32" t="str">
        <f aca="false">IF(SUMPRODUCT((SITE_ST="P9-010")*(SITE_TYPE=$B141)*(LEFT(SITE_LAD,4)="ติด:"))=0,"",SUMPRODUCT((SITE_ST="P9-010")*(SITE_TYPE=$B141)*(LEFT(SITE_LAD,4)="ติด:"))&amp;"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SUMPRODUCT((SITE_ST="P9-010")*(SITE_TYPE&lt;&gt;""))</f>
        <v>1</v>
      </c>
      <c r="E142" s="403" t="n">
        <f aca="false">SUMPRODUCT((SITE_ST="P9-010")*SITE_MOD)</f>
        <v>492</v>
      </c>
      <c r="I142" s="404" t="n">
        <f aca="false">SUMPRODUCT((SITE_ST="P9-010")*SITE_KWP)</f>
        <v>280.44</v>
      </c>
      <c r="J142" s="405" t="n">
        <f aca="false">IF(SUMPRODUCT((SITE_ST="P9-010")*(SITE_TYPE&lt;&gt;""))=0,"",SUMPRODUCT((SITE_ST="P9-010")*SITE_S21*SITE_D21)/MAX(0.0001,SUMPRODUCT((SITE_ST="P9-010")*SITE_S21)))</f>
        <v>0</v>
      </c>
      <c r="K142" s="406" t="str">
        <f aca="false">IF(SUMPRODUCT((SITE_ST="P9-010")*(SITE_TYPE&lt;&gt;""))=0,"",SUMPRODUCT((SITE_ST="P9-010")*(SITE_TYPE&lt;&gt;"")*(SITE_T22="Y"))&amp;"/"&amp;SUMPRODUCT((SITE_ST="P9-010")*(SITE_TYPE&lt;&gt;"")))</f>
        <v>0/1</v>
      </c>
      <c r="L142" s="406" t="str">
        <f aca="false">IF(SUMPRODUCT((SITE_ST="P9-010")*(SITE_TYPE&lt;&gt;""))=0,"",SUMPRODUCT((SITE_ST="P9-010")*(SITE_TYPE&lt;&gt;"")*(SITE_T23="Y"))&amp;"/"&amp;SUMPRODUCT((SITE_ST="P9-010")*(SITE_TYPE&lt;&gt;"")))</f>
        <v>0/1</v>
      </c>
      <c r="O142" s="406" t="str">
        <f aca="false">IF(SUMPRODUCT((SITE_ST="P9-010")*(LEFT(SITE_LAD,4)="ติด:"))=0,"",SUMPRODUCT((SITE_ST="P9-010")*(LEFT(SITE_LAD,4)="ติด:"))&amp;" จุด")</f>
        <v>1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IFERROR(INDEX(INVS_TYPE,MATCH("P9-010",INVS_ID,0))&amp;"","")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ทั้งก้อน",IFERROR(INDEX(INVS_SET,MATCH("P9-010",INVS_ID,0)),"")&amp;" kW, โรงเรือน "&amp;IFERROR(INDEX(INVS_SIZE,MATCH("P9-010",INVS_ID,0)),"")&amp;",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7" display="✎ กรอกความคืบหน้า"/>
    <hyperlink ref="R4" location="'Master Plan'!A17" display="← กลับ Master Plan"/>
    <hyperlink ref="M10" location="'อัปเดตงาน WBS'!L7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4"/>
    <hyperlink ref="M11" location="'อัปเดตงาน WBS'!L7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5"/>
    <hyperlink ref="M12" location="'อัปเดตงาน WBS'!L7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6"/>
    <hyperlink ref="M13" location="'อัปเดตงาน WBS'!L7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7"/>
    <hyperlink ref="M14" location="'อัปเดตงาน WBS'!L7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8"/>
    <hyperlink ref="M15" location="'อัปเดตงาน WBS'!L7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49"/>
    <hyperlink ref="M17" location="'อัปเดตงาน WBS'!L7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0"/>
    <hyperlink ref="M18" location="'อัปเดตงาน WBS'!L7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1"/>
    <hyperlink ref="M19" location="'อัปเดตงาน WBS'!L7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2"/>
    <hyperlink ref="M20" location="'อัปเดตงาน WBS'!L7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3"/>
    <hyperlink ref="M21" location="'อัปเดตงาน WBS'!L7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4"/>
    <hyperlink ref="M22" location="'อัปเดตงาน WBS'!L7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5"/>
    <hyperlink ref="M23" location="'อัปเดตงาน WBS'!L7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6"/>
    <hyperlink ref="M24" location="'อัปเดตงาน WBS'!L7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7"/>
    <hyperlink ref="M26" location="'อัปเดตงาน WBS'!L7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8"/>
    <hyperlink ref="M27" location="'อัปเดตงาน WBS'!L7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59"/>
    <hyperlink ref="M28" location="'อัปเดตงาน WBS'!L7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0"/>
    <hyperlink ref="M31" location="'อัปเดตงาน WBS'!L7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1"/>
    <hyperlink ref="M32" location="'อัปเดตงาน WBS'!L7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2"/>
    <hyperlink ref="M33" location="'อัปเดตงาน WBS'!L7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3"/>
    <hyperlink ref="M35" location="'อัปเดตงาน WBS'!L7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4"/>
    <hyperlink ref="M36" location="'อัปเดตงาน WBS'!L7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5"/>
    <hyperlink ref="M37" location="'อัปเดตงาน WBS'!L7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6"/>
    <hyperlink ref="M38" location="'อัปเดตงาน WBS'!L7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7"/>
    <hyperlink ref="M40" location="'อัปเดตงาน WBS'!L7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8"/>
    <hyperlink ref="M41" location="'อัปเดตงาน WBS'!L7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69"/>
    <hyperlink ref="M42" location="'อัปเดตงาน WBS'!L7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0"/>
    <hyperlink ref="M44" location="'อัปเดตงาน WBS'!L7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1"/>
    <hyperlink ref="M45" location="'อัปเดตงาน WBS'!L7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2"/>
    <hyperlink ref="M46" location="'อัปเดตงาน WBS'!L7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3"/>
    <hyperlink ref="M48" location="'อัปเดตงาน WBS'!L7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4"/>
    <hyperlink ref="M49" location="'อัปเดตงาน WBS'!L7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5"/>
    <hyperlink ref="M51" location="'อัปเดตงาน WBS'!L7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6"/>
    <hyperlink ref="M53" location="'อัปเดตงาน WBS'!L7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7"/>
    <hyperlink ref="M54" location="'อัปเดตงาน WBS'!L7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8"/>
    <hyperlink ref="M63" location="'อัปเดตงาน WBS'!L7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79"/>
    <hyperlink ref="M64" location="'อัปเดตงาน WBS'!L7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0"/>
    <hyperlink ref="M65" location="'อัปเดตงาน WBS'!L7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1"/>
    <hyperlink ref="M66" location="'อัปเดตงาน WBS'!L7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2"/>
    <hyperlink ref="M67" location="'อัปเดตงาน WBS'!L7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3"/>
    <hyperlink ref="M68" location="'อัปเดตงาน WBS'!L7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4"/>
    <hyperlink ref="M69" location="'อัปเดตงาน WBS'!L7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5"/>
    <hyperlink ref="M71" location="'อัปเดตงาน WBS'!L7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6"/>
    <hyperlink ref="M72" location="'อัปเดตงาน WBS'!L7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7"/>
    <hyperlink ref="M73" location="'อัปเดตงาน WBS'!L7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8"/>
    <hyperlink ref="M74" location="'อัปเดตงาน WBS'!L7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89"/>
    <hyperlink ref="M75" location="'อัปเดตงาน WBS'!L7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0"/>
    <hyperlink ref="M77" location="'อัปเดตงาน WBS'!L7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1"/>
    <hyperlink ref="M78" location="'อัปเดตงาน WBS'!L7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2"/>
    <hyperlink ref="M79" location="'อัปเดตงาน WBS'!L7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3"/>
    <hyperlink ref="M80" location="'อัปเดตงาน WBS'!L7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4"/>
    <hyperlink ref="M81" location="'อัปเดตงาน WBS'!L7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5"/>
    <hyperlink ref="M83" location="'อัปเดตงาน WBS'!L7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6"/>
    <hyperlink ref="M84" location="'อัปเดตงาน WBS'!L7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7"/>
    <hyperlink ref="M86" location="'อัปเดตงาน WBS'!L7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8"/>
    <hyperlink ref="M87" location="'อัปเดตงาน WBS'!L7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799"/>
    <hyperlink ref="M88" location="'อัปเดตงาน WBS'!L8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0"/>
    <hyperlink ref="M89" location="'อัปเดตงาน WBS'!L8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1"/>
    <hyperlink ref="M91" location="'อัปเดตงาน WBS'!L8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2"/>
    <hyperlink ref="M92" location="'อัปเดตงาน WBS'!L8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3"/>
    <hyperlink ref="M93" location="'อัปเดตงาน WBS'!L8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4"/>
    <hyperlink ref="M94" location="'อัปเดตงาน WBS'!L8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5"/>
    <hyperlink ref="M95" location="'อัปเดตงาน WBS'!L8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6"/>
    <hyperlink ref="M97" location="'อัปเดตงาน WBS'!L8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7"/>
    <hyperlink ref="M98" location="'อัปเดตงาน WBS'!L8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8"/>
    <hyperlink ref="M99" location="'อัปเดตงาน WBS'!L8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09"/>
    <hyperlink ref="M102" location="'อัปเดตงาน WBS'!L8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0"/>
    <hyperlink ref="M104" location="'อัปเดตงาน WBS'!L8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1"/>
    <hyperlink ref="M105" location="'อัปเดตงาน WBS'!L8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2"/>
    <hyperlink ref="M106" location="'อัปเดตงาน WBS'!L8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3"/>
    <hyperlink ref="M108" location="'อัปเดตงาน WBS'!L8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4"/>
    <hyperlink ref="M109" location="'อัปเดตงาน WBS'!L8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5"/>
    <hyperlink ref="M110" location="'อัปเดตงาน WBS'!L8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6"/>
    <hyperlink ref="M112" location="'อัปเดตงาน WBS'!L8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7"/>
    <hyperlink ref="M113" location="'อัปเดตงาน WBS'!L8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8"/>
    <hyperlink ref="M116" location="'อัปเดตงาน WBS'!L8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19"/>
    <hyperlink ref="M117" location="'อัปเดตงาน WBS'!L8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0"/>
    <hyperlink ref="M118" location="'อัปเดตงาน WBS'!L8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1"/>
    <hyperlink ref="M119" location="'อัปเดตงาน WBS'!L8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2"/>
    <hyperlink ref="M120" location="'อัปเดตงาน WBS'!L8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3"/>
    <hyperlink ref="M121" location="'อัปเดตงาน WBS'!L8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4"/>
    <hyperlink ref="M125" location="'อัปเดตงาน WBS'!L8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5"/>
    <hyperlink ref="M126" location="'อัปเดตงาน WBS'!L8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6"/>
    <hyperlink ref="M127" location="'อัปเดตงาน WBS'!L8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7"/>
    <hyperlink ref="D134" location="'จุดติดตั้ง'!A52" display="✎ เพิ่ม / แก้จุดติดตั้ง →"/>
    <hyperlink ref="D146" location="'Inverter station'!A15" display="file:///home/claude/dash/template/%E0%B9%81%E0%B8%A1%E0%B9%88%E0%B9%81%E0%B8%9A%E0%B8%9A%E0%B9%82%E0%B8%84%E0%B8%A3%E0%B8%87%E0%B8%81%E0%B8%B2%E0%B8%A3%20TCRoof%20(%E0%B8%97%E0%B8%B8%E0%B8%81%E0%B8%81%E0%B8%A3%E0%B8%93%E0%B8%B5).xlsx#'Inverter station'!A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3708</v>
      </c>
    </row>
    <row r="2" customFormat="false" ht="15" hidden="false" customHeight="false" outlineLevel="0" collapsed="false">
      <c r="A2" s="354" t="s">
        <v>3709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Plan'!$AI$18</f>
        <v>-36</v>
      </c>
      <c r="M4" s="360"/>
      <c r="N4" s="360" t="n">
        <f aca="false">'Master Plan'!$AJ$18</f>
        <v>-3</v>
      </c>
      <c r="O4" s="360"/>
      <c r="P4" s="361" t="str">
        <f aca="false">'Master Plan'!$AK$18&amp;" / "&amp;'Master Plan'!$AL$18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COUNTIFS(CR_ST,"P9-011",CR_STAT,"อนุมัติ")&amp;" รายการ, "&amp;'Master Plan'!$AO$18&amp;" วัน"</f>
        <v>0 รายการ, 0 วัน</v>
      </c>
      <c r="AG4" s="362"/>
      <c r="AH4" s="362"/>
      <c r="AI4" s="362"/>
      <c r="AJ4" s="362"/>
      <c r="AK4" s="363" t="n">
        <f aca="false">COUNTIFS(CR_ST,"P9-011",CR_STAT,"รออนุมัติ")+COUNTIFS(CR_ST,"P9-011",CR_STAT,"ขอข้อมูลเพิ่ม")</f>
        <v>0</v>
      </c>
      <c r="AL4" s="363"/>
      <c r="AM4" s="363"/>
      <c r="AN4" s="363"/>
      <c r="AO4" s="363"/>
      <c r="AP4" s="362" t="str">
        <f aca="false">COUNTIF(RW_ST,"P9-011")&amp;" ("&amp;COUNTIFS(RW_ST,"P9-011",RW_DONE,"&lt;&gt;Y")&amp;")"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COUNTIF(LL_ST,"*P9-011*")</f>
        <v>0</v>
      </c>
      <c r="BA4" s="363"/>
      <c r="BB4" s="363"/>
      <c r="BC4" s="363"/>
      <c r="BD4" s="363"/>
      <c r="BE4" s="362" t="str">
        <f aca="false">IF(COUNTIFS(SITE_ST,"P9-011",SITE_TYPE,"?*")=0,"ประมาณการ,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IF(COUNTIFS(SITE_ST,"P9-011",SITE_TYPE,"?*")=0,"ยังไม่ระบุจุด",COUNTIFS(SITE_ST,"P9-011",SITE_LAD,"ติด:*")&amp;" จุด"&amp;IF(COUNTIFS(SITE_ST,"P9-011",SITE_LAD,"⚠*")&gt;0,", ⚠ กรอกความสูง",""))</f>
        <v>1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3710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85</v>
      </c>
      <c r="E9" s="372" t="n">
        <v>0</v>
      </c>
      <c r="F9" s="31"/>
      <c r="G9" s="32"/>
      <c r="H9" s="32" t="n">
        <v>1</v>
      </c>
      <c r="I9" s="373" t="n">
        <f aca="false">'Master Plan'!$H$18+(-75)</f>
        <v>46328</v>
      </c>
      <c r="J9" s="373" t="n">
        <f aca="false">'Master Plan'!$H$18+(50)</f>
        <v>46453</v>
      </c>
      <c r="K9" s="78"/>
      <c r="L9" s="78" t="str">
        <f aca="false">IF(ISNUMBER(อัปเดตรายสัปดาห์!$G$18),อัปเดตรายสัปดาห์!$G$18,"")</f>
        <v/>
      </c>
      <c r="M9" s="374" t="str">
        <f aca="false">IF(อัปเดตรายสัปดาห์!$G$18="Y","Y","")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Plan'!$H$18+(-75)</f>
        <v>46328</v>
      </c>
      <c r="J10" s="382" t="n">
        <f aca="false">'Master Plan'!$H$18+(-63)</f>
        <v>46340</v>
      </c>
      <c r="K10" s="387"/>
      <c r="L10" s="387"/>
      <c r="M10" s="383" t="str">
        <f aca="false">IF('อัปเดตงาน WBS'!$L$828="","",'อัปเดตงาน WBS'!$L$828)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Plan'!$H$18+(-75)</f>
        <v>46328</v>
      </c>
      <c r="J11" s="382" t="n">
        <f aca="false">'Master Plan'!$H$18+(-63)</f>
        <v>46340</v>
      </c>
      <c r="K11" s="387"/>
      <c r="L11" s="387"/>
      <c r="M11" s="383" t="str">
        <f aca="false">IF('อัปเดตงาน WBS'!$L$829="","",'อัปเดตงาน WBS'!$L$829)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Plan'!$H$18+(-75)</f>
        <v>46328</v>
      </c>
      <c r="J12" s="382" t="n">
        <f aca="false">'Master Plan'!$H$18+(-63)</f>
        <v>46340</v>
      </c>
      <c r="K12" s="387"/>
      <c r="L12" s="387"/>
      <c r="M12" s="383" t="str">
        <f aca="false">IF('อัปเดตงาน WBS'!$L$830="","",'อัปเดตงาน WBS'!$L$830)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Plan'!$H$18+(-75)</f>
        <v>46328</v>
      </c>
      <c r="J13" s="382" t="n">
        <f aca="false">'Master Plan'!$H$18+(-56)</f>
        <v>46347</v>
      </c>
      <c r="K13" s="387"/>
      <c r="L13" s="387"/>
      <c r="M13" s="383" t="str">
        <f aca="false">IF('อัปเดตงาน WBS'!$L$831="","",'อัปเดตงาน WBS'!$L$831)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Plan'!$H$18+(-63)</f>
        <v>46340</v>
      </c>
      <c r="J14" s="382" t="n">
        <f aca="false">'Master Plan'!$H$18+(50)</f>
        <v>46453</v>
      </c>
      <c r="K14" s="387"/>
      <c r="L14" s="387"/>
      <c r="M14" s="383" t="str">
        <f aca="false">IF('อัปเดตงาน WBS'!$L$832="","",'อัปเดตงาน WBS'!$L$832)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Plan'!$H$18+(-63)</f>
        <v>46340</v>
      </c>
      <c r="J15" s="382" t="n">
        <f aca="false">'Master Plan'!$H$18+(50)</f>
        <v>46453</v>
      </c>
      <c r="K15" s="387"/>
      <c r="L15" s="387"/>
      <c r="M15" s="383" t="str">
        <f aca="false">IF('อัปเดตงาน WBS'!$L$833="","",'อัปเดตงาน WBS'!$L$833)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Plan'!$H$18+(-56)</f>
        <v>46347</v>
      </c>
      <c r="J16" s="373" t="n">
        <f aca="false">'Master Plan'!$H$18+(-45)</f>
        <v>46358</v>
      </c>
      <c r="K16" s="78"/>
      <c r="L16" s="78" t="str">
        <f aca="false">IF(ISNUMBER(อัปเดตรายสัปดาห์!$H$18),อัปเดตรายสัปดาห์!$H$18,"")</f>
        <v/>
      </c>
      <c r="M16" s="374" t="str">
        <f aca="false">IF(อัปเดตรายสัปดาห์!$H$18="Y","Y","")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Plan'!$H$18+(-56)</f>
        <v>46347</v>
      </c>
      <c r="J17" s="382" t="n">
        <f aca="false">'Master Plan'!$H$18+(-54)</f>
        <v>46349</v>
      </c>
      <c r="K17" s="387"/>
      <c r="L17" s="387"/>
      <c r="M17" s="383" t="str">
        <f aca="false">IF('อัปเดตงาน WBS'!$L$834="","",'อัปเดตงาน WBS'!$L$834)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Plan'!$H$18+(-55)</f>
        <v>46348</v>
      </c>
      <c r="J18" s="382" t="n">
        <f aca="false">'Master Plan'!$H$18+(-52)</f>
        <v>46351</v>
      </c>
      <c r="K18" s="387"/>
      <c r="L18" s="387"/>
      <c r="M18" s="383" t="str">
        <f aca="false">IF('อัปเดตงาน WBS'!$L$835="","",'อัปเดตงาน WBS'!$L$835)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Plan'!$H$18+(-53)</f>
        <v>46350</v>
      </c>
      <c r="J19" s="382" t="n">
        <f aca="false">'Master Plan'!$H$18+(-48)</f>
        <v>46355</v>
      </c>
      <c r="K19" s="387"/>
      <c r="L19" s="387"/>
      <c r="M19" s="383" t="str">
        <f aca="false">IF('อัปเดตงาน WBS'!$L$836="","",'อัปเดตงาน WBS'!$L$836)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Plan'!$H$18+(-53)</f>
        <v>46350</v>
      </c>
      <c r="J20" s="382" t="n">
        <f aca="false">'Master Plan'!$H$18+(-48)</f>
        <v>46355</v>
      </c>
      <c r="K20" s="387"/>
      <c r="L20" s="387"/>
      <c r="M20" s="383" t="str">
        <f aca="false">IF('อัปเดตงาน WBS'!$L$837="","",'อัปเดตงาน WBS'!$L$837)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Plan'!$H$18+(-52)</f>
        <v>46351</v>
      </c>
      <c r="J21" s="382" t="n">
        <f aca="false">'Master Plan'!$H$18+(-47)</f>
        <v>46356</v>
      </c>
      <c r="K21" s="387"/>
      <c r="L21" s="387"/>
      <c r="M21" s="383" t="str">
        <f aca="false">IF('อัปเดตงาน WBS'!$L$838="","",'อัปเดตงาน WBS'!$L$838)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Plan'!$H$18+(-50)</f>
        <v>46353</v>
      </c>
      <c r="J22" s="382" t="n">
        <f aca="false">'Master Plan'!$H$18+(-46)</f>
        <v>46357</v>
      </c>
      <c r="K22" s="387"/>
      <c r="L22" s="387"/>
      <c r="M22" s="383" t="str">
        <f aca="false">IF('อัปเดตงาน WBS'!$L$839="","",'อัปเดตงาน WBS'!$L$839)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Plan'!$H$18+(-49)</f>
        <v>46354</v>
      </c>
      <c r="J24" s="382" t="n">
        <f aca="false">'Master Plan'!$H$18+(-45)</f>
        <v>46358</v>
      </c>
      <c r="K24" s="387"/>
      <c r="L24" s="387"/>
      <c r="M24" s="383" t="str">
        <f aca="false">IF('อัปเดตงาน WBS'!$L$840="","",'อัปเดตงาน WBS'!$L$840)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Plan'!$H$18+(-51)</f>
        <v>46352</v>
      </c>
      <c r="J25" s="373" t="n">
        <f aca="false">'Master Plan'!$H$18+(-51)</f>
        <v>46352</v>
      </c>
      <c r="K25" s="78"/>
      <c r="L25" s="78" t="str">
        <f aca="false">IF(ISNUMBER(อัปเดตรายสัปดาห์!$I$18),อัปเดตรายสัปดาห์!$I$18,"")</f>
        <v/>
      </c>
      <c r="M25" s="374" t="str">
        <f aca="false">IF(อัปเดตรายสัปดาห์!$I$18="Y","Y","")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Plan'!$H$18+(-51)</f>
        <v>46352</v>
      </c>
      <c r="J26" s="382" t="n">
        <f aca="false">'Master Plan'!$H$18+(-51)</f>
        <v>46352</v>
      </c>
      <c r="K26" s="387"/>
      <c r="L26" s="387"/>
      <c r="M26" s="383" t="str">
        <f aca="false">IF('อัปเดตงาน WBS'!$L$841="","",'อัปเดตงาน WBS'!$L$841)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Plan'!$H$18+(-51)</f>
        <v>46352</v>
      </c>
      <c r="J27" s="382" t="n">
        <f aca="false">'Master Plan'!$H$18+(-51)</f>
        <v>46352</v>
      </c>
      <c r="K27" s="387"/>
      <c r="L27" s="387"/>
      <c r="M27" s="383" t="str">
        <f aca="false">IF('อัปเดตงาน WBS'!$L$842="","",'อัปเดตงาน WBS'!$L$842)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Plan'!$H$18+(-51)</f>
        <v>46352</v>
      </c>
      <c r="J28" s="382" t="n">
        <f aca="false">'Master Plan'!$H$18+(-51)</f>
        <v>46352</v>
      </c>
      <c r="K28" s="387"/>
      <c r="L28" s="387"/>
      <c r="M28" s="383" t="str">
        <f aca="false">IF('อัปเดตงาน WBS'!$L$843="","",'อัปเดตงาน WBS'!$L$843)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85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Plan'!$H$18+(-75)</f>
        <v>46328</v>
      </c>
      <c r="J30" s="373" t="n">
        <f aca="false">'Master Plan'!$H$18+(-75)</f>
        <v>46328</v>
      </c>
      <c r="K30" s="78"/>
      <c r="L30" s="78" t="str">
        <f aca="false">IF(ISNUMBER(อัปเดตรายสัปดาห์!$J$18),อัปเดตรายสัปดาห์!$J$18,"")</f>
        <v/>
      </c>
      <c r="M30" s="374" t="str">
        <f aca="false">IF(อัปเดตรายสัปดาห์!$J$18="Y","Y","")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Plan'!$H$18+(-75)</f>
        <v>46328</v>
      </c>
      <c r="J31" s="382" t="n">
        <f aca="false">'Master Plan'!$H$18+(-75)</f>
        <v>46328</v>
      </c>
      <c r="K31" s="387"/>
      <c r="L31" s="387"/>
      <c r="M31" s="383" t="str">
        <f aca="false">IF('อัปเดตงาน WBS'!$L$844="","",'อัปเดตงาน WBS'!$L$844)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Plan'!$H$18+(-75)</f>
        <v>46328</v>
      </c>
      <c r="J32" s="382" t="n">
        <f aca="false">'Master Plan'!$H$18+(-75)</f>
        <v>46328</v>
      </c>
      <c r="K32" s="387"/>
      <c r="L32" s="387"/>
      <c r="M32" s="383" t="str">
        <f aca="false">IF('อัปเดตงาน WBS'!$L$845="","",'อัปเดตงาน WBS'!$L$845)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Plan'!$H$18+(-75)</f>
        <v>46328</v>
      </c>
      <c r="J33" s="382" t="n">
        <f aca="false">'Master Plan'!$H$18+(-75)</f>
        <v>46328</v>
      </c>
      <c r="K33" s="387"/>
      <c r="L33" s="387"/>
      <c r="M33" s="383" t="str">
        <f aca="false">IF('อัปเดตงาน WBS'!$L$846="","",'อัปเดตงาน WBS'!$L$846)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85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Plan'!$H$18+(-68)</f>
        <v>46335</v>
      </c>
      <c r="J34" s="373" t="n">
        <f aca="false">'Master Plan'!$H$18+(-59)</f>
        <v>46344</v>
      </c>
      <c r="K34" s="78"/>
      <c r="L34" s="78" t="str">
        <f aca="false">IF(ISNUMBER(อัปเดตรายสัปดาห์!$K$18),อัปเดตรายสัปดาห์!$K$18,"")</f>
        <v/>
      </c>
      <c r="M34" s="374" t="str">
        <f aca="false">IF(อัปเดตรายสัปดาห์!$K$18="Y","Y","")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Plan'!$H$18+(-68)</f>
        <v>46335</v>
      </c>
      <c r="J35" s="382" t="n">
        <f aca="false">'Master Plan'!$H$18+(-64)</f>
        <v>46339</v>
      </c>
      <c r="K35" s="387"/>
      <c r="L35" s="387"/>
      <c r="M35" s="383" t="str">
        <f aca="false">IF('อัปเดตงาน WBS'!$L$847="","",'อัปเดตงาน WBS'!$L$847)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Plan'!$H$18+(-68)</f>
        <v>46335</v>
      </c>
      <c r="J36" s="382" t="n">
        <f aca="false">'Master Plan'!$H$18+(-63)</f>
        <v>46340</v>
      </c>
      <c r="K36" s="387"/>
      <c r="L36" s="387"/>
      <c r="M36" s="383" t="str">
        <f aca="false">IF('อัปเดตงาน WBS'!$L$848="","",'อัปเดตงาน WBS'!$L$848)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Plan'!$H$18+(-65)</f>
        <v>46338</v>
      </c>
      <c r="J37" s="382" t="n">
        <f aca="false">'Master Plan'!$H$18+(-62)</f>
        <v>46341</v>
      </c>
      <c r="K37" s="387"/>
      <c r="L37" s="387"/>
      <c r="M37" s="383" t="str">
        <f aca="false">IF('อัปเดตงาน WBS'!$L$849="","",'อัปเดตงาน WBS'!$L$849)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Plan'!$H$18+(-63)</f>
        <v>46340</v>
      </c>
      <c r="J38" s="382" t="n">
        <f aca="false">'Master Plan'!$H$18+(-59)</f>
        <v>46344</v>
      </c>
      <c r="K38" s="387"/>
      <c r="L38" s="387"/>
      <c r="M38" s="383" t="str">
        <f aca="false">IF('อัปเดตงาน WBS'!$L$850="","",'อัปเดตงาน WBS'!$L$850)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85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Plan'!$H$18+(-45)</f>
        <v>46358</v>
      </c>
      <c r="J39" s="373" t="n">
        <f aca="false">'Master Plan'!$H$18+(-45)</f>
        <v>46358</v>
      </c>
      <c r="K39" s="78"/>
      <c r="L39" s="78" t="str">
        <f aca="false">IF(ISNUMBER(อัปเดตรายสัปดาห์!$L$18),อัปเดตรายสัปดาห์!$L$18,"")</f>
        <v/>
      </c>
      <c r="M39" s="374" t="str">
        <f aca="false">IF(อัปเดตรายสัปดาห์!$L$18="Y","Y","")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Plan'!$H$18+(-45)</f>
        <v>46358</v>
      </c>
      <c r="J40" s="382" t="n">
        <f aca="false">'Master Plan'!$H$18+(-45)</f>
        <v>46358</v>
      </c>
      <c r="K40" s="387"/>
      <c r="L40" s="387"/>
      <c r="M40" s="383" t="str">
        <f aca="false">IF('อัปเดตงาน WBS'!$L$851="","",'อัปเดตงาน WBS'!$L$851)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Plan'!$H$18+(-45)</f>
        <v>46358</v>
      </c>
      <c r="J41" s="382" t="n">
        <f aca="false">'Master Plan'!$H$18+(-45)</f>
        <v>46358</v>
      </c>
      <c r="K41" s="387"/>
      <c r="L41" s="387"/>
      <c r="M41" s="383" t="str">
        <f aca="false">IF('อัปเดตงาน WBS'!$L$852="","",'อัปเดตงาน WBS'!$L$852)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Plan'!$H$18+(-45)</f>
        <v>46358</v>
      </c>
      <c r="J42" s="382" t="n">
        <f aca="false">'Master Plan'!$H$18+(-45)</f>
        <v>46358</v>
      </c>
      <c r="K42" s="387"/>
      <c r="L42" s="387"/>
      <c r="M42" s="383" t="str">
        <f aca="false">IF('อัปเดตงาน WBS'!$L$853="","",'อัปเดตงาน WBS'!$L$853)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Plan'!$H$18+(-68)</f>
        <v>46335</v>
      </c>
      <c r="J43" s="373" t="n">
        <f aca="false">'Master Plan'!$H$18+(-55)</f>
        <v>46348</v>
      </c>
      <c r="K43" s="78"/>
      <c r="L43" s="78" t="str">
        <f aca="false">IF(ISNUMBER(อัปเดตรายสัปดาห์!$M$18),อัปเดตรายสัปดาห์!$M$18,"")</f>
        <v/>
      </c>
      <c r="M43" s="374" t="str">
        <f aca="false">IF(อัปเดตรายสัปดาห์!$M$18="Y","Y","")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Plan'!$H$18+(-68)</f>
        <v>46335</v>
      </c>
      <c r="J44" s="382" t="n">
        <f aca="false">'Master Plan'!$H$18+(-65)</f>
        <v>46338</v>
      </c>
      <c r="K44" s="387"/>
      <c r="L44" s="387"/>
      <c r="M44" s="383" t="str">
        <f aca="false">IF('อัปเดตงาน WBS'!$L$854="","",'อัปเดตงาน WBS'!$L$854)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Plan'!$H$18+(-67)</f>
        <v>46336</v>
      </c>
      <c r="J45" s="382" t="n">
        <f aca="false">'Master Plan'!$H$18+(-62)</f>
        <v>46341</v>
      </c>
      <c r="K45" s="387"/>
      <c r="L45" s="387"/>
      <c r="M45" s="383" t="str">
        <f aca="false">IF('อัปเดตงาน WBS'!$L$855="","",'อัปเดตงาน WBS'!$L$855)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Plan'!$H$18+(-62)</f>
        <v>46341</v>
      </c>
      <c r="J46" s="382" t="n">
        <f aca="false">'Master Plan'!$H$18+(-55)</f>
        <v>46348</v>
      </c>
      <c r="K46" s="387"/>
      <c r="L46" s="387"/>
      <c r="M46" s="383" t="str">
        <f aca="false">IF('อัปเดตงาน WBS'!$L$856="","",'อัปเดตงาน WBS'!$L$856)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IF(ISNUMBER(อัปเดตรายสัปดาห์!$P$18),อัปเดตรายสัปดาห์!$P$18,"")</f>
        <v/>
      </c>
      <c r="M52" s="374" t="str">
        <f aca="false">IF(อัปเดตรายสัปดาห์!$P$18="Y","Y","")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WBS'!$L$857="","",'อัปเดตงาน WBS'!$L$857)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WBS'!$L$858="","",'อัปเดตงาน WBS'!$L$858)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Plan'!$H$18+(-12)</f>
        <v>46391</v>
      </c>
      <c r="J55" s="373" t="n">
        <f aca="false">'Master Plan'!$H$18+(-12)</f>
        <v>46391</v>
      </c>
      <c r="K55" s="78"/>
      <c r="L55" s="78" t="str">
        <f aca="false">IF(ISNUMBER(อัปเดตรายสัปดาห์!$Q$18),อัปเดตรายสัปดาห์!$Q$18,"")</f>
        <v/>
      </c>
      <c r="M55" s="374" t="str">
        <f aca="false">IF(อัปเดตรายสัปดาห์!$Q$18="Y","Y","")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Plan'!$AC$18)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IF(ISNUMBER(อัปเดตรายสัปดาห์!$R$18),อัปเดตรายสัปดาห์!$R$18,"")</f>
        <v/>
      </c>
      <c r="M56" s="374" t="str">
        <f aca="false">IF(อัปเดตรายสัปดาห์!$R$18="Y","Y","")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Plan'!$H$18+(-11)</f>
        <v>46392</v>
      </c>
      <c r="J57" s="373" t="n">
        <f aca="false">'Master Plan'!$H$18+(9)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IF(ISNUMBER(อัปเดตรายสัปดาห์!$S$18),อัปเดตรายสัปดาห์!$S$18,"")</f>
        <v/>
      </c>
      <c r="M57" s="374" t="str">
        <f aca="false">IF(อัปเดตรายสัปดาห์!$S$18="Y","Y","")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Plan'!$AD$18)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Plan'!$H$18+(10)</f>
        <v>46413</v>
      </c>
      <c r="J58" s="373" t="n">
        <f aca="false">'Master Plan'!$H$18+(16)</f>
        <v>46419</v>
      </c>
      <c r="K58" s="78"/>
      <c r="L58" s="78" t="str">
        <f aca="false">IF(ISNUMBER(อัปเดตรายสัปดาห์!$T$18),อัปเดตรายสัปดาห์!$T$18,"")</f>
        <v/>
      </c>
      <c r="M58" s="374" t="str">
        <f aca="false">IF(อัปเดตรายสัปดาห์!$T$18="Y","Y","")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Plan'!$AE$18)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Plan'!$H$18+(17)</f>
        <v>46420</v>
      </c>
      <c r="J59" s="373" t="n">
        <f aca="false">'Master Plan'!$H$18+(17)</f>
        <v>46420</v>
      </c>
      <c r="K59" s="78"/>
      <c r="L59" s="78" t="str">
        <f aca="false">IF(ISNUMBER(อัปเดตรายสัปดาห์!$U$18),อัปเดตรายสัปดาห์!$U$18,"")</f>
        <v/>
      </c>
      <c r="M59" s="374" t="str">
        <f aca="false">IF(อัปเดตรายสัปดาห์!$U$18="Y","Y","")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Plan'!$AF$18)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85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Plan'!$H$18+(18)</f>
        <v>46421</v>
      </c>
      <c r="J60" s="373" t="n">
        <f aca="false">'Master Plan'!$H$18+(33)</f>
        <v>46436</v>
      </c>
      <c r="K60" s="78"/>
      <c r="L60" s="78" t="str">
        <f aca="false">IF(ISNUMBER(อัปเดตรายสัปดาห์!$V$18),อัปเดตรายสัปดาห์!$V$18,"")</f>
        <v/>
      </c>
      <c r="M60" s="374" t="str">
        <f aca="false">IF(อัปเดตรายสัปดาห์!$V$18="Y","Y","")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Plan'!$AH$18)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3711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Plan'!$H$18+(-42)</f>
        <v>46361</v>
      </c>
      <c r="J62" s="373" t="n">
        <f aca="false">'Master Plan'!$H$18+(-25)</f>
        <v>46378</v>
      </c>
      <c r="K62" s="78"/>
      <c r="L62" s="78" t="str">
        <f aca="false">IF(ISNUMBER(อัปเดตรายสัปดาห์!$W$18),อัปเดตรายสัปดาห์!$W$18,"")</f>
        <v/>
      </c>
      <c r="M62" s="374" t="str">
        <f aca="false">IF(อัปเดตรายสัปดาห์!$W$18="Y","Y","")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-011",SITE_TYPE,"?*")&gt;0,MIN(1,SUMPRODUCT((SITE_ST="P9-011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Plan'!$H$18+(-42)</f>
        <v>46361</v>
      </c>
      <c r="J63" s="382" t="n">
        <f aca="false">'Master Plan'!$H$18+(-40)</f>
        <v>46363</v>
      </c>
      <c r="K63" s="387"/>
      <c r="L63" s="387"/>
      <c r="M63" s="383" t="str">
        <f aca="false">IF('อัปเดตงาน WBS'!$L$859="","",'อัปเดตงาน WBS'!$L$859)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Plan'!$H$18+(-42)</f>
        <v>46361</v>
      </c>
      <c r="J64" s="382" t="n">
        <f aca="false">'Master Plan'!$H$18+(-39)</f>
        <v>46364</v>
      </c>
      <c r="K64" s="387"/>
      <c r="L64" s="387"/>
      <c r="M64" s="383" t="str">
        <f aca="false">IF('อัปเดตงาน WBS'!$L$860="","",'อัปเดตงาน WBS'!$L$860)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Plan'!$H$18+(-40)</f>
        <v>46363</v>
      </c>
      <c r="J65" s="382" t="n">
        <f aca="false">'Master Plan'!$H$18+(-34)</f>
        <v>46369</v>
      </c>
      <c r="K65" s="387"/>
      <c r="L65" s="387"/>
      <c r="M65" s="383" t="str">
        <f aca="false">IF('อัปเดตงาน WBS'!$L$861="","",'อัปเดตงาน WBS'!$L$861)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Plan'!$H$18+(-35)</f>
        <v>46368</v>
      </c>
      <c r="J66" s="382" t="n">
        <f aca="false">'Master Plan'!$H$18+(-28)</f>
        <v>46375</v>
      </c>
      <c r="K66" s="387"/>
      <c r="L66" s="387"/>
      <c r="M66" s="383" t="str">
        <f aca="false">IF('อัปเดตงาน WBS'!$L$862="","",'อัปเดตงาน WBS'!$L$862)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Plan'!$H$18+(-32)</f>
        <v>46371</v>
      </c>
      <c r="J67" s="382" t="n">
        <f aca="false">'Master Plan'!$H$18+(-26)</f>
        <v>46377</v>
      </c>
      <c r="K67" s="387"/>
      <c r="L67" s="387"/>
      <c r="M67" s="383" t="str">
        <f aca="false">IF('อัปเดตงาน WBS'!$L$863="","",'อัปเดตงาน WBS'!$L$863)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Plan'!$H$18+(-28)</f>
        <v>46375</v>
      </c>
      <c r="J68" s="382" t="n">
        <f aca="false">'Master Plan'!$H$18+(-25)</f>
        <v>46378</v>
      </c>
      <c r="K68" s="387"/>
      <c r="L68" s="387"/>
      <c r="M68" s="383" t="str">
        <f aca="false">IF('อัปเดตงาน WBS'!$L$864="","",'อัปเดตงาน WBS'!$L$864)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Plan'!$H$18+(-26)</f>
        <v>46377</v>
      </c>
      <c r="J69" s="382" t="n">
        <f aca="false">'Master Plan'!$H$18+(-25)</f>
        <v>46378</v>
      </c>
      <c r="K69" s="387"/>
      <c r="L69" s="387"/>
      <c r="M69" s="383" t="str">
        <f aca="false">IF('อัปเดตงาน WBS'!$L$865="","",'อัปเดตงาน WBS'!$L$865)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3711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Plan'!$H$18+(-24)</f>
        <v>46379</v>
      </c>
      <c r="J70" s="373" t="n">
        <f aca="false">'Master Plan'!$H$18+(-15)</f>
        <v>46388</v>
      </c>
      <c r="K70" s="78"/>
      <c r="L70" s="78" t="str">
        <f aca="false">IF(ISNUMBER(อัปเดตรายสัปดาห์!$X$18),อัปเดตรายสัปดาห์!$X$18,"")</f>
        <v/>
      </c>
      <c r="M70" s="374" t="str">
        <f aca="false">IF(อัปเดตรายสัปดาห์!$X$18="Y","Y","")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-011",SITE_TYPE,"?*")&gt;0,MIN(1,SUMPRODUCT((SITE_ST="P9-011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Plan'!$H$18+(-24)</f>
        <v>46379</v>
      </c>
      <c r="J71" s="382" t="n">
        <f aca="false">'Master Plan'!$H$18+(-20)</f>
        <v>46383</v>
      </c>
      <c r="K71" s="387"/>
      <c r="L71" s="387"/>
      <c r="M71" s="383" t="str">
        <f aca="false">IF('อัปเดตงาน WBS'!$L$866="","",'อัปเดตงาน WBS'!$L$866)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Plan'!$H$18+(-22)</f>
        <v>46381</v>
      </c>
      <c r="J72" s="382" t="n">
        <f aca="false">'Master Plan'!$H$18+(-17)</f>
        <v>46386</v>
      </c>
      <c r="K72" s="387"/>
      <c r="L72" s="387"/>
      <c r="M72" s="383" t="str">
        <f aca="false">IF('อัปเดตงาน WBS'!$L$867="","",'อัปเดตงาน WBS'!$L$867)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Plan'!$H$18+(-21)</f>
        <v>46382</v>
      </c>
      <c r="J73" s="382" t="n">
        <f aca="false">'Master Plan'!$H$18+(-17)</f>
        <v>46386</v>
      </c>
      <c r="K73" s="387"/>
      <c r="L73" s="387"/>
      <c r="M73" s="383" t="str">
        <f aca="false">IF('อัปเดตงาน WBS'!$L$868="","",'อัปเดตงาน WBS'!$L$868)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Plan'!$H$18+(-20)</f>
        <v>46383</v>
      </c>
      <c r="J74" s="382" t="n">
        <f aca="false">'Master Plan'!$H$18+(-15)</f>
        <v>46388</v>
      </c>
      <c r="K74" s="387"/>
      <c r="L74" s="387"/>
      <c r="M74" s="383" t="str">
        <f aca="false">IF('อัปเดตงาน WBS'!$L$869="","",'อัปเดตงาน WBS'!$L$869)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Plan'!$H$18+(-17)</f>
        <v>46386</v>
      </c>
      <c r="J75" s="382" t="n">
        <f aca="false">'Master Plan'!$H$18+(-15)</f>
        <v>46388</v>
      </c>
      <c r="K75" s="387"/>
      <c r="L75" s="387"/>
      <c r="M75" s="383" t="str">
        <f aca="false">IF('อัปเดตงาน WBS'!$L$870="","",'อัปเดตงาน WBS'!$L$870)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3711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Plan'!$H$18+(-24)</f>
        <v>46379</v>
      </c>
      <c r="J76" s="373" t="n">
        <f aca="false">'Master Plan'!$H$18+(-15)</f>
        <v>46388</v>
      </c>
      <c r="K76" s="78"/>
      <c r="L76" s="78" t="str">
        <f aca="false">IF(ISNUMBER(อัปเดตรายสัปดาห์!$Y$18),อัปเดตรายสัปดาห์!$Y$18,"")</f>
        <v/>
      </c>
      <c r="M76" s="374" t="str">
        <f aca="false">IF(อัปเดตรายสัปดาห์!$Y$18="Y","Y","")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-011",SITE_TYPE,"?*")&gt;0,MIN(1,SUMPRODUCT((SITE_ST="P9-011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Plan'!$H$18+(-24)</f>
        <v>46379</v>
      </c>
      <c r="J77" s="382" t="n">
        <f aca="false">'Master Plan'!$H$18+(-21)</f>
        <v>46382</v>
      </c>
      <c r="K77" s="387"/>
      <c r="L77" s="387"/>
      <c r="M77" s="383" t="str">
        <f aca="false">IF('อัปเดตงาน WBS'!$L$871="","",'อัปเดตงาน WBS'!$L$871)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Plan'!$H$18+(-23)</f>
        <v>46380</v>
      </c>
      <c r="J78" s="382" t="n">
        <f aca="false">'Master Plan'!$H$18+(-16)</f>
        <v>46387</v>
      </c>
      <c r="K78" s="387"/>
      <c r="L78" s="387"/>
      <c r="M78" s="383" t="str">
        <f aca="false">IF('อัปเดตงาน WBS'!$L$872="","",'อัปเดตงาน WBS'!$L$872)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Plan'!$H$18+(-20)</f>
        <v>46383</v>
      </c>
      <c r="J79" s="382" t="n">
        <f aca="false">'Master Plan'!$H$18+(-15)</f>
        <v>46388</v>
      </c>
      <c r="K79" s="387"/>
      <c r="L79" s="387"/>
      <c r="M79" s="383" t="str">
        <f aca="false">IF('อัปเดตงาน WBS'!$L$873="","",'อัปเดตงาน WBS'!$L$873)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Plan'!$H$18+(-17)</f>
        <v>46386</v>
      </c>
      <c r="J80" s="382" t="n">
        <f aca="false">'Master Plan'!$H$18+(-15)</f>
        <v>46388</v>
      </c>
      <c r="K80" s="387"/>
      <c r="L80" s="387"/>
      <c r="M80" s="383" t="str">
        <f aca="false">IF('อัปเดตงาน WBS'!$L$874="","",'อัปเดตงาน WBS'!$L$874)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Plan'!$H$18+(-15)</f>
        <v>46388</v>
      </c>
      <c r="J81" s="382" t="n">
        <f aca="false">'Master Plan'!$H$18+(-15)</f>
        <v>46388</v>
      </c>
      <c r="K81" s="387"/>
      <c r="L81" s="387"/>
      <c r="M81" s="383" t="str">
        <f aca="false">IF('อัปเดตงาน WBS'!$L$875="","",'อัปเดตงาน WBS'!$L$875)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3711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Plan'!$H$18+(-21)</f>
        <v>46382</v>
      </c>
      <c r="J82" s="373" t="n">
        <f aca="false">'Master Plan'!$H$18+(-18)</f>
        <v>46385</v>
      </c>
      <c r="K82" s="78"/>
      <c r="L82" s="78" t="str">
        <f aca="false">IF(ISNUMBER(อัปเดตรายสัปดาห์!$Z$18),อัปเดตรายสัปดาห์!$Z$18,"")</f>
        <v/>
      </c>
      <c r="M82" s="374" t="str">
        <f aca="false">IF(อัปเดตรายสัปดาห์!$Z$18="Y","Y","")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Plan'!$H$18+(-21)</f>
        <v>46382</v>
      </c>
      <c r="J83" s="382" t="n">
        <f aca="false">'Master Plan'!$H$18+(-19)</f>
        <v>46384</v>
      </c>
      <c r="K83" s="387"/>
      <c r="L83" s="387"/>
      <c r="M83" s="383" t="str">
        <f aca="false">IF('อัปเดตงาน WBS'!$L$876="","",'อัปเดตงาน WBS'!$L$876)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Plan'!$H$18+(-20)</f>
        <v>46383</v>
      </c>
      <c r="J84" s="382" t="n">
        <f aca="false">'Master Plan'!$H$18+(-18)</f>
        <v>46385</v>
      </c>
      <c r="K84" s="387"/>
      <c r="L84" s="387"/>
      <c r="M84" s="383" t="str">
        <f aca="false">IF('อัปเดตงาน WBS'!$L$877="","",'อัปเดตงาน WBS'!$L$877)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3711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Plan'!$H$18+(-25)</f>
        <v>46378</v>
      </c>
      <c r="J85" s="373" t="n">
        <f aca="false">'Master Plan'!$H$18+(-17)</f>
        <v>46386</v>
      </c>
      <c r="K85" s="78"/>
      <c r="L85" s="78" t="str">
        <f aca="false">IF(ISNUMBER(อัปเดตรายสัปดาห์!$AA$18),อัปเดตรายสัปดาห์!$AA$18,"")</f>
        <v/>
      </c>
      <c r="M85" s="374" t="str">
        <f aca="false">IF(อัปเดตรายสัปดาห์!$AA$18="Y","Y","")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Plan'!$H$18+(-25)</f>
        <v>46378</v>
      </c>
      <c r="J86" s="382" t="n">
        <f aca="false">'Master Plan'!$H$18+(-21)</f>
        <v>46382</v>
      </c>
      <c r="K86" s="387"/>
      <c r="L86" s="387"/>
      <c r="M86" s="383" t="str">
        <f aca="false">IF('อัปเดตงาน WBS'!$L$878="","",'อัปเดตงาน WBS'!$L$878)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Plan'!$H$18+(-22)</f>
        <v>46381</v>
      </c>
      <c r="J87" s="382" t="n">
        <f aca="false">'Master Plan'!$H$18+(-18)</f>
        <v>46385</v>
      </c>
      <c r="K87" s="387"/>
      <c r="L87" s="387"/>
      <c r="M87" s="383" t="str">
        <f aca="false">IF('อัปเดตงาน WBS'!$L$879="","",'อัปเดตงาน WBS'!$L$879)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Plan'!$H$18+(-20)</f>
        <v>46383</v>
      </c>
      <c r="J88" s="382" t="n">
        <f aca="false">'Master Plan'!$H$18+(-17)</f>
        <v>46386</v>
      </c>
      <c r="K88" s="387"/>
      <c r="L88" s="387"/>
      <c r="M88" s="383" t="str">
        <f aca="false">IF('อัปเดตงาน WBS'!$L$880="","",'อัปเดตงาน WBS'!$L$880)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Plan'!$H$18+(-18)</f>
        <v>46385</v>
      </c>
      <c r="J89" s="382" t="n">
        <f aca="false">'Master Plan'!$H$18+(-17)</f>
        <v>46386</v>
      </c>
      <c r="K89" s="387"/>
      <c r="L89" s="387"/>
      <c r="M89" s="383" t="str">
        <f aca="false">IF('อัปเดตงาน WBS'!$L$881="","",'อัปเดตงาน WBS'!$L$881)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3711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Plan'!$H$18+(-25)</f>
        <v>46378</v>
      </c>
      <c r="J90" s="373" t="n">
        <f aca="false">'Master Plan'!$H$18+(-16)</f>
        <v>46387</v>
      </c>
      <c r="K90" s="78"/>
      <c r="L90" s="78" t="str">
        <f aca="false">IF(ISNUMBER(อัปเดตรายสัปดาห์!$AB$18),อัปเดตรายสัปดาห์!$AB$18,"")</f>
        <v/>
      </c>
      <c r="M90" s="374" t="str">
        <f aca="false">IF(อัปเดตรายสัปดาห์!$AB$18="Y","Y","")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Plan'!$H$18+(-25)</f>
        <v>46378</v>
      </c>
      <c r="J91" s="382" t="n">
        <f aca="false">'Master Plan'!$H$18+(-20)</f>
        <v>46383</v>
      </c>
      <c r="K91" s="387"/>
      <c r="L91" s="387"/>
      <c r="M91" s="383" t="str">
        <f aca="false">IF('อัปเดตงาน WBS'!$L$882="","",'อัปเดตงาน WBS'!$L$882)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Plan'!$H$18+(-20)</f>
        <v>46383</v>
      </c>
      <c r="J92" s="382" t="n">
        <f aca="false">'Master Plan'!$H$18+(-16)</f>
        <v>46387</v>
      </c>
      <c r="K92" s="387"/>
      <c r="L92" s="387"/>
      <c r="M92" s="383" t="str">
        <f aca="false">IF('อัปเดตงาน WBS'!$L$883="","",'อัปเดตงาน WBS'!$L$883)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Plan'!$H$18+(-25)</f>
        <v>46378</v>
      </c>
      <c r="J93" s="382" t="n">
        <f aca="false">'Master Plan'!$H$18+(-21)</f>
        <v>46382</v>
      </c>
      <c r="K93" s="387"/>
      <c r="L93" s="387"/>
      <c r="M93" s="383" t="str">
        <f aca="false">IF('อัปเดตงาน WBS'!$L$884="","",'อัปเดตงาน WBS'!$L$884)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Plan'!$H$18+(-21)</f>
        <v>46382</v>
      </c>
      <c r="J94" s="382" t="n">
        <f aca="false">'Master Plan'!$H$18+(-16)</f>
        <v>46387</v>
      </c>
      <c r="K94" s="387"/>
      <c r="L94" s="387"/>
      <c r="M94" s="383" t="str">
        <f aca="false">IF('อัปเดตงาน WBS'!$L$885="","",'อัปเดตงาน WBS'!$L$885)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Plan'!$H$18+(-17)</f>
        <v>46386</v>
      </c>
      <c r="J95" s="382" t="n">
        <f aca="false">'Master Plan'!$H$18+(-16)</f>
        <v>46387</v>
      </c>
      <c r="K95" s="387"/>
      <c r="L95" s="387"/>
      <c r="M95" s="383" t="str">
        <f aca="false">IF('อัปเดตงาน WBS'!$L$886="","",'อัปเดตงาน WBS'!$L$886)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3711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Plan'!$H$18+(-22)</f>
        <v>46381</v>
      </c>
      <c r="J96" s="373" t="n">
        <f aca="false">'Master Plan'!$H$18+(-16)</f>
        <v>46387</v>
      </c>
      <c r="K96" s="78"/>
      <c r="L96" s="78" t="str">
        <f aca="false">IF(ISNUMBER(อัปเดตรายสัปดาห์!$AC$18),อัปเดตรายสัปดาห์!$AC$18,"")</f>
        <v/>
      </c>
      <c r="M96" s="374" t="str">
        <f aca="false">IF(อัปเดตรายสัปดาห์!$AC$18="Y","Y","")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Plan'!$H$18+(-22)</f>
        <v>46381</v>
      </c>
      <c r="J97" s="382" t="n">
        <f aca="false">'Master Plan'!$H$18+(-17)</f>
        <v>46386</v>
      </c>
      <c r="K97" s="387"/>
      <c r="L97" s="387"/>
      <c r="M97" s="383" t="str">
        <f aca="false">IF('อัปเดตงาน WBS'!$L$887="","",'อัปเดตงาน WBS'!$L$887)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Plan'!$H$18+(-20)</f>
        <v>46383</v>
      </c>
      <c r="J98" s="382" t="n">
        <f aca="false">'Master Plan'!$H$18+(-16)</f>
        <v>46387</v>
      </c>
      <c r="K98" s="387"/>
      <c r="L98" s="387"/>
      <c r="M98" s="383" t="str">
        <f aca="false">IF('อัปเดตงาน WBS'!$L$888="","",'อัปเดตงาน WBS'!$L$888)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Plan'!$H$18+(-17)</f>
        <v>46386</v>
      </c>
      <c r="J99" s="382" t="n">
        <f aca="false">'Master Plan'!$H$18+(-16)</f>
        <v>46387</v>
      </c>
      <c r="K99" s="387"/>
      <c r="L99" s="387"/>
      <c r="M99" s="383" t="str">
        <f aca="false">IF('อัปเดตงาน WBS'!$L$889="","",'อัปเดตงาน WBS'!$L$889)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3711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Plan'!$H$18+(-20)</f>
        <v>46383</v>
      </c>
      <c r="J100" s="373" t="n">
        <f aca="false">'Master Plan'!$H$18+(-15)</f>
        <v>46388</v>
      </c>
      <c r="K100" s="78"/>
      <c r="L100" s="78" t="str">
        <f aca="false">IF(ISNUMBER(อัปเดตรายสัปดาห์!$AD$18),อัปเดตรายสัปดาห์!$AD$18,"")</f>
        <v/>
      </c>
      <c r="M100" s="374" t="str">
        <f aca="false">IF(อัปเดตรายสัปดาห์!$AD$18="Y","Y","")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Plan'!$H$18+(-19)</f>
        <v>46384</v>
      </c>
      <c r="J103" s="382" t="n">
        <f aca="false">'Master Plan'!$H$18+(-16)</f>
        <v>46387</v>
      </c>
      <c r="K103" s="387"/>
      <c r="L103" s="387"/>
      <c r="M103" s="383" t="str">
        <f aca="false">IF('อัปเดตงาน WBS'!$L$890="","",'อัปเดตงาน WBS'!$L$890)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Plan'!$H$18+(-18)</f>
        <v>46385</v>
      </c>
      <c r="J104" s="382" t="n">
        <f aca="false">'Master Plan'!$H$18+(-16)</f>
        <v>46387</v>
      </c>
      <c r="K104" s="387"/>
      <c r="L104" s="387"/>
      <c r="M104" s="383" t="str">
        <f aca="false">IF('อัปเดตงาน WBS'!$L$891="","",'อัปเดตงาน WBS'!$L$891)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Plan'!$H$18+(-18)</f>
        <v>46385</v>
      </c>
      <c r="J105" s="382" t="n">
        <f aca="false">'Master Plan'!$H$18+(-15)</f>
        <v>46388</v>
      </c>
      <c r="K105" s="387"/>
      <c r="L105" s="387"/>
      <c r="M105" s="383" t="str">
        <f aca="false">IF('อัปเดตงาน WBS'!$L$892="","",'อัปเดตงาน WBS'!$L$892)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Plan'!$H$18+(-16)</f>
        <v>46387</v>
      </c>
      <c r="J106" s="382" t="n">
        <f aca="false">'Master Plan'!$H$18+(-15)</f>
        <v>46388</v>
      </c>
      <c r="K106" s="387"/>
      <c r="L106" s="387"/>
      <c r="M106" s="383" t="str">
        <f aca="false">IF('อัปเดตงาน WBS'!$L$893="","",'อัปเดตงาน WBS'!$L$893)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3711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Plan'!$H$18+(-18)</f>
        <v>46385</v>
      </c>
      <c r="J107" s="373" t="n">
        <f aca="false">'Master Plan'!$H$18+(-14)</f>
        <v>46389</v>
      </c>
      <c r="K107" s="78"/>
      <c r="L107" s="78" t="str">
        <f aca="false">IF(ISNUMBER(อัปเดตรายสัปดาห์!$AE$18),อัปเดตรายสัปดาห์!$AE$18,"")</f>
        <v/>
      </c>
      <c r="M107" s="374" t="str">
        <f aca="false">IF(อัปเดตรายสัปดาห์!$AE$18="Y","Y","")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Plan'!$H$18+(-18)</f>
        <v>46385</v>
      </c>
      <c r="J108" s="382" t="n">
        <f aca="false">'Master Plan'!$H$18+(-15)</f>
        <v>46388</v>
      </c>
      <c r="K108" s="387"/>
      <c r="L108" s="387"/>
      <c r="M108" s="383" t="str">
        <f aca="false">IF('อัปเดตงาน WBS'!$L$894="","",'อัปเดตงาน WBS'!$L$894)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Plan'!$H$18+(-16)</f>
        <v>46387</v>
      </c>
      <c r="J109" s="382" t="n">
        <f aca="false">'Master Plan'!$H$18+(-14)</f>
        <v>46389</v>
      </c>
      <c r="K109" s="387"/>
      <c r="L109" s="387"/>
      <c r="M109" s="383" t="str">
        <f aca="false">IF('อัปเดตงาน WBS'!$L$895="","",'อัปเดตงาน WBS'!$L$895)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Plan'!$H$18+(-17)</f>
        <v>46386</v>
      </c>
      <c r="J110" s="382" t="n">
        <f aca="false">'Master Plan'!$H$18+(-15)</f>
        <v>46388</v>
      </c>
      <c r="K110" s="387"/>
      <c r="L110" s="387"/>
      <c r="M110" s="383" t="str">
        <f aca="false">IF('อัปเดตงาน WBS'!$L$896="","",'อัปเดตงาน WBS'!$L$896)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85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Plan'!$H$18+(-13)</f>
        <v>46390</v>
      </c>
      <c r="J111" s="373" t="n">
        <f aca="false">'Master Plan'!$H$18+(-13)</f>
        <v>46390</v>
      </c>
      <c r="K111" s="78"/>
      <c r="L111" s="78" t="str">
        <f aca="false">IF(ISNUMBER(อัปเดตรายสัปดาห์!$AF$18),อัปเดตรายสัปดาห์!$AF$18,"")</f>
        <v/>
      </c>
      <c r="M111" s="374" t="str">
        <f aca="false">IF(อัปเดตรายสัปดาห์!$AF$18="Y","Y","")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Plan'!$Y$18)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Plan'!$H$18+(-13)</f>
        <v>46390</v>
      </c>
      <c r="J112" s="382" t="n">
        <f aca="false">'Master Plan'!$H$18+(-13)</f>
        <v>46390</v>
      </c>
      <c r="K112" s="387"/>
      <c r="L112" s="387"/>
      <c r="M112" s="383" t="str">
        <f aca="false">IF('อัปเดตงาน WBS'!$L$897="","",'อัปเดตงาน WBS'!$L$897)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Plan'!$H$18+(-13)</f>
        <v>46390</v>
      </c>
      <c r="J113" s="382" t="n">
        <f aca="false">'Master Plan'!$H$18+(-13)</f>
        <v>46390</v>
      </c>
      <c r="K113" s="387"/>
      <c r="L113" s="387"/>
      <c r="M113" s="383" t="str">
        <f aca="false">IF('อัปเดตงาน WBS'!$L$898="","",'อัปเดตงาน WBS'!$L$898)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3711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Plan'!$H$18+(-12)</f>
        <v>46391</v>
      </c>
      <c r="J115" s="373" t="n">
        <f aca="false">'Master Plan'!$H$18+(-10)</f>
        <v>46393</v>
      </c>
      <c r="K115" s="78"/>
      <c r="L115" s="78" t="str">
        <f aca="false">IF(ISNUMBER(อัปเดตรายสัปดาห์!$AG$18),อัปเดตรายสัปดาห์!$AG$18,"")</f>
        <v/>
      </c>
      <c r="M115" s="374" t="str">
        <f aca="false">IF(อัปเดตรายสัปดาห์!$AG$18="Y","Y","")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Plan'!$AA$18)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Plan'!$H$18+(-12)</f>
        <v>46391</v>
      </c>
      <c r="J116" s="382" t="n">
        <f aca="false">'Master Plan'!$H$18+(-12)</f>
        <v>46391</v>
      </c>
      <c r="K116" s="387"/>
      <c r="L116" s="387"/>
      <c r="M116" s="383" t="str">
        <f aca="false">IF('อัปเดตงาน WBS'!$L$899="","",'อัปเดตงาน WBS'!$L$899)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Plan'!$H$18+(-12)</f>
        <v>46391</v>
      </c>
      <c r="J117" s="382" t="n">
        <f aca="false">'Master Plan'!$H$18+(-11)</f>
        <v>46392</v>
      </c>
      <c r="K117" s="387"/>
      <c r="L117" s="387"/>
      <c r="M117" s="383" t="str">
        <f aca="false">IF('อัปเดตงาน WBS'!$L$900="","",'อัปเดตงาน WBS'!$L$900)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Plan'!$H$18+(-11)</f>
        <v>46392</v>
      </c>
      <c r="J118" s="382" t="n">
        <f aca="false">'Master Plan'!$H$18+(-11)</f>
        <v>46392</v>
      </c>
      <c r="K118" s="387"/>
      <c r="L118" s="387"/>
      <c r="M118" s="383" t="str">
        <f aca="false">IF('อัปเดตงาน WBS'!$L$901="","",'อัปเดตงาน WBS'!$L$901)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Plan'!$H$18+(-11)</f>
        <v>46392</v>
      </c>
      <c r="J119" s="382" t="n">
        <f aca="false">'Master Plan'!$H$18+(-11)</f>
        <v>46392</v>
      </c>
      <c r="K119" s="387"/>
      <c r="L119" s="387"/>
      <c r="M119" s="383" t="str">
        <f aca="false">IF('อัปเดตงาน WBS'!$L$902="","",'อัปเดตงาน WBS'!$L$902)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Plan'!$H$18+(-11)</f>
        <v>46392</v>
      </c>
      <c r="J120" s="382" t="n">
        <f aca="false">'Master Plan'!$H$18+(-10)</f>
        <v>46393</v>
      </c>
      <c r="K120" s="387"/>
      <c r="L120" s="387"/>
      <c r="M120" s="383" t="str">
        <f aca="false">IF('อัปเดตงาน WBS'!$L$903="","",'อัปเดตงาน WBS'!$L$903)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Plan'!$H$18+(-11)</f>
        <v>46392</v>
      </c>
      <c r="J121" s="382" t="n">
        <f aca="false">'Master Plan'!$H$18+(-10)</f>
        <v>46393</v>
      </c>
      <c r="K121" s="387"/>
      <c r="L121" s="387"/>
      <c r="M121" s="383" t="str">
        <f aca="false">IF('อัปเดตงาน WBS'!$L$904="","",'อัปเดตงาน WBS'!$L$904)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85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Plan'!$H$18+(-10)</f>
        <v>46393</v>
      </c>
      <c r="J122" s="373" t="n">
        <f aca="false">'Master Plan'!$H$18+(-10)</f>
        <v>46393</v>
      </c>
      <c r="K122" s="78"/>
      <c r="L122" s="78" t="str">
        <f aca="false">IF(ISNUMBER(อัปเดตรายสัปดาห์!$AH$18),อัปเดตรายสัปดาห์!$AH$18,"")</f>
        <v/>
      </c>
      <c r="M122" s="374" t="str">
        <f aca="false">IF(อัปเดตรายสัปดาห์!$AH$18="Y","Y","")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Plan'!$Z$18)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85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Plan'!$H$18+(-12)</f>
        <v>46391</v>
      </c>
      <c r="J123" s="373" t="n">
        <f aca="false">'Master Plan'!$H$18+(-8)</f>
        <v>46395</v>
      </c>
      <c r="K123" s="78" t="str">
        <f aca="false">IF(ISNUMBER(อัปเดตรายสัปดาห์!$AI$18),อัปเดตรายสัปดาห์!$AI$18,"")</f>
        <v/>
      </c>
      <c r="L123" s="78" t="str">
        <f aca="false">IF(ISNUMBER(อัปเดตรายสัปดาห์!$AJ$18),อัปเดตรายสัปดาห์!$AJ$18,"")</f>
        <v/>
      </c>
      <c r="M123" s="374" t="str">
        <f aca="false">IF(อัปเดตรายสัปดาห์!$AJ$18="Y","Y","")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85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Plan'!$H$18+(37)</f>
        <v>46440</v>
      </c>
      <c r="J124" s="373" t="n">
        <f aca="false">'Master Plan'!$H$18+(50)</f>
        <v>46453</v>
      </c>
      <c r="K124" s="78"/>
      <c r="L124" s="78" t="str">
        <f aca="false">IF(ISNUMBER(อัปเดตรายสัปดาห์!$AK$18),อัปเดตรายสัปดาห์!$AK$18,"")</f>
        <v/>
      </c>
      <c r="M124" s="374" t="str">
        <f aca="false">IF(อัปเดตรายสัปดาห์!$AK$18="Y","Y","")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Plan'!$H$18+(37)</f>
        <v>46440</v>
      </c>
      <c r="J125" s="382" t="n">
        <f aca="false">'Master Plan'!$H$18+(41)</f>
        <v>46444</v>
      </c>
      <c r="K125" s="387"/>
      <c r="L125" s="387"/>
      <c r="M125" s="383" t="str">
        <f aca="false">IF('อัปเดตงาน WBS'!$L$905="","",'อัปเดตงาน WBS'!$L$905)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Plan'!$H$18+(40)</f>
        <v>46443</v>
      </c>
      <c r="J126" s="382" t="n">
        <f aca="false">'Master Plan'!$H$18+(47)</f>
        <v>46450</v>
      </c>
      <c r="K126" s="387"/>
      <c r="L126" s="387"/>
      <c r="M126" s="383" t="str">
        <f aca="false">IF('อัปเดตงาน WBS'!$L$906="","",'อัปเดตงาน WBS'!$L$906)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Plan'!$H$18+(47)</f>
        <v>46450</v>
      </c>
      <c r="J127" s="382" t="n">
        <f aca="false">'Master Plan'!$H$18+(50)</f>
        <v>46453</v>
      </c>
      <c r="K127" s="387"/>
      <c r="L127" s="387"/>
      <c r="M127" s="383" t="str">
        <f aca="false">IF('อัปเดตงาน WBS'!$L$907="","",'อัปเดตงาน WBS'!$L$907)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3711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Plan'!$H$18+(0)</f>
        <v>46403</v>
      </c>
      <c r="J128" s="373" t="n">
        <f aca="false">'Master Plan'!$H$18+(0)</f>
        <v>46403</v>
      </c>
      <c r="K128" s="78"/>
      <c r="L128" s="78" t="str">
        <f aca="false">IF(ISNUMBER(อัปเดตรายสัปดาห์!$AL$18),อัปเดตรายสัปดาห์!$AL$18,"")</f>
        <v/>
      </c>
      <c r="M128" s="374" t="str">
        <f aca="false">IF(อัปเดตรายสัปดาห์!$AL$18="Y","Y","")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Plan'!$AB$18)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Plan'!$H$18+(0)</f>
        <v>46403</v>
      </c>
      <c r="J129" s="373" t="n">
        <f aca="false">'Master Plan'!$H$18+(0)</f>
        <v>46403</v>
      </c>
      <c r="K129" s="78"/>
      <c r="L129" s="78" t="str">
        <f aca="false">IF(ISNUMBER(อัปเดตรายสัปดาห์!$AM$18),อัปเดตรายสัปดาห์!$AM$18,"")</f>
        <v/>
      </c>
      <c r="M129" s="374" t="str">
        <f aca="false">IF(อัปเดตรายสัปดาห์!$AM$18="Y","Y","")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Plan'!$H$18+(0)</f>
        <v>46403</v>
      </c>
      <c r="J130" s="373" t="n">
        <f aca="false">'Master Plan'!$H$18+(0)</f>
        <v>46403</v>
      </c>
      <c r="K130" s="78"/>
      <c r="L130" s="78" t="str">
        <f aca="false">IF(ISNUMBER(อัปเดตรายสัปดาห์!$AN$18),อัปเดตรายสัปดาห์!$AN$18,"")</f>
        <v/>
      </c>
      <c r="M130" s="374" t="str">
        <f aca="false">IF(อัปเดตรายสัปดาห์!$AN$18="Y","Y","")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85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Plan'!$H$18+(34)</f>
        <v>46437</v>
      </c>
      <c r="J131" s="373" t="n">
        <f aca="false">'Master Plan'!$H$18+(36)</f>
        <v>46439</v>
      </c>
      <c r="K131" s="78"/>
      <c r="L131" s="78" t="str">
        <f aca="false">IF(ISNUMBER(อัปเดตรายสัปดาห์!$AO$18),อัปเดตรายสัปดาห์!$AO$18,"")</f>
        <v/>
      </c>
      <c r="M131" s="374" t="str">
        <f aca="false">IF(อัปเดตรายสัปดาห์!$AO$18="Y","Y","")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SUMPRODUCT((SITE_ST="P9-011")*(SITE_TYPE=$B136)*(SITE_TYPE&lt;&gt;""))</f>
        <v>0</v>
      </c>
      <c r="E136" s="397" t="n">
        <f aca="false">SUMPRODUCT((SITE_ST="P9-011")*(SITE_TYPE=$B136)*SITE_MOD)</f>
        <v>0</v>
      </c>
      <c r="I136" s="398" t="n">
        <f aca="false">SUMPRODUCT((SITE_ST="P9-011")*(SITE_TYPE=$B136)*SITE_KWP)</f>
        <v>0</v>
      </c>
      <c r="J136" s="35" t="str">
        <f aca="false">IF(SUMPRODUCT((SITE_ST="P9-011")*(SITE_TYPE=$B136)*(SITE_TYPE&lt;&gt;""))=0,"",SUMPRODUCT((SITE_ST="P9-011")*(SITE_TYPE=$B136)*SITE_S21*SITE_D21)/MAX(0.0001,SUMPRODUCT((SITE_ST="P9-011")*(SITE_TYPE=$B136)*SITE_S21)))</f>
        <v/>
      </c>
      <c r="K136" s="32" t="str">
        <f aca="false">IF(SUMPRODUCT((SITE_ST="P9-011")*(SITE_TYPE=$B136)*(SITE_TYPE&lt;&gt;""))=0,"",SUMPRODUCT((SITE_ST="P9-011")*(SITE_TYPE=$B136)*(SITE_TYPE&lt;&gt;"")*(SITE_T22="Y"))&amp;"/"&amp;SUMPRODUCT((SITE_ST="P9-011")*(SITE_TYPE=$B136)*(SITE_TYPE&lt;&gt;"")))</f>
        <v/>
      </c>
      <c r="L136" s="32" t="str">
        <f aca="false">IF(SUMPRODUCT((SITE_ST="P9-011")*(SITE_TYPE=$B136)*(SITE_TYPE&lt;&gt;""))=0,"",SUMPRODUCT((SITE_ST="P9-011")*(SITE_TYPE=$B136)*(SITE_TYPE&lt;&gt;"")*(SITE_T23="Y"))&amp;"/"&amp;SUMPRODUCT((SITE_ST="P9-011")*(SITE_TYPE=$B136)*(SITE_TYPE&lt;&gt;"")))</f>
        <v/>
      </c>
      <c r="O136" s="32" t="str">
        <f aca="false">IF(SUMPRODUCT((SITE_ST="P9-011")*(SITE_TYPE=$B136)*(LEFT(SITE_LAD,4)="ติด:"))=0,"",SUMPRODUCT((SITE_ST="P9-011")*(SITE_TYPE=$B136)*(LEFT(SITE_LAD,4)="ติด:"))&amp;"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SUMPRODUCT((SITE_ST="P9-011")*(SITE_TYPE=$B137)*(SITE_TYPE&lt;&gt;""))</f>
        <v>0</v>
      </c>
      <c r="E137" s="397" t="n">
        <f aca="false">SUMPRODUCT((SITE_ST="P9-011")*(SITE_TYPE=$B137)*SITE_MOD)</f>
        <v>0</v>
      </c>
      <c r="I137" s="398" t="n">
        <f aca="false">SUMPRODUCT((SITE_ST="P9-011")*(SITE_TYPE=$B137)*SITE_KWP)</f>
        <v>0</v>
      </c>
      <c r="J137" s="35" t="str">
        <f aca="false">IF(SUMPRODUCT((SITE_ST="P9-011")*(SITE_TYPE=$B137)*(SITE_TYPE&lt;&gt;""))=0,"",SUMPRODUCT((SITE_ST="P9-011")*(SITE_TYPE=$B137)*SITE_S21*SITE_D21)/MAX(0.0001,SUMPRODUCT((SITE_ST="P9-011")*(SITE_TYPE=$B137)*SITE_S21)))</f>
        <v/>
      </c>
      <c r="K137" s="32" t="str">
        <f aca="false">IF(SUMPRODUCT((SITE_ST="P9-011")*(SITE_TYPE=$B137)*(SITE_TYPE&lt;&gt;""))=0,"",SUMPRODUCT((SITE_ST="P9-011")*(SITE_TYPE=$B137)*(SITE_TYPE&lt;&gt;"")*(SITE_T22="Y"))&amp;"/"&amp;SUMPRODUCT((SITE_ST="P9-011")*(SITE_TYPE=$B137)*(SITE_TYPE&lt;&gt;"")))</f>
        <v/>
      </c>
      <c r="L137" s="32" t="str">
        <f aca="false">IF(SUMPRODUCT((SITE_ST="P9-011")*(SITE_TYPE=$B137)*(SITE_TYPE&lt;&gt;""))=0,"",SUMPRODUCT((SITE_ST="P9-011")*(SITE_TYPE=$B137)*(SITE_TYPE&lt;&gt;"")*(SITE_T23="Y"))&amp;"/"&amp;SUMPRODUCT((SITE_ST="P9-011")*(SITE_TYPE=$B137)*(SITE_TYPE&lt;&gt;"")))</f>
        <v/>
      </c>
      <c r="O137" s="32" t="str">
        <f aca="false">IF(SUMPRODUCT((SITE_ST="P9-011")*(SITE_TYPE=$B137)*(LEFT(SITE_LAD,4)="ติด:"))=0,"",SUMPRODUCT((SITE_ST="P9-011")*(SITE_TYPE=$B137)*(LEFT(SITE_LAD,4)="ติด:"))&amp;"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SUMPRODUCT((SITE_ST="P9-011")*(SITE_TYPE=$B138)*(SITE_TYPE&lt;&gt;""))</f>
        <v>0</v>
      </c>
      <c r="E138" s="397" t="n">
        <f aca="false">SUMPRODUCT((SITE_ST="P9-011")*(SITE_TYPE=$B138)*SITE_MOD)</f>
        <v>0</v>
      </c>
      <c r="I138" s="398" t="n">
        <f aca="false">SUMPRODUCT((SITE_ST="P9-011")*(SITE_TYPE=$B138)*SITE_KWP)</f>
        <v>0</v>
      </c>
      <c r="J138" s="35" t="str">
        <f aca="false">IF(SUMPRODUCT((SITE_ST="P9-011")*(SITE_TYPE=$B138)*(SITE_TYPE&lt;&gt;""))=0,"",SUMPRODUCT((SITE_ST="P9-011")*(SITE_TYPE=$B138)*SITE_S21*SITE_D21)/MAX(0.0001,SUMPRODUCT((SITE_ST="P9-011")*(SITE_TYPE=$B138)*SITE_S21)))</f>
        <v/>
      </c>
      <c r="K138" s="32" t="str">
        <f aca="false">IF(SUMPRODUCT((SITE_ST="P9-011")*(SITE_TYPE=$B138)*(SITE_TYPE&lt;&gt;""))=0,"",SUMPRODUCT((SITE_ST="P9-011")*(SITE_TYPE=$B138)*(SITE_TYPE&lt;&gt;"")*(SITE_T22="Y"))&amp;"/"&amp;SUMPRODUCT((SITE_ST="P9-011")*(SITE_TYPE=$B138)*(SITE_TYPE&lt;&gt;"")))</f>
        <v/>
      </c>
      <c r="L138" s="32" t="str">
        <f aca="false">IF(SUMPRODUCT((SITE_ST="P9-011")*(SITE_TYPE=$B138)*(SITE_TYPE&lt;&gt;""))=0,"",SUMPRODUCT((SITE_ST="P9-011")*(SITE_TYPE=$B138)*(SITE_TYPE&lt;&gt;"")*(SITE_T23="Y"))&amp;"/"&amp;SUMPRODUCT((SITE_ST="P9-011")*(SITE_TYPE=$B138)*(SITE_TYPE&lt;&gt;"")))</f>
        <v/>
      </c>
      <c r="O138" s="32" t="str">
        <f aca="false">IF(SUMPRODUCT((SITE_ST="P9-011")*(SITE_TYPE=$B138)*(LEFT(SITE_LAD,4)="ติด:"))=0,"",SUMPRODUCT((SITE_ST="P9-011")*(SITE_TYPE=$B138)*(LEFT(SITE_LAD,4)="ติด:"))&amp;"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SUMPRODUCT((SITE_ST="P9-011")*(SITE_TYPE=$B139)*(SITE_TYPE&lt;&gt;""))</f>
        <v>1</v>
      </c>
      <c r="E139" s="397" t="n">
        <f aca="false">SUMPRODUCT((SITE_ST="P9-011")*(SITE_TYPE=$B139)*SITE_MOD)</f>
        <v>264</v>
      </c>
      <c r="I139" s="398" t="n">
        <f aca="false">SUMPRODUCT((SITE_ST="P9-011")*(SITE_TYPE=$B139)*SITE_KWP)</f>
        <v>150.48</v>
      </c>
      <c r="J139" s="35" t="n">
        <f aca="false">IF(SUMPRODUCT((SITE_ST="P9-011")*(SITE_TYPE=$B139)*(SITE_TYPE&lt;&gt;""))=0,"",SUMPRODUCT((SITE_ST="P9-011")*(SITE_TYPE=$B139)*SITE_S21*SITE_D21)/MAX(0.0001,SUMPRODUCT((SITE_ST="P9-011")*(SITE_TYPE=$B139)*SITE_S21)))</f>
        <v>0</v>
      </c>
      <c r="K139" s="32" t="str">
        <f aca="false">IF(SUMPRODUCT((SITE_ST="P9-011")*(SITE_TYPE=$B139)*(SITE_TYPE&lt;&gt;""))=0,"",SUMPRODUCT((SITE_ST="P9-011")*(SITE_TYPE=$B139)*(SITE_TYPE&lt;&gt;"")*(SITE_T22="Y"))&amp;"/"&amp;SUMPRODUCT((SITE_ST="P9-011")*(SITE_TYPE=$B139)*(SITE_TYPE&lt;&gt;"")))</f>
        <v>0/1</v>
      </c>
      <c r="L139" s="32" t="str">
        <f aca="false">IF(SUMPRODUCT((SITE_ST="P9-011")*(SITE_TYPE=$B139)*(SITE_TYPE&lt;&gt;""))=0,"",SUMPRODUCT((SITE_ST="P9-011")*(SITE_TYPE=$B139)*(SITE_TYPE&lt;&gt;"")*(SITE_T23="Y"))&amp;"/"&amp;SUMPRODUCT((SITE_ST="P9-011")*(SITE_TYPE=$B139)*(SITE_TYPE&lt;&gt;"")))</f>
        <v>0/1</v>
      </c>
      <c r="O139" s="32" t="str">
        <f aca="false">IF(SUMPRODUCT((SITE_ST="P9-011")*(SITE_TYPE=$B139)*(LEFT(SITE_LAD,4)="ติด:"))=0,"",SUMPRODUCT((SITE_ST="P9-011")*(SITE_TYPE=$B139)*(LEFT(SITE_LAD,4)="ติด:"))&amp;" จุด")</f>
        <v>1 จุด</v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SUMPRODUCT((SITE_ST="P9-011")*(SITE_TYPE=$B140)*(SITE_TYPE&lt;&gt;""))</f>
        <v>0</v>
      </c>
      <c r="E140" s="397" t="n">
        <f aca="false">SUMPRODUCT((SITE_ST="P9-011")*(SITE_TYPE=$B140)*SITE_MOD)</f>
        <v>0</v>
      </c>
      <c r="I140" s="398" t="n">
        <f aca="false">SUMPRODUCT((SITE_ST="P9-011")*(SITE_TYPE=$B140)*SITE_KWP)</f>
        <v>0</v>
      </c>
      <c r="J140" s="35" t="str">
        <f aca="false">IF(SUMPRODUCT((SITE_ST="P9-011")*(SITE_TYPE=$B140)*(SITE_TYPE&lt;&gt;""))=0,"",SUMPRODUCT((SITE_ST="P9-011")*(SITE_TYPE=$B140)*SITE_S21*SITE_D21)/MAX(0.0001,SUMPRODUCT((SITE_ST="P9-011")*(SITE_TYPE=$B140)*SITE_S21)))</f>
        <v/>
      </c>
      <c r="K140" s="32" t="str">
        <f aca="false">IF(SUMPRODUCT((SITE_ST="P9-011")*(SITE_TYPE=$B140)*(SITE_TYPE&lt;&gt;""))=0,"",SUMPRODUCT((SITE_ST="P9-011")*(SITE_TYPE=$B140)*(SITE_TYPE&lt;&gt;"")*(SITE_T22="Y"))&amp;"/"&amp;SUMPRODUCT((SITE_ST="P9-011")*(SITE_TYPE=$B140)*(SITE_TYPE&lt;&gt;"")))</f>
        <v/>
      </c>
      <c r="L140" s="32" t="str">
        <f aca="false">IF(SUMPRODUCT((SITE_ST="P9-011")*(SITE_TYPE=$B140)*(SITE_TYPE&lt;&gt;""))=0,"",SUMPRODUCT((SITE_ST="P9-011")*(SITE_TYPE=$B140)*(SITE_TYPE&lt;&gt;"")*(SITE_T23="Y"))&amp;"/"&amp;SUMPRODUCT((SITE_ST="P9-011")*(SITE_TYPE=$B140)*(SITE_TYPE&lt;&gt;"")))</f>
        <v/>
      </c>
      <c r="O140" s="32" t="str">
        <f aca="false">IF(SUMPRODUCT((SITE_ST="P9-011")*(SITE_TYPE=$B140)*(LEFT(SITE_LAD,4)="ติด:"))=0,"",SUMPRODUCT((SITE_ST="P9-011")*(SITE_TYPE=$B140)*(LEFT(SITE_LAD,4)="ติด:"))&amp;"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SUMPRODUCT((SITE_ST="P9-011")*(SITE_TYPE=$B141)*(SITE_TYPE&lt;&gt;""))</f>
        <v>0</v>
      </c>
      <c r="E141" s="397" t="n">
        <f aca="false">SUMPRODUCT((SITE_ST="P9-011")*(SITE_TYPE=$B141)*SITE_MOD)</f>
        <v>0</v>
      </c>
      <c r="I141" s="398" t="n">
        <f aca="false">SUMPRODUCT((SITE_ST="P9-011")*(SITE_TYPE=$B141)*SITE_KWP)</f>
        <v>0</v>
      </c>
      <c r="J141" s="35" t="str">
        <f aca="false">IF(SUMPRODUCT((SITE_ST="P9-011")*(SITE_TYPE=$B141)*(SITE_TYPE&lt;&gt;""))=0,"",SUMPRODUCT((SITE_ST="P9-011")*(SITE_TYPE=$B141)*SITE_S21*SITE_D21)/MAX(0.0001,SUMPRODUCT((SITE_ST="P9-011")*(SITE_TYPE=$B141)*SITE_S21)))</f>
        <v/>
      </c>
      <c r="K141" s="32" t="str">
        <f aca="false">IF(SUMPRODUCT((SITE_ST="P9-011")*(SITE_TYPE=$B141)*(SITE_TYPE&lt;&gt;""))=0,"",SUMPRODUCT((SITE_ST="P9-011")*(SITE_TYPE=$B141)*(SITE_TYPE&lt;&gt;"")*(SITE_T22="Y"))&amp;"/"&amp;SUMPRODUCT((SITE_ST="P9-011")*(SITE_TYPE=$B141)*(SITE_TYPE&lt;&gt;"")))</f>
        <v/>
      </c>
      <c r="L141" s="32" t="str">
        <f aca="false">IF(SUMPRODUCT((SITE_ST="P9-011")*(SITE_TYPE=$B141)*(SITE_TYPE&lt;&gt;""))=0,"",SUMPRODUCT((SITE_ST="P9-011")*(SITE_TYPE=$B141)*(SITE_TYPE&lt;&gt;"")*(SITE_T23="Y"))&amp;"/"&amp;SUMPRODUCT((SITE_ST="P9-011")*(SITE_TYPE=$B141)*(SITE_TYPE&lt;&gt;"")))</f>
        <v/>
      </c>
      <c r="O141" s="32" t="str">
        <f aca="false">IF(SUMPRODUCT((SITE_ST="P9-011")*(SITE_TYPE=$B141)*(LEFT(SITE_LAD,4)="ติด:"))=0,"",SUMPRODUCT((SITE_ST="P9-011")*(SITE_TYPE=$B141)*(LEFT(SITE_LAD,4)="ติด:"))&amp;"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SUMPRODUCT((SITE_ST="P9-011")*(SITE_TYPE&lt;&gt;""))</f>
        <v>1</v>
      </c>
      <c r="E142" s="403" t="n">
        <f aca="false">SUMPRODUCT((SITE_ST="P9-011")*SITE_MOD)</f>
        <v>264</v>
      </c>
      <c r="I142" s="404" t="n">
        <f aca="false">SUMPRODUCT((SITE_ST="P9-011")*SITE_KWP)</f>
        <v>150.48</v>
      </c>
      <c r="J142" s="405" t="n">
        <f aca="false">IF(SUMPRODUCT((SITE_ST="P9-011")*(SITE_TYPE&lt;&gt;""))=0,"",SUMPRODUCT((SITE_ST="P9-011")*SITE_S21*SITE_D21)/MAX(0.0001,SUMPRODUCT((SITE_ST="P9-011")*SITE_S21)))</f>
        <v>0</v>
      </c>
      <c r="K142" s="406" t="str">
        <f aca="false">IF(SUMPRODUCT((SITE_ST="P9-011")*(SITE_TYPE&lt;&gt;""))=0,"",SUMPRODUCT((SITE_ST="P9-011")*(SITE_TYPE&lt;&gt;"")*(SITE_T22="Y"))&amp;"/"&amp;SUMPRODUCT((SITE_ST="P9-011")*(SITE_TYPE&lt;&gt;"")))</f>
        <v>0/1</v>
      </c>
      <c r="L142" s="406" t="str">
        <f aca="false">IF(SUMPRODUCT((SITE_ST="P9-011")*(SITE_TYPE&lt;&gt;""))=0,"",SUMPRODUCT((SITE_ST="P9-011")*(SITE_TYPE&lt;&gt;"")*(SITE_T23="Y"))&amp;"/"&amp;SUMPRODUCT((SITE_ST="P9-011")*(SITE_TYPE&lt;&gt;"")))</f>
        <v>0/1</v>
      </c>
      <c r="O142" s="406" t="str">
        <f aca="false">IF(SUMPRODUCT((SITE_ST="P9-011")*(LEFT(SITE_LAD,4)="ติด:"))=0,"",SUMPRODUCT((SITE_ST="P9-011")*(LEFT(SITE_LAD,4)="ติด:"))&amp;" จุด")</f>
        <v>1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IFERROR(INDEX(INVS_TYPE,MATCH("P9-011",INVS_ID,0))&amp;"","")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ทั้งก้อน",IFERROR(INDEX(INVS_SET,MATCH("P9-011",INVS_ID,0)),"")&amp;" kW, โรงเรือน "&amp;IFERROR(INDEX(INVS_SIZE,MATCH("P9-011",INVS_ID,0)),"")&amp;",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8" display="✎ กรอกความคืบหน้า"/>
    <hyperlink ref="R4" location="'Master Plan'!A18" display="← กลับ Master Plan"/>
    <hyperlink ref="M10" location="'อัปเดตงาน WBS'!L8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8"/>
    <hyperlink ref="M11" location="'อัปเดตงาน WBS'!L8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29"/>
    <hyperlink ref="M12" location="'อัปเดตงาน WBS'!L8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0"/>
    <hyperlink ref="M13" location="'อัปเดตงาน WBS'!L8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1"/>
    <hyperlink ref="M14" location="'อัปเดตงาน WBS'!L8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2"/>
    <hyperlink ref="M15" location="'อัปเดตงาน WBS'!L8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3"/>
    <hyperlink ref="M17" location="'อัปเดตงาน WBS'!L8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4"/>
    <hyperlink ref="M18" location="'อัปเดตงาน WBS'!L8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5"/>
    <hyperlink ref="M19" location="'อัปเดตงาน WBS'!L8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6"/>
    <hyperlink ref="M20" location="'อัปเดตงาน WBS'!L8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7"/>
    <hyperlink ref="M21" location="'อัปเดตงาน WBS'!L8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8"/>
    <hyperlink ref="M22" location="'อัปเดตงาน WBS'!L8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39"/>
    <hyperlink ref="M24" location="'อัปเดตงาน WBS'!L8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0"/>
    <hyperlink ref="M26" location="'อัปเดตงาน WBS'!L8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1"/>
    <hyperlink ref="M27" location="'อัปเดตงาน WBS'!L8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2"/>
    <hyperlink ref="M28" location="'อัปเดตงาน WBS'!L8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3"/>
    <hyperlink ref="M31" location="'อัปเดตงาน WBS'!L8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4"/>
    <hyperlink ref="M32" location="'อัปเดตงาน WBS'!L8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5"/>
    <hyperlink ref="M33" location="'อัปเดตงาน WBS'!L8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6"/>
    <hyperlink ref="M35" location="'อัปเดตงาน WBS'!L8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7"/>
    <hyperlink ref="M36" location="'อัปเดตงาน WBS'!L8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8"/>
    <hyperlink ref="M37" location="'อัปเดตงาน WBS'!L8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49"/>
    <hyperlink ref="M38" location="'อัปเดตงาน WBS'!L8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0"/>
    <hyperlink ref="M40" location="'อัปเดตงาน WBS'!L8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1"/>
    <hyperlink ref="M41" location="'อัปเดตงาน WBS'!L8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2"/>
    <hyperlink ref="M42" location="'อัปเดตงาน WBS'!L8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3"/>
    <hyperlink ref="M44" location="'อัปเดตงาน WBS'!L8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4"/>
    <hyperlink ref="M45" location="'อัปเดตงาน WBS'!L8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5"/>
    <hyperlink ref="M46" location="'อัปเดตงาน WBS'!L8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6"/>
    <hyperlink ref="M53" location="'อัปเดตงาน WBS'!L8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7"/>
    <hyperlink ref="M54" location="'อัปเดตงาน WBS'!L8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8"/>
    <hyperlink ref="M63" location="'อัปเดตงาน WBS'!L8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59"/>
    <hyperlink ref="M64" location="'อัปเดตงาน WBS'!L8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0"/>
    <hyperlink ref="M65" location="'อัปเดตงาน WBS'!L8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1"/>
    <hyperlink ref="M66" location="'อัปเดตงาน WBS'!L8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2"/>
    <hyperlink ref="M67" location="'อัปเดตงาน WBS'!L8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3"/>
    <hyperlink ref="M68" location="'อัปเดตงาน WBS'!L8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4"/>
    <hyperlink ref="M69" location="'อัปเดตงาน WBS'!L8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5"/>
    <hyperlink ref="M71" location="'อัปเดตงาน WBS'!L8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6"/>
    <hyperlink ref="M72" location="'อัปเดตงาน WBS'!L8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7"/>
    <hyperlink ref="M73" location="'อัปเดตงาน WBS'!L8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8"/>
    <hyperlink ref="M74" location="'อัปเดตงาน WBS'!L8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69"/>
    <hyperlink ref="M75" location="'อัปเดตงาน WBS'!L8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0"/>
    <hyperlink ref="M77" location="'อัปเดตงาน WBS'!L8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1"/>
    <hyperlink ref="M78" location="'อัปเดตงาน WBS'!L8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2"/>
    <hyperlink ref="M79" location="'อัปเดตงาน WBS'!L8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3"/>
    <hyperlink ref="M80" location="'อัปเดตงาน WBS'!L8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4"/>
    <hyperlink ref="M81" location="'อัปเดตงาน WBS'!L8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5"/>
    <hyperlink ref="M83" location="'อัปเดตงาน WBS'!L8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6"/>
    <hyperlink ref="M84" location="'อัปเดตงาน WBS'!L8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7"/>
    <hyperlink ref="M86" location="'อัปเดตงาน WBS'!L8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8"/>
    <hyperlink ref="M87" location="'อัปเดตงาน WBS'!L8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79"/>
    <hyperlink ref="M88" location="'อัปเดตงาน WBS'!L8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0"/>
    <hyperlink ref="M89" location="'อัปเดตงาน WBS'!L8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1"/>
    <hyperlink ref="M91" location="'อัปเดตงาน WBS'!L8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2"/>
    <hyperlink ref="M92" location="'อัปเดตงาน WBS'!L8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3"/>
    <hyperlink ref="M93" location="'อัปเดตงาน WBS'!L8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4"/>
    <hyperlink ref="M94" location="'อัปเดตงาน WBS'!L8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5"/>
    <hyperlink ref="M95" location="'อัปเดตงาน WBS'!L8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6"/>
    <hyperlink ref="M97" location="'อัปเดตงาน WBS'!L8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7"/>
    <hyperlink ref="M98" location="'อัปเดตงาน WBS'!L8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8"/>
    <hyperlink ref="M99" location="'อัปเดตงาน WBS'!L8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89"/>
    <hyperlink ref="M103" location="'อัปเดตงาน WBS'!L8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0"/>
    <hyperlink ref="M104" location="'อัปเดตงาน WBS'!L8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1"/>
    <hyperlink ref="M105" location="'อัปเดตงาน WBS'!L8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2"/>
    <hyperlink ref="M106" location="'อัปเดตงาน WBS'!L8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3"/>
    <hyperlink ref="M108" location="'อัปเดตงาน WBS'!L8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4"/>
    <hyperlink ref="M109" location="'อัปเดตงาน WBS'!L8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5"/>
    <hyperlink ref="M110" location="'อัปเดตงาน WBS'!L8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6"/>
    <hyperlink ref="M112" location="'อัปเดตงาน WBS'!L8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7"/>
    <hyperlink ref="M113" location="'อัปเดตงาน WBS'!L8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8"/>
    <hyperlink ref="M116" location="'อัปเดตงาน WBS'!L8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899"/>
    <hyperlink ref="M117" location="'อัปเดตงาน WBS'!L9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0"/>
    <hyperlink ref="M118" location="'อัปเดตงาน WBS'!L9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1"/>
    <hyperlink ref="M119" location="'อัปเดตงาน WBS'!L9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2"/>
    <hyperlink ref="M120" location="'อัปเดตงาน WBS'!L9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3"/>
    <hyperlink ref="M121" location="'อัปเดตงาน WBS'!L9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4"/>
    <hyperlink ref="M125" location="'อัปเดตงาน WBS'!L9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5"/>
    <hyperlink ref="M126" location="'อัปเดตงาน WBS'!L9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6"/>
    <hyperlink ref="M127" location="'อัปเดตงาน WBS'!L9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7"/>
    <hyperlink ref="D134" location="'จุดติดตั้ง'!A57" display="✎ เพิ่ม / แก้จุดติดตั้ง →"/>
    <hyperlink ref="D146" location="'Inverter station'!A16" display="file:///home/claude/dash/template/%E0%B9%81%E0%B8%A1%E0%B9%88%E0%B9%81%E0%B8%9A%E0%B8%9A%E0%B9%82%E0%B8%84%E0%B8%A3%E0%B8%87%E0%B8%81%E0%B8%B2%E0%B8%A3%20TCRoof%20(%E0%B8%97%E0%B8%B8%E0%B8%81%E0%B8%81%E0%B8%A3%E0%B8%93%E0%B8%B5).xlsx#'Inverter station'!A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3712</v>
      </c>
    </row>
    <row r="2" customFormat="false" ht="15" hidden="false" customHeight="false" outlineLevel="0" collapsed="false">
      <c r="A2" s="354" t="s">
        <v>3713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Plan'!$AI$19</f>
        <v>-36</v>
      </c>
      <c r="M4" s="360"/>
      <c r="N4" s="360" t="n">
        <f aca="false">'Master Plan'!$AJ$19</f>
        <v>-3</v>
      </c>
      <c r="O4" s="360"/>
      <c r="P4" s="361" t="str">
        <f aca="false">'Master Plan'!$AK$19&amp;" / "&amp;'Master Plan'!$AL$19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COUNTIFS(CR_ST,"P9-012",CR_STAT,"อนุมัติ")&amp;" รายการ, "&amp;'Master Plan'!$AO$19&amp;" วัน"</f>
        <v>0 รายการ, 0 วัน</v>
      </c>
      <c r="AG4" s="362"/>
      <c r="AH4" s="362"/>
      <c r="AI4" s="362"/>
      <c r="AJ4" s="362"/>
      <c r="AK4" s="363" t="n">
        <f aca="false">COUNTIFS(CR_ST,"P9-012",CR_STAT,"รออนุมัติ")+COUNTIFS(CR_ST,"P9-012",CR_STAT,"ขอข้อมูลเพิ่ม")</f>
        <v>0</v>
      </c>
      <c r="AL4" s="363"/>
      <c r="AM4" s="363"/>
      <c r="AN4" s="363"/>
      <c r="AO4" s="363"/>
      <c r="AP4" s="362" t="str">
        <f aca="false">COUNTIF(RW_ST,"P9-012")&amp;" ("&amp;COUNTIFS(RW_ST,"P9-012",RW_DONE,"&lt;&gt;Y")&amp;")"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COUNTIF(LL_ST,"*P9-012*")</f>
        <v>0</v>
      </c>
      <c r="BA4" s="363"/>
      <c r="BB4" s="363"/>
      <c r="BC4" s="363"/>
      <c r="BD4" s="363"/>
      <c r="BE4" s="362" t="str">
        <f aca="false">IF(COUNTIFS(SITE_ST,"P9-012",SITE_TYPE,"?*")=0,"ประมาณการ,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IF(COUNTIFS(SITE_ST,"P9-012",SITE_TYPE,"?*")=0,"ยังไม่ระบุจุด",COUNTIFS(SITE_ST,"P9-012",SITE_LAD,"ติด:*")&amp;" จุด"&amp;IF(COUNTIFS(SITE_ST,"P9-012",SITE_LAD,"⚠*")&gt;0,", ⚠ กรอกความสูง",""))</f>
        <v>1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3714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89</v>
      </c>
      <c r="E9" s="372" t="n">
        <v>0</v>
      </c>
      <c r="F9" s="31"/>
      <c r="G9" s="32"/>
      <c r="H9" s="32" t="n">
        <v>1</v>
      </c>
      <c r="I9" s="373" t="n">
        <f aca="false">'Master Plan'!$H$19+(-75)</f>
        <v>46328</v>
      </c>
      <c r="J9" s="373" t="n">
        <f aca="false">'Master Plan'!$H$19+(50)</f>
        <v>46453</v>
      </c>
      <c r="K9" s="78"/>
      <c r="L9" s="78" t="str">
        <f aca="false">IF(ISNUMBER(อัปเดตรายสัปดาห์!$G$19),อัปเดตรายสัปดาห์!$G$19,"")</f>
        <v/>
      </c>
      <c r="M9" s="374" t="str">
        <f aca="false">IF(อัปเดตรายสัปดาห์!$G$19="Y","Y","")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Plan'!$H$19+(-75)</f>
        <v>46328</v>
      </c>
      <c r="J10" s="382" t="n">
        <f aca="false">'Master Plan'!$H$19+(-63)</f>
        <v>46340</v>
      </c>
      <c r="K10" s="387"/>
      <c r="L10" s="387"/>
      <c r="M10" s="383" t="str">
        <f aca="false">IF('อัปเดตงาน WBS'!$L$908="","",'อัปเดตงาน WBS'!$L$908)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Plan'!$H$19+(-75)</f>
        <v>46328</v>
      </c>
      <c r="J11" s="382" t="n">
        <f aca="false">'Master Plan'!$H$19+(-63)</f>
        <v>46340</v>
      </c>
      <c r="K11" s="387"/>
      <c r="L11" s="387"/>
      <c r="M11" s="383" t="str">
        <f aca="false">IF('อัปเดตงาน WBS'!$L$909="","",'อัปเดตงาน WBS'!$L$909)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Plan'!$H$19+(-75)</f>
        <v>46328</v>
      </c>
      <c r="J12" s="382" t="n">
        <f aca="false">'Master Plan'!$H$19+(-63)</f>
        <v>46340</v>
      </c>
      <c r="K12" s="387"/>
      <c r="L12" s="387"/>
      <c r="M12" s="383" t="str">
        <f aca="false">IF('อัปเดตงาน WBS'!$L$910="","",'อัปเดตงาน WBS'!$L$910)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Plan'!$H$19+(-75)</f>
        <v>46328</v>
      </c>
      <c r="J13" s="382" t="n">
        <f aca="false">'Master Plan'!$H$19+(-56)</f>
        <v>46347</v>
      </c>
      <c r="K13" s="387"/>
      <c r="L13" s="387"/>
      <c r="M13" s="383" t="str">
        <f aca="false">IF('อัปเดตงาน WBS'!$L$911="","",'อัปเดตงาน WBS'!$L$911)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Plan'!$H$19+(-63)</f>
        <v>46340</v>
      </c>
      <c r="J14" s="382" t="n">
        <f aca="false">'Master Plan'!$H$19+(50)</f>
        <v>46453</v>
      </c>
      <c r="K14" s="387"/>
      <c r="L14" s="387"/>
      <c r="M14" s="383" t="str">
        <f aca="false">IF('อัปเดตงาน WBS'!$L$912="","",'อัปเดตงาน WBS'!$L$912)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Plan'!$H$19+(-63)</f>
        <v>46340</v>
      </c>
      <c r="J15" s="382" t="n">
        <f aca="false">'Master Plan'!$H$19+(50)</f>
        <v>46453</v>
      </c>
      <c r="K15" s="387"/>
      <c r="L15" s="387"/>
      <c r="M15" s="383" t="str">
        <f aca="false">IF('อัปเดตงาน WBS'!$L$913="","",'อัปเดตงาน WBS'!$L$913)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Plan'!$H$19+(-56)</f>
        <v>46347</v>
      </c>
      <c r="J16" s="373" t="n">
        <f aca="false">'Master Plan'!$H$19+(-45)</f>
        <v>46358</v>
      </c>
      <c r="K16" s="78"/>
      <c r="L16" s="78" t="str">
        <f aca="false">IF(ISNUMBER(อัปเดตรายสัปดาห์!$H$19),อัปเดตรายสัปดาห์!$H$19,"")</f>
        <v/>
      </c>
      <c r="M16" s="374" t="str">
        <f aca="false">IF(อัปเดตรายสัปดาห์!$H$19="Y","Y","")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Plan'!$H$19+(-56)</f>
        <v>46347</v>
      </c>
      <c r="J17" s="382" t="n">
        <f aca="false">'Master Plan'!$H$19+(-54)</f>
        <v>46349</v>
      </c>
      <c r="K17" s="387"/>
      <c r="L17" s="387"/>
      <c r="M17" s="383" t="str">
        <f aca="false">IF('อัปเดตงาน WBS'!$L$914="","",'อัปเดตงาน WBS'!$L$914)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Plan'!$H$19+(-55)</f>
        <v>46348</v>
      </c>
      <c r="J18" s="382" t="n">
        <f aca="false">'Master Plan'!$H$19+(-52)</f>
        <v>46351</v>
      </c>
      <c r="K18" s="387"/>
      <c r="L18" s="387"/>
      <c r="M18" s="383" t="str">
        <f aca="false">IF('อัปเดตงาน WBS'!$L$915="","",'อัปเดตงาน WBS'!$L$915)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Plan'!$H$19+(-53)</f>
        <v>46350</v>
      </c>
      <c r="J19" s="382" t="n">
        <f aca="false">'Master Plan'!$H$19+(-48)</f>
        <v>46355</v>
      </c>
      <c r="K19" s="387"/>
      <c r="L19" s="387"/>
      <c r="M19" s="383" t="str">
        <f aca="false">IF('อัปเดตงาน WBS'!$L$916="","",'อัปเดตงาน WBS'!$L$916)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Plan'!$H$19+(-53)</f>
        <v>46350</v>
      </c>
      <c r="J20" s="382" t="n">
        <f aca="false">'Master Plan'!$H$19+(-48)</f>
        <v>46355</v>
      </c>
      <c r="K20" s="387"/>
      <c r="L20" s="387"/>
      <c r="M20" s="383" t="str">
        <f aca="false">IF('อัปเดตงาน WBS'!$L$917="","",'อัปเดตงาน WBS'!$L$917)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Plan'!$H$19+(-52)</f>
        <v>46351</v>
      </c>
      <c r="J21" s="382" t="n">
        <f aca="false">'Master Plan'!$H$19+(-47)</f>
        <v>46356</v>
      </c>
      <c r="K21" s="387"/>
      <c r="L21" s="387"/>
      <c r="M21" s="383" t="str">
        <f aca="false">IF('อัปเดตงาน WBS'!$L$918="","",'อัปเดตงาน WBS'!$L$918)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Plan'!$H$19+(-50)</f>
        <v>46353</v>
      </c>
      <c r="J22" s="382" t="n">
        <f aca="false">'Master Plan'!$H$19+(-46)</f>
        <v>46357</v>
      </c>
      <c r="K22" s="387"/>
      <c r="L22" s="387"/>
      <c r="M22" s="383" t="str">
        <f aca="false">IF('อัปเดตงาน WBS'!$L$919="","",'อัปเดตงาน WBS'!$L$919)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Plan'!$H$19+(-49)</f>
        <v>46354</v>
      </c>
      <c r="J24" s="382" t="n">
        <f aca="false">'Master Plan'!$H$19+(-45)</f>
        <v>46358</v>
      </c>
      <c r="K24" s="387"/>
      <c r="L24" s="387"/>
      <c r="M24" s="383" t="str">
        <f aca="false">IF('อัปเดตงาน WBS'!$L$920="","",'อัปเดตงาน WBS'!$L$920)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Plan'!$H$19+(-51)</f>
        <v>46352</v>
      </c>
      <c r="J25" s="373" t="n">
        <f aca="false">'Master Plan'!$H$19+(-51)</f>
        <v>46352</v>
      </c>
      <c r="K25" s="78"/>
      <c r="L25" s="78" t="str">
        <f aca="false">IF(ISNUMBER(อัปเดตรายสัปดาห์!$I$19),อัปเดตรายสัปดาห์!$I$19,"")</f>
        <v/>
      </c>
      <c r="M25" s="374" t="str">
        <f aca="false">IF(อัปเดตรายสัปดาห์!$I$19="Y","Y","")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Plan'!$H$19+(-51)</f>
        <v>46352</v>
      </c>
      <c r="J26" s="382" t="n">
        <f aca="false">'Master Plan'!$H$19+(-51)</f>
        <v>46352</v>
      </c>
      <c r="K26" s="387"/>
      <c r="L26" s="387"/>
      <c r="M26" s="383" t="str">
        <f aca="false">IF('อัปเดตงาน WBS'!$L$921="","",'อัปเดตงาน WBS'!$L$921)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Plan'!$H$19+(-51)</f>
        <v>46352</v>
      </c>
      <c r="J27" s="382" t="n">
        <f aca="false">'Master Plan'!$H$19+(-51)</f>
        <v>46352</v>
      </c>
      <c r="K27" s="387"/>
      <c r="L27" s="387"/>
      <c r="M27" s="383" t="str">
        <f aca="false">IF('อัปเดตงาน WBS'!$L$922="","",'อัปเดตงาน WBS'!$L$922)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Plan'!$H$19+(-51)</f>
        <v>46352</v>
      </c>
      <c r="J28" s="382" t="n">
        <f aca="false">'Master Plan'!$H$19+(-51)</f>
        <v>46352</v>
      </c>
      <c r="K28" s="387"/>
      <c r="L28" s="387"/>
      <c r="M28" s="383" t="str">
        <f aca="false">IF('อัปเดตงาน WBS'!$L$923="","",'อัปเดตงาน WBS'!$L$923)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89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Plan'!$H$19+(-75)</f>
        <v>46328</v>
      </c>
      <c r="J30" s="373" t="n">
        <f aca="false">'Master Plan'!$H$19+(-75)</f>
        <v>46328</v>
      </c>
      <c r="K30" s="78"/>
      <c r="L30" s="78" t="str">
        <f aca="false">IF(ISNUMBER(อัปเดตรายสัปดาห์!$J$19),อัปเดตรายสัปดาห์!$J$19,"")</f>
        <v/>
      </c>
      <c r="M30" s="374" t="str">
        <f aca="false">IF(อัปเดตรายสัปดาห์!$J$19="Y","Y","")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Plan'!$H$19+(-75)</f>
        <v>46328</v>
      </c>
      <c r="J31" s="382" t="n">
        <f aca="false">'Master Plan'!$H$19+(-75)</f>
        <v>46328</v>
      </c>
      <c r="K31" s="387"/>
      <c r="L31" s="387"/>
      <c r="M31" s="383" t="str">
        <f aca="false">IF('อัปเดตงาน WBS'!$L$924="","",'อัปเดตงาน WBS'!$L$924)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Plan'!$H$19+(-75)</f>
        <v>46328</v>
      </c>
      <c r="J32" s="382" t="n">
        <f aca="false">'Master Plan'!$H$19+(-75)</f>
        <v>46328</v>
      </c>
      <c r="K32" s="387"/>
      <c r="L32" s="387"/>
      <c r="M32" s="383" t="str">
        <f aca="false">IF('อัปเดตงาน WBS'!$L$925="","",'อัปเดตงาน WBS'!$L$925)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Plan'!$H$19+(-75)</f>
        <v>46328</v>
      </c>
      <c r="J33" s="382" t="n">
        <f aca="false">'Master Plan'!$H$19+(-75)</f>
        <v>46328</v>
      </c>
      <c r="K33" s="387"/>
      <c r="L33" s="387"/>
      <c r="M33" s="383" t="str">
        <f aca="false">IF('อัปเดตงาน WBS'!$L$926="","",'อัปเดตงาน WBS'!$L$926)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89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Plan'!$H$19+(-68)</f>
        <v>46335</v>
      </c>
      <c r="J34" s="373" t="n">
        <f aca="false">'Master Plan'!$H$19+(-59)</f>
        <v>46344</v>
      </c>
      <c r="K34" s="78"/>
      <c r="L34" s="78" t="str">
        <f aca="false">IF(ISNUMBER(อัปเดตรายสัปดาห์!$K$19),อัปเดตรายสัปดาห์!$K$19,"")</f>
        <v/>
      </c>
      <c r="M34" s="374" t="str">
        <f aca="false">IF(อัปเดตรายสัปดาห์!$K$19="Y","Y","")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Plan'!$H$19+(-68)</f>
        <v>46335</v>
      </c>
      <c r="J35" s="382" t="n">
        <f aca="false">'Master Plan'!$H$19+(-64)</f>
        <v>46339</v>
      </c>
      <c r="K35" s="387"/>
      <c r="L35" s="387"/>
      <c r="M35" s="383" t="str">
        <f aca="false">IF('อัปเดตงาน WBS'!$L$927="","",'อัปเดตงาน WBS'!$L$927)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Plan'!$H$19+(-68)</f>
        <v>46335</v>
      </c>
      <c r="J36" s="382" t="n">
        <f aca="false">'Master Plan'!$H$19+(-63)</f>
        <v>46340</v>
      </c>
      <c r="K36" s="387"/>
      <c r="L36" s="387"/>
      <c r="M36" s="383" t="str">
        <f aca="false">IF('อัปเดตงาน WBS'!$L$928="","",'อัปเดตงาน WBS'!$L$928)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Plan'!$H$19+(-65)</f>
        <v>46338</v>
      </c>
      <c r="J37" s="382" t="n">
        <f aca="false">'Master Plan'!$H$19+(-62)</f>
        <v>46341</v>
      </c>
      <c r="K37" s="387"/>
      <c r="L37" s="387"/>
      <c r="M37" s="383" t="str">
        <f aca="false">IF('อัปเดตงาน WBS'!$L$929="","",'อัปเดตงาน WBS'!$L$929)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Plan'!$H$19+(-63)</f>
        <v>46340</v>
      </c>
      <c r="J38" s="382" t="n">
        <f aca="false">'Master Plan'!$H$19+(-59)</f>
        <v>46344</v>
      </c>
      <c r="K38" s="387"/>
      <c r="L38" s="387"/>
      <c r="M38" s="383" t="str">
        <f aca="false">IF('อัปเดตงาน WBS'!$L$930="","",'อัปเดตงาน WBS'!$L$930)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89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Plan'!$H$19+(-45)</f>
        <v>46358</v>
      </c>
      <c r="J39" s="373" t="n">
        <f aca="false">'Master Plan'!$H$19+(-45)</f>
        <v>46358</v>
      </c>
      <c r="K39" s="78"/>
      <c r="L39" s="78" t="str">
        <f aca="false">IF(ISNUMBER(อัปเดตรายสัปดาห์!$L$19),อัปเดตรายสัปดาห์!$L$19,"")</f>
        <v/>
      </c>
      <c r="M39" s="374" t="str">
        <f aca="false">IF(อัปเดตรายสัปดาห์!$L$19="Y","Y","")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Plan'!$H$19+(-45)</f>
        <v>46358</v>
      </c>
      <c r="J40" s="382" t="n">
        <f aca="false">'Master Plan'!$H$19+(-45)</f>
        <v>46358</v>
      </c>
      <c r="K40" s="387"/>
      <c r="L40" s="387"/>
      <c r="M40" s="383" t="str">
        <f aca="false">IF('อัปเดตงาน WBS'!$L$931="","",'อัปเดตงาน WBS'!$L$931)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Plan'!$H$19+(-45)</f>
        <v>46358</v>
      </c>
      <c r="J41" s="382" t="n">
        <f aca="false">'Master Plan'!$H$19+(-45)</f>
        <v>46358</v>
      </c>
      <c r="K41" s="387"/>
      <c r="L41" s="387"/>
      <c r="M41" s="383" t="str">
        <f aca="false">IF('อัปเดตงาน WBS'!$L$932="","",'อัปเดตงาน WBS'!$L$932)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Plan'!$H$19+(-45)</f>
        <v>46358</v>
      </c>
      <c r="J42" s="382" t="n">
        <f aca="false">'Master Plan'!$H$19+(-45)</f>
        <v>46358</v>
      </c>
      <c r="K42" s="387"/>
      <c r="L42" s="387"/>
      <c r="M42" s="383" t="str">
        <f aca="false">IF('อัปเดตงาน WBS'!$L$933="","",'อัปเดตงาน WBS'!$L$933)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Plan'!$H$19+(-68)</f>
        <v>46335</v>
      </c>
      <c r="J43" s="373" t="n">
        <f aca="false">'Master Plan'!$H$19+(-55)</f>
        <v>46348</v>
      </c>
      <c r="K43" s="78"/>
      <c r="L43" s="78" t="str">
        <f aca="false">IF(ISNUMBER(อัปเดตรายสัปดาห์!$M$19),อัปเดตรายสัปดาห์!$M$19,"")</f>
        <v/>
      </c>
      <c r="M43" s="374" t="str">
        <f aca="false">IF(อัปเดตรายสัปดาห์!$M$19="Y","Y","")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Plan'!$H$19+(-68)</f>
        <v>46335</v>
      </c>
      <c r="J44" s="382" t="n">
        <f aca="false">'Master Plan'!$H$19+(-65)</f>
        <v>46338</v>
      </c>
      <c r="K44" s="387"/>
      <c r="L44" s="387"/>
      <c r="M44" s="383" t="str">
        <f aca="false">IF('อัปเดตงาน WBS'!$L$934="","",'อัปเดตงาน WBS'!$L$934)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Plan'!$H$19+(-67)</f>
        <v>46336</v>
      </c>
      <c r="J45" s="382" t="n">
        <f aca="false">'Master Plan'!$H$19+(-62)</f>
        <v>46341</v>
      </c>
      <c r="K45" s="387"/>
      <c r="L45" s="387"/>
      <c r="M45" s="383" t="str">
        <f aca="false">IF('อัปเดตงาน WBS'!$L$935="","",'อัปเดตงาน WBS'!$L$935)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Plan'!$H$19+(-62)</f>
        <v>46341</v>
      </c>
      <c r="J46" s="382" t="n">
        <f aca="false">'Master Plan'!$H$19+(-55)</f>
        <v>46348</v>
      </c>
      <c r="K46" s="387"/>
      <c r="L46" s="387"/>
      <c r="M46" s="383" t="str">
        <f aca="false">IF('อัปเดตงาน WBS'!$L$936="","",'อัปเดตงาน WBS'!$L$936)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Plan'!$H$19+(-12)</f>
        <v>46391</v>
      </c>
      <c r="J47" s="373" t="n">
        <f aca="false">'Master Plan'!$H$19+(-12)</f>
        <v>46391</v>
      </c>
      <c r="K47" s="78"/>
      <c r="L47" s="78" t="str">
        <f aca="false">IF(ISNUMBER(อัปเดตรายสัปดาห์!$N$19),อัปเดตรายสัปดาห์!$N$19,"")</f>
        <v/>
      </c>
      <c r="M47" s="374" t="str">
        <f aca="false">IF(อัปเดตรายสัปดาห์!$N$19="Y","Y","")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Plan'!$AG$19)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Plan'!$H$19+(-12)</f>
        <v>46391</v>
      </c>
      <c r="J48" s="382" t="n">
        <f aca="false">'Master Plan'!$H$19+(-12)</f>
        <v>46391</v>
      </c>
      <c r="K48" s="387"/>
      <c r="L48" s="387"/>
      <c r="M48" s="383" t="str">
        <f aca="false">IF('อัปเดตงาน WBS'!$L$937="","",'อัปเดตงาน WBS'!$L$937)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Plan'!$H$19+(-12)</f>
        <v>46391</v>
      </c>
      <c r="J49" s="382" t="n">
        <f aca="false">'Master Plan'!$H$19+(-12)</f>
        <v>46391</v>
      </c>
      <c r="K49" s="387"/>
      <c r="L49" s="387"/>
      <c r="M49" s="383" t="str">
        <f aca="false">IF('อัปเดตงาน WBS'!$L$938="","",'อัปเดตงาน WBS'!$L$938)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Plan'!$H$19+(-11)</f>
        <v>46392</v>
      </c>
      <c r="J50" s="373" t="n">
        <f aca="false">'Master Plan'!$H$19+(18)</f>
        <v>46421</v>
      </c>
      <c r="K50" s="78"/>
      <c r="L50" s="78" t="str">
        <f aca="false">IF(ISNUMBER(อัปเดตรายสัปดาห์!$O$19),อัปเดตรายสัปดาห์!$O$19,"")</f>
        <v/>
      </c>
      <c r="M50" s="374" t="str">
        <f aca="false">IF(อัปเดตรายสัปดาห์!$O$19="Y","Y","")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Plan'!$H$19+(-12)</f>
        <v>46391</v>
      </c>
      <c r="J51" s="382" t="n">
        <f aca="false">'Master Plan'!$H$19+(-12)</f>
        <v>46391</v>
      </c>
      <c r="K51" s="387"/>
      <c r="L51" s="387"/>
      <c r="M51" s="383" t="str">
        <f aca="false">IF('อัปเดตงาน WBS'!$L$939="","",'อัปเดตงาน WBS'!$L$939)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IF(ISNUMBER(อัปเดตรายสัปดาห์!$P$19),อัปเดตรายสัปดาห์!$P$19,"")</f>
        <v/>
      </c>
      <c r="M52" s="374" t="str">
        <f aca="false">IF(อัปเดตรายสัปดาห์!$P$19="Y","Y","")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WBS'!$L$940="","",'อัปเดตงาน WBS'!$L$940)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WBS'!$L$941="","",'อัปเดตงาน WBS'!$L$941)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Plan'!$H$19+(-12)</f>
        <v>46391</v>
      </c>
      <c r="J55" s="373" t="n">
        <f aca="false">'Master Plan'!$H$19+(-12)</f>
        <v>46391</v>
      </c>
      <c r="K55" s="78"/>
      <c r="L55" s="78" t="str">
        <f aca="false">IF(ISNUMBER(อัปเดตรายสัปดาห์!$Q$19),อัปเดตรายสัปดาห์!$Q$19,"")</f>
        <v/>
      </c>
      <c r="M55" s="374" t="str">
        <f aca="false">IF(อัปเดตรายสัปดาห์!$Q$19="Y","Y","")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Plan'!$AC$19)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IF(ISNUMBER(อัปเดตรายสัปดาห์!$R$19),อัปเดตรายสัปดาห์!$R$19,"")</f>
        <v/>
      </c>
      <c r="M56" s="374" t="str">
        <f aca="false">IF(อัปเดตรายสัปดาห์!$R$19="Y","Y","")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Plan'!$H$19+(-11)</f>
        <v>46392</v>
      </c>
      <c r="J57" s="373" t="n">
        <f aca="false">'Master Plan'!$H$19+(9)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IF(ISNUMBER(อัปเดตรายสัปดาห์!$S$19),อัปเดตรายสัปดาห์!$S$19,"")</f>
        <v/>
      </c>
      <c r="M57" s="374" t="str">
        <f aca="false">IF(อัปเดตรายสัปดาห์!$S$19="Y","Y","")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Plan'!$AD$19)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Plan'!$H$19+(10)</f>
        <v>46413</v>
      </c>
      <c r="J58" s="373" t="n">
        <f aca="false">'Master Plan'!$H$19+(16)</f>
        <v>46419</v>
      </c>
      <c r="K58" s="78"/>
      <c r="L58" s="78" t="str">
        <f aca="false">IF(ISNUMBER(อัปเดตรายสัปดาห์!$T$19),อัปเดตรายสัปดาห์!$T$19,"")</f>
        <v/>
      </c>
      <c r="M58" s="374" t="str">
        <f aca="false">IF(อัปเดตรายสัปดาห์!$T$19="Y","Y","")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Plan'!$AE$19)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Plan'!$H$19+(17)</f>
        <v>46420</v>
      </c>
      <c r="J59" s="373" t="n">
        <f aca="false">'Master Plan'!$H$19+(17)</f>
        <v>46420</v>
      </c>
      <c r="K59" s="78"/>
      <c r="L59" s="78" t="str">
        <f aca="false">IF(ISNUMBER(อัปเดตรายสัปดาห์!$U$19),อัปเดตรายสัปดาห์!$U$19,"")</f>
        <v/>
      </c>
      <c r="M59" s="374" t="str">
        <f aca="false">IF(อัปเดตรายสัปดาห์!$U$19="Y","Y","")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Plan'!$AF$19)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89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Plan'!$H$19+(18)</f>
        <v>46421</v>
      </c>
      <c r="J60" s="373" t="n">
        <f aca="false">'Master Plan'!$H$19+(33)</f>
        <v>46436</v>
      </c>
      <c r="K60" s="78"/>
      <c r="L60" s="78" t="str">
        <f aca="false">IF(ISNUMBER(อัปเดตรายสัปดาห์!$V$19),อัปเดตรายสัปดาห์!$V$19,"")</f>
        <v/>
      </c>
      <c r="M60" s="374" t="str">
        <f aca="false">IF(อัปเดตรายสัปดาห์!$V$19="Y","Y","")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Plan'!$AH$19)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3715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Plan'!$H$19+(-42)</f>
        <v>46361</v>
      </c>
      <c r="J62" s="373" t="n">
        <f aca="false">'Master Plan'!$H$19+(-25)</f>
        <v>46378</v>
      </c>
      <c r="K62" s="78"/>
      <c r="L62" s="78" t="str">
        <f aca="false">IF(ISNUMBER(อัปเดตรายสัปดาห์!$W$19),อัปเดตรายสัปดาห์!$W$19,"")</f>
        <v/>
      </c>
      <c r="M62" s="374" t="str">
        <f aca="false">IF(อัปเดตรายสัปดาห์!$W$19="Y","Y","")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-012",SITE_TYPE,"?*")&gt;0,MIN(1,SUMPRODUCT((SITE_ST="P9-012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Plan'!$H$19+(-42)</f>
        <v>46361</v>
      </c>
      <c r="J63" s="382" t="n">
        <f aca="false">'Master Plan'!$H$19+(-40)</f>
        <v>46363</v>
      </c>
      <c r="K63" s="387"/>
      <c r="L63" s="387"/>
      <c r="M63" s="383" t="str">
        <f aca="false">IF('อัปเดตงาน WBS'!$L$942="","",'อัปเดตงาน WBS'!$L$942)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Plan'!$H$19+(-42)</f>
        <v>46361</v>
      </c>
      <c r="J64" s="382" t="n">
        <f aca="false">'Master Plan'!$H$19+(-39)</f>
        <v>46364</v>
      </c>
      <c r="K64" s="387"/>
      <c r="L64" s="387"/>
      <c r="M64" s="383" t="str">
        <f aca="false">IF('อัปเดตงาน WBS'!$L$943="","",'อัปเดตงาน WBS'!$L$943)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Plan'!$H$19+(-40)</f>
        <v>46363</v>
      </c>
      <c r="J65" s="382" t="n">
        <f aca="false">'Master Plan'!$H$19+(-34)</f>
        <v>46369</v>
      </c>
      <c r="K65" s="387"/>
      <c r="L65" s="387"/>
      <c r="M65" s="383" t="str">
        <f aca="false">IF('อัปเดตงาน WBS'!$L$944="","",'อัปเดตงาน WBS'!$L$944)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Plan'!$H$19+(-35)</f>
        <v>46368</v>
      </c>
      <c r="J66" s="382" t="n">
        <f aca="false">'Master Plan'!$H$19+(-28)</f>
        <v>46375</v>
      </c>
      <c r="K66" s="387"/>
      <c r="L66" s="387"/>
      <c r="M66" s="383" t="str">
        <f aca="false">IF('อัปเดตงาน WBS'!$L$945="","",'อัปเดตงาน WBS'!$L$945)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Plan'!$H$19+(-32)</f>
        <v>46371</v>
      </c>
      <c r="J67" s="382" t="n">
        <f aca="false">'Master Plan'!$H$19+(-26)</f>
        <v>46377</v>
      </c>
      <c r="K67" s="387"/>
      <c r="L67" s="387"/>
      <c r="M67" s="383" t="str">
        <f aca="false">IF('อัปเดตงาน WBS'!$L$946="","",'อัปเดตงาน WBS'!$L$946)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Plan'!$H$19+(-28)</f>
        <v>46375</v>
      </c>
      <c r="J68" s="382" t="n">
        <f aca="false">'Master Plan'!$H$19+(-25)</f>
        <v>46378</v>
      </c>
      <c r="K68" s="387"/>
      <c r="L68" s="387"/>
      <c r="M68" s="383" t="str">
        <f aca="false">IF('อัปเดตงาน WBS'!$L$947="","",'อัปเดตงาน WBS'!$L$947)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Plan'!$H$19+(-26)</f>
        <v>46377</v>
      </c>
      <c r="J69" s="382" t="n">
        <f aca="false">'Master Plan'!$H$19+(-25)</f>
        <v>46378</v>
      </c>
      <c r="K69" s="387"/>
      <c r="L69" s="387"/>
      <c r="M69" s="383" t="str">
        <f aca="false">IF('อัปเดตงาน WBS'!$L$948="","",'อัปเดตงาน WBS'!$L$948)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3715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Plan'!$H$19+(-24)</f>
        <v>46379</v>
      </c>
      <c r="J70" s="373" t="n">
        <f aca="false">'Master Plan'!$H$19+(-15)</f>
        <v>46388</v>
      </c>
      <c r="K70" s="78"/>
      <c r="L70" s="78" t="str">
        <f aca="false">IF(ISNUMBER(อัปเดตรายสัปดาห์!$X$19),อัปเดตรายสัปดาห์!$X$19,"")</f>
        <v/>
      </c>
      <c r="M70" s="374" t="str">
        <f aca="false">IF(อัปเดตรายสัปดาห์!$X$19="Y","Y","")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-012",SITE_TYPE,"?*")&gt;0,MIN(1,SUMPRODUCT((SITE_ST="P9-012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Plan'!$H$19+(-24)</f>
        <v>46379</v>
      </c>
      <c r="J71" s="382" t="n">
        <f aca="false">'Master Plan'!$H$19+(-20)</f>
        <v>46383</v>
      </c>
      <c r="K71" s="387"/>
      <c r="L71" s="387"/>
      <c r="M71" s="383" t="str">
        <f aca="false">IF('อัปเดตงาน WBS'!$L$949="","",'อัปเดตงาน WBS'!$L$949)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Plan'!$H$19+(-22)</f>
        <v>46381</v>
      </c>
      <c r="J72" s="382" t="n">
        <f aca="false">'Master Plan'!$H$19+(-17)</f>
        <v>46386</v>
      </c>
      <c r="K72" s="387"/>
      <c r="L72" s="387"/>
      <c r="M72" s="383" t="str">
        <f aca="false">IF('อัปเดตงาน WBS'!$L$950="","",'อัปเดตงาน WBS'!$L$950)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Plan'!$H$19+(-21)</f>
        <v>46382</v>
      </c>
      <c r="J73" s="382" t="n">
        <f aca="false">'Master Plan'!$H$19+(-17)</f>
        <v>46386</v>
      </c>
      <c r="K73" s="387"/>
      <c r="L73" s="387"/>
      <c r="M73" s="383" t="str">
        <f aca="false">IF('อัปเดตงาน WBS'!$L$951="","",'อัปเดตงาน WBS'!$L$951)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Plan'!$H$19+(-20)</f>
        <v>46383</v>
      </c>
      <c r="J74" s="382" t="n">
        <f aca="false">'Master Plan'!$H$19+(-15)</f>
        <v>46388</v>
      </c>
      <c r="K74" s="387"/>
      <c r="L74" s="387"/>
      <c r="M74" s="383" t="str">
        <f aca="false">IF('อัปเดตงาน WBS'!$L$952="","",'อัปเดตงาน WBS'!$L$952)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Plan'!$H$19+(-17)</f>
        <v>46386</v>
      </c>
      <c r="J75" s="382" t="n">
        <f aca="false">'Master Plan'!$H$19+(-15)</f>
        <v>46388</v>
      </c>
      <c r="K75" s="387"/>
      <c r="L75" s="387"/>
      <c r="M75" s="383" t="str">
        <f aca="false">IF('อัปเดตงาน WBS'!$L$953="","",'อัปเดตงาน WBS'!$L$953)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3715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Plan'!$H$19+(-24)</f>
        <v>46379</v>
      </c>
      <c r="J76" s="373" t="n">
        <f aca="false">'Master Plan'!$H$19+(-15)</f>
        <v>46388</v>
      </c>
      <c r="K76" s="78"/>
      <c r="L76" s="78" t="str">
        <f aca="false">IF(ISNUMBER(อัปเดตรายสัปดาห์!$Y$19),อัปเดตรายสัปดาห์!$Y$19,"")</f>
        <v/>
      </c>
      <c r="M76" s="374" t="str">
        <f aca="false">IF(อัปเดตรายสัปดาห์!$Y$19="Y","Y","")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-012",SITE_TYPE,"?*")&gt;0,MIN(1,SUMPRODUCT((SITE_ST="P9-012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Plan'!$H$19+(-24)</f>
        <v>46379</v>
      </c>
      <c r="J77" s="382" t="n">
        <f aca="false">'Master Plan'!$H$19+(-21)</f>
        <v>46382</v>
      </c>
      <c r="K77" s="387"/>
      <c r="L77" s="387"/>
      <c r="M77" s="383" t="str">
        <f aca="false">IF('อัปเดตงาน WBS'!$L$954="","",'อัปเดตงาน WBS'!$L$954)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Plan'!$H$19+(-23)</f>
        <v>46380</v>
      </c>
      <c r="J78" s="382" t="n">
        <f aca="false">'Master Plan'!$H$19+(-16)</f>
        <v>46387</v>
      </c>
      <c r="K78" s="387"/>
      <c r="L78" s="387"/>
      <c r="M78" s="383" t="str">
        <f aca="false">IF('อัปเดตงาน WBS'!$L$955="","",'อัปเดตงาน WBS'!$L$955)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Plan'!$H$19+(-20)</f>
        <v>46383</v>
      </c>
      <c r="J79" s="382" t="n">
        <f aca="false">'Master Plan'!$H$19+(-15)</f>
        <v>46388</v>
      </c>
      <c r="K79" s="387"/>
      <c r="L79" s="387"/>
      <c r="M79" s="383" t="str">
        <f aca="false">IF('อัปเดตงาน WBS'!$L$956="","",'อัปเดตงาน WBS'!$L$956)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Plan'!$H$19+(-17)</f>
        <v>46386</v>
      </c>
      <c r="J80" s="382" t="n">
        <f aca="false">'Master Plan'!$H$19+(-15)</f>
        <v>46388</v>
      </c>
      <c r="K80" s="387"/>
      <c r="L80" s="387"/>
      <c r="M80" s="383" t="str">
        <f aca="false">IF('อัปเดตงาน WBS'!$L$957="","",'อัปเดตงาน WBS'!$L$957)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Plan'!$H$19+(-15)</f>
        <v>46388</v>
      </c>
      <c r="J81" s="382" t="n">
        <f aca="false">'Master Plan'!$H$19+(-15)</f>
        <v>46388</v>
      </c>
      <c r="K81" s="387"/>
      <c r="L81" s="387"/>
      <c r="M81" s="383" t="str">
        <f aca="false">IF('อัปเดตงาน WBS'!$L$958="","",'อัปเดตงาน WBS'!$L$958)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3715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Plan'!$H$19+(-21)</f>
        <v>46382</v>
      </c>
      <c r="J82" s="373" t="n">
        <f aca="false">'Master Plan'!$H$19+(-18)</f>
        <v>46385</v>
      </c>
      <c r="K82" s="78"/>
      <c r="L82" s="78" t="str">
        <f aca="false">IF(ISNUMBER(อัปเดตรายสัปดาห์!$Z$19),อัปเดตรายสัปดาห์!$Z$19,"")</f>
        <v/>
      </c>
      <c r="M82" s="374" t="str">
        <f aca="false">IF(อัปเดตรายสัปดาห์!$Z$19="Y","Y","")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Plan'!$H$19+(-21)</f>
        <v>46382</v>
      </c>
      <c r="J83" s="382" t="n">
        <f aca="false">'Master Plan'!$H$19+(-19)</f>
        <v>46384</v>
      </c>
      <c r="K83" s="387"/>
      <c r="L83" s="387"/>
      <c r="M83" s="383" t="str">
        <f aca="false">IF('อัปเดตงาน WBS'!$L$959="","",'อัปเดตงาน WBS'!$L$959)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Plan'!$H$19+(-20)</f>
        <v>46383</v>
      </c>
      <c r="J84" s="382" t="n">
        <f aca="false">'Master Plan'!$H$19+(-18)</f>
        <v>46385</v>
      </c>
      <c r="K84" s="387"/>
      <c r="L84" s="387"/>
      <c r="M84" s="383" t="str">
        <f aca="false">IF('อัปเดตงาน WBS'!$L$960="","",'อัปเดตงาน WBS'!$L$960)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3715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Plan'!$H$19+(-25)</f>
        <v>46378</v>
      </c>
      <c r="J85" s="373" t="n">
        <f aca="false">'Master Plan'!$H$19+(-17)</f>
        <v>46386</v>
      </c>
      <c r="K85" s="78"/>
      <c r="L85" s="78" t="str">
        <f aca="false">IF(ISNUMBER(อัปเดตรายสัปดาห์!$AA$19),อัปเดตรายสัปดาห์!$AA$19,"")</f>
        <v/>
      </c>
      <c r="M85" s="374" t="str">
        <f aca="false">IF(อัปเดตรายสัปดาห์!$AA$19="Y","Y","")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Plan'!$H$19+(-25)</f>
        <v>46378</v>
      </c>
      <c r="J86" s="382" t="n">
        <f aca="false">'Master Plan'!$H$19+(-21)</f>
        <v>46382</v>
      </c>
      <c r="K86" s="387"/>
      <c r="L86" s="387"/>
      <c r="M86" s="383" t="str">
        <f aca="false">IF('อัปเดตงาน WBS'!$L$961="","",'อัปเดตงาน WBS'!$L$961)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Plan'!$H$19+(-22)</f>
        <v>46381</v>
      </c>
      <c r="J87" s="382" t="n">
        <f aca="false">'Master Plan'!$H$19+(-18)</f>
        <v>46385</v>
      </c>
      <c r="K87" s="387"/>
      <c r="L87" s="387"/>
      <c r="M87" s="383" t="str">
        <f aca="false">IF('อัปเดตงาน WBS'!$L$962="","",'อัปเดตงาน WBS'!$L$962)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Plan'!$H$19+(-20)</f>
        <v>46383</v>
      </c>
      <c r="J88" s="382" t="n">
        <f aca="false">'Master Plan'!$H$19+(-17)</f>
        <v>46386</v>
      </c>
      <c r="K88" s="387"/>
      <c r="L88" s="387"/>
      <c r="M88" s="383" t="str">
        <f aca="false">IF('อัปเดตงาน WBS'!$L$963="","",'อัปเดตงาน WBS'!$L$963)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Plan'!$H$19+(-18)</f>
        <v>46385</v>
      </c>
      <c r="J89" s="382" t="n">
        <f aca="false">'Master Plan'!$H$19+(-17)</f>
        <v>46386</v>
      </c>
      <c r="K89" s="387"/>
      <c r="L89" s="387"/>
      <c r="M89" s="383" t="str">
        <f aca="false">IF('อัปเดตงาน WBS'!$L$964="","",'อัปเดตงาน WBS'!$L$964)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3715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Plan'!$H$19+(-25)</f>
        <v>46378</v>
      </c>
      <c r="J90" s="373" t="n">
        <f aca="false">'Master Plan'!$H$19+(-16)</f>
        <v>46387</v>
      </c>
      <c r="K90" s="78"/>
      <c r="L90" s="78" t="str">
        <f aca="false">IF(ISNUMBER(อัปเดตรายสัปดาห์!$AB$19),อัปเดตรายสัปดาห์!$AB$19,"")</f>
        <v/>
      </c>
      <c r="M90" s="374" t="str">
        <f aca="false">IF(อัปเดตรายสัปดาห์!$AB$19="Y","Y","")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Plan'!$H$19+(-25)</f>
        <v>46378</v>
      </c>
      <c r="J91" s="382" t="n">
        <f aca="false">'Master Plan'!$H$19+(-20)</f>
        <v>46383</v>
      </c>
      <c r="K91" s="387"/>
      <c r="L91" s="387"/>
      <c r="M91" s="383" t="str">
        <f aca="false">IF('อัปเดตงาน WBS'!$L$965="","",'อัปเดตงาน WBS'!$L$965)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Plan'!$H$19+(-20)</f>
        <v>46383</v>
      </c>
      <c r="J92" s="382" t="n">
        <f aca="false">'Master Plan'!$H$19+(-16)</f>
        <v>46387</v>
      </c>
      <c r="K92" s="387"/>
      <c r="L92" s="387"/>
      <c r="M92" s="383" t="str">
        <f aca="false">IF('อัปเดตงาน WBS'!$L$966="","",'อัปเดตงาน WBS'!$L$966)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Plan'!$H$19+(-25)</f>
        <v>46378</v>
      </c>
      <c r="J93" s="382" t="n">
        <f aca="false">'Master Plan'!$H$19+(-21)</f>
        <v>46382</v>
      </c>
      <c r="K93" s="387"/>
      <c r="L93" s="387"/>
      <c r="M93" s="383" t="str">
        <f aca="false">IF('อัปเดตงาน WBS'!$L$967="","",'อัปเดตงาน WBS'!$L$967)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Plan'!$H$19+(-21)</f>
        <v>46382</v>
      </c>
      <c r="J94" s="382" t="n">
        <f aca="false">'Master Plan'!$H$19+(-16)</f>
        <v>46387</v>
      </c>
      <c r="K94" s="387"/>
      <c r="L94" s="387"/>
      <c r="M94" s="383" t="str">
        <f aca="false">IF('อัปเดตงาน WBS'!$L$968="","",'อัปเดตงาน WBS'!$L$968)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Plan'!$H$19+(-17)</f>
        <v>46386</v>
      </c>
      <c r="J95" s="382" t="n">
        <f aca="false">'Master Plan'!$H$19+(-16)</f>
        <v>46387</v>
      </c>
      <c r="K95" s="387"/>
      <c r="L95" s="387"/>
      <c r="M95" s="383" t="str">
        <f aca="false">IF('อัปเดตงาน WBS'!$L$969="","",'อัปเดตงาน WBS'!$L$969)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3715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Plan'!$H$19+(-22)</f>
        <v>46381</v>
      </c>
      <c r="J96" s="373" t="n">
        <f aca="false">'Master Plan'!$H$19+(-16)</f>
        <v>46387</v>
      </c>
      <c r="K96" s="78"/>
      <c r="L96" s="78" t="str">
        <f aca="false">IF(ISNUMBER(อัปเดตรายสัปดาห์!$AC$19),อัปเดตรายสัปดาห์!$AC$19,"")</f>
        <v/>
      </c>
      <c r="M96" s="374" t="str">
        <f aca="false">IF(อัปเดตรายสัปดาห์!$AC$19="Y","Y","")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Plan'!$H$19+(-22)</f>
        <v>46381</v>
      </c>
      <c r="J97" s="382" t="n">
        <f aca="false">'Master Plan'!$H$19+(-17)</f>
        <v>46386</v>
      </c>
      <c r="K97" s="387"/>
      <c r="L97" s="387"/>
      <c r="M97" s="383" t="str">
        <f aca="false">IF('อัปเดตงาน WBS'!$L$970="","",'อัปเดตงาน WBS'!$L$970)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Plan'!$H$19+(-20)</f>
        <v>46383</v>
      </c>
      <c r="J98" s="382" t="n">
        <f aca="false">'Master Plan'!$H$19+(-16)</f>
        <v>46387</v>
      </c>
      <c r="K98" s="387"/>
      <c r="L98" s="387"/>
      <c r="M98" s="383" t="str">
        <f aca="false">IF('อัปเดตงาน WBS'!$L$971="","",'อัปเดตงาน WBS'!$L$971)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Plan'!$H$19+(-17)</f>
        <v>46386</v>
      </c>
      <c r="J99" s="382" t="n">
        <f aca="false">'Master Plan'!$H$19+(-16)</f>
        <v>46387</v>
      </c>
      <c r="K99" s="387"/>
      <c r="L99" s="387"/>
      <c r="M99" s="383" t="str">
        <f aca="false">IF('อัปเดตงาน WBS'!$L$972="","",'อัปเดตงาน WBS'!$L$972)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3715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Plan'!$H$19+(-20)</f>
        <v>46383</v>
      </c>
      <c r="J100" s="373" t="n">
        <f aca="false">'Master Plan'!$H$19+(-15)</f>
        <v>46388</v>
      </c>
      <c r="K100" s="78"/>
      <c r="L100" s="78" t="str">
        <f aca="false">IF(ISNUMBER(อัปเดตรายสัปดาห์!$AD$19),อัปเดตรายสัปดาห์!$AD$19,"")</f>
        <v/>
      </c>
      <c r="M100" s="374" t="str">
        <f aca="false">IF(อัปเดตรายสัปดาห์!$AD$19="Y","Y","")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Plan'!$H$19+(-19)</f>
        <v>46384</v>
      </c>
      <c r="J103" s="382" t="n">
        <f aca="false">'Master Plan'!$H$19+(-16)</f>
        <v>46387</v>
      </c>
      <c r="K103" s="387"/>
      <c r="L103" s="387"/>
      <c r="M103" s="383" t="str">
        <f aca="false">IF('อัปเดตงาน WBS'!$L$973="","",'อัปเดตงาน WBS'!$L$973)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Plan'!$H$19+(-18)</f>
        <v>46385</v>
      </c>
      <c r="J104" s="382" t="n">
        <f aca="false">'Master Plan'!$H$19+(-16)</f>
        <v>46387</v>
      </c>
      <c r="K104" s="387"/>
      <c r="L104" s="387"/>
      <c r="M104" s="383" t="str">
        <f aca="false">IF('อัปเดตงาน WBS'!$L$974="","",'อัปเดตงาน WBS'!$L$974)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Plan'!$H$19+(-18)</f>
        <v>46385</v>
      </c>
      <c r="J105" s="382" t="n">
        <f aca="false">'Master Plan'!$H$19+(-15)</f>
        <v>46388</v>
      </c>
      <c r="K105" s="387"/>
      <c r="L105" s="387"/>
      <c r="M105" s="383" t="str">
        <f aca="false">IF('อัปเดตงาน WBS'!$L$975="","",'อัปเดตงาน WBS'!$L$975)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Plan'!$H$19+(-16)</f>
        <v>46387</v>
      </c>
      <c r="J106" s="382" t="n">
        <f aca="false">'Master Plan'!$H$19+(-15)</f>
        <v>46388</v>
      </c>
      <c r="K106" s="387"/>
      <c r="L106" s="387"/>
      <c r="M106" s="383" t="str">
        <f aca="false">IF('อัปเดตงาน WBS'!$L$976="","",'อัปเดตงาน WBS'!$L$976)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3715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Plan'!$H$19+(-18)</f>
        <v>46385</v>
      </c>
      <c r="J107" s="373" t="n">
        <f aca="false">'Master Plan'!$H$19+(-14)</f>
        <v>46389</v>
      </c>
      <c r="K107" s="78"/>
      <c r="L107" s="78" t="str">
        <f aca="false">IF(ISNUMBER(อัปเดตรายสัปดาห์!$AE$19),อัปเดตรายสัปดาห์!$AE$19,"")</f>
        <v/>
      </c>
      <c r="M107" s="374" t="str">
        <f aca="false">IF(อัปเดตรายสัปดาห์!$AE$19="Y","Y","")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Plan'!$H$19+(-18)</f>
        <v>46385</v>
      </c>
      <c r="J108" s="382" t="n">
        <f aca="false">'Master Plan'!$H$19+(-15)</f>
        <v>46388</v>
      </c>
      <c r="K108" s="387"/>
      <c r="L108" s="387"/>
      <c r="M108" s="383" t="str">
        <f aca="false">IF('อัปเดตงาน WBS'!$L$977="","",'อัปเดตงาน WBS'!$L$977)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Plan'!$H$19+(-16)</f>
        <v>46387</v>
      </c>
      <c r="J109" s="382" t="n">
        <f aca="false">'Master Plan'!$H$19+(-14)</f>
        <v>46389</v>
      </c>
      <c r="K109" s="387"/>
      <c r="L109" s="387"/>
      <c r="M109" s="383" t="str">
        <f aca="false">IF('อัปเดตงาน WBS'!$L$978="","",'อัปเดตงาน WBS'!$L$978)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Plan'!$H$19+(-17)</f>
        <v>46386</v>
      </c>
      <c r="J110" s="382" t="n">
        <f aca="false">'Master Plan'!$H$19+(-15)</f>
        <v>46388</v>
      </c>
      <c r="K110" s="387"/>
      <c r="L110" s="387"/>
      <c r="M110" s="383" t="str">
        <f aca="false">IF('อัปเดตงาน WBS'!$L$979="","",'อัปเดตงาน WBS'!$L$979)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89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Plan'!$H$19+(-13)</f>
        <v>46390</v>
      </c>
      <c r="J111" s="373" t="n">
        <f aca="false">'Master Plan'!$H$19+(-13)</f>
        <v>46390</v>
      </c>
      <c r="K111" s="78"/>
      <c r="L111" s="78" t="str">
        <f aca="false">IF(ISNUMBER(อัปเดตรายสัปดาห์!$AF$19),อัปเดตรายสัปดาห์!$AF$19,"")</f>
        <v/>
      </c>
      <c r="M111" s="374" t="str">
        <f aca="false">IF(อัปเดตรายสัปดาห์!$AF$19="Y","Y","")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Plan'!$Y$19)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Plan'!$H$19+(-13)</f>
        <v>46390</v>
      </c>
      <c r="J112" s="382" t="n">
        <f aca="false">'Master Plan'!$H$19+(-13)</f>
        <v>46390</v>
      </c>
      <c r="K112" s="387"/>
      <c r="L112" s="387"/>
      <c r="M112" s="383" t="str">
        <f aca="false">IF('อัปเดตงาน WBS'!$L$980="","",'อัปเดตงาน WBS'!$L$980)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Plan'!$H$19+(-13)</f>
        <v>46390</v>
      </c>
      <c r="J113" s="382" t="n">
        <f aca="false">'Master Plan'!$H$19+(-13)</f>
        <v>46390</v>
      </c>
      <c r="K113" s="387"/>
      <c r="L113" s="387"/>
      <c r="M113" s="383" t="str">
        <f aca="false">IF('อัปเดตงาน WBS'!$L$981="","",'อัปเดตงาน WBS'!$L$981)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3715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Plan'!$H$19+(-12)</f>
        <v>46391</v>
      </c>
      <c r="J115" s="373" t="n">
        <f aca="false">'Master Plan'!$H$19+(-10)</f>
        <v>46393</v>
      </c>
      <c r="K115" s="78"/>
      <c r="L115" s="78" t="str">
        <f aca="false">IF(ISNUMBER(อัปเดตรายสัปดาห์!$AG$19),อัปเดตรายสัปดาห์!$AG$19,"")</f>
        <v/>
      </c>
      <c r="M115" s="374" t="str">
        <f aca="false">IF(อัปเดตรายสัปดาห์!$AG$19="Y","Y","")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Plan'!$AA$19)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Plan'!$H$19+(-12)</f>
        <v>46391</v>
      </c>
      <c r="J116" s="382" t="n">
        <f aca="false">'Master Plan'!$H$19+(-12)</f>
        <v>46391</v>
      </c>
      <c r="K116" s="387"/>
      <c r="L116" s="387"/>
      <c r="M116" s="383" t="str">
        <f aca="false">IF('อัปเดตงาน WBS'!$L$982="","",'อัปเดตงาน WBS'!$L$982)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Plan'!$H$19+(-12)</f>
        <v>46391</v>
      </c>
      <c r="J117" s="382" t="n">
        <f aca="false">'Master Plan'!$H$19+(-11)</f>
        <v>46392</v>
      </c>
      <c r="K117" s="387"/>
      <c r="L117" s="387"/>
      <c r="M117" s="383" t="str">
        <f aca="false">IF('อัปเดตงาน WBS'!$L$983="","",'อัปเดตงาน WBS'!$L$983)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Plan'!$H$19+(-11)</f>
        <v>46392</v>
      </c>
      <c r="J118" s="382" t="n">
        <f aca="false">'Master Plan'!$H$19+(-11)</f>
        <v>46392</v>
      </c>
      <c r="K118" s="387"/>
      <c r="L118" s="387"/>
      <c r="M118" s="383" t="str">
        <f aca="false">IF('อัปเดตงาน WBS'!$L$984="","",'อัปเดตงาน WBS'!$L$984)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Plan'!$H$19+(-11)</f>
        <v>46392</v>
      </c>
      <c r="J119" s="382" t="n">
        <f aca="false">'Master Plan'!$H$19+(-11)</f>
        <v>46392</v>
      </c>
      <c r="K119" s="387"/>
      <c r="L119" s="387"/>
      <c r="M119" s="383" t="str">
        <f aca="false">IF('อัปเดตงาน WBS'!$L$985="","",'อัปเดตงาน WBS'!$L$985)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Plan'!$H$19+(-11)</f>
        <v>46392</v>
      </c>
      <c r="J120" s="382" t="n">
        <f aca="false">'Master Plan'!$H$19+(-10)</f>
        <v>46393</v>
      </c>
      <c r="K120" s="387"/>
      <c r="L120" s="387"/>
      <c r="M120" s="383" t="str">
        <f aca="false">IF('อัปเดตงาน WBS'!$L$986="","",'อัปเดตงาน WBS'!$L$986)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Plan'!$H$19+(-11)</f>
        <v>46392</v>
      </c>
      <c r="J121" s="382" t="n">
        <f aca="false">'Master Plan'!$H$19+(-10)</f>
        <v>46393</v>
      </c>
      <c r="K121" s="387"/>
      <c r="L121" s="387"/>
      <c r="M121" s="383" t="str">
        <f aca="false">IF('อัปเดตงาน WBS'!$L$987="","",'อัปเดตงาน WBS'!$L$987)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89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Plan'!$H$19+(-10)</f>
        <v>46393</v>
      </c>
      <c r="J122" s="373" t="n">
        <f aca="false">'Master Plan'!$H$19+(-10)</f>
        <v>46393</v>
      </c>
      <c r="K122" s="78"/>
      <c r="L122" s="78" t="str">
        <f aca="false">IF(ISNUMBER(อัปเดตรายสัปดาห์!$AH$19),อัปเดตรายสัปดาห์!$AH$19,"")</f>
        <v/>
      </c>
      <c r="M122" s="374" t="str">
        <f aca="false">IF(อัปเดตรายสัปดาห์!$AH$19="Y","Y","")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Plan'!$Z$19)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89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Plan'!$H$19+(-12)</f>
        <v>46391</v>
      </c>
      <c r="J123" s="373" t="n">
        <f aca="false">'Master Plan'!$H$19+(-8)</f>
        <v>46395</v>
      </c>
      <c r="K123" s="78" t="str">
        <f aca="false">IF(ISNUMBER(อัปเดตรายสัปดาห์!$AI$19),อัปเดตรายสัปดาห์!$AI$19,"")</f>
        <v/>
      </c>
      <c r="L123" s="78" t="str">
        <f aca="false">IF(ISNUMBER(อัปเดตรายสัปดาห์!$AJ$19),อัปเดตรายสัปดาห์!$AJ$19,"")</f>
        <v/>
      </c>
      <c r="M123" s="374" t="str">
        <f aca="false">IF(อัปเดตรายสัปดาห์!$AJ$19="Y","Y","")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89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Plan'!$H$19+(37)</f>
        <v>46440</v>
      </c>
      <c r="J124" s="373" t="n">
        <f aca="false">'Master Plan'!$H$19+(50)</f>
        <v>46453</v>
      </c>
      <c r="K124" s="78"/>
      <c r="L124" s="78" t="str">
        <f aca="false">IF(ISNUMBER(อัปเดตรายสัปดาห์!$AK$19),อัปเดตรายสัปดาห์!$AK$19,"")</f>
        <v/>
      </c>
      <c r="M124" s="374" t="str">
        <f aca="false">IF(อัปเดตรายสัปดาห์!$AK$19="Y","Y","")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Plan'!$H$19+(37)</f>
        <v>46440</v>
      </c>
      <c r="J125" s="382" t="n">
        <f aca="false">'Master Plan'!$H$19+(41)</f>
        <v>46444</v>
      </c>
      <c r="K125" s="387"/>
      <c r="L125" s="387"/>
      <c r="M125" s="383" t="str">
        <f aca="false">IF('อัปเดตงาน WBS'!$L$988="","",'อัปเดตงาน WBS'!$L$988)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Plan'!$H$19+(40)</f>
        <v>46443</v>
      </c>
      <c r="J126" s="382" t="n">
        <f aca="false">'Master Plan'!$H$19+(47)</f>
        <v>46450</v>
      </c>
      <c r="K126" s="387"/>
      <c r="L126" s="387"/>
      <c r="M126" s="383" t="str">
        <f aca="false">IF('อัปเดตงาน WBS'!$L$989="","",'อัปเดตงาน WBS'!$L$989)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Plan'!$H$19+(47)</f>
        <v>46450</v>
      </c>
      <c r="J127" s="382" t="n">
        <f aca="false">'Master Plan'!$H$19+(50)</f>
        <v>46453</v>
      </c>
      <c r="K127" s="387"/>
      <c r="L127" s="387"/>
      <c r="M127" s="383" t="str">
        <f aca="false">IF('อัปเดตงาน WBS'!$L$990="","",'อัปเดตงาน WBS'!$L$990)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3715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Plan'!$H$19+(0)</f>
        <v>46403</v>
      </c>
      <c r="J128" s="373" t="n">
        <f aca="false">'Master Plan'!$H$19+(0)</f>
        <v>46403</v>
      </c>
      <c r="K128" s="78"/>
      <c r="L128" s="78" t="str">
        <f aca="false">IF(ISNUMBER(อัปเดตรายสัปดาห์!$AL$19),อัปเดตรายสัปดาห์!$AL$19,"")</f>
        <v/>
      </c>
      <c r="M128" s="374" t="str">
        <f aca="false">IF(อัปเดตรายสัปดาห์!$AL$19="Y","Y","")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Plan'!$AB$19)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Plan'!$H$19+(0)</f>
        <v>46403</v>
      </c>
      <c r="J129" s="373" t="n">
        <f aca="false">'Master Plan'!$H$19+(0)</f>
        <v>46403</v>
      </c>
      <c r="K129" s="78"/>
      <c r="L129" s="78" t="str">
        <f aca="false">IF(ISNUMBER(อัปเดตรายสัปดาห์!$AM$19),อัปเดตรายสัปดาห์!$AM$19,"")</f>
        <v/>
      </c>
      <c r="M129" s="374" t="str">
        <f aca="false">IF(อัปเดตรายสัปดาห์!$AM$19="Y","Y","")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Plan'!$H$19+(0)</f>
        <v>46403</v>
      </c>
      <c r="J130" s="373" t="n">
        <f aca="false">'Master Plan'!$H$19+(0)</f>
        <v>46403</v>
      </c>
      <c r="K130" s="78"/>
      <c r="L130" s="78" t="str">
        <f aca="false">IF(ISNUMBER(อัปเดตรายสัปดาห์!$AN$19),อัปเดตรายสัปดาห์!$AN$19,"")</f>
        <v/>
      </c>
      <c r="M130" s="374" t="str">
        <f aca="false">IF(อัปเดตรายสัปดาห์!$AN$19="Y","Y","")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89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Plan'!$H$19+(34)</f>
        <v>46437</v>
      </c>
      <c r="J131" s="373" t="n">
        <f aca="false">'Master Plan'!$H$19+(36)</f>
        <v>46439</v>
      </c>
      <c r="K131" s="78"/>
      <c r="L131" s="78" t="str">
        <f aca="false">IF(ISNUMBER(อัปเดตรายสัปดาห์!$AO$19),อัปเดตรายสัปดาห์!$AO$19,"")</f>
        <v/>
      </c>
      <c r="M131" s="374" t="str">
        <f aca="false">IF(อัปเดตรายสัปดาห์!$AO$19="Y","Y","")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SUMPRODUCT((SITE_ST="P9-012")*(SITE_TYPE=$B136)*(SITE_TYPE&lt;&gt;""))</f>
        <v>0</v>
      </c>
      <c r="E136" s="397" t="n">
        <f aca="false">SUMPRODUCT((SITE_ST="P9-012")*(SITE_TYPE=$B136)*SITE_MOD)</f>
        <v>0</v>
      </c>
      <c r="I136" s="398" t="n">
        <f aca="false">SUMPRODUCT((SITE_ST="P9-012")*(SITE_TYPE=$B136)*SITE_KWP)</f>
        <v>0</v>
      </c>
      <c r="J136" s="35" t="str">
        <f aca="false">IF(SUMPRODUCT((SITE_ST="P9-012")*(SITE_TYPE=$B136)*(SITE_TYPE&lt;&gt;""))=0,"",SUMPRODUCT((SITE_ST="P9-012")*(SITE_TYPE=$B136)*SITE_S21*SITE_D21)/MAX(0.0001,SUMPRODUCT((SITE_ST="P9-012")*(SITE_TYPE=$B136)*SITE_S21)))</f>
        <v/>
      </c>
      <c r="K136" s="32" t="str">
        <f aca="false">IF(SUMPRODUCT((SITE_ST="P9-012")*(SITE_TYPE=$B136)*(SITE_TYPE&lt;&gt;""))=0,"",SUMPRODUCT((SITE_ST="P9-012")*(SITE_TYPE=$B136)*(SITE_TYPE&lt;&gt;"")*(SITE_T22="Y"))&amp;"/"&amp;SUMPRODUCT((SITE_ST="P9-012")*(SITE_TYPE=$B136)*(SITE_TYPE&lt;&gt;"")))</f>
        <v/>
      </c>
      <c r="L136" s="32" t="str">
        <f aca="false">IF(SUMPRODUCT((SITE_ST="P9-012")*(SITE_TYPE=$B136)*(SITE_TYPE&lt;&gt;""))=0,"",SUMPRODUCT((SITE_ST="P9-012")*(SITE_TYPE=$B136)*(SITE_TYPE&lt;&gt;"")*(SITE_T23="Y"))&amp;"/"&amp;SUMPRODUCT((SITE_ST="P9-012")*(SITE_TYPE=$B136)*(SITE_TYPE&lt;&gt;"")))</f>
        <v/>
      </c>
      <c r="O136" s="32" t="str">
        <f aca="false">IF(SUMPRODUCT((SITE_ST="P9-012")*(SITE_TYPE=$B136)*(LEFT(SITE_LAD,4)="ติด:"))=0,"",SUMPRODUCT((SITE_ST="P9-012")*(SITE_TYPE=$B136)*(LEFT(SITE_LAD,4)="ติด:"))&amp;"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SUMPRODUCT((SITE_ST="P9-012")*(SITE_TYPE=$B137)*(SITE_TYPE&lt;&gt;""))</f>
        <v>0</v>
      </c>
      <c r="E137" s="397" t="n">
        <f aca="false">SUMPRODUCT((SITE_ST="P9-012")*(SITE_TYPE=$B137)*SITE_MOD)</f>
        <v>0</v>
      </c>
      <c r="I137" s="398" t="n">
        <f aca="false">SUMPRODUCT((SITE_ST="P9-012")*(SITE_TYPE=$B137)*SITE_KWP)</f>
        <v>0</v>
      </c>
      <c r="J137" s="35" t="str">
        <f aca="false">IF(SUMPRODUCT((SITE_ST="P9-012")*(SITE_TYPE=$B137)*(SITE_TYPE&lt;&gt;""))=0,"",SUMPRODUCT((SITE_ST="P9-012")*(SITE_TYPE=$B137)*SITE_S21*SITE_D21)/MAX(0.0001,SUMPRODUCT((SITE_ST="P9-012")*(SITE_TYPE=$B137)*SITE_S21)))</f>
        <v/>
      </c>
      <c r="K137" s="32" t="str">
        <f aca="false">IF(SUMPRODUCT((SITE_ST="P9-012")*(SITE_TYPE=$B137)*(SITE_TYPE&lt;&gt;""))=0,"",SUMPRODUCT((SITE_ST="P9-012")*(SITE_TYPE=$B137)*(SITE_TYPE&lt;&gt;"")*(SITE_T22="Y"))&amp;"/"&amp;SUMPRODUCT((SITE_ST="P9-012")*(SITE_TYPE=$B137)*(SITE_TYPE&lt;&gt;"")))</f>
        <v/>
      </c>
      <c r="L137" s="32" t="str">
        <f aca="false">IF(SUMPRODUCT((SITE_ST="P9-012")*(SITE_TYPE=$B137)*(SITE_TYPE&lt;&gt;""))=0,"",SUMPRODUCT((SITE_ST="P9-012")*(SITE_TYPE=$B137)*(SITE_TYPE&lt;&gt;"")*(SITE_T23="Y"))&amp;"/"&amp;SUMPRODUCT((SITE_ST="P9-012")*(SITE_TYPE=$B137)*(SITE_TYPE&lt;&gt;"")))</f>
        <v/>
      </c>
      <c r="O137" s="32" t="str">
        <f aca="false">IF(SUMPRODUCT((SITE_ST="P9-012")*(SITE_TYPE=$B137)*(LEFT(SITE_LAD,4)="ติด:"))=0,"",SUMPRODUCT((SITE_ST="P9-012")*(SITE_TYPE=$B137)*(LEFT(SITE_LAD,4)="ติด:"))&amp;"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SUMPRODUCT((SITE_ST="P9-012")*(SITE_TYPE=$B138)*(SITE_TYPE&lt;&gt;""))</f>
        <v>0</v>
      </c>
      <c r="E138" s="397" t="n">
        <f aca="false">SUMPRODUCT((SITE_ST="P9-012")*(SITE_TYPE=$B138)*SITE_MOD)</f>
        <v>0</v>
      </c>
      <c r="I138" s="398" t="n">
        <f aca="false">SUMPRODUCT((SITE_ST="P9-012")*(SITE_TYPE=$B138)*SITE_KWP)</f>
        <v>0</v>
      </c>
      <c r="J138" s="35" t="str">
        <f aca="false">IF(SUMPRODUCT((SITE_ST="P9-012")*(SITE_TYPE=$B138)*(SITE_TYPE&lt;&gt;""))=0,"",SUMPRODUCT((SITE_ST="P9-012")*(SITE_TYPE=$B138)*SITE_S21*SITE_D21)/MAX(0.0001,SUMPRODUCT((SITE_ST="P9-012")*(SITE_TYPE=$B138)*SITE_S21)))</f>
        <v/>
      </c>
      <c r="K138" s="32" t="str">
        <f aca="false">IF(SUMPRODUCT((SITE_ST="P9-012")*(SITE_TYPE=$B138)*(SITE_TYPE&lt;&gt;""))=0,"",SUMPRODUCT((SITE_ST="P9-012")*(SITE_TYPE=$B138)*(SITE_TYPE&lt;&gt;"")*(SITE_T22="Y"))&amp;"/"&amp;SUMPRODUCT((SITE_ST="P9-012")*(SITE_TYPE=$B138)*(SITE_TYPE&lt;&gt;"")))</f>
        <v/>
      </c>
      <c r="L138" s="32" t="str">
        <f aca="false">IF(SUMPRODUCT((SITE_ST="P9-012")*(SITE_TYPE=$B138)*(SITE_TYPE&lt;&gt;""))=0,"",SUMPRODUCT((SITE_ST="P9-012")*(SITE_TYPE=$B138)*(SITE_TYPE&lt;&gt;"")*(SITE_T23="Y"))&amp;"/"&amp;SUMPRODUCT((SITE_ST="P9-012")*(SITE_TYPE=$B138)*(SITE_TYPE&lt;&gt;"")))</f>
        <v/>
      </c>
      <c r="O138" s="32" t="str">
        <f aca="false">IF(SUMPRODUCT((SITE_ST="P9-012")*(SITE_TYPE=$B138)*(LEFT(SITE_LAD,4)="ติด:"))=0,"",SUMPRODUCT((SITE_ST="P9-012")*(SITE_TYPE=$B138)*(LEFT(SITE_LAD,4)="ติด:"))&amp;"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SUMPRODUCT((SITE_ST="P9-012")*(SITE_TYPE=$B139)*(SITE_TYPE&lt;&gt;""))</f>
        <v>1</v>
      </c>
      <c r="E139" s="397" t="n">
        <f aca="false">SUMPRODUCT((SITE_ST="P9-012")*(SITE_TYPE=$B139)*SITE_MOD)</f>
        <v>492</v>
      </c>
      <c r="I139" s="398" t="n">
        <f aca="false">SUMPRODUCT((SITE_ST="P9-012")*(SITE_TYPE=$B139)*SITE_KWP)</f>
        <v>280.44</v>
      </c>
      <c r="J139" s="35" t="n">
        <f aca="false">IF(SUMPRODUCT((SITE_ST="P9-012")*(SITE_TYPE=$B139)*(SITE_TYPE&lt;&gt;""))=0,"",SUMPRODUCT((SITE_ST="P9-012")*(SITE_TYPE=$B139)*SITE_S21*SITE_D21)/MAX(0.0001,SUMPRODUCT((SITE_ST="P9-012")*(SITE_TYPE=$B139)*SITE_S21)))</f>
        <v>0</v>
      </c>
      <c r="K139" s="32" t="str">
        <f aca="false">IF(SUMPRODUCT((SITE_ST="P9-012")*(SITE_TYPE=$B139)*(SITE_TYPE&lt;&gt;""))=0,"",SUMPRODUCT((SITE_ST="P9-012")*(SITE_TYPE=$B139)*(SITE_TYPE&lt;&gt;"")*(SITE_T22="Y"))&amp;"/"&amp;SUMPRODUCT((SITE_ST="P9-012")*(SITE_TYPE=$B139)*(SITE_TYPE&lt;&gt;"")))</f>
        <v>0/1</v>
      </c>
      <c r="L139" s="32" t="str">
        <f aca="false">IF(SUMPRODUCT((SITE_ST="P9-012")*(SITE_TYPE=$B139)*(SITE_TYPE&lt;&gt;""))=0,"",SUMPRODUCT((SITE_ST="P9-012")*(SITE_TYPE=$B139)*(SITE_TYPE&lt;&gt;"")*(SITE_T23="Y"))&amp;"/"&amp;SUMPRODUCT((SITE_ST="P9-012")*(SITE_TYPE=$B139)*(SITE_TYPE&lt;&gt;"")))</f>
        <v>0/1</v>
      </c>
      <c r="O139" s="32" t="str">
        <f aca="false">IF(SUMPRODUCT((SITE_ST="P9-012")*(SITE_TYPE=$B139)*(LEFT(SITE_LAD,4)="ติด:"))=0,"",SUMPRODUCT((SITE_ST="P9-012")*(SITE_TYPE=$B139)*(LEFT(SITE_LAD,4)="ติด:"))&amp;" จุด")</f>
        <v>1 จุด</v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SUMPRODUCT((SITE_ST="P9-012")*(SITE_TYPE=$B140)*(SITE_TYPE&lt;&gt;""))</f>
        <v>0</v>
      </c>
      <c r="E140" s="397" t="n">
        <f aca="false">SUMPRODUCT((SITE_ST="P9-012")*(SITE_TYPE=$B140)*SITE_MOD)</f>
        <v>0</v>
      </c>
      <c r="I140" s="398" t="n">
        <f aca="false">SUMPRODUCT((SITE_ST="P9-012")*(SITE_TYPE=$B140)*SITE_KWP)</f>
        <v>0</v>
      </c>
      <c r="J140" s="35" t="str">
        <f aca="false">IF(SUMPRODUCT((SITE_ST="P9-012")*(SITE_TYPE=$B140)*(SITE_TYPE&lt;&gt;""))=0,"",SUMPRODUCT((SITE_ST="P9-012")*(SITE_TYPE=$B140)*SITE_S21*SITE_D21)/MAX(0.0001,SUMPRODUCT((SITE_ST="P9-012")*(SITE_TYPE=$B140)*SITE_S21)))</f>
        <v/>
      </c>
      <c r="K140" s="32" t="str">
        <f aca="false">IF(SUMPRODUCT((SITE_ST="P9-012")*(SITE_TYPE=$B140)*(SITE_TYPE&lt;&gt;""))=0,"",SUMPRODUCT((SITE_ST="P9-012")*(SITE_TYPE=$B140)*(SITE_TYPE&lt;&gt;"")*(SITE_T22="Y"))&amp;"/"&amp;SUMPRODUCT((SITE_ST="P9-012")*(SITE_TYPE=$B140)*(SITE_TYPE&lt;&gt;"")))</f>
        <v/>
      </c>
      <c r="L140" s="32" t="str">
        <f aca="false">IF(SUMPRODUCT((SITE_ST="P9-012")*(SITE_TYPE=$B140)*(SITE_TYPE&lt;&gt;""))=0,"",SUMPRODUCT((SITE_ST="P9-012")*(SITE_TYPE=$B140)*(SITE_TYPE&lt;&gt;"")*(SITE_T23="Y"))&amp;"/"&amp;SUMPRODUCT((SITE_ST="P9-012")*(SITE_TYPE=$B140)*(SITE_TYPE&lt;&gt;"")))</f>
        <v/>
      </c>
      <c r="O140" s="32" t="str">
        <f aca="false">IF(SUMPRODUCT((SITE_ST="P9-012")*(SITE_TYPE=$B140)*(LEFT(SITE_LAD,4)="ติด:"))=0,"",SUMPRODUCT((SITE_ST="P9-012")*(SITE_TYPE=$B140)*(LEFT(SITE_LAD,4)="ติด:"))&amp;"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SUMPRODUCT((SITE_ST="P9-012")*(SITE_TYPE=$B141)*(SITE_TYPE&lt;&gt;""))</f>
        <v>0</v>
      </c>
      <c r="E141" s="397" t="n">
        <f aca="false">SUMPRODUCT((SITE_ST="P9-012")*(SITE_TYPE=$B141)*SITE_MOD)</f>
        <v>0</v>
      </c>
      <c r="I141" s="398" t="n">
        <f aca="false">SUMPRODUCT((SITE_ST="P9-012")*(SITE_TYPE=$B141)*SITE_KWP)</f>
        <v>0</v>
      </c>
      <c r="J141" s="35" t="str">
        <f aca="false">IF(SUMPRODUCT((SITE_ST="P9-012")*(SITE_TYPE=$B141)*(SITE_TYPE&lt;&gt;""))=0,"",SUMPRODUCT((SITE_ST="P9-012")*(SITE_TYPE=$B141)*SITE_S21*SITE_D21)/MAX(0.0001,SUMPRODUCT((SITE_ST="P9-012")*(SITE_TYPE=$B141)*SITE_S21)))</f>
        <v/>
      </c>
      <c r="K141" s="32" t="str">
        <f aca="false">IF(SUMPRODUCT((SITE_ST="P9-012")*(SITE_TYPE=$B141)*(SITE_TYPE&lt;&gt;""))=0,"",SUMPRODUCT((SITE_ST="P9-012")*(SITE_TYPE=$B141)*(SITE_TYPE&lt;&gt;"")*(SITE_T22="Y"))&amp;"/"&amp;SUMPRODUCT((SITE_ST="P9-012")*(SITE_TYPE=$B141)*(SITE_TYPE&lt;&gt;"")))</f>
        <v/>
      </c>
      <c r="L141" s="32" t="str">
        <f aca="false">IF(SUMPRODUCT((SITE_ST="P9-012")*(SITE_TYPE=$B141)*(SITE_TYPE&lt;&gt;""))=0,"",SUMPRODUCT((SITE_ST="P9-012")*(SITE_TYPE=$B141)*(SITE_TYPE&lt;&gt;"")*(SITE_T23="Y"))&amp;"/"&amp;SUMPRODUCT((SITE_ST="P9-012")*(SITE_TYPE=$B141)*(SITE_TYPE&lt;&gt;"")))</f>
        <v/>
      </c>
      <c r="O141" s="32" t="str">
        <f aca="false">IF(SUMPRODUCT((SITE_ST="P9-012")*(SITE_TYPE=$B141)*(LEFT(SITE_LAD,4)="ติด:"))=0,"",SUMPRODUCT((SITE_ST="P9-012")*(SITE_TYPE=$B141)*(LEFT(SITE_LAD,4)="ติด:"))&amp;"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SUMPRODUCT((SITE_ST="P9-012")*(SITE_TYPE&lt;&gt;""))</f>
        <v>1</v>
      </c>
      <c r="E142" s="403" t="n">
        <f aca="false">SUMPRODUCT((SITE_ST="P9-012")*SITE_MOD)</f>
        <v>492</v>
      </c>
      <c r="I142" s="404" t="n">
        <f aca="false">SUMPRODUCT((SITE_ST="P9-012")*SITE_KWP)</f>
        <v>280.44</v>
      </c>
      <c r="J142" s="405" t="n">
        <f aca="false">IF(SUMPRODUCT((SITE_ST="P9-012")*(SITE_TYPE&lt;&gt;""))=0,"",SUMPRODUCT((SITE_ST="P9-012")*SITE_S21*SITE_D21)/MAX(0.0001,SUMPRODUCT((SITE_ST="P9-012")*SITE_S21)))</f>
        <v>0</v>
      </c>
      <c r="K142" s="406" t="str">
        <f aca="false">IF(SUMPRODUCT((SITE_ST="P9-012")*(SITE_TYPE&lt;&gt;""))=0,"",SUMPRODUCT((SITE_ST="P9-012")*(SITE_TYPE&lt;&gt;"")*(SITE_T22="Y"))&amp;"/"&amp;SUMPRODUCT((SITE_ST="P9-012")*(SITE_TYPE&lt;&gt;"")))</f>
        <v>0/1</v>
      </c>
      <c r="L142" s="406" t="str">
        <f aca="false">IF(SUMPRODUCT((SITE_ST="P9-012")*(SITE_TYPE&lt;&gt;""))=0,"",SUMPRODUCT((SITE_ST="P9-012")*(SITE_TYPE&lt;&gt;"")*(SITE_T23="Y"))&amp;"/"&amp;SUMPRODUCT((SITE_ST="P9-012")*(SITE_TYPE&lt;&gt;"")))</f>
        <v>0/1</v>
      </c>
      <c r="O142" s="406" t="str">
        <f aca="false">IF(SUMPRODUCT((SITE_ST="P9-012")*(LEFT(SITE_LAD,4)="ติด:"))=0,"",SUMPRODUCT((SITE_ST="P9-012")*(LEFT(SITE_LAD,4)="ติด:"))&amp;" จุด")</f>
        <v>1 จุด</v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IFERROR(INDEX(INVS_TYPE,MATCH("P9-012",INVS_ID,0))&amp;"","")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ทั้งก้อน",IFERROR(INDEX(INVS_SET,MATCH("P9-012",INVS_ID,0)),"")&amp;" kW, โรงเรือน "&amp;IFERROR(INDEX(INVS_SIZE,MATCH("P9-012",INVS_ID,0)),"")&amp;",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9" display="✎ กรอกความคืบหน้า"/>
    <hyperlink ref="R4" location="'Master Plan'!A19" display="← กลับ Master Plan"/>
    <hyperlink ref="M10" location="'อัปเดตงาน WBS'!L9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8"/>
    <hyperlink ref="M11" location="'อัปเดตงาน WBS'!L9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09"/>
    <hyperlink ref="M12" location="'อัปเดตงาน WBS'!L9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0"/>
    <hyperlink ref="M13" location="'อัปเดตงาน WBS'!L9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1"/>
    <hyperlink ref="M14" location="'อัปเดตงาน WBS'!L9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2"/>
    <hyperlink ref="M15" location="'อัปเดตงาน WBS'!L9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3"/>
    <hyperlink ref="M17" location="'อัปเดตงาน WBS'!L9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4"/>
    <hyperlink ref="M18" location="'อัปเดตงาน WBS'!L9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5"/>
    <hyperlink ref="M19" location="'อัปเดตงาน WBS'!L9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6"/>
    <hyperlink ref="M20" location="'อัปเดตงาน WBS'!L9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7"/>
    <hyperlink ref="M21" location="'อัปเดตงาน WBS'!L9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8"/>
    <hyperlink ref="M22" location="'อัปเดตงาน WBS'!L9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19"/>
    <hyperlink ref="M24" location="'อัปเดตงาน WBS'!L9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0"/>
    <hyperlink ref="M26" location="'อัปเดตงาน WBS'!L9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1"/>
    <hyperlink ref="M27" location="'อัปเดตงาน WBS'!L9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2"/>
    <hyperlink ref="M28" location="'อัปเดตงาน WBS'!L9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3"/>
    <hyperlink ref="M31" location="'อัปเดตงาน WBS'!L9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4"/>
    <hyperlink ref="M32" location="'อัปเดตงาน WBS'!L9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5"/>
    <hyperlink ref="M33" location="'อัปเดตงาน WBS'!L9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6"/>
    <hyperlink ref="M35" location="'อัปเดตงาน WBS'!L9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7"/>
    <hyperlink ref="M36" location="'อัปเดตงาน WBS'!L9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8"/>
    <hyperlink ref="M37" location="'อัปเดตงาน WBS'!L9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29"/>
    <hyperlink ref="M38" location="'อัปเดตงาน WBS'!L9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0"/>
    <hyperlink ref="M40" location="'อัปเดตงาน WBS'!L9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1"/>
    <hyperlink ref="M41" location="'อัปเดตงาน WBS'!L9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2"/>
    <hyperlink ref="M42" location="'อัปเดตงาน WBS'!L9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3"/>
    <hyperlink ref="M44" location="'อัปเดตงาน WBS'!L9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4"/>
    <hyperlink ref="M45" location="'อัปเดตงาน WBS'!L9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5"/>
    <hyperlink ref="M46" location="'อัปเดตงาน WBS'!L9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6"/>
    <hyperlink ref="M48" location="'อัปเดตงาน WBS'!L9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7"/>
    <hyperlink ref="M49" location="'อัปเดตงาน WBS'!L9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8"/>
    <hyperlink ref="M51" location="'อัปเดตงาน WBS'!L9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39"/>
    <hyperlink ref="M53" location="'อัปเดตงาน WBS'!L9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0"/>
    <hyperlink ref="M54" location="'อัปเดตงาน WBS'!L9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1"/>
    <hyperlink ref="M63" location="'อัปเดตงาน WBS'!L9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2"/>
    <hyperlink ref="M64" location="'อัปเดตงาน WBS'!L9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3"/>
    <hyperlink ref="M65" location="'อัปเดตงาน WBS'!L9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4"/>
    <hyperlink ref="M66" location="'อัปเดตงาน WBS'!L9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5"/>
    <hyperlink ref="M67" location="'อัปเดตงาน WBS'!L9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6"/>
    <hyperlink ref="M68" location="'อัปเดตงาน WBS'!L9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7"/>
    <hyperlink ref="M69" location="'อัปเดตงาน WBS'!L9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8"/>
    <hyperlink ref="M71" location="'อัปเดตงาน WBS'!L9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49"/>
    <hyperlink ref="M72" location="'อัปเดตงาน WBS'!L9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0"/>
    <hyperlink ref="M73" location="'อัปเดตงาน WBS'!L9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1"/>
    <hyperlink ref="M74" location="'อัปเดตงาน WBS'!L9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2"/>
    <hyperlink ref="M75" location="'อัปเดตงาน WBS'!L9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3"/>
    <hyperlink ref="M77" location="'อัปเดตงาน WBS'!L9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4"/>
    <hyperlink ref="M78" location="'อัปเดตงาน WBS'!L9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5"/>
    <hyperlink ref="M79" location="'อัปเดตงาน WBS'!L9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6"/>
    <hyperlink ref="M80" location="'อัปเดตงาน WBS'!L9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7"/>
    <hyperlink ref="M81" location="'อัปเดตงาน WBS'!L9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8"/>
    <hyperlink ref="M83" location="'อัปเดตงาน WBS'!L9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59"/>
    <hyperlink ref="M84" location="'อัปเดตงาน WBS'!L9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0"/>
    <hyperlink ref="M86" location="'อัปเดตงาน WBS'!L9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1"/>
    <hyperlink ref="M87" location="'อัปเดตงาน WBS'!L9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2"/>
    <hyperlink ref="M88" location="'อัปเดตงาน WBS'!L9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3"/>
    <hyperlink ref="M89" location="'อัปเดตงาน WBS'!L9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4"/>
    <hyperlink ref="M91" location="'อัปเดตงาน WBS'!L9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5"/>
    <hyperlink ref="M92" location="'อัปเดตงาน WBS'!L9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6"/>
    <hyperlink ref="M93" location="'อัปเดตงาน WBS'!L9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7"/>
    <hyperlink ref="M94" location="'อัปเดตงาน WBS'!L9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8"/>
    <hyperlink ref="M95" location="'อัปเดตงาน WBS'!L9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69"/>
    <hyperlink ref="M97" location="'อัปเดตงาน WBS'!L9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0"/>
    <hyperlink ref="M98" location="'อัปเดตงาน WBS'!L9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1"/>
    <hyperlink ref="M99" location="'อัปเดตงาน WBS'!L9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2"/>
    <hyperlink ref="M103" location="'อัปเดตงาน WBS'!L9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3"/>
    <hyperlink ref="M104" location="'อัปเดตงาน WBS'!L9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4"/>
    <hyperlink ref="M105" location="'อัปเดตงาน WBS'!L9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5"/>
    <hyperlink ref="M106" location="'อัปเดตงาน WBS'!L9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6"/>
    <hyperlink ref="M108" location="'อัปเดตงาน WBS'!L9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7"/>
    <hyperlink ref="M109" location="'อัปเดตงาน WBS'!L9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8"/>
    <hyperlink ref="M110" location="'อัปเดตงาน WBS'!L9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79"/>
    <hyperlink ref="M112" location="'อัปเดตงาน WBS'!L9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0"/>
    <hyperlink ref="M113" location="'อัปเดตงาน WBS'!L9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1"/>
    <hyperlink ref="M116" location="'อัปเดตงาน WBS'!L9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2"/>
    <hyperlink ref="M117" location="'อัปเดตงาน WBS'!L9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3"/>
    <hyperlink ref="M118" location="'อัปเดตงาน WBS'!L9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4"/>
    <hyperlink ref="M119" location="'อัปเดตงาน WBS'!L9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5"/>
    <hyperlink ref="M120" location="'อัปเดตงาน WBS'!L9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6"/>
    <hyperlink ref="M121" location="'อัปเดตงาน WBS'!L9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7"/>
    <hyperlink ref="M125" location="'อัปเดตงาน WBS'!L9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8"/>
    <hyperlink ref="M126" location="'อัปเดตงาน WBS'!L9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89"/>
    <hyperlink ref="M127" location="'อัปเดตงาน WBS'!L9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0"/>
    <hyperlink ref="D134" location="'จุดติดตั้ง'!A62" display="✎ เพิ่ม / แก้จุดติดตั้ง →"/>
    <hyperlink ref="D146" location="'Inverter station'!A17" display="file:///home/claude/dash/template/%E0%B9%81%E0%B8%A1%E0%B9%88%E0%B9%81%E0%B8%9A%E0%B8%9A%E0%B9%82%E0%B8%84%E0%B8%A3%E0%B8%87%E0%B8%81%E0%B8%B2%E0%B8%A3%20TCRoof%20(%E0%B8%97%E0%B8%B8%E0%B8%81%E0%B8%81%E0%B8%A3%E0%B8%93%E0%B8%B5).xlsx#'Inverter station'!A1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3716</v>
      </c>
    </row>
    <row r="2" customFormat="false" ht="15" hidden="false" customHeight="false" outlineLevel="0" collapsed="false">
      <c r="A2" s="354" t="s">
        <v>3717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Plan'!$AI$20</f>
        <v>-36</v>
      </c>
      <c r="M4" s="360"/>
      <c r="N4" s="360" t="n">
        <f aca="false">'Master Plan'!$AJ$20</f>
        <v>-3</v>
      </c>
      <c r="O4" s="360"/>
      <c r="P4" s="361" t="str">
        <f aca="false">'Master Plan'!$AK$20&amp;" / "&amp;'Master Plan'!$AL$20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COUNTIFS(CR_ST,"P9-013",CR_STAT,"อนุมัติ")&amp;" รายการ, "&amp;'Master Plan'!$AO$20&amp;" วัน"</f>
        <v>0 รายการ, 0 วัน</v>
      </c>
      <c r="AG4" s="362"/>
      <c r="AH4" s="362"/>
      <c r="AI4" s="362"/>
      <c r="AJ4" s="362"/>
      <c r="AK4" s="363" t="n">
        <f aca="false">COUNTIFS(CR_ST,"P9-013",CR_STAT,"รออนุมัติ")+COUNTIFS(CR_ST,"P9-013",CR_STAT,"ขอข้อมูลเพิ่ม")</f>
        <v>0</v>
      </c>
      <c r="AL4" s="363"/>
      <c r="AM4" s="363"/>
      <c r="AN4" s="363"/>
      <c r="AO4" s="363"/>
      <c r="AP4" s="362" t="str">
        <f aca="false">COUNTIF(RW_ST,"P9-013")&amp;" ("&amp;COUNTIFS(RW_ST,"P9-013",RW_DONE,"&lt;&gt;Y")&amp;")"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COUNTIF(LL_ST,"*P9-013*")</f>
        <v>0</v>
      </c>
      <c r="BA4" s="363"/>
      <c r="BB4" s="363"/>
      <c r="BC4" s="363"/>
      <c r="BD4" s="363"/>
      <c r="BE4" s="362" t="str">
        <f aca="false">IF(COUNTIFS(SITE_ST,"P9-013",SITE_TYPE,"?*")=0,"ประมาณการ,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IF(COUNTIFS(SITE_ST,"P9-013",SITE_TYPE,"?*")=0,"ยังไม่ระบุจุด",COUNTIFS(SITE_ST,"P9-013",SITE_LAD,"ติด:*")&amp;" จุด"&amp;IF(COUNTIFS(SITE_ST,"P9-013",SITE_LAD,"⚠*")&gt;0,",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3718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93</v>
      </c>
      <c r="E9" s="372" t="n">
        <v>0</v>
      </c>
      <c r="F9" s="31"/>
      <c r="G9" s="32"/>
      <c r="H9" s="32" t="n">
        <v>1</v>
      </c>
      <c r="I9" s="373" t="n">
        <f aca="false">'Master Plan'!$H$20+(-75)</f>
        <v>46328</v>
      </c>
      <c r="J9" s="373" t="n">
        <f aca="false">'Master Plan'!$H$20+(50)</f>
        <v>46453</v>
      </c>
      <c r="K9" s="78"/>
      <c r="L9" s="78" t="str">
        <f aca="false">IF(ISNUMBER(อัปเดตรายสัปดาห์!$G$20),อัปเดตรายสัปดาห์!$G$20,"")</f>
        <v/>
      </c>
      <c r="M9" s="374" t="str">
        <f aca="false">IF(อัปเดตรายสัปดาห์!$G$20="Y","Y","")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Plan'!$H$20+(-75)</f>
        <v>46328</v>
      </c>
      <c r="J10" s="382" t="n">
        <f aca="false">'Master Plan'!$H$20+(-63)</f>
        <v>46340</v>
      </c>
      <c r="K10" s="387"/>
      <c r="L10" s="387"/>
      <c r="M10" s="383" t="str">
        <f aca="false">IF('อัปเดตงาน WBS'!$L$991="","",'อัปเดตงาน WBS'!$L$991)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Plan'!$H$20+(-75)</f>
        <v>46328</v>
      </c>
      <c r="J11" s="382" t="n">
        <f aca="false">'Master Plan'!$H$20+(-63)</f>
        <v>46340</v>
      </c>
      <c r="K11" s="387"/>
      <c r="L11" s="387"/>
      <c r="M11" s="383" t="str">
        <f aca="false">IF('อัปเดตงาน WBS'!$L$992="","",'อัปเดตงาน WBS'!$L$992)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Plan'!$H$20+(-75)</f>
        <v>46328</v>
      </c>
      <c r="J12" s="382" t="n">
        <f aca="false">'Master Plan'!$H$20+(-63)</f>
        <v>46340</v>
      </c>
      <c r="K12" s="387"/>
      <c r="L12" s="387"/>
      <c r="M12" s="383" t="str">
        <f aca="false">IF('อัปเดตงาน WBS'!$L$993="","",'อัปเดตงาน WBS'!$L$993)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Plan'!$H$20+(-75)</f>
        <v>46328</v>
      </c>
      <c r="J13" s="382" t="n">
        <f aca="false">'Master Plan'!$H$20+(-56)</f>
        <v>46347</v>
      </c>
      <c r="K13" s="387"/>
      <c r="L13" s="387"/>
      <c r="M13" s="383" t="str">
        <f aca="false">IF('อัปเดตงาน WBS'!$L$994="","",'อัปเดตงาน WBS'!$L$994)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Plan'!$H$20+(-63)</f>
        <v>46340</v>
      </c>
      <c r="J14" s="382" t="n">
        <f aca="false">'Master Plan'!$H$20+(50)</f>
        <v>46453</v>
      </c>
      <c r="K14" s="387"/>
      <c r="L14" s="387"/>
      <c r="M14" s="383" t="str">
        <f aca="false">IF('อัปเดตงาน WBS'!$L$995="","",'อัปเดตงาน WBS'!$L$995)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Plan'!$H$20+(-63)</f>
        <v>46340</v>
      </c>
      <c r="J15" s="382" t="n">
        <f aca="false">'Master Plan'!$H$20+(50)</f>
        <v>46453</v>
      </c>
      <c r="K15" s="387"/>
      <c r="L15" s="387"/>
      <c r="M15" s="383" t="str">
        <f aca="false">IF('อัปเดตงาน WBS'!$L$996="","",'อัปเดตงาน WBS'!$L$996)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Plan'!$H$20+(-56)</f>
        <v>46347</v>
      </c>
      <c r="J16" s="373" t="n">
        <f aca="false">'Master Plan'!$H$20+(-45)</f>
        <v>46358</v>
      </c>
      <c r="K16" s="78"/>
      <c r="L16" s="78" t="str">
        <f aca="false">IF(ISNUMBER(อัปเดตรายสัปดาห์!$H$20),อัปเดตรายสัปดาห์!$H$20,"")</f>
        <v/>
      </c>
      <c r="M16" s="374" t="str">
        <f aca="false">IF(อัปเดตรายสัปดาห์!$H$20="Y","Y","")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Plan'!$H$20+(-56)</f>
        <v>46347</v>
      </c>
      <c r="J17" s="382" t="n">
        <f aca="false">'Master Plan'!$H$20+(-54)</f>
        <v>46349</v>
      </c>
      <c r="K17" s="387"/>
      <c r="L17" s="387"/>
      <c r="M17" s="383" t="str">
        <f aca="false">IF('อัปเดตงาน WBS'!$L$997="","",'อัปเดตงาน WBS'!$L$997)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Plan'!$H$20+(-55)</f>
        <v>46348</v>
      </c>
      <c r="J18" s="382" t="n">
        <f aca="false">'Master Plan'!$H$20+(-52)</f>
        <v>46351</v>
      </c>
      <c r="K18" s="387"/>
      <c r="L18" s="387"/>
      <c r="M18" s="383" t="str">
        <f aca="false">IF('อัปเดตงาน WBS'!$L$998="","",'อัปเดตงาน WBS'!$L$998)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Plan'!$H$20+(-53)</f>
        <v>46350</v>
      </c>
      <c r="J19" s="382" t="n">
        <f aca="false">'Master Plan'!$H$20+(-48)</f>
        <v>46355</v>
      </c>
      <c r="K19" s="387"/>
      <c r="L19" s="387"/>
      <c r="M19" s="383" t="str">
        <f aca="false">IF('อัปเดตงาน WBS'!$L$999="","",'อัปเดตงาน WBS'!$L$999)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Plan'!$H$20+(-53)</f>
        <v>46350</v>
      </c>
      <c r="J20" s="382" t="n">
        <f aca="false">'Master Plan'!$H$20+(-48)</f>
        <v>46355</v>
      </c>
      <c r="K20" s="387"/>
      <c r="L20" s="387"/>
      <c r="M20" s="383" t="str">
        <f aca="false">IF('อัปเดตงาน WBS'!$L$1000="","",'อัปเดตงาน WBS'!$L$1000)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Plan'!$H$20+(-52)</f>
        <v>46351</v>
      </c>
      <c r="J21" s="382" t="n">
        <f aca="false">'Master Plan'!$H$20+(-47)</f>
        <v>46356</v>
      </c>
      <c r="K21" s="387"/>
      <c r="L21" s="387"/>
      <c r="M21" s="383" t="str">
        <f aca="false">IF('อัปเดตงาน WBS'!$L$1001="","",'อัปเดตงาน WBS'!$L$1001)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Plan'!$H$20+(-50)</f>
        <v>46353</v>
      </c>
      <c r="J22" s="382" t="n">
        <f aca="false">'Master Plan'!$H$20+(-46)</f>
        <v>46357</v>
      </c>
      <c r="K22" s="387"/>
      <c r="L22" s="387"/>
      <c r="M22" s="383" t="str">
        <f aca="false">IF('อัปเดตงาน WBS'!$L$1002="","",'อัปเดตงาน WBS'!$L$1002)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Plan'!$H$20+(-50)</f>
        <v>46353</v>
      </c>
      <c r="J23" s="382" t="n">
        <f aca="false">'Master Plan'!$H$20+(-45)</f>
        <v>46358</v>
      </c>
      <c r="K23" s="387"/>
      <c r="L23" s="387"/>
      <c r="M23" s="383" t="str">
        <f aca="false">IF('อัปเดตงาน WBS'!$L$1003="","",'อัปเดตงาน WBS'!$L$1003)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Plan'!$H$20+(-49)</f>
        <v>46354</v>
      </c>
      <c r="J24" s="382" t="n">
        <f aca="false">'Master Plan'!$H$20+(-45)</f>
        <v>46358</v>
      </c>
      <c r="K24" s="387"/>
      <c r="L24" s="387"/>
      <c r="M24" s="383" t="str">
        <f aca="false">IF('อัปเดตงาน WBS'!$L$1004="","",'อัปเดตงาน WBS'!$L$1004)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Plan'!$H$20+(-51)</f>
        <v>46352</v>
      </c>
      <c r="J25" s="373" t="n">
        <f aca="false">'Master Plan'!$H$20+(-51)</f>
        <v>46352</v>
      </c>
      <c r="K25" s="78"/>
      <c r="L25" s="78" t="str">
        <f aca="false">IF(ISNUMBER(อัปเดตรายสัปดาห์!$I$20),อัปเดตรายสัปดาห์!$I$20,"")</f>
        <v/>
      </c>
      <c r="M25" s="374" t="str">
        <f aca="false">IF(อัปเดตรายสัปดาห์!$I$20="Y","Y","")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Plan'!$H$20+(-51)</f>
        <v>46352</v>
      </c>
      <c r="J26" s="382" t="n">
        <f aca="false">'Master Plan'!$H$20+(-51)</f>
        <v>46352</v>
      </c>
      <c r="K26" s="387"/>
      <c r="L26" s="387"/>
      <c r="M26" s="383" t="str">
        <f aca="false">IF('อัปเดตงาน WBS'!$L$1005="","",'อัปเดตงาน WBS'!$L$1005)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Plan'!$H$20+(-51)</f>
        <v>46352</v>
      </c>
      <c r="J27" s="382" t="n">
        <f aca="false">'Master Plan'!$H$20+(-51)</f>
        <v>46352</v>
      </c>
      <c r="K27" s="387"/>
      <c r="L27" s="387"/>
      <c r="M27" s="383" t="str">
        <f aca="false">IF('อัปเดตงาน WBS'!$L$1006="","",'อัปเดตงาน WBS'!$L$1006)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Plan'!$H$20+(-51)</f>
        <v>46352</v>
      </c>
      <c r="J28" s="382" t="n">
        <f aca="false">'Master Plan'!$H$20+(-51)</f>
        <v>46352</v>
      </c>
      <c r="K28" s="387"/>
      <c r="L28" s="387"/>
      <c r="M28" s="383" t="str">
        <f aca="false">IF('อัปเดตงาน WBS'!$L$1007="","",'อัปเดตงาน WBS'!$L$1007)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93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Plan'!$H$20+(-75)</f>
        <v>46328</v>
      </c>
      <c r="J30" s="373" t="n">
        <f aca="false">'Master Plan'!$H$20+(-75)</f>
        <v>46328</v>
      </c>
      <c r="K30" s="78"/>
      <c r="L30" s="78" t="str">
        <f aca="false">IF(ISNUMBER(อัปเดตรายสัปดาห์!$J$20),อัปเดตรายสัปดาห์!$J$20,"")</f>
        <v/>
      </c>
      <c r="M30" s="374" t="str">
        <f aca="false">IF(อัปเดตรายสัปดาห์!$J$20="Y","Y","")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Plan'!$H$20+(-75)</f>
        <v>46328</v>
      </c>
      <c r="J31" s="382" t="n">
        <f aca="false">'Master Plan'!$H$20+(-75)</f>
        <v>46328</v>
      </c>
      <c r="K31" s="387"/>
      <c r="L31" s="387"/>
      <c r="M31" s="383" t="str">
        <f aca="false">IF('อัปเดตงาน WBS'!$L$1008="","",'อัปเดตงาน WBS'!$L$1008)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Plan'!$H$20+(-75)</f>
        <v>46328</v>
      </c>
      <c r="J32" s="382" t="n">
        <f aca="false">'Master Plan'!$H$20+(-75)</f>
        <v>46328</v>
      </c>
      <c r="K32" s="387"/>
      <c r="L32" s="387"/>
      <c r="M32" s="383" t="str">
        <f aca="false">IF('อัปเดตงาน WBS'!$L$1009="","",'อัปเดตงาน WBS'!$L$1009)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Plan'!$H$20+(-75)</f>
        <v>46328</v>
      </c>
      <c r="J33" s="382" t="n">
        <f aca="false">'Master Plan'!$H$20+(-75)</f>
        <v>46328</v>
      </c>
      <c r="K33" s="387"/>
      <c r="L33" s="387"/>
      <c r="M33" s="383" t="str">
        <f aca="false">IF('อัปเดตงาน WBS'!$L$1010="","",'อัปเดตงาน WBS'!$L$1010)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93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Plan'!$H$20+(-68)</f>
        <v>46335</v>
      </c>
      <c r="J34" s="373" t="n">
        <f aca="false">'Master Plan'!$H$20+(-59)</f>
        <v>46344</v>
      </c>
      <c r="K34" s="78"/>
      <c r="L34" s="78" t="str">
        <f aca="false">IF(ISNUMBER(อัปเดตรายสัปดาห์!$K$20),อัปเดตรายสัปดาห์!$K$20,"")</f>
        <v/>
      </c>
      <c r="M34" s="374" t="str">
        <f aca="false">IF(อัปเดตรายสัปดาห์!$K$20="Y","Y","")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Plan'!$H$20+(-68)</f>
        <v>46335</v>
      </c>
      <c r="J35" s="382" t="n">
        <f aca="false">'Master Plan'!$H$20+(-64)</f>
        <v>46339</v>
      </c>
      <c r="K35" s="387"/>
      <c r="L35" s="387"/>
      <c r="M35" s="383" t="str">
        <f aca="false">IF('อัปเดตงาน WBS'!$L$1011="","",'อัปเดตงาน WBS'!$L$1011)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Plan'!$H$20+(-68)</f>
        <v>46335</v>
      </c>
      <c r="J36" s="382" t="n">
        <f aca="false">'Master Plan'!$H$20+(-63)</f>
        <v>46340</v>
      </c>
      <c r="K36" s="387"/>
      <c r="L36" s="387"/>
      <c r="M36" s="383" t="str">
        <f aca="false">IF('อัปเดตงาน WBS'!$L$1012="","",'อัปเดตงาน WBS'!$L$1012)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Plan'!$H$20+(-65)</f>
        <v>46338</v>
      </c>
      <c r="J37" s="382" t="n">
        <f aca="false">'Master Plan'!$H$20+(-62)</f>
        <v>46341</v>
      </c>
      <c r="K37" s="387"/>
      <c r="L37" s="387"/>
      <c r="M37" s="383" t="str">
        <f aca="false">IF('อัปเดตงาน WBS'!$L$1013="","",'อัปเดตงาน WBS'!$L$1013)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Plan'!$H$20+(-63)</f>
        <v>46340</v>
      </c>
      <c r="J38" s="382" t="n">
        <f aca="false">'Master Plan'!$H$20+(-59)</f>
        <v>46344</v>
      </c>
      <c r="K38" s="387"/>
      <c r="L38" s="387"/>
      <c r="M38" s="383" t="str">
        <f aca="false">IF('อัปเดตงาน WBS'!$L$1014="","",'อัปเดตงาน WBS'!$L$1014)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93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Plan'!$H$20+(-45)</f>
        <v>46358</v>
      </c>
      <c r="J39" s="373" t="n">
        <f aca="false">'Master Plan'!$H$20+(-45)</f>
        <v>46358</v>
      </c>
      <c r="K39" s="78"/>
      <c r="L39" s="78" t="str">
        <f aca="false">IF(ISNUMBER(อัปเดตรายสัปดาห์!$L$20),อัปเดตรายสัปดาห์!$L$20,"")</f>
        <v/>
      </c>
      <c r="M39" s="374" t="str">
        <f aca="false">IF(อัปเดตรายสัปดาห์!$L$20="Y","Y","")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Plan'!$H$20+(-45)</f>
        <v>46358</v>
      </c>
      <c r="J40" s="382" t="n">
        <f aca="false">'Master Plan'!$H$20+(-45)</f>
        <v>46358</v>
      </c>
      <c r="K40" s="387"/>
      <c r="L40" s="387"/>
      <c r="M40" s="383" t="str">
        <f aca="false">IF('อัปเดตงาน WBS'!$L$1015="","",'อัปเดตงาน WBS'!$L$1015)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Plan'!$H$20+(-45)</f>
        <v>46358</v>
      </c>
      <c r="J41" s="382" t="n">
        <f aca="false">'Master Plan'!$H$20+(-45)</f>
        <v>46358</v>
      </c>
      <c r="K41" s="387"/>
      <c r="L41" s="387"/>
      <c r="M41" s="383" t="str">
        <f aca="false">IF('อัปเดตงาน WBS'!$L$1016="","",'อัปเดตงาน WBS'!$L$1016)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Plan'!$H$20+(-45)</f>
        <v>46358</v>
      </c>
      <c r="J42" s="382" t="n">
        <f aca="false">'Master Plan'!$H$20+(-45)</f>
        <v>46358</v>
      </c>
      <c r="K42" s="387"/>
      <c r="L42" s="387"/>
      <c r="M42" s="383" t="str">
        <f aca="false">IF('อัปเดตงาน WBS'!$L$1017="","",'อัปเดตงาน WBS'!$L$1017)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Plan'!$H$20+(-68)</f>
        <v>46335</v>
      </c>
      <c r="J43" s="373" t="n">
        <f aca="false">'Master Plan'!$H$20+(-55)</f>
        <v>46348</v>
      </c>
      <c r="K43" s="78"/>
      <c r="L43" s="78" t="str">
        <f aca="false">IF(ISNUMBER(อัปเดตรายสัปดาห์!$M$20),อัปเดตรายสัปดาห์!$M$20,"")</f>
        <v/>
      </c>
      <c r="M43" s="374" t="str">
        <f aca="false">IF(อัปเดตรายสัปดาห์!$M$20="Y","Y","")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Plan'!$H$20+(-68)</f>
        <v>46335</v>
      </c>
      <c r="J44" s="382" t="n">
        <f aca="false">'Master Plan'!$H$20+(-65)</f>
        <v>46338</v>
      </c>
      <c r="K44" s="387"/>
      <c r="L44" s="387"/>
      <c r="M44" s="383" t="str">
        <f aca="false">IF('อัปเดตงาน WBS'!$L$1018="","",'อัปเดตงาน WBS'!$L$1018)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Plan'!$H$20+(-67)</f>
        <v>46336</v>
      </c>
      <c r="J45" s="382" t="n">
        <f aca="false">'Master Plan'!$H$20+(-62)</f>
        <v>46341</v>
      </c>
      <c r="K45" s="387"/>
      <c r="L45" s="387"/>
      <c r="M45" s="383" t="str">
        <f aca="false">IF('อัปเดตงาน WBS'!$L$1019="","",'อัปเดตงาน WBS'!$L$1019)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Plan'!$H$20+(-62)</f>
        <v>46341</v>
      </c>
      <c r="J46" s="382" t="n">
        <f aca="false">'Master Plan'!$H$20+(-55)</f>
        <v>46348</v>
      </c>
      <c r="K46" s="387"/>
      <c r="L46" s="387"/>
      <c r="M46" s="383" t="str">
        <f aca="false">IF('อัปเดตงาน WBS'!$L$1020="","",'อัปเดตงาน WBS'!$L$1020)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IF(ISNUMBER(อัปเดตรายสัปดาห์!$P$20),อัปเดตรายสัปดาห์!$P$20,"")</f>
        <v/>
      </c>
      <c r="M52" s="374" t="str">
        <f aca="false">IF(อัปเดตรายสัปดาห์!$P$20="Y","Y","")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WBS'!$L$1021="","",'อัปเดตงาน WBS'!$L$1021)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WBS'!$L$1022="","",'อัปเดตงาน WBS'!$L$1022)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Plan'!$H$20+(-12)</f>
        <v>46391</v>
      </c>
      <c r="J55" s="373" t="n">
        <f aca="false">'Master Plan'!$H$20+(-12)</f>
        <v>46391</v>
      </c>
      <c r="K55" s="78"/>
      <c r="L55" s="78" t="str">
        <f aca="false">IF(ISNUMBER(อัปเดตรายสัปดาห์!$Q$20),อัปเดตรายสัปดาห์!$Q$20,"")</f>
        <v/>
      </c>
      <c r="M55" s="374" t="str">
        <f aca="false">IF(อัปเดตรายสัปดาห์!$Q$20="Y","Y","")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Plan'!$AC$20)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IF(ISNUMBER(อัปเดตรายสัปดาห์!$R$20),อัปเดตรายสัปดาห์!$R$20,"")</f>
        <v/>
      </c>
      <c r="M56" s="374" t="str">
        <f aca="false">IF(อัปเดตรายสัปดาห์!$R$20="Y","Y","")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Plan'!$H$20+(-11)</f>
        <v>46392</v>
      </c>
      <c r="J57" s="373" t="n">
        <f aca="false">'Master Plan'!$H$20+(9)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IF(ISNUMBER(อัปเดตรายสัปดาห์!$S$20),อัปเดตรายสัปดาห์!$S$20,"")</f>
        <v/>
      </c>
      <c r="M57" s="374" t="str">
        <f aca="false">IF(อัปเดตรายสัปดาห์!$S$20="Y","Y","")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Plan'!$AD$20)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Plan'!$H$20+(10)</f>
        <v>46413</v>
      </c>
      <c r="J58" s="373" t="n">
        <f aca="false">'Master Plan'!$H$20+(16)</f>
        <v>46419</v>
      </c>
      <c r="K58" s="78"/>
      <c r="L58" s="78" t="str">
        <f aca="false">IF(ISNUMBER(อัปเดตรายสัปดาห์!$T$20),อัปเดตรายสัปดาห์!$T$20,"")</f>
        <v/>
      </c>
      <c r="M58" s="374" t="str">
        <f aca="false">IF(อัปเดตรายสัปดาห์!$T$20="Y","Y","")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Plan'!$AE$20)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Plan'!$H$20+(17)</f>
        <v>46420</v>
      </c>
      <c r="J59" s="373" t="n">
        <f aca="false">'Master Plan'!$H$20+(17)</f>
        <v>46420</v>
      </c>
      <c r="K59" s="78"/>
      <c r="L59" s="78" t="str">
        <f aca="false">IF(ISNUMBER(อัปเดตรายสัปดาห์!$U$20),อัปเดตรายสัปดาห์!$U$20,"")</f>
        <v/>
      </c>
      <c r="M59" s="374" t="str">
        <f aca="false">IF(อัปเดตรายสัปดาห์!$U$20="Y","Y","")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Plan'!$AF$20)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93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Plan'!$H$20+(18)</f>
        <v>46421</v>
      </c>
      <c r="J60" s="373" t="n">
        <f aca="false">'Master Plan'!$H$20+(33)</f>
        <v>46436</v>
      </c>
      <c r="K60" s="78"/>
      <c r="L60" s="78" t="str">
        <f aca="false">IF(ISNUMBER(อัปเดตรายสัปดาห์!$V$20),อัปเดตรายสัปดาห์!$V$20,"")</f>
        <v/>
      </c>
      <c r="M60" s="374" t="str">
        <f aca="false">IF(อัปเดตรายสัปดาห์!$V$20="Y","Y","")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Plan'!$AH$20)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3719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Plan'!$H$20+(-42)</f>
        <v>46361</v>
      </c>
      <c r="J62" s="373" t="n">
        <f aca="false">'Master Plan'!$H$20+(-25)</f>
        <v>46378</v>
      </c>
      <c r="K62" s="78"/>
      <c r="L62" s="78" t="str">
        <f aca="false">IF(ISNUMBER(อัปเดตรายสัปดาห์!$W$20),อัปเดตรายสัปดาห์!$W$20,"")</f>
        <v/>
      </c>
      <c r="M62" s="374" t="str">
        <f aca="false">IF(อัปเดตรายสัปดาห์!$W$20="Y","Y","")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-013",SITE_TYPE,"?*")&gt;0,MIN(1,SUMPRODUCT((SITE_ST="P9-013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Plan'!$H$20+(-42)</f>
        <v>46361</v>
      </c>
      <c r="J63" s="382" t="n">
        <f aca="false">'Master Plan'!$H$20+(-40)</f>
        <v>46363</v>
      </c>
      <c r="K63" s="387"/>
      <c r="L63" s="387"/>
      <c r="M63" s="383" t="str">
        <f aca="false">IF('อัปเดตงาน WBS'!$L$1023="","",'อัปเดตงาน WBS'!$L$1023)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Plan'!$H$20+(-42)</f>
        <v>46361</v>
      </c>
      <c r="J64" s="382" t="n">
        <f aca="false">'Master Plan'!$H$20+(-39)</f>
        <v>46364</v>
      </c>
      <c r="K64" s="387"/>
      <c r="L64" s="387"/>
      <c r="M64" s="383" t="str">
        <f aca="false">IF('อัปเดตงาน WBS'!$L$1024="","",'อัปเดตงาน WBS'!$L$1024)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Plan'!$H$20+(-40)</f>
        <v>46363</v>
      </c>
      <c r="J65" s="382" t="n">
        <f aca="false">'Master Plan'!$H$20+(-34)</f>
        <v>46369</v>
      </c>
      <c r="K65" s="387"/>
      <c r="L65" s="387"/>
      <c r="M65" s="383" t="str">
        <f aca="false">IF('อัปเดตงาน WBS'!$L$1025="","",'อัปเดตงาน WBS'!$L$1025)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Plan'!$H$20+(-35)</f>
        <v>46368</v>
      </c>
      <c r="J66" s="382" t="n">
        <f aca="false">'Master Plan'!$H$20+(-28)</f>
        <v>46375</v>
      </c>
      <c r="K66" s="387"/>
      <c r="L66" s="387"/>
      <c r="M66" s="383" t="str">
        <f aca="false">IF('อัปเดตงาน WBS'!$L$1026="","",'อัปเดตงาน WBS'!$L$1026)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Plan'!$H$20+(-32)</f>
        <v>46371</v>
      </c>
      <c r="J67" s="382" t="n">
        <f aca="false">'Master Plan'!$H$20+(-26)</f>
        <v>46377</v>
      </c>
      <c r="K67" s="387"/>
      <c r="L67" s="387"/>
      <c r="M67" s="383" t="str">
        <f aca="false">IF('อัปเดตงาน WBS'!$L$1027="","",'อัปเดตงาน WBS'!$L$1027)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Plan'!$H$20+(-28)</f>
        <v>46375</v>
      </c>
      <c r="J68" s="382" t="n">
        <f aca="false">'Master Plan'!$H$20+(-25)</f>
        <v>46378</v>
      </c>
      <c r="K68" s="387"/>
      <c r="L68" s="387"/>
      <c r="M68" s="383" t="str">
        <f aca="false">IF('อัปเดตงาน WBS'!$L$1028="","",'อัปเดตงาน WBS'!$L$1028)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Plan'!$H$20+(-26)</f>
        <v>46377</v>
      </c>
      <c r="J69" s="382" t="n">
        <f aca="false">'Master Plan'!$H$20+(-25)</f>
        <v>46378</v>
      </c>
      <c r="K69" s="387"/>
      <c r="L69" s="387"/>
      <c r="M69" s="383" t="str">
        <f aca="false">IF('อัปเดตงาน WBS'!$L$1029="","",'อัปเดตงาน WBS'!$L$1029)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3719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Plan'!$H$20+(-24)</f>
        <v>46379</v>
      </c>
      <c r="J70" s="373" t="n">
        <f aca="false">'Master Plan'!$H$20+(-15)</f>
        <v>46388</v>
      </c>
      <c r="K70" s="78"/>
      <c r="L70" s="78" t="str">
        <f aca="false">IF(ISNUMBER(อัปเดตรายสัปดาห์!$X$20),อัปเดตรายสัปดาห์!$X$20,"")</f>
        <v/>
      </c>
      <c r="M70" s="374" t="str">
        <f aca="false">IF(อัปเดตรายสัปดาห์!$X$20="Y","Y","")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-013",SITE_TYPE,"?*")&gt;0,MIN(1,SUMPRODUCT((SITE_ST="P9-013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Plan'!$H$20+(-24)</f>
        <v>46379</v>
      </c>
      <c r="J71" s="382" t="n">
        <f aca="false">'Master Plan'!$H$20+(-20)</f>
        <v>46383</v>
      </c>
      <c r="K71" s="387"/>
      <c r="L71" s="387"/>
      <c r="M71" s="383" t="str">
        <f aca="false">IF('อัปเดตงาน WBS'!$L$1030="","",'อัปเดตงาน WBS'!$L$1030)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Plan'!$H$20+(-22)</f>
        <v>46381</v>
      </c>
      <c r="J72" s="382" t="n">
        <f aca="false">'Master Plan'!$H$20+(-17)</f>
        <v>46386</v>
      </c>
      <c r="K72" s="387"/>
      <c r="L72" s="387"/>
      <c r="M72" s="383" t="str">
        <f aca="false">IF('อัปเดตงาน WBS'!$L$1031="","",'อัปเดตงาน WBS'!$L$1031)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Plan'!$H$20+(-21)</f>
        <v>46382</v>
      </c>
      <c r="J73" s="382" t="n">
        <f aca="false">'Master Plan'!$H$20+(-17)</f>
        <v>46386</v>
      </c>
      <c r="K73" s="387"/>
      <c r="L73" s="387"/>
      <c r="M73" s="383" t="str">
        <f aca="false">IF('อัปเดตงาน WBS'!$L$1032="","",'อัปเดตงาน WBS'!$L$1032)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Plan'!$H$20+(-20)</f>
        <v>46383</v>
      </c>
      <c r="J74" s="382" t="n">
        <f aca="false">'Master Plan'!$H$20+(-15)</f>
        <v>46388</v>
      </c>
      <c r="K74" s="387"/>
      <c r="L74" s="387"/>
      <c r="M74" s="383" t="str">
        <f aca="false">IF('อัปเดตงาน WBS'!$L$1033="","",'อัปเดตงาน WBS'!$L$1033)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Plan'!$H$20+(-17)</f>
        <v>46386</v>
      </c>
      <c r="J75" s="382" t="n">
        <f aca="false">'Master Plan'!$H$20+(-15)</f>
        <v>46388</v>
      </c>
      <c r="K75" s="387"/>
      <c r="L75" s="387"/>
      <c r="M75" s="383" t="str">
        <f aca="false">IF('อัปเดตงาน WBS'!$L$1034="","",'อัปเดตงาน WBS'!$L$1034)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3719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Plan'!$H$20+(-24)</f>
        <v>46379</v>
      </c>
      <c r="J76" s="373" t="n">
        <f aca="false">'Master Plan'!$H$20+(-15)</f>
        <v>46388</v>
      </c>
      <c r="K76" s="78"/>
      <c r="L76" s="78" t="str">
        <f aca="false">IF(ISNUMBER(อัปเดตรายสัปดาห์!$Y$20),อัปเดตรายสัปดาห์!$Y$20,"")</f>
        <v/>
      </c>
      <c r="M76" s="374" t="str">
        <f aca="false">IF(อัปเดตรายสัปดาห์!$Y$20="Y","Y","")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-013",SITE_TYPE,"?*")&gt;0,MIN(1,SUMPRODUCT((SITE_ST="P9-013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Plan'!$H$20+(-24)</f>
        <v>46379</v>
      </c>
      <c r="J77" s="382" t="n">
        <f aca="false">'Master Plan'!$H$20+(-21)</f>
        <v>46382</v>
      </c>
      <c r="K77" s="387"/>
      <c r="L77" s="387"/>
      <c r="M77" s="383" t="str">
        <f aca="false">IF('อัปเดตงาน WBS'!$L$1035="","",'อัปเดตงาน WBS'!$L$1035)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Plan'!$H$20+(-23)</f>
        <v>46380</v>
      </c>
      <c r="J78" s="382" t="n">
        <f aca="false">'Master Plan'!$H$20+(-16)</f>
        <v>46387</v>
      </c>
      <c r="K78" s="387"/>
      <c r="L78" s="387"/>
      <c r="M78" s="383" t="str">
        <f aca="false">IF('อัปเดตงาน WBS'!$L$1036="","",'อัปเดตงาน WBS'!$L$1036)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Plan'!$H$20+(-20)</f>
        <v>46383</v>
      </c>
      <c r="J79" s="382" t="n">
        <f aca="false">'Master Plan'!$H$20+(-15)</f>
        <v>46388</v>
      </c>
      <c r="K79" s="387"/>
      <c r="L79" s="387"/>
      <c r="M79" s="383" t="str">
        <f aca="false">IF('อัปเดตงาน WBS'!$L$1037="","",'อัปเดตงาน WBS'!$L$1037)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Plan'!$H$20+(-17)</f>
        <v>46386</v>
      </c>
      <c r="J80" s="382" t="n">
        <f aca="false">'Master Plan'!$H$20+(-15)</f>
        <v>46388</v>
      </c>
      <c r="K80" s="387"/>
      <c r="L80" s="387"/>
      <c r="M80" s="383" t="str">
        <f aca="false">IF('อัปเดตงาน WBS'!$L$1038="","",'อัปเดตงาน WBS'!$L$1038)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Plan'!$H$20+(-15)</f>
        <v>46388</v>
      </c>
      <c r="J81" s="382" t="n">
        <f aca="false">'Master Plan'!$H$20+(-15)</f>
        <v>46388</v>
      </c>
      <c r="K81" s="387"/>
      <c r="L81" s="387"/>
      <c r="M81" s="383" t="str">
        <f aca="false">IF('อัปเดตงาน WBS'!$L$1039="","",'อัปเดตงาน WBS'!$L$1039)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3719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Plan'!$H$20+(-21)</f>
        <v>46382</v>
      </c>
      <c r="J82" s="373" t="n">
        <f aca="false">'Master Plan'!$H$20+(-18)</f>
        <v>46385</v>
      </c>
      <c r="K82" s="78"/>
      <c r="L82" s="78" t="str">
        <f aca="false">IF(ISNUMBER(อัปเดตรายสัปดาห์!$Z$20),อัปเดตรายสัปดาห์!$Z$20,"")</f>
        <v/>
      </c>
      <c r="M82" s="374" t="str">
        <f aca="false">IF(อัปเดตรายสัปดาห์!$Z$20="Y","Y","")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Plan'!$H$20+(-21)</f>
        <v>46382</v>
      </c>
      <c r="J83" s="382" t="n">
        <f aca="false">'Master Plan'!$H$20+(-19)</f>
        <v>46384</v>
      </c>
      <c r="K83" s="387"/>
      <c r="L83" s="387"/>
      <c r="M83" s="383" t="str">
        <f aca="false">IF('อัปเดตงาน WBS'!$L$1040="","",'อัปเดตงาน WBS'!$L$1040)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Plan'!$H$20+(-20)</f>
        <v>46383</v>
      </c>
      <c r="J84" s="382" t="n">
        <f aca="false">'Master Plan'!$H$20+(-18)</f>
        <v>46385</v>
      </c>
      <c r="K84" s="387"/>
      <c r="L84" s="387"/>
      <c r="M84" s="383" t="str">
        <f aca="false">IF('อัปเดตงาน WBS'!$L$1041="","",'อัปเดตงาน WBS'!$L$1041)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3719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Plan'!$H$20+(-25)</f>
        <v>46378</v>
      </c>
      <c r="J85" s="373" t="n">
        <f aca="false">'Master Plan'!$H$20+(-17)</f>
        <v>46386</v>
      </c>
      <c r="K85" s="78"/>
      <c r="L85" s="78" t="str">
        <f aca="false">IF(ISNUMBER(อัปเดตรายสัปดาห์!$AA$20),อัปเดตรายสัปดาห์!$AA$20,"")</f>
        <v/>
      </c>
      <c r="M85" s="374" t="str">
        <f aca="false">IF(อัปเดตรายสัปดาห์!$AA$20="Y","Y","")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Plan'!$H$20+(-25)</f>
        <v>46378</v>
      </c>
      <c r="J86" s="382" t="n">
        <f aca="false">'Master Plan'!$H$20+(-21)</f>
        <v>46382</v>
      </c>
      <c r="K86" s="387"/>
      <c r="L86" s="387"/>
      <c r="M86" s="383" t="str">
        <f aca="false">IF('อัปเดตงาน WBS'!$L$1042="","",'อัปเดตงาน WBS'!$L$1042)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Plan'!$H$20+(-22)</f>
        <v>46381</v>
      </c>
      <c r="J87" s="382" t="n">
        <f aca="false">'Master Plan'!$H$20+(-18)</f>
        <v>46385</v>
      </c>
      <c r="K87" s="387"/>
      <c r="L87" s="387"/>
      <c r="M87" s="383" t="str">
        <f aca="false">IF('อัปเดตงาน WBS'!$L$1043="","",'อัปเดตงาน WBS'!$L$1043)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Plan'!$H$20+(-20)</f>
        <v>46383</v>
      </c>
      <c r="J88" s="382" t="n">
        <f aca="false">'Master Plan'!$H$20+(-17)</f>
        <v>46386</v>
      </c>
      <c r="K88" s="387"/>
      <c r="L88" s="387"/>
      <c r="M88" s="383" t="str">
        <f aca="false">IF('อัปเดตงาน WBS'!$L$1044="","",'อัปเดตงาน WBS'!$L$1044)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Plan'!$H$20+(-18)</f>
        <v>46385</v>
      </c>
      <c r="J89" s="382" t="n">
        <f aca="false">'Master Plan'!$H$20+(-17)</f>
        <v>46386</v>
      </c>
      <c r="K89" s="387"/>
      <c r="L89" s="387"/>
      <c r="M89" s="383" t="str">
        <f aca="false">IF('อัปเดตงาน WBS'!$L$1045="","",'อัปเดตงาน WBS'!$L$1045)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3719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Plan'!$H$20+(-25)</f>
        <v>46378</v>
      </c>
      <c r="J90" s="373" t="n">
        <f aca="false">'Master Plan'!$H$20+(-16)</f>
        <v>46387</v>
      </c>
      <c r="K90" s="78"/>
      <c r="L90" s="78" t="str">
        <f aca="false">IF(ISNUMBER(อัปเดตรายสัปดาห์!$AB$20),อัปเดตรายสัปดาห์!$AB$20,"")</f>
        <v/>
      </c>
      <c r="M90" s="374" t="str">
        <f aca="false">IF(อัปเดตรายสัปดาห์!$AB$20="Y","Y","")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Plan'!$H$20+(-25)</f>
        <v>46378</v>
      </c>
      <c r="J91" s="382" t="n">
        <f aca="false">'Master Plan'!$H$20+(-20)</f>
        <v>46383</v>
      </c>
      <c r="K91" s="387"/>
      <c r="L91" s="387"/>
      <c r="M91" s="383" t="str">
        <f aca="false">IF('อัปเดตงาน WBS'!$L$1046="","",'อัปเดตงาน WBS'!$L$1046)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Plan'!$H$20+(-20)</f>
        <v>46383</v>
      </c>
      <c r="J92" s="382" t="n">
        <f aca="false">'Master Plan'!$H$20+(-16)</f>
        <v>46387</v>
      </c>
      <c r="K92" s="387"/>
      <c r="L92" s="387"/>
      <c r="M92" s="383" t="str">
        <f aca="false">IF('อัปเดตงาน WBS'!$L$1047="","",'อัปเดตงาน WBS'!$L$1047)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Plan'!$H$20+(-25)</f>
        <v>46378</v>
      </c>
      <c r="J93" s="382" t="n">
        <f aca="false">'Master Plan'!$H$20+(-21)</f>
        <v>46382</v>
      </c>
      <c r="K93" s="387"/>
      <c r="L93" s="387"/>
      <c r="M93" s="383" t="str">
        <f aca="false">IF('อัปเดตงาน WBS'!$L$1048="","",'อัปเดตงาน WBS'!$L$1048)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Plan'!$H$20+(-21)</f>
        <v>46382</v>
      </c>
      <c r="J94" s="382" t="n">
        <f aca="false">'Master Plan'!$H$20+(-16)</f>
        <v>46387</v>
      </c>
      <c r="K94" s="387"/>
      <c r="L94" s="387"/>
      <c r="M94" s="383" t="str">
        <f aca="false">IF('อัปเดตงาน WBS'!$L$1049="","",'อัปเดตงาน WBS'!$L$1049)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Plan'!$H$20+(-17)</f>
        <v>46386</v>
      </c>
      <c r="J95" s="382" t="n">
        <f aca="false">'Master Plan'!$H$20+(-16)</f>
        <v>46387</v>
      </c>
      <c r="K95" s="387"/>
      <c r="L95" s="387"/>
      <c r="M95" s="383" t="str">
        <f aca="false">IF('อัปเดตงาน WBS'!$L$1050="","",'อัปเดตงาน WBS'!$L$1050)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3719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Plan'!$H$20+(-22)</f>
        <v>46381</v>
      </c>
      <c r="J96" s="373" t="n">
        <f aca="false">'Master Plan'!$H$20+(-16)</f>
        <v>46387</v>
      </c>
      <c r="K96" s="78"/>
      <c r="L96" s="78" t="str">
        <f aca="false">IF(ISNUMBER(อัปเดตรายสัปดาห์!$AC$20),อัปเดตรายสัปดาห์!$AC$20,"")</f>
        <v/>
      </c>
      <c r="M96" s="374" t="str">
        <f aca="false">IF(อัปเดตรายสัปดาห์!$AC$20="Y","Y","")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Plan'!$H$20+(-22)</f>
        <v>46381</v>
      </c>
      <c r="J97" s="382" t="n">
        <f aca="false">'Master Plan'!$H$20+(-17)</f>
        <v>46386</v>
      </c>
      <c r="K97" s="387"/>
      <c r="L97" s="387"/>
      <c r="M97" s="383" t="str">
        <f aca="false">IF('อัปเดตงาน WBS'!$L$1051="","",'อัปเดตงาน WBS'!$L$1051)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Plan'!$H$20+(-20)</f>
        <v>46383</v>
      </c>
      <c r="J98" s="382" t="n">
        <f aca="false">'Master Plan'!$H$20+(-16)</f>
        <v>46387</v>
      </c>
      <c r="K98" s="387"/>
      <c r="L98" s="387"/>
      <c r="M98" s="383" t="str">
        <f aca="false">IF('อัปเดตงาน WBS'!$L$1052="","",'อัปเดตงาน WBS'!$L$1052)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Plan'!$H$20+(-17)</f>
        <v>46386</v>
      </c>
      <c r="J99" s="382" t="n">
        <f aca="false">'Master Plan'!$H$20+(-16)</f>
        <v>46387</v>
      </c>
      <c r="K99" s="387"/>
      <c r="L99" s="387"/>
      <c r="M99" s="383" t="str">
        <f aca="false">IF('อัปเดตงาน WBS'!$L$1053="","",'อัปเดตงาน WBS'!$L$1053)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3719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Plan'!$H$20+(-20)</f>
        <v>46383</v>
      </c>
      <c r="J100" s="373" t="n">
        <f aca="false">'Master Plan'!$H$20+(-15)</f>
        <v>46388</v>
      </c>
      <c r="K100" s="78"/>
      <c r="L100" s="78" t="str">
        <f aca="false">IF(ISNUMBER(อัปเดตรายสัปดาห์!$AD$20),อัปเดตรายสัปดาห์!$AD$20,"")</f>
        <v/>
      </c>
      <c r="M100" s="374" t="str">
        <f aca="false">IF(อัปเดตรายสัปดาห์!$AD$20="Y","Y","")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Plan'!$H$20+(-20)</f>
        <v>46383</v>
      </c>
      <c r="J101" s="382" t="n">
        <f aca="false">'Master Plan'!$H$20+(-19)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Plan'!$H$20+(-19)</f>
        <v>46384</v>
      </c>
      <c r="J102" s="382" t="n">
        <f aca="false">'Master Plan'!$H$20+(-16)</f>
        <v>46387</v>
      </c>
      <c r="K102" s="387"/>
      <c r="L102" s="387"/>
      <c r="M102" s="383" t="str">
        <f aca="false">IF('อัปเดตงาน WBS'!$L$1054="","",'อัปเดตงาน WBS'!$L$1054)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Plan'!$H$20+(-18)</f>
        <v>46385</v>
      </c>
      <c r="J104" s="382" t="n">
        <f aca="false">'Master Plan'!$H$20+(-16)</f>
        <v>46387</v>
      </c>
      <c r="K104" s="387"/>
      <c r="L104" s="387"/>
      <c r="M104" s="383" t="str">
        <f aca="false">IF('อัปเดตงาน WBS'!$L$1055="","",'อัปเดตงาน WBS'!$L$1055)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Plan'!$H$20+(-18)</f>
        <v>46385</v>
      </c>
      <c r="J105" s="382" t="n">
        <f aca="false">'Master Plan'!$H$20+(-15)</f>
        <v>46388</v>
      </c>
      <c r="K105" s="387"/>
      <c r="L105" s="387"/>
      <c r="M105" s="383" t="str">
        <f aca="false">IF('อัปเดตงาน WBS'!$L$1056="","",'อัปเดตงาน WBS'!$L$1056)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Plan'!$H$20+(-16)</f>
        <v>46387</v>
      </c>
      <c r="J106" s="382" t="n">
        <f aca="false">'Master Plan'!$H$20+(-15)</f>
        <v>46388</v>
      </c>
      <c r="K106" s="387"/>
      <c r="L106" s="387"/>
      <c r="M106" s="383" t="str">
        <f aca="false">IF('อัปเดตงาน WBS'!$L$1057="","",'อัปเดตงาน WBS'!$L$1057)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3719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Plan'!$H$20+(-18)</f>
        <v>46385</v>
      </c>
      <c r="J107" s="373" t="n">
        <f aca="false">'Master Plan'!$H$20+(-14)</f>
        <v>46389</v>
      </c>
      <c r="K107" s="78"/>
      <c r="L107" s="78" t="str">
        <f aca="false">IF(ISNUMBER(อัปเดตรายสัปดาห์!$AE$20),อัปเดตรายสัปดาห์!$AE$20,"")</f>
        <v/>
      </c>
      <c r="M107" s="374" t="str">
        <f aca="false">IF(อัปเดตรายสัปดาห์!$AE$20="Y","Y","")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Plan'!$H$20+(-18)</f>
        <v>46385</v>
      </c>
      <c r="J108" s="382" t="n">
        <f aca="false">'Master Plan'!$H$20+(-15)</f>
        <v>46388</v>
      </c>
      <c r="K108" s="387"/>
      <c r="L108" s="387"/>
      <c r="M108" s="383" t="str">
        <f aca="false">IF('อัปเดตงาน WBS'!$L$1058="","",'อัปเดตงาน WBS'!$L$1058)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Plan'!$H$20+(-16)</f>
        <v>46387</v>
      </c>
      <c r="J109" s="382" t="n">
        <f aca="false">'Master Plan'!$H$20+(-14)</f>
        <v>46389</v>
      </c>
      <c r="K109" s="387"/>
      <c r="L109" s="387"/>
      <c r="M109" s="383" t="str">
        <f aca="false">IF('อัปเดตงาน WBS'!$L$1059="","",'อัปเดตงาน WBS'!$L$1059)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Plan'!$H$20+(-17)</f>
        <v>46386</v>
      </c>
      <c r="J110" s="382" t="n">
        <f aca="false">'Master Plan'!$H$20+(-15)</f>
        <v>46388</v>
      </c>
      <c r="K110" s="387"/>
      <c r="L110" s="387"/>
      <c r="M110" s="383" t="str">
        <f aca="false">IF('อัปเดตงาน WBS'!$L$1060="","",'อัปเดตงาน WBS'!$L$1060)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93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Plan'!$H$20+(-13)</f>
        <v>46390</v>
      </c>
      <c r="J111" s="373" t="n">
        <f aca="false">'Master Plan'!$H$20+(-13)</f>
        <v>46390</v>
      </c>
      <c r="K111" s="78"/>
      <c r="L111" s="78" t="str">
        <f aca="false">IF(ISNUMBER(อัปเดตรายสัปดาห์!$AF$20),อัปเดตรายสัปดาห์!$AF$20,"")</f>
        <v/>
      </c>
      <c r="M111" s="374" t="str">
        <f aca="false">IF(อัปเดตรายสัปดาห์!$AF$20="Y","Y","")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Plan'!$Y$20)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Plan'!$H$20+(-13)</f>
        <v>46390</v>
      </c>
      <c r="J112" s="382" t="n">
        <f aca="false">'Master Plan'!$H$20+(-13)</f>
        <v>46390</v>
      </c>
      <c r="K112" s="387"/>
      <c r="L112" s="387"/>
      <c r="M112" s="383" t="str">
        <f aca="false">IF('อัปเดตงาน WBS'!$L$1061="","",'อัปเดตงาน WBS'!$L$1061)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Plan'!$H$20+(-13)</f>
        <v>46390</v>
      </c>
      <c r="J113" s="382" t="n">
        <f aca="false">'Master Plan'!$H$20+(-13)</f>
        <v>46390</v>
      </c>
      <c r="K113" s="387"/>
      <c r="L113" s="387"/>
      <c r="M113" s="383" t="str">
        <f aca="false">IF('อัปเดตงาน WBS'!$L$1062="","",'อัปเดตงาน WBS'!$L$1062)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3719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Plan'!$H$20+(-12)</f>
        <v>46391</v>
      </c>
      <c r="J115" s="373" t="n">
        <f aca="false">'Master Plan'!$H$20+(-10)</f>
        <v>46393</v>
      </c>
      <c r="K115" s="78"/>
      <c r="L115" s="78" t="str">
        <f aca="false">IF(ISNUMBER(อัปเดตรายสัปดาห์!$AG$20),อัปเดตรายสัปดาห์!$AG$20,"")</f>
        <v/>
      </c>
      <c r="M115" s="374" t="str">
        <f aca="false">IF(อัปเดตรายสัปดาห์!$AG$20="Y","Y","")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Plan'!$AA$20)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Plan'!$H$20+(-12)</f>
        <v>46391</v>
      </c>
      <c r="J116" s="382" t="n">
        <f aca="false">'Master Plan'!$H$20+(-12)</f>
        <v>46391</v>
      </c>
      <c r="K116" s="387"/>
      <c r="L116" s="387"/>
      <c r="M116" s="383" t="str">
        <f aca="false">IF('อัปเดตงาน WBS'!$L$1063="","",'อัปเดตงาน WBS'!$L$1063)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Plan'!$H$20+(-12)</f>
        <v>46391</v>
      </c>
      <c r="J117" s="382" t="n">
        <f aca="false">'Master Plan'!$H$20+(-11)</f>
        <v>46392</v>
      </c>
      <c r="K117" s="387"/>
      <c r="L117" s="387"/>
      <c r="M117" s="383" t="str">
        <f aca="false">IF('อัปเดตงาน WBS'!$L$1064="","",'อัปเดตงาน WBS'!$L$1064)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Plan'!$H$20+(-11)</f>
        <v>46392</v>
      </c>
      <c r="J118" s="382" t="n">
        <f aca="false">'Master Plan'!$H$20+(-11)</f>
        <v>46392</v>
      </c>
      <c r="K118" s="387"/>
      <c r="L118" s="387"/>
      <c r="M118" s="383" t="str">
        <f aca="false">IF('อัปเดตงาน WBS'!$L$1065="","",'อัปเดตงาน WBS'!$L$1065)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Plan'!$H$20+(-11)</f>
        <v>46392</v>
      </c>
      <c r="J119" s="382" t="n">
        <f aca="false">'Master Plan'!$H$20+(-11)</f>
        <v>46392</v>
      </c>
      <c r="K119" s="387"/>
      <c r="L119" s="387"/>
      <c r="M119" s="383" t="str">
        <f aca="false">IF('อัปเดตงาน WBS'!$L$1066="","",'อัปเดตงาน WBS'!$L$1066)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Plan'!$H$20+(-11)</f>
        <v>46392</v>
      </c>
      <c r="J120" s="382" t="n">
        <f aca="false">'Master Plan'!$H$20+(-10)</f>
        <v>46393</v>
      </c>
      <c r="K120" s="387"/>
      <c r="L120" s="387"/>
      <c r="M120" s="383" t="str">
        <f aca="false">IF('อัปเดตงาน WBS'!$L$1067="","",'อัปเดตงาน WBS'!$L$1067)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Plan'!$H$20+(-11)</f>
        <v>46392</v>
      </c>
      <c r="J121" s="382" t="n">
        <f aca="false">'Master Plan'!$H$20+(-10)</f>
        <v>46393</v>
      </c>
      <c r="K121" s="387"/>
      <c r="L121" s="387"/>
      <c r="M121" s="383" t="str">
        <f aca="false">IF('อัปเดตงาน WBS'!$L$1068="","",'อัปเดตงาน WBS'!$L$1068)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93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Plan'!$H$20+(-10)</f>
        <v>46393</v>
      </c>
      <c r="J122" s="373" t="n">
        <f aca="false">'Master Plan'!$H$20+(-10)</f>
        <v>46393</v>
      </c>
      <c r="K122" s="78"/>
      <c r="L122" s="78" t="str">
        <f aca="false">IF(ISNUMBER(อัปเดตรายสัปดาห์!$AH$20),อัปเดตรายสัปดาห์!$AH$20,"")</f>
        <v/>
      </c>
      <c r="M122" s="374" t="str">
        <f aca="false">IF(อัปเดตรายสัปดาห์!$AH$20="Y","Y","")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Plan'!$Z$20)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93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Plan'!$H$20+(-12)</f>
        <v>46391</v>
      </c>
      <c r="J123" s="373" t="n">
        <f aca="false">'Master Plan'!$H$20+(-8)</f>
        <v>46395</v>
      </c>
      <c r="K123" s="78" t="str">
        <f aca="false">IF(ISNUMBER(อัปเดตรายสัปดาห์!$AI$20),อัปเดตรายสัปดาห์!$AI$20,"")</f>
        <v/>
      </c>
      <c r="L123" s="78" t="str">
        <f aca="false">IF(ISNUMBER(อัปเดตรายสัปดาห์!$AJ$20),อัปเดตรายสัปดาห์!$AJ$20,"")</f>
        <v/>
      </c>
      <c r="M123" s="374" t="str">
        <f aca="false">IF(อัปเดตรายสัปดาห์!$AJ$20="Y","Y","")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93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Plan'!$H$20+(37)</f>
        <v>46440</v>
      </c>
      <c r="J124" s="373" t="n">
        <f aca="false">'Master Plan'!$H$20+(50)</f>
        <v>46453</v>
      </c>
      <c r="K124" s="78"/>
      <c r="L124" s="78" t="str">
        <f aca="false">IF(ISNUMBER(อัปเดตรายสัปดาห์!$AK$20),อัปเดตรายสัปดาห์!$AK$20,"")</f>
        <v/>
      </c>
      <c r="M124" s="374" t="str">
        <f aca="false">IF(อัปเดตรายสัปดาห์!$AK$20="Y","Y","")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Plan'!$H$20+(37)</f>
        <v>46440</v>
      </c>
      <c r="J125" s="382" t="n">
        <f aca="false">'Master Plan'!$H$20+(41)</f>
        <v>46444</v>
      </c>
      <c r="K125" s="387"/>
      <c r="L125" s="387"/>
      <c r="M125" s="383" t="str">
        <f aca="false">IF('อัปเดตงาน WBS'!$L$1069="","",'อัปเดตงาน WBS'!$L$1069)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Plan'!$H$20+(40)</f>
        <v>46443</v>
      </c>
      <c r="J126" s="382" t="n">
        <f aca="false">'Master Plan'!$H$20+(47)</f>
        <v>46450</v>
      </c>
      <c r="K126" s="387"/>
      <c r="L126" s="387"/>
      <c r="M126" s="383" t="str">
        <f aca="false">IF('อัปเดตงาน WBS'!$L$1070="","",'อัปเดตงาน WBS'!$L$1070)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Plan'!$H$20+(47)</f>
        <v>46450</v>
      </c>
      <c r="J127" s="382" t="n">
        <f aca="false">'Master Plan'!$H$20+(50)</f>
        <v>46453</v>
      </c>
      <c r="K127" s="387"/>
      <c r="L127" s="387"/>
      <c r="M127" s="383" t="str">
        <f aca="false">IF('อัปเดตงาน WBS'!$L$1071="","",'อัปเดตงาน WBS'!$L$1071)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3719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Plan'!$H$20+(0)</f>
        <v>46403</v>
      </c>
      <c r="J128" s="373" t="n">
        <f aca="false">'Master Plan'!$H$20+(0)</f>
        <v>46403</v>
      </c>
      <c r="K128" s="78"/>
      <c r="L128" s="78" t="str">
        <f aca="false">IF(ISNUMBER(อัปเดตรายสัปดาห์!$AL$20),อัปเดตรายสัปดาห์!$AL$20,"")</f>
        <v/>
      </c>
      <c r="M128" s="374" t="str">
        <f aca="false">IF(อัปเดตรายสัปดาห์!$AL$20="Y","Y","")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Plan'!$AB$20)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Plan'!$H$20+(0)</f>
        <v>46403</v>
      </c>
      <c r="J129" s="373" t="n">
        <f aca="false">'Master Plan'!$H$20+(0)</f>
        <v>46403</v>
      </c>
      <c r="K129" s="78"/>
      <c r="L129" s="78" t="str">
        <f aca="false">IF(ISNUMBER(อัปเดตรายสัปดาห์!$AM$20),อัปเดตรายสัปดาห์!$AM$20,"")</f>
        <v/>
      </c>
      <c r="M129" s="374" t="str">
        <f aca="false">IF(อัปเดตรายสัปดาห์!$AM$20="Y","Y","")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Plan'!$H$20+(0)</f>
        <v>46403</v>
      </c>
      <c r="J130" s="373" t="n">
        <f aca="false">'Master Plan'!$H$20+(0)</f>
        <v>46403</v>
      </c>
      <c r="K130" s="78"/>
      <c r="L130" s="78" t="str">
        <f aca="false">IF(ISNUMBER(อัปเดตรายสัปดาห์!$AN$20),อัปเดตรายสัปดาห์!$AN$20,"")</f>
        <v/>
      </c>
      <c r="M130" s="374" t="str">
        <f aca="false">IF(อัปเดตรายสัปดาห์!$AN$20="Y","Y","")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93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Plan'!$H$20+(34)</f>
        <v>46437</v>
      </c>
      <c r="J131" s="373" t="n">
        <f aca="false">'Master Plan'!$H$20+(36)</f>
        <v>46439</v>
      </c>
      <c r="K131" s="78"/>
      <c r="L131" s="78" t="str">
        <f aca="false">IF(ISNUMBER(อัปเดตรายสัปดาห์!$AO$20),อัปเดตรายสัปดาห์!$AO$20,"")</f>
        <v/>
      </c>
      <c r="M131" s="374" t="str">
        <f aca="false">IF(อัปเดตรายสัปดาห์!$AO$20="Y","Y","")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SUMPRODUCT((SITE_ST="P9-013")*(SITE_TYPE=$B136)*(SITE_TYPE&lt;&gt;""))</f>
        <v>0</v>
      </c>
      <c r="E136" s="397" t="n">
        <f aca="false">SUMPRODUCT((SITE_ST="P9-013")*(SITE_TYPE=$B136)*SITE_MOD)</f>
        <v>0</v>
      </c>
      <c r="I136" s="398" t="n">
        <f aca="false">SUMPRODUCT((SITE_ST="P9-013")*(SITE_TYPE=$B136)*SITE_KWP)</f>
        <v>0</v>
      </c>
      <c r="J136" s="35" t="str">
        <f aca="false">IF(SUMPRODUCT((SITE_ST="P9-013")*(SITE_TYPE=$B136)*(SITE_TYPE&lt;&gt;""))=0,"",SUMPRODUCT((SITE_ST="P9-013")*(SITE_TYPE=$B136)*SITE_S21*SITE_D21)/MAX(0.0001,SUMPRODUCT((SITE_ST="P9-013")*(SITE_TYPE=$B136)*SITE_S21)))</f>
        <v/>
      </c>
      <c r="K136" s="32" t="str">
        <f aca="false">IF(SUMPRODUCT((SITE_ST="P9-013")*(SITE_TYPE=$B136)*(SITE_TYPE&lt;&gt;""))=0,"",SUMPRODUCT((SITE_ST="P9-013")*(SITE_TYPE=$B136)*(SITE_TYPE&lt;&gt;"")*(SITE_T22="Y"))&amp;"/"&amp;SUMPRODUCT((SITE_ST="P9-013")*(SITE_TYPE=$B136)*(SITE_TYPE&lt;&gt;"")))</f>
        <v/>
      </c>
      <c r="L136" s="32" t="str">
        <f aca="false">IF(SUMPRODUCT((SITE_ST="P9-013")*(SITE_TYPE=$B136)*(SITE_TYPE&lt;&gt;""))=0,"",SUMPRODUCT((SITE_ST="P9-013")*(SITE_TYPE=$B136)*(SITE_TYPE&lt;&gt;"")*(SITE_T23="Y"))&amp;"/"&amp;SUMPRODUCT((SITE_ST="P9-013")*(SITE_TYPE=$B136)*(SITE_TYPE&lt;&gt;"")))</f>
        <v/>
      </c>
      <c r="O136" s="32" t="str">
        <f aca="false">IF(SUMPRODUCT((SITE_ST="P9-013")*(SITE_TYPE=$B136)*(LEFT(SITE_LAD,4)="ติด:"))=0,"",SUMPRODUCT((SITE_ST="P9-013")*(SITE_TYPE=$B136)*(LEFT(SITE_LAD,4)="ติด:"))&amp;"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SUMPRODUCT((SITE_ST="P9-013")*(SITE_TYPE=$B137)*(SITE_TYPE&lt;&gt;""))</f>
        <v>0</v>
      </c>
      <c r="E137" s="397" t="n">
        <f aca="false">SUMPRODUCT((SITE_ST="P9-013")*(SITE_TYPE=$B137)*SITE_MOD)</f>
        <v>0</v>
      </c>
      <c r="I137" s="398" t="n">
        <f aca="false">SUMPRODUCT((SITE_ST="P9-013")*(SITE_TYPE=$B137)*SITE_KWP)</f>
        <v>0</v>
      </c>
      <c r="J137" s="35" t="str">
        <f aca="false">IF(SUMPRODUCT((SITE_ST="P9-013")*(SITE_TYPE=$B137)*(SITE_TYPE&lt;&gt;""))=0,"",SUMPRODUCT((SITE_ST="P9-013")*(SITE_TYPE=$B137)*SITE_S21*SITE_D21)/MAX(0.0001,SUMPRODUCT((SITE_ST="P9-013")*(SITE_TYPE=$B137)*SITE_S21)))</f>
        <v/>
      </c>
      <c r="K137" s="32" t="str">
        <f aca="false">IF(SUMPRODUCT((SITE_ST="P9-013")*(SITE_TYPE=$B137)*(SITE_TYPE&lt;&gt;""))=0,"",SUMPRODUCT((SITE_ST="P9-013")*(SITE_TYPE=$B137)*(SITE_TYPE&lt;&gt;"")*(SITE_T22="Y"))&amp;"/"&amp;SUMPRODUCT((SITE_ST="P9-013")*(SITE_TYPE=$B137)*(SITE_TYPE&lt;&gt;"")))</f>
        <v/>
      </c>
      <c r="L137" s="32" t="str">
        <f aca="false">IF(SUMPRODUCT((SITE_ST="P9-013")*(SITE_TYPE=$B137)*(SITE_TYPE&lt;&gt;""))=0,"",SUMPRODUCT((SITE_ST="P9-013")*(SITE_TYPE=$B137)*(SITE_TYPE&lt;&gt;"")*(SITE_T23="Y"))&amp;"/"&amp;SUMPRODUCT((SITE_ST="P9-013")*(SITE_TYPE=$B137)*(SITE_TYPE&lt;&gt;"")))</f>
        <v/>
      </c>
      <c r="O137" s="32" t="str">
        <f aca="false">IF(SUMPRODUCT((SITE_ST="P9-013")*(SITE_TYPE=$B137)*(LEFT(SITE_LAD,4)="ติด:"))=0,"",SUMPRODUCT((SITE_ST="P9-013")*(SITE_TYPE=$B137)*(LEFT(SITE_LAD,4)="ติด:"))&amp;"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SUMPRODUCT((SITE_ST="P9-013")*(SITE_TYPE=$B138)*(SITE_TYPE&lt;&gt;""))</f>
        <v>0</v>
      </c>
      <c r="E138" s="397" t="n">
        <f aca="false">SUMPRODUCT((SITE_ST="P9-013")*(SITE_TYPE=$B138)*SITE_MOD)</f>
        <v>0</v>
      </c>
      <c r="I138" s="398" t="n">
        <f aca="false">SUMPRODUCT((SITE_ST="P9-013")*(SITE_TYPE=$B138)*SITE_KWP)</f>
        <v>0</v>
      </c>
      <c r="J138" s="35" t="str">
        <f aca="false">IF(SUMPRODUCT((SITE_ST="P9-013")*(SITE_TYPE=$B138)*(SITE_TYPE&lt;&gt;""))=0,"",SUMPRODUCT((SITE_ST="P9-013")*(SITE_TYPE=$B138)*SITE_S21*SITE_D21)/MAX(0.0001,SUMPRODUCT((SITE_ST="P9-013")*(SITE_TYPE=$B138)*SITE_S21)))</f>
        <v/>
      </c>
      <c r="K138" s="32" t="str">
        <f aca="false">IF(SUMPRODUCT((SITE_ST="P9-013")*(SITE_TYPE=$B138)*(SITE_TYPE&lt;&gt;""))=0,"",SUMPRODUCT((SITE_ST="P9-013")*(SITE_TYPE=$B138)*(SITE_TYPE&lt;&gt;"")*(SITE_T22="Y"))&amp;"/"&amp;SUMPRODUCT((SITE_ST="P9-013")*(SITE_TYPE=$B138)*(SITE_TYPE&lt;&gt;"")))</f>
        <v/>
      </c>
      <c r="L138" s="32" t="str">
        <f aca="false">IF(SUMPRODUCT((SITE_ST="P9-013")*(SITE_TYPE=$B138)*(SITE_TYPE&lt;&gt;""))=0,"",SUMPRODUCT((SITE_ST="P9-013")*(SITE_TYPE=$B138)*(SITE_TYPE&lt;&gt;"")*(SITE_T23="Y"))&amp;"/"&amp;SUMPRODUCT((SITE_ST="P9-013")*(SITE_TYPE=$B138)*(SITE_TYPE&lt;&gt;"")))</f>
        <v/>
      </c>
      <c r="O138" s="32" t="str">
        <f aca="false">IF(SUMPRODUCT((SITE_ST="P9-013")*(SITE_TYPE=$B138)*(LEFT(SITE_LAD,4)="ติด:"))=0,"",SUMPRODUCT((SITE_ST="P9-013")*(SITE_TYPE=$B138)*(LEFT(SITE_LAD,4)="ติด:"))&amp;"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SUMPRODUCT((SITE_ST="P9-013")*(SITE_TYPE=$B139)*(SITE_TYPE&lt;&gt;""))</f>
        <v>0</v>
      </c>
      <c r="E139" s="397" t="n">
        <f aca="false">SUMPRODUCT((SITE_ST="P9-013")*(SITE_TYPE=$B139)*SITE_MOD)</f>
        <v>0</v>
      </c>
      <c r="I139" s="398" t="n">
        <f aca="false">SUMPRODUCT((SITE_ST="P9-013")*(SITE_TYPE=$B139)*SITE_KWP)</f>
        <v>0</v>
      </c>
      <c r="J139" s="35" t="str">
        <f aca="false">IF(SUMPRODUCT((SITE_ST="P9-013")*(SITE_TYPE=$B139)*(SITE_TYPE&lt;&gt;""))=0,"",SUMPRODUCT((SITE_ST="P9-013")*(SITE_TYPE=$B139)*SITE_S21*SITE_D21)/MAX(0.0001,SUMPRODUCT((SITE_ST="P9-013")*(SITE_TYPE=$B139)*SITE_S21)))</f>
        <v/>
      </c>
      <c r="K139" s="32" t="str">
        <f aca="false">IF(SUMPRODUCT((SITE_ST="P9-013")*(SITE_TYPE=$B139)*(SITE_TYPE&lt;&gt;""))=0,"",SUMPRODUCT((SITE_ST="P9-013")*(SITE_TYPE=$B139)*(SITE_TYPE&lt;&gt;"")*(SITE_T22="Y"))&amp;"/"&amp;SUMPRODUCT((SITE_ST="P9-013")*(SITE_TYPE=$B139)*(SITE_TYPE&lt;&gt;"")))</f>
        <v/>
      </c>
      <c r="L139" s="32" t="str">
        <f aca="false">IF(SUMPRODUCT((SITE_ST="P9-013")*(SITE_TYPE=$B139)*(SITE_TYPE&lt;&gt;""))=0,"",SUMPRODUCT((SITE_ST="P9-013")*(SITE_TYPE=$B139)*(SITE_TYPE&lt;&gt;"")*(SITE_T23="Y"))&amp;"/"&amp;SUMPRODUCT((SITE_ST="P9-013")*(SITE_TYPE=$B139)*(SITE_TYPE&lt;&gt;"")))</f>
        <v/>
      </c>
      <c r="O139" s="32" t="str">
        <f aca="false">IF(SUMPRODUCT((SITE_ST="P9-013")*(SITE_TYPE=$B139)*(LEFT(SITE_LAD,4)="ติด:"))=0,"",SUMPRODUCT((SITE_ST="P9-013")*(SITE_TYPE=$B139)*(LEFT(SITE_LAD,4)="ติด:"))&amp;"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SUMPRODUCT((SITE_ST="P9-013")*(SITE_TYPE=$B140)*(SITE_TYPE&lt;&gt;""))</f>
        <v>1</v>
      </c>
      <c r="E140" s="397" t="n">
        <f aca="false">SUMPRODUCT((SITE_ST="P9-013")*(SITE_TYPE=$B140)*SITE_MOD)</f>
        <v>264</v>
      </c>
      <c r="I140" s="398" t="n">
        <f aca="false">SUMPRODUCT((SITE_ST="P9-013")*(SITE_TYPE=$B140)*SITE_KWP)</f>
        <v>150.48</v>
      </c>
      <c r="J140" s="35" t="n">
        <f aca="false">IF(SUMPRODUCT((SITE_ST="P9-013")*(SITE_TYPE=$B140)*(SITE_TYPE&lt;&gt;""))=0,"",SUMPRODUCT((SITE_ST="P9-013")*(SITE_TYPE=$B140)*SITE_S21*SITE_D21)/MAX(0.0001,SUMPRODUCT((SITE_ST="P9-013")*(SITE_TYPE=$B140)*SITE_S21)))</f>
        <v>0</v>
      </c>
      <c r="K140" s="32" t="str">
        <f aca="false">IF(SUMPRODUCT((SITE_ST="P9-013")*(SITE_TYPE=$B140)*(SITE_TYPE&lt;&gt;""))=0,"",SUMPRODUCT((SITE_ST="P9-013")*(SITE_TYPE=$B140)*(SITE_TYPE&lt;&gt;"")*(SITE_T22="Y"))&amp;"/"&amp;SUMPRODUCT((SITE_ST="P9-013")*(SITE_TYPE=$B140)*(SITE_TYPE&lt;&gt;"")))</f>
        <v>0/1</v>
      </c>
      <c r="L140" s="32" t="str">
        <f aca="false">IF(SUMPRODUCT((SITE_ST="P9-013")*(SITE_TYPE=$B140)*(SITE_TYPE&lt;&gt;""))=0,"",SUMPRODUCT((SITE_ST="P9-013")*(SITE_TYPE=$B140)*(SITE_TYPE&lt;&gt;"")*(SITE_T23="Y"))&amp;"/"&amp;SUMPRODUCT((SITE_ST="P9-013")*(SITE_TYPE=$B140)*(SITE_TYPE&lt;&gt;"")))</f>
        <v>0/1</v>
      </c>
      <c r="O140" s="32" t="str">
        <f aca="false">IF(SUMPRODUCT((SITE_ST="P9-013")*(SITE_TYPE=$B140)*(LEFT(SITE_LAD,4)="ติด:"))=0,"",SUMPRODUCT((SITE_ST="P9-013")*(SITE_TYPE=$B140)*(LEFT(SITE_LAD,4)="ติด:"))&amp;"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SUMPRODUCT((SITE_ST="P9-013")*(SITE_TYPE=$B141)*(SITE_TYPE&lt;&gt;""))</f>
        <v>0</v>
      </c>
      <c r="E141" s="397" t="n">
        <f aca="false">SUMPRODUCT((SITE_ST="P9-013")*(SITE_TYPE=$B141)*SITE_MOD)</f>
        <v>0</v>
      </c>
      <c r="I141" s="398" t="n">
        <f aca="false">SUMPRODUCT((SITE_ST="P9-013")*(SITE_TYPE=$B141)*SITE_KWP)</f>
        <v>0</v>
      </c>
      <c r="J141" s="35" t="str">
        <f aca="false">IF(SUMPRODUCT((SITE_ST="P9-013")*(SITE_TYPE=$B141)*(SITE_TYPE&lt;&gt;""))=0,"",SUMPRODUCT((SITE_ST="P9-013")*(SITE_TYPE=$B141)*SITE_S21*SITE_D21)/MAX(0.0001,SUMPRODUCT((SITE_ST="P9-013")*(SITE_TYPE=$B141)*SITE_S21)))</f>
        <v/>
      </c>
      <c r="K141" s="32" t="str">
        <f aca="false">IF(SUMPRODUCT((SITE_ST="P9-013")*(SITE_TYPE=$B141)*(SITE_TYPE&lt;&gt;""))=0,"",SUMPRODUCT((SITE_ST="P9-013")*(SITE_TYPE=$B141)*(SITE_TYPE&lt;&gt;"")*(SITE_T22="Y"))&amp;"/"&amp;SUMPRODUCT((SITE_ST="P9-013")*(SITE_TYPE=$B141)*(SITE_TYPE&lt;&gt;"")))</f>
        <v/>
      </c>
      <c r="L141" s="32" t="str">
        <f aca="false">IF(SUMPRODUCT((SITE_ST="P9-013")*(SITE_TYPE=$B141)*(SITE_TYPE&lt;&gt;""))=0,"",SUMPRODUCT((SITE_ST="P9-013")*(SITE_TYPE=$B141)*(SITE_TYPE&lt;&gt;"")*(SITE_T23="Y"))&amp;"/"&amp;SUMPRODUCT((SITE_ST="P9-013")*(SITE_TYPE=$B141)*(SITE_TYPE&lt;&gt;"")))</f>
        <v/>
      </c>
      <c r="O141" s="32" t="str">
        <f aca="false">IF(SUMPRODUCT((SITE_ST="P9-013")*(SITE_TYPE=$B141)*(LEFT(SITE_LAD,4)="ติด:"))=0,"",SUMPRODUCT((SITE_ST="P9-013")*(SITE_TYPE=$B141)*(LEFT(SITE_LAD,4)="ติด:"))&amp;"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SUMPRODUCT((SITE_ST="P9-013")*(SITE_TYPE&lt;&gt;""))</f>
        <v>1</v>
      </c>
      <c r="E142" s="403" t="n">
        <f aca="false">SUMPRODUCT((SITE_ST="P9-013")*SITE_MOD)</f>
        <v>264</v>
      </c>
      <c r="I142" s="404" t="n">
        <f aca="false">SUMPRODUCT((SITE_ST="P9-013")*SITE_KWP)</f>
        <v>150.48</v>
      </c>
      <c r="J142" s="405" t="n">
        <f aca="false">IF(SUMPRODUCT((SITE_ST="P9-013")*(SITE_TYPE&lt;&gt;""))=0,"",SUMPRODUCT((SITE_ST="P9-013")*SITE_S21*SITE_D21)/MAX(0.0001,SUMPRODUCT((SITE_ST="P9-013")*SITE_S21)))</f>
        <v>0</v>
      </c>
      <c r="K142" s="406" t="str">
        <f aca="false">IF(SUMPRODUCT((SITE_ST="P9-013")*(SITE_TYPE&lt;&gt;""))=0,"",SUMPRODUCT((SITE_ST="P9-013")*(SITE_TYPE&lt;&gt;"")*(SITE_T22="Y"))&amp;"/"&amp;SUMPRODUCT((SITE_ST="P9-013")*(SITE_TYPE&lt;&gt;"")))</f>
        <v>0/1</v>
      </c>
      <c r="L142" s="406" t="str">
        <f aca="false">IF(SUMPRODUCT((SITE_ST="P9-013")*(SITE_TYPE&lt;&gt;""))=0,"",SUMPRODUCT((SITE_ST="P9-013")*(SITE_TYPE&lt;&gt;"")*(SITE_T23="Y"))&amp;"/"&amp;SUMPRODUCT((SITE_ST="P9-013")*(SITE_TYPE&lt;&gt;"")))</f>
        <v>0/1</v>
      </c>
      <c r="O142" s="406" t="str">
        <f aca="false">IF(SUMPRODUCT((SITE_ST="P9-013")*(LEFT(SITE_LAD,4)="ติด:"))=0,"",SUMPRODUCT((SITE_ST="P9-013")*(LEFT(SITE_LAD,4)="ติด:"))&amp;"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IFERROR(INDEX(INVS_TYPE,MATCH("P9-013",INVS_ID,0))&amp;"","")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ทั้งก้อน",IFERROR(INDEX(INVS_SET,MATCH("P9-013",INVS_ID,0)),"")&amp;" kW, โรงเรือน "&amp;IFERROR(INDEX(INVS_SIZE,MATCH("P9-013",INVS_ID,0)),"")&amp;",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0" display="✎ กรอกความคืบหน้า"/>
    <hyperlink ref="R4" location="'Master Plan'!A20" display="← กลับ Master Plan"/>
    <hyperlink ref="M10" location="'อัปเดตงาน WBS'!L9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1"/>
    <hyperlink ref="M11" location="'อัปเดตงาน WBS'!L9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2"/>
    <hyperlink ref="M12" location="'อัปเดตงาน WBS'!L9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3"/>
    <hyperlink ref="M13" location="'อัปเดตงาน WBS'!L9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4"/>
    <hyperlink ref="M14" location="'อัปเดตงาน WBS'!L9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5"/>
    <hyperlink ref="M15" location="'อัปเดตงาน WBS'!L9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6"/>
    <hyperlink ref="M17" location="'อัปเดตงาน WBS'!L9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7"/>
    <hyperlink ref="M18" location="'อัปเดตงาน WBS'!L9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8"/>
    <hyperlink ref="M19" location="'อัปเดตงาน WBS'!L9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999"/>
    <hyperlink ref="M20" location="'อัปเดตงาน WBS'!L10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0"/>
    <hyperlink ref="M21" location="'อัปเดตงาน WBS'!L10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1"/>
    <hyperlink ref="M22" location="'อัปเดตงาน WBS'!L10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2"/>
    <hyperlink ref="M23" location="'อัปเดตงาน WBS'!L10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3"/>
    <hyperlink ref="M24" location="'อัปเดตงาน WBS'!L10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4"/>
    <hyperlink ref="M26" location="'อัปเดตงาน WBS'!L10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5"/>
    <hyperlink ref="M27" location="'อัปเดตงาน WBS'!L10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6"/>
    <hyperlink ref="M28" location="'อัปเดตงาน WBS'!L10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7"/>
    <hyperlink ref="M31" location="'อัปเดตงาน WBS'!L10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8"/>
    <hyperlink ref="M32" location="'อัปเดตงาน WBS'!L10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09"/>
    <hyperlink ref="M33" location="'อัปเดตงาน WBS'!L10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0"/>
    <hyperlink ref="M35" location="'อัปเดตงาน WBS'!L10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1"/>
    <hyperlink ref="M36" location="'อัปเดตงาน WBS'!L10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2"/>
    <hyperlink ref="M37" location="'อัปเดตงาน WBS'!L10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3"/>
    <hyperlink ref="M38" location="'อัปเดตงาน WBS'!L10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4"/>
    <hyperlink ref="M40" location="'อัปเดตงาน WBS'!L10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5"/>
    <hyperlink ref="M41" location="'อัปเดตงาน WBS'!L10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6"/>
    <hyperlink ref="M42" location="'อัปเดตงาน WBS'!L10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7"/>
    <hyperlink ref="M44" location="'อัปเดตงาน WBS'!L10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8"/>
    <hyperlink ref="M45" location="'อัปเดตงาน WBS'!L10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19"/>
    <hyperlink ref="M46" location="'อัปเดตงาน WBS'!L10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0"/>
    <hyperlink ref="M53" location="'อัปเดตงาน WBS'!L10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1"/>
    <hyperlink ref="M54" location="'อัปเดตงาน WBS'!L10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2"/>
    <hyperlink ref="M63" location="'อัปเดตงาน WBS'!L10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3"/>
    <hyperlink ref="M64" location="'อัปเดตงาน WBS'!L10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4"/>
    <hyperlink ref="M65" location="'อัปเดตงาน WBS'!L10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5"/>
    <hyperlink ref="M66" location="'อัปเดตงาน WBS'!L10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6"/>
    <hyperlink ref="M67" location="'อัปเดตงาน WBS'!L10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7"/>
    <hyperlink ref="M68" location="'อัปเดตงาน WBS'!L10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8"/>
    <hyperlink ref="M69" location="'อัปเดตงาน WBS'!L10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29"/>
    <hyperlink ref="M71" location="'อัปเดตงาน WBS'!L10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0"/>
    <hyperlink ref="M72" location="'อัปเดตงาน WBS'!L10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1"/>
    <hyperlink ref="M73" location="'อัปเดตงาน WBS'!L10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2"/>
    <hyperlink ref="M74" location="'อัปเดตงาน WBS'!L10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3"/>
    <hyperlink ref="M75" location="'อัปเดตงาน WBS'!L10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4"/>
    <hyperlink ref="M77" location="'อัปเดตงาน WBS'!L10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5"/>
    <hyperlink ref="M78" location="'อัปเดตงาน WBS'!L10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6"/>
    <hyperlink ref="M79" location="'อัปเดตงาน WBS'!L10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7"/>
    <hyperlink ref="M80" location="'อัปเดตงาน WBS'!L10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8"/>
    <hyperlink ref="M81" location="'อัปเดตงาน WBS'!L10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39"/>
    <hyperlink ref="M83" location="'อัปเดตงาน WBS'!L10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0"/>
    <hyperlink ref="M84" location="'อัปเดตงาน WBS'!L10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1"/>
    <hyperlink ref="M86" location="'อัปเดตงาน WBS'!L10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2"/>
    <hyperlink ref="M87" location="'อัปเดตงาน WBS'!L10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3"/>
    <hyperlink ref="M88" location="'อัปเดตงาน WBS'!L10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4"/>
    <hyperlink ref="M89" location="'อัปเดตงาน WBS'!L10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5"/>
    <hyperlink ref="M91" location="'อัปเดตงาน WBS'!L10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6"/>
    <hyperlink ref="M92" location="'อัปเดตงาน WBS'!L10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7"/>
    <hyperlink ref="M93" location="'อัปเดตงาน WBS'!L10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8"/>
    <hyperlink ref="M94" location="'อัปเดตงาน WBS'!L10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49"/>
    <hyperlink ref="M95" location="'อัปเดตงาน WBS'!L10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0"/>
    <hyperlink ref="M97" location="'อัปเดตงาน WBS'!L10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1"/>
    <hyperlink ref="M98" location="'อัปเดตงาน WBS'!L10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2"/>
    <hyperlink ref="M99" location="'อัปเดตงาน WBS'!L10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3"/>
    <hyperlink ref="M102" location="'อัปเดตงาน WBS'!L10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4"/>
    <hyperlink ref="M104" location="'อัปเดตงาน WBS'!L10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5"/>
    <hyperlink ref="M105" location="'อัปเดตงาน WBS'!L10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6"/>
    <hyperlink ref="M106" location="'อัปเดตงาน WBS'!L10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7"/>
    <hyperlink ref="M108" location="'อัปเดตงาน WBS'!L10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8"/>
    <hyperlink ref="M109" location="'อัปเดตงาน WBS'!L10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59"/>
    <hyperlink ref="M110" location="'อัปเดตงาน WBS'!L10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0"/>
    <hyperlink ref="M112" location="'อัปเดตงาน WBS'!L10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1"/>
    <hyperlink ref="M113" location="'อัปเดตงาน WBS'!L10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2"/>
    <hyperlink ref="M116" location="'อัปเดตงาน WBS'!L10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3"/>
    <hyperlink ref="M117" location="'อัปเดตงาน WBS'!L10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4"/>
    <hyperlink ref="M118" location="'อัปเดตงาน WBS'!L10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5"/>
    <hyperlink ref="M119" location="'อัปเดตงาน WBS'!L10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6"/>
    <hyperlink ref="M120" location="'อัปเดตงาน WBS'!L10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7"/>
    <hyperlink ref="M121" location="'อัปเดตงาน WBS'!L10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8"/>
    <hyperlink ref="M125" location="'อัปเดตงาน WBS'!L10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69"/>
    <hyperlink ref="M126" location="'อัปเดตงาน WBS'!L10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0"/>
    <hyperlink ref="M127" location="'อัปเดตงาน WBS'!L10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1"/>
    <hyperlink ref="D134" location="'จุดติดตั้ง'!A67" display="✎ เพิ่ม / แก้จุดติดตั้ง →"/>
    <hyperlink ref="D146" location="'Inverter station'!A18" display="file:///home/claude/dash/template/%E0%B9%81%E0%B8%A1%E0%B9%88%E0%B9%81%E0%B8%9A%E0%B8%9A%E0%B9%82%E0%B8%84%E0%B8%A3%E0%B8%87%E0%B8%81%E0%B8%B2%E0%B8%A3%20TCRoof%20(%E0%B8%97%E0%B8%B8%E0%B8%81%E0%B8%81%E0%B8%A3%E0%B8%93%E0%B8%B5).xlsx#'Inverter station'!A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6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3720</v>
      </c>
    </row>
    <row r="2" customFormat="false" ht="15" hidden="false" customHeight="false" outlineLevel="0" collapsed="false">
      <c r="A2" s="354" t="s">
        <v>3721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Plan'!$AI$21</f>
        <v>-36</v>
      </c>
      <c r="M4" s="360"/>
      <c r="N4" s="360" t="n">
        <f aca="false">'Master Plan'!$AJ$21</f>
        <v>-3</v>
      </c>
      <c r="O4" s="360"/>
      <c r="P4" s="361" t="str">
        <f aca="false">'Master Plan'!$AK$21&amp;" / "&amp;'Master Plan'!$AL$21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COUNTIFS(CR_ST,"P9-014",CR_STAT,"อนุมัติ")&amp;" รายการ, "&amp;'Master Plan'!$AO$21&amp;" วัน"</f>
        <v>0 รายการ, 0 วัน</v>
      </c>
      <c r="AG4" s="362"/>
      <c r="AH4" s="362"/>
      <c r="AI4" s="362"/>
      <c r="AJ4" s="362"/>
      <c r="AK4" s="363" t="n">
        <f aca="false">COUNTIFS(CR_ST,"P9-014",CR_STAT,"รออนุมัติ")+COUNTIFS(CR_ST,"P9-014",CR_STAT,"ขอข้อมูลเพิ่ม")</f>
        <v>0</v>
      </c>
      <c r="AL4" s="363"/>
      <c r="AM4" s="363"/>
      <c r="AN4" s="363"/>
      <c r="AO4" s="363"/>
      <c r="AP4" s="362" t="str">
        <f aca="false">COUNTIF(RW_ST,"P9-014")&amp;" ("&amp;COUNTIFS(RW_ST,"P9-014",RW_DONE,"&lt;&gt;Y")&amp;")"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COUNTIF(LL_ST,"*P9-014*")</f>
        <v>0</v>
      </c>
      <c r="BA4" s="363"/>
      <c r="BB4" s="363"/>
      <c r="BC4" s="363"/>
      <c r="BD4" s="363"/>
      <c r="BE4" s="362" t="str">
        <f aca="false">IF(COUNTIFS(SITE_ST,"P9-014",SITE_TYPE,"?*")=0,"ประมาณการ,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IF(COUNTIFS(SITE_ST,"P9-014",SITE_TYPE,"?*")=0,"ยังไม่ระบุจุด",COUNTIFS(SITE_ST,"P9-014",SITE_LAD,"ติด:*")&amp;" จุด"&amp;IF(COUNTIFS(SITE_ST,"P9-014",SITE_LAD,"⚠*")&gt;0,",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3722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97</v>
      </c>
      <c r="E9" s="372" t="n">
        <v>0</v>
      </c>
      <c r="F9" s="31"/>
      <c r="G9" s="32"/>
      <c r="H9" s="32" t="n">
        <v>1</v>
      </c>
      <c r="I9" s="373" t="n">
        <f aca="false">'Master Plan'!$H$21+(-75)</f>
        <v>46328</v>
      </c>
      <c r="J9" s="373" t="n">
        <f aca="false">'Master Plan'!$H$21+(50)</f>
        <v>46453</v>
      </c>
      <c r="K9" s="78"/>
      <c r="L9" s="78" t="str">
        <f aca="false">IF(ISNUMBER(อัปเดตรายสัปดาห์!$G$21),อัปเดตรายสัปดาห์!$G$21,"")</f>
        <v/>
      </c>
      <c r="M9" s="374" t="str">
        <f aca="false">IF(อัปเดตรายสัปดาห์!$G$21="Y","Y","")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Plan'!$H$21+(-75)</f>
        <v>46328</v>
      </c>
      <c r="J10" s="382" t="n">
        <f aca="false">'Master Plan'!$H$21+(-63)</f>
        <v>46340</v>
      </c>
      <c r="K10" s="387"/>
      <c r="L10" s="387"/>
      <c r="M10" s="383" t="str">
        <f aca="false">IF('อัปเดตงาน WBS'!$L$1072="","",'อัปเดตงาน WBS'!$L$1072)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Plan'!$H$21+(-75)</f>
        <v>46328</v>
      </c>
      <c r="J11" s="382" t="n">
        <f aca="false">'Master Plan'!$H$21+(-63)</f>
        <v>46340</v>
      </c>
      <c r="K11" s="387"/>
      <c r="L11" s="387"/>
      <c r="M11" s="383" t="str">
        <f aca="false">IF('อัปเดตงาน WBS'!$L$1073="","",'อัปเดตงาน WBS'!$L$1073)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Plan'!$H$21+(-75)</f>
        <v>46328</v>
      </c>
      <c r="J12" s="382" t="n">
        <f aca="false">'Master Plan'!$H$21+(-63)</f>
        <v>46340</v>
      </c>
      <c r="K12" s="387"/>
      <c r="L12" s="387"/>
      <c r="M12" s="383" t="str">
        <f aca="false">IF('อัปเดตงาน WBS'!$L$1074="","",'อัปเดตงาน WBS'!$L$1074)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Plan'!$H$21+(-75)</f>
        <v>46328</v>
      </c>
      <c r="J13" s="382" t="n">
        <f aca="false">'Master Plan'!$H$21+(-56)</f>
        <v>46347</v>
      </c>
      <c r="K13" s="387"/>
      <c r="L13" s="387"/>
      <c r="M13" s="383" t="str">
        <f aca="false">IF('อัปเดตงาน WBS'!$L$1075="","",'อัปเดตงาน WBS'!$L$1075)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Plan'!$H$21+(-63)</f>
        <v>46340</v>
      </c>
      <c r="J14" s="382" t="n">
        <f aca="false">'Master Plan'!$H$21+(50)</f>
        <v>46453</v>
      </c>
      <c r="K14" s="387"/>
      <c r="L14" s="387"/>
      <c r="M14" s="383" t="str">
        <f aca="false">IF('อัปเดตงาน WBS'!$L$1076="","",'อัปเดตงาน WBS'!$L$1076)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Plan'!$H$21+(-63)</f>
        <v>46340</v>
      </c>
      <c r="J15" s="382" t="n">
        <f aca="false">'Master Plan'!$H$21+(50)</f>
        <v>46453</v>
      </c>
      <c r="K15" s="387"/>
      <c r="L15" s="387"/>
      <c r="M15" s="383" t="str">
        <f aca="false">IF('อัปเดตงาน WBS'!$L$1077="","",'อัปเดตงาน WBS'!$L$1077)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Plan'!$H$21+(-56)</f>
        <v>46347</v>
      </c>
      <c r="J16" s="373" t="n">
        <f aca="false">'Master Plan'!$H$21+(-45)</f>
        <v>46358</v>
      </c>
      <c r="K16" s="78"/>
      <c r="L16" s="78" t="str">
        <f aca="false">IF(ISNUMBER(อัปเดตรายสัปดาห์!$H$21),อัปเดตรายสัปดาห์!$H$21,"")</f>
        <v/>
      </c>
      <c r="M16" s="374" t="str">
        <f aca="false">IF(อัปเดตรายสัปดาห์!$H$21="Y","Y","")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Plan'!$H$21+(-56)</f>
        <v>46347</v>
      </c>
      <c r="J17" s="382" t="n">
        <f aca="false">'Master Plan'!$H$21+(-54)</f>
        <v>46349</v>
      </c>
      <c r="K17" s="387"/>
      <c r="L17" s="387"/>
      <c r="M17" s="383" t="str">
        <f aca="false">IF('อัปเดตงาน WBS'!$L$1078="","",'อัปเดตงาน WBS'!$L$1078)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Plan'!$H$21+(-55)</f>
        <v>46348</v>
      </c>
      <c r="J18" s="382" t="n">
        <f aca="false">'Master Plan'!$H$21+(-52)</f>
        <v>46351</v>
      </c>
      <c r="K18" s="387"/>
      <c r="L18" s="387"/>
      <c r="M18" s="383" t="str">
        <f aca="false">IF('อัปเดตงาน WBS'!$L$1079="","",'อัปเดตงาน WBS'!$L$1079)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Plan'!$H$21+(-53)</f>
        <v>46350</v>
      </c>
      <c r="J19" s="382" t="n">
        <f aca="false">'Master Plan'!$H$21+(-48)</f>
        <v>46355</v>
      </c>
      <c r="K19" s="387"/>
      <c r="L19" s="387"/>
      <c r="M19" s="383" t="str">
        <f aca="false">IF('อัปเดตงาน WBS'!$L$1080="","",'อัปเดตงาน WBS'!$L$1080)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Plan'!$H$21+(-53)</f>
        <v>46350</v>
      </c>
      <c r="J20" s="382" t="n">
        <f aca="false">'Master Plan'!$H$21+(-48)</f>
        <v>46355</v>
      </c>
      <c r="K20" s="387"/>
      <c r="L20" s="387"/>
      <c r="M20" s="383" t="str">
        <f aca="false">IF('อัปเดตงาน WBS'!$L$1081="","",'อัปเดตงาน WBS'!$L$1081)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Plan'!$H$21+(-52)</f>
        <v>46351</v>
      </c>
      <c r="J21" s="382" t="n">
        <f aca="false">'Master Plan'!$H$21+(-47)</f>
        <v>46356</v>
      </c>
      <c r="K21" s="387"/>
      <c r="L21" s="387"/>
      <c r="M21" s="383" t="str">
        <f aca="false">IF('อัปเดตงาน WBS'!$L$1082="","",'อัปเดตงาน WBS'!$L$1082)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Plan'!$H$21+(-50)</f>
        <v>46353</v>
      </c>
      <c r="J22" s="382" t="n">
        <f aca="false">'Master Plan'!$H$21+(-46)</f>
        <v>46357</v>
      </c>
      <c r="K22" s="387"/>
      <c r="L22" s="387"/>
      <c r="M22" s="383" t="str">
        <f aca="false">IF('อัปเดตงาน WBS'!$L$1083="","",'อัปเดตงาน WBS'!$L$1083)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Plan'!$H$21+(-50)</f>
        <v>46353</v>
      </c>
      <c r="J23" s="382" t="n">
        <f aca="false">'Master Plan'!$H$21+(-45)</f>
        <v>46358</v>
      </c>
      <c r="K23" s="387"/>
      <c r="L23" s="387"/>
      <c r="M23" s="383" t="str">
        <f aca="false">IF('อัปเดตงาน WBS'!$L$1084="","",'อัปเดตงาน WBS'!$L$1084)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Plan'!$H$21+(-49)</f>
        <v>46354</v>
      </c>
      <c r="J24" s="382" t="n">
        <f aca="false">'Master Plan'!$H$21+(-45)</f>
        <v>46358</v>
      </c>
      <c r="K24" s="387"/>
      <c r="L24" s="387"/>
      <c r="M24" s="383" t="str">
        <f aca="false">IF('อัปเดตงาน WBS'!$L$1085="","",'อัปเดตงาน WBS'!$L$1085)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Plan'!$H$21+(-51)</f>
        <v>46352</v>
      </c>
      <c r="J25" s="373" t="n">
        <f aca="false">'Master Plan'!$H$21+(-51)</f>
        <v>46352</v>
      </c>
      <c r="K25" s="78"/>
      <c r="L25" s="78" t="str">
        <f aca="false">IF(ISNUMBER(อัปเดตรายสัปดาห์!$I$21),อัปเดตรายสัปดาห์!$I$21,"")</f>
        <v/>
      </c>
      <c r="M25" s="374" t="str">
        <f aca="false">IF(อัปเดตรายสัปดาห์!$I$21="Y","Y","")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Plan'!$H$21+(-51)</f>
        <v>46352</v>
      </c>
      <c r="J26" s="382" t="n">
        <f aca="false">'Master Plan'!$H$21+(-51)</f>
        <v>46352</v>
      </c>
      <c r="K26" s="387"/>
      <c r="L26" s="387"/>
      <c r="M26" s="383" t="str">
        <f aca="false">IF('อัปเดตงาน WBS'!$L$1086="","",'อัปเดตงาน WBS'!$L$1086)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Plan'!$H$21+(-51)</f>
        <v>46352</v>
      </c>
      <c r="J27" s="382" t="n">
        <f aca="false">'Master Plan'!$H$21+(-51)</f>
        <v>46352</v>
      </c>
      <c r="K27" s="387"/>
      <c r="L27" s="387"/>
      <c r="M27" s="383" t="str">
        <f aca="false">IF('อัปเดตงาน WBS'!$L$1087="","",'อัปเดตงาน WBS'!$L$1087)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Plan'!$H$21+(-51)</f>
        <v>46352</v>
      </c>
      <c r="J28" s="382" t="n">
        <f aca="false">'Master Plan'!$H$21+(-51)</f>
        <v>46352</v>
      </c>
      <c r="K28" s="387"/>
      <c r="L28" s="387"/>
      <c r="M28" s="383" t="str">
        <f aca="false">IF('อัปเดตงาน WBS'!$L$1088="","",'อัปเดตงาน WBS'!$L$1088)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97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Plan'!$H$21+(-75)</f>
        <v>46328</v>
      </c>
      <c r="J30" s="373" t="n">
        <f aca="false">'Master Plan'!$H$21+(-75)</f>
        <v>46328</v>
      </c>
      <c r="K30" s="78"/>
      <c r="L30" s="78" t="str">
        <f aca="false">IF(ISNUMBER(อัปเดตรายสัปดาห์!$J$21),อัปเดตรายสัปดาห์!$J$21,"")</f>
        <v/>
      </c>
      <c r="M30" s="374" t="str">
        <f aca="false">IF(อัปเดตรายสัปดาห์!$J$21="Y","Y","")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Plan'!$H$21+(-75)</f>
        <v>46328</v>
      </c>
      <c r="J31" s="382" t="n">
        <f aca="false">'Master Plan'!$H$21+(-75)</f>
        <v>46328</v>
      </c>
      <c r="K31" s="387"/>
      <c r="L31" s="387"/>
      <c r="M31" s="383" t="str">
        <f aca="false">IF('อัปเดตงาน WBS'!$L$1089="","",'อัปเดตงาน WBS'!$L$1089)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Plan'!$H$21+(-75)</f>
        <v>46328</v>
      </c>
      <c r="J32" s="382" t="n">
        <f aca="false">'Master Plan'!$H$21+(-75)</f>
        <v>46328</v>
      </c>
      <c r="K32" s="387"/>
      <c r="L32" s="387"/>
      <c r="M32" s="383" t="str">
        <f aca="false">IF('อัปเดตงาน WBS'!$L$1090="","",'อัปเดตงาน WBS'!$L$1090)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Plan'!$H$21+(-75)</f>
        <v>46328</v>
      </c>
      <c r="J33" s="382" t="n">
        <f aca="false">'Master Plan'!$H$21+(-75)</f>
        <v>46328</v>
      </c>
      <c r="K33" s="387"/>
      <c r="L33" s="387"/>
      <c r="M33" s="383" t="str">
        <f aca="false">IF('อัปเดตงาน WBS'!$L$1091="","",'อัปเดตงาน WBS'!$L$1091)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97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Plan'!$H$21+(-68)</f>
        <v>46335</v>
      </c>
      <c r="J34" s="373" t="n">
        <f aca="false">'Master Plan'!$H$21+(-59)</f>
        <v>46344</v>
      </c>
      <c r="K34" s="78"/>
      <c r="L34" s="78" t="str">
        <f aca="false">IF(ISNUMBER(อัปเดตรายสัปดาห์!$K$21),อัปเดตรายสัปดาห์!$K$21,"")</f>
        <v/>
      </c>
      <c r="M34" s="374" t="str">
        <f aca="false">IF(อัปเดตรายสัปดาห์!$K$21="Y","Y","")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Plan'!$H$21+(-68)</f>
        <v>46335</v>
      </c>
      <c r="J35" s="382" t="n">
        <f aca="false">'Master Plan'!$H$21+(-64)</f>
        <v>46339</v>
      </c>
      <c r="K35" s="387"/>
      <c r="L35" s="387"/>
      <c r="M35" s="383" t="str">
        <f aca="false">IF('อัปเดตงาน WBS'!$L$1092="","",'อัปเดตงาน WBS'!$L$1092)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Plan'!$H$21+(-68)</f>
        <v>46335</v>
      </c>
      <c r="J36" s="382" t="n">
        <f aca="false">'Master Plan'!$H$21+(-63)</f>
        <v>46340</v>
      </c>
      <c r="K36" s="387"/>
      <c r="L36" s="387"/>
      <c r="M36" s="383" t="str">
        <f aca="false">IF('อัปเดตงาน WBS'!$L$1093="","",'อัปเดตงาน WBS'!$L$1093)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Plan'!$H$21+(-65)</f>
        <v>46338</v>
      </c>
      <c r="J37" s="382" t="n">
        <f aca="false">'Master Plan'!$H$21+(-62)</f>
        <v>46341</v>
      </c>
      <c r="K37" s="387"/>
      <c r="L37" s="387"/>
      <c r="M37" s="383" t="str">
        <f aca="false">IF('อัปเดตงาน WBS'!$L$1094="","",'อัปเดตงาน WBS'!$L$1094)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Plan'!$H$21+(-63)</f>
        <v>46340</v>
      </c>
      <c r="J38" s="382" t="n">
        <f aca="false">'Master Plan'!$H$21+(-59)</f>
        <v>46344</v>
      </c>
      <c r="K38" s="387"/>
      <c r="L38" s="387"/>
      <c r="M38" s="383" t="str">
        <f aca="false">IF('อัปเดตงาน WBS'!$L$1095="","",'อัปเดตงาน WBS'!$L$1095)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97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Plan'!$H$21+(-45)</f>
        <v>46358</v>
      </c>
      <c r="J39" s="373" t="n">
        <f aca="false">'Master Plan'!$H$21+(-45)</f>
        <v>46358</v>
      </c>
      <c r="K39" s="78"/>
      <c r="L39" s="78" t="str">
        <f aca="false">IF(ISNUMBER(อัปเดตรายสัปดาห์!$L$21),อัปเดตรายสัปดาห์!$L$21,"")</f>
        <v/>
      </c>
      <c r="M39" s="374" t="str">
        <f aca="false">IF(อัปเดตรายสัปดาห์!$L$21="Y","Y","")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Plan'!$H$21+(-45)</f>
        <v>46358</v>
      </c>
      <c r="J40" s="382" t="n">
        <f aca="false">'Master Plan'!$H$21+(-45)</f>
        <v>46358</v>
      </c>
      <c r="K40" s="387"/>
      <c r="L40" s="387"/>
      <c r="M40" s="383" t="str">
        <f aca="false">IF('อัปเดตงาน WBS'!$L$1096="","",'อัปเดตงาน WBS'!$L$1096)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Plan'!$H$21+(-45)</f>
        <v>46358</v>
      </c>
      <c r="J41" s="382" t="n">
        <f aca="false">'Master Plan'!$H$21+(-45)</f>
        <v>46358</v>
      </c>
      <c r="K41" s="387"/>
      <c r="L41" s="387"/>
      <c r="M41" s="383" t="str">
        <f aca="false">IF('อัปเดตงาน WBS'!$L$1097="","",'อัปเดตงาน WBS'!$L$1097)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Plan'!$H$21+(-45)</f>
        <v>46358</v>
      </c>
      <c r="J42" s="382" t="n">
        <f aca="false">'Master Plan'!$H$21+(-45)</f>
        <v>46358</v>
      </c>
      <c r="K42" s="387"/>
      <c r="L42" s="387"/>
      <c r="M42" s="383" t="str">
        <f aca="false">IF('อัปเดตงาน WBS'!$L$1098="","",'อัปเดตงาน WBS'!$L$1098)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Plan'!$H$21+(-68)</f>
        <v>46335</v>
      </c>
      <c r="J43" s="373" t="n">
        <f aca="false">'Master Plan'!$H$21+(-55)</f>
        <v>46348</v>
      </c>
      <c r="K43" s="78"/>
      <c r="L43" s="78" t="str">
        <f aca="false">IF(ISNUMBER(อัปเดตรายสัปดาห์!$M$21),อัปเดตรายสัปดาห์!$M$21,"")</f>
        <v/>
      </c>
      <c r="M43" s="374" t="str">
        <f aca="false">IF(อัปเดตรายสัปดาห์!$M$21="Y","Y","")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Plan'!$H$21+(-68)</f>
        <v>46335</v>
      </c>
      <c r="J44" s="382" t="n">
        <f aca="false">'Master Plan'!$H$21+(-65)</f>
        <v>46338</v>
      </c>
      <c r="K44" s="387"/>
      <c r="L44" s="387"/>
      <c r="M44" s="383" t="str">
        <f aca="false">IF('อัปเดตงาน WBS'!$L$1099="","",'อัปเดตงาน WBS'!$L$1099)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Plan'!$H$21+(-67)</f>
        <v>46336</v>
      </c>
      <c r="J45" s="382" t="n">
        <f aca="false">'Master Plan'!$H$21+(-62)</f>
        <v>46341</v>
      </c>
      <c r="K45" s="387"/>
      <c r="L45" s="387"/>
      <c r="M45" s="383" t="str">
        <f aca="false">IF('อัปเดตงาน WBS'!$L$1100="","",'อัปเดตงาน WBS'!$L$1100)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Plan'!$H$21+(-62)</f>
        <v>46341</v>
      </c>
      <c r="J46" s="382" t="n">
        <f aca="false">'Master Plan'!$H$21+(-55)</f>
        <v>46348</v>
      </c>
      <c r="K46" s="387"/>
      <c r="L46" s="387"/>
      <c r="M46" s="383" t="str">
        <f aca="false">IF('อัปเดตงาน WBS'!$L$1101="","",'อัปเดตงาน WBS'!$L$1101)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Plan'!$H$21+(-12)</f>
        <v>46391</v>
      </c>
      <c r="J47" s="373" t="n">
        <f aca="false">'Master Plan'!$H$21+(-12)</f>
        <v>46391</v>
      </c>
      <c r="K47" s="78"/>
      <c r="L47" s="78" t="str">
        <f aca="false">IF(ISNUMBER(อัปเดตรายสัปดาห์!$N$21),อัปเดตรายสัปดาห์!$N$21,"")</f>
        <v/>
      </c>
      <c r="M47" s="374" t="str">
        <f aca="false">IF(อัปเดตรายสัปดาห์!$N$21="Y","Y","")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Plan'!$AG$21)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Plan'!$H$21+(-12)</f>
        <v>46391</v>
      </c>
      <c r="J48" s="382" t="n">
        <f aca="false">'Master Plan'!$H$21+(-12)</f>
        <v>46391</v>
      </c>
      <c r="K48" s="387"/>
      <c r="L48" s="387"/>
      <c r="M48" s="383" t="str">
        <f aca="false">IF('อัปเดตงาน WBS'!$L$1102="","",'อัปเดตงาน WBS'!$L$1102)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Plan'!$H$21+(-12)</f>
        <v>46391</v>
      </c>
      <c r="J49" s="382" t="n">
        <f aca="false">'Master Plan'!$H$21+(-12)</f>
        <v>46391</v>
      </c>
      <c r="K49" s="387"/>
      <c r="L49" s="387"/>
      <c r="M49" s="383" t="str">
        <f aca="false">IF('อัปเดตงาน WBS'!$L$1103="","",'อัปเดตงาน WBS'!$L$1103)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Plan'!$H$21+(-11)</f>
        <v>46392</v>
      </c>
      <c r="J50" s="373" t="n">
        <f aca="false">'Master Plan'!$H$21+(18)</f>
        <v>46421</v>
      </c>
      <c r="K50" s="78"/>
      <c r="L50" s="78" t="str">
        <f aca="false">IF(ISNUMBER(อัปเดตรายสัปดาห์!$O$21),อัปเดตรายสัปดาห์!$O$21,"")</f>
        <v/>
      </c>
      <c r="M50" s="374" t="str">
        <f aca="false">IF(อัปเดตรายสัปดาห์!$O$21="Y","Y","")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Plan'!$H$21+(-12)</f>
        <v>46391</v>
      </c>
      <c r="J51" s="382" t="n">
        <f aca="false">'Master Plan'!$H$21+(-12)</f>
        <v>46391</v>
      </c>
      <c r="K51" s="387"/>
      <c r="L51" s="387"/>
      <c r="M51" s="383" t="str">
        <f aca="false">IF('อัปเดตงาน WBS'!$L$1104="","",'อัปเดตงาน WBS'!$L$1104)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IF(ISNUMBER(อัปเดตรายสัปดาห์!$P$21),อัปเดตรายสัปดาห์!$P$21,"")</f>
        <v/>
      </c>
      <c r="M52" s="374" t="str">
        <f aca="false">IF(อัปเดตรายสัปดาห์!$P$21="Y","Y","")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WBS'!$L$1105="","",'อัปเดตงาน WBS'!$L$1105)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WBS'!$L$1106="","",'อัปเดตงาน WBS'!$L$1106)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Plan'!$H$21+(-12)</f>
        <v>46391</v>
      </c>
      <c r="J55" s="373" t="n">
        <f aca="false">'Master Plan'!$H$21+(-12)</f>
        <v>46391</v>
      </c>
      <c r="K55" s="78"/>
      <c r="L55" s="78" t="str">
        <f aca="false">IF(ISNUMBER(อัปเดตรายสัปดาห์!$Q$21),อัปเดตรายสัปดาห์!$Q$21,"")</f>
        <v/>
      </c>
      <c r="M55" s="374" t="str">
        <f aca="false">IF(อัปเดตรายสัปดาห์!$Q$21="Y","Y","")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Plan'!$AC$21)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IF(ISNUMBER(อัปเดตรายสัปดาห์!$R$21),อัปเดตรายสัปดาห์!$R$21,"")</f>
        <v/>
      </c>
      <c r="M56" s="374" t="str">
        <f aca="false">IF(อัปเดตรายสัปดาห์!$R$21="Y","Y","")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Plan'!$H$21+(-11)</f>
        <v>46392</v>
      </c>
      <c r="J57" s="373" t="n">
        <f aca="false">'Master Plan'!$H$21+(9)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IF(ISNUMBER(อัปเดตรายสัปดาห์!$S$21),อัปเดตรายสัปดาห์!$S$21,"")</f>
        <v/>
      </c>
      <c r="M57" s="374" t="str">
        <f aca="false">IF(อัปเดตรายสัปดาห์!$S$21="Y","Y","")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Plan'!$AD$21)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Plan'!$H$21+(10)</f>
        <v>46413</v>
      </c>
      <c r="J58" s="373" t="n">
        <f aca="false">'Master Plan'!$H$21+(16)</f>
        <v>46419</v>
      </c>
      <c r="K58" s="78"/>
      <c r="L58" s="78" t="str">
        <f aca="false">IF(ISNUMBER(อัปเดตรายสัปดาห์!$T$21),อัปเดตรายสัปดาห์!$T$21,"")</f>
        <v/>
      </c>
      <c r="M58" s="374" t="str">
        <f aca="false">IF(อัปเดตรายสัปดาห์!$T$21="Y","Y","")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Plan'!$AE$21)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Plan'!$H$21+(17)</f>
        <v>46420</v>
      </c>
      <c r="J59" s="373" t="n">
        <f aca="false">'Master Plan'!$H$21+(17)</f>
        <v>46420</v>
      </c>
      <c r="K59" s="78"/>
      <c r="L59" s="78" t="str">
        <f aca="false">IF(ISNUMBER(อัปเดตรายสัปดาห์!$U$21),อัปเดตรายสัปดาห์!$U$21,"")</f>
        <v/>
      </c>
      <c r="M59" s="374" t="str">
        <f aca="false">IF(อัปเดตรายสัปดาห์!$U$21="Y","Y","")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Plan'!$AF$21)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97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Plan'!$H$21+(18)</f>
        <v>46421</v>
      </c>
      <c r="J60" s="373" t="n">
        <f aca="false">'Master Plan'!$H$21+(33)</f>
        <v>46436</v>
      </c>
      <c r="K60" s="78"/>
      <c r="L60" s="78" t="str">
        <f aca="false">IF(ISNUMBER(อัปเดตรายสัปดาห์!$V$21),อัปเดตรายสัปดาห์!$V$21,"")</f>
        <v/>
      </c>
      <c r="M60" s="374" t="str">
        <f aca="false">IF(อัปเดตรายสัปดาห์!$V$21="Y","Y","")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Plan'!$AH$21)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3723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Plan'!$H$21+(-42)</f>
        <v>46361</v>
      </c>
      <c r="J62" s="373" t="n">
        <f aca="false">'Master Plan'!$H$21+(-25)</f>
        <v>46378</v>
      </c>
      <c r="K62" s="78"/>
      <c r="L62" s="78" t="str">
        <f aca="false">IF(ISNUMBER(อัปเดตรายสัปดาห์!$W$21),อัปเดตรายสัปดาห์!$W$21,"")</f>
        <v/>
      </c>
      <c r="M62" s="374" t="str">
        <f aca="false">IF(อัปเดตรายสัปดาห์!$W$21="Y","Y","")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-014",SITE_TYPE,"?*")&gt;0,MIN(1,SUMPRODUCT((SITE_ST="P9-014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Plan'!$H$21+(-42)</f>
        <v>46361</v>
      </c>
      <c r="J63" s="382" t="n">
        <f aca="false">'Master Plan'!$H$21+(-40)</f>
        <v>46363</v>
      </c>
      <c r="K63" s="387"/>
      <c r="L63" s="387"/>
      <c r="M63" s="383" t="str">
        <f aca="false">IF('อัปเดตงาน WBS'!$L$1107="","",'อัปเดตงาน WBS'!$L$1107)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Plan'!$H$21+(-42)</f>
        <v>46361</v>
      </c>
      <c r="J64" s="382" t="n">
        <f aca="false">'Master Plan'!$H$21+(-39)</f>
        <v>46364</v>
      </c>
      <c r="K64" s="387"/>
      <c r="L64" s="387"/>
      <c r="M64" s="383" t="str">
        <f aca="false">IF('อัปเดตงาน WBS'!$L$1108="","",'อัปเดตงาน WBS'!$L$1108)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Plan'!$H$21+(-40)</f>
        <v>46363</v>
      </c>
      <c r="J65" s="382" t="n">
        <f aca="false">'Master Plan'!$H$21+(-34)</f>
        <v>46369</v>
      </c>
      <c r="K65" s="387"/>
      <c r="L65" s="387"/>
      <c r="M65" s="383" t="str">
        <f aca="false">IF('อัปเดตงาน WBS'!$L$1109="","",'อัปเดตงาน WBS'!$L$1109)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Plan'!$H$21+(-35)</f>
        <v>46368</v>
      </c>
      <c r="J66" s="382" t="n">
        <f aca="false">'Master Plan'!$H$21+(-28)</f>
        <v>46375</v>
      </c>
      <c r="K66" s="387"/>
      <c r="L66" s="387"/>
      <c r="M66" s="383" t="str">
        <f aca="false">IF('อัปเดตงาน WBS'!$L$1110="","",'อัปเดตงาน WBS'!$L$1110)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Plan'!$H$21+(-32)</f>
        <v>46371</v>
      </c>
      <c r="J67" s="382" t="n">
        <f aca="false">'Master Plan'!$H$21+(-26)</f>
        <v>46377</v>
      </c>
      <c r="K67" s="387"/>
      <c r="L67" s="387"/>
      <c r="M67" s="383" t="str">
        <f aca="false">IF('อัปเดตงาน WBS'!$L$1111="","",'อัปเดตงาน WBS'!$L$1111)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Plan'!$H$21+(-28)</f>
        <v>46375</v>
      </c>
      <c r="J68" s="382" t="n">
        <f aca="false">'Master Plan'!$H$21+(-25)</f>
        <v>46378</v>
      </c>
      <c r="K68" s="387"/>
      <c r="L68" s="387"/>
      <c r="M68" s="383" t="str">
        <f aca="false">IF('อัปเดตงาน WBS'!$L$1112="","",'อัปเดตงาน WBS'!$L$1112)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Plan'!$H$21+(-26)</f>
        <v>46377</v>
      </c>
      <c r="J69" s="382" t="n">
        <f aca="false">'Master Plan'!$H$21+(-25)</f>
        <v>46378</v>
      </c>
      <c r="K69" s="387"/>
      <c r="L69" s="387"/>
      <c r="M69" s="383" t="str">
        <f aca="false">IF('อัปเดตงาน WBS'!$L$1113="","",'อัปเดตงาน WBS'!$L$1113)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3723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Plan'!$H$21+(-24)</f>
        <v>46379</v>
      </c>
      <c r="J70" s="373" t="n">
        <f aca="false">'Master Plan'!$H$21+(-15)</f>
        <v>46388</v>
      </c>
      <c r="K70" s="78"/>
      <c r="L70" s="78" t="str">
        <f aca="false">IF(ISNUMBER(อัปเดตรายสัปดาห์!$X$21),อัปเดตรายสัปดาห์!$X$21,"")</f>
        <v/>
      </c>
      <c r="M70" s="374" t="str">
        <f aca="false">IF(อัปเดตรายสัปดาห์!$X$21="Y","Y","")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-014",SITE_TYPE,"?*")&gt;0,MIN(1,SUMPRODUCT((SITE_ST="P9-014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Plan'!$H$21+(-24)</f>
        <v>46379</v>
      </c>
      <c r="J71" s="382" t="n">
        <f aca="false">'Master Plan'!$H$21+(-20)</f>
        <v>46383</v>
      </c>
      <c r="K71" s="387"/>
      <c r="L71" s="387"/>
      <c r="M71" s="383" t="str">
        <f aca="false">IF('อัปเดตงาน WBS'!$L$1114="","",'อัปเดตงาน WBS'!$L$1114)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Plan'!$H$21+(-22)</f>
        <v>46381</v>
      </c>
      <c r="J72" s="382" t="n">
        <f aca="false">'Master Plan'!$H$21+(-17)</f>
        <v>46386</v>
      </c>
      <c r="K72" s="387"/>
      <c r="L72" s="387"/>
      <c r="M72" s="383" t="str">
        <f aca="false">IF('อัปเดตงาน WBS'!$L$1115="","",'อัปเดตงาน WBS'!$L$1115)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Plan'!$H$21+(-21)</f>
        <v>46382</v>
      </c>
      <c r="J73" s="382" t="n">
        <f aca="false">'Master Plan'!$H$21+(-17)</f>
        <v>46386</v>
      </c>
      <c r="K73" s="387"/>
      <c r="L73" s="387"/>
      <c r="M73" s="383" t="str">
        <f aca="false">IF('อัปเดตงาน WBS'!$L$1116="","",'อัปเดตงาน WBS'!$L$1116)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Plan'!$H$21+(-20)</f>
        <v>46383</v>
      </c>
      <c r="J74" s="382" t="n">
        <f aca="false">'Master Plan'!$H$21+(-15)</f>
        <v>46388</v>
      </c>
      <c r="K74" s="387"/>
      <c r="L74" s="387"/>
      <c r="M74" s="383" t="str">
        <f aca="false">IF('อัปเดตงาน WBS'!$L$1117="","",'อัปเดตงาน WBS'!$L$1117)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Plan'!$H$21+(-17)</f>
        <v>46386</v>
      </c>
      <c r="J75" s="382" t="n">
        <f aca="false">'Master Plan'!$H$21+(-15)</f>
        <v>46388</v>
      </c>
      <c r="K75" s="387"/>
      <c r="L75" s="387"/>
      <c r="M75" s="383" t="str">
        <f aca="false">IF('อัปเดตงาน WBS'!$L$1118="","",'อัปเดตงาน WBS'!$L$1118)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3723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Plan'!$H$21+(-24)</f>
        <v>46379</v>
      </c>
      <c r="J76" s="373" t="n">
        <f aca="false">'Master Plan'!$H$21+(-15)</f>
        <v>46388</v>
      </c>
      <c r="K76" s="78"/>
      <c r="L76" s="78" t="str">
        <f aca="false">IF(ISNUMBER(อัปเดตรายสัปดาห์!$Y$21),อัปเดตรายสัปดาห์!$Y$21,"")</f>
        <v/>
      </c>
      <c r="M76" s="374" t="str">
        <f aca="false">IF(อัปเดตรายสัปดาห์!$Y$21="Y","Y","")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-014",SITE_TYPE,"?*")&gt;0,MIN(1,SUMPRODUCT((SITE_ST="P9-014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Plan'!$H$21+(-24)</f>
        <v>46379</v>
      </c>
      <c r="J77" s="382" t="n">
        <f aca="false">'Master Plan'!$H$21+(-21)</f>
        <v>46382</v>
      </c>
      <c r="K77" s="387"/>
      <c r="L77" s="387"/>
      <c r="M77" s="383" t="str">
        <f aca="false">IF('อัปเดตงาน WBS'!$L$1119="","",'อัปเดตงาน WBS'!$L$1119)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Plan'!$H$21+(-23)</f>
        <v>46380</v>
      </c>
      <c r="J78" s="382" t="n">
        <f aca="false">'Master Plan'!$H$21+(-16)</f>
        <v>46387</v>
      </c>
      <c r="K78" s="387"/>
      <c r="L78" s="387"/>
      <c r="M78" s="383" t="str">
        <f aca="false">IF('อัปเดตงาน WBS'!$L$1120="","",'อัปเดตงาน WBS'!$L$1120)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Plan'!$H$21+(-20)</f>
        <v>46383</v>
      </c>
      <c r="J79" s="382" t="n">
        <f aca="false">'Master Plan'!$H$21+(-15)</f>
        <v>46388</v>
      </c>
      <c r="K79" s="387"/>
      <c r="L79" s="387"/>
      <c r="M79" s="383" t="str">
        <f aca="false">IF('อัปเดตงาน WBS'!$L$1121="","",'อัปเดตงาน WBS'!$L$1121)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Plan'!$H$21+(-17)</f>
        <v>46386</v>
      </c>
      <c r="J80" s="382" t="n">
        <f aca="false">'Master Plan'!$H$21+(-15)</f>
        <v>46388</v>
      </c>
      <c r="K80" s="387"/>
      <c r="L80" s="387"/>
      <c r="M80" s="383" t="str">
        <f aca="false">IF('อัปเดตงาน WBS'!$L$1122="","",'อัปเดตงาน WBS'!$L$1122)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Plan'!$H$21+(-15)</f>
        <v>46388</v>
      </c>
      <c r="J81" s="382" t="n">
        <f aca="false">'Master Plan'!$H$21+(-15)</f>
        <v>46388</v>
      </c>
      <c r="K81" s="387"/>
      <c r="L81" s="387"/>
      <c r="M81" s="383" t="str">
        <f aca="false">IF('อัปเดตงาน WBS'!$L$1123="","",'อัปเดตงาน WBS'!$L$1123)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3723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Plan'!$H$21+(-21)</f>
        <v>46382</v>
      </c>
      <c r="J82" s="373" t="n">
        <f aca="false">'Master Plan'!$H$21+(-18)</f>
        <v>46385</v>
      </c>
      <c r="K82" s="78"/>
      <c r="L82" s="78" t="str">
        <f aca="false">IF(ISNUMBER(อัปเดตรายสัปดาห์!$Z$21),อัปเดตรายสัปดาห์!$Z$21,"")</f>
        <v/>
      </c>
      <c r="M82" s="374" t="str">
        <f aca="false">IF(อัปเดตรายสัปดาห์!$Z$21="Y","Y","")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Plan'!$H$21+(-21)</f>
        <v>46382</v>
      </c>
      <c r="J83" s="382" t="n">
        <f aca="false">'Master Plan'!$H$21+(-19)</f>
        <v>46384</v>
      </c>
      <c r="K83" s="387"/>
      <c r="L83" s="387"/>
      <c r="M83" s="383" t="str">
        <f aca="false">IF('อัปเดตงาน WBS'!$L$1124="","",'อัปเดตงาน WBS'!$L$1124)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Plan'!$H$21+(-20)</f>
        <v>46383</v>
      </c>
      <c r="J84" s="382" t="n">
        <f aca="false">'Master Plan'!$H$21+(-18)</f>
        <v>46385</v>
      </c>
      <c r="K84" s="387"/>
      <c r="L84" s="387"/>
      <c r="M84" s="383" t="str">
        <f aca="false">IF('อัปเดตงาน WBS'!$L$1125="","",'อัปเดตงาน WBS'!$L$1125)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3723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Plan'!$H$21+(-25)</f>
        <v>46378</v>
      </c>
      <c r="J85" s="373" t="n">
        <f aca="false">'Master Plan'!$H$21+(-17)</f>
        <v>46386</v>
      </c>
      <c r="K85" s="78"/>
      <c r="L85" s="78" t="str">
        <f aca="false">IF(ISNUMBER(อัปเดตรายสัปดาห์!$AA$21),อัปเดตรายสัปดาห์!$AA$21,"")</f>
        <v/>
      </c>
      <c r="M85" s="374" t="str">
        <f aca="false">IF(อัปเดตรายสัปดาห์!$AA$21="Y","Y","")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Plan'!$H$21+(-25)</f>
        <v>46378</v>
      </c>
      <c r="J86" s="382" t="n">
        <f aca="false">'Master Plan'!$H$21+(-21)</f>
        <v>46382</v>
      </c>
      <c r="K86" s="387"/>
      <c r="L86" s="387"/>
      <c r="M86" s="383" t="str">
        <f aca="false">IF('อัปเดตงาน WBS'!$L$1126="","",'อัปเดตงาน WBS'!$L$1126)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Plan'!$H$21+(-22)</f>
        <v>46381</v>
      </c>
      <c r="J87" s="382" t="n">
        <f aca="false">'Master Plan'!$H$21+(-18)</f>
        <v>46385</v>
      </c>
      <c r="K87" s="387"/>
      <c r="L87" s="387"/>
      <c r="M87" s="383" t="str">
        <f aca="false">IF('อัปเดตงาน WBS'!$L$1127="","",'อัปเดตงาน WBS'!$L$1127)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Plan'!$H$21+(-20)</f>
        <v>46383</v>
      </c>
      <c r="J88" s="382" t="n">
        <f aca="false">'Master Plan'!$H$21+(-17)</f>
        <v>46386</v>
      </c>
      <c r="K88" s="387"/>
      <c r="L88" s="387"/>
      <c r="M88" s="383" t="str">
        <f aca="false">IF('อัปเดตงาน WBS'!$L$1128="","",'อัปเดตงาน WBS'!$L$1128)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Plan'!$H$21+(-18)</f>
        <v>46385</v>
      </c>
      <c r="J89" s="382" t="n">
        <f aca="false">'Master Plan'!$H$21+(-17)</f>
        <v>46386</v>
      </c>
      <c r="K89" s="387"/>
      <c r="L89" s="387"/>
      <c r="M89" s="383" t="str">
        <f aca="false">IF('อัปเดตงาน WBS'!$L$1129="","",'อัปเดตงาน WBS'!$L$1129)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3723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Plan'!$H$21+(-25)</f>
        <v>46378</v>
      </c>
      <c r="J90" s="373" t="n">
        <f aca="false">'Master Plan'!$H$21+(-16)</f>
        <v>46387</v>
      </c>
      <c r="K90" s="78"/>
      <c r="L90" s="78" t="str">
        <f aca="false">IF(ISNUMBER(อัปเดตรายสัปดาห์!$AB$21),อัปเดตรายสัปดาห์!$AB$21,"")</f>
        <v/>
      </c>
      <c r="M90" s="374" t="str">
        <f aca="false">IF(อัปเดตรายสัปดาห์!$AB$21="Y","Y","")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Plan'!$H$21+(-25)</f>
        <v>46378</v>
      </c>
      <c r="J91" s="382" t="n">
        <f aca="false">'Master Plan'!$H$21+(-20)</f>
        <v>46383</v>
      </c>
      <c r="K91" s="387"/>
      <c r="L91" s="387"/>
      <c r="M91" s="383" t="str">
        <f aca="false">IF('อัปเดตงาน WBS'!$L$1130="","",'อัปเดตงาน WBS'!$L$1130)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Plan'!$H$21+(-20)</f>
        <v>46383</v>
      </c>
      <c r="J92" s="382" t="n">
        <f aca="false">'Master Plan'!$H$21+(-16)</f>
        <v>46387</v>
      </c>
      <c r="K92" s="387"/>
      <c r="L92" s="387"/>
      <c r="M92" s="383" t="str">
        <f aca="false">IF('อัปเดตงาน WBS'!$L$1131="","",'อัปเดตงาน WBS'!$L$1131)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Plan'!$H$21+(-25)</f>
        <v>46378</v>
      </c>
      <c r="J93" s="382" t="n">
        <f aca="false">'Master Plan'!$H$21+(-21)</f>
        <v>46382</v>
      </c>
      <c r="K93" s="387"/>
      <c r="L93" s="387"/>
      <c r="M93" s="383" t="str">
        <f aca="false">IF('อัปเดตงาน WBS'!$L$1132="","",'อัปเดตงาน WBS'!$L$1132)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Plan'!$H$21+(-21)</f>
        <v>46382</v>
      </c>
      <c r="J94" s="382" t="n">
        <f aca="false">'Master Plan'!$H$21+(-16)</f>
        <v>46387</v>
      </c>
      <c r="K94" s="387"/>
      <c r="L94" s="387"/>
      <c r="M94" s="383" t="str">
        <f aca="false">IF('อัปเดตงาน WBS'!$L$1133="","",'อัปเดตงาน WBS'!$L$1133)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Plan'!$H$21+(-17)</f>
        <v>46386</v>
      </c>
      <c r="J95" s="382" t="n">
        <f aca="false">'Master Plan'!$H$21+(-16)</f>
        <v>46387</v>
      </c>
      <c r="K95" s="387"/>
      <c r="L95" s="387"/>
      <c r="M95" s="383" t="str">
        <f aca="false">IF('อัปเดตงาน WBS'!$L$1134="","",'อัปเดตงาน WBS'!$L$1134)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3723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Plan'!$H$21+(-22)</f>
        <v>46381</v>
      </c>
      <c r="J96" s="373" t="n">
        <f aca="false">'Master Plan'!$H$21+(-16)</f>
        <v>46387</v>
      </c>
      <c r="K96" s="78"/>
      <c r="L96" s="78" t="str">
        <f aca="false">IF(ISNUMBER(อัปเดตรายสัปดาห์!$AC$21),อัปเดตรายสัปดาห์!$AC$21,"")</f>
        <v/>
      </c>
      <c r="M96" s="374" t="str">
        <f aca="false">IF(อัปเดตรายสัปดาห์!$AC$21="Y","Y","")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Plan'!$H$21+(-22)</f>
        <v>46381</v>
      </c>
      <c r="J97" s="382" t="n">
        <f aca="false">'Master Plan'!$H$21+(-17)</f>
        <v>46386</v>
      </c>
      <c r="K97" s="387"/>
      <c r="L97" s="387"/>
      <c r="M97" s="383" t="str">
        <f aca="false">IF('อัปเดตงาน WBS'!$L$1135="","",'อัปเดตงาน WBS'!$L$1135)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Plan'!$H$21+(-20)</f>
        <v>46383</v>
      </c>
      <c r="J98" s="382" t="n">
        <f aca="false">'Master Plan'!$H$21+(-16)</f>
        <v>46387</v>
      </c>
      <c r="K98" s="387"/>
      <c r="L98" s="387"/>
      <c r="M98" s="383" t="str">
        <f aca="false">IF('อัปเดตงาน WBS'!$L$1136="","",'อัปเดตงาน WBS'!$L$1136)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Plan'!$H$21+(-17)</f>
        <v>46386</v>
      </c>
      <c r="J99" s="382" t="n">
        <f aca="false">'Master Plan'!$H$21+(-16)</f>
        <v>46387</v>
      </c>
      <c r="K99" s="387"/>
      <c r="L99" s="387"/>
      <c r="M99" s="383" t="str">
        <f aca="false">IF('อัปเดตงาน WBS'!$L$1137="","",'อัปเดตงาน WBS'!$L$1137)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3723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Plan'!$H$21+(-20)</f>
        <v>46383</v>
      </c>
      <c r="J100" s="373" t="n">
        <f aca="false">'Master Plan'!$H$21+(-15)</f>
        <v>46388</v>
      </c>
      <c r="K100" s="78"/>
      <c r="L100" s="78" t="str">
        <f aca="false">IF(ISNUMBER(อัปเดตรายสัปดาห์!$AD$21),อัปเดตรายสัปดาห์!$AD$21,"")</f>
        <v/>
      </c>
      <c r="M100" s="374" t="str">
        <f aca="false">IF(อัปเดตรายสัปดาห์!$AD$21="Y","Y","")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Plan'!$H$21+(-20)</f>
        <v>46383</v>
      </c>
      <c r="J101" s="382" t="n">
        <f aca="false">'Master Plan'!$H$21+(-19)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Plan'!$H$21+(-19)</f>
        <v>46384</v>
      </c>
      <c r="J102" s="382" t="n">
        <f aca="false">'Master Plan'!$H$21+(-16)</f>
        <v>46387</v>
      </c>
      <c r="K102" s="387"/>
      <c r="L102" s="387"/>
      <c r="M102" s="383" t="str">
        <f aca="false">IF('อัปเดตงาน WBS'!$L$1138="","",'อัปเดตงาน WBS'!$L$1138)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Plan'!$H$21+(-18)</f>
        <v>46385</v>
      </c>
      <c r="J104" s="382" t="n">
        <f aca="false">'Master Plan'!$H$21+(-16)</f>
        <v>46387</v>
      </c>
      <c r="K104" s="387"/>
      <c r="L104" s="387"/>
      <c r="M104" s="383" t="str">
        <f aca="false">IF('อัปเดตงาน WBS'!$L$1139="","",'อัปเดตงาน WBS'!$L$1139)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Plan'!$H$21+(-18)</f>
        <v>46385</v>
      </c>
      <c r="J105" s="382" t="n">
        <f aca="false">'Master Plan'!$H$21+(-15)</f>
        <v>46388</v>
      </c>
      <c r="K105" s="387"/>
      <c r="L105" s="387"/>
      <c r="M105" s="383" t="str">
        <f aca="false">IF('อัปเดตงาน WBS'!$L$1140="","",'อัปเดตงาน WBS'!$L$1140)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Plan'!$H$21+(-16)</f>
        <v>46387</v>
      </c>
      <c r="J106" s="382" t="n">
        <f aca="false">'Master Plan'!$H$21+(-15)</f>
        <v>46388</v>
      </c>
      <c r="K106" s="387"/>
      <c r="L106" s="387"/>
      <c r="M106" s="383" t="str">
        <f aca="false">IF('อัปเดตงาน WBS'!$L$1141="","",'อัปเดตงาน WBS'!$L$1141)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3723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Plan'!$H$21+(-18)</f>
        <v>46385</v>
      </c>
      <c r="J107" s="373" t="n">
        <f aca="false">'Master Plan'!$H$21+(-14)</f>
        <v>46389</v>
      </c>
      <c r="K107" s="78"/>
      <c r="L107" s="78" t="str">
        <f aca="false">IF(ISNUMBER(อัปเดตรายสัปดาห์!$AE$21),อัปเดตรายสัปดาห์!$AE$21,"")</f>
        <v/>
      </c>
      <c r="M107" s="374" t="str">
        <f aca="false">IF(อัปเดตรายสัปดาห์!$AE$21="Y","Y","")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Plan'!$H$21+(-18)</f>
        <v>46385</v>
      </c>
      <c r="J108" s="382" t="n">
        <f aca="false">'Master Plan'!$H$21+(-15)</f>
        <v>46388</v>
      </c>
      <c r="K108" s="387"/>
      <c r="L108" s="387"/>
      <c r="M108" s="383" t="str">
        <f aca="false">IF('อัปเดตงาน WBS'!$L$1142="","",'อัปเดตงาน WBS'!$L$1142)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Plan'!$H$21+(-16)</f>
        <v>46387</v>
      </c>
      <c r="J109" s="382" t="n">
        <f aca="false">'Master Plan'!$H$21+(-14)</f>
        <v>46389</v>
      </c>
      <c r="K109" s="387"/>
      <c r="L109" s="387"/>
      <c r="M109" s="383" t="str">
        <f aca="false">IF('อัปเดตงาน WBS'!$L$1143="","",'อัปเดตงาน WBS'!$L$1143)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Plan'!$H$21+(-17)</f>
        <v>46386</v>
      </c>
      <c r="J110" s="382" t="n">
        <f aca="false">'Master Plan'!$H$21+(-15)</f>
        <v>46388</v>
      </c>
      <c r="K110" s="387"/>
      <c r="L110" s="387"/>
      <c r="M110" s="383" t="str">
        <f aca="false">IF('อัปเดตงาน WBS'!$L$1144="","",'อัปเดตงาน WBS'!$L$1144)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97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Plan'!$H$21+(-13)</f>
        <v>46390</v>
      </c>
      <c r="J111" s="373" t="n">
        <f aca="false">'Master Plan'!$H$21+(-13)</f>
        <v>46390</v>
      </c>
      <c r="K111" s="78"/>
      <c r="L111" s="78" t="str">
        <f aca="false">IF(ISNUMBER(อัปเดตรายสัปดาห์!$AF$21),อัปเดตรายสัปดาห์!$AF$21,"")</f>
        <v/>
      </c>
      <c r="M111" s="374" t="str">
        <f aca="false">IF(อัปเดตรายสัปดาห์!$AF$21="Y","Y","")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Plan'!$Y$21)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Plan'!$H$21+(-13)</f>
        <v>46390</v>
      </c>
      <c r="J112" s="382" t="n">
        <f aca="false">'Master Plan'!$H$21+(-13)</f>
        <v>46390</v>
      </c>
      <c r="K112" s="387"/>
      <c r="L112" s="387"/>
      <c r="M112" s="383" t="str">
        <f aca="false">IF('อัปเดตงาน WBS'!$L$1145="","",'อัปเดตงาน WBS'!$L$1145)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Plan'!$H$21+(-13)</f>
        <v>46390</v>
      </c>
      <c r="J113" s="382" t="n">
        <f aca="false">'Master Plan'!$H$21+(-13)</f>
        <v>46390</v>
      </c>
      <c r="K113" s="387"/>
      <c r="L113" s="387"/>
      <c r="M113" s="383" t="str">
        <f aca="false">IF('อัปเดตงาน WBS'!$L$1146="","",'อัปเดตงาน WBS'!$L$1146)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3723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Plan'!$H$21+(-12)</f>
        <v>46391</v>
      </c>
      <c r="J115" s="373" t="n">
        <f aca="false">'Master Plan'!$H$21+(-10)</f>
        <v>46393</v>
      </c>
      <c r="K115" s="78"/>
      <c r="L115" s="78" t="str">
        <f aca="false">IF(ISNUMBER(อัปเดตรายสัปดาห์!$AG$21),อัปเดตรายสัปดาห์!$AG$21,"")</f>
        <v/>
      </c>
      <c r="M115" s="374" t="str">
        <f aca="false">IF(อัปเดตรายสัปดาห์!$AG$21="Y","Y","")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Plan'!$AA$21)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Plan'!$H$21+(-12)</f>
        <v>46391</v>
      </c>
      <c r="J116" s="382" t="n">
        <f aca="false">'Master Plan'!$H$21+(-12)</f>
        <v>46391</v>
      </c>
      <c r="K116" s="387"/>
      <c r="L116" s="387"/>
      <c r="M116" s="383" t="str">
        <f aca="false">IF('อัปเดตงาน WBS'!$L$1147="","",'อัปเดตงาน WBS'!$L$1147)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Plan'!$H$21+(-12)</f>
        <v>46391</v>
      </c>
      <c r="J117" s="382" t="n">
        <f aca="false">'Master Plan'!$H$21+(-11)</f>
        <v>46392</v>
      </c>
      <c r="K117" s="387"/>
      <c r="L117" s="387"/>
      <c r="M117" s="383" t="str">
        <f aca="false">IF('อัปเดตงาน WBS'!$L$1148="","",'อัปเดตงาน WBS'!$L$1148)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Plan'!$H$21+(-11)</f>
        <v>46392</v>
      </c>
      <c r="J118" s="382" t="n">
        <f aca="false">'Master Plan'!$H$21+(-11)</f>
        <v>46392</v>
      </c>
      <c r="K118" s="387"/>
      <c r="L118" s="387"/>
      <c r="M118" s="383" t="str">
        <f aca="false">IF('อัปเดตงาน WBS'!$L$1149="","",'อัปเดตงาน WBS'!$L$1149)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Plan'!$H$21+(-11)</f>
        <v>46392</v>
      </c>
      <c r="J119" s="382" t="n">
        <f aca="false">'Master Plan'!$H$21+(-11)</f>
        <v>46392</v>
      </c>
      <c r="K119" s="387"/>
      <c r="L119" s="387"/>
      <c r="M119" s="383" t="str">
        <f aca="false">IF('อัปเดตงาน WBS'!$L$1150="","",'อัปเดตงาน WBS'!$L$1150)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Plan'!$H$21+(-11)</f>
        <v>46392</v>
      </c>
      <c r="J120" s="382" t="n">
        <f aca="false">'Master Plan'!$H$21+(-10)</f>
        <v>46393</v>
      </c>
      <c r="K120" s="387"/>
      <c r="L120" s="387"/>
      <c r="M120" s="383" t="str">
        <f aca="false">IF('อัปเดตงาน WBS'!$L$1151="","",'อัปเดตงาน WBS'!$L$1151)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Plan'!$H$21+(-11)</f>
        <v>46392</v>
      </c>
      <c r="J121" s="382" t="n">
        <f aca="false">'Master Plan'!$H$21+(-10)</f>
        <v>46393</v>
      </c>
      <c r="K121" s="387"/>
      <c r="L121" s="387"/>
      <c r="M121" s="383" t="str">
        <f aca="false">IF('อัปเดตงาน WBS'!$L$1152="","",'อัปเดตงาน WBS'!$L$1152)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97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Plan'!$H$21+(-10)</f>
        <v>46393</v>
      </c>
      <c r="J122" s="373" t="n">
        <f aca="false">'Master Plan'!$H$21+(-10)</f>
        <v>46393</v>
      </c>
      <c r="K122" s="78"/>
      <c r="L122" s="78" t="str">
        <f aca="false">IF(ISNUMBER(อัปเดตรายสัปดาห์!$AH$21),อัปเดตรายสัปดาห์!$AH$21,"")</f>
        <v/>
      </c>
      <c r="M122" s="374" t="str">
        <f aca="false">IF(อัปเดตรายสัปดาห์!$AH$21="Y","Y","")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Plan'!$Z$21)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97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Plan'!$H$21+(-12)</f>
        <v>46391</v>
      </c>
      <c r="J123" s="373" t="n">
        <f aca="false">'Master Plan'!$H$21+(-8)</f>
        <v>46395</v>
      </c>
      <c r="K123" s="78" t="str">
        <f aca="false">IF(ISNUMBER(อัปเดตรายสัปดาห์!$AI$21),อัปเดตรายสัปดาห์!$AI$21,"")</f>
        <v/>
      </c>
      <c r="L123" s="78" t="str">
        <f aca="false">IF(ISNUMBER(อัปเดตรายสัปดาห์!$AJ$21),อัปเดตรายสัปดาห์!$AJ$21,"")</f>
        <v/>
      </c>
      <c r="M123" s="374" t="str">
        <f aca="false">IF(อัปเดตรายสัปดาห์!$AJ$21="Y","Y","")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97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Plan'!$H$21+(37)</f>
        <v>46440</v>
      </c>
      <c r="J124" s="373" t="n">
        <f aca="false">'Master Plan'!$H$21+(50)</f>
        <v>46453</v>
      </c>
      <c r="K124" s="78"/>
      <c r="L124" s="78" t="str">
        <f aca="false">IF(ISNUMBER(อัปเดตรายสัปดาห์!$AK$21),อัปเดตรายสัปดาห์!$AK$21,"")</f>
        <v/>
      </c>
      <c r="M124" s="374" t="str">
        <f aca="false">IF(อัปเดตรายสัปดาห์!$AK$21="Y","Y","")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Plan'!$H$21+(37)</f>
        <v>46440</v>
      </c>
      <c r="J125" s="382" t="n">
        <f aca="false">'Master Plan'!$H$21+(41)</f>
        <v>46444</v>
      </c>
      <c r="K125" s="387"/>
      <c r="L125" s="387"/>
      <c r="M125" s="383" t="str">
        <f aca="false">IF('อัปเดตงาน WBS'!$L$1153="","",'อัปเดตงาน WBS'!$L$1153)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Plan'!$H$21+(40)</f>
        <v>46443</v>
      </c>
      <c r="J126" s="382" t="n">
        <f aca="false">'Master Plan'!$H$21+(47)</f>
        <v>46450</v>
      </c>
      <c r="K126" s="387"/>
      <c r="L126" s="387"/>
      <c r="M126" s="383" t="str">
        <f aca="false">IF('อัปเดตงาน WBS'!$L$1154="","",'อัปเดตงาน WBS'!$L$1154)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Plan'!$H$21+(47)</f>
        <v>46450</v>
      </c>
      <c r="J127" s="382" t="n">
        <f aca="false">'Master Plan'!$H$21+(50)</f>
        <v>46453</v>
      </c>
      <c r="K127" s="387"/>
      <c r="L127" s="387"/>
      <c r="M127" s="383" t="str">
        <f aca="false">IF('อัปเดตงาน WBS'!$L$1155="","",'อัปเดตงาน WBS'!$L$1155)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3723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Plan'!$H$21+(0)</f>
        <v>46403</v>
      </c>
      <c r="J128" s="373" t="n">
        <f aca="false">'Master Plan'!$H$21+(0)</f>
        <v>46403</v>
      </c>
      <c r="K128" s="78"/>
      <c r="L128" s="78" t="str">
        <f aca="false">IF(ISNUMBER(อัปเดตรายสัปดาห์!$AL$21),อัปเดตรายสัปดาห์!$AL$21,"")</f>
        <v/>
      </c>
      <c r="M128" s="374" t="str">
        <f aca="false">IF(อัปเดตรายสัปดาห์!$AL$21="Y","Y","")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Plan'!$AB$21)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Plan'!$H$21+(0)</f>
        <v>46403</v>
      </c>
      <c r="J129" s="373" t="n">
        <f aca="false">'Master Plan'!$H$21+(0)</f>
        <v>46403</v>
      </c>
      <c r="K129" s="78"/>
      <c r="L129" s="78" t="str">
        <f aca="false">IF(ISNUMBER(อัปเดตรายสัปดาห์!$AM$21),อัปเดตรายสัปดาห์!$AM$21,"")</f>
        <v/>
      </c>
      <c r="M129" s="374" t="str">
        <f aca="false">IF(อัปเดตรายสัปดาห์!$AM$21="Y","Y","")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Plan'!$H$21+(0)</f>
        <v>46403</v>
      </c>
      <c r="J130" s="373" t="n">
        <f aca="false">'Master Plan'!$H$21+(0)</f>
        <v>46403</v>
      </c>
      <c r="K130" s="78"/>
      <c r="L130" s="78" t="str">
        <f aca="false">IF(ISNUMBER(อัปเดตรายสัปดาห์!$AN$21),อัปเดตรายสัปดาห์!$AN$21,"")</f>
        <v/>
      </c>
      <c r="M130" s="374" t="str">
        <f aca="false">IF(อัปเดตรายสัปดาห์!$AN$21="Y","Y","")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97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Plan'!$H$21+(34)</f>
        <v>46437</v>
      </c>
      <c r="J131" s="373" t="n">
        <f aca="false">'Master Plan'!$H$21+(36)</f>
        <v>46439</v>
      </c>
      <c r="K131" s="78"/>
      <c r="L131" s="78" t="str">
        <f aca="false">IF(ISNUMBER(อัปเดตรายสัปดาห์!$AO$21),อัปเดตรายสัปดาห์!$AO$21,"")</f>
        <v/>
      </c>
      <c r="M131" s="374" t="str">
        <f aca="false">IF(อัปเดตรายสัปดาห์!$AO$21="Y","Y","")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SUMPRODUCT((SITE_ST="P9-014")*(SITE_TYPE=$B136)*(SITE_TYPE&lt;&gt;""))</f>
        <v>0</v>
      </c>
      <c r="E136" s="397" t="n">
        <f aca="false">SUMPRODUCT((SITE_ST="P9-014")*(SITE_TYPE=$B136)*SITE_MOD)</f>
        <v>0</v>
      </c>
      <c r="I136" s="398" t="n">
        <f aca="false">SUMPRODUCT((SITE_ST="P9-014")*(SITE_TYPE=$B136)*SITE_KWP)</f>
        <v>0</v>
      </c>
      <c r="J136" s="35" t="str">
        <f aca="false">IF(SUMPRODUCT((SITE_ST="P9-014")*(SITE_TYPE=$B136)*(SITE_TYPE&lt;&gt;""))=0,"",SUMPRODUCT((SITE_ST="P9-014")*(SITE_TYPE=$B136)*SITE_S21*SITE_D21)/MAX(0.0001,SUMPRODUCT((SITE_ST="P9-014")*(SITE_TYPE=$B136)*SITE_S21)))</f>
        <v/>
      </c>
      <c r="K136" s="32" t="str">
        <f aca="false">IF(SUMPRODUCT((SITE_ST="P9-014")*(SITE_TYPE=$B136)*(SITE_TYPE&lt;&gt;""))=0,"",SUMPRODUCT((SITE_ST="P9-014")*(SITE_TYPE=$B136)*(SITE_TYPE&lt;&gt;"")*(SITE_T22="Y"))&amp;"/"&amp;SUMPRODUCT((SITE_ST="P9-014")*(SITE_TYPE=$B136)*(SITE_TYPE&lt;&gt;"")))</f>
        <v/>
      </c>
      <c r="L136" s="32" t="str">
        <f aca="false">IF(SUMPRODUCT((SITE_ST="P9-014")*(SITE_TYPE=$B136)*(SITE_TYPE&lt;&gt;""))=0,"",SUMPRODUCT((SITE_ST="P9-014")*(SITE_TYPE=$B136)*(SITE_TYPE&lt;&gt;"")*(SITE_T23="Y"))&amp;"/"&amp;SUMPRODUCT((SITE_ST="P9-014")*(SITE_TYPE=$B136)*(SITE_TYPE&lt;&gt;"")))</f>
        <v/>
      </c>
      <c r="O136" s="32" t="str">
        <f aca="false">IF(SUMPRODUCT((SITE_ST="P9-014")*(SITE_TYPE=$B136)*(LEFT(SITE_LAD,4)="ติด:"))=0,"",SUMPRODUCT((SITE_ST="P9-014")*(SITE_TYPE=$B136)*(LEFT(SITE_LAD,4)="ติด:"))&amp;"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SUMPRODUCT((SITE_ST="P9-014")*(SITE_TYPE=$B137)*(SITE_TYPE&lt;&gt;""))</f>
        <v>0</v>
      </c>
      <c r="E137" s="397" t="n">
        <f aca="false">SUMPRODUCT((SITE_ST="P9-014")*(SITE_TYPE=$B137)*SITE_MOD)</f>
        <v>0</v>
      </c>
      <c r="I137" s="398" t="n">
        <f aca="false">SUMPRODUCT((SITE_ST="P9-014")*(SITE_TYPE=$B137)*SITE_KWP)</f>
        <v>0</v>
      </c>
      <c r="J137" s="35" t="str">
        <f aca="false">IF(SUMPRODUCT((SITE_ST="P9-014")*(SITE_TYPE=$B137)*(SITE_TYPE&lt;&gt;""))=0,"",SUMPRODUCT((SITE_ST="P9-014")*(SITE_TYPE=$B137)*SITE_S21*SITE_D21)/MAX(0.0001,SUMPRODUCT((SITE_ST="P9-014")*(SITE_TYPE=$B137)*SITE_S21)))</f>
        <v/>
      </c>
      <c r="K137" s="32" t="str">
        <f aca="false">IF(SUMPRODUCT((SITE_ST="P9-014")*(SITE_TYPE=$B137)*(SITE_TYPE&lt;&gt;""))=0,"",SUMPRODUCT((SITE_ST="P9-014")*(SITE_TYPE=$B137)*(SITE_TYPE&lt;&gt;"")*(SITE_T22="Y"))&amp;"/"&amp;SUMPRODUCT((SITE_ST="P9-014")*(SITE_TYPE=$B137)*(SITE_TYPE&lt;&gt;"")))</f>
        <v/>
      </c>
      <c r="L137" s="32" t="str">
        <f aca="false">IF(SUMPRODUCT((SITE_ST="P9-014")*(SITE_TYPE=$B137)*(SITE_TYPE&lt;&gt;""))=0,"",SUMPRODUCT((SITE_ST="P9-014")*(SITE_TYPE=$B137)*(SITE_TYPE&lt;&gt;"")*(SITE_T23="Y"))&amp;"/"&amp;SUMPRODUCT((SITE_ST="P9-014")*(SITE_TYPE=$B137)*(SITE_TYPE&lt;&gt;"")))</f>
        <v/>
      </c>
      <c r="O137" s="32" t="str">
        <f aca="false">IF(SUMPRODUCT((SITE_ST="P9-014")*(SITE_TYPE=$B137)*(LEFT(SITE_LAD,4)="ติด:"))=0,"",SUMPRODUCT((SITE_ST="P9-014")*(SITE_TYPE=$B137)*(LEFT(SITE_LAD,4)="ติด:"))&amp;"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SUMPRODUCT((SITE_ST="P9-014")*(SITE_TYPE=$B138)*(SITE_TYPE&lt;&gt;""))</f>
        <v>0</v>
      </c>
      <c r="E138" s="397" t="n">
        <f aca="false">SUMPRODUCT((SITE_ST="P9-014")*(SITE_TYPE=$B138)*SITE_MOD)</f>
        <v>0</v>
      </c>
      <c r="I138" s="398" t="n">
        <f aca="false">SUMPRODUCT((SITE_ST="P9-014")*(SITE_TYPE=$B138)*SITE_KWP)</f>
        <v>0</v>
      </c>
      <c r="J138" s="35" t="str">
        <f aca="false">IF(SUMPRODUCT((SITE_ST="P9-014")*(SITE_TYPE=$B138)*(SITE_TYPE&lt;&gt;""))=0,"",SUMPRODUCT((SITE_ST="P9-014")*(SITE_TYPE=$B138)*SITE_S21*SITE_D21)/MAX(0.0001,SUMPRODUCT((SITE_ST="P9-014")*(SITE_TYPE=$B138)*SITE_S21)))</f>
        <v/>
      </c>
      <c r="K138" s="32" t="str">
        <f aca="false">IF(SUMPRODUCT((SITE_ST="P9-014")*(SITE_TYPE=$B138)*(SITE_TYPE&lt;&gt;""))=0,"",SUMPRODUCT((SITE_ST="P9-014")*(SITE_TYPE=$B138)*(SITE_TYPE&lt;&gt;"")*(SITE_T22="Y"))&amp;"/"&amp;SUMPRODUCT((SITE_ST="P9-014")*(SITE_TYPE=$B138)*(SITE_TYPE&lt;&gt;"")))</f>
        <v/>
      </c>
      <c r="L138" s="32" t="str">
        <f aca="false">IF(SUMPRODUCT((SITE_ST="P9-014")*(SITE_TYPE=$B138)*(SITE_TYPE&lt;&gt;""))=0,"",SUMPRODUCT((SITE_ST="P9-014")*(SITE_TYPE=$B138)*(SITE_TYPE&lt;&gt;"")*(SITE_T23="Y"))&amp;"/"&amp;SUMPRODUCT((SITE_ST="P9-014")*(SITE_TYPE=$B138)*(SITE_TYPE&lt;&gt;"")))</f>
        <v/>
      </c>
      <c r="O138" s="32" t="str">
        <f aca="false">IF(SUMPRODUCT((SITE_ST="P9-014")*(SITE_TYPE=$B138)*(LEFT(SITE_LAD,4)="ติด:"))=0,"",SUMPRODUCT((SITE_ST="P9-014")*(SITE_TYPE=$B138)*(LEFT(SITE_LAD,4)="ติด:"))&amp;"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SUMPRODUCT((SITE_ST="P9-014")*(SITE_TYPE=$B139)*(SITE_TYPE&lt;&gt;""))</f>
        <v>0</v>
      </c>
      <c r="E139" s="397" t="n">
        <f aca="false">SUMPRODUCT((SITE_ST="P9-014")*(SITE_TYPE=$B139)*SITE_MOD)</f>
        <v>0</v>
      </c>
      <c r="I139" s="398" t="n">
        <f aca="false">SUMPRODUCT((SITE_ST="P9-014")*(SITE_TYPE=$B139)*SITE_KWP)</f>
        <v>0</v>
      </c>
      <c r="J139" s="35" t="str">
        <f aca="false">IF(SUMPRODUCT((SITE_ST="P9-014")*(SITE_TYPE=$B139)*(SITE_TYPE&lt;&gt;""))=0,"",SUMPRODUCT((SITE_ST="P9-014")*(SITE_TYPE=$B139)*SITE_S21*SITE_D21)/MAX(0.0001,SUMPRODUCT((SITE_ST="P9-014")*(SITE_TYPE=$B139)*SITE_S21)))</f>
        <v/>
      </c>
      <c r="K139" s="32" t="str">
        <f aca="false">IF(SUMPRODUCT((SITE_ST="P9-014")*(SITE_TYPE=$B139)*(SITE_TYPE&lt;&gt;""))=0,"",SUMPRODUCT((SITE_ST="P9-014")*(SITE_TYPE=$B139)*(SITE_TYPE&lt;&gt;"")*(SITE_T22="Y"))&amp;"/"&amp;SUMPRODUCT((SITE_ST="P9-014")*(SITE_TYPE=$B139)*(SITE_TYPE&lt;&gt;"")))</f>
        <v/>
      </c>
      <c r="L139" s="32" t="str">
        <f aca="false">IF(SUMPRODUCT((SITE_ST="P9-014")*(SITE_TYPE=$B139)*(SITE_TYPE&lt;&gt;""))=0,"",SUMPRODUCT((SITE_ST="P9-014")*(SITE_TYPE=$B139)*(SITE_TYPE&lt;&gt;"")*(SITE_T23="Y"))&amp;"/"&amp;SUMPRODUCT((SITE_ST="P9-014")*(SITE_TYPE=$B139)*(SITE_TYPE&lt;&gt;"")))</f>
        <v/>
      </c>
      <c r="O139" s="32" t="str">
        <f aca="false">IF(SUMPRODUCT((SITE_ST="P9-014")*(SITE_TYPE=$B139)*(LEFT(SITE_LAD,4)="ติด:"))=0,"",SUMPRODUCT((SITE_ST="P9-014")*(SITE_TYPE=$B139)*(LEFT(SITE_LAD,4)="ติด:"))&amp;"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SUMPRODUCT((SITE_ST="P9-014")*(SITE_TYPE=$B140)*(SITE_TYPE&lt;&gt;""))</f>
        <v>1</v>
      </c>
      <c r="E140" s="397" t="n">
        <f aca="false">SUMPRODUCT((SITE_ST="P9-014")*(SITE_TYPE=$B140)*SITE_MOD)</f>
        <v>492</v>
      </c>
      <c r="I140" s="398" t="n">
        <f aca="false">SUMPRODUCT((SITE_ST="P9-014")*(SITE_TYPE=$B140)*SITE_KWP)</f>
        <v>280.44</v>
      </c>
      <c r="J140" s="35" t="n">
        <f aca="false">IF(SUMPRODUCT((SITE_ST="P9-014")*(SITE_TYPE=$B140)*(SITE_TYPE&lt;&gt;""))=0,"",SUMPRODUCT((SITE_ST="P9-014")*(SITE_TYPE=$B140)*SITE_S21*SITE_D21)/MAX(0.0001,SUMPRODUCT((SITE_ST="P9-014")*(SITE_TYPE=$B140)*SITE_S21)))</f>
        <v>0</v>
      </c>
      <c r="K140" s="32" t="str">
        <f aca="false">IF(SUMPRODUCT((SITE_ST="P9-014")*(SITE_TYPE=$B140)*(SITE_TYPE&lt;&gt;""))=0,"",SUMPRODUCT((SITE_ST="P9-014")*(SITE_TYPE=$B140)*(SITE_TYPE&lt;&gt;"")*(SITE_T22="Y"))&amp;"/"&amp;SUMPRODUCT((SITE_ST="P9-014")*(SITE_TYPE=$B140)*(SITE_TYPE&lt;&gt;"")))</f>
        <v>0/1</v>
      </c>
      <c r="L140" s="32" t="str">
        <f aca="false">IF(SUMPRODUCT((SITE_ST="P9-014")*(SITE_TYPE=$B140)*(SITE_TYPE&lt;&gt;""))=0,"",SUMPRODUCT((SITE_ST="P9-014")*(SITE_TYPE=$B140)*(SITE_TYPE&lt;&gt;"")*(SITE_T23="Y"))&amp;"/"&amp;SUMPRODUCT((SITE_ST="P9-014")*(SITE_TYPE=$B140)*(SITE_TYPE&lt;&gt;"")))</f>
        <v>0/1</v>
      </c>
      <c r="O140" s="32" t="str">
        <f aca="false">IF(SUMPRODUCT((SITE_ST="P9-014")*(SITE_TYPE=$B140)*(LEFT(SITE_LAD,4)="ติด:"))=0,"",SUMPRODUCT((SITE_ST="P9-014")*(SITE_TYPE=$B140)*(LEFT(SITE_LAD,4)="ติด:"))&amp;"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SUMPRODUCT((SITE_ST="P9-014")*(SITE_TYPE=$B141)*(SITE_TYPE&lt;&gt;""))</f>
        <v>0</v>
      </c>
      <c r="E141" s="397" t="n">
        <f aca="false">SUMPRODUCT((SITE_ST="P9-014")*(SITE_TYPE=$B141)*SITE_MOD)</f>
        <v>0</v>
      </c>
      <c r="I141" s="398" t="n">
        <f aca="false">SUMPRODUCT((SITE_ST="P9-014")*(SITE_TYPE=$B141)*SITE_KWP)</f>
        <v>0</v>
      </c>
      <c r="J141" s="35" t="str">
        <f aca="false">IF(SUMPRODUCT((SITE_ST="P9-014")*(SITE_TYPE=$B141)*(SITE_TYPE&lt;&gt;""))=0,"",SUMPRODUCT((SITE_ST="P9-014")*(SITE_TYPE=$B141)*SITE_S21*SITE_D21)/MAX(0.0001,SUMPRODUCT((SITE_ST="P9-014")*(SITE_TYPE=$B141)*SITE_S21)))</f>
        <v/>
      </c>
      <c r="K141" s="32" t="str">
        <f aca="false">IF(SUMPRODUCT((SITE_ST="P9-014")*(SITE_TYPE=$B141)*(SITE_TYPE&lt;&gt;""))=0,"",SUMPRODUCT((SITE_ST="P9-014")*(SITE_TYPE=$B141)*(SITE_TYPE&lt;&gt;"")*(SITE_T22="Y"))&amp;"/"&amp;SUMPRODUCT((SITE_ST="P9-014")*(SITE_TYPE=$B141)*(SITE_TYPE&lt;&gt;"")))</f>
        <v/>
      </c>
      <c r="L141" s="32" t="str">
        <f aca="false">IF(SUMPRODUCT((SITE_ST="P9-014")*(SITE_TYPE=$B141)*(SITE_TYPE&lt;&gt;""))=0,"",SUMPRODUCT((SITE_ST="P9-014")*(SITE_TYPE=$B141)*(SITE_TYPE&lt;&gt;"")*(SITE_T23="Y"))&amp;"/"&amp;SUMPRODUCT((SITE_ST="P9-014")*(SITE_TYPE=$B141)*(SITE_TYPE&lt;&gt;"")))</f>
        <v/>
      </c>
      <c r="O141" s="32" t="str">
        <f aca="false">IF(SUMPRODUCT((SITE_ST="P9-014")*(SITE_TYPE=$B141)*(LEFT(SITE_LAD,4)="ติด:"))=0,"",SUMPRODUCT((SITE_ST="P9-014")*(SITE_TYPE=$B141)*(LEFT(SITE_LAD,4)="ติด:"))&amp;"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SUMPRODUCT((SITE_ST="P9-014")*(SITE_TYPE&lt;&gt;""))</f>
        <v>1</v>
      </c>
      <c r="E142" s="403" t="n">
        <f aca="false">SUMPRODUCT((SITE_ST="P9-014")*SITE_MOD)</f>
        <v>492</v>
      </c>
      <c r="I142" s="404" t="n">
        <f aca="false">SUMPRODUCT((SITE_ST="P9-014")*SITE_KWP)</f>
        <v>280.44</v>
      </c>
      <c r="J142" s="405" t="n">
        <f aca="false">IF(SUMPRODUCT((SITE_ST="P9-014")*(SITE_TYPE&lt;&gt;""))=0,"",SUMPRODUCT((SITE_ST="P9-014")*SITE_S21*SITE_D21)/MAX(0.0001,SUMPRODUCT((SITE_ST="P9-014")*SITE_S21)))</f>
        <v>0</v>
      </c>
      <c r="K142" s="406" t="str">
        <f aca="false">IF(SUMPRODUCT((SITE_ST="P9-014")*(SITE_TYPE&lt;&gt;""))=0,"",SUMPRODUCT((SITE_ST="P9-014")*(SITE_TYPE&lt;&gt;"")*(SITE_T22="Y"))&amp;"/"&amp;SUMPRODUCT((SITE_ST="P9-014")*(SITE_TYPE&lt;&gt;"")))</f>
        <v>0/1</v>
      </c>
      <c r="L142" s="406" t="str">
        <f aca="false">IF(SUMPRODUCT((SITE_ST="P9-014")*(SITE_TYPE&lt;&gt;""))=0,"",SUMPRODUCT((SITE_ST="P9-014")*(SITE_TYPE&lt;&gt;"")*(SITE_T23="Y"))&amp;"/"&amp;SUMPRODUCT((SITE_ST="P9-014")*(SITE_TYPE&lt;&gt;"")))</f>
        <v>0/1</v>
      </c>
      <c r="O142" s="406" t="str">
        <f aca="false">IF(SUMPRODUCT((SITE_ST="P9-014")*(LEFT(SITE_LAD,4)="ติด:"))=0,"",SUMPRODUCT((SITE_ST="P9-014")*(LEFT(SITE_LAD,4)="ติด:"))&amp;"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IFERROR(INDEX(INVS_TYPE,MATCH("P9-014",INVS_ID,0))&amp;"","")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ทั้งก้อน",IFERROR(INDEX(INVS_SET,MATCH("P9-014",INVS_ID,0)),"")&amp;" kW, โรงเรือน "&amp;IFERROR(INDEX(INVS_SIZE,MATCH("P9-014",INVS_ID,0)),"")&amp;",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1" display="✎ กรอกความคืบหน้า"/>
    <hyperlink ref="R4" location="'Master Plan'!A21" display="← กลับ Master Plan"/>
    <hyperlink ref="M10" location="'อัปเดตงาน WBS'!L10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2"/>
    <hyperlink ref="M11" location="'อัปเดตงาน WBS'!L10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3"/>
    <hyperlink ref="M12" location="'อัปเดตงาน WBS'!L10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4"/>
    <hyperlink ref="M13" location="'อัปเดตงาน WBS'!L10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5"/>
    <hyperlink ref="M14" location="'อัปเดตงาน WBS'!L10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6"/>
    <hyperlink ref="M15" location="'อัปเดตงาน WBS'!L10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7"/>
    <hyperlink ref="M17" location="'อัปเดตงาน WBS'!L10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8"/>
    <hyperlink ref="M18" location="'อัปเดตงาน WBS'!L10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79"/>
    <hyperlink ref="M19" location="'อัปเดตงาน WBS'!L10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0"/>
    <hyperlink ref="M20" location="'อัปเดตงาน WBS'!L10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1"/>
    <hyperlink ref="M21" location="'อัปเดตงาน WBS'!L10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2"/>
    <hyperlink ref="M22" location="'อัปเดตงาน WBS'!L10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3"/>
    <hyperlink ref="M23" location="'อัปเดตงาน WBS'!L10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4"/>
    <hyperlink ref="M24" location="'อัปเดตงาน WBS'!L10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5"/>
    <hyperlink ref="M26" location="'อัปเดตงาน WBS'!L10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6"/>
    <hyperlink ref="M27" location="'อัปเดตงาน WBS'!L10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7"/>
    <hyperlink ref="M28" location="'อัปเดตงาน WBS'!L10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8"/>
    <hyperlink ref="M31" location="'อัปเดตงาน WBS'!L10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89"/>
    <hyperlink ref="M32" location="'อัปเดตงาน WBS'!L10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0"/>
    <hyperlink ref="M33" location="'อัปเดตงาน WBS'!L10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1"/>
    <hyperlink ref="M35" location="'อัปเดตงาน WBS'!L10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2"/>
    <hyperlink ref="M36" location="'อัปเดตงาน WBS'!L10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3"/>
    <hyperlink ref="M37" location="'อัปเดตงาน WBS'!L10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4"/>
    <hyperlink ref="M38" location="'อัปเดตงาน WBS'!L10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5"/>
    <hyperlink ref="M40" location="'อัปเดตงาน WBS'!L10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6"/>
    <hyperlink ref="M41" location="'อัปเดตงาน WBS'!L10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7"/>
    <hyperlink ref="M42" location="'อัปเดตงาน WBS'!L10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8"/>
    <hyperlink ref="M44" location="'อัปเดตงาน WBS'!L10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099"/>
    <hyperlink ref="M45" location="'อัปเดตงาน WBS'!L11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0"/>
    <hyperlink ref="M46" location="'อัปเดตงาน WBS'!L11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1"/>
    <hyperlink ref="M48" location="'อัปเดตงาน WBS'!L11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2"/>
    <hyperlink ref="M49" location="'อัปเดตงาน WBS'!L11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3"/>
    <hyperlink ref="M51" location="'อัปเดตงาน WBS'!L11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4"/>
    <hyperlink ref="M53" location="'อัปเดตงาน WBS'!L11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5"/>
    <hyperlink ref="M54" location="'อัปเดตงาน WBS'!L11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6"/>
    <hyperlink ref="M63" location="'อัปเดตงาน WBS'!L11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7"/>
    <hyperlink ref="M64" location="'อัปเดตงาน WBS'!L11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8"/>
    <hyperlink ref="M65" location="'อัปเดตงาน WBS'!L11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09"/>
    <hyperlink ref="M66" location="'อัปเดตงาน WBS'!L11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0"/>
    <hyperlink ref="M67" location="'อัปเดตงาน WBS'!L11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1"/>
    <hyperlink ref="M68" location="'อัปเดตงาน WBS'!L11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2"/>
    <hyperlink ref="M69" location="'อัปเดตงาน WBS'!L11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3"/>
    <hyperlink ref="M71" location="'อัปเดตงาน WBS'!L11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4"/>
    <hyperlink ref="M72" location="'อัปเดตงาน WBS'!L11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5"/>
    <hyperlink ref="M73" location="'อัปเดตงาน WBS'!L11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6"/>
    <hyperlink ref="M74" location="'อัปเดตงาน WBS'!L11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7"/>
    <hyperlink ref="M75" location="'อัปเดตงาน WBS'!L11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8"/>
    <hyperlink ref="M77" location="'อัปเดตงาน WBS'!L11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19"/>
    <hyperlink ref="M78" location="'อัปเดตงาน WBS'!L11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0"/>
    <hyperlink ref="M79" location="'อัปเดตงาน WBS'!L11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1"/>
    <hyperlink ref="M80" location="'อัปเดตงาน WBS'!L11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2"/>
    <hyperlink ref="M81" location="'อัปเดตงาน WBS'!L11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3"/>
    <hyperlink ref="M83" location="'อัปเดตงาน WBS'!L11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4"/>
    <hyperlink ref="M84" location="'อัปเดตงาน WBS'!L11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5"/>
    <hyperlink ref="M86" location="'อัปเดตงาน WBS'!L11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6"/>
    <hyperlink ref="M87" location="'อัปเดตงาน WBS'!L11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7"/>
    <hyperlink ref="M88" location="'อัปเดตงาน WBS'!L11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8"/>
    <hyperlink ref="M89" location="'อัปเดตงาน WBS'!L11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29"/>
    <hyperlink ref="M91" location="'อัปเดตงาน WBS'!L11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0"/>
    <hyperlink ref="M92" location="'อัปเดตงาน WBS'!L11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1"/>
    <hyperlink ref="M93" location="'อัปเดตงาน WBS'!L11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2"/>
    <hyperlink ref="M94" location="'อัปเดตงาน WBS'!L11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3"/>
    <hyperlink ref="M95" location="'อัปเดตงาน WBS'!L11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4"/>
    <hyperlink ref="M97" location="'อัปเดตงาน WBS'!L11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5"/>
    <hyperlink ref="M98" location="'อัปเดตงาน WBS'!L11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6"/>
    <hyperlink ref="M99" location="'อัปเดตงาน WBS'!L11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7"/>
    <hyperlink ref="M102" location="'อัปเดตงาน WBS'!L11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8"/>
    <hyperlink ref="M104" location="'อัปเดตงาน WBS'!L11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39"/>
    <hyperlink ref="M105" location="'อัปเดตงาน WBS'!L11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0"/>
    <hyperlink ref="M106" location="'อัปเดตงาน WBS'!L11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1"/>
    <hyperlink ref="M108" location="'อัปเดตงาน WBS'!L11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2"/>
    <hyperlink ref="M109" location="'อัปเดตงาน WBS'!L11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3"/>
    <hyperlink ref="M110" location="'อัปเดตงาน WBS'!L11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4"/>
    <hyperlink ref="M112" location="'อัปเดตงาน WBS'!L11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5"/>
    <hyperlink ref="M113" location="'อัปเดตงาน WBS'!L11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6"/>
    <hyperlink ref="M116" location="'อัปเดตงาน WBS'!L11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7"/>
    <hyperlink ref="M117" location="'อัปเดตงาน WBS'!L11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8"/>
    <hyperlink ref="M118" location="'อัปเดตงาน WBS'!L11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49"/>
    <hyperlink ref="M119" location="'อัปเดตงาน WBS'!L11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0"/>
    <hyperlink ref="M120" location="'อัปเดตงาน WBS'!L11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1"/>
    <hyperlink ref="M121" location="'อัปเดตงาน WBS'!L11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2"/>
    <hyperlink ref="M125" location="'อัปเดตงาน WBS'!L11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3"/>
    <hyperlink ref="M126" location="'อัปเดตงาน WBS'!L11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4"/>
    <hyperlink ref="M127" location="'อัปเดตงาน WBS'!L11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5"/>
    <hyperlink ref="D134" location="'จุดติดตั้ง'!A72" display="✎ เพิ่ม / แก้จุดติดตั้ง →"/>
    <hyperlink ref="D146" location="'Inverter station'!A19" display="file:///home/claude/dash/template/%E0%B9%81%E0%B8%A1%E0%B9%88%E0%B9%81%E0%B8%9A%E0%B8%9A%E0%B9%82%E0%B8%84%E0%B8%A3%E0%B8%87%E0%B8%81%E0%B8%B2%E0%B8%A3%20TCRoof%20(%E0%B8%97%E0%B8%B8%E0%B8%81%E0%B8%81%E0%B8%A3%E0%B8%93%E0%B8%B5).xlsx#'Inverter station'!A1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3724</v>
      </c>
    </row>
    <row r="2" customFormat="false" ht="15" hidden="false" customHeight="false" outlineLevel="0" collapsed="false">
      <c r="A2" s="354" t="s">
        <v>3725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Plan'!$AI$22</f>
        <v>-36</v>
      </c>
      <c r="M4" s="360"/>
      <c r="N4" s="360" t="n">
        <f aca="false">'Master Plan'!$AJ$22</f>
        <v>-3</v>
      </c>
      <c r="O4" s="360"/>
      <c r="P4" s="361" t="str">
        <f aca="false">'Master Plan'!$AK$22&amp;" / "&amp;'Master Plan'!$AL$22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COUNTIFS(CR_ST,"P9-015",CR_STAT,"อนุมัติ")&amp;" รายการ, "&amp;'Master Plan'!$AO$22&amp;" วัน"</f>
        <v>0 รายการ, 0 วัน</v>
      </c>
      <c r="AG4" s="362"/>
      <c r="AH4" s="362"/>
      <c r="AI4" s="362"/>
      <c r="AJ4" s="362"/>
      <c r="AK4" s="363" t="n">
        <f aca="false">COUNTIFS(CR_ST,"P9-015",CR_STAT,"รออนุมัติ")+COUNTIFS(CR_ST,"P9-015",CR_STAT,"ขอข้อมูลเพิ่ม")</f>
        <v>0</v>
      </c>
      <c r="AL4" s="363"/>
      <c r="AM4" s="363"/>
      <c r="AN4" s="363"/>
      <c r="AO4" s="363"/>
      <c r="AP4" s="362" t="str">
        <f aca="false">COUNTIF(RW_ST,"P9-015")&amp;" ("&amp;COUNTIFS(RW_ST,"P9-015",RW_DONE,"&lt;&gt;Y")&amp;")"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COUNTIF(LL_ST,"*P9-015*")</f>
        <v>0</v>
      </c>
      <c r="BA4" s="363"/>
      <c r="BB4" s="363"/>
      <c r="BC4" s="363"/>
      <c r="BD4" s="363"/>
      <c r="BE4" s="362" t="str">
        <f aca="false">IF(COUNTIFS(SITE_ST,"P9-015",SITE_TYPE,"?*")=0,"ประมาณการ,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IF(COUNTIFS(SITE_ST,"P9-015",SITE_TYPE,"?*")=0,"ยังไม่ระบุจุด",COUNTIFS(SITE_ST,"P9-015",SITE_LAD,"ติด:*")&amp;" จุด"&amp;IF(COUNTIFS(SITE_ST,"P9-015",SITE_LAD,"⚠*")&gt;0,",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3726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101</v>
      </c>
      <c r="E9" s="372" t="n">
        <v>0</v>
      </c>
      <c r="F9" s="31"/>
      <c r="G9" s="32"/>
      <c r="H9" s="32" t="n">
        <v>1</v>
      </c>
      <c r="I9" s="373" t="n">
        <f aca="false">'Master Plan'!$H$22+(-75)</f>
        <v>46328</v>
      </c>
      <c r="J9" s="373" t="n">
        <f aca="false">'Master Plan'!$H$22+(50)</f>
        <v>46453</v>
      </c>
      <c r="K9" s="78"/>
      <c r="L9" s="78" t="str">
        <f aca="false">IF(ISNUMBER(อัปเดตรายสัปดาห์!$G$22),อัปเดตรายสัปดาห์!$G$22,"")</f>
        <v/>
      </c>
      <c r="M9" s="374" t="str">
        <f aca="false">IF(อัปเดตรายสัปดาห์!$G$22="Y","Y","")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Plan'!$H$22+(-75)</f>
        <v>46328</v>
      </c>
      <c r="J10" s="382" t="n">
        <f aca="false">'Master Plan'!$H$22+(-63)</f>
        <v>46340</v>
      </c>
      <c r="K10" s="387"/>
      <c r="L10" s="387"/>
      <c r="M10" s="383" t="str">
        <f aca="false">IF('อัปเดตงาน WBS'!$L$1156="","",'อัปเดตงาน WBS'!$L$1156)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Plan'!$H$22+(-75)</f>
        <v>46328</v>
      </c>
      <c r="J11" s="382" t="n">
        <f aca="false">'Master Plan'!$H$22+(-63)</f>
        <v>46340</v>
      </c>
      <c r="K11" s="387"/>
      <c r="L11" s="387"/>
      <c r="M11" s="383" t="str">
        <f aca="false">IF('อัปเดตงาน WBS'!$L$1157="","",'อัปเดตงาน WBS'!$L$1157)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Plan'!$H$22+(-75)</f>
        <v>46328</v>
      </c>
      <c r="J12" s="382" t="n">
        <f aca="false">'Master Plan'!$H$22+(-63)</f>
        <v>46340</v>
      </c>
      <c r="K12" s="387"/>
      <c r="L12" s="387"/>
      <c r="M12" s="383" t="str">
        <f aca="false">IF('อัปเดตงาน WBS'!$L$1158="","",'อัปเดตงาน WBS'!$L$1158)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Plan'!$H$22+(-75)</f>
        <v>46328</v>
      </c>
      <c r="J13" s="382" t="n">
        <f aca="false">'Master Plan'!$H$22+(-56)</f>
        <v>46347</v>
      </c>
      <c r="K13" s="387"/>
      <c r="L13" s="387"/>
      <c r="M13" s="383" t="str">
        <f aca="false">IF('อัปเดตงาน WBS'!$L$1159="","",'อัปเดตงาน WBS'!$L$1159)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Plan'!$H$22+(-63)</f>
        <v>46340</v>
      </c>
      <c r="J14" s="382" t="n">
        <f aca="false">'Master Plan'!$H$22+(50)</f>
        <v>46453</v>
      </c>
      <c r="K14" s="387"/>
      <c r="L14" s="387"/>
      <c r="M14" s="383" t="str">
        <f aca="false">IF('อัปเดตงาน WBS'!$L$1160="","",'อัปเดตงาน WBS'!$L$1160)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Plan'!$H$22+(-63)</f>
        <v>46340</v>
      </c>
      <c r="J15" s="382" t="n">
        <f aca="false">'Master Plan'!$H$22+(50)</f>
        <v>46453</v>
      </c>
      <c r="K15" s="387"/>
      <c r="L15" s="387"/>
      <c r="M15" s="383" t="str">
        <f aca="false">IF('อัปเดตงาน WBS'!$L$1161="","",'อัปเดตงาน WBS'!$L$1161)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Plan'!$H$22+(-56)</f>
        <v>46347</v>
      </c>
      <c r="J16" s="373" t="n">
        <f aca="false">'Master Plan'!$H$22+(-45)</f>
        <v>46358</v>
      </c>
      <c r="K16" s="78"/>
      <c r="L16" s="78" t="str">
        <f aca="false">IF(ISNUMBER(อัปเดตรายสัปดาห์!$H$22),อัปเดตรายสัปดาห์!$H$22,"")</f>
        <v/>
      </c>
      <c r="M16" s="374" t="str">
        <f aca="false">IF(อัปเดตรายสัปดาห์!$H$22="Y","Y","")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Plan'!$H$22+(-56)</f>
        <v>46347</v>
      </c>
      <c r="J17" s="382" t="n">
        <f aca="false">'Master Plan'!$H$22+(-54)</f>
        <v>46349</v>
      </c>
      <c r="K17" s="387"/>
      <c r="L17" s="387"/>
      <c r="M17" s="383" t="str">
        <f aca="false">IF('อัปเดตงาน WBS'!$L$1162="","",'อัปเดตงาน WBS'!$L$1162)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Plan'!$H$22+(-55)</f>
        <v>46348</v>
      </c>
      <c r="J18" s="382" t="n">
        <f aca="false">'Master Plan'!$H$22+(-52)</f>
        <v>46351</v>
      </c>
      <c r="K18" s="387"/>
      <c r="L18" s="387"/>
      <c r="M18" s="383" t="str">
        <f aca="false">IF('อัปเดตงาน WBS'!$L$1163="","",'อัปเดตงาน WBS'!$L$1163)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Plan'!$H$22+(-53)</f>
        <v>46350</v>
      </c>
      <c r="J19" s="382" t="n">
        <f aca="false">'Master Plan'!$H$22+(-48)</f>
        <v>46355</v>
      </c>
      <c r="K19" s="387"/>
      <c r="L19" s="387"/>
      <c r="M19" s="383" t="str">
        <f aca="false">IF('อัปเดตงาน WBS'!$L$1164="","",'อัปเดตงาน WBS'!$L$1164)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Plan'!$H$22+(-53)</f>
        <v>46350</v>
      </c>
      <c r="J20" s="382" t="n">
        <f aca="false">'Master Plan'!$H$22+(-48)</f>
        <v>46355</v>
      </c>
      <c r="K20" s="387"/>
      <c r="L20" s="387"/>
      <c r="M20" s="383" t="str">
        <f aca="false">IF('อัปเดตงาน WBS'!$L$1165="","",'อัปเดตงาน WBS'!$L$1165)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Plan'!$H$22+(-52)</f>
        <v>46351</v>
      </c>
      <c r="J21" s="382" t="n">
        <f aca="false">'Master Plan'!$H$22+(-47)</f>
        <v>46356</v>
      </c>
      <c r="K21" s="387"/>
      <c r="L21" s="387"/>
      <c r="M21" s="383" t="str">
        <f aca="false">IF('อัปเดตงาน WBS'!$L$1166="","",'อัปเดตงาน WBS'!$L$1166)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Plan'!$H$22+(-50)</f>
        <v>46353</v>
      </c>
      <c r="J22" s="382" t="n">
        <f aca="false">'Master Plan'!$H$22+(-46)</f>
        <v>46357</v>
      </c>
      <c r="K22" s="387"/>
      <c r="L22" s="387"/>
      <c r="M22" s="383" t="str">
        <f aca="false">IF('อัปเดตงาน WBS'!$L$1167="","",'อัปเดตงาน WBS'!$L$1167)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Plan'!$H$22+(-49)</f>
        <v>46354</v>
      </c>
      <c r="J24" s="382" t="n">
        <f aca="false">'Master Plan'!$H$22+(-45)</f>
        <v>46358</v>
      </c>
      <c r="K24" s="387"/>
      <c r="L24" s="387"/>
      <c r="M24" s="383" t="str">
        <f aca="false">IF('อัปเดตงาน WBS'!$L$1168="","",'อัปเดตงาน WBS'!$L$1168)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Plan'!$H$22+(-51)</f>
        <v>46352</v>
      </c>
      <c r="J25" s="373" t="n">
        <f aca="false">'Master Plan'!$H$22+(-51)</f>
        <v>46352</v>
      </c>
      <c r="K25" s="78"/>
      <c r="L25" s="78" t="str">
        <f aca="false">IF(ISNUMBER(อัปเดตรายสัปดาห์!$I$22),อัปเดตรายสัปดาห์!$I$22,"")</f>
        <v/>
      </c>
      <c r="M25" s="374" t="str">
        <f aca="false">IF(อัปเดตรายสัปดาห์!$I$22="Y","Y","")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Plan'!$H$22+(-51)</f>
        <v>46352</v>
      </c>
      <c r="J26" s="382" t="n">
        <f aca="false">'Master Plan'!$H$22+(-51)</f>
        <v>46352</v>
      </c>
      <c r="K26" s="387"/>
      <c r="L26" s="387"/>
      <c r="M26" s="383" t="str">
        <f aca="false">IF('อัปเดตงาน WBS'!$L$1169="","",'อัปเดตงาน WBS'!$L$1169)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Plan'!$H$22+(-51)</f>
        <v>46352</v>
      </c>
      <c r="J27" s="382" t="n">
        <f aca="false">'Master Plan'!$H$22+(-51)</f>
        <v>46352</v>
      </c>
      <c r="K27" s="387"/>
      <c r="L27" s="387"/>
      <c r="M27" s="383" t="str">
        <f aca="false">IF('อัปเดตงาน WBS'!$L$1170="","",'อัปเดตงาน WBS'!$L$1170)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Plan'!$H$22+(-51)</f>
        <v>46352</v>
      </c>
      <c r="J28" s="382" t="n">
        <f aca="false">'Master Plan'!$H$22+(-51)</f>
        <v>46352</v>
      </c>
      <c r="K28" s="387"/>
      <c r="L28" s="387"/>
      <c r="M28" s="383" t="str">
        <f aca="false">IF('อัปเดตงาน WBS'!$L$1171="","",'อัปเดตงาน WBS'!$L$1171)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101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Plan'!$H$22+(-75)</f>
        <v>46328</v>
      </c>
      <c r="J30" s="373" t="n">
        <f aca="false">'Master Plan'!$H$22+(-75)</f>
        <v>46328</v>
      </c>
      <c r="K30" s="78"/>
      <c r="L30" s="78" t="str">
        <f aca="false">IF(ISNUMBER(อัปเดตรายสัปดาห์!$J$22),อัปเดตรายสัปดาห์!$J$22,"")</f>
        <v/>
      </c>
      <c r="M30" s="374" t="str">
        <f aca="false">IF(อัปเดตรายสัปดาห์!$J$22="Y","Y","")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Plan'!$H$22+(-75)</f>
        <v>46328</v>
      </c>
      <c r="J31" s="382" t="n">
        <f aca="false">'Master Plan'!$H$22+(-75)</f>
        <v>46328</v>
      </c>
      <c r="K31" s="387"/>
      <c r="L31" s="387"/>
      <c r="M31" s="383" t="str">
        <f aca="false">IF('อัปเดตงาน WBS'!$L$1172="","",'อัปเดตงาน WBS'!$L$1172)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Plan'!$H$22+(-75)</f>
        <v>46328</v>
      </c>
      <c r="J32" s="382" t="n">
        <f aca="false">'Master Plan'!$H$22+(-75)</f>
        <v>46328</v>
      </c>
      <c r="K32" s="387"/>
      <c r="L32" s="387"/>
      <c r="M32" s="383" t="str">
        <f aca="false">IF('อัปเดตงาน WBS'!$L$1173="","",'อัปเดตงาน WBS'!$L$1173)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Plan'!$H$22+(-75)</f>
        <v>46328</v>
      </c>
      <c r="J33" s="382" t="n">
        <f aca="false">'Master Plan'!$H$22+(-75)</f>
        <v>46328</v>
      </c>
      <c r="K33" s="387"/>
      <c r="L33" s="387"/>
      <c r="M33" s="383" t="str">
        <f aca="false">IF('อัปเดตงาน WBS'!$L$1174="","",'อัปเดตงาน WBS'!$L$1174)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101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Plan'!$H$22+(-68)</f>
        <v>46335</v>
      </c>
      <c r="J34" s="373" t="n">
        <f aca="false">'Master Plan'!$H$22+(-59)</f>
        <v>46344</v>
      </c>
      <c r="K34" s="78"/>
      <c r="L34" s="78" t="str">
        <f aca="false">IF(ISNUMBER(อัปเดตรายสัปดาห์!$K$22),อัปเดตรายสัปดาห์!$K$22,"")</f>
        <v/>
      </c>
      <c r="M34" s="374" t="str">
        <f aca="false">IF(อัปเดตรายสัปดาห์!$K$22="Y","Y","")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Plan'!$H$22+(-68)</f>
        <v>46335</v>
      </c>
      <c r="J35" s="382" t="n">
        <f aca="false">'Master Plan'!$H$22+(-64)</f>
        <v>46339</v>
      </c>
      <c r="K35" s="387"/>
      <c r="L35" s="387"/>
      <c r="M35" s="383" t="str">
        <f aca="false">IF('อัปเดตงาน WBS'!$L$1175="","",'อัปเดตงาน WBS'!$L$1175)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Plan'!$H$22+(-68)</f>
        <v>46335</v>
      </c>
      <c r="J36" s="382" t="n">
        <f aca="false">'Master Plan'!$H$22+(-63)</f>
        <v>46340</v>
      </c>
      <c r="K36" s="387"/>
      <c r="L36" s="387"/>
      <c r="M36" s="383" t="str">
        <f aca="false">IF('อัปเดตงาน WBS'!$L$1176="","",'อัปเดตงาน WBS'!$L$1176)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Plan'!$H$22+(-65)</f>
        <v>46338</v>
      </c>
      <c r="J37" s="382" t="n">
        <f aca="false">'Master Plan'!$H$22+(-62)</f>
        <v>46341</v>
      </c>
      <c r="K37" s="387"/>
      <c r="L37" s="387"/>
      <c r="M37" s="383" t="str">
        <f aca="false">IF('อัปเดตงาน WBS'!$L$1177="","",'อัปเดตงาน WBS'!$L$1177)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Plan'!$H$22+(-63)</f>
        <v>46340</v>
      </c>
      <c r="J38" s="382" t="n">
        <f aca="false">'Master Plan'!$H$22+(-59)</f>
        <v>46344</v>
      </c>
      <c r="K38" s="387"/>
      <c r="L38" s="387"/>
      <c r="M38" s="383" t="str">
        <f aca="false">IF('อัปเดตงาน WBS'!$L$1178="","",'อัปเดตงาน WBS'!$L$1178)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101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Plan'!$H$22+(-45)</f>
        <v>46358</v>
      </c>
      <c r="J39" s="373" t="n">
        <f aca="false">'Master Plan'!$H$22+(-45)</f>
        <v>46358</v>
      </c>
      <c r="K39" s="78"/>
      <c r="L39" s="78" t="str">
        <f aca="false">IF(ISNUMBER(อัปเดตรายสัปดาห์!$L$22),อัปเดตรายสัปดาห์!$L$22,"")</f>
        <v/>
      </c>
      <c r="M39" s="374" t="str">
        <f aca="false">IF(อัปเดตรายสัปดาห์!$L$22="Y","Y","")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Plan'!$H$22+(-45)</f>
        <v>46358</v>
      </c>
      <c r="J40" s="382" t="n">
        <f aca="false">'Master Plan'!$H$22+(-45)</f>
        <v>46358</v>
      </c>
      <c r="K40" s="387"/>
      <c r="L40" s="387"/>
      <c r="M40" s="383" t="str">
        <f aca="false">IF('อัปเดตงาน WBS'!$L$1179="","",'อัปเดตงาน WBS'!$L$1179)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Plan'!$H$22+(-45)</f>
        <v>46358</v>
      </c>
      <c r="J41" s="382" t="n">
        <f aca="false">'Master Plan'!$H$22+(-45)</f>
        <v>46358</v>
      </c>
      <c r="K41" s="387"/>
      <c r="L41" s="387"/>
      <c r="M41" s="383" t="str">
        <f aca="false">IF('อัปเดตงาน WBS'!$L$1180="","",'อัปเดตงาน WBS'!$L$1180)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Plan'!$H$22+(-45)</f>
        <v>46358</v>
      </c>
      <c r="J42" s="382" t="n">
        <f aca="false">'Master Plan'!$H$22+(-45)</f>
        <v>46358</v>
      </c>
      <c r="K42" s="387"/>
      <c r="L42" s="387"/>
      <c r="M42" s="383" t="str">
        <f aca="false">IF('อัปเดตงาน WBS'!$L$1181="","",'อัปเดตงาน WBS'!$L$1181)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Plan'!$H$22+(-68)</f>
        <v>46335</v>
      </c>
      <c r="J43" s="373" t="n">
        <f aca="false">'Master Plan'!$H$22+(-55)</f>
        <v>46348</v>
      </c>
      <c r="K43" s="78"/>
      <c r="L43" s="78" t="str">
        <f aca="false">IF(ISNUMBER(อัปเดตรายสัปดาห์!$M$22),อัปเดตรายสัปดาห์!$M$22,"")</f>
        <v/>
      </c>
      <c r="M43" s="374" t="str">
        <f aca="false">IF(อัปเดตรายสัปดาห์!$M$22="Y","Y","")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Plan'!$H$22+(-68)</f>
        <v>46335</v>
      </c>
      <c r="J44" s="382" t="n">
        <f aca="false">'Master Plan'!$H$22+(-65)</f>
        <v>46338</v>
      </c>
      <c r="K44" s="387"/>
      <c r="L44" s="387"/>
      <c r="M44" s="383" t="str">
        <f aca="false">IF('อัปเดตงาน WBS'!$L$1182="","",'อัปเดตงาน WBS'!$L$1182)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Plan'!$H$22+(-67)</f>
        <v>46336</v>
      </c>
      <c r="J45" s="382" t="n">
        <f aca="false">'Master Plan'!$H$22+(-62)</f>
        <v>46341</v>
      </c>
      <c r="K45" s="387"/>
      <c r="L45" s="387"/>
      <c r="M45" s="383" t="str">
        <f aca="false">IF('อัปเดตงาน WBS'!$L$1183="","",'อัปเดตงาน WBS'!$L$1183)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Plan'!$H$22+(-62)</f>
        <v>46341</v>
      </c>
      <c r="J46" s="382" t="n">
        <f aca="false">'Master Plan'!$H$22+(-55)</f>
        <v>46348</v>
      </c>
      <c r="K46" s="387"/>
      <c r="L46" s="387"/>
      <c r="M46" s="383" t="str">
        <f aca="false">IF('อัปเดตงาน WBS'!$L$1184="","",'อัปเดตงาน WBS'!$L$1184)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IF(ISNUMBER(อัปเดตรายสัปดาห์!$P$22),อัปเดตรายสัปดาห์!$P$22,"")</f>
        <v/>
      </c>
      <c r="M52" s="374" t="str">
        <f aca="false">IF(อัปเดตรายสัปดาห์!$P$22="Y","Y","")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WBS'!$L$1185="","",'อัปเดตงาน WBS'!$L$1185)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WBS'!$L$1186="","",'อัปเดตงาน WBS'!$L$1186)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Plan'!$H$22+(-12)</f>
        <v>46391</v>
      </c>
      <c r="J55" s="373" t="n">
        <f aca="false">'Master Plan'!$H$22+(-12)</f>
        <v>46391</v>
      </c>
      <c r="K55" s="78"/>
      <c r="L55" s="78" t="str">
        <f aca="false">IF(ISNUMBER(อัปเดตรายสัปดาห์!$Q$22),อัปเดตรายสัปดาห์!$Q$22,"")</f>
        <v/>
      </c>
      <c r="M55" s="374" t="str">
        <f aca="false">IF(อัปเดตรายสัปดาห์!$Q$22="Y","Y","")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Plan'!$AC$22)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IF(ISNUMBER(อัปเดตรายสัปดาห์!$R$22),อัปเดตรายสัปดาห์!$R$22,"")</f>
        <v/>
      </c>
      <c r="M56" s="374" t="str">
        <f aca="false">IF(อัปเดตรายสัปดาห์!$R$22="Y","Y","")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Plan'!$H$22+(-11)</f>
        <v>46392</v>
      </c>
      <c r="J57" s="373" t="n">
        <f aca="false">'Master Plan'!$H$22+(9)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IF(ISNUMBER(อัปเดตรายสัปดาห์!$S$22),อัปเดตรายสัปดาห์!$S$22,"")</f>
        <v/>
      </c>
      <c r="M57" s="374" t="str">
        <f aca="false">IF(อัปเดตรายสัปดาห์!$S$22="Y","Y","")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Plan'!$AD$22)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Plan'!$H$22+(10)</f>
        <v>46413</v>
      </c>
      <c r="J58" s="373" t="n">
        <f aca="false">'Master Plan'!$H$22+(16)</f>
        <v>46419</v>
      </c>
      <c r="K58" s="78"/>
      <c r="L58" s="78" t="str">
        <f aca="false">IF(ISNUMBER(อัปเดตรายสัปดาห์!$T$22),อัปเดตรายสัปดาห์!$T$22,"")</f>
        <v/>
      </c>
      <c r="M58" s="374" t="str">
        <f aca="false">IF(อัปเดตรายสัปดาห์!$T$22="Y","Y","")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Plan'!$AE$22)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Plan'!$H$22+(17)</f>
        <v>46420</v>
      </c>
      <c r="J59" s="373" t="n">
        <f aca="false">'Master Plan'!$H$22+(17)</f>
        <v>46420</v>
      </c>
      <c r="K59" s="78"/>
      <c r="L59" s="78" t="str">
        <f aca="false">IF(ISNUMBER(อัปเดตรายสัปดาห์!$U$22),อัปเดตรายสัปดาห์!$U$22,"")</f>
        <v/>
      </c>
      <c r="M59" s="374" t="str">
        <f aca="false">IF(อัปเดตรายสัปดาห์!$U$22="Y","Y","")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Plan'!$AF$22)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101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Plan'!$H$22+(18)</f>
        <v>46421</v>
      </c>
      <c r="J60" s="373" t="n">
        <f aca="false">'Master Plan'!$H$22+(33)</f>
        <v>46436</v>
      </c>
      <c r="K60" s="78"/>
      <c r="L60" s="78" t="str">
        <f aca="false">IF(ISNUMBER(อัปเดตรายสัปดาห์!$V$22),อัปเดตรายสัปดาห์!$V$22,"")</f>
        <v/>
      </c>
      <c r="M60" s="374" t="str">
        <f aca="false">IF(อัปเดตรายสัปดาห์!$V$22="Y","Y","")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Plan'!$AH$22)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3727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Plan'!$H$22+(-42)</f>
        <v>46361</v>
      </c>
      <c r="J62" s="373" t="n">
        <f aca="false">'Master Plan'!$H$22+(-25)</f>
        <v>46378</v>
      </c>
      <c r="K62" s="78"/>
      <c r="L62" s="78" t="str">
        <f aca="false">IF(ISNUMBER(อัปเดตรายสัปดาห์!$W$22),อัปเดตรายสัปดาห์!$W$22,"")</f>
        <v/>
      </c>
      <c r="M62" s="374" t="str">
        <f aca="false">IF(อัปเดตรายสัปดาห์!$W$22="Y","Y","")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-015",SITE_TYPE,"?*")&gt;0,MIN(1,SUMPRODUCT((SITE_ST="P9-015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Plan'!$H$22+(-42)</f>
        <v>46361</v>
      </c>
      <c r="J63" s="382" t="n">
        <f aca="false">'Master Plan'!$H$22+(-40)</f>
        <v>46363</v>
      </c>
      <c r="K63" s="387"/>
      <c r="L63" s="387"/>
      <c r="M63" s="383" t="str">
        <f aca="false">IF('อัปเดตงาน WBS'!$L$1187="","",'อัปเดตงาน WBS'!$L$1187)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Plan'!$H$22+(-42)</f>
        <v>46361</v>
      </c>
      <c r="J64" s="382" t="n">
        <f aca="false">'Master Plan'!$H$22+(-39)</f>
        <v>46364</v>
      </c>
      <c r="K64" s="387"/>
      <c r="L64" s="387"/>
      <c r="M64" s="383" t="str">
        <f aca="false">IF('อัปเดตงาน WBS'!$L$1188="","",'อัปเดตงาน WBS'!$L$1188)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Plan'!$H$22+(-40)</f>
        <v>46363</v>
      </c>
      <c r="J65" s="382" t="n">
        <f aca="false">'Master Plan'!$H$22+(-34)</f>
        <v>46369</v>
      </c>
      <c r="K65" s="387"/>
      <c r="L65" s="387"/>
      <c r="M65" s="383" t="str">
        <f aca="false">IF('อัปเดตงาน WBS'!$L$1189="","",'อัปเดตงาน WBS'!$L$1189)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Plan'!$H$22+(-35)</f>
        <v>46368</v>
      </c>
      <c r="J66" s="382" t="n">
        <f aca="false">'Master Plan'!$H$22+(-28)</f>
        <v>46375</v>
      </c>
      <c r="K66" s="387"/>
      <c r="L66" s="387"/>
      <c r="M66" s="383" t="str">
        <f aca="false">IF('อัปเดตงาน WBS'!$L$1190="","",'อัปเดตงาน WBS'!$L$1190)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Plan'!$H$22+(-32)</f>
        <v>46371</v>
      </c>
      <c r="J67" s="382" t="n">
        <f aca="false">'Master Plan'!$H$22+(-26)</f>
        <v>46377</v>
      </c>
      <c r="K67" s="387"/>
      <c r="L67" s="387"/>
      <c r="M67" s="383" t="str">
        <f aca="false">IF('อัปเดตงาน WBS'!$L$1191="","",'อัปเดตงาน WBS'!$L$1191)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Plan'!$H$22+(-28)</f>
        <v>46375</v>
      </c>
      <c r="J68" s="382" t="n">
        <f aca="false">'Master Plan'!$H$22+(-25)</f>
        <v>46378</v>
      </c>
      <c r="K68" s="387"/>
      <c r="L68" s="387"/>
      <c r="M68" s="383" t="str">
        <f aca="false">IF('อัปเดตงาน WBS'!$L$1192="","",'อัปเดตงาน WBS'!$L$1192)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Plan'!$H$22+(-26)</f>
        <v>46377</v>
      </c>
      <c r="J69" s="382" t="n">
        <f aca="false">'Master Plan'!$H$22+(-25)</f>
        <v>46378</v>
      </c>
      <c r="K69" s="387"/>
      <c r="L69" s="387"/>
      <c r="M69" s="383" t="str">
        <f aca="false">IF('อัปเดตงาน WBS'!$L$1193="","",'อัปเดตงาน WBS'!$L$1193)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3727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Plan'!$H$22+(-24)</f>
        <v>46379</v>
      </c>
      <c r="J70" s="373" t="n">
        <f aca="false">'Master Plan'!$H$22+(-15)</f>
        <v>46388</v>
      </c>
      <c r="K70" s="78"/>
      <c r="L70" s="78" t="str">
        <f aca="false">IF(ISNUMBER(อัปเดตรายสัปดาห์!$X$22),อัปเดตรายสัปดาห์!$X$22,"")</f>
        <v/>
      </c>
      <c r="M70" s="374" t="str">
        <f aca="false">IF(อัปเดตรายสัปดาห์!$X$22="Y","Y","")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-015",SITE_TYPE,"?*")&gt;0,MIN(1,SUMPRODUCT((SITE_ST="P9-015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Plan'!$H$22+(-24)</f>
        <v>46379</v>
      </c>
      <c r="J71" s="382" t="n">
        <f aca="false">'Master Plan'!$H$22+(-20)</f>
        <v>46383</v>
      </c>
      <c r="K71" s="387"/>
      <c r="L71" s="387"/>
      <c r="M71" s="383" t="str">
        <f aca="false">IF('อัปเดตงาน WBS'!$L$1194="","",'อัปเดตงาน WBS'!$L$1194)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Plan'!$H$22+(-22)</f>
        <v>46381</v>
      </c>
      <c r="J72" s="382" t="n">
        <f aca="false">'Master Plan'!$H$22+(-17)</f>
        <v>46386</v>
      </c>
      <c r="K72" s="387"/>
      <c r="L72" s="387"/>
      <c r="M72" s="383" t="str">
        <f aca="false">IF('อัปเดตงาน WBS'!$L$1195="","",'อัปเดตงาน WBS'!$L$1195)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Plan'!$H$22+(-21)</f>
        <v>46382</v>
      </c>
      <c r="J73" s="382" t="n">
        <f aca="false">'Master Plan'!$H$22+(-17)</f>
        <v>46386</v>
      </c>
      <c r="K73" s="387"/>
      <c r="L73" s="387"/>
      <c r="M73" s="383" t="str">
        <f aca="false">IF('อัปเดตงาน WBS'!$L$1196="","",'อัปเดตงาน WBS'!$L$1196)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Plan'!$H$22+(-20)</f>
        <v>46383</v>
      </c>
      <c r="J74" s="382" t="n">
        <f aca="false">'Master Plan'!$H$22+(-15)</f>
        <v>46388</v>
      </c>
      <c r="K74" s="387"/>
      <c r="L74" s="387"/>
      <c r="M74" s="383" t="str">
        <f aca="false">IF('อัปเดตงาน WBS'!$L$1197="","",'อัปเดตงาน WBS'!$L$1197)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Plan'!$H$22+(-17)</f>
        <v>46386</v>
      </c>
      <c r="J75" s="382" t="n">
        <f aca="false">'Master Plan'!$H$22+(-15)</f>
        <v>46388</v>
      </c>
      <c r="K75" s="387"/>
      <c r="L75" s="387"/>
      <c r="M75" s="383" t="str">
        <f aca="false">IF('อัปเดตงาน WBS'!$L$1198="","",'อัปเดตงาน WBS'!$L$1198)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3727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Plan'!$H$22+(-24)</f>
        <v>46379</v>
      </c>
      <c r="J76" s="373" t="n">
        <f aca="false">'Master Plan'!$H$22+(-15)</f>
        <v>46388</v>
      </c>
      <c r="K76" s="78"/>
      <c r="L76" s="78" t="str">
        <f aca="false">IF(ISNUMBER(อัปเดตรายสัปดาห์!$Y$22),อัปเดตรายสัปดาห์!$Y$22,"")</f>
        <v/>
      </c>
      <c r="M76" s="374" t="str">
        <f aca="false">IF(อัปเดตรายสัปดาห์!$Y$22="Y","Y","")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-015",SITE_TYPE,"?*")&gt;0,MIN(1,SUMPRODUCT((SITE_ST="P9-015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Plan'!$H$22+(-24)</f>
        <v>46379</v>
      </c>
      <c r="J77" s="382" t="n">
        <f aca="false">'Master Plan'!$H$22+(-21)</f>
        <v>46382</v>
      </c>
      <c r="K77" s="387"/>
      <c r="L77" s="387"/>
      <c r="M77" s="383" t="str">
        <f aca="false">IF('อัปเดตงาน WBS'!$L$1199="","",'อัปเดตงาน WBS'!$L$1199)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Plan'!$H$22+(-23)</f>
        <v>46380</v>
      </c>
      <c r="J78" s="382" t="n">
        <f aca="false">'Master Plan'!$H$22+(-16)</f>
        <v>46387</v>
      </c>
      <c r="K78" s="387"/>
      <c r="L78" s="387"/>
      <c r="M78" s="383" t="str">
        <f aca="false">IF('อัปเดตงาน WBS'!$L$1200="","",'อัปเดตงาน WBS'!$L$1200)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Plan'!$H$22+(-20)</f>
        <v>46383</v>
      </c>
      <c r="J79" s="382" t="n">
        <f aca="false">'Master Plan'!$H$22+(-15)</f>
        <v>46388</v>
      </c>
      <c r="K79" s="387"/>
      <c r="L79" s="387"/>
      <c r="M79" s="383" t="str">
        <f aca="false">IF('อัปเดตงาน WBS'!$L$1201="","",'อัปเดตงาน WBS'!$L$1201)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Plan'!$H$22+(-17)</f>
        <v>46386</v>
      </c>
      <c r="J80" s="382" t="n">
        <f aca="false">'Master Plan'!$H$22+(-15)</f>
        <v>46388</v>
      </c>
      <c r="K80" s="387"/>
      <c r="L80" s="387"/>
      <c r="M80" s="383" t="str">
        <f aca="false">IF('อัปเดตงาน WBS'!$L$1202="","",'อัปเดตงาน WBS'!$L$1202)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Plan'!$H$22+(-15)</f>
        <v>46388</v>
      </c>
      <c r="J81" s="382" t="n">
        <f aca="false">'Master Plan'!$H$22+(-15)</f>
        <v>46388</v>
      </c>
      <c r="K81" s="387"/>
      <c r="L81" s="387"/>
      <c r="M81" s="383" t="str">
        <f aca="false">IF('อัปเดตงาน WBS'!$L$1203="","",'อัปเดตงาน WBS'!$L$1203)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3727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Plan'!$H$22+(-21)</f>
        <v>46382</v>
      </c>
      <c r="J82" s="373" t="n">
        <f aca="false">'Master Plan'!$H$22+(-18)</f>
        <v>46385</v>
      </c>
      <c r="K82" s="78"/>
      <c r="L82" s="78" t="str">
        <f aca="false">IF(ISNUMBER(อัปเดตรายสัปดาห์!$Z$22),อัปเดตรายสัปดาห์!$Z$22,"")</f>
        <v/>
      </c>
      <c r="M82" s="374" t="str">
        <f aca="false">IF(อัปเดตรายสัปดาห์!$Z$22="Y","Y","")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Plan'!$H$22+(-21)</f>
        <v>46382</v>
      </c>
      <c r="J83" s="382" t="n">
        <f aca="false">'Master Plan'!$H$22+(-19)</f>
        <v>46384</v>
      </c>
      <c r="K83" s="387"/>
      <c r="L83" s="387"/>
      <c r="M83" s="383" t="str">
        <f aca="false">IF('อัปเดตงาน WBS'!$L$1204="","",'อัปเดตงาน WBS'!$L$1204)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Plan'!$H$22+(-20)</f>
        <v>46383</v>
      </c>
      <c r="J84" s="382" t="n">
        <f aca="false">'Master Plan'!$H$22+(-18)</f>
        <v>46385</v>
      </c>
      <c r="K84" s="387"/>
      <c r="L84" s="387"/>
      <c r="M84" s="383" t="str">
        <f aca="false">IF('อัปเดตงาน WBS'!$L$1205="","",'อัปเดตงาน WBS'!$L$1205)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3727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Plan'!$H$22+(-25)</f>
        <v>46378</v>
      </c>
      <c r="J85" s="373" t="n">
        <f aca="false">'Master Plan'!$H$22+(-17)</f>
        <v>46386</v>
      </c>
      <c r="K85" s="78"/>
      <c r="L85" s="78" t="str">
        <f aca="false">IF(ISNUMBER(อัปเดตรายสัปดาห์!$AA$22),อัปเดตรายสัปดาห์!$AA$22,"")</f>
        <v/>
      </c>
      <c r="M85" s="374" t="str">
        <f aca="false">IF(อัปเดตรายสัปดาห์!$AA$22="Y","Y","")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Plan'!$H$22+(-25)</f>
        <v>46378</v>
      </c>
      <c r="J86" s="382" t="n">
        <f aca="false">'Master Plan'!$H$22+(-21)</f>
        <v>46382</v>
      </c>
      <c r="K86" s="387"/>
      <c r="L86" s="387"/>
      <c r="M86" s="383" t="str">
        <f aca="false">IF('อัปเดตงาน WBS'!$L$1206="","",'อัปเดตงาน WBS'!$L$1206)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Plan'!$H$22+(-22)</f>
        <v>46381</v>
      </c>
      <c r="J87" s="382" t="n">
        <f aca="false">'Master Plan'!$H$22+(-18)</f>
        <v>46385</v>
      </c>
      <c r="K87" s="387"/>
      <c r="L87" s="387"/>
      <c r="M87" s="383" t="str">
        <f aca="false">IF('อัปเดตงาน WBS'!$L$1207="","",'อัปเดตงาน WBS'!$L$1207)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Plan'!$H$22+(-20)</f>
        <v>46383</v>
      </c>
      <c r="J88" s="382" t="n">
        <f aca="false">'Master Plan'!$H$22+(-17)</f>
        <v>46386</v>
      </c>
      <c r="K88" s="387"/>
      <c r="L88" s="387"/>
      <c r="M88" s="383" t="str">
        <f aca="false">IF('อัปเดตงาน WBS'!$L$1208="","",'อัปเดตงาน WBS'!$L$1208)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Plan'!$H$22+(-18)</f>
        <v>46385</v>
      </c>
      <c r="J89" s="382" t="n">
        <f aca="false">'Master Plan'!$H$22+(-17)</f>
        <v>46386</v>
      </c>
      <c r="K89" s="387"/>
      <c r="L89" s="387"/>
      <c r="M89" s="383" t="str">
        <f aca="false">IF('อัปเดตงาน WBS'!$L$1209="","",'อัปเดตงาน WBS'!$L$1209)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3727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Plan'!$H$22+(-25)</f>
        <v>46378</v>
      </c>
      <c r="J90" s="373" t="n">
        <f aca="false">'Master Plan'!$H$22+(-16)</f>
        <v>46387</v>
      </c>
      <c r="K90" s="78"/>
      <c r="L90" s="78" t="str">
        <f aca="false">IF(ISNUMBER(อัปเดตรายสัปดาห์!$AB$22),อัปเดตรายสัปดาห์!$AB$22,"")</f>
        <v/>
      </c>
      <c r="M90" s="374" t="str">
        <f aca="false">IF(อัปเดตรายสัปดาห์!$AB$22="Y","Y","")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Plan'!$H$22+(-25)</f>
        <v>46378</v>
      </c>
      <c r="J91" s="382" t="n">
        <f aca="false">'Master Plan'!$H$22+(-20)</f>
        <v>46383</v>
      </c>
      <c r="K91" s="387"/>
      <c r="L91" s="387"/>
      <c r="M91" s="383" t="str">
        <f aca="false">IF('อัปเดตงาน WBS'!$L$1210="","",'อัปเดตงาน WBS'!$L$1210)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Plan'!$H$22+(-20)</f>
        <v>46383</v>
      </c>
      <c r="J92" s="382" t="n">
        <f aca="false">'Master Plan'!$H$22+(-16)</f>
        <v>46387</v>
      </c>
      <c r="K92" s="387"/>
      <c r="L92" s="387"/>
      <c r="M92" s="383" t="str">
        <f aca="false">IF('อัปเดตงาน WBS'!$L$1211="","",'อัปเดตงาน WBS'!$L$1211)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Plan'!$H$22+(-25)</f>
        <v>46378</v>
      </c>
      <c r="J93" s="382" t="n">
        <f aca="false">'Master Plan'!$H$22+(-21)</f>
        <v>46382</v>
      </c>
      <c r="K93" s="387"/>
      <c r="L93" s="387"/>
      <c r="M93" s="383" t="str">
        <f aca="false">IF('อัปเดตงาน WBS'!$L$1212="","",'อัปเดตงาน WBS'!$L$1212)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Plan'!$H$22+(-21)</f>
        <v>46382</v>
      </c>
      <c r="J94" s="382" t="n">
        <f aca="false">'Master Plan'!$H$22+(-16)</f>
        <v>46387</v>
      </c>
      <c r="K94" s="387"/>
      <c r="L94" s="387"/>
      <c r="M94" s="383" t="str">
        <f aca="false">IF('อัปเดตงาน WBS'!$L$1213="","",'อัปเดตงาน WBS'!$L$1213)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Plan'!$H$22+(-17)</f>
        <v>46386</v>
      </c>
      <c r="J95" s="382" t="n">
        <f aca="false">'Master Plan'!$H$22+(-16)</f>
        <v>46387</v>
      </c>
      <c r="K95" s="387"/>
      <c r="L95" s="387"/>
      <c r="M95" s="383" t="str">
        <f aca="false">IF('อัปเดตงาน WBS'!$L$1214="","",'อัปเดตงาน WBS'!$L$1214)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3727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Plan'!$H$22+(-22)</f>
        <v>46381</v>
      </c>
      <c r="J96" s="373" t="n">
        <f aca="false">'Master Plan'!$H$22+(-16)</f>
        <v>46387</v>
      </c>
      <c r="K96" s="78"/>
      <c r="L96" s="78" t="str">
        <f aca="false">IF(ISNUMBER(อัปเดตรายสัปดาห์!$AC$22),อัปเดตรายสัปดาห์!$AC$22,"")</f>
        <v/>
      </c>
      <c r="M96" s="374" t="str">
        <f aca="false">IF(อัปเดตรายสัปดาห์!$AC$22="Y","Y","")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Plan'!$H$22+(-22)</f>
        <v>46381</v>
      </c>
      <c r="J97" s="382" t="n">
        <f aca="false">'Master Plan'!$H$22+(-17)</f>
        <v>46386</v>
      </c>
      <c r="K97" s="387"/>
      <c r="L97" s="387"/>
      <c r="M97" s="383" t="str">
        <f aca="false">IF('อัปเดตงาน WBS'!$L$1215="","",'อัปเดตงาน WBS'!$L$1215)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Plan'!$H$22+(-20)</f>
        <v>46383</v>
      </c>
      <c r="J98" s="382" t="n">
        <f aca="false">'Master Plan'!$H$22+(-16)</f>
        <v>46387</v>
      </c>
      <c r="K98" s="387"/>
      <c r="L98" s="387"/>
      <c r="M98" s="383" t="str">
        <f aca="false">IF('อัปเดตงาน WBS'!$L$1216="","",'อัปเดตงาน WBS'!$L$1216)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Plan'!$H$22+(-17)</f>
        <v>46386</v>
      </c>
      <c r="J99" s="382" t="n">
        <f aca="false">'Master Plan'!$H$22+(-16)</f>
        <v>46387</v>
      </c>
      <c r="K99" s="387"/>
      <c r="L99" s="387"/>
      <c r="M99" s="383" t="str">
        <f aca="false">IF('อัปเดตงาน WBS'!$L$1217="","",'อัปเดตงาน WBS'!$L$1217)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3727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Plan'!$H$22+(-20)</f>
        <v>46383</v>
      </c>
      <c r="J100" s="373" t="n">
        <f aca="false">'Master Plan'!$H$22+(-15)</f>
        <v>46388</v>
      </c>
      <c r="K100" s="78"/>
      <c r="L100" s="78" t="str">
        <f aca="false">IF(ISNUMBER(อัปเดตรายสัปดาห์!$AD$22),อัปเดตรายสัปดาห์!$AD$22,"")</f>
        <v/>
      </c>
      <c r="M100" s="374" t="str">
        <f aca="false">IF(อัปเดตรายสัปดาห์!$AD$22="Y","Y","")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Plan'!$H$22+(-19)</f>
        <v>46384</v>
      </c>
      <c r="J103" s="382" t="n">
        <f aca="false">'Master Plan'!$H$22+(-16)</f>
        <v>46387</v>
      </c>
      <c r="K103" s="387"/>
      <c r="L103" s="387"/>
      <c r="M103" s="383" t="str">
        <f aca="false">IF('อัปเดตงาน WBS'!$L$1218="","",'อัปเดตงาน WBS'!$L$1218)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Plan'!$H$22+(-18)</f>
        <v>46385</v>
      </c>
      <c r="J104" s="382" t="n">
        <f aca="false">'Master Plan'!$H$22+(-16)</f>
        <v>46387</v>
      </c>
      <c r="K104" s="387"/>
      <c r="L104" s="387"/>
      <c r="M104" s="383" t="str">
        <f aca="false">IF('อัปเดตงาน WBS'!$L$1219="","",'อัปเดตงาน WBS'!$L$1219)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Plan'!$H$22+(-18)</f>
        <v>46385</v>
      </c>
      <c r="J105" s="382" t="n">
        <f aca="false">'Master Plan'!$H$22+(-15)</f>
        <v>46388</v>
      </c>
      <c r="K105" s="387"/>
      <c r="L105" s="387"/>
      <c r="M105" s="383" t="str">
        <f aca="false">IF('อัปเดตงาน WBS'!$L$1220="","",'อัปเดตงาน WBS'!$L$1220)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Plan'!$H$22+(-16)</f>
        <v>46387</v>
      </c>
      <c r="J106" s="382" t="n">
        <f aca="false">'Master Plan'!$H$22+(-15)</f>
        <v>46388</v>
      </c>
      <c r="K106" s="387"/>
      <c r="L106" s="387"/>
      <c r="M106" s="383" t="str">
        <f aca="false">IF('อัปเดตงาน WBS'!$L$1221="","",'อัปเดตงาน WBS'!$L$1221)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3727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Plan'!$H$22+(-18)</f>
        <v>46385</v>
      </c>
      <c r="J107" s="373" t="n">
        <f aca="false">'Master Plan'!$H$22+(-14)</f>
        <v>46389</v>
      </c>
      <c r="K107" s="78"/>
      <c r="L107" s="78" t="str">
        <f aca="false">IF(ISNUMBER(อัปเดตรายสัปดาห์!$AE$22),อัปเดตรายสัปดาห์!$AE$22,"")</f>
        <v/>
      </c>
      <c r="M107" s="374" t="str">
        <f aca="false">IF(อัปเดตรายสัปดาห์!$AE$22="Y","Y","")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Plan'!$H$22+(-18)</f>
        <v>46385</v>
      </c>
      <c r="J108" s="382" t="n">
        <f aca="false">'Master Plan'!$H$22+(-15)</f>
        <v>46388</v>
      </c>
      <c r="K108" s="387"/>
      <c r="L108" s="387"/>
      <c r="M108" s="383" t="str">
        <f aca="false">IF('อัปเดตงาน WBS'!$L$1222="","",'อัปเดตงาน WBS'!$L$1222)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Plan'!$H$22+(-16)</f>
        <v>46387</v>
      </c>
      <c r="J109" s="382" t="n">
        <f aca="false">'Master Plan'!$H$22+(-14)</f>
        <v>46389</v>
      </c>
      <c r="K109" s="387"/>
      <c r="L109" s="387"/>
      <c r="M109" s="383" t="str">
        <f aca="false">IF('อัปเดตงาน WBS'!$L$1223="","",'อัปเดตงาน WBS'!$L$1223)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Plan'!$H$22+(-17)</f>
        <v>46386</v>
      </c>
      <c r="J110" s="382" t="n">
        <f aca="false">'Master Plan'!$H$22+(-15)</f>
        <v>46388</v>
      </c>
      <c r="K110" s="387"/>
      <c r="L110" s="387"/>
      <c r="M110" s="383" t="str">
        <f aca="false">IF('อัปเดตงาน WBS'!$L$1224="","",'อัปเดตงาน WBS'!$L$1224)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101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Plan'!$H$22+(-13)</f>
        <v>46390</v>
      </c>
      <c r="J111" s="373" t="n">
        <f aca="false">'Master Plan'!$H$22+(-13)</f>
        <v>46390</v>
      </c>
      <c r="K111" s="78"/>
      <c r="L111" s="78" t="str">
        <f aca="false">IF(ISNUMBER(อัปเดตรายสัปดาห์!$AF$22),อัปเดตรายสัปดาห์!$AF$22,"")</f>
        <v/>
      </c>
      <c r="M111" s="374" t="str">
        <f aca="false">IF(อัปเดตรายสัปดาห์!$AF$22="Y","Y","")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Plan'!$Y$22)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Plan'!$H$22+(-13)</f>
        <v>46390</v>
      </c>
      <c r="J112" s="382" t="n">
        <f aca="false">'Master Plan'!$H$22+(-13)</f>
        <v>46390</v>
      </c>
      <c r="K112" s="387"/>
      <c r="L112" s="387"/>
      <c r="M112" s="383" t="str">
        <f aca="false">IF('อัปเดตงาน WBS'!$L$1225="","",'อัปเดตงาน WBS'!$L$1225)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Plan'!$H$22+(-13)</f>
        <v>46390</v>
      </c>
      <c r="J113" s="382" t="n">
        <f aca="false">'Master Plan'!$H$22+(-13)</f>
        <v>46390</v>
      </c>
      <c r="K113" s="387"/>
      <c r="L113" s="387"/>
      <c r="M113" s="383" t="str">
        <f aca="false">IF('อัปเดตงาน WBS'!$L$1226="","",'อัปเดตงาน WBS'!$L$1226)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3727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Plan'!$H$22+(-12)</f>
        <v>46391</v>
      </c>
      <c r="J115" s="373" t="n">
        <f aca="false">'Master Plan'!$H$22+(-10)</f>
        <v>46393</v>
      </c>
      <c r="K115" s="78"/>
      <c r="L115" s="78" t="str">
        <f aca="false">IF(ISNUMBER(อัปเดตรายสัปดาห์!$AG$22),อัปเดตรายสัปดาห์!$AG$22,"")</f>
        <v/>
      </c>
      <c r="M115" s="374" t="str">
        <f aca="false">IF(อัปเดตรายสัปดาห์!$AG$22="Y","Y","")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Plan'!$AA$22)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Plan'!$H$22+(-12)</f>
        <v>46391</v>
      </c>
      <c r="J116" s="382" t="n">
        <f aca="false">'Master Plan'!$H$22+(-12)</f>
        <v>46391</v>
      </c>
      <c r="K116" s="387"/>
      <c r="L116" s="387"/>
      <c r="M116" s="383" t="str">
        <f aca="false">IF('อัปเดตงาน WBS'!$L$1227="","",'อัปเดตงาน WBS'!$L$1227)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Plan'!$H$22+(-12)</f>
        <v>46391</v>
      </c>
      <c r="J117" s="382" t="n">
        <f aca="false">'Master Plan'!$H$22+(-11)</f>
        <v>46392</v>
      </c>
      <c r="K117" s="387"/>
      <c r="L117" s="387"/>
      <c r="M117" s="383" t="str">
        <f aca="false">IF('อัปเดตงาน WBS'!$L$1228="","",'อัปเดตงาน WBS'!$L$1228)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Plan'!$H$22+(-11)</f>
        <v>46392</v>
      </c>
      <c r="J118" s="382" t="n">
        <f aca="false">'Master Plan'!$H$22+(-11)</f>
        <v>46392</v>
      </c>
      <c r="K118" s="387"/>
      <c r="L118" s="387"/>
      <c r="M118" s="383" t="str">
        <f aca="false">IF('อัปเดตงาน WBS'!$L$1229="","",'อัปเดตงาน WBS'!$L$1229)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Plan'!$H$22+(-11)</f>
        <v>46392</v>
      </c>
      <c r="J119" s="382" t="n">
        <f aca="false">'Master Plan'!$H$22+(-11)</f>
        <v>46392</v>
      </c>
      <c r="K119" s="387"/>
      <c r="L119" s="387"/>
      <c r="M119" s="383" t="str">
        <f aca="false">IF('อัปเดตงาน WBS'!$L$1230="","",'อัปเดตงาน WBS'!$L$1230)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Plan'!$H$22+(-11)</f>
        <v>46392</v>
      </c>
      <c r="J120" s="382" t="n">
        <f aca="false">'Master Plan'!$H$22+(-10)</f>
        <v>46393</v>
      </c>
      <c r="K120" s="387"/>
      <c r="L120" s="387"/>
      <c r="M120" s="383" t="str">
        <f aca="false">IF('อัปเดตงาน WBS'!$L$1231="","",'อัปเดตงาน WBS'!$L$1231)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Plan'!$H$22+(-11)</f>
        <v>46392</v>
      </c>
      <c r="J121" s="382" t="n">
        <f aca="false">'Master Plan'!$H$22+(-10)</f>
        <v>46393</v>
      </c>
      <c r="K121" s="387"/>
      <c r="L121" s="387"/>
      <c r="M121" s="383" t="str">
        <f aca="false">IF('อัปเดตงาน WBS'!$L$1232="","",'อัปเดตงาน WBS'!$L$1232)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101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Plan'!$H$22+(-10)</f>
        <v>46393</v>
      </c>
      <c r="J122" s="373" t="n">
        <f aca="false">'Master Plan'!$H$22+(-10)</f>
        <v>46393</v>
      </c>
      <c r="K122" s="78"/>
      <c r="L122" s="78" t="str">
        <f aca="false">IF(ISNUMBER(อัปเดตรายสัปดาห์!$AH$22),อัปเดตรายสัปดาห์!$AH$22,"")</f>
        <v/>
      </c>
      <c r="M122" s="374" t="str">
        <f aca="false">IF(อัปเดตรายสัปดาห์!$AH$22="Y","Y","")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Plan'!$Z$22)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101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Plan'!$H$22+(-12)</f>
        <v>46391</v>
      </c>
      <c r="J123" s="373" t="n">
        <f aca="false">'Master Plan'!$H$22+(-8)</f>
        <v>46395</v>
      </c>
      <c r="K123" s="78" t="str">
        <f aca="false">IF(ISNUMBER(อัปเดตรายสัปดาห์!$AI$22),อัปเดตรายสัปดาห์!$AI$22,"")</f>
        <v/>
      </c>
      <c r="L123" s="78" t="str">
        <f aca="false">IF(ISNUMBER(อัปเดตรายสัปดาห์!$AJ$22),อัปเดตรายสัปดาห์!$AJ$22,"")</f>
        <v/>
      </c>
      <c r="M123" s="374" t="str">
        <f aca="false">IF(อัปเดตรายสัปดาห์!$AJ$22="Y","Y","")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101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Plan'!$H$22+(37)</f>
        <v>46440</v>
      </c>
      <c r="J124" s="373" t="n">
        <f aca="false">'Master Plan'!$H$22+(50)</f>
        <v>46453</v>
      </c>
      <c r="K124" s="78"/>
      <c r="L124" s="78" t="str">
        <f aca="false">IF(ISNUMBER(อัปเดตรายสัปดาห์!$AK$22),อัปเดตรายสัปดาห์!$AK$22,"")</f>
        <v/>
      </c>
      <c r="M124" s="374" t="str">
        <f aca="false">IF(อัปเดตรายสัปดาห์!$AK$22="Y","Y","")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Plan'!$H$22+(37)</f>
        <v>46440</v>
      </c>
      <c r="J125" s="382" t="n">
        <f aca="false">'Master Plan'!$H$22+(41)</f>
        <v>46444</v>
      </c>
      <c r="K125" s="387"/>
      <c r="L125" s="387"/>
      <c r="M125" s="383" t="str">
        <f aca="false">IF('อัปเดตงาน WBS'!$L$1233="","",'อัปเดตงาน WBS'!$L$1233)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Plan'!$H$22+(40)</f>
        <v>46443</v>
      </c>
      <c r="J126" s="382" t="n">
        <f aca="false">'Master Plan'!$H$22+(47)</f>
        <v>46450</v>
      </c>
      <c r="K126" s="387"/>
      <c r="L126" s="387"/>
      <c r="M126" s="383" t="str">
        <f aca="false">IF('อัปเดตงาน WBS'!$L$1234="","",'อัปเดตงาน WBS'!$L$1234)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Plan'!$H$22+(47)</f>
        <v>46450</v>
      </c>
      <c r="J127" s="382" t="n">
        <f aca="false">'Master Plan'!$H$22+(50)</f>
        <v>46453</v>
      </c>
      <c r="K127" s="387"/>
      <c r="L127" s="387"/>
      <c r="M127" s="383" t="str">
        <f aca="false">IF('อัปเดตงาน WBS'!$L$1235="","",'อัปเดตงาน WBS'!$L$1235)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3727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Plan'!$H$22+(0)</f>
        <v>46403</v>
      </c>
      <c r="J128" s="373" t="n">
        <f aca="false">'Master Plan'!$H$22+(0)</f>
        <v>46403</v>
      </c>
      <c r="K128" s="78"/>
      <c r="L128" s="78" t="str">
        <f aca="false">IF(ISNUMBER(อัปเดตรายสัปดาห์!$AL$22),อัปเดตรายสัปดาห์!$AL$22,"")</f>
        <v/>
      </c>
      <c r="M128" s="374" t="str">
        <f aca="false">IF(อัปเดตรายสัปดาห์!$AL$22="Y","Y","")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Plan'!$AB$22)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Plan'!$H$22+(0)</f>
        <v>46403</v>
      </c>
      <c r="J129" s="373" t="n">
        <f aca="false">'Master Plan'!$H$22+(0)</f>
        <v>46403</v>
      </c>
      <c r="K129" s="78"/>
      <c r="L129" s="78" t="str">
        <f aca="false">IF(ISNUMBER(อัปเดตรายสัปดาห์!$AM$22),อัปเดตรายสัปดาห์!$AM$22,"")</f>
        <v/>
      </c>
      <c r="M129" s="374" t="str">
        <f aca="false">IF(อัปเดตรายสัปดาห์!$AM$22="Y","Y","")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Plan'!$H$22+(0)</f>
        <v>46403</v>
      </c>
      <c r="J130" s="373" t="n">
        <f aca="false">'Master Plan'!$H$22+(0)</f>
        <v>46403</v>
      </c>
      <c r="K130" s="78"/>
      <c r="L130" s="78" t="str">
        <f aca="false">IF(ISNUMBER(อัปเดตรายสัปดาห์!$AN$22),อัปเดตรายสัปดาห์!$AN$22,"")</f>
        <v/>
      </c>
      <c r="M130" s="374" t="str">
        <f aca="false">IF(อัปเดตรายสัปดาห์!$AN$22="Y","Y","")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101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Plan'!$H$22+(34)</f>
        <v>46437</v>
      </c>
      <c r="J131" s="373" t="n">
        <f aca="false">'Master Plan'!$H$22+(36)</f>
        <v>46439</v>
      </c>
      <c r="K131" s="78"/>
      <c r="L131" s="78" t="str">
        <f aca="false">IF(ISNUMBER(อัปเดตรายสัปดาห์!$AO$22),อัปเดตรายสัปดาห์!$AO$22,"")</f>
        <v/>
      </c>
      <c r="M131" s="374" t="str">
        <f aca="false">IF(อัปเดตรายสัปดาห์!$AO$22="Y","Y","")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SUMPRODUCT((SITE_ST="P9-015")*(SITE_TYPE=$B136)*(SITE_TYPE&lt;&gt;""))</f>
        <v>0</v>
      </c>
      <c r="E136" s="397" t="n">
        <f aca="false">SUMPRODUCT((SITE_ST="P9-015")*(SITE_TYPE=$B136)*SITE_MOD)</f>
        <v>0</v>
      </c>
      <c r="I136" s="398" t="n">
        <f aca="false">SUMPRODUCT((SITE_ST="P9-015")*(SITE_TYPE=$B136)*SITE_KWP)</f>
        <v>0</v>
      </c>
      <c r="J136" s="35" t="str">
        <f aca="false">IF(SUMPRODUCT((SITE_ST="P9-015")*(SITE_TYPE=$B136)*(SITE_TYPE&lt;&gt;""))=0,"",SUMPRODUCT((SITE_ST="P9-015")*(SITE_TYPE=$B136)*SITE_S21*SITE_D21)/MAX(0.0001,SUMPRODUCT((SITE_ST="P9-015")*(SITE_TYPE=$B136)*SITE_S21)))</f>
        <v/>
      </c>
      <c r="K136" s="32" t="str">
        <f aca="false">IF(SUMPRODUCT((SITE_ST="P9-015")*(SITE_TYPE=$B136)*(SITE_TYPE&lt;&gt;""))=0,"",SUMPRODUCT((SITE_ST="P9-015")*(SITE_TYPE=$B136)*(SITE_TYPE&lt;&gt;"")*(SITE_T22="Y"))&amp;"/"&amp;SUMPRODUCT((SITE_ST="P9-015")*(SITE_TYPE=$B136)*(SITE_TYPE&lt;&gt;"")))</f>
        <v/>
      </c>
      <c r="L136" s="32" t="str">
        <f aca="false">IF(SUMPRODUCT((SITE_ST="P9-015")*(SITE_TYPE=$B136)*(SITE_TYPE&lt;&gt;""))=0,"",SUMPRODUCT((SITE_ST="P9-015")*(SITE_TYPE=$B136)*(SITE_TYPE&lt;&gt;"")*(SITE_T23="Y"))&amp;"/"&amp;SUMPRODUCT((SITE_ST="P9-015")*(SITE_TYPE=$B136)*(SITE_TYPE&lt;&gt;"")))</f>
        <v/>
      </c>
      <c r="O136" s="32" t="str">
        <f aca="false">IF(SUMPRODUCT((SITE_ST="P9-015")*(SITE_TYPE=$B136)*(LEFT(SITE_LAD,4)="ติด:"))=0,"",SUMPRODUCT((SITE_ST="P9-015")*(SITE_TYPE=$B136)*(LEFT(SITE_LAD,4)="ติด:"))&amp;"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SUMPRODUCT((SITE_ST="P9-015")*(SITE_TYPE=$B137)*(SITE_TYPE&lt;&gt;""))</f>
        <v>0</v>
      </c>
      <c r="E137" s="397" t="n">
        <f aca="false">SUMPRODUCT((SITE_ST="P9-015")*(SITE_TYPE=$B137)*SITE_MOD)</f>
        <v>0</v>
      </c>
      <c r="I137" s="398" t="n">
        <f aca="false">SUMPRODUCT((SITE_ST="P9-015")*(SITE_TYPE=$B137)*SITE_KWP)</f>
        <v>0</v>
      </c>
      <c r="J137" s="35" t="str">
        <f aca="false">IF(SUMPRODUCT((SITE_ST="P9-015")*(SITE_TYPE=$B137)*(SITE_TYPE&lt;&gt;""))=0,"",SUMPRODUCT((SITE_ST="P9-015")*(SITE_TYPE=$B137)*SITE_S21*SITE_D21)/MAX(0.0001,SUMPRODUCT((SITE_ST="P9-015")*(SITE_TYPE=$B137)*SITE_S21)))</f>
        <v/>
      </c>
      <c r="K137" s="32" t="str">
        <f aca="false">IF(SUMPRODUCT((SITE_ST="P9-015")*(SITE_TYPE=$B137)*(SITE_TYPE&lt;&gt;""))=0,"",SUMPRODUCT((SITE_ST="P9-015")*(SITE_TYPE=$B137)*(SITE_TYPE&lt;&gt;"")*(SITE_T22="Y"))&amp;"/"&amp;SUMPRODUCT((SITE_ST="P9-015")*(SITE_TYPE=$B137)*(SITE_TYPE&lt;&gt;"")))</f>
        <v/>
      </c>
      <c r="L137" s="32" t="str">
        <f aca="false">IF(SUMPRODUCT((SITE_ST="P9-015")*(SITE_TYPE=$B137)*(SITE_TYPE&lt;&gt;""))=0,"",SUMPRODUCT((SITE_ST="P9-015")*(SITE_TYPE=$B137)*(SITE_TYPE&lt;&gt;"")*(SITE_T23="Y"))&amp;"/"&amp;SUMPRODUCT((SITE_ST="P9-015")*(SITE_TYPE=$B137)*(SITE_TYPE&lt;&gt;"")))</f>
        <v/>
      </c>
      <c r="O137" s="32" t="str">
        <f aca="false">IF(SUMPRODUCT((SITE_ST="P9-015")*(SITE_TYPE=$B137)*(LEFT(SITE_LAD,4)="ติด:"))=0,"",SUMPRODUCT((SITE_ST="P9-015")*(SITE_TYPE=$B137)*(LEFT(SITE_LAD,4)="ติด:"))&amp;"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SUMPRODUCT((SITE_ST="P9-015")*(SITE_TYPE=$B138)*(SITE_TYPE&lt;&gt;""))</f>
        <v>0</v>
      </c>
      <c r="E138" s="397" t="n">
        <f aca="false">SUMPRODUCT((SITE_ST="P9-015")*(SITE_TYPE=$B138)*SITE_MOD)</f>
        <v>0</v>
      </c>
      <c r="I138" s="398" t="n">
        <f aca="false">SUMPRODUCT((SITE_ST="P9-015")*(SITE_TYPE=$B138)*SITE_KWP)</f>
        <v>0</v>
      </c>
      <c r="J138" s="35" t="str">
        <f aca="false">IF(SUMPRODUCT((SITE_ST="P9-015")*(SITE_TYPE=$B138)*(SITE_TYPE&lt;&gt;""))=0,"",SUMPRODUCT((SITE_ST="P9-015")*(SITE_TYPE=$B138)*SITE_S21*SITE_D21)/MAX(0.0001,SUMPRODUCT((SITE_ST="P9-015")*(SITE_TYPE=$B138)*SITE_S21)))</f>
        <v/>
      </c>
      <c r="K138" s="32" t="str">
        <f aca="false">IF(SUMPRODUCT((SITE_ST="P9-015")*(SITE_TYPE=$B138)*(SITE_TYPE&lt;&gt;""))=0,"",SUMPRODUCT((SITE_ST="P9-015")*(SITE_TYPE=$B138)*(SITE_TYPE&lt;&gt;"")*(SITE_T22="Y"))&amp;"/"&amp;SUMPRODUCT((SITE_ST="P9-015")*(SITE_TYPE=$B138)*(SITE_TYPE&lt;&gt;"")))</f>
        <v/>
      </c>
      <c r="L138" s="32" t="str">
        <f aca="false">IF(SUMPRODUCT((SITE_ST="P9-015")*(SITE_TYPE=$B138)*(SITE_TYPE&lt;&gt;""))=0,"",SUMPRODUCT((SITE_ST="P9-015")*(SITE_TYPE=$B138)*(SITE_TYPE&lt;&gt;"")*(SITE_T23="Y"))&amp;"/"&amp;SUMPRODUCT((SITE_ST="P9-015")*(SITE_TYPE=$B138)*(SITE_TYPE&lt;&gt;"")))</f>
        <v/>
      </c>
      <c r="O138" s="32" t="str">
        <f aca="false">IF(SUMPRODUCT((SITE_ST="P9-015")*(SITE_TYPE=$B138)*(LEFT(SITE_LAD,4)="ติด:"))=0,"",SUMPRODUCT((SITE_ST="P9-015")*(SITE_TYPE=$B138)*(LEFT(SITE_LAD,4)="ติด:"))&amp;"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SUMPRODUCT((SITE_ST="P9-015")*(SITE_TYPE=$B139)*(SITE_TYPE&lt;&gt;""))</f>
        <v>0</v>
      </c>
      <c r="E139" s="397" t="n">
        <f aca="false">SUMPRODUCT((SITE_ST="P9-015")*(SITE_TYPE=$B139)*SITE_MOD)</f>
        <v>0</v>
      </c>
      <c r="I139" s="398" t="n">
        <f aca="false">SUMPRODUCT((SITE_ST="P9-015")*(SITE_TYPE=$B139)*SITE_KWP)</f>
        <v>0</v>
      </c>
      <c r="J139" s="35" t="str">
        <f aca="false">IF(SUMPRODUCT((SITE_ST="P9-015")*(SITE_TYPE=$B139)*(SITE_TYPE&lt;&gt;""))=0,"",SUMPRODUCT((SITE_ST="P9-015")*(SITE_TYPE=$B139)*SITE_S21*SITE_D21)/MAX(0.0001,SUMPRODUCT((SITE_ST="P9-015")*(SITE_TYPE=$B139)*SITE_S21)))</f>
        <v/>
      </c>
      <c r="K139" s="32" t="str">
        <f aca="false">IF(SUMPRODUCT((SITE_ST="P9-015")*(SITE_TYPE=$B139)*(SITE_TYPE&lt;&gt;""))=0,"",SUMPRODUCT((SITE_ST="P9-015")*(SITE_TYPE=$B139)*(SITE_TYPE&lt;&gt;"")*(SITE_T22="Y"))&amp;"/"&amp;SUMPRODUCT((SITE_ST="P9-015")*(SITE_TYPE=$B139)*(SITE_TYPE&lt;&gt;"")))</f>
        <v/>
      </c>
      <c r="L139" s="32" t="str">
        <f aca="false">IF(SUMPRODUCT((SITE_ST="P9-015")*(SITE_TYPE=$B139)*(SITE_TYPE&lt;&gt;""))=0,"",SUMPRODUCT((SITE_ST="P9-015")*(SITE_TYPE=$B139)*(SITE_TYPE&lt;&gt;"")*(SITE_T23="Y"))&amp;"/"&amp;SUMPRODUCT((SITE_ST="P9-015")*(SITE_TYPE=$B139)*(SITE_TYPE&lt;&gt;"")))</f>
        <v/>
      </c>
      <c r="O139" s="32" t="str">
        <f aca="false">IF(SUMPRODUCT((SITE_ST="P9-015")*(SITE_TYPE=$B139)*(LEFT(SITE_LAD,4)="ติด:"))=0,"",SUMPRODUCT((SITE_ST="P9-015")*(SITE_TYPE=$B139)*(LEFT(SITE_LAD,4)="ติด:"))&amp;"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SUMPRODUCT((SITE_ST="P9-015")*(SITE_TYPE=$B140)*(SITE_TYPE&lt;&gt;""))</f>
        <v>1</v>
      </c>
      <c r="E140" s="397" t="n">
        <f aca="false">SUMPRODUCT((SITE_ST="P9-015")*(SITE_TYPE=$B140)*SITE_MOD)</f>
        <v>264</v>
      </c>
      <c r="I140" s="398" t="n">
        <f aca="false">SUMPRODUCT((SITE_ST="P9-015")*(SITE_TYPE=$B140)*SITE_KWP)</f>
        <v>150.48</v>
      </c>
      <c r="J140" s="35" t="n">
        <f aca="false">IF(SUMPRODUCT((SITE_ST="P9-015")*(SITE_TYPE=$B140)*(SITE_TYPE&lt;&gt;""))=0,"",SUMPRODUCT((SITE_ST="P9-015")*(SITE_TYPE=$B140)*SITE_S21*SITE_D21)/MAX(0.0001,SUMPRODUCT((SITE_ST="P9-015")*(SITE_TYPE=$B140)*SITE_S21)))</f>
        <v>0</v>
      </c>
      <c r="K140" s="32" t="str">
        <f aca="false">IF(SUMPRODUCT((SITE_ST="P9-015")*(SITE_TYPE=$B140)*(SITE_TYPE&lt;&gt;""))=0,"",SUMPRODUCT((SITE_ST="P9-015")*(SITE_TYPE=$B140)*(SITE_TYPE&lt;&gt;"")*(SITE_T22="Y"))&amp;"/"&amp;SUMPRODUCT((SITE_ST="P9-015")*(SITE_TYPE=$B140)*(SITE_TYPE&lt;&gt;"")))</f>
        <v>0/1</v>
      </c>
      <c r="L140" s="32" t="str">
        <f aca="false">IF(SUMPRODUCT((SITE_ST="P9-015")*(SITE_TYPE=$B140)*(SITE_TYPE&lt;&gt;""))=0,"",SUMPRODUCT((SITE_ST="P9-015")*(SITE_TYPE=$B140)*(SITE_TYPE&lt;&gt;"")*(SITE_T23="Y"))&amp;"/"&amp;SUMPRODUCT((SITE_ST="P9-015")*(SITE_TYPE=$B140)*(SITE_TYPE&lt;&gt;"")))</f>
        <v>0/1</v>
      </c>
      <c r="O140" s="32" t="str">
        <f aca="false">IF(SUMPRODUCT((SITE_ST="P9-015")*(SITE_TYPE=$B140)*(LEFT(SITE_LAD,4)="ติด:"))=0,"",SUMPRODUCT((SITE_ST="P9-015")*(SITE_TYPE=$B140)*(LEFT(SITE_LAD,4)="ติด:"))&amp;"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SUMPRODUCT((SITE_ST="P9-015")*(SITE_TYPE=$B141)*(SITE_TYPE&lt;&gt;""))</f>
        <v>0</v>
      </c>
      <c r="E141" s="397" t="n">
        <f aca="false">SUMPRODUCT((SITE_ST="P9-015")*(SITE_TYPE=$B141)*SITE_MOD)</f>
        <v>0</v>
      </c>
      <c r="I141" s="398" t="n">
        <f aca="false">SUMPRODUCT((SITE_ST="P9-015")*(SITE_TYPE=$B141)*SITE_KWP)</f>
        <v>0</v>
      </c>
      <c r="J141" s="35" t="str">
        <f aca="false">IF(SUMPRODUCT((SITE_ST="P9-015")*(SITE_TYPE=$B141)*(SITE_TYPE&lt;&gt;""))=0,"",SUMPRODUCT((SITE_ST="P9-015")*(SITE_TYPE=$B141)*SITE_S21*SITE_D21)/MAX(0.0001,SUMPRODUCT((SITE_ST="P9-015")*(SITE_TYPE=$B141)*SITE_S21)))</f>
        <v/>
      </c>
      <c r="K141" s="32" t="str">
        <f aca="false">IF(SUMPRODUCT((SITE_ST="P9-015")*(SITE_TYPE=$B141)*(SITE_TYPE&lt;&gt;""))=0,"",SUMPRODUCT((SITE_ST="P9-015")*(SITE_TYPE=$B141)*(SITE_TYPE&lt;&gt;"")*(SITE_T22="Y"))&amp;"/"&amp;SUMPRODUCT((SITE_ST="P9-015")*(SITE_TYPE=$B141)*(SITE_TYPE&lt;&gt;"")))</f>
        <v/>
      </c>
      <c r="L141" s="32" t="str">
        <f aca="false">IF(SUMPRODUCT((SITE_ST="P9-015")*(SITE_TYPE=$B141)*(SITE_TYPE&lt;&gt;""))=0,"",SUMPRODUCT((SITE_ST="P9-015")*(SITE_TYPE=$B141)*(SITE_TYPE&lt;&gt;"")*(SITE_T23="Y"))&amp;"/"&amp;SUMPRODUCT((SITE_ST="P9-015")*(SITE_TYPE=$B141)*(SITE_TYPE&lt;&gt;"")))</f>
        <v/>
      </c>
      <c r="O141" s="32" t="str">
        <f aca="false">IF(SUMPRODUCT((SITE_ST="P9-015")*(SITE_TYPE=$B141)*(LEFT(SITE_LAD,4)="ติด:"))=0,"",SUMPRODUCT((SITE_ST="P9-015")*(SITE_TYPE=$B141)*(LEFT(SITE_LAD,4)="ติด:"))&amp;"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SUMPRODUCT((SITE_ST="P9-015")*(SITE_TYPE&lt;&gt;""))</f>
        <v>1</v>
      </c>
      <c r="E142" s="403" t="n">
        <f aca="false">SUMPRODUCT((SITE_ST="P9-015")*SITE_MOD)</f>
        <v>264</v>
      </c>
      <c r="I142" s="404" t="n">
        <f aca="false">SUMPRODUCT((SITE_ST="P9-015")*SITE_KWP)</f>
        <v>150.48</v>
      </c>
      <c r="J142" s="405" t="n">
        <f aca="false">IF(SUMPRODUCT((SITE_ST="P9-015")*(SITE_TYPE&lt;&gt;""))=0,"",SUMPRODUCT((SITE_ST="P9-015")*SITE_S21*SITE_D21)/MAX(0.0001,SUMPRODUCT((SITE_ST="P9-015")*SITE_S21)))</f>
        <v>0</v>
      </c>
      <c r="K142" s="406" t="str">
        <f aca="false">IF(SUMPRODUCT((SITE_ST="P9-015")*(SITE_TYPE&lt;&gt;""))=0,"",SUMPRODUCT((SITE_ST="P9-015")*(SITE_TYPE&lt;&gt;"")*(SITE_T22="Y"))&amp;"/"&amp;SUMPRODUCT((SITE_ST="P9-015")*(SITE_TYPE&lt;&gt;"")))</f>
        <v>0/1</v>
      </c>
      <c r="L142" s="406" t="str">
        <f aca="false">IF(SUMPRODUCT((SITE_ST="P9-015")*(SITE_TYPE&lt;&gt;""))=0,"",SUMPRODUCT((SITE_ST="P9-015")*(SITE_TYPE&lt;&gt;"")*(SITE_T23="Y"))&amp;"/"&amp;SUMPRODUCT((SITE_ST="P9-015")*(SITE_TYPE&lt;&gt;"")))</f>
        <v>0/1</v>
      </c>
      <c r="O142" s="406" t="str">
        <f aca="false">IF(SUMPRODUCT((SITE_ST="P9-015")*(LEFT(SITE_LAD,4)="ติด:"))=0,"",SUMPRODUCT((SITE_ST="P9-015")*(LEFT(SITE_LAD,4)="ติด:"))&amp;"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IFERROR(INDEX(INVS_TYPE,MATCH("P9-015",INVS_ID,0))&amp;"","")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ทั้งก้อน",IFERROR(INDEX(INVS_SET,MATCH("P9-015",INVS_ID,0)),"")&amp;" kW, โรงเรือน "&amp;IFERROR(INDEX(INVS_SIZE,MATCH("P9-015",INVS_ID,0)),"")&amp;",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2" display="✎ กรอกความคืบหน้า"/>
    <hyperlink ref="R4" location="'Master Plan'!A22" display="← กลับ Master Plan"/>
    <hyperlink ref="M10" location="'อัปเดตงาน WBS'!L11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6"/>
    <hyperlink ref="M11" location="'อัปเดตงาน WBS'!L11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7"/>
    <hyperlink ref="M12" location="'อัปเดตงาน WBS'!L11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8"/>
    <hyperlink ref="M13" location="'อัปเดตงาน WBS'!L11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59"/>
    <hyperlink ref="M14" location="'อัปเดตงาน WBS'!L11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0"/>
    <hyperlink ref="M15" location="'อัปเดตงาน WBS'!L11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1"/>
    <hyperlink ref="M17" location="'อัปเดตงาน WBS'!L11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2"/>
    <hyperlink ref="M18" location="'อัปเดตงาน WBS'!L11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3"/>
    <hyperlink ref="M19" location="'อัปเดตงาน WBS'!L11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4"/>
    <hyperlink ref="M20" location="'อัปเดตงาน WBS'!L11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5"/>
    <hyperlink ref="M21" location="'อัปเดตงาน WBS'!L11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6"/>
    <hyperlink ref="M22" location="'อัปเดตงาน WBS'!L11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7"/>
    <hyperlink ref="M24" location="'อัปเดตงาน WBS'!L11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8"/>
    <hyperlink ref="M26" location="'อัปเดตงาน WBS'!L11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69"/>
    <hyperlink ref="M27" location="'อัปเดตงาน WBS'!L11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0"/>
    <hyperlink ref="M28" location="'อัปเดตงาน WBS'!L11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1"/>
    <hyperlink ref="M31" location="'อัปเดตงาน WBS'!L11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2"/>
    <hyperlink ref="M32" location="'อัปเดตงาน WBS'!L11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3"/>
    <hyperlink ref="M33" location="'อัปเดตงาน WBS'!L11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4"/>
    <hyperlink ref="M35" location="'อัปเดตงาน WBS'!L11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5"/>
    <hyperlink ref="M36" location="'อัปเดตงาน WBS'!L11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6"/>
    <hyperlink ref="M37" location="'อัปเดตงาน WBS'!L11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7"/>
    <hyperlink ref="M38" location="'อัปเดตงาน WBS'!L11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8"/>
    <hyperlink ref="M40" location="'อัปเดตงาน WBS'!L11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79"/>
    <hyperlink ref="M41" location="'อัปเดตงาน WBS'!L11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0"/>
    <hyperlink ref="M42" location="'อัปเดตงาน WBS'!L11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1"/>
    <hyperlink ref="M44" location="'อัปเดตงาน WBS'!L11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2"/>
    <hyperlink ref="M45" location="'อัปเดตงาน WBS'!L11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3"/>
    <hyperlink ref="M46" location="'อัปเดตงาน WBS'!L11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4"/>
    <hyperlink ref="M53" location="'อัปเดตงาน WBS'!L11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5"/>
    <hyperlink ref="M54" location="'อัปเดตงาน WBS'!L11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6"/>
    <hyperlink ref="M63" location="'อัปเดตงาน WBS'!L11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7"/>
    <hyperlink ref="M64" location="'อัปเดตงาน WBS'!L11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8"/>
    <hyperlink ref="M65" location="'อัปเดตงาน WBS'!L11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89"/>
    <hyperlink ref="M66" location="'อัปเดตงาน WBS'!L11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0"/>
    <hyperlink ref="M67" location="'อัปเดตงาน WBS'!L11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1"/>
    <hyperlink ref="M68" location="'อัปเดตงาน WBS'!L11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2"/>
    <hyperlink ref="M69" location="'อัปเดตงาน WBS'!L11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3"/>
    <hyperlink ref="M71" location="'อัปเดตงาน WBS'!L11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4"/>
    <hyperlink ref="M72" location="'อัปเดตงาน WBS'!L11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5"/>
    <hyperlink ref="M73" location="'อัปเดตงาน WBS'!L11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6"/>
    <hyperlink ref="M74" location="'อัปเดตงาน WBS'!L11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7"/>
    <hyperlink ref="M75" location="'อัปเดตงาน WBS'!L11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8"/>
    <hyperlink ref="M77" location="'อัปเดตงาน WBS'!L11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199"/>
    <hyperlink ref="M78" location="'อัปเดตงาน WBS'!L12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0"/>
    <hyperlink ref="M79" location="'อัปเดตงาน WBS'!L12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1"/>
    <hyperlink ref="M80" location="'อัปเดตงาน WBS'!L12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2"/>
    <hyperlink ref="M81" location="'อัปเดตงาน WBS'!L12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3"/>
    <hyperlink ref="M83" location="'อัปเดตงาน WBS'!L12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4"/>
    <hyperlink ref="M84" location="'อัปเดตงาน WBS'!L12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5"/>
    <hyperlink ref="M86" location="'อัปเดตงาน WBS'!L12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6"/>
    <hyperlink ref="M87" location="'อัปเดตงาน WBS'!L12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7"/>
    <hyperlink ref="M88" location="'อัปเดตงาน WBS'!L12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8"/>
    <hyperlink ref="M89" location="'อัปเดตงาน WBS'!L12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09"/>
    <hyperlink ref="M91" location="'อัปเดตงาน WBS'!L12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0"/>
    <hyperlink ref="M92" location="'อัปเดตงาน WBS'!L12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1"/>
    <hyperlink ref="M93" location="'อัปเดตงาน WBS'!L12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2"/>
    <hyperlink ref="M94" location="'อัปเดตงาน WBS'!L12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3"/>
    <hyperlink ref="M95" location="'อัปเดตงาน WBS'!L12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4"/>
    <hyperlink ref="M97" location="'อัปเดตงาน WBS'!L12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5"/>
    <hyperlink ref="M98" location="'อัปเดตงาน WBS'!L12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6"/>
    <hyperlink ref="M99" location="'อัปเดตงาน WBS'!L12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7"/>
    <hyperlink ref="M103" location="'อัปเดตงาน WBS'!L12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8"/>
    <hyperlink ref="M104" location="'อัปเดตงาน WBS'!L12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19"/>
    <hyperlink ref="M105" location="'อัปเดตงาน WBS'!L12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0"/>
    <hyperlink ref="M106" location="'อัปเดตงาน WBS'!L12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1"/>
    <hyperlink ref="M108" location="'อัปเดตงาน WBS'!L12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2"/>
    <hyperlink ref="M109" location="'อัปเดตงาน WBS'!L12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3"/>
    <hyperlink ref="M110" location="'อัปเดตงาน WBS'!L12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4"/>
    <hyperlink ref="M112" location="'อัปเดตงาน WBS'!L12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5"/>
    <hyperlink ref="M113" location="'อัปเดตงาน WBS'!L12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6"/>
    <hyperlink ref="M116" location="'อัปเดตงาน WBS'!L12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7"/>
    <hyperlink ref="M117" location="'อัปเดตงาน WBS'!L12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8"/>
    <hyperlink ref="M118" location="'อัปเดตงาน WBS'!L12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29"/>
    <hyperlink ref="M119" location="'อัปเดตงาน WBS'!L12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0"/>
    <hyperlink ref="M120" location="'อัปเดตงาน WBS'!L12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1"/>
    <hyperlink ref="M121" location="'อัปเดตงาน WBS'!L12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2"/>
    <hyperlink ref="M125" location="'อัปเดตงาน WBS'!L12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3"/>
    <hyperlink ref="M126" location="'อัปเดตงาน WBS'!L12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4"/>
    <hyperlink ref="M127" location="'อัปเดตงาน WBS'!L12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5"/>
    <hyperlink ref="D134" location="'จุดติดตั้ง'!A77" display="✎ เพิ่ม / แก้จุดติดตั้ง →"/>
    <hyperlink ref="D146" location="'Inverter station'!A20" display="file:///home/claude/dash/template/%E0%B9%81%E0%B8%A1%E0%B9%88%E0%B9%81%E0%B8%9A%E0%B8%9A%E0%B9%82%E0%B8%84%E0%B8%A3%E0%B8%87%E0%B8%81%E0%B8%B2%E0%B8%A3%20TCRoof%20(%E0%B8%97%E0%B8%B8%E0%B8%81%E0%B8%81%E0%B8%A3%E0%B8%93%E0%B8%B5).xlsx#'Inverter station'!A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3728</v>
      </c>
    </row>
    <row r="2" customFormat="false" ht="15" hidden="false" customHeight="false" outlineLevel="0" collapsed="false">
      <c r="A2" s="354" t="s">
        <v>3729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Plan'!$AI$23</f>
        <v>-36</v>
      </c>
      <c r="M4" s="360"/>
      <c r="N4" s="360" t="n">
        <f aca="false">'Master Plan'!$AJ$23</f>
        <v>-3</v>
      </c>
      <c r="O4" s="360"/>
      <c r="P4" s="361" t="str">
        <f aca="false">'Master Plan'!$AK$23&amp;" / "&amp;'Master Plan'!$AL$23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COUNTIFS(CR_ST,"P9-016",CR_STAT,"อนุมัติ")&amp;" รายการ, "&amp;'Master Plan'!$AO$23&amp;" วัน"</f>
        <v>0 รายการ, 0 วัน</v>
      </c>
      <c r="AG4" s="362"/>
      <c r="AH4" s="362"/>
      <c r="AI4" s="362"/>
      <c r="AJ4" s="362"/>
      <c r="AK4" s="363" t="n">
        <f aca="false">COUNTIFS(CR_ST,"P9-016",CR_STAT,"รออนุมัติ")+COUNTIFS(CR_ST,"P9-016",CR_STAT,"ขอข้อมูลเพิ่ม")</f>
        <v>0</v>
      </c>
      <c r="AL4" s="363"/>
      <c r="AM4" s="363"/>
      <c r="AN4" s="363"/>
      <c r="AO4" s="363"/>
      <c r="AP4" s="362" t="str">
        <f aca="false">COUNTIF(RW_ST,"P9-016")&amp;" ("&amp;COUNTIFS(RW_ST,"P9-016",RW_DONE,"&lt;&gt;Y")&amp;")"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COUNTIF(LL_ST,"*P9-016*")</f>
        <v>0</v>
      </c>
      <c r="BA4" s="363"/>
      <c r="BB4" s="363"/>
      <c r="BC4" s="363"/>
      <c r="BD4" s="363"/>
      <c r="BE4" s="362" t="str">
        <f aca="false">IF(COUNTIFS(SITE_ST,"P9-016",SITE_TYPE,"?*")=0,"ประมาณการ,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IF(COUNTIFS(SITE_ST,"P9-016",SITE_TYPE,"?*")=0,"ยังไม่ระบุจุด",COUNTIFS(SITE_ST,"P9-016",SITE_LAD,"ติด:*")&amp;" จุด"&amp;IF(COUNTIFS(SITE_ST,"P9-016",SITE_LAD,"⚠*")&gt;0,",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3730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105</v>
      </c>
      <c r="E9" s="372" t="n">
        <v>0</v>
      </c>
      <c r="F9" s="31"/>
      <c r="G9" s="32"/>
      <c r="H9" s="32" t="n">
        <v>1</v>
      </c>
      <c r="I9" s="373" t="n">
        <f aca="false">'Master Plan'!$H$23+(-75)</f>
        <v>46328</v>
      </c>
      <c r="J9" s="373" t="n">
        <f aca="false">'Master Plan'!$H$23+(50)</f>
        <v>46453</v>
      </c>
      <c r="K9" s="78"/>
      <c r="L9" s="78" t="str">
        <f aca="false">IF(ISNUMBER(อัปเดตรายสัปดาห์!$G$23),อัปเดตรายสัปดาห์!$G$23,"")</f>
        <v/>
      </c>
      <c r="M9" s="374" t="str">
        <f aca="false">IF(อัปเดตรายสัปดาห์!$G$23="Y","Y","")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Plan'!$H$23+(-75)</f>
        <v>46328</v>
      </c>
      <c r="J10" s="382" t="n">
        <f aca="false">'Master Plan'!$H$23+(-63)</f>
        <v>46340</v>
      </c>
      <c r="K10" s="387"/>
      <c r="L10" s="387"/>
      <c r="M10" s="383" t="str">
        <f aca="false">IF('อัปเดตงาน WBS'!$L$1236="","",'อัปเดตงาน WBS'!$L$1236)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Plan'!$H$23+(-75)</f>
        <v>46328</v>
      </c>
      <c r="J11" s="382" t="n">
        <f aca="false">'Master Plan'!$H$23+(-63)</f>
        <v>46340</v>
      </c>
      <c r="K11" s="387"/>
      <c r="L11" s="387"/>
      <c r="M11" s="383" t="str">
        <f aca="false">IF('อัปเดตงาน WBS'!$L$1237="","",'อัปเดตงาน WBS'!$L$1237)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Plan'!$H$23+(-75)</f>
        <v>46328</v>
      </c>
      <c r="J12" s="382" t="n">
        <f aca="false">'Master Plan'!$H$23+(-63)</f>
        <v>46340</v>
      </c>
      <c r="K12" s="387"/>
      <c r="L12" s="387"/>
      <c r="M12" s="383" t="str">
        <f aca="false">IF('อัปเดตงาน WBS'!$L$1238="","",'อัปเดตงาน WBS'!$L$1238)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Plan'!$H$23+(-75)</f>
        <v>46328</v>
      </c>
      <c r="J13" s="382" t="n">
        <f aca="false">'Master Plan'!$H$23+(-56)</f>
        <v>46347</v>
      </c>
      <c r="K13" s="387"/>
      <c r="L13" s="387"/>
      <c r="M13" s="383" t="str">
        <f aca="false">IF('อัปเดตงาน WBS'!$L$1239="","",'อัปเดตงาน WBS'!$L$1239)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Plan'!$H$23+(-63)</f>
        <v>46340</v>
      </c>
      <c r="J14" s="382" t="n">
        <f aca="false">'Master Plan'!$H$23+(50)</f>
        <v>46453</v>
      </c>
      <c r="K14" s="387"/>
      <c r="L14" s="387"/>
      <c r="M14" s="383" t="str">
        <f aca="false">IF('อัปเดตงาน WBS'!$L$1240="","",'อัปเดตงาน WBS'!$L$1240)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Plan'!$H$23+(-63)</f>
        <v>46340</v>
      </c>
      <c r="J15" s="382" t="n">
        <f aca="false">'Master Plan'!$H$23+(50)</f>
        <v>46453</v>
      </c>
      <c r="K15" s="387"/>
      <c r="L15" s="387"/>
      <c r="M15" s="383" t="str">
        <f aca="false">IF('อัปเดตงาน WBS'!$L$1241="","",'อัปเดตงาน WBS'!$L$1241)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Plan'!$H$23+(-56)</f>
        <v>46347</v>
      </c>
      <c r="J16" s="373" t="n">
        <f aca="false">'Master Plan'!$H$23+(-45)</f>
        <v>46358</v>
      </c>
      <c r="K16" s="78"/>
      <c r="L16" s="78" t="str">
        <f aca="false">IF(ISNUMBER(อัปเดตรายสัปดาห์!$H$23),อัปเดตรายสัปดาห์!$H$23,"")</f>
        <v/>
      </c>
      <c r="M16" s="374" t="str">
        <f aca="false">IF(อัปเดตรายสัปดาห์!$H$23="Y","Y","")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Plan'!$H$23+(-56)</f>
        <v>46347</v>
      </c>
      <c r="J17" s="382" t="n">
        <f aca="false">'Master Plan'!$H$23+(-54)</f>
        <v>46349</v>
      </c>
      <c r="K17" s="387"/>
      <c r="L17" s="387"/>
      <c r="M17" s="383" t="str">
        <f aca="false">IF('อัปเดตงาน WBS'!$L$1242="","",'อัปเดตงาน WBS'!$L$1242)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Plan'!$H$23+(-55)</f>
        <v>46348</v>
      </c>
      <c r="J18" s="382" t="n">
        <f aca="false">'Master Plan'!$H$23+(-52)</f>
        <v>46351</v>
      </c>
      <c r="K18" s="387"/>
      <c r="L18" s="387"/>
      <c r="M18" s="383" t="str">
        <f aca="false">IF('อัปเดตงาน WBS'!$L$1243="","",'อัปเดตงาน WBS'!$L$1243)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Plan'!$H$23+(-53)</f>
        <v>46350</v>
      </c>
      <c r="J19" s="382" t="n">
        <f aca="false">'Master Plan'!$H$23+(-48)</f>
        <v>46355</v>
      </c>
      <c r="K19" s="387"/>
      <c r="L19" s="387"/>
      <c r="M19" s="383" t="str">
        <f aca="false">IF('อัปเดตงาน WBS'!$L$1244="","",'อัปเดตงาน WBS'!$L$1244)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Plan'!$H$23+(-53)</f>
        <v>46350</v>
      </c>
      <c r="J20" s="382" t="n">
        <f aca="false">'Master Plan'!$H$23+(-48)</f>
        <v>46355</v>
      </c>
      <c r="K20" s="387"/>
      <c r="L20" s="387"/>
      <c r="M20" s="383" t="str">
        <f aca="false">IF('อัปเดตงาน WBS'!$L$1245="","",'อัปเดตงาน WBS'!$L$1245)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Plan'!$H$23+(-52)</f>
        <v>46351</v>
      </c>
      <c r="J21" s="382" t="n">
        <f aca="false">'Master Plan'!$H$23+(-47)</f>
        <v>46356</v>
      </c>
      <c r="K21" s="387"/>
      <c r="L21" s="387"/>
      <c r="M21" s="383" t="str">
        <f aca="false">IF('อัปเดตงาน WBS'!$L$1246="","",'อัปเดตงาน WBS'!$L$1246)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Plan'!$H$23+(-50)</f>
        <v>46353</v>
      </c>
      <c r="J22" s="382" t="n">
        <f aca="false">'Master Plan'!$H$23+(-46)</f>
        <v>46357</v>
      </c>
      <c r="K22" s="387"/>
      <c r="L22" s="387"/>
      <c r="M22" s="383" t="str">
        <f aca="false">IF('อัปเดตงาน WBS'!$L$1247="","",'อัปเดตงาน WBS'!$L$1247)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Plan'!$H$23+(-49)</f>
        <v>46354</v>
      </c>
      <c r="J24" s="382" t="n">
        <f aca="false">'Master Plan'!$H$23+(-45)</f>
        <v>46358</v>
      </c>
      <c r="K24" s="387"/>
      <c r="L24" s="387"/>
      <c r="M24" s="383" t="str">
        <f aca="false">IF('อัปเดตงาน WBS'!$L$1248="","",'อัปเดตงาน WBS'!$L$1248)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Plan'!$H$23+(-51)</f>
        <v>46352</v>
      </c>
      <c r="J25" s="373" t="n">
        <f aca="false">'Master Plan'!$H$23+(-51)</f>
        <v>46352</v>
      </c>
      <c r="K25" s="78"/>
      <c r="L25" s="78" t="str">
        <f aca="false">IF(ISNUMBER(อัปเดตรายสัปดาห์!$I$23),อัปเดตรายสัปดาห์!$I$23,"")</f>
        <v/>
      </c>
      <c r="M25" s="374" t="str">
        <f aca="false">IF(อัปเดตรายสัปดาห์!$I$23="Y","Y","")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Plan'!$H$23+(-51)</f>
        <v>46352</v>
      </c>
      <c r="J26" s="382" t="n">
        <f aca="false">'Master Plan'!$H$23+(-51)</f>
        <v>46352</v>
      </c>
      <c r="K26" s="387"/>
      <c r="L26" s="387"/>
      <c r="M26" s="383" t="str">
        <f aca="false">IF('อัปเดตงาน WBS'!$L$1249="","",'อัปเดตงาน WBS'!$L$1249)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Plan'!$H$23+(-51)</f>
        <v>46352</v>
      </c>
      <c r="J27" s="382" t="n">
        <f aca="false">'Master Plan'!$H$23+(-51)</f>
        <v>46352</v>
      </c>
      <c r="K27" s="387"/>
      <c r="L27" s="387"/>
      <c r="M27" s="383" t="str">
        <f aca="false">IF('อัปเดตงาน WBS'!$L$1250="","",'อัปเดตงาน WBS'!$L$1250)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Plan'!$H$23+(-51)</f>
        <v>46352</v>
      </c>
      <c r="J28" s="382" t="n">
        <f aca="false">'Master Plan'!$H$23+(-51)</f>
        <v>46352</v>
      </c>
      <c r="K28" s="387"/>
      <c r="L28" s="387"/>
      <c r="M28" s="383" t="str">
        <f aca="false">IF('อัปเดตงาน WBS'!$L$1251="","",'อัปเดตงาน WBS'!$L$1251)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105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Plan'!$H$23+(-75)</f>
        <v>46328</v>
      </c>
      <c r="J30" s="373" t="n">
        <f aca="false">'Master Plan'!$H$23+(-75)</f>
        <v>46328</v>
      </c>
      <c r="K30" s="78"/>
      <c r="L30" s="78" t="str">
        <f aca="false">IF(ISNUMBER(อัปเดตรายสัปดาห์!$J$23),อัปเดตรายสัปดาห์!$J$23,"")</f>
        <v/>
      </c>
      <c r="M30" s="374" t="str">
        <f aca="false">IF(อัปเดตรายสัปดาห์!$J$23="Y","Y","")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Plan'!$H$23+(-75)</f>
        <v>46328</v>
      </c>
      <c r="J31" s="382" t="n">
        <f aca="false">'Master Plan'!$H$23+(-75)</f>
        <v>46328</v>
      </c>
      <c r="K31" s="387"/>
      <c r="L31" s="387"/>
      <c r="M31" s="383" t="str">
        <f aca="false">IF('อัปเดตงาน WBS'!$L$1252="","",'อัปเดตงาน WBS'!$L$1252)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Plan'!$H$23+(-75)</f>
        <v>46328</v>
      </c>
      <c r="J32" s="382" t="n">
        <f aca="false">'Master Plan'!$H$23+(-75)</f>
        <v>46328</v>
      </c>
      <c r="K32" s="387"/>
      <c r="L32" s="387"/>
      <c r="M32" s="383" t="str">
        <f aca="false">IF('อัปเดตงาน WBS'!$L$1253="","",'อัปเดตงาน WBS'!$L$1253)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Plan'!$H$23+(-75)</f>
        <v>46328</v>
      </c>
      <c r="J33" s="382" t="n">
        <f aca="false">'Master Plan'!$H$23+(-75)</f>
        <v>46328</v>
      </c>
      <c r="K33" s="387"/>
      <c r="L33" s="387"/>
      <c r="M33" s="383" t="str">
        <f aca="false">IF('อัปเดตงาน WBS'!$L$1254="","",'อัปเดตงาน WBS'!$L$1254)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105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Plan'!$H$23+(-68)</f>
        <v>46335</v>
      </c>
      <c r="J34" s="373" t="n">
        <f aca="false">'Master Plan'!$H$23+(-59)</f>
        <v>46344</v>
      </c>
      <c r="K34" s="78"/>
      <c r="L34" s="78" t="str">
        <f aca="false">IF(ISNUMBER(อัปเดตรายสัปดาห์!$K$23),อัปเดตรายสัปดาห์!$K$23,"")</f>
        <v/>
      </c>
      <c r="M34" s="374" t="str">
        <f aca="false">IF(อัปเดตรายสัปดาห์!$K$23="Y","Y","")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Plan'!$H$23+(-68)</f>
        <v>46335</v>
      </c>
      <c r="J35" s="382" t="n">
        <f aca="false">'Master Plan'!$H$23+(-64)</f>
        <v>46339</v>
      </c>
      <c r="K35" s="387"/>
      <c r="L35" s="387"/>
      <c r="M35" s="383" t="str">
        <f aca="false">IF('อัปเดตงาน WBS'!$L$1255="","",'อัปเดตงาน WBS'!$L$1255)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Plan'!$H$23+(-68)</f>
        <v>46335</v>
      </c>
      <c r="J36" s="382" t="n">
        <f aca="false">'Master Plan'!$H$23+(-63)</f>
        <v>46340</v>
      </c>
      <c r="K36" s="387"/>
      <c r="L36" s="387"/>
      <c r="M36" s="383" t="str">
        <f aca="false">IF('อัปเดตงาน WBS'!$L$1256="","",'อัปเดตงาน WBS'!$L$1256)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Plan'!$H$23+(-65)</f>
        <v>46338</v>
      </c>
      <c r="J37" s="382" t="n">
        <f aca="false">'Master Plan'!$H$23+(-62)</f>
        <v>46341</v>
      </c>
      <c r="K37" s="387"/>
      <c r="L37" s="387"/>
      <c r="M37" s="383" t="str">
        <f aca="false">IF('อัปเดตงาน WBS'!$L$1257="","",'อัปเดตงาน WBS'!$L$1257)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Plan'!$H$23+(-63)</f>
        <v>46340</v>
      </c>
      <c r="J38" s="382" t="n">
        <f aca="false">'Master Plan'!$H$23+(-59)</f>
        <v>46344</v>
      </c>
      <c r="K38" s="387"/>
      <c r="L38" s="387"/>
      <c r="M38" s="383" t="str">
        <f aca="false">IF('อัปเดตงาน WBS'!$L$1258="","",'อัปเดตงาน WBS'!$L$1258)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105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Plan'!$H$23+(-45)</f>
        <v>46358</v>
      </c>
      <c r="J39" s="373" t="n">
        <f aca="false">'Master Plan'!$H$23+(-45)</f>
        <v>46358</v>
      </c>
      <c r="K39" s="78"/>
      <c r="L39" s="78" t="str">
        <f aca="false">IF(ISNUMBER(อัปเดตรายสัปดาห์!$L$23),อัปเดตรายสัปดาห์!$L$23,"")</f>
        <v/>
      </c>
      <c r="M39" s="374" t="str">
        <f aca="false">IF(อัปเดตรายสัปดาห์!$L$23="Y","Y","")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Plan'!$H$23+(-45)</f>
        <v>46358</v>
      </c>
      <c r="J40" s="382" t="n">
        <f aca="false">'Master Plan'!$H$23+(-45)</f>
        <v>46358</v>
      </c>
      <c r="K40" s="387"/>
      <c r="L40" s="387"/>
      <c r="M40" s="383" t="str">
        <f aca="false">IF('อัปเดตงาน WBS'!$L$1259="","",'อัปเดตงาน WBS'!$L$1259)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Plan'!$H$23+(-45)</f>
        <v>46358</v>
      </c>
      <c r="J41" s="382" t="n">
        <f aca="false">'Master Plan'!$H$23+(-45)</f>
        <v>46358</v>
      </c>
      <c r="K41" s="387"/>
      <c r="L41" s="387"/>
      <c r="M41" s="383" t="str">
        <f aca="false">IF('อัปเดตงาน WBS'!$L$1260="","",'อัปเดตงาน WBS'!$L$1260)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Plan'!$H$23+(-45)</f>
        <v>46358</v>
      </c>
      <c r="J42" s="382" t="n">
        <f aca="false">'Master Plan'!$H$23+(-45)</f>
        <v>46358</v>
      </c>
      <c r="K42" s="387"/>
      <c r="L42" s="387"/>
      <c r="M42" s="383" t="str">
        <f aca="false">IF('อัปเดตงาน WBS'!$L$1261="","",'อัปเดตงาน WBS'!$L$1261)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Plan'!$H$23+(-68)</f>
        <v>46335</v>
      </c>
      <c r="J43" s="373" t="n">
        <f aca="false">'Master Plan'!$H$23+(-55)</f>
        <v>46348</v>
      </c>
      <c r="K43" s="78"/>
      <c r="L43" s="78" t="str">
        <f aca="false">IF(ISNUMBER(อัปเดตรายสัปดาห์!$M$23),อัปเดตรายสัปดาห์!$M$23,"")</f>
        <v/>
      </c>
      <c r="M43" s="374" t="str">
        <f aca="false">IF(อัปเดตรายสัปดาห์!$M$23="Y","Y","")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Plan'!$H$23+(-68)</f>
        <v>46335</v>
      </c>
      <c r="J44" s="382" t="n">
        <f aca="false">'Master Plan'!$H$23+(-65)</f>
        <v>46338</v>
      </c>
      <c r="K44" s="387"/>
      <c r="L44" s="387"/>
      <c r="M44" s="383" t="str">
        <f aca="false">IF('อัปเดตงาน WBS'!$L$1262="","",'อัปเดตงาน WBS'!$L$1262)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Plan'!$H$23+(-67)</f>
        <v>46336</v>
      </c>
      <c r="J45" s="382" t="n">
        <f aca="false">'Master Plan'!$H$23+(-62)</f>
        <v>46341</v>
      </c>
      <c r="K45" s="387"/>
      <c r="L45" s="387"/>
      <c r="M45" s="383" t="str">
        <f aca="false">IF('อัปเดตงาน WBS'!$L$1263="","",'อัปเดตงาน WBS'!$L$1263)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Plan'!$H$23+(-62)</f>
        <v>46341</v>
      </c>
      <c r="J46" s="382" t="n">
        <f aca="false">'Master Plan'!$H$23+(-55)</f>
        <v>46348</v>
      </c>
      <c r="K46" s="387"/>
      <c r="L46" s="387"/>
      <c r="M46" s="383" t="str">
        <f aca="false">IF('อัปเดตงาน WBS'!$L$1264="","",'อัปเดตงาน WBS'!$L$1264)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Plan'!$H$23+(-12)</f>
        <v>46391</v>
      </c>
      <c r="J47" s="373" t="n">
        <f aca="false">'Master Plan'!$H$23+(-12)</f>
        <v>46391</v>
      </c>
      <c r="K47" s="78"/>
      <c r="L47" s="78" t="str">
        <f aca="false">IF(ISNUMBER(อัปเดตรายสัปดาห์!$N$23),อัปเดตรายสัปดาห์!$N$23,"")</f>
        <v/>
      </c>
      <c r="M47" s="374" t="str">
        <f aca="false">IF(อัปเดตรายสัปดาห์!$N$23="Y","Y","")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Plan'!$AG$23)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Plan'!$H$23+(-12)</f>
        <v>46391</v>
      </c>
      <c r="J48" s="382" t="n">
        <f aca="false">'Master Plan'!$H$23+(-12)</f>
        <v>46391</v>
      </c>
      <c r="K48" s="387"/>
      <c r="L48" s="387"/>
      <c r="M48" s="383" t="str">
        <f aca="false">IF('อัปเดตงาน WBS'!$L$1265="","",'อัปเดตงาน WBS'!$L$1265)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Plan'!$H$23+(-12)</f>
        <v>46391</v>
      </c>
      <c r="J49" s="382" t="n">
        <f aca="false">'Master Plan'!$H$23+(-12)</f>
        <v>46391</v>
      </c>
      <c r="K49" s="387"/>
      <c r="L49" s="387"/>
      <c r="M49" s="383" t="str">
        <f aca="false">IF('อัปเดตงาน WBS'!$L$1266="","",'อัปเดตงาน WBS'!$L$1266)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Plan'!$H$23+(-11)</f>
        <v>46392</v>
      </c>
      <c r="J50" s="373" t="n">
        <f aca="false">'Master Plan'!$H$23+(18)</f>
        <v>46421</v>
      </c>
      <c r="K50" s="78"/>
      <c r="L50" s="78" t="str">
        <f aca="false">IF(ISNUMBER(อัปเดตรายสัปดาห์!$O$23),อัปเดตรายสัปดาห์!$O$23,"")</f>
        <v/>
      </c>
      <c r="M50" s="374" t="str">
        <f aca="false">IF(อัปเดตรายสัปดาห์!$O$23="Y","Y","")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Plan'!$H$23+(-12)</f>
        <v>46391</v>
      </c>
      <c r="J51" s="382" t="n">
        <f aca="false">'Master Plan'!$H$23+(-12)</f>
        <v>46391</v>
      </c>
      <c r="K51" s="387"/>
      <c r="L51" s="387"/>
      <c r="M51" s="383" t="str">
        <f aca="false">IF('อัปเดตงาน WBS'!$L$1267="","",'อัปเดตงาน WBS'!$L$1267)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IF(ISNUMBER(อัปเดตรายสัปดาห์!$P$23),อัปเดตรายสัปดาห์!$P$23,"")</f>
        <v/>
      </c>
      <c r="M52" s="374" t="str">
        <f aca="false">IF(อัปเดตรายสัปดาห์!$P$23="Y","Y","")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WBS'!$L$1268="","",'อัปเดตงาน WBS'!$L$1268)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WBS'!$L$1269="","",'อัปเดตงาน WBS'!$L$1269)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Plan'!$H$23+(-12)</f>
        <v>46391</v>
      </c>
      <c r="J55" s="373" t="n">
        <f aca="false">'Master Plan'!$H$23+(-12)</f>
        <v>46391</v>
      </c>
      <c r="K55" s="78"/>
      <c r="L55" s="78" t="str">
        <f aca="false">IF(ISNUMBER(อัปเดตรายสัปดาห์!$Q$23),อัปเดตรายสัปดาห์!$Q$23,"")</f>
        <v/>
      </c>
      <c r="M55" s="374" t="str">
        <f aca="false">IF(อัปเดตรายสัปดาห์!$Q$23="Y","Y","")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Plan'!$AC$23)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IF(ISNUMBER(อัปเดตรายสัปดาห์!$R$23),อัปเดตรายสัปดาห์!$R$23,"")</f>
        <v/>
      </c>
      <c r="M56" s="374" t="str">
        <f aca="false">IF(อัปเดตรายสัปดาห์!$R$23="Y","Y","")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Plan'!$H$23+(-11)</f>
        <v>46392</v>
      </c>
      <c r="J57" s="373" t="n">
        <f aca="false">'Master Plan'!$H$23+(9)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IF(ISNUMBER(อัปเดตรายสัปดาห์!$S$23),อัปเดตรายสัปดาห์!$S$23,"")</f>
        <v/>
      </c>
      <c r="M57" s="374" t="str">
        <f aca="false">IF(อัปเดตรายสัปดาห์!$S$23="Y","Y","")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Plan'!$AD$23)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Plan'!$H$23+(10)</f>
        <v>46413</v>
      </c>
      <c r="J58" s="373" t="n">
        <f aca="false">'Master Plan'!$H$23+(16)</f>
        <v>46419</v>
      </c>
      <c r="K58" s="78"/>
      <c r="L58" s="78" t="str">
        <f aca="false">IF(ISNUMBER(อัปเดตรายสัปดาห์!$T$23),อัปเดตรายสัปดาห์!$T$23,"")</f>
        <v/>
      </c>
      <c r="M58" s="374" t="str">
        <f aca="false">IF(อัปเดตรายสัปดาห์!$T$23="Y","Y","")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Plan'!$AE$23)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Plan'!$H$23+(17)</f>
        <v>46420</v>
      </c>
      <c r="J59" s="373" t="n">
        <f aca="false">'Master Plan'!$H$23+(17)</f>
        <v>46420</v>
      </c>
      <c r="K59" s="78"/>
      <c r="L59" s="78" t="str">
        <f aca="false">IF(ISNUMBER(อัปเดตรายสัปดาห์!$U$23),อัปเดตรายสัปดาห์!$U$23,"")</f>
        <v/>
      </c>
      <c r="M59" s="374" t="str">
        <f aca="false">IF(อัปเดตรายสัปดาห์!$U$23="Y","Y","")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Plan'!$AF$23)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105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Plan'!$H$23+(18)</f>
        <v>46421</v>
      </c>
      <c r="J60" s="373" t="n">
        <f aca="false">'Master Plan'!$H$23+(33)</f>
        <v>46436</v>
      </c>
      <c r="K60" s="78"/>
      <c r="L60" s="78" t="str">
        <f aca="false">IF(ISNUMBER(อัปเดตรายสัปดาห์!$V$23),อัปเดตรายสัปดาห์!$V$23,"")</f>
        <v/>
      </c>
      <c r="M60" s="374" t="str">
        <f aca="false">IF(อัปเดตรายสัปดาห์!$V$23="Y","Y","")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Plan'!$AH$23)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3731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Plan'!$H$23+(-42)</f>
        <v>46361</v>
      </c>
      <c r="J62" s="373" t="n">
        <f aca="false">'Master Plan'!$H$23+(-25)</f>
        <v>46378</v>
      </c>
      <c r="K62" s="78"/>
      <c r="L62" s="78" t="str">
        <f aca="false">IF(ISNUMBER(อัปเดตรายสัปดาห์!$W$23),อัปเดตรายสัปดาห์!$W$23,"")</f>
        <v/>
      </c>
      <c r="M62" s="374" t="str">
        <f aca="false">IF(อัปเดตรายสัปดาห์!$W$23="Y","Y","")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-016",SITE_TYPE,"?*")&gt;0,MIN(1,SUMPRODUCT((SITE_ST="P9-016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Plan'!$H$23+(-42)</f>
        <v>46361</v>
      </c>
      <c r="J63" s="382" t="n">
        <f aca="false">'Master Plan'!$H$23+(-40)</f>
        <v>46363</v>
      </c>
      <c r="K63" s="387"/>
      <c r="L63" s="387"/>
      <c r="M63" s="383" t="str">
        <f aca="false">IF('อัปเดตงาน WBS'!$L$1270="","",'อัปเดตงาน WBS'!$L$1270)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Plan'!$H$23+(-42)</f>
        <v>46361</v>
      </c>
      <c r="J64" s="382" t="n">
        <f aca="false">'Master Plan'!$H$23+(-39)</f>
        <v>46364</v>
      </c>
      <c r="K64" s="387"/>
      <c r="L64" s="387"/>
      <c r="M64" s="383" t="str">
        <f aca="false">IF('อัปเดตงาน WBS'!$L$1271="","",'อัปเดตงาน WBS'!$L$1271)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Plan'!$H$23+(-40)</f>
        <v>46363</v>
      </c>
      <c r="J65" s="382" t="n">
        <f aca="false">'Master Plan'!$H$23+(-34)</f>
        <v>46369</v>
      </c>
      <c r="K65" s="387"/>
      <c r="L65" s="387"/>
      <c r="M65" s="383" t="str">
        <f aca="false">IF('อัปเดตงาน WBS'!$L$1272="","",'อัปเดตงาน WBS'!$L$1272)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Plan'!$H$23+(-35)</f>
        <v>46368</v>
      </c>
      <c r="J66" s="382" t="n">
        <f aca="false">'Master Plan'!$H$23+(-28)</f>
        <v>46375</v>
      </c>
      <c r="K66" s="387"/>
      <c r="L66" s="387"/>
      <c r="M66" s="383" t="str">
        <f aca="false">IF('อัปเดตงาน WBS'!$L$1273="","",'อัปเดตงาน WBS'!$L$1273)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Plan'!$H$23+(-32)</f>
        <v>46371</v>
      </c>
      <c r="J67" s="382" t="n">
        <f aca="false">'Master Plan'!$H$23+(-26)</f>
        <v>46377</v>
      </c>
      <c r="K67" s="387"/>
      <c r="L67" s="387"/>
      <c r="M67" s="383" t="str">
        <f aca="false">IF('อัปเดตงาน WBS'!$L$1274="","",'อัปเดตงาน WBS'!$L$1274)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Plan'!$H$23+(-28)</f>
        <v>46375</v>
      </c>
      <c r="J68" s="382" t="n">
        <f aca="false">'Master Plan'!$H$23+(-25)</f>
        <v>46378</v>
      </c>
      <c r="K68" s="387"/>
      <c r="L68" s="387"/>
      <c r="M68" s="383" t="str">
        <f aca="false">IF('อัปเดตงาน WBS'!$L$1275="","",'อัปเดตงาน WBS'!$L$1275)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Plan'!$H$23+(-26)</f>
        <v>46377</v>
      </c>
      <c r="J69" s="382" t="n">
        <f aca="false">'Master Plan'!$H$23+(-25)</f>
        <v>46378</v>
      </c>
      <c r="K69" s="387"/>
      <c r="L69" s="387"/>
      <c r="M69" s="383" t="str">
        <f aca="false">IF('อัปเดตงาน WBS'!$L$1276="","",'อัปเดตงาน WBS'!$L$1276)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3731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Plan'!$H$23+(-24)</f>
        <v>46379</v>
      </c>
      <c r="J70" s="373" t="n">
        <f aca="false">'Master Plan'!$H$23+(-15)</f>
        <v>46388</v>
      </c>
      <c r="K70" s="78"/>
      <c r="L70" s="78" t="str">
        <f aca="false">IF(ISNUMBER(อัปเดตรายสัปดาห์!$X$23),อัปเดตรายสัปดาห์!$X$23,"")</f>
        <v/>
      </c>
      <c r="M70" s="374" t="str">
        <f aca="false">IF(อัปเดตรายสัปดาห์!$X$23="Y","Y","")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-016",SITE_TYPE,"?*")&gt;0,MIN(1,SUMPRODUCT((SITE_ST="P9-016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Plan'!$H$23+(-24)</f>
        <v>46379</v>
      </c>
      <c r="J71" s="382" t="n">
        <f aca="false">'Master Plan'!$H$23+(-20)</f>
        <v>46383</v>
      </c>
      <c r="K71" s="387"/>
      <c r="L71" s="387"/>
      <c r="M71" s="383" t="str">
        <f aca="false">IF('อัปเดตงาน WBS'!$L$1277="","",'อัปเดตงาน WBS'!$L$1277)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Plan'!$H$23+(-22)</f>
        <v>46381</v>
      </c>
      <c r="J72" s="382" t="n">
        <f aca="false">'Master Plan'!$H$23+(-17)</f>
        <v>46386</v>
      </c>
      <c r="K72" s="387"/>
      <c r="L72" s="387"/>
      <c r="M72" s="383" t="str">
        <f aca="false">IF('อัปเดตงาน WBS'!$L$1278="","",'อัปเดตงาน WBS'!$L$1278)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Plan'!$H$23+(-21)</f>
        <v>46382</v>
      </c>
      <c r="J73" s="382" t="n">
        <f aca="false">'Master Plan'!$H$23+(-17)</f>
        <v>46386</v>
      </c>
      <c r="K73" s="387"/>
      <c r="L73" s="387"/>
      <c r="M73" s="383" t="str">
        <f aca="false">IF('อัปเดตงาน WBS'!$L$1279="","",'อัปเดตงาน WBS'!$L$1279)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Plan'!$H$23+(-20)</f>
        <v>46383</v>
      </c>
      <c r="J74" s="382" t="n">
        <f aca="false">'Master Plan'!$H$23+(-15)</f>
        <v>46388</v>
      </c>
      <c r="K74" s="387"/>
      <c r="L74" s="387"/>
      <c r="M74" s="383" t="str">
        <f aca="false">IF('อัปเดตงาน WBS'!$L$1280="","",'อัปเดตงาน WBS'!$L$1280)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Plan'!$H$23+(-17)</f>
        <v>46386</v>
      </c>
      <c r="J75" s="382" t="n">
        <f aca="false">'Master Plan'!$H$23+(-15)</f>
        <v>46388</v>
      </c>
      <c r="K75" s="387"/>
      <c r="L75" s="387"/>
      <c r="M75" s="383" t="str">
        <f aca="false">IF('อัปเดตงาน WBS'!$L$1281="","",'อัปเดตงาน WBS'!$L$1281)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3731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Plan'!$H$23+(-24)</f>
        <v>46379</v>
      </c>
      <c r="J76" s="373" t="n">
        <f aca="false">'Master Plan'!$H$23+(-15)</f>
        <v>46388</v>
      </c>
      <c r="K76" s="78"/>
      <c r="L76" s="78" t="str">
        <f aca="false">IF(ISNUMBER(อัปเดตรายสัปดาห์!$Y$23),อัปเดตรายสัปดาห์!$Y$23,"")</f>
        <v/>
      </c>
      <c r="M76" s="374" t="str">
        <f aca="false">IF(อัปเดตรายสัปดาห์!$Y$23="Y","Y","")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-016",SITE_TYPE,"?*")&gt;0,MIN(1,SUMPRODUCT((SITE_ST="P9-016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Plan'!$H$23+(-24)</f>
        <v>46379</v>
      </c>
      <c r="J77" s="382" t="n">
        <f aca="false">'Master Plan'!$H$23+(-21)</f>
        <v>46382</v>
      </c>
      <c r="K77" s="387"/>
      <c r="L77" s="387"/>
      <c r="M77" s="383" t="str">
        <f aca="false">IF('อัปเดตงาน WBS'!$L$1282="","",'อัปเดตงาน WBS'!$L$1282)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Plan'!$H$23+(-23)</f>
        <v>46380</v>
      </c>
      <c r="J78" s="382" t="n">
        <f aca="false">'Master Plan'!$H$23+(-16)</f>
        <v>46387</v>
      </c>
      <c r="K78" s="387"/>
      <c r="L78" s="387"/>
      <c r="M78" s="383" t="str">
        <f aca="false">IF('อัปเดตงาน WBS'!$L$1283="","",'อัปเดตงาน WBS'!$L$1283)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Plan'!$H$23+(-20)</f>
        <v>46383</v>
      </c>
      <c r="J79" s="382" t="n">
        <f aca="false">'Master Plan'!$H$23+(-15)</f>
        <v>46388</v>
      </c>
      <c r="K79" s="387"/>
      <c r="L79" s="387"/>
      <c r="M79" s="383" t="str">
        <f aca="false">IF('อัปเดตงาน WBS'!$L$1284="","",'อัปเดตงาน WBS'!$L$1284)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Plan'!$H$23+(-17)</f>
        <v>46386</v>
      </c>
      <c r="J80" s="382" t="n">
        <f aca="false">'Master Plan'!$H$23+(-15)</f>
        <v>46388</v>
      </c>
      <c r="K80" s="387"/>
      <c r="L80" s="387"/>
      <c r="M80" s="383" t="str">
        <f aca="false">IF('อัปเดตงาน WBS'!$L$1285="","",'อัปเดตงาน WBS'!$L$1285)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Plan'!$H$23+(-15)</f>
        <v>46388</v>
      </c>
      <c r="J81" s="382" t="n">
        <f aca="false">'Master Plan'!$H$23+(-15)</f>
        <v>46388</v>
      </c>
      <c r="K81" s="387"/>
      <c r="L81" s="387"/>
      <c r="M81" s="383" t="str">
        <f aca="false">IF('อัปเดตงาน WBS'!$L$1286="","",'อัปเดตงาน WBS'!$L$1286)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3731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Plan'!$H$23+(-21)</f>
        <v>46382</v>
      </c>
      <c r="J82" s="373" t="n">
        <f aca="false">'Master Plan'!$H$23+(-18)</f>
        <v>46385</v>
      </c>
      <c r="K82" s="78"/>
      <c r="L82" s="78" t="str">
        <f aca="false">IF(ISNUMBER(อัปเดตรายสัปดาห์!$Z$23),อัปเดตรายสัปดาห์!$Z$23,"")</f>
        <v/>
      </c>
      <c r="M82" s="374" t="str">
        <f aca="false">IF(อัปเดตรายสัปดาห์!$Z$23="Y","Y","")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Plan'!$H$23+(-21)</f>
        <v>46382</v>
      </c>
      <c r="J83" s="382" t="n">
        <f aca="false">'Master Plan'!$H$23+(-19)</f>
        <v>46384</v>
      </c>
      <c r="K83" s="387"/>
      <c r="L83" s="387"/>
      <c r="M83" s="383" t="str">
        <f aca="false">IF('อัปเดตงาน WBS'!$L$1287="","",'อัปเดตงาน WBS'!$L$1287)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Plan'!$H$23+(-20)</f>
        <v>46383</v>
      </c>
      <c r="J84" s="382" t="n">
        <f aca="false">'Master Plan'!$H$23+(-18)</f>
        <v>46385</v>
      </c>
      <c r="K84" s="387"/>
      <c r="L84" s="387"/>
      <c r="M84" s="383" t="str">
        <f aca="false">IF('อัปเดตงาน WBS'!$L$1288="","",'อัปเดตงาน WBS'!$L$1288)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3731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Plan'!$H$23+(-25)</f>
        <v>46378</v>
      </c>
      <c r="J85" s="373" t="n">
        <f aca="false">'Master Plan'!$H$23+(-17)</f>
        <v>46386</v>
      </c>
      <c r="K85" s="78"/>
      <c r="L85" s="78" t="str">
        <f aca="false">IF(ISNUMBER(อัปเดตรายสัปดาห์!$AA$23),อัปเดตรายสัปดาห์!$AA$23,"")</f>
        <v/>
      </c>
      <c r="M85" s="374" t="str">
        <f aca="false">IF(อัปเดตรายสัปดาห์!$AA$23="Y","Y","")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Plan'!$H$23+(-25)</f>
        <v>46378</v>
      </c>
      <c r="J86" s="382" t="n">
        <f aca="false">'Master Plan'!$H$23+(-21)</f>
        <v>46382</v>
      </c>
      <c r="K86" s="387"/>
      <c r="L86" s="387"/>
      <c r="M86" s="383" t="str">
        <f aca="false">IF('อัปเดตงาน WBS'!$L$1289="","",'อัปเดตงาน WBS'!$L$1289)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Plan'!$H$23+(-22)</f>
        <v>46381</v>
      </c>
      <c r="J87" s="382" t="n">
        <f aca="false">'Master Plan'!$H$23+(-18)</f>
        <v>46385</v>
      </c>
      <c r="K87" s="387"/>
      <c r="L87" s="387"/>
      <c r="M87" s="383" t="str">
        <f aca="false">IF('อัปเดตงาน WBS'!$L$1290="","",'อัปเดตงาน WBS'!$L$1290)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Plan'!$H$23+(-20)</f>
        <v>46383</v>
      </c>
      <c r="J88" s="382" t="n">
        <f aca="false">'Master Plan'!$H$23+(-17)</f>
        <v>46386</v>
      </c>
      <c r="K88" s="387"/>
      <c r="L88" s="387"/>
      <c r="M88" s="383" t="str">
        <f aca="false">IF('อัปเดตงาน WBS'!$L$1291="","",'อัปเดตงาน WBS'!$L$1291)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Plan'!$H$23+(-18)</f>
        <v>46385</v>
      </c>
      <c r="J89" s="382" t="n">
        <f aca="false">'Master Plan'!$H$23+(-17)</f>
        <v>46386</v>
      </c>
      <c r="K89" s="387"/>
      <c r="L89" s="387"/>
      <c r="M89" s="383" t="str">
        <f aca="false">IF('อัปเดตงาน WBS'!$L$1292="","",'อัปเดตงาน WBS'!$L$1292)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3731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Plan'!$H$23+(-25)</f>
        <v>46378</v>
      </c>
      <c r="J90" s="373" t="n">
        <f aca="false">'Master Plan'!$H$23+(-16)</f>
        <v>46387</v>
      </c>
      <c r="K90" s="78"/>
      <c r="L90" s="78" t="str">
        <f aca="false">IF(ISNUMBER(อัปเดตรายสัปดาห์!$AB$23),อัปเดตรายสัปดาห์!$AB$23,"")</f>
        <v/>
      </c>
      <c r="M90" s="374" t="str">
        <f aca="false">IF(อัปเดตรายสัปดาห์!$AB$23="Y","Y","")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Plan'!$H$23+(-25)</f>
        <v>46378</v>
      </c>
      <c r="J91" s="382" t="n">
        <f aca="false">'Master Plan'!$H$23+(-20)</f>
        <v>46383</v>
      </c>
      <c r="K91" s="387"/>
      <c r="L91" s="387"/>
      <c r="M91" s="383" t="str">
        <f aca="false">IF('อัปเดตงาน WBS'!$L$1293="","",'อัปเดตงาน WBS'!$L$1293)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Plan'!$H$23+(-20)</f>
        <v>46383</v>
      </c>
      <c r="J92" s="382" t="n">
        <f aca="false">'Master Plan'!$H$23+(-16)</f>
        <v>46387</v>
      </c>
      <c r="K92" s="387"/>
      <c r="L92" s="387"/>
      <c r="M92" s="383" t="str">
        <f aca="false">IF('อัปเดตงาน WBS'!$L$1294="","",'อัปเดตงาน WBS'!$L$1294)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Plan'!$H$23+(-25)</f>
        <v>46378</v>
      </c>
      <c r="J93" s="382" t="n">
        <f aca="false">'Master Plan'!$H$23+(-21)</f>
        <v>46382</v>
      </c>
      <c r="K93" s="387"/>
      <c r="L93" s="387"/>
      <c r="M93" s="383" t="str">
        <f aca="false">IF('อัปเดตงาน WBS'!$L$1295="","",'อัปเดตงาน WBS'!$L$1295)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Plan'!$H$23+(-21)</f>
        <v>46382</v>
      </c>
      <c r="J94" s="382" t="n">
        <f aca="false">'Master Plan'!$H$23+(-16)</f>
        <v>46387</v>
      </c>
      <c r="K94" s="387"/>
      <c r="L94" s="387"/>
      <c r="M94" s="383" t="str">
        <f aca="false">IF('อัปเดตงาน WBS'!$L$1296="","",'อัปเดตงาน WBS'!$L$1296)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Plan'!$H$23+(-17)</f>
        <v>46386</v>
      </c>
      <c r="J95" s="382" t="n">
        <f aca="false">'Master Plan'!$H$23+(-16)</f>
        <v>46387</v>
      </c>
      <c r="K95" s="387"/>
      <c r="L95" s="387"/>
      <c r="M95" s="383" t="str">
        <f aca="false">IF('อัปเดตงาน WBS'!$L$1297="","",'อัปเดตงาน WBS'!$L$1297)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3731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Plan'!$H$23+(-22)</f>
        <v>46381</v>
      </c>
      <c r="J96" s="373" t="n">
        <f aca="false">'Master Plan'!$H$23+(-16)</f>
        <v>46387</v>
      </c>
      <c r="K96" s="78"/>
      <c r="L96" s="78" t="str">
        <f aca="false">IF(ISNUMBER(อัปเดตรายสัปดาห์!$AC$23),อัปเดตรายสัปดาห์!$AC$23,"")</f>
        <v/>
      </c>
      <c r="M96" s="374" t="str">
        <f aca="false">IF(อัปเดตรายสัปดาห์!$AC$23="Y","Y","")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Plan'!$H$23+(-22)</f>
        <v>46381</v>
      </c>
      <c r="J97" s="382" t="n">
        <f aca="false">'Master Plan'!$H$23+(-17)</f>
        <v>46386</v>
      </c>
      <c r="K97" s="387"/>
      <c r="L97" s="387"/>
      <c r="M97" s="383" t="str">
        <f aca="false">IF('อัปเดตงาน WBS'!$L$1298="","",'อัปเดตงาน WBS'!$L$1298)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Plan'!$H$23+(-20)</f>
        <v>46383</v>
      </c>
      <c r="J98" s="382" t="n">
        <f aca="false">'Master Plan'!$H$23+(-16)</f>
        <v>46387</v>
      </c>
      <c r="K98" s="387"/>
      <c r="L98" s="387"/>
      <c r="M98" s="383" t="str">
        <f aca="false">IF('อัปเดตงาน WBS'!$L$1299="","",'อัปเดตงาน WBS'!$L$1299)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Plan'!$H$23+(-17)</f>
        <v>46386</v>
      </c>
      <c r="J99" s="382" t="n">
        <f aca="false">'Master Plan'!$H$23+(-16)</f>
        <v>46387</v>
      </c>
      <c r="K99" s="387"/>
      <c r="L99" s="387"/>
      <c r="M99" s="383" t="str">
        <f aca="false">IF('อัปเดตงาน WBS'!$L$1300="","",'อัปเดตงาน WBS'!$L$1300)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3731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Plan'!$H$23+(-20)</f>
        <v>46383</v>
      </c>
      <c r="J100" s="373" t="n">
        <f aca="false">'Master Plan'!$H$23+(-15)</f>
        <v>46388</v>
      </c>
      <c r="K100" s="78"/>
      <c r="L100" s="78" t="str">
        <f aca="false">IF(ISNUMBER(อัปเดตรายสัปดาห์!$AD$23),อัปเดตรายสัปดาห์!$AD$23,"")</f>
        <v/>
      </c>
      <c r="M100" s="374" t="str">
        <f aca="false">IF(อัปเดตรายสัปดาห์!$AD$23="Y","Y","")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Plan'!$H$23+(-19)</f>
        <v>46384</v>
      </c>
      <c r="J103" s="382" t="n">
        <f aca="false">'Master Plan'!$H$23+(-16)</f>
        <v>46387</v>
      </c>
      <c r="K103" s="387"/>
      <c r="L103" s="387"/>
      <c r="M103" s="383" t="str">
        <f aca="false">IF('อัปเดตงาน WBS'!$L$1301="","",'อัปเดตงาน WBS'!$L$1301)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Plan'!$H$23+(-18)</f>
        <v>46385</v>
      </c>
      <c r="J104" s="382" t="n">
        <f aca="false">'Master Plan'!$H$23+(-16)</f>
        <v>46387</v>
      </c>
      <c r="K104" s="387"/>
      <c r="L104" s="387"/>
      <c r="M104" s="383" t="str">
        <f aca="false">IF('อัปเดตงาน WBS'!$L$1302="","",'อัปเดตงาน WBS'!$L$1302)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Plan'!$H$23+(-18)</f>
        <v>46385</v>
      </c>
      <c r="J105" s="382" t="n">
        <f aca="false">'Master Plan'!$H$23+(-15)</f>
        <v>46388</v>
      </c>
      <c r="K105" s="387"/>
      <c r="L105" s="387"/>
      <c r="M105" s="383" t="str">
        <f aca="false">IF('อัปเดตงาน WBS'!$L$1303="","",'อัปเดตงาน WBS'!$L$1303)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Plan'!$H$23+(-16)</f>
        <v>46387</v>
      </c>
      <c r="J106" s="382" t="n">
        <f aca="false">'Master Plan'!$H$23+(-15)</f>
        <v>46388</v>
      </c>
      <c r="K106" s="387"/>
      <c r="L106" s="387"/>
      <c r="M106" s="383" t="str">
        <f aca="false">IF('อัปเดตงาน WBS'!$L$1304="","",'อัปเดตงาน WBS'!$L$1304)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3731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Plan'!$H$23+(-18)</f>
        <v>46385</v>
      </c>
      <c r="J107" s="373" t="n">
        <f aca="false">'Master Plan'!$H$23+(-14)</f>
        <v>46389</v>
      </c>
      <c r="K107" s="78"/>
      <c r="L107" s="78" t="str">
        <f aca="false">IF(ISNUMBER(อัปเดตรายสัปดาห์!$AE$23),อัปเดตรายสัปดาห์!$AE$23,"")</f>
        <v/>
      </c>
      <c r="M107" s="374" t="str">
        <f aca="false">IF(อัปเดตรายสัปดาห์!$AE$23="Y","Y","")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Plan'!$H$23+(-18)</f>
        <v>46385</v>
      </c>
      <c r="J108" s="382" t="n">
        <f aca="false">'Master Plan'!$H$23+(-15)</f>
        <v>46388</v>
      </c>
      <c r="K108" s="387"/>
      <c r="L108" s="387"/>
      <c r="M108" s="383" t="str">
        <f aca="false">IF('อัปเดตงาน WBS'!$L$1305="","",'อัปเดตงาน WBS'!$L$1305)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Plan'!$H$23+(-16)</f>
        <v>46387</v>
      </c>
      <c r="J109" s="382" t="n">
        <f aca="false">'Master Plan'!$H$23+(-14)</f>
        <v>46389</v>
      </c>
      <c r="K109" s="387"/>
      <c r="L109" s="387"/>
      <c r="M109" s="383" t="str">
        <f aca="false">IF('อัปเดตงาน WBS'!$L$1306="","",'อัปเดตงาน WBS'!$L$1306)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Plan'!$H$23+(-17)</f>
        <v>46386</v>
      </c>
      <c r="J110" s="382" t="n">
        <f aca="false">'Master Plan'!$H$23+(-15)</f>
        <v>46388</v>
      </c>
      <c r="K110" s="387"/>
      <c r="L110" s="387"/>
      <c r="M110" s="383" t="str">
        <f aca="false">IF('อัปเดตงาน WBS'!$L$1307="","",'อัปเดตงาน WBS'!$L$1307)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105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Plan'!$H$23+(-13)</f>
        <v>46390</v>
      </c>
      <c r="J111" s="373" t="n">
        <f aca="false">'Master Plan'!$H$23+(-13)</f>
        <v>46390</v>
      </c>
      <c r="K111" s="78"/>
      <c r="L111" s="78" t="str">
        <f aca="false">IF(ISNUMBER(อัปเดตรายสัปดาห์!$AF$23),อัปเดตรายสัปดาห์!$AF$23,"")</f>
        <v/>
      </c>
      <c r="M111" s="374" t="str">
        <f aca="false">IF(อัปเดตรายสัปดาห์!$AF$23="Y","Y","")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Plan'!$Y$23)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Plan'!$H$23+(-13)</f>
        <v>46390</v>
      </c>
      <c r="J112" s="382" t="n">
        <f aca="false">'Master Plan'!$H$23+(-13)</f>
        <v>46390</v>
      </c>
      <c r="K112" s="387"/>
      <c r="L112" s="387"/>
      <c r="M112" s="383" t="str">
        <f aca="false">IF('อัปเดตงาน WBS'!$L$1308="","",'อัปเดตงาน WBS'!$L$1308)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Plan'!$H$23+(-13)</f>
        <v>46390</v>
      </c>
      <c r="J113" s="382" t="n">
        <f aca="false">'Master Plan'!$H$23+(-13)</f>
        <v>46390</v>
      </c>
      <c r="K113" s="387"/>
      <c r="L113" s="387"/>
      <c r="M113" s="383" t="str">
        <f aca="false">IF('อัปเดตงาน WBS'!$L$1309="","",'อัปเดตงาน WBS'!$L$1309)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3731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Plan'!$H$23+(-12)</f>
        <v>46391</v>
      </c>
      <c r="J115" s="373" t="n">
        <f aca="false">'Master Plan'!$H$23+(-10)</f>
        <v>46393</v>
      </c>
      <c r="K115" s="78"/>
      <c r="L115" s="78" t="str">
        <f aca="false">IF(ISNUMBER(อัปเดตรายสัปดาห์!$AG$23),อัปเดตรายสัปดาห์!$AG$23,"")</f>
        <v/>
      </c>
      <c r="M115" s="374" t="str">
        <f aca="false">IF(อัปเดตรายสัปดาห์!$AG$23="Y","Y","")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Plan'!$AA$23)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Plan'!$H$23+(-12)</f>
        <v>46391</v>
      </c>
      <c r="J116" s="382" t="n">
        <f aca="false">'Master Plan'!$H$23+(-12)</f>
        <v>46391</v>
      </c>
      <c r="K116" s="387"/>
      <c r="L116" s="387"/>
      <c r="M116" s="383" t="str">
        <f aca="false">IF('อัปเดตงาน WBS'!$L$1310="","",'อัปเดตงาน WBS'!$L$1310)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Plan'!$H$23+(-12)</f>
        <v>46391</v>
      </c>
      <c r="J117" s="382" t="n">
        <f aca="false">'Master Plan'!$H$23+(-11)</f>
        <v>46392</v>
      </c>
      <c r="K117" s="387"/>
      <c r="L117" s="387"/>
      <c r="M117" s="383" t="str">
        <f aca="false">IF('อัปเดตงาน WBS'!$L$1311="","",'อัปเดตงาน WBS'!$L$1311)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Plan'!$H$23+(-11)</f>
        <v>46392</v>
      </c>
      <c r="J118" s="382" t="n">
        <f aca="false">'Master Plan'!$H$23+(-11)</f>
        <v>46392</v>
      </c>
      <c r="K118" s="387"/>
      <c r="L118" s="387"/>
      <c r="M118" s="383" t="str">
        <f aca="false">IF('อัปเดตงาน WBS'!$L$1312="","",'อัปเดตงาน WBS'!$L$1312)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Plan'!$H$23+(-11)</f>
        <v>46392</v>
      </c>
      <c r="J119" s="382" t="n">
        <f aca="false">'Master Plan'!$H$23+(-11)</f>
        <v>46392</v>
      </c>
      <c r="K119" s="387"/>
      <c r="L119" s="387"/>
      <c r="M119" s="383" t="str">
        <f aca="false">IF('อัปเดตงาน WBS'!$L$1313="","",'อัปเดตงาน WBS'!$L$1313)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Plan'!$H$23+(-11)</f>
        <v>46392</v>
      </c>
      <c r="J120" s="382" t="n">
        <f aca="false">'Master Plan'!$H$23+(-10)</f>
        <v>46393</v>
      </c>
      <c r="K120" s="387"/>
      <c r="L120" s="387"/>
      <c r="M120" s="383" t="str">
        <f aca="false">IF('อัปเดตงาน WBS'!$L$1314="","",'อัปเดตงาน WBS'!$L$1314)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Plan'!$H$23+(-11)</f>
        <v>46392</v>
      </c>
      <c r="J121" s="382" t="n">
        <f aca="false">'Master Plan'!$H$23+(-10)</f>
        <v>46393</v>
      </c>
      <c r="K121" s="387"/>
      <c r="L121" s="387"/>
      <c r="M121" s="383" t="str">
        <f aca="false">IF('อัปเดตงาน WBS'!$L$1315="","",'อัปเดตงาน WBS'!$L$1315)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105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Plan'!$H$23+(-10)</f>
        <v>46393</v>
      </c>
      <c r="J122" s="373" t="n">
        <f aca="false">'Master Plan'!$H$23+(-10)</f>
        <v>46393</v>
      </c>
      <c r="K122" s="78"/>
      <c r="L122" s="78" t="str">
        <f aca="false">IF(ISNUMBER(อัปเดตรายสัปดาห์!$AH$23),อัปเดตรายสัปดาห์!$AH$23,"")</f>
        <v/>
      </c>
      <c r="M122" s="374" t="str">
        <f aca="false">IF(อัปเดตรายสัปดาห์!$AH$23="Y","Y","")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Plan'!$Z$23)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105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Plan'!$H$23+(-12)</f>
        <v>46391</v>
      </c>
      <c r="J123" s="373" t="n">
        <f aca="false">'Master Plan'!$H$23+(-8)</f>
        <v>46395</v>
      </c>
      <c r="K123" s="78" t="str">
        <f aca="false">IF(ISNUMBER(อัปเดตรายสัปดาห์!$AI$23),อัปเดตรายสัปดาห์!$AI$23,"")</f>
        <v/>
      </c>
      <c r="L123" s="78" t="str">
        <f aca="false">IF(ISNUMBER(อัปเดตรายสัปดาห์!$AJ$23),อัปเดตรายสัปดาห์!$AJ$23,"")</f>
        <v/>
      </c>
      <c r="M123" s="374" t="str">
        <f aca="false">IF(อัปเดตรายสัปดาห์!$AJ$23="Y","Y","")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105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Plan'!$H$23+(37)</f>
        <v>46440</v>
      </c>
      <c r="J124" s="373" t="n">
        <f aca="false">'Master Plan'!$H$23+(50)</f>
        <v>46453</v>
      </c>
      <c r="K124" s="78"/>
      <c r="L124" s="78" t="str">
        <f aca="false">IF(ISNUMBER(อัปเดตรายสัปดาห์!$AK$23),อัปเดตรายสัปดาห์!$AK$23,"")</f>
        <v/>
      </c>
      <c r="M124" s="374" t="str">
        <f aca="false">IF(อัปเดตรายสัปดาห์!$AK$23="Y","Y","")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Plan'!$H$23+(37)</f>
        <v>46440</v>
      </c>
      <c r="J125" s="382" t="n">
        <f aca="false">'Master Plan'!$H$23+(41)</f>
        <v>46444</v>
      </c>
      <c r="K125" s="387"/>
      <c r="L125" s="387"/>
      <c r="M125" s="383" t="str">
        <f aca="false">IF('อัปเดตงาน WBS'!$L$1316="","",'อัปเดตงาน WBS'!$L$1316)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Plan'!$H$23+(40)</f>
        <v>46443</v>
      </c>
      <c r="J126" s="382" t="n">
        <f aca="false">'Master Plan'!$H$23+(47)</f>
        <v>46450</v>
      </c>
      <c r="K126" s="387"/>
      <c r="L126" s="387"/>
      <c r="M126" s="383" t="str">
        <f aca="false">IF('อัปเดตงาน WBS'!$L$1317="","",'อัปเดตงาน WBS'!$L$1317)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Plan'!$H$23+(47)</f>
        <v>46450</v>
      </c>
      <c r="J127" s="382" t="n">
        <f aca="false">'Master Plan'!$H$23+(50)</f>
        <v>46453</v>
      </c>
      <c r="K127" s="387"/>
      <c r="L127" s="387"/>
      <c r="M127" s="383" t="str">
        <f aca="false">IF('อัปเดตงาน WBS'!$L$1318="","",'อัปเดตงาน WBS'!$L$1318)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3731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Plan'!$H$23+(0)</f>
        <v>46403</v>
      </c>
      <c r="J128" s="373" t="n">
        <f aca="false">'Master Plan'!$H$23+(0)</f>
        <v>46403</v>
      </c>
      <c r="K128" s="78"/>
      <c r="L128" s="78" t="str">
        <f aca="false">IF(ISNUMBER(อัปเดตรายสัปดาห์!$AL$23),อัปเดตรายสัปดาห์!$AL$23,"")</f>
        <v/>
      </c>
      <c r="M128" s="374" t="str">
        <f aca="false">IF(อัปเดตรายสัปดาห์!$AL$23="Y","Y","")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Plan'!$AB$23)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Plan'!$H$23+(0)</f>
        <v>46403</v>
      </c>
      <c r="J129" s="373" t="n">
        <f aca="false">'Master Plan'!$H$23+(0)</f>
        <v>46403</v>
      </c>
      <c r="K129" s="78"/>
      <c r="L129" s="78" t="str">
        <f aca="false">IF(ISNUMBER(อัปเดตรายสัปดาห์!$AM$23),อัปเดตรายสัปดาห์!$AM$23,"")</f>
        <v/>
      </c>
      <c r="M129" s="374" t="str">
        <f aca="false">IF(อัปเดตรายสัปดาห์!$AM$23="Y","Y","")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Plan'!$H$23+(0)</f>
        <v>46403</v>
      </c>
      <c r="J130" s="373" t="n">
        <f aca="false">'Master Plan'!$H$23+(0)</f>
        <v>46403</v>
      </c>
      <c r="K130" s="78"/>
      <c r="L130" s="78" t="str">
        <f aca="false">IF(ISNUMBER(อัปเดตรายสัปดาห์!$AN$23),อัปเดตรายสัปดาห์!$AN$23,"")</f>
        <v/>
      </c>
      <c r="M130" s="374" t="str">
        <f aca="false">IF(อัปเดตรายสัปดาห์!$AN$23="Y","Y","")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105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Plan'!$H$23+(34)</f>
        <v>46437</v>
      </c>
      <c r="J131" s="373" t="n">
        <f aca="false">'Master Plan'!$H$23+(36)</f>
        <v>46439</v>
      </c>
      <c r="K131" s="78"/>
      <c r="L131" s="78" t="str">
        <f aca="false">IF(ISNUMBER(อัปเดตรายสัปดาห์!$AO$23),อัปเดตรายสัปดาห์!$AO$23,"")</f>
        <v/>
      </c>
      <c r="M131" s="374" t="str">
        <f aca="false">IF(อัปเดตรายสัปดาห์!$AO$23="Y","Y","")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SUMPRODUCT((SITE_ST="P9-016")*(SITE_TYPE=$B136)*(SITE_TYPE&lt;&gt;""))</f>
        <v>0</v>
      </c>
      <c r="E136" s="397" t="n">
        <f aca="false">SUMPRODUCT((SITE_ST="P9-016")*(SITE_TYPE=$B136)*SITE_MOD)</f>
        <v>0</v>
      </c>
      <c r="I136" s="398" t="n">
        <f aca="false">SUMPRODUCT((SITE_ST="P9-016")*(SITE_TYPE=$B136)*SITE_KWP)</f>
        <v>0</v>
      </c>
      <c r="J136" s="35" t="str">
        <f aca="false">IF(SUMPRODUCT((SITE_ST="P9-016")*(SITE_TYPE=$B136)*(SITE_TYPE&lt;&gt;""))=0,"",SUMPRODUCT((SITE_ST="P9-016")*(SITE_TYPE=$B136)*SITE_S21*SITE_D21)/MAX(0.0001,SUMPRODUCT((SITE_ST="P9-016")*(SITE_TYPE=$B136)*SITE_S21)))</f>
        <v/>
      </c>
      <c r="K136" s="32" t="str">
        <f aca="false">IF(SUMPRODUCT((SITE_ST="P9-016")*(SITE_TYPE=$B136)*(SITE_TYPE&lt;&gt;""))=0,"",SUMPRODUCT((SITE_ST="P9-016")*(SITE_TYPE=$B136)*(SITE_TYPE&lt;&gt;"")*(SITE_T22="Y"))&amp;"/"&amp;SUMPRODUCT((SITE_ST="P9-016")*(SITE_TYPE=$B136)*(SITE_TYPE&lt;&gt;"")))</f>
        <v/>
      </c>
      <c r="L136" s="32" t="str">
        <f aca="false">IF(SUMPRODUCT((SITE_ST="P9-016")*(SITE_TYPE=$B136)*(SITE_TYPE&lt;&gt;""))=0,"",SUMPRODUCT((SITE_ST="P9-016")*(SITE_TYPE=$B136)*(SITE_TYPE&lt;&gt;"")*(SITE_T23="Y"))&amp;"/"&amp;SUMPRODUCT((SITE_ST="P9-016")*(SITE_TYPE=$B136)*(SITE_TYPE&lt;&gt;"")))</f>
        <v/>
      </c>
      <c r="O136" s="32" t="str">
        <f aca="false">IF(SUMPRODUCT((SITE_ST="P9-016")*(SITE_TYPE=$B136)*(LEFT(SITE_LAD,4)="ติด:"))=0,"",SUMPRODUCT((SITE_ST="P9-016")*(SITE_TYPE=$B136)*(LEFT(SITE_LAD,4)="ติด:"))&amp;"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SUMPRODUCT((SITE_ST="P9-016")*(SITE_TYPE=$B137)*(SITE_TYPE&lt;&gt;""))</f>
        <v>0</v>
      </c>
      <c r="E137" s="397" t="n">
        <f aca="false">SUMPRODUCT((SITE_ST="P9-016")*(SITE_TYPE=$B137)*SITE_MOD)</f>
        <v>0</v>
      </c>
      <c r="I137" s="398" t="n">
        <f aca="false">SUMPRODUCT((SITE_ST="P9-016")*(SITE_TYPE=$B137)*SITE_KWP)</f>
        <v>0</v>
      </c>
      <c r="J137" s="35" t="str">
        <f aca="false">IF(SUMPRODUCT((SITE_ST="P9-016")*(SITE_TYPE=$B137)*(SITE_TYPE&lt;&gt;""))=0,"",SUMPRODUCT((SITE_ST="P9-016")*(SITE_TYPE=$B137)*SITE_S21*SITE_D21)/MAX(0.0001,SUMPRODUCT((SITE_ST="P9-016")*(SITE_TYPE=$B137)*SITE_S21)))</f>
        <v/>
      </c>
      <c r="K137" s="32" t="str">
        <f aca="false">IF(SUMPRODUCT((SITE_ST="P9-016")*(SITE_TYPE=$B137)*(SITE_TYPE&lt;&gt;""))=0,"",SUMPRODUCT((SITE_ST="P9-016")*(SITE_TYPE=$B137)*(SITE_TYPE&lt;&gt;"")*(SITE_T22="Y"))&amp;"/"&amp;SUMPRODUCT((SITE_ST="P9-016")*(SITE_TYPE=$B137)*(SITE_TYPE&lt;&gt;"")))</f>
        <v/>
      </c>
      <c r="L137" s="32" t="str">
        <f aca="false">IF(SUMPRODUCT((SITE_ST="P9-016")*(SITE_TYPE=$B137)*(SITE_TYPE&lt;&gt;""))=0,"",SUMPRODUCT((SITE_ST="P9-016")*(SITE_TYPE=$B137)*(SITE_TYPE&lt;&gt;"")*(SITE_T23="Y"))&amp;"/"&amp;SUMPRODUCT((SITE_ST="P9-016")*(SITE_TYPE=$B137)*(SITE_TYPE&lt;&gt;"")))</f>
        <v/>
      </c>
      <c r="O137" s="32" t="str">
        <f aca="false">IF(SUMPRODUCT((SITE_ST="P9-016")*(SITE_TYPE=$B137)*(LEFT(SITE_LAD,4)="ติด:"))=0,"",SUMPRODUCT((SITE_ST="P9-016")*(SITE_TYPE=$B137)*(LEFT(SITE_LAD,4)="ติด:"))&amp;"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SUMPRODUCT((SITE_ST="P9-016")*(SITE_TYPE=$B138)*(SITE_TYPE&lt;&gt;""))</f>
        <v>0</v>
      </c>
      <c r="E138" s="397" t="n">
        <f aca="false">SUMPRODUCT((SITE_ST="P9-016")*(SITE_TYPE=$B138)*SITE_MOD)</f>
        <v>0</v>
      </c>
      <c r="I138" s="398" t="n">
        <f aca="false">SUMPRODUCT((SITE_ST="P9-016")*(SITE_TYPE=$B138)*SITE_KWP)</f>
        <v>0</v>
      </c>
      <c r="J138" s="35" t="str">
        <f aca="false">IF(SUMPRODUCT((SITE_ST="P9-016")*(SITE_TYPE=$B138)*(SITE_TYPE&lt;&gt;""))=0,"",SUMPRODUCT((SITE_ST="P9-016")*(SITE_TYPE=$B138)*SITE_S21*SITE_D21)/MAX(0.0001,SUMPRODUCT((SITE_ST="P9-016")*(SITE_TYPE=$B138)*SITE_S21)))</f>
        <v/>
      </c>
      <c r="K138" s="32" t="str">
        <f aca="false">IF(SUMPRODUCT((SITE_ST="P9-016")*(SITE_TYPE=$B138)*(SITE_TYPE&lt;&gt;""))=0,"",SUMPRODUCT((SITE_ST="P9-016")*(SITE_TYPE=$B138)*(SITE_TYPE&lt;&gt;"")*(SITE_T22="Y"))&amp;"/"&amp;SUMPRODUCT((SITE_ST="P9-016")*(SITE_TYPE=$B138)*(SITE_TYPE&lt;&gt;"")))</f>
        <v/>
      </c>
      <c r="L138" s="32" t="str">
        <f aca="false">IF(SUMPRODUCT((SITE_ST="P9-016")*(SITE_TYPE=$B138)*(SITE_TYPE&lt;&gt;""))=0,"",SUMPRODUCT((SITE_ST="P9-016")*(SITE_TYPE=$B138)*(SITE_TYPE&lt;&gt;"")*(SITE_T23="Y"))&amp;"/"&amp;SUMPRODUCT((SITE_ST="P9-016")*(SITE_TYPE=$B138)*(SITE_TYPE&lt;&gt;"")))</f>
        <v/>
      </c>
      <c r="O138" s="32" t="str">
        <f aca="false">IF(SUMPRODUCT((SITE_ST="P9-016")*(SITE_TYPE=$B138)*(LEFT(SITE_LAD,4)="ติด:"))=0,"",SUMPRODUCT((SITE_ST="P9-016")*(SITE_TYPE=$B138)*(LEFT(SITE_LAD,4)="ติด:"))&amp;"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SUMPRODUCT((SITE_ST="P9-016")*(SITE_TYPE=$B139)*(SITE_TYPE&lt;&gt;""))</f>
        <v>0</v>
      </c>
      <c r="E139" s="397" t="n">
        <f aca="false">SUMPRODUCT((SITE_ST="P9-016")*(SITE_TYPE=$B139)*SITE_MOD)</f>
        <v>0</v>
      </c>
      <c r="I139" s="398" t="n">
        <f aca="false">SUMPRODUCT((SITE_ST="P9-016")*(SITE_TYPE=$B139)*SITE_KWP)</f>
        <v>0</v>
      </c>
      <c r="J139" s="35" t="str">
        <f aca="false">IF(SUMPRODUCT((SITE_ST="P9-016")*(SITE_TYPE=$B139)*(SITE_TYPE&lt;&gt;""))=0,"",SUMPRODUCT((SITE_ST="P9-016")*(SITE_TYPE=$B139)*SITE_S21*SITE_D21)/MAX(0.0001,SUMPRODUCT((SITE_ST="P9-016")*(SITE_TYPE=$B139)*SITE_S21)))</f>
        <v/>
      </c>
      <c r="K139" s="32" t="str">
        <f aca="false">IF(SUMPRODUCT((SITE_ST="P9-016")*(SITE_TYPE=$B139)*(SITE_TYPE&lt;&gt;""))=0,"",SUMPRODUCT((SITE_ST="P9-016")*(SITE_TYPE=$B139)*(SITE_TYPE&lt;&gt;"")*(SITE_T22="Y"))&amp;"/"&amp;SUMPRODUCT((SITE_ST="P9-016")*(SITE_TYPE=$B139)*(SITE_TYPE&lt;&gt;"")))</f>
        <v/>
      </c>
      <c r="L139" s="32" t="str">
        <f aca="false">IF(SUMPRODUCT((SITE_ST="P9-016")*(SITE_TYPE=$B139)*(SITE_TYPE&lt;&gt;""))=0,"",SUMPRODUCT((SITE_ST="P9-016")*(SITE_TYPE=$B139)*(SITE_TYPE&lt;&gt;"")*(SITE_T23="Y"))&amp;"/"&amp;SUMPRODUCT((SITE_ST="P9-016")*(SITE_TYPE=$B139)*(SITE_TYPE&lt;&gt;"")))</f>
        <v/>
      </c>
      <c r="O139" s="32" t="str">
        <f aca="false">IF(SUMPRODUCT((SITE_ST="P9-016")*(SITE_TYPE=$B139)*(LEFT(SITE_LAD,4)="ติด:"))=0,"",SUMPRODUCT((SITE_ST="P9-016")*(SITE_TYPE=$B139)*(LEFT(SITE_LAD,4)="ติด:"))&amp;"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SUMPRODUCT((SITE_ST="P9-016")*(SITE_TYPE=$B140)*(SITE_TYPE&lt;&gt;""))</f>
        <v>1</v>
      </c>
      <c r="E140" s="397" t="n">
        <f aca="false">SUMPRODUCT((SITE_ST="P9-016")*(SITE_TYPE=$B140)*SITE_MOD)</f>
        <v>492</v>
      </c>
      <c r="I140" s="398" t="n">
        <f aca="false">SUMPRODUCT((SITE_ST="P9-016")*(SITE_TYPE=$B140)*SITE_KWP)</f>
        <v>280.44</v>
      </c>
      <c r="J140" s="35" t="n">
        <f aca="false">IF(SUMPRODUCT((SITE_ST="P9-016")*(SITE_TYPE=$B140)*(SITE_TYPE&lt;&gt;""))=0,"",SUMPRODUCT((SITE_ST="P9-016")*(SITE_TYPE=$B140)*SITE_S21*SITE_D21)/MAX(0.0001,SUMPRODUCT((SITE_ST="P9-016")*(SITE_TYPE=$B140)*SITE_S21)))</f>
        <v>0</v>
      </c>
      <c r="K140" s="32" t="str">
        <f aca="false">IF(SUMPRODUCT((SITE_ST="P9-016")*(SITE_TYPE=$B140)*(SITE_TYPE&lt;&gt;""))=0,"",SUMPRODUCT((SITE_ST="P9-016")*(SITE_TYPE=$B140)*(SITE_TYPE&lt;&gt;"")*(SITE_T22="Y"))&amp;"/"&amp;SUMPRODUCT((SITE_ST="P9-016")*(SITE_TYPE=$B140)*(SITE_TYPE&lt;&gt;"")))</f>
        <v>0/1</v>
      </c>
      <c r="L140" s="32" t="str">
        <f aca="false">IF(SUMPRODUCT((SITE_ST="P9-016")*(SITE_TYPE=$B140)*(SITE_TYPE&lt;&gt;""))=0,"",SUMPRODUCT((SITE_ST="P9-016")*(SITE_TYPE=$B140)*(SITE_TYPE&lt;&gt;"")*(SITE_T23="Y"))&amp;"/"&amp;SUMPRODUCT((SITE_ST="P9-016")*(SITE_TYPE=$B140)*(SITE_TYPE&lt;&gt;"")))</f>
        <v>0/1</v>
      </c>
      <c r="O140" s="32" t="str">
        <f aca="false">IF(SUMPRODUCT((SITE_ST="P9-016")*(SITE_TYPE=$B140)*(LEFT(SITE_LAD,4)="ติด:"))=0,"",SUMPRODUCT((SITE_ST="P9-016")*(SITE_TYPE=$B140)*(LEFT(SITE_LAD,4)="ติด:"))&amp;"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SUMPRODUCT((SITE_ST="P9-016")*(SITE_TYPE=$B141)*(SITE_TYPE&lt;&gt;""))</f>
        <v>0</v>
      </c>
      <c r="E141" s="397" t="n">
        <f aca="false">SUMPRODUCT((SITE_ST="P9-016")*(SITE_TYPE=$B141)*SITE_MOD)</f>
        <v>0</v>
      </c>
      <c r="I141" s="398" t="n">
        <f aca="false">SUMPRODUCT((SITE_ST="P9-016")*(SITE_TYPE=$B141)*SITE_KWP)</f>
        <v>0</v>
      </c>
      <c r="J141" s="35" t="str">
        <f aca="false">IF(SUMPRODUCT((SITE_ST="P9-016")*(SITE_TYPE=$B141)*(SITE_TYPE&lt;&gt;""))=0,"",SUMPRODUCT((SITE_ST="P9-016")*(SITE_TYPE=$B141)*SITE_S21*SITE_D21)/MAX(0.0001,SUMPRODUCT((SITE_ST="P9-016")*(SITE_TYPE=$B141)*SITE_S21)))</f>
        <v/>
      </c>
      <c r="K141" s="32" t="str">
        <f aca="false">IF(SUMPRODUCT((SITE_ST="P9-016")*(SITE_TYPE=$B141)*(SITE_TYPE&lt;&gt;""))=0,"",SUMPRODUCT((SITE_ST="P9-016")*(SITE_TYPE=$B141)*(SITE_TYPE&lt;&gt;"")*(SITE_T22="Y"))&amp;"/"&amp;SUMPRODUCT((SITE_ST="P9-016")*(SITE_TYPE=$B141)*(SITE_TYPE&lt;&gt;"")))</f>
        <v/>
      </c>
      <c r="L141" s="32" t="str">
        <f aca="false">IF(SUMPRODUCT((SITE_ST="P9-016")*(SITE_TYPE=$B141)*(SITE_TYPE&lt;&gt;""))=0,"",SUMPRODUCT((SITE_ST="P9-016")*(SITE_TYPE=$B141)*(SITE_TYPE&lt;&gt;"")*(SITE_T23="Y"))&amp;"/"&amp;SUMPRODUCT((SITE_ST="P9-016")*(SITE_TYPE=$B141)*(SITE_TYPE&lt;&gt;"")))</f>
        <v/>
      </c>
      <c r="O141" s="32" t="str">
        <f aca="false">IF(SUMPRODUCT((SITE_ST="P9-016")*(SITE_TYPE=$B141)*(LEFT(SITE_LAD,4)="ติด:"))=0,"",SUMPRODUCT((SITE_ST="P9-016")*(SITE_TYPE=$B141)*(LEFT(SITE_LAD,4)="ติด:"))&amp;"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SUMPRODUCT((SITE_ST="P9-016")*(SITE_TYPE&lt;&gt;""))</f>
        <v>1</v>
      </c>
      <c r="E142" s="403" t="n">
        <f aca="false">SUMPRODUCT((SITE_ST="P9-016")*SITE_MOD)</f>
        <v>492</v>
      </c>
      <c r="I142" s="404" t="n">
        <f aca="false">SUMPRODUCT((SITE_ST="P9-016")*SITE_KWP)</f>
        <v>280.44</v>
      </c>
      <c r="J142" s="405" t="n">
        <f aca="false">IF(SUMPRODUCT((SITE_ST="P9-016")*(SITE_TYPE&lt;&gt;""))=0,"",SUMPRODUCT((SITE_ST="P9-016")*SITE_S21*SITE_D21)/MAX(0.0001,SUMPRODUCT((SITE_ST="P9-016")*SITE_S21)))</f>
        <v>0</v>
      </c>
      <c r="K142" s="406" t="str">
        <f aca="false">IF(SUMPRODUCT((SITE_ST="P9-016")*(SITE_TYPE&lt;&gt;""))=0,"",SUMPRODUCT((SITE_ST="P9-016")*(SITE_TYPE&lt;&gt;"")*(SITE_T22="Y"))&amp;"/"&amp;SUMPRODUCT((SITE_ST="P9-016")*(SITE_TYPE&lt;&gt;"")))</f>
        <v>0/1</v>
      </c>
      <c r="L142" s="406" t="str">
        <f aca="false">IF(SUMPRODUCT((SITE_ST="P9-016")*(SITE_TYPE&lt;&gt;""))=0,"",SUMPRODUCT((SITE_ST="P9-016")*(SITE_TYPE&lt;&gt;"")*(SITE_T23="Y"))&amp;"/"&amp;SUMPRODUCT((SITE_ST="P9-016")*(SITE_TYPE&lt;&gt;"")))</f>
        <v>0/1</v>
      </c>
      <c r="O142" s="406" t="str">
        <f aca="false">IF(SUMPRODUCT((SITE_ST="P9-016")*(LEFT(SITE_LAD,4)="ติด:"))=0,"",SUMPRODUCT((SITE_ST="P9-016")*(LEFT(SITE_LAD,4)="ติด:"))&amp;"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IFERROR(INDEX(INVS_TYPE,MATCH("P9-016",INVS_ID,0))&amp;"","")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ทั้งก้อน",IFERROR(INDEX(INVS_SET,MATCH("P9-016",INVS_ID,0)),"")&amp;" kW, โรงเรือน "&amp;IFERROR(INDEX(INVS_SIZE,MATCH("P9-016",INVS_ID,0)),"")&amp;",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3" display="✎ กรอกความคืบหน้า"/>
    <hyperlink ref="R4" location="'Master Plan'!A23" display="← กลับ Master Plan"/>
    <hyperlink ref="M10" location="'อัปเดตงาน WBS'!L12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6"/>
    <hyperlink ref="M11" location="'อัปเดตงาน WBS'!L12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7"/>
    <hyperlink ref="M12" location="'อัปเดตงาน WBS'!L12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8"/>
    <hyperlink ref="M13" location="'อัปเดตงาน WBS'!L12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39"/>
    <hyperlink ref="M14" location="'อัปเดตงาน WBS'!L12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0"/>
    <hyperlink ref="M15" location="'อัปเดตงาน WBS'!L12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1"/>
    <hyperlink ref="M17" location="'อัปเดตงาน WBS'!L12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2"/>
    <hyperlink ref="M18" location="'อัปเดตงาน WBS'!L12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3"/>
    <hyperlink ref="M19" location="'อัปเดตงาน WBS'!L12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4"/>
    <hyperlink ref="M20" location="'อัปเดตงาน WBS'!L12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5"/>
    <hyperlink ref="M21" location="'อัปเดตงาน WBS'!L12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6"/>
    <hyperlink ref="M22" location="'อัปเดตงาน WBS'!L12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7"/>
    <hyperlink ref="M24" location="'อัปเดตงาน WBS'!L12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8"/>
    <hyperlink ref="M26" location="'อัปเดตงาน WBS'!L12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49"/>
    <hyperlink ref="M27" location="'อัปเดตงาน WBS'!L12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0"/>
    <hyperlink ref="M28" location="'อัปเดตงาน WBS'!L12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1"/>
    <hyperlink ref="M31" location="'อัปเดตงาน WBS'!L12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2"/>
    <hyperlink ref="M32" location="'อัปเดตงาน WBS'!L12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3"/>
    <hyperlink ref="M33" location="'อัปเดตงาน WBS'!L12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4"/>
    <hyperlink ref="M35" location="'อัปเดตงาน WBS'!L12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5"/>
    <hyperlink ref="M36" location="'อัปเดตงาน WBS'!L12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6"/>
    <hyperlink ref="M37" location="'อัปเดตงาน WBS'!L12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7"/>
    <hyperlink ref="M38" location="'อัปเดตงาน WBS'!L12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8"/>
    <hyperlink ref="M40" location="'อัปเดตงาน WBS'!L12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59"/>
    <hyperlink ref="M41" location="'อัปเดตงาน WBS'!L12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0"/>
    <hyperlink ref="M42" location="'อัปเดตงาน WBS'!L12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1"/>
    <hyperlink ref="M44" location="'อัปเดตงาน WBS'!L12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2"/>
    <hyperlink ref="M45" location="'อัปเดตงาน WBS'!L12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3"/>
    <hyperlink ref="M46" location="'อัปเดตงาน WBS'!L12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4"/>
    <hyperlink ref="M48" location="'อัปเดตงาน WBS'!L12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5"/>
    <hyperlink ref="M49" location="'อัปเดตงาน WBS'!L12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6"/>
    <hyperlink ref="M51" location="'อัปเดตงาน WBS'!L12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7"/>
    <hyperlink ref="M53" location="'อัปเดตงาน WBS'!L12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8"/>
    <hyperlink ref="M54" location="'อัปเดตงาน WBS'!L12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69"/>
    <hyperlink ref="M63" location="'อัปเดตงาน WBS'!L12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0"/>
    <hyperlink ref="M64" location="'อัปเดตงาน WBS'!L12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1"/>
    <hyperlink ref="M65" location="'อัปเดตงาน WBS'!L12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2"/>
    <hyperlink ref="M66" location="'อัปเดตงาน WBS'!L12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3"/>
    <hyperlink ref="M67" location="'อัปเดตงาน WBS'!L12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4"/>
    <hyperlink ref="M68" location="'อัปเดตงาน WBS'!L12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5"/>
    <hyperlink ref="M69" location="'อัปเดตงาน WBS'!L12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6"/>
    <hyperlink ref="M71" location="'อัปเดตงาน WBS'!L12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7"/>
    <hyperlink ref="M72" location="'อัปเดตงาน WBS'!L12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8"/>
    <hyperlink ref="M73" location="'อัปเดตงาน WBS'!L12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79"/>
    <hyperlink ref="M74" location="'อัปเดตงาน WBS'!L12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0"/>
    <hyperlink ref="M75" location="'อัปเดตงาน WBS'!L12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1"/>
    <hyperlink ref="M77" location="'อัปเดตงาน WBS'!L12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2"/>
    <hyperlink ref="M78" location="'อัปเดตงาน WBS'!L12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3"/>
    <hyperlink ref="M79" location="'อัปเดตงาน WBS'!L12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4"/>
    <hyperlink ref="M80" location="'อัปเดตงาน WBS'!L12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5"/>
    <hyperlink ref="M81" location="'อัปเดตงาน WBS'!L12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6"/>
    <hyperlink ref="M83" location="'อัปเดตงาน WBS'!L12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7"/>
    <hyperlink ref="M84" location="'อัปเดตงาน WBS'!L12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8"/>
    <hyperlink ref="M86" location="'อัปเดตงาน WBS'!L12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89"/>
    <hyperlink ref="M87" location="'อัปเดตงาน WBS'!L12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0"/>
    <hyperlink ref="M88" location="'อัปเดตงาน WBS'!L12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1"/>
    <hyperlink ref="M89" location="'อัปเดตงาน WBS'!L12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2"/>
    <hyperlink ref="M91" location="'อัปเดตงาน WBS'!L12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3"/>
    <hyperlink ref="M92" location="'อัปเดตงาน WBS'!L12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4"/>
    <hyperlink ref="M93" location="'อัปเดตงาน WBS'!L12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5"/>
    <hyperlink ref="M94" location="'อัปเดตงาน WBS'!L12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6"/>
    <hyperlink ref="M95" location="'อัปเดตงาน WBS'!L12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7"/>
    <hyperlink ref="M97" location="'อัปเดตงาน WBS'!L12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8"/>
    <hyperlink ref="M98" location="'อัปเดตงาน WBS'!L12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299"/>
    <hyperlink ref="M99" location="'อัปเดตงาน WBS'!L13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0"/>
    <hyperlink ref="M103" location="'อัปเดตงาน WBS'!L13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1"/>
    <hyperlink ref="M104" location="'อัปเดตงาน WBS'!L13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2"/>
    <hyperlink ref="M105" location="'อัปเดตงาน WBS'!L13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3"/>
    <hyperlink ref="M106" location="'อัปเดตงาน WBS'!L13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4"/>
    <hyperlink ref="M108" location="'อัปเดตงาน WBS'!L13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5"/>
    <hyperlink ref="M109" location="'อัปเดตงาน WBS'!L13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6"/>
    <hyperlink ref="M110" location="'อัปเดตงาน WBS'!L13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7"/>
    <hyperlink ref="M112" location="'อัปเดตงาน WBS'!L13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8"/>
    <hyperlink ref="M113" location="'อัปเดตงาน WBS'!L13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09"/>
    <hyperlink ref="M116" location="'อัปเดตงาน WBS'!L13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0"/>
    <hyperlink ref="M117" location="'อัปเดตงาน WBS'!L13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1"/>
    <hyperlink ref="M118" location="'อัปเดตงาน WBS'!L13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2"/>
    <hyperlink ref="M119" location="'อัปเดตงาน WBS'!L13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3"/>
    <hyperlink ref="M120" location="'อัปเดตงาน WBS'!L13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4"/>
    <hyperlink ref="M121" location="'อัปเดตงาน WBS'!L13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5"/>
    <hyperlink ref="M125" location="'อัปเดตงาน WBS'!L13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6"/>
    <hyperlink ref="M126" location="'อัปเดตงาน WBS'!L13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7"/>
    <hyperlink ref="M127" location="'อัปเดตงาน WBS'!L13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8"/>
    <hyperlink ref="D134" location="'จุดติดตั้ง'!A82" display="✎ เพิ่ม / แก้จุดติดตั้ง →"/>
    <hyperlink ref="D146" location="'Inverter station'!A21" display="file:///home/claude/dash/template/%E0%B9%81%E0%B8%A1%E0%B9%88%E0%B9%81%E0%B8%9A%E0%B8%9A%E0%B9%82%E0%B8%84%E0%B8%A3%E0%B8%87%E0%B8%81%E0%B8%B2%E0%B8%A3%20TCRoof%20(%E0%B8%97%E0%B8%B8%E0%B8%81%E0%B8%81%E0%B8%A3%E0%B8%93%E0%B8%B5).xlsx#'Inverter station'!A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3732</v>
      </c>
    </row>
    <row r="2" customFormat="false" ht="15" hidden="false" customHeight="false" outlineLevel="0" collapsed="false">
      <c r="A2" s="354" t="s">
        <v>3733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Plan'!$AI$24</f>
        <v>-36</v>
      </c>
      <c r="M4" s="360"/>
      <c r="N4" s="360" t="n">
        <f aca="false">'Master Plan'!$AJ$24</f>
        <v>-3</v>
      </c>
      <c r="O4" s="360"/>
      <c r="P4" s="361" t="str">
        <f aca="false">'Master Plan'!$AK$24&amp;" / "&amp;'Master Plan'!$AL$24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COUNTIFS(CR_ST,"P9-017",CR_STAT,"อนุมัติ")&amp;" รายการ, "&amp;'Master Plan'!$AO$24&amp;" วัน"</f>
        <v>0 รายการ, 0 วัน</v>
      </c>
      <c r="AG4" s="362"/>
      <c r="AH4" s="362"/>
      <c r="AI4" s="362"/>
      <c r="AJ4" s="362"/>
      <c r="AK4" s="363" t="n">
        <f aca="false">COUNTIFS(CR_ST,"P9-017",CR_STAT,"รออนุมัติ")+COUNTIFS(CR_ST,"P9-017",CR_STAT,"ขอข้อมูลเพิ่ม")</f>
        <v>0</v>
      </c>
      <c r="AL4" s="363"/>
      <c r="AM4" s="363"/>
      <c r="AN4" s="363"/>
      <c r="AO4" s="363"/>
      <c r="AP4" s="362" t="str">
        <f aca="false">COUNTIF(RW_ST,"P9-017")&amp;" ("&amp;COUNTIFS(RW_ST,"P9-017",RW_DONE,"&lt;&gt;Y")&amp;")"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COUNTIF(LL_ST,"*P9-017*")</f>
        <v>0</v>
      </c>
      <c r="BA4" s="363"/>
      <c r="BB4" s="363"/>
      <c r="BC4" s="363"/>
      <c r="BD4" s="363"/>
      <c r="BE4" s="362" t="str">
        <f aca="false">IF(COUNTIFS(SITE_ST,"P9-017",SITE_TYPE,"?*")=0,"ประมาณการ,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IF(COUNTIFS(SITE_ST,"P9-017",SITE_TYPE,"?*")=0,"ยังไม่ระบุจุด",COUNTIFS(SITE_ST,"P9-017",SITE_LAD,"ติด:*")&amp;" จุด"&amp;IF(COUNTIFS(SITE_ST,"P9-017",SITE_LAD,"⚠*")&gt;0,",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3734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109</v>
      </c>
      <c r="E9" s="372" t="n">
        <v>0</v>
      </c>
      <c r="F9" s="31"/>
      <c r="G9" s="32"/>
      <c r="H9" s="32" t="n">
        <v>1</v>
      </c>
      <c r="I9" s="373" t="n">
        <f aca="false">'Master Plan'!$H$24+(-75)</f>
        <v>46328</v>
      </c>
      <c r="J9" s="373" t="n">
        <f aca="false">'Master Plan'!$H$24+(50)</f>
        <v>46453</v>
      </c>
      <c r="K9" s="78"/>
      <c r="L9" s="78" t="str">
        <f aca="false">IF(ISNUMBER(อัปเดตรายสัปดาห์!$G$24),อัปเดตรายสัปดาห์!$G$24,"")</f>
        <v/>
      </c>
      <c r="M9" s="374" t="str">
        <f aca="false">IF(อัปเดตรายสัปดาห์!$G$24="Y","Y","")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Plan'!$H$24+(-75)</f>
        <v>46328</v>
      </c>
      <c r="J10" s="382" t="n">
        <f aca="false">'Master Plan'!$H$24+(-63)</f>
        <v>46340</v>
      </c>
      <c r="K10" s="387"/>
      <c r="L10" s="387"/>
      <c r="M10" s="383" t="str">
        <f aca="false">IF('อัปเดตงาน WBS'!$L$1319="","",'อัปเดตงาน WBS'!$L$1319)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Plan'!$H$24+(-75)</f>
        <v>46328</v>
      </c>
      <c r="J11" s="382" t="n">
        <f aca="false">'Master Plan'!$H$24+(-63)</f>
        <v>46340</v>
      </c>
      <c r="K11" s="387"/>
      <c r="L11" s="387"/>
      <c r="M11" s="383" t="str">
        <f aca="false">IF('อัปเดตงาน WBS'!$L$1320="","",'อัปเดตงาน WBS'!$L$1320)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Plan'!$H$24+(-75)</f>
        <v>46328</v>
      </c>
      <c r="J12" s="382" t="n">
        <f aca="false">'Master Plan'!$H$24+(-63)</f>
        <v>46340</v>
      </c>
      <c r="K12" s="387"/>
      <c r="L12" s="387"/>
      <c r="M12" s="383" t="str">
        <f aca="false">IF('อัปเดตงาน WBS'!$L$1321="","",'อัปเดตงาน WBS'!$L$1321)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Plan'!$H$24+(-75)</f>
        <v>46328</v>
      </c>
      <c r="J13" s="382" t="n">
        <f aca="false">'Master Plan'!$H$24+(-56)</f>
        <v>46347</v>
      </c>
      <c r="K13" s="387"/>
      <c r="L13" s="387"/>
      <c r="M13" s="383" t="str">
        <f aca="false">IF('อัปเดตงาน WBS'!$L$1322="","",'อัปเดตงาน WBS'!$L$1322)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Plan'!$H$24+(-63)</f>
        <v>46340</v>
      </c>
      <c r="J14" s="382" t="n">
        <f aca="false">'Master Plan'!$H$24+(50)</f>
        <v>46453</v>
      </c>
      <c r="K14" s="387"/>
      <c r="L14" s="387"/>
      <c r="M14" s="383" t="str">
        <f aca="false">IF('อัปเดตงาน WBS'!$L$1323="","",'อัปเดตงาน WBS'!$L$1323)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Plan'!$H$24+(-63)</f>
        <v>46340</v>
      </c>
      <c r="J15" s="382" t="n">
        <f aca="false">'Master Plan'!$H$24+(50)</f>
        <v>46453</v>
      </c>
      <c r="K15" s="387"/>
      <c r="L15" s="387"/>
      <c r="M15" s="383" t="str">
        <f aca="false">IF('อัปเดตงาน WBS'!$L$1324="","",'อัปเดตงาน WBS'!$L$1324)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Plan'!$H$24+(-56)</f>
        <v>46347</v>
      </c>
      <c r="J16" s="373" t="n">
        <f aca="false">'Master Plan'!$H$24+(-45)</f>
        <v>46358</v>
      </c>
      <c r="K16" s="78"/>
      <c r="L16" s="78" t="str">
        <f aca="false">IF(ISNUMBER(อัปเดตรายสัปดาห์!$H$24),อัปเดตรายสัปดาห์!$H$24,"")</f>
        <v/>
      </c>
      <c r="M16" s="374" t="str">
        <f aca="false">IF(อัปเดตรายสัปดาห์!$H$24="Y","Y","")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Plan'!$H$24+(-56)</f>
        <v>46347</v>
      </c>
      <c r="J17" s="382" t="n">
        <f aca="false">'Master Plan'!$H$24+(-54)</f>
        <v>46349</v>
      </c>
      <c r="K17" s="387"/>
      <c r="L17" s="387"/>
      <c r="M17" s="383" t="str">
        <f aca="false">IF('อัปเดตงาน WBS'!$L$1325="","",'อัปเดตงาน WBS'!$L$1325)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Plan'!$H$24+(-55)</f>
        <v>46348</v>
      </c>
      <c r="J18" s="382" t="n">
        <f aca="false">'Master Plan'!$H$24+(-52)</f>
        <v>46351</v>
      </c>
      <c r="K18" s="387"/>
      <c r="L18" s="387"/>
      <c r="M18" s="383" t="str">
        <f aca="false">IF('อัปเดตงาน WBS'!$L$1326="","",'อัปเดตงาน WBS'!$L$1326)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Plan'!$H$24+(-53)</f>
        <v>46350</v>
      </c>
      <c r="J19" s="382" t="n">
        <f aca="false">'Master Plan'!$H$24+(-48)</f>
        <v>46355</v>
      </c>
      <c r="K19" s="387"/>
      <c r="L19" s="387"/>
      <c r="M19" s="383" t="str">
        <f aca="false">IF('อัปเดตงาน WBS'!$L$1327="","",'อัปเดตงาน WBS'!$L$1327)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Plan'!$H$24+(-53)</f>
        <v>46350</v>
      </c>
      <c r="J20" s="382" t="n">
        <f aca="false">'Master Plan'!$H$24+(-48)</f>
        <v>46355</v>
      </c>
      <c r="K20" s="387"/>
      <c r="L20" s="387"/>
      <c r="M20" s="383" t="str">
        <f aca="false">IF('อัปเดตงาน WBS'!$L$1328="","",'อัปเดตงาน WBS'!$L$1328)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Plan'!$H$24+(-52)</f>
        <v>46351</v>
      </c>
      <c r="J21" s="382" t="n">
        <f aca="false">'Master Plan'!$H$24+(-47)</f>
        <v>46356</v>
      </c>
      <c r="K21" s="387"/>
      <c r="L21" s="387"/>
      <c r="M21" s="383" t="str">
        <f aca="false">IF('อัปเดตงาน WBS'!$L$1329="","",'อัปเดตงาน WBS'!$L$1329)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Plan'!$H$24+(-50)</f>
        <v>46353</v>
      </c>
      <c r="J22" s="382" t="n">
        <f aca="false">'Master Plan'!$H$24+(-46)</f>
        <v>46357</v>
      </c>
      <c r="K22" s="387"/>
      <c r="L22" s="387"/>
      <c r="M22" s="383" t="str">
        <f aca="false">IF('อัปเดตงาน WBS'!$L$1330="","",'อัปเดตงาน WBS'!$L$1330)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Plan'!$H$24+(-50)</f>
        <v>46353</v>
      </c>
      <c r="J23" s="382" t="n">
        <f aca="false">'Master Plan'!$H$24+(-45)</f>
        <v>46358</v>
      </c>
      <c r="K23" s="387"/>
      <c r="L23" s="387"/>
      <c r="M23" s="383" t="str">
        <f aca="false">IF('อัปเดตงาน WBS'!$L$1331="","",'อัปเดตงาน WBS'!$L$1331)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Plan'!$H$24+(-49)</f>
        <v>46354</v>
      </c>
      <c r="J24" s="382" t="n">
        <f aca="false">'Master Plan'!$H$24+(-45)</f>
        <v>46358</v>
      </c>
      <c r="K24" s="387"/>
      <c r="L24" s="387"/>
      <c r="M24" s="383" t="str">
        <f aca="false">IF('อัปเดตงาน WBS'!$L$1332="","",'อัปเดตงาน WBS'!$L$1332)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Plan'!$H$24+(-51)</f>
        <v>46352</v>
      </c>
      <c r="J25" s="373" t="n">
        <f aca="false">'Master Plan'!$H$24+(-51)</f>
        <v>46352</v>
      </c>
      <c r="K25" s="78"/>
      <c r="L25" s="78" t="str">
        <f aca="false">IF(ISNUMBER(อัปเดตรายสัปดาห์!$I$24),อัปเดตรายสัปดาห์!$I$24,"")</f>
        <v/>
      </c>
      <c r="M25" s="374" t="str">
        <f aca="false">IF(อัปเดตรายสัปดาห์!$I$24="Y","Y","")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Plan'!$H$24+(-51)</f>
        <v>46352</v>
      </c>
      <c r="J26" s="382" t="n">
        <f aca="false">'Master Plan'!$H$24+(-51)</f>
        <v>46352</v>
      </c>
      <c r="K26" s="387"/>
      <c r="L26" s="387"/>
      <c r="M26" s="383" t="str">
        <f aca="false">IF('อัปเดตงาน WBS'!$L$1333="","",'อัปเดตงาน WBS'!$L$1333)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Plan'!$H$24+(-51)</f>
        <v>46352</v>
      </c>
      <c r="J27" s="382" t="n">
        <f aca="false">'Master Plan'!$H$24+(-51)</f>
        <v>46352</v>
      </c>
      <c r="K27" s="387"/>
      <c r="L27" s="387"/>
      <c r="M27" s="383" t="str">
        <f aca="false">IF('อัปเดตงาน WBS'!$L$1334="","",'อัปเดตงาน WBS'!$L$1334)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Plan'!$H$24+(-51)</f>
        <v>46352</v>
      </c>
      <c r="J28" s="382" t="n">
        <f aca="false">'Master Plan'!$H$24+(-51)</f>
        <v>46352</v>
      </c>
      <c r="K28" s="387"/>
      <c r="L28" s="387"/>
      <c r="M28" s="383" t="str">
        <f aca="false">IF('อัปเดตงาน WBS'!$L$1335="","",'อัปเดตงาน WBS'!$L$1335)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109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Plan'!$H$24+(-75)</f>
        <v>46328</v>
      </c>
      <c r="J30" s="373" t="n">
        <f aca="false">'Master Plan'!$H$24+(-75)</f>
        <v>46328</v>
      </c>
      <c r="K30" s="78"/>
      <c r="L30" s="78" t="str">
        <f aca="false">IF(ISNUMBER(อัปเดตรายสัปดาห์!$J$24),อัปเดตรายสัปดาห์!$J$24,"")</f>
        <v/>
      </c>
      <c r="M30" s="374" t="str">
        <f aca="false">IF(อัปเดตรายสัปดาห์!$J$24="Y","Y","")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Plan'!$H$24+(-75)</f>
        <v>46328</v>
      </c>
      <c r="J31" s="382" t="n">
        <f aca="false">'Master Plan'!$H$24+(-75)</f>
        <v>46328</v>
      </c>
      <c r="K31" s="387"/>
      <c r="L31" s="387"/>
      <c r="M31" s="383" t="str">
        <f aca="false">IF('อัปเดตงาน WBS'!$L$1336="","",'อัปเดตงาน WBS'!$L$1336)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Plan'!$H$24+(-75)</f>
        <v>46328</v>
      </c>
      <c r="J32" s="382" t="n">
        <f aca="false">'Master Plan'!$H$24+(-75)</f>
        <v>46328</v>
      </c>
      <c r="K32" s="387"/>
      <c r="L32" s="387"/>
      <c r="M32" s="383" t="str">
        <f aca="false">IF('อัปเดตงาน WBS'!$L$1337="","",'อัปเดตงาน WBS'!$L$1337)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Plan'!$H$24+(-75)</f>
        <v>46328</v>
      </c>
      <c r="J33" s="382" t="n">
        <f aca="false">'Master Plan'!$H$24+(-75)</f>
        <v>46328</v>
      </c>
      <c r="K33" s="387"/>
      <c r="L33" s="387"/>
      <c r="M33" s="383" t="str">
        <f aca="false">IF('อัปเดตงาน WBS'!$L$1338="","",'อัปเดตงาน WBS'!$L$1338)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109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Plan'!$H$24+(-68)</f>
        <v>46335</v>
      </c>
      <c r="J34" s="373" t="n">
        <f aca="false">'Master Plan'!$H$24+(-59)</f>
        <v>46344</v>
      </c>
      <c r="K34" s="78"/>
      <c r="L34" s="78" t="str">
        <f aca="false">IF(ISNUMBER(อัปเดตรายสัปดาห์!$K$24),อัปเดตรายสัปดาห์!$K$24,"")</f>
        <v/>
      </c>
      <c r="M34" s="374" t="str">
        <f aca="false">IF(อัปเดตรายสัปดาห์!$K$24="Y","Y","")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Plan'!$H$24+(-68)</f>
        <v>46335</v>
      </c>
      <c r="J35" s="382" t="n">
        <f aca="false">'Master Plan'!$H$24+(-64)</f>
        <v>46339</v>
      </c>
      <c r="K35" s="387"/>
      <c r="L35" s="387"/>
      <c r="M35" s="383" t="str">
        <f aca="false">IF('อัปเดตงาน WBS'!$L$1339="","",'อัปเดตงาน WBS'!$L$1339)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Plan'!$H$24+(-68)</f>
        <v>46335</v>
      </c>
      <c r="J36" s="382" t="n">
        <f aca="false">'Master Plan'!$H$24+(-63)</f>
        <v>46340</v>
      </c>
      <c r="K36" s="387"/>
      <c r="L36" s="387"/>
      <c r="M36" s="383" t="str">
        <f aca="false">IF('อัปเดตงาน WBS'!$L$1340="","",'อัปเดตงาน WBS'!$L$1340)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Plan'!$H$24+(-65)</f>
        <v>46338</v>
      </c>
      <c r="J37" s="382" t="n">
        <f aca="false">'Master Plan'!$H$24+(-62)</f>
        <v>46341</v>
      </c>
      <c r="K37" s="387"/>
      <c r="L37" s="387"/>
      <c r="M37" s="383" t="str">
        <f aca="false">IF('อัปเดตงาน WBS'!$L$1341="","",'อัปเดตงาน WBS'!$L$1341)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Plan'!$H$24+(-63)</f>
        <v>46340</v>
      </c>
      <c r="J38" s="382" t="n">
        <f aca="false">'Master Plan'!$H$24+(-59)</f>
        <v>46344</v>
      </c>
      <c r="K38" s="387"/>
      <c r="L38" s="387"/>
      <c r="M38" s="383" t="str">
        <f aca="false">IF('อัปเดตงาน WBS'!$L$1342="","",'อัปเดตงาน WBS'!$L$1342)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109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Plan'!$H$24+(-45)</f>
        <v>46358</v>
      </c>
      <c r="J39" s="373" t="n">
        <f aca="false">'Master Plan'!$H$24+(-45)</f>
        <v>46358</v>
      </c>
      <c r="K39" s="78"/>
      <c r="L39" s="78" t="str">
        <f aca="false">IF(ISNUMBER(อัปเดตรายสัปดาห์!$L$24),อัปเดตรายสัปดาห์!$L$24,"")</f>
        <v/>
      </c>
      <c r="M39" s="374" t="str">
        <f aca="false">IF(อัปเดตรายสัปดาห์!$L$24="Y","Y","")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Plan'!$H$24+(-45)</f>
        <v>46358</v>
      </c>
      <c r="J40" s="382" t="n">
        <f aca="false">'Master Plan'!$H$24+(-45)</f>
        <v>46358</v>
      </c>
      <c r="K40" s="387"/>
      <c r="L40" s="387"/>
      <c r="M40" s="383" t="str">
        <f aca="false">IF('อัปเดตงาน WBS'!$L$1343="","",'อัปเดตงาน WBS'!$L$1343)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Plan'!$H$24+(-45)</f>
        <v>46358</v>
      </c>
      <c r="J41" s="382" t="n">
        <f aca="false">'Master Plan'!$H$24+(-45)</f>
        <v>46358</v>
      </c>
      <c r="K41" s="387"/>
      <c r="L41" s="387"/>
      <c r="M41" s="383" t="str">
        <f aca="false">IF('อัปเดตงาน WBS'!$L$1344="","",'อัปเดตงาน WBS'!$L$1344)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Plan'!$H$24+(-45)</f>
        <v>46358</v>
      </c>
      <c r="J42" s="382" t="n">
        <f aca="false">'Master Plan'!$H$24+(-45)</f>
        <v>46358</v>
      </c>
      <c r="K42" s="387"/>
      <c r="L42" s="387"/>
      <c r="M42" s="383" t="str">
        <f aca="false">IF('อัปเดตงาน WBS'!$L$1345="","",'อัปเดตงาน WBS'!$L$1345)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Plan'!$H$24+(-68)</f>
        <v>46335</v>
      </c>
      <c r="J43" s="373" t="n">
        <f aca="false">'Master Plan'!$H$24+(-55)</f>
        <v>46348</v>
      </c>
      <c r="K43" s="78"/>
      <c r="L43" s="78" t="str">
        <f aca="false">IF(ISNUMBER(อัปเดตรายสัปดาห์!$M$24),อัปเดตรายสัปดาห์!$M$24,"")</f>
        <v/>
      </c>
      <c r="M43" s="374" t="str">
        <f aca="false">IF(อัปเดตรายสัปดาห์!$M$24="Y","Y","")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Plan'!$H$24+(-68)</f>
        <v>46335</v>
      </c>
      <c r="J44" s="382" t="n">
        <f aca="false">'Master Plan'!$H$24+(-65)</f>
        <v>46338</v>
      </c>
      <c r="K44" s="387"/>
      <c r="L44" s="387"/>
      <c r="M44" s="383" t="str">
        <f aca="false">IF('อัปเดตงาน WBS'!$L$1346="","",'อัปเดตงาน WBS'!$L$1346)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Plan'!$H$24+(-67)</f>
        <v>46336</v>
      </c>
      <c r="J45" s="382" t="n">
        <f aca="false">'Master Plan'!$H$24+(-62)</f>
        <v>46341</v>
      </c>
      <c r="K45" s="387"/>
      <c r="L45" s="387"/>
      <c r="M45" s="383" t="str">
        <f aca="false">IF('อัปเดตงาน WBS'!$L$1347="","",'อัปเดตงาน WBS'!$L$1347)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Plan'!$H$24+(-62)</f>
        <v>46341</v>
      </c>
      <c r="J46" s="382" t="n">
        <f aca="false">'Master Plan'!$H$24+(-55)</f>
        <v>46348</v>
      </c>
      <c r="K46" s="387"/>
      <c r="L46" s="387"/>
      <c r="M46" s="383" t="str">
        <f aca="false">IF('อัปเดตงาน WBS'!$L$1348="","",'อัปเดตงาน WBS'!$L$1348)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IF(ISNUMBER(อัปเดตรายสัปดาห์!$P$24),อัปเดตรายสัปดาห์!$P$24,"")</f>
        <v/>
      </c>
      <c r="M52" s="374" t="str">
        <f aca="false">IF(อัปเดตรายสัปดาห์!$P$24="Y","Y","")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WBS'!$L$1349="","",'อัปเดตงาน WBS'!$L$1349)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WBS'!$L$1350="","",'อัปเดตงาน WBS'!$L$1350)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Plan'!$H$24+(-12)</f>
        <v>46391</v>
      </c>
      <c r="J55" s="373" t="n">
        <f aca="false">'Master Plan'!$H$24+(-12)</f>
        <v>46391</v>
      </c>
      <c r="K55" s="78"/>
      <c r="L55" s="78" t="str">
        <f aca="false">IF(ISNUMBER(อัปเดตรายสัปดาห์!$Q$24),อัปเดตรายสัปดาห์!$Q$24,"")</f>
        <v/>
      </c>
      <c r="M55" s="374" t="str">
        <f aca="false">IF(อัปเดตรายสัปดาห์!$Q$24="Y","Y","")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Plan'!$AC$24)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IF(ISNUMBER(อัปเดตรายสัปดาห์!$R$24),อัปเดตรายสัปดาห์!$R$24,"")</f>
        <v/>
      </c>
      <c r="M56" s="374" t="str">
        <f aca="false">IF(อัปเดตรายสัปดาห์!$R$24="Y","Y","")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Plan'!$H$24+(-11)</f>
        <v>46392</v>
      </c>
      <c r="J57" s="373" t="n">
        <f aca="false">'Master Plan'!$H$24+(9)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IF(ISNUMBER(อัปเดตรายสัปดาห์!$S$24),อัปเดตรายสัปดาห์!$S$24,"")</f>
        <v/>
      </c>
      <c r="M57" s="374" t="str">
        <f aca="false">IF(อัปเดตรายสัปดาห์!$S$24="Y","Y","")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Plan'!$AD$24)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Plan'!$H$24+(10)</f>
        <v>46413</v>
      </c>
      <c r="J58" s="373" t="n">
        <f aca="false">'Master Plan'!$H$24+(16)</f>
        <v>46419</v>
      </c>
      <c r="K58" s="78"/>
      <c r="L58" s="78" t="str">
        <f aca="false">IF(ISNUMBER(อัปเดตรายสัปดาห์!$T$24),อัปเดตรายสัปดาห์!$T$24,"")</f>
        <v/>
      </c>
      <c r="M58" s="374" t="str">
        <f aca="false">IF(อัปเดตรายสัปดาห์!$T$24="Y","Y","")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Plan'!$AE$24)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Plan'!$H$24+(17)</f>
        <v>46420</v>
      </c>
      <c r="J59" s="373" t="n">
        <f aca="false">'Master Plan'!$H$24+(17)</f>
        <v>46420</v>
      </c>
      <c r="K59" s="78"/>
      <c r="L59" s="78" t="str">
        <f aca="false">IF(ISNUMBER(อัปเดตรายสัปดาห์!$U$24),อัปเดตรายสัปดาห์!$U$24,"")</f>
        <v/>
      </c>
      <c r="M59" s="374" t="str">
        <f aca="false">IF(อัปเดตรายสัปดาห์!$U$24="Y","Y","")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Plan'!$AF$24)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109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Plan'!$H$24+(18)</f>
        <v>46421</v>
      </c>
      <c r="J60" s="373" t="n">
        <f aca="false">'Master Plan'!$H$24+(33)</f>
        <v>46436</v>
      </c>
      <c r="K60" s="78"/>
      <c r="L60" s="78" t="str">
        <f aca="false">IF(ISNUMBER(อัปเดตรายสัปดาห์!$V$24),อัปเดตรายสัปดาห์!$V$24,"")</f>
        <v/>
      </c>
      <c r="M60" s="374" t="str">
        <f aca="false">IF(อัปเดตรายสัปดาห์!$V$24="Y","Y","")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Plan'!$AH$24)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3735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Plan'!$H$24+(-42)</f>
        <v>46361</v>
      </c>
      <c r="J62" s="373" t="n">
        <f aca="false">'Master Plan'!$H$24+(-25)</f>
        <v>46378</v>
      </c>
      <c r="K62" s="78"/>
      <c r="L62" s="78" t="str">
        <f aca="false">IF(ISNUMBER(อัปเดตรายสัปดาห์!$W$24),อัปเดตรายสัปดาห์!$W$24,"")</f>
        <v/>
      </c>
      <c r="M62" s="374" t="str">
        <f aca="false">IF(อัปเดตรายสัปดาห์!$W$24="Y","Y","")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-017",SITE_TYPE,"?*")&gt;0,MIN(1,SUMPRODUCT((SITE_ST="P9-017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Plan'!$H$24+(-42)</f>
        <v>46361</v>
      </c>
      <c r="J63" s="382" t="n">
        <f aca="false">'Master Plan'!$H$24+(-40)</f>
        <v>46363</v>
      </c>
      <c r="K63" s="387"/>
      <c r="L63" s="387"/>
      <c r="M63" s="383" t="str">
        <f aca="false">IF('อัปเดตงาน WBS'!$L$1351="","",'อัปเดตงาน WBS'!$L$1351)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Plan'!$H$24+(-42)</f>
        <v>46361</v>
      </c>
      <c r="J64" s="382" t="n">
        <f aca="false">'Master Plan'!$H$24+(-39)</f>
        <v>46364</v>
      </c>
      <c r="K64" s="387"/>
      <c r="L64" s="387"/>
      <c r="M64" s="383" t="str">
        <f aca="false">IF('อัปเดตงาน WBS'!$L$1352="","",'อัปเดตงาน WBS'!$L$1352)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Plan'!$H$24+(-40)</f>
        <v>46363</v>
      </c>
      <c r="J65" s="382" t="n">
        <f aca="false">'Master Plan'!$H$24+(-34)</f>
        <v>46369</v>
      </c>
      <c r="K65" s="387"/>
      <c r="L65" s="387"/>
      <c r="M65" s="383" t="str">
        <f aca="false">IF('อัปเดตงาน WBS'!$L$1353="","",'อัปเดตงาน WBS'!$L$1353)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Plan'!$H$24+(-35)</f>
        <v>46368</v>
      </c>
      <c r="J66" s="382" t="n">
        <f aca="false">'Master Plan'!$H$24+(-28)</f>
        <v>46375</v>
      </c>
      <c r="K66" s="387"/>
      <c r="L66" s="387"/>
      <c r="M66" s="383" t="str">
        <f aca="false">IF('อัปเดตงาน WBS'!$L$1354="","",'อัปเดตงาน WBS'!$L$1354)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Plan'!$H$24+(-32)</f>
        <v>46371</v>
      </c>
      <c r="J67" s="382" t="n">
        <f aca="false">'Master Plan'!$H$24+(-26)</f>
        <v>46377</v>
      </c>
      <c r="K67" s="387"/>
      <c r="L67" s="387"/>
      <c r="M67" s="383" t="str">
        <f aca="false">IF('อัปเดตงาน WBS'!$L$1355="","",'อัปเดตงาน WBS'!$L$1355)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Plan'!$H$24+(-28)</f>
        <v>46375</v>
      </c>
      <c r="J68" s="382" t="n">
        <f aca="false">'Master Plan'!$H$24+(-25)</f>
        <v>46378</v>
      </c>
      <c r="K68" s="387"/>
      <c r="L68" s="387"/>
      <c r="M68" s="383" t="str">
        <f aca="false">IF('อัปเดตงาน WBS'!$L$1356="","",'อัปเดตงาน WBS'!$L$1356)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Plan'!$H$24+(-26)</f>
        <v>46377</v>
      </c>
      <c r="J69" s="382" t="n">
        <f aca="false">'Master Plan'!$H$24+(-25)</f>
        <v>46378</v>
      </c>
      <c r="K69" s="387"/>
      <c r="L69" s="387"/>
      <c r="M69" s="383" t="str">
        <f aca="false">IF('อัปเดตงาน WBS'!$L$1357="","",'อัปเดตงาน WBS'!$L$1357)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3735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Plan'!$H$24+(-24)</f>
        <v>46379</v>
      </c>
      <c r="J70" s="373" t="n">
        <f aca="false">'Master Plan'!$H$24+(-15)</f>
        <v>46388</v>
      </c>
      <c r="K70" s="78"/>
      <c r="L70" s="78" t="str">
        <f aca="false">IF(ISNUMBER(อัปเดตรายสัปดาห์!$X$24),อัปเดตรายสัปดาห์!$X$24,"")</f>
        <v/>
      </c>
      <c r="M70" s="374" t="str">
        <f aca="false">IF(อัปเดตรายสัปดาห์!$X$24="Y","Y","")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-017",SITE_TYPE,"?*")&gt;0,MIN(1,SUMPRODUCT((SITE_ST="P9-017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Plan'!$H$24+(-24)</f>
        <v>46379</v>
      </c>
      <c r="J71" s="382" t="n">
        <f aca="false">'Master Plan'!$H$24+(-20)</f>
        <v>46383</v>
      </c>
      <c r="K71" s="387"/>
      <c r="L71" s="387"/>
      <c r="M71" s="383" t="str">
        <f aca="false">IF('อัปเดตงาน WBS'!$L$1358="","",'อัปเดตงาน WBS'!$L$1358)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Plan'!$H$24+(-22)</f>
        <v>46381</v>
      </c>
      <c r="J72" s="382" t="n">
        <f aca="false">'Master Plan'!$H$24+(-17)</f>
        <v>46386</v>
      </c>
      <c r="K72" s="387"/>
      <c r="L72" s="387"/>
      <c r="M72" s="383" t="str">
        <f aca="false">IF('อัปเดตงาน WBS'!$L$1359="","",'อัปเดตงาน WBS'!$L$1359)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Plan'!$H$24+(-21)</f>
        <v>46382</v>
      </c>
      <c r="J73" s="382" t="n">
        <f aca="false">'Master Plan'!$H$24+(-17)</f>
        <v>46386</v>
      </c>
      <c r="K73" s="387"/>
      <c r="L73" s="387"/>
      <c r="M73" s="383" t="str">
        <f aca="false">IF('อัปเดตงาน WBS'!$L$1360="","",'อัปเดตงาน WBS'!$L$1360)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Plan'!$H$24+(-20)</f>
        <v>46383</v>
      </c>
      <c r="J74" s="382" t="n">
        <f aca="false">'Master Plan'!$H$24+(-15)</f>
        <v>46388</v>
      </c>
      <c r="K74" s="387"/>
      <c r="L74" s="387"/>
      <c r="M74" s="383" t="str">
        <f aca="false">IF('อัปเดตงาน WBS'!$L$1361="","",'อัปเดตงาน WBS'!$L$1361)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Plan'!$H$24+(-17)</f>
        <v>46386</v>
      </c>
      <c r="J75" s="382" t="n">
        <f aca="false">'Master Plan'!$H$24+(-15)</f>
        <v>46388</v>
      </c>
      <c r="K75" s="387"/>
      <c r="L75" s="387"/>
      <c r="M75" s="383" t="str">
        <f aca="false">IF('อัปเดตงาน WBS'!$L$1362="","",'อัปเดตงาน WBS'!$L$1362)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3735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Plan'!$H$24+(-24)</f>
        <v>46379</v>
      </c>
      <c r="J76" s="373" t="n">
        <f aca="false">'Master Plan'!$H$24+(-15)</f>
        <v>46388</v>
      </c>
      <c r="K76" s="78"/>
      <c r="L76" s="78" t="str">
        <f aca="false">IF(ISNUMBER(อัปเดตรายสัปดาห์!$Y$24),อัปเดตรายสัปดาห์!$Y$24,"")</f>
        <v/>
      </c>
      <c r="M76" s="374" t="str">
        <f aca="false">IF(อัปเดตรายสัปดาห์!$Y$24="Y","Y","")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-017",SITE_TYPE,"?*")&gt;0,MIN(1,SUMPRODUCT((SITE_ST="P9-017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Plan'!$H$24+(-24)</f>
        <v>46379</v>
      </c>
      <c r="J77" s="382" t="n">
        <f aca="false">'Master Plan'!$H$24+(-21)</f>
        <v>46382</v>
      </c>
      <c r="K77" s="387"/>
      <c r="L77" s="387"/>
      <c r="M77" s="383" t="str">
        <f aca="false">IF('อัปเดตงาน WBS'!$L$1363="","",'อัปเดตงาน WBS'!$L$1363)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Plan'!$H$24+(-23)</f>
        <v>46380</v>
      </c>
      <c r="J78" s="382" t="n">
        <f aca="false">'Master Plan'!$H$24+(-16)</f>
        <v>46387</v>
      </c>
      <c r="K78" s="387"/>
      <c r="L78" s="387"/>
      <c r="M78" s="383" t="str">
        <f aca="false">IF('อัปเดตงาน WBS'!$L$1364="","",'อัปเดตงาน WBS'!$L$1364)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Plan'!$H$24+(-20)</f>
        <v>46383</v>
      </c>
      <c r="J79" s="382" t="n">
        <f aca="false">'Master Plan'!$H$24+(-15)</f>
        <v>46388</v>
      </c>
      <c r="K79" s="387"/>
      <c r="L79" s="387"/>
      <c r="M79" s="383" t="str">
        <f aca="false">IF('อัปเดตงาน WBS'!$L$1365="","",'อัปเดตงาน WBS'!$L$1365)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Plan'!$H$24+(-17)</f>
        <v>46386</v>
      </c>
      <c r="J80" s="382" t="n">
        <f aca="false">'Master Plan'!$H$24+(-15)</f>
        <v>46388</v>
      </c>
      <c r="K80" s="387"/>
      <c r="L80" s="387"/>
      <c r="M80" s="383" t="str">
        <f aca="false">IF('อัปเดตงาน WBS'!$L$1366="","",'อัปเดตงาน WBS'!$L$1366)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Plan'!$H$24+(-15)</f>
        <v>46388</v>
      </c>
      <c r="J81" s="382" t="n">
        <f aca="false">'Master Plan'!$H$24+(-15)</f>
        <v>46388</v>
      </c>
      <c r="K81" s="387"/>
      <c r="L81" s="387"/>
      <c r="M81" s="383" t="str">
        <f aca="false">IF('อัปเดตงาน WBS'!$L$1367="","",'อัปเดตงาน WBS'!$L$1367)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3735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Plan'!$H$24+(-21)</f>
        <v>46382</v>
      </c>
      <c r="J82" s="373" t="n">
        <f aca="false">'Master Plan'!$H$24+(-18)</f>
        <v>46385</v>
      </c>
      <c r="K82" s="78"/>
      <c r="L82" s="78" t="str">
        <f aca="false">IF(ISNUMBER(อัปเดตรายสัปดาห์!$Z$24),อัปเดตรายสัปดาห์!$Z$24,"")</f>
        <v/>
      </c>
      <c r="M82" s="374" t="str">
        <f aca="false">IF(อัปเดตรายสัปดาห์!$Z$24="Y","Y","")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Plan'!$H$24+(-21)</f>
        <v>46382</v>
      </c>
      <c r="J83" s="382" t="n">
        <f aca="false">'Master Plan'!$H$24+(-19)</f>
        <v>46384</v>
      </c>
      <c r="K83" s="387"/>
      <c r="L83" s="387"/>
      <c r="M83" s="383" t="str">
        <f aca="false">IF('อัปเดตงาน WBS'!$L$1368="","",'อัปเดตงาน WBS'!$L$1368)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Plan'!$H$24+(-20)</f>
        <v>46383</v>
      </c>
      <c r="J84" s="382" t="n">
        <f aca="false">'Master Plan'!$H$24+(-18)</f>
        <v>46385</v>
      </c>
      <c r="K84" s="387"/>
      <c r="L84" s="387"/>
      <c r="M84" s="383" t="str">
        <f aca="false">IF('อัปเดตงาน WBS'!$L$1369="","",'อัปเดตงาน WBS'!$L$1369)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3735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Plan'!$H$24+(-25)</f>
        <v>46378</v>
      </c>
      <c r="J85" s="373" t="n">
        <f aca="false">'Master Plan'!$H$24+(-17)</f>
        <v>46386</v>
      </c>
      <c r="K85" s="78"/>
      <c r="L85" s="78" t="str">
        <f aca="false">IF(ISNUMBER(อัปเดตรายสัปดาห์!$AA$24),อัปเดตรายสัปดาห์!$AA$24,"")</f>
        <v/>
      </c>
      <c r="M85" s="374" t="str">
        <f aca="false">IF(อัปเดตรายสัปดาห์!$AA$24="Y","Y","")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Plan'!$H$24+(-25)</f>
        <v>46378</v>
      </c>
      <c r="J86" s="382" t="n">
        <f aca="false">'Master Plan'!$H$24+(-21)</f>
        <v>46382</v>
      </c>
      <c r="K86" s="387"/>
      <c r="L86" s="387"/>
      <c r="M86" s="383" t="str">
        <f aca="false">IF('อัปเดตงาน WBS'!$L$1370="","",'อัปเดตงาน WBS'!$L$1370)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Plan'!$H$24+(-22)</f>
        <v>46381</v>
      </c>
      <c r="J87" s="382" t="n">
        <f aca="false">'Master Plan'!$H$24+(-18)</f>
        <v>46385</v>
      </c>
      <c r="K87" s="387"/>
      <c r="L87" s="387"/>
      <c r="M87" s="383" t="str">
        <f aca="false">IF('อัปเดตงาน WBS'!$L$1371="","",'อัปเดตงาน WBS'!$L$1371)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Plan'!$H$24+(-20)</f>
        <v>46383</v>
      </c>
      <c r="J88" s="382" t="n">
        <f aca="false">'Master Plan'!$H$24+(-17)</f>
        <v>46386</v>
      </c>
      <c r="K88" s="387"/>
      <c r="L88" s="387"/>
      <c r="M88" s="383" t="str">
        <f aca="false">IF('อัปเดตงาน WBS'!$L$1372="","",'อัปเดตงาน WBS'!$L$1372)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Plan'!$H$24+(-18)</f>
        <v>46385</v>
      </c>
      <c r="J89" s="382" t="n">
        <f aca="false">'Master Plan'!$H$24+(-17)</f>
        <v>46386</v>
      </c>
      <c r="K89" s="387"/>
      <c r="L89" s="387"/>
      <c r="M89" s="383" t="str">
        <f aca="false">IF('อัปเดตงาน WBS'!$L$1373="","",'อัปเดตงาน WBS'!$L$1373)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3735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Plan'!$H$24+(-25)</f>
        <v>46378</v>
      </c>
      <c r="J90" s="373" t="n">
        <f aca="false">'Master Plan'!$H$24+(-16)</f>
        <v>46387</v>
      </c>
      <c r="K90" s="78"/>
      <c r="L90" s="78" t="str">
        <f aca="false">IF(ISNUMBER(อัปเดตรายสัปดาห์!$AB$24),อัปเดตรายสัปดาห์!$AB$24,"")</f>
        <v/>
      </c>
      <c r="M90" s="374" t="str">
        <f aca="false">IF(อัปเดตรายสัปดาห์!$AB$24="Y","Y","")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Plan'!$H$24+(-25)</f>
        <v>46378</v>
      </c>
      <c r="J91" s="382" t="n">
        <f aca="false">'Master Plan'!$H$24+(-20)</f>
        <v>46383</v>
      </c>
      <c r="K91" s="387"/>
      <c r="L91" s="387"/>
      <c r="M91" s="383" t="str">
        <f aca="false">IF('อัปเดตงาน WBS'!$L$1374="","",'อัปเดตงาน WBS'!$L$1374)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Plan'!$H$24+(-20)</f>
        <v>46383</v>
      </c>
      <c r="J92" s="382" t="n">
        <f aca="false">'Master Plan'!$H$24+(-16)</f>
        <v>46387</v>
      </c>
      <c r="K92" s="387"/>
      <c r="L92" s="387"/>
      <c r="M92" s="383" t="str">
        <f aca="false">IF('อัปเดตงาน WBS'!$L$1375="","",'อัปเดตงาน WBS'!$L$1375)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Plan'!$H$24+(-25)</f>
        <v>46378</v>
      </c>
      <c r="J93" s="382" t="n">
        <f aca="false">'Master Plan'!$H$24+(-21)</f>
        <v>46382</v>
      </c>
      <c r="K93" s="387"/>
      <c r="L93" s="387"/>
      <c r="M93" s="383" t="str">
        <f aca="false">IF('อัปเดตงาน WBS'!$L$1376="","",'อัปเดตงาน WBS'!$L$1376)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Plan'!$H$24+(-21)</f>
        <v>46382</v>
      </c>
      <c r="J94" s="382" t="n">
        <f aca="false">'Master Plan'!$H$24+(-16)</f>
        <v>46387</v>
      </c>
      <c r="K94" s="387"/>
      <c r="L94" s="387"/>
      <c r="M94" s="383" t="str">
        <f aca="false">IF('อัปเดตงาน WBS'!$L$1377="","",'อัปเดตงาน WBS'!$L$1377)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Plan'!$H$24+(-17)</f>
        <v>46386</v>
      </c>
      <c r="J95" s="382" t="n">
        <f aca="false">'Master Plan'!$H$24+(-16)</f>
        <v>46387</v>
      </c>
      <c r="K95" s="387"/>
      <c r="L95" s="387"/>
      <c r="M95" s="383" t="str">
        <f aca="false">IF('อัปเดตงาน WBS'!$L$1378="","",'อัปเดตงาน WBS'!$L$1378)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3735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Plan'!$H$24+(-22)</f>
        <v>46381</v>
      </c>
      <c r="J96" s="373" t="n">
        <f aca="false">'Master Plan'!$H$24+(-16)</f>
        <v>46387</v>
      </c>
      <c r="K96" s="78"/>
      <c r="L96" s="78" t="str">
        <f aca="false">IF(ISNUMBER(อัปเดตรายสัปดาห์!$AC$24),อัปเดตรายสัปดาห์!$AC$24,"")</f>
        <v/>
      </c>
      <c r="M96" s="374" t="str">
        <f aca="false">IF(อัปเดตรายสัปดาห์!$AC$24="Y","Y","")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Plan'!$H$24+(-22)</f>
        <v>46381</v>
      </c>
      <c r="J97" s="382" t="n">
        <f aca="false">'Master Plan'!$H$24+(-17)</f>
        <v>46386</v>
      </c>
      <c r="K97" s="387"/>
      <c r="L97" s="387"/>
      <c r="M97" s="383" t="str">
        <f aca="false">IF('อัปเดตงาน WBS'!$L$1379="","",'อัปเดตงาน WBS'!$L$1379)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Plan'!$H$24+(-20)</f>
        <v>46383</v>
      </c>
      <c r="J98" s="382" t="n">
        <f aca="false">'Master Plan'!$H$24+(-16)</f>
        <v>46387</v>
      </c>
      <c r="K98" s="387"/>
      <c r="L98" s="387"/>
      <c r="M98" s="383" t="str">
        <f aca="false">IF('อัปเดตงาน WBS'!$L$1380="","",'อัปเดตงาน WBS'!$L$1380)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Plan'!$H$24+(-17)</f>
        <v>46386</v>
      </c>
      <c r="J99" s="382" t="n">
        <f aca="false">'Master Plan'!$H$24+(-16)</f>
        <v>46387</v>
      </c>
      <c r="K99" s="387"/>
      <c r="L99" s="387"/>
      <c r="M99" s="383" t="str">
        <f aca="false">IF('อัปเดตงาน WBS'!$L$1381="","",'อัปเดตงาน WBS'!$L$1381)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3735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Plan'!$H$24+(-20)</f>
        <v>46383</v>
      </c>
      <c r="J100" s="373" t="n">
        <f aca="false">'Master Plan'!$H$24+(-15)</f>
        <v>46388</v>
      </c>
      <c r="K100" s="78"/>
      <c r="L100" s="78" t="str">
        <f aca="false">IF(ISNUMBER(อัปเดตรายสัปดาห์!$AD$24),อัปเดตรายสัปดาห์!$AD$24,"")</f>
        <v/>
      </c>
      <c r="M100" s="374" t="str">
        <f aca="false">IF(อัปเดตรายสัปดาห์!$AD$24="Y","Y","")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Plan'!$H$24+(-20)</f>
        <v>46383</v>
      </c>
      <c r="J101" s="382" t="n">
        <f aca="false">'Master Plan'!$H$24+(-19)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Plan'!$H$24+(-19)</f>
        <v>46384</v>
      </c>
      <c r="J102" s="382" t="n">
        <f aca="false">'Master Plan'!$H$24+(-16)</f>
        <v>46387</v>
      </c>
      <c r="K102" s="387"/>
      <c r="L102" s="387"/>
      <c r="M102" s="383" t="str">
        <f aca="false">IF('อัปเดตงาน WBS'!$L$1382="","",'อัปเดตงาน WBS'!$L$1382)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Plan'!$H$24+(-18)</f>
        <v>46385</v>
      </c>
      <c r="J104" s="382" t="n">
        <f aca="false">'Master Plan'!$H$24+(-16)</f>
        <v>46387</v>
      </c>
      <c r="K104" s="387"/>
      <c r="L104" s="387"/>
      <c r="M104" s="383" t="str">
        <f aca="false">IF('อัปเดตงาน WBS'!$L$1383="","",'อัปเดตงาน WBS'!$L$1383)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Plan'!$H$24+(-18)</f>
        <v>46385</v>
      </c>
      <c r="J105" s="382" t="n">
        <f aca="false">'Master Plan'!$H$24+(-15)</f>
        <v>46388</v>
      </c>
      <c r="K105" s="387"/>
      <c r="L105" s="387"/>
      <c r="M105" s="383" t="str">
        <f aca="false">IF('อัปเดตงาน WBS'!$L$1384="","",'อัปเดตงาน WBS'!$L$1384)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Plan'!$H$24+(-16)</f>
        <v>46387</v>
      </c>
      <c r="J106" s="382" t="n">
        <f aca="false">'Master Plan'!$H$24+(-15)</f>
        <v>46388</v>
      </c>
      <c r="K106" s="387"/>
      <c r="L106" s="387"/>
      <c r="M106" s="383" t="str">
        <f aca="false">IF('อัปเดตงาน WBS'!$L$1385="","",'อัปเดตงาน WBS'!$L$1385)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3735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Plan'!$H$24+(-18)</f>
        <v>46385</v>
      </c>
      <c r="J107" s="373" t="n">
        <f aca="false">'Master Plan'!$H$24+(-14)</f>
        <v>46389</v>
      </c>
      <c r="K107" s="78"/>
      <c r="L107" s="78" t="str">
        <f aca="false">IF(ISNUMBER(อัปเดตรายสัปดาห์!$AE$24),อัปเดตรายสัปดาห์!$AE$24,"")</f>
        <v/>
      </c>
      <c r="M107" s="374" t="str">
        <f aca="false">IF(อัปเดตรายสัปดาห์!$AE$24="Y","Y","")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Plan'!$H$24+(-18)</f>
        <v>46385</v>
      </c>
      <c r="J108" s="382" t="n">
        <f aca="false">'Master Plan'!$H$24+(-15)</f>
        <v>46388</v>
      </c>
      <c r="K108" s="387"/>
      <c r="L108" s="387"/>
      <c r="M108" s="383" t="str">
        <f aca="false">IF('อัปเดตงาน WBS'!$L$1386="","",'อัปเดตงาน WBS'!$L$1386)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Plan'!$H$24+(-16)</f>
        <v>46387</v>
      </c>
      <c r="J109" s="382" t="n">
        <f aca="false">'Master Plan'!$H$24+(-14)</f>
        <v>46389</v>
      </c>
      <c r="K109" s="387"/>
      <c r="L109" s="387"/>
      <c r="M109" s="383" t="str">
        <f aca="false">IF('อัปเดตงาน WBS'!$L$1387="","",'อัปเดตงาน WBS'!$L$1387)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Plan'!$H$24+(-17)</f>
        <v>46386</v>
      </c>
      <c r="J110" s="382" t="n">
        <f aca="false">'Master Plan'!$H$24+(-15)</f>
        <v>46388</v>
      </c>
      <c r="K110" s="387"/>
      <c r="L110" s="387"/>
      <c r="M110" s="383" t="str">
        <f aca="false">IF('อัปเดตงาน WBS'!$L$1388="","",'อัปเดตงาน WBS'!$L$1388)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109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Plan'!$H$24+(-13)</f>
        <v>46390</v>
      </c>
      <c r="J111" s="373" t="n">
        <f aca="false">'Master Plan'!$H$24+(-13)</f>
        <v>46390</v>
      </c>
      <c r="K111" s="78"/>
      <c r="L111" s="78" t="str">
        <f aca="false">IF(ISNUMBER(อัปเดตรายสัปดาห์!$AF$24),อัปเดตรายสัปดาห์!$AF$24,"")</f>
        <v/>
      </c>
      <c r="M111" s="374" t="str">
        <f aca="false">IF(อัปเดตรายสัปดาห์!$AF$24="Y","Y","")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Plan'!$Y$24)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Plan'!$H$24+(-13)</f>
        <v>46390</v>
      </c>
      <c r="J112" s="382" t="n">
        <f aca="false">'Master Plan'!$H$24+(-13)</f>
        <v>46390</v>
      </c>
      <c r="K112" s="387"/>
      <c r="L112" s="387"/>
      <c r="M112" s="383" t="str">
        <f aca="false">IF('อัปเดตงาน WBS'!$L$1389="","",'อัปเดตงาน WBS'!$L$1389)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Plan'!$H$24+(-13)</f>
        <v>46390</v>
      </c>
      <c r="J113" s="382" t="n">
        <f aca="false">'Master Plan'!$H$24+(-13)</f>
        <v>46390</v>
      </c>
      <c r="K113" s="387"/>
      <c r="L113" s="387"/>
      <c r="M113" s="383" t="str">
        <f aca="false">IF('อัปเดตงาน WBS'!$L$1390="","",'อัปเดตงาน WBS'!$L$1390)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3735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Plan'!$H$24+(-12)</f>
        <v>46391</v>
      </c>
      <c r="J115" s="373" t="n">
        <f aca="false">'Master Plan'!$H$24+(-10)</f>
        <v>46393</v>
      </c>
      <c r="K115" s="78"/>
      <c r="L115" s="78" t="str">
        <f aca="false">IF(ISNUMBER(อัปเดตรายสัปดาห์!$AG$24),อัปเดตรายสัปดาห์!$AG$24,"")</f>
        <v/>
      </c>
      <c r="M115" s="374" t="str">
        <f aca="false">IF(อัปเดตรายสัปดาห์!$AG$24="Y","Y","")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Plan'!$AA$24)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Plan'!$H$24+(-12)</f>
        <v>46391</v>
      </c>
      <c r="J116" s="382" t="n">
        <f aca="false">'Master Plan'!$H$24+(-12)</f>
        <v>46391</v>
      </c>
      <c r="K116" s="387"/>
      <c r="L116" s="387"/>
      <c r="M116" s="383" t="str">
        <f aca="false">IF('อัปเดตงาน WBS'!$L$1391="","",'อัปเดตงาน WBS'!$L$1391)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Plan'!$H$24+(-12)</f>
        <v>46391</v>
      </c>
      <c r="J117" s="382" t="n">
        <f aca="false">'Master Plan'!$H$24+(-11)</f>
        <v>46392</v>
      </c>
      <c r="K117" s="387"/>
      <c r="L117" s="387"/>
      <c r="M117" s="383" t="str">
        <f aca="false">IF('อัปเดตงาน WBS'!$L$1392="","",'อัปเดตงาน WBS'!$L$1392)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Plan'!$H$24+(-11)</f>
        <v>46392</v>
      </c>
      <c r="J118" s="382" t="n">
        <f aca="false">'Master Plan'!$H$24+(-11)</f>
        <v>46392</v>
      </c>
      <c r="K118" s="387"/>
      <c r="L118" s="387"/>
      <c r="M118" s="383" t="str">
        <f aca="false">IF('อัปเดตงาน WBS'!$L$1393="","",'อัปเดตงาน WBS'!$L$1393)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Plan'!$H$24+(-11)</f>
        <v>46392</v>
      </c>
      <c r="J119" s="382" t="n">
        <f aca="false">'Master Plan'!$H$24+(-11)</f>
        <v>46392</v>
      </c>
      <c r="K119" s="387"/>
      <c r="L119" s="387"/>
      <c r="M119" s="383" t="str">
        <f aca="false">IF('อัปเดตงาน WBS'!$L$1394="","",'อัปเดตงาน WBS'!$L$1394)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Plan'!$H$24+(-11)</f>
        <v>46392</v>
      </c>
      <c r="J120" s="382" t="n">
        <f aca="false">'Master Plan'!$H$24+(-10)</f>
        <v>46393</v>
      </c>
      <c r="K120" s="387"/>
      <c r="L120" s="387"/>
      <c r="M120" s="383" t="str">
        <f aca="false">IF('อัปเดตงาน WBS'!$L$1395="","",'อัปเดตงาน WBS'!$L$1395)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Plan'!$H$24+(-11)</f>
        <v>46392</v>
      </c>
      <c r="J121" s="382" t="n">
        <f aca="false">'Master Plan'!$H$24+(-10)</f>
        <v>46393</v>
      </c>
      <c r="K121" s="387"/>
      <c r="L121" s="387"/>
      <c r="M121" s="383" t="str">
        <f aca="false">IF('อัปเดตงาน WBS'!$L$1396="","",'อัปเดตงาน WBS'!$L$1396)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109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Plan'!$H$24+(-10)</f>
        <v>46393</v>
      </c>
      <c r="J122" s="373" t="n">
        <f aca="false">'Master Plan'!$H$24+(-10)</f>
        <v>46393</v>
      </c>
      <c r="K122" s="78"/>
      <c r="L122" s="78" t="str">
        <f aca="false">IF(ISNUMBER(อัปเดตรายสัปดาห์!$AH$24),อัปเดตรายสัปดาห์!$AH$24,"")</f>
        <v/>
      </c>
      <c r="M122" s="374" t="str">
        <f aca="false">IF(อัปเดตรายสัปดาห์!$AH$24="Y","Y","")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Plan'!$Z$24)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109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Plan'!$H$24+(-12)</f>
        <v>46391</v>
      </c>
      <c r="J123" s="373" t="n">
        <f aca="false">'Master Plan'!$H$24+(-8)</f>
        <v>46395</v>
      </c>
      <c r="K123" s="78" t="str">
        <f aca="false">IF(ISNUMBER(อัปเดตรายสัปดาห์!$AI$24),อัปเดตรายสัปดาห์!$AI$24,"")</f>
        <v/>
      </c>
      <c r="L123" s="78" t="str">
        <f aca="false">IF(ISNUMBER(อัปเดตรายสัปดาห์!$AJ$24),อัปเดตรายสัปดาห์!$AJ$24,"")</f>
        <v/>
      </c>
      <c r="M123" s="374" t="str">
        <f aca="false">IF(อัปเดตรายสัปดาห์!$AJ$24="Y","Y","")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109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Plan'!$H$24+(37)</f>
        <v>46440</v>
      </c>
      <c r="J124" s="373" t="n">
        <f aca="false">'Master Plan'!$H$24+(50)</f>
        <v>46453</v>
      </c>
      <c r="K124" s="78"/>
      <c r="L124" s="78" t="str">
        <f aca="false">IF(ISNUMBER(อัปเดตรายสัปดาห์!$AK$24),อัปเดตรายสัปดาห์!$AK$24,"")</f>
        <v/>
      </c>
      <c r="M124" s="374" t="str">
        <f aca="false">IF(อัปเดตรายสัปดาห์!$AK$24="Y","Y","")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Plan'!$H$24+(37)</f>
        <v>46440</v>
      </c>
      <c r="J125" s="382" t="n">
        <f aca="false">'Master Plan'!$H$24+(41)</f>
        <v>46444</v>
      </c>
      <c r="K125" s="387"/>
      <c r="L125" s="387"/>
      <c r="M125" s="383" t="str">
        <f aca="false">IF('อัปเดตงาน WBS'!$L$1397="","",'อัปเดตงาน WBS'!$L$1397)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Plan'!$H$24+(40)</f>
        <v>46443</v>
      </c>
      <c r="J126" s="382" t="n">
        <f aca="false">'Master Plan'!$H$24+(47)</f>
        <v>46450</v>
      </c>
      <c r="K126" s="387"/>
      <c r="L126" s="387"/>
      <c r="M126" s="383" t="str">
        <f aca="false">IF('อัปเดตงาน WBS'!$L$1398="","",'อัปเดตงาน WBS'!$L$1398)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Plan'!$H$24+(47)</f>
        <v>46450</v>
      </c>
      <c r="J127" s="382" t="n">
        <f aca="false">'Master Plan'!$H$24+(50)</f>
        <v>46453</v>
      </c>
      <c r="K127" s="387"/>
      <c r="L127" s="387"/>
      <c r="M127" s="383" t="str">
        <f aca="false">IF('อัปเดตงาน WBS'!$L$1399="","",'อัปเดตงาน WBS'!$L$1399)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3735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Plan'!$H$24+(0)</f>
        <v>46403</v>
      </c>
      <c r="J128" s="373" t="n">
        <f aca="false">'Master Plan'!$H$24+(0)</f>
        <v>46403</v>
      </c>
      <c r="K128" s="78"/>
      <c r="L128" s="78" t="str">
        <f aca="false">IF(ISNUMBER(อัปเดตรายสัปดาห์!$AL$24),อัปเดตรายสัปดาห์!$AL$24,"")</f>
        <v/>
      </c>
      <c r="M128" s="374" t="str">
        <f aca="false">IF(อัปเดตรายสัปดาห์!$AL$24="Y","Y","")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Plan'!$AB$24)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Plan'!$H$24+(0)</f>
        <v>46403</v>
      </c>
      <c r="J129" s="373" t="n">
        <f aca="false">'Master Plan'!$H$24+(0)</f>
        <v>46403</v>
      </c>
      <c r="K129" s="78"/>
      <c r="L129" s="78" t="str">
        <f aca="false">IF(ISNUMBER(อัปเดตรายสัปดาห์!$AM$24),อัปเดตรายสัปดาห์!$AM$24,"")</f>
        <v/>
      </c>
      <c r="M129" s="374" t="str">
        <f aca="false">IF(อัปเดตรายสัปดาห์!$AM$24="Y","Y","")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Plan'!$H$24+(0)</f>
        <v>46403</v>
      </c>
      <c r="J130" s="373" t="n">
        <f aca="false">'Master Plan'!$H$24+(0)</f>
        <v>46403</v>
      </c>
      <c r="K130" s="78"/>
      <c r="L130" s="78" t="str">
        <f aca="false">IF(ISNUMBER(อัปเดตรายสัปดาห์!$AN$24),อัปเดตรายสัปดาห์!$AN$24,"")</f>
        <v/>
      </c>
      <c r="M130" s="374" t="str">
        <f aca="false">IF(อัปเดตรายสัปดาห์!$AN$24="Y","Y","")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109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Plan'!$H$24+(34)</f>
        <v>46437</v>
      </c>
      <c r="J131" s="373" t="n">
        <f aca="false">'Master Plan'!$H$24+(36)</f>
        <v>46439</v>
      </c>
      <c r="K131" s="78"/>
      <c r="L131" s="78" t="str">
        <f aca="false">IF(ISNUMBER(อัปเดตรายสัปดาห์!$AO$24),อัปเดตรายสัปดาห์!$AO$24,"")</f>
        <v/>
      </c>
      <c r="M131" s="374" t="str">
        <f aca="false">IF(อัปเดตรายสัปดาห์!$AO$24="Y","Y","")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SUMPRODUCT((SITE_ST="P9-017")*(SITE_TYPE=$B136)*(SITE_TYPE&lt;&gt;""))</f>
        <v>0</v>
      </c>
      <c r="E136" s="397" t="n">
        <f aca="false">SUMPRODUCT((SITE_ST="P9-017")*(SITE_TYPE=$B136)*SITE_MOD)</f>
        <v>0</v>
      </c>
      <c r="I136" s="398" t="n">
        <f aca="false">SUMPRODUCT((SITE_ST="P9-017")*(SITE_TYPE=$B136)*SITE_KWP)</f>
        <v>0</v>
      </c>
      <c r="J136" s="35" t="str">
        <f aca="false">IF(SUMPRODUCT((SITE_ST="P9-017")*(SITE_TYPE=$B136)*(SITE_TYPE&lt;&gt;""))=0,"",SUMPRODUCT((SITE_ST="P9-017")*(SITE_TYPE=$B136)*SITE_S21*SITE_D21)/MAX(0.0001,SUMPRODUCT((SITE_ST="P9-017")*(SITE_TYPE=$B136)*SITE_S21)))</f>
        <v/>
      </c>
      <c r="K136" s="32" t="str">
        <f aca="false">IF(SUMPRODUCT((SITE_ST="P9-017")*(SITE_TYPE=$B136)*(SITE_TYPE&lt;&gt;""))=0,"",SUMPRODUCT((SITE_ST="P9-017")*(SITE_TYPE=$B136)*(SITE_TYPE&lt;&gt;"")*(SITE_T22="Y"))&amp;"/"&amp;SUMPRODUCT((SITE_ST="P9-017")*(SITE_TYPE=$B136)*(SITE_TYPE&lt;&gt;"")))</f>
        <v/>
      </c>
      <c r="L136" s="32" t="str">
        <f aca="false">IF(SUMPRODUCT((SITE_ST="P9-017")*(SITE_TYPE=$B136)*(SITE_TYPE&lt;&gt;""))=0,"",SUMPRODUCT((SITE_ST="P9-017")*(SITE_TYPE=$B136)*(SITE_TYPE&lt;&gt;"")*(SITE_T23="Y"))&amp;"/"&amp;SUMPRODUCT((SITE_ST="P9-017")*(SITE_TYPE=$B136)*(SITE_TYPE&lt;&gt;"")))</f>
        <v/>
      </c>
      <c r="O136" s="32" t="str">
        <f aca="false">IF(SUMPRODUCT((SITE_ST="P9-017")*(SITE_TYPE=$B136)*(LEFT(SITE_LAD,4)="ติด:"))=0,"",SUMPRODUCT((SITE_ST="P9-017")*(SITE_TYPE=$B136)*(LEFT(SITE_LAD,4)="ติด:"))&amp;"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SUMPRODUCT((SITE_ST="P9-017")*(SITE_TYPE=$B137)*(SITE_TYPE&lt;&gt;""))</f>
        <v>0</v>
      </c>
      <c r="E137" s="397" t="n">
        <f aca="false">SUMPRODUCT((SITE_ST="P9-017")*(SITE_TYPE=$B137)*SITE_MOD)</f>
        <v>0</v>
      </c>
      <c r="I137" s="398" t="n">
        <f aca="false">SUMPRODUCT((SITE_ST="P9-017")*(SITE_TYPE=$B137)*SITE_KWP)</f>
        <v>0</v>
      </c>
      <c r="J137" s="35" t="str">
        <f aca="false">IF(SUMPRODUCT((SITE_ST="P9-017")*(SITE_TYPE=$B137)*(SITE_TYPE&lt;&gt;""))=0,"",SUMPRODUCT((SITE_ST="P9-017")*(SITE_TYPE=$B137)*SITE_S21*SITE_D21)/MAX(0.0001,SUMPRODUCT((SITE_ST="P9-017")*(SITE_TYPE=$B137)*SITE_S21)))</f>
        <v/>
      </c>
      <c r="K137" s="32" t="str">
        <f aca="false">IF(SUMPRODUCT((SITE_ST="P9-017")*(SITE_TYPE=$B137)*(SITE_TYPE&lt;&gt;""))=0,"",SUMPRODUCT((SITE_ST="P9-017")*(SITE_TYPE=$B137)*(SITE_TYPE&lt;&gt;"")*(SITE_T22="Y"))&amp;"/"&amp;SUMPRODUCT((SITE_ST="P9-017")*(SITE_TYPE=$B137)*(SITE_TYPE&lt;&gt;"")))</f>
        <v/>
      </c>
      <c r="L137" s="32" t="str">
        <f aca="false">IF(SUMPRODUCT((SITE_ST="P9-017")*(SITE_TYPE=$B137)*(SITE_TYPE&lt;&gt;""))=0,"",SUMPRODUCT((SITE_ST="P9-017")*(SITE_TYPE=$B137)*(SITE_TYPE&lt;&gt;"")*(SITE_T23="Y"))&amp;"/"&amp;SUMPRODUCT((SITE_ST="P9-017")*(SITE_TYPE=$B137)*(SITE_TYPE&lt;&gt;"")))</f>
        <v/>
      </c>
      <c r="O137" s="32" t="str">
        <f aca="false">IF(SUMPRODUCT((SITE_ST="P9-017")*(SITE_TYPE=$B137)*(LEFT(SITE_LAD,4)="ติด:"))=0,"",SUMPRODUCT((SITE_ST="P9-017")*(SITE_TYPE=$B137)*(LEFT(SITE_LAD,4)="ติด:"))&amp;"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SUMPRODUCT((SITE_ST="P9-017")*(SITE_TYPE=$B138)*(SITE_TYPE&lt;&gt;""))</f>
        <v>0</v>
      </c>
      <c r="E138" s="397" t="n">
        <f aca="false">SUMPRODUCT((SITE_ST="P9-017")*(SITE_TYPE=$B138)*SITE_MOD)</f>
        <v>0</v>
      </c>
      <c r="I138" s="398" t="n">
        <f aca="false">SUMPRODUCT((SITE_ST="P9-017")*(SITE_TYPE=$B138)*SITE_KWP)</f>
        <v>0</v>
      </c>
      <c r="J138" s="35" t="str">
        <f aca="false">IF(SUMPRODUCT((SITE_ST="P9-017")*(SITE_TYPE=$B138)*(SITE_TYPE&lt;&gt;""))=0,"",SUMPRODUCT((SITE_ST="P9-017")*(SITE_TYPE=$B138)*SITE_S21*SITE_D21)/MAX(0.0001,SUMPRODUCT((SITE_ST="P9-017")*(SITE_TYPE=$B138)*SITE_S21)))</f>
        <v/>
      </c>
      <c r="K138" s="32" t="str">
        <f aca="false">IF(SUMPRODUCT((SITE_ST="P9-017")*(SITE_TYPE=$B138)*(SITE_TYPE&lt;&gt;""))=0,"",SUMPRODUCT((SITE_ST="P9-017")*(SITE_TYPE=$B138)*(SITE_TYPE&lt;&gt;"")*(SITE_T22="Y"))&amp;"/"&amp;SUMPRODUCT((SITE_ST="P9-017")*(SITE_TYPE=$B138)*(SITE_TYPE&lt;&gt;"")))</f>
        <v/>
      </c>
      <c r="L138" s="32" t="str">
        <f aca="false">IF(SUMPRODUCT((SITE_ST="P9-017")*(SITE_TYPE=$B138)*(SITE_TYPE&lt;&gt;""))=0,"",SUMPRODUCT((SITE_ST="P9-017")*(SITE_TYPE=$B138)*(SITE_TYPE&lt;&gt;"")*(SITE_T23="Y"))&amp;"/"&amp;SUMPRODUCT((SITE_ST="P9-017")*(SITE_TYPE=$B138)*(SITE_TYPE&lt;&gt;"")))</f>
        <v/>
      </c>
      <c r="O138" s="32" t="str">
        <f aca="false">IF(SUMPRODUCT((SITE_ST="P9-017")*(SITE_TYPE=$B138)*(LEFT(SITE_LAD,4)="ติด:"))=0,"",SUMPRODUCT((SITE_ST="P9-017")*(SITE_TYPE=$B138)*(LEFT(SITE_LAD,4)="ติด:"))&amp;"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SUMPRODUCT((SITE_ST="P9-017")*(SITE_TYPE=$B139)*(SITE_TYPE&lt;&gt;""))</f>
        <v>0</v>
      </c>
      <c r="E139" s="397" t="n">
        <f aca="false">SUMPRODUCT((SITE_ST="P9-017")*(SITE_TYPE=$B139)*SITE_MOD)</f>
        <v>0</v>
      </c>
      <c r="I139" s="398" t="n">
        <f aca="false">SUMPRODUCT((SITE_ST="P9-017")*(SITE_TYPE=$B139)*SITE_KWP)</f>
        <v>0</v>
      </c>
      <c r="J139" s="35" t="str">
        <f aca="false">IF(SUMPRODUCT((SITE_ST="P9-017")*(SITE_TYPE=$B139)*(SITE_TYPE&lt;&gt;""))=0,"",SUMPRODUCT((SITE_ST="P9-017")*(SITE_TYPE=$B139)*SITE_S21*SITE_D21)/MAX(0.0001,SUMPRODUCT((SITE_ST="P9-017")*(SITE_TYPE=$B139)*SITE_S21)))</f>
        <v/>
      </c>
      <c r="K139" s="32" t="str">
        <f aca="false">IF(SUMPRODUCT((SITE_ST="P9-017")*(SITE_TYPE=$B139)*(SITE_TYPE&lt;&gt;""))=0,"",SUMPRODUCT((SITE_ST="P9-017")*(SITE_TYPE=$B139)*(SITE_TYPE&lt;&gt;"")*(SITE_T22="Y"))&amp;"/"&amp;SUMPRODUCT((SITE_ST="P9-017")*(SITE_TYPE=$B139)*(SITE_TYPE&lt;&gt;"")))</f>
        <v/>
      </c>
      <c r="L139" s="32" t="str">
        <f aca="false">IF(SUMPRODUCT((SITE_ST="P9-017")*(SITE_TYPE=$B139)*(SITE_TYPE&lt;&gt;""))=0,"",SUMPRODUCT((SITE_ST="P9-017")*(SITE_TYPE=$B139)*(SITE_TYPE&lt;&gt;"")*(SITE_T23="Y"))&amp;"/"&amp;SUMPRODUCT((SITE_ST="P9-017")*(SITE_TYPE=$B139)*(SITE_TYPE&lt;&gt;"")))</f>
        <v/>
      </c>
      <c r="O139" s="32" t="str">
        <f aca="false">IF(SUMPRODUCT((SITE_ST="P9-017")*(SITE_TYPE=$B139)*(LEFT(SITE_LAD,4)="ติด:"))=0,"",SUMPRODUCT((SITE_ST="P9-017")*(SITE_TYPE=$B139)*(LEFT(SITE_LAD,4)="ติด:"))&amp;"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SUMPRODUCT((SITE_ST="P9-017")*(SITE_TYPE=$B140)*(SITE_TYPE&lt;&gt;""))</f>
        <v>0</v>
      </c>
      <c r="E140" s="397" t="n">
        <f aca="false">SUMPRODUCT((SITE_ST="P9-017")*(SITE_TYPE=$B140)*SITE_MOD)</f>
        <v>0</v>
      </c>
      <c r="I140" s="398" t="n">
        <f aca="false">SUMPRODUCT((SITE_ST="P9-017")*(SITE_TYPE=$B140)*SITE_KWP)</f>
        <v>0</v>
      </c>
      <c r="J140" s="35" t="str">
        <f aca="false">IF(SUMPRODUCT((SITE_ST="P9-017")*(SITE_TYPE=$B140)*(SITE_TYPE&lt;&gt;""))=0,"",SUMPRODUCT((SITE_ST="P9-017")*(SITE_TYPE=$B140)*SITE_S21*SITE_D21)/MAX(0.0001,SUMPRODUCT((SITE_ST="P9-017")*(SITE_TYPE=$B140)*SITE_S21)))</f>
        <v/>
      </c>
      <c r="K140" s="32" t="str">
        <f aca="false">IF(SUMPRODUCT((SITE_ST="P9-017")*(SITE_TYPE=$B140)*(SITE_TYPE&lt;&gt;""))=0,"",SUMPRODUCT((SITE_ST="P9-017")*(SITE_TYPE=$B140)*(SITE_TYPE&lt;&gt;"")*(SITE_T22="Y"))&amp;"/"&amp;SUMPRODUCT((SITE_ST="P9-017")*(SITE_TYPE=$B140)*(SITE_TYPE&lt;&gt;"")))</f>
        <v/>
      </c>
      <c r="L140" s="32" t="str">
        <f aca="false">IF(SUMPRODUCT((SITE_ST="P9-017")*(SITE_TYPE=$B140)*(SITE_TYPE&lt;&gt;""))=0,"",SUMPRODUCT((SITE_ST="P9-017")*(SITE_TYPE=$B140)*(SITE_TYPE&lt;&gt;"")*(SITE_T23="Y"))&amp;"/"&amp;SUMPRODUCT((SITE_ST="P9-017")*(SITE_TYPE=$B140)*(SITE_TYPE&lt;&gt;"")))</f>
        <v/>
      </c>
      <c r="O140" s="32" t="str">
        <f aca="false">IF(SUMPRODUCT((SITE_ST="P9-017")*(SITE_TYPE=$B140)*(LEFT(SITE_LAD,4)="ติด:"))=0,"",SUMPRODUCT((SITE_ST="P9-017")*(SITE_TYPE=$B140)*(LEFT(SITE_LAD,4)="ติด:"))&amp;"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SUMPRODUCT((SITE_ST="P9-017")*(SITE_TYPE=$B141)*(SITE_TYPE&lt;&gt;""))</f>
        <v>1</v>
      </c>
      <c r="E141" s="397" t="n">
        <f aca="false">SUMPRODUCT((SITE_ST="P9-017")*(SITE_TYPE=$B141)*SITE_MOD)</f>
        <v>264</v>
      </c>
      <c r="I141" s="398" t="n">
        <f aca="false">SUMPRODUCT((SITE_ST="P9-017")*(SITE_TYPE=$B141)*SITE_KWP)</f>
        <v>150.48</v>
      </c>
      <c r="J141" s="35" t="n">
        <f aca="false">IF(SUMPRODUCT((SITE_ST="P9-017")*(SITE_TYPE=$B141)*(SITE_TYPE&lt;&gt;""))=0,"",SUMPRODUCT((SITE_ST="P9-017")*(SITE_TYPE=$B141)*SITE_S21*SITE_D21)/MAX(0.0001,SUMPRODUCT((SITE_ST="P9-017")*(SITE_TYPE=$B141)*SITE_S21)))</f>
        <v>0</v>
      </c>
      <c r="K141" s="32" t="str">
        <f aca="false">IF(SUMPRODUCT((SITE_ST="P9-017")*(SITE_TYPE=$B141)*(SITE_TYPE&lt;&gt;""))=0,"",SUMPRODUCT((SITE_ST="P9-017")*(SITE_TYPE=$B141)*(SITE_TYPE&lt;&gt;"")*(SITE_T22="Y"))&amp;"/"&amp;SUMPRODUCT((SITE_ST="P9-017")*(SITE_TYPE=$B141)*(SITE_TYPE&lt;&gt;"")))</f>
        <v>0/1</v>
      </c>
      <c r="L141" s="32" t="str">
        <f aca="false">IF(SUMPRODUCT((SITE_ST="P9-017")*(SITE_TYPE=$B141)*(SITE_TYPE&lt;&gt;""))=0,"",SUMPRODUCT((SITE_ST="P9-017")*(SITE_TYPE=$B141)*(SITE_TYPE&lt;&gt;"")*(SITE_T23="Y"))&amp;"/"&amp;SUMPRODUCT((SITE_ST="P9-017")*(SITE_TYPE=$B141)*(SITE_TYPE&lt;&gt;"")))</f>
        <v>0/1</v>
      </c>
      <c r="O141" s="32" t="str">
        <f aca="false">IF(SUMPRODUCT((SITE_ST="P9-017")*(SITE_TYPE=$B141)*(LEFT(SITE_LAD,4)="ติด:"))=0,"",SUMPRODUCT((SITE_ST="P9-017")*(SITE_TYPE=$B141)*(LEFT(SITE_LAD,4)="ติด:"))&amp;"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SUMPRODUCT((SITE_ST="P9-017")*(SITE_TYPE&lt;&gt;""))</f>
        <v>1</v>
      </c>
      <c r="E142" s="403" t="n">
        <f aca="false">SUMPRODUCT((SITE_ST="P9-017")*SITE_MOD)</f>
        <v>264</v>
      </c>
      <c r="I142" s="404" t="n">
        <f aca="false">SUMPRODUCT((SITE_ST="P9-017")*SITE_KWP)</f>
        <v>150.48</v>
      </c>
      <c r="J142" s="405" t="n">
        <f aca="false">IF(SUMPRODUCT((SITE_ST="P9-017")*(SITE_TYPE&lt;&gt;""))=0,"",SUMPRODUCT((SITE_ST="P9-017")*SITE_S21*SITE_D21)/MAX(0.0001,SUMPRODUCT((SITE_ST="P9-017")*SITE_S21)))</f>
        <v>0</v>
      </c>
      <c r="K142" s="406" t="str">
        <f aca="false">IF(SUMPRODUCT((SITE_ST="P9-017")*(SITE_TYPE&lt;&gt;""))=0,"",SUMPRODUCT((SITE_ST="P9-017")*(SITE_TYPE&lt;&gt;"")*(SITE_T22="Y"))&amp;"/"&amp;SUMPRODUCT((SITE_ST="P9-017")*(SITE_TYPE&lt;&gt;"")))</f>
        <v>0/1</v>
      </c>
      <c r="L142" s="406" t="str">
        <f aca="false">IF(SUMPRODUCT((SITE_ST="P9-017")*(SITE_TYPE&lt;&gt;""))=0,"",SUMPRODUCT((SITE_ST="P9-017")*(SITE_TYPE&lt;&gt;"")*(SITE_T23="Y"))&amp;"/"&amp;SUMPRODUCT((SITE_ST="P9-017")*(SITE_TYPE&lt;&gt;"")))</f>
        <v>0/1</v>
      </c>
      <c r="O142" s="406" t="str">
        <f aca="false">IF(SUMPRODUCT((SITE_ST="P9-017")*(LEFT(SITE_LAD,4)="ติด:"))=0,"",SUMPRODUCT((SITE_ST="P9-017")*(LEFT(SITE_LAD,4)="ติด:"))&amp;"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IFERROR(INDEX(INVS_TYPE,MATCH("P9-017",INVS_ID,0))&amp;"","")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ทั้งก้อน",IFERROR(INDEX(INVS_SET,MATCH("P9-017",INVS_ID,0)),"")&amp;" kW, โรงเรือน "&amp;IFERROR(INDEX(INVS_SIZE,MATCH("P9-017",INVS_ID,0)),"")&amp;",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4" display="✎ กรอกความคืบหน้า"/>
    <hyperlink ref="R4" location="'Master Plan'!A24" display="← กลับ Master Plan"/>
    <hyperlink ref="M10" location="'อัปเดตงาน WBS'!L13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19"/>
    <hyperlink ref="M11" location="'อัปเดตงาน WBS'!L13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0"/>
    <hyperlink ref="M12" location="'อัปเดตงาน WBS'!L13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1"/>
    <hyperlink ref="M13" location="'อัปเดตงาน WBS'!L13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2"/>
    <hyperlink ref="M14" location="'อัปเดตงาน WBS'!L13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3"/>
    <hyperlink ref="M15" location="'อัปเดตงาน WBS'!L13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4"/>
    <hyperlink ref="M17" location="'อัปเดตงาน WBS'!L13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5"/>
    <hyperlink ref="M18" location="'อัปเดตงาน WBS'!L13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6"/>
    <hyperlink ref="M19" location="'อัปเดตงาน WBS'!L13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7"/>
    <hyperlink ref="M20" location="'อัปเดตงาน WBS'!L13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8"/>
    <hyperlink ref="M21" location="'อัปเดตงาน WBS'!L13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29"/>
    <hyperlink ref="M22" location="'อัปเดตงาน WBS'!L13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0"/>
    <hyperlink ref="M23" location="'อัปเดตงาน WBS'!L13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1"/>
    <hyperlink ref="M24" location="'อัปเดตงาน WBS'!L13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2"/>
    <hyperlink ref="M26" location="'อัปเดตงาน WBS'!L13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3"/>
    <hyperlink ref="M27" location="'อัปเดตงาน WBS'!L13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4"/>
    <hyperlink ref="M28" location="'อัปเดตงาน WBS'!L13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5"/>
    <hyperlink ref="M31" location="'อัปเดตงาน WBS'!L13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6"/>
    <hyperlink ref="M32" location="'อัปเดตงาน WBS'!L13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7"/>
    <hyperlink ref="M33" location="'อัปเดตงาน WBS'!L13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8"/>
    <hyperlink ref="M35" location="'อัปเดตงาน WBS'!L13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39"/>
    <hyperlink ref="M36" location="'อัปเดตงาน WBS'!L13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0"/>
    <hyperlink ref="M37" location="'อัปเดตงาน WBS'!L13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1"/>
    <hyperlink ref="M38" location="'อัปเดตงาน WBS'!L13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2"/>
    <hyperlink ref="M40" location="'อัปเดตงาน WBS'!L13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3"/>
    <hyperlink ref="M41" location="'อัปเดตงาน WBS'!L13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4"/>
    <hyperlink ref="M42" location="'อัปเดตงาน WBS'!L13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5"/>
    <hyperlink ref="M44" location="'อัปเดตงาน WBS'!L13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6"/>
    <hyperlink ref="M45" location="'อัปเดตงาน WBS'!L13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7"/>
    <hyperlink ref="M46" location="'อัปเดตงาน WBS'!L13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8"/>
    <hyperlink ref="M53" location="'อัปเดตงาน WBS'!L13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49"/>
    <hyperlink ref="M54" location="'อัปเดตงาน WBS'!L13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0"/>
    <hyperlink ref="M63" location="'อัปเดตงาน WBS'!L13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1"/>
    <hyperlink ref="M64" location="'อัปเดตงาน WBS'!L13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2"/>
    <hyperlink ref="M65" location="'อัปเดตงาน WBS'!L13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3"/>
    <hyperlink ref="M66" location="'อัปเดตงาน WBS'!L13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4"/>
    <hyperlink ref="M67" location="'อัปเดตงาน WBS'!L13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5"/>
    <hyperlink ref="M68" location="'อัปเดตงาน WBS'!L13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6"/>
    <hyperlink ref="M69" location="'อัปเดตงาน WBS'!L13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7"/>
    <hyperlink ref="M71" location="'อัปเดตงาน WBS'!L13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8"/>
    <hyperlink ref="M72" location="'อัปเดตงาน WBS'!L13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59"/>
    <hyperlink ref="M73" location="'อัปเดตงาน WBS'!L13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0"/>
    <hyperlink ref="M74" location="'อัปเดตงาน WBS'!L13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1"/>
    <hyperlink ref="M75" location="'อัปเดตงาน WBS'!L13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2"/>
    <hyperlink ref="M77" location="'อัปเดตงาน WBS'!L13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3"/>
    <hyperlink ref="M78" location="'อัปเดตงาน WBS'!L13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4"/>
    <hyperlink ref="M79" location="'อัปเดตงาน WBS'!L13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5"/>
    <hyperlink ref="M80" location="'อัปเดตงาน WBS'!L13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6"/>
    <hyperlink ref="M81" location="'อัปเดตงาน WBS'!L13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7"/>
    <hyperlink ref="M83" location="'อัปเดตงาน WBS'!L13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8"/>
    <hyperlink ref="M84" location="'อัปเดตงาน WBS'!L13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69"/>
    <hyperlink ref="M86" location="'อัปเดตงาน WBS'!L13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0"/>
    <hyperlink ref="M87" location="'อัปเดตงาน WBS'!L13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1"/>
    <hyperlink ref="M88" location="'อัปเดตงาน WBS'!L13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2"/>
    <hyperlink ref="M89" location="'อัปเดตงาน WBS'!L13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3"/>
    <hyperlink ref="M91" location="'อัปเดตงาน WBS'!L13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4"/>
    <hyperlink ref="M92" location="'อัปเดตงาน WBS'!L13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5"/>
    <hyperlink ref="M93" location="'อัปเดตงาน WBS'!L13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6"/>
    <hyperlink ref="M94" location="'อัปเดตงาน WBS'!L13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7"/>
    <hyperlink ref="M95" location="'อัปเดตงาน WBS'!L13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8"/>
    <hyperlink ref="M97" location="'อัปเดตงาน WBS'!L13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79"/>
    <hyperlink ref="M98" location="'อัปเดตงาน WBS'!L13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0"/>
    <hyperlink ref="M99" location="'อัปเดตงาน WBS'!L13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1"/>
    <hyperlink ref="M102" location="'อัปเดตงาน WBS'!L13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2"/>
    <hyperlink ref="M104" location="'อัปเดตงาน WBS'!L13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3"/>
    <hyperlink ref="M105" location="'อัปเดตงาน WBS'!L13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4"/>
    <hyperlink ref="M106" location="'อัปเดตงาน WBS'!L13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5"/>
    <hyperlink ref="M108" location="'อัปเดตงาน WBS'!L13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6"/>
    <hyperlink ref="M109" location="'อัปเดตงาน WBS'!L13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7"/>
    <hyperlink ref="M110" location="'อัปเดตงาน WBS'!L13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8"/>
    <hyperlink ref="M112" location="'อัปเดตงาน WBS'!L13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89"/>
    <hyperlink ref="M113" location="'อัปเดตงาน WBS'!L13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0"/>
    <hyperlink ref="M116" location="'อัปเดตงาน WBS'!L13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1"/>
    <hyperlink ref="M117" location="'อัปเดตงาน WBS'!L13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2"/>
    <hyperlink ref="M118" location="'อัปเดตงาน WBS'!L13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3"/>
    <hyperlink ref="M119" location="'อัปเดตงาน WBS'!L13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4"/>
    <hyperlink ref="M120" location="'อัปเดตงาน WBS'!L13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5"/>
    <hyperlink ref="M121" location="'อัปเดตงาน WBS'!L13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6"/>
    <hyperlink ref="M125" location="'อัปเดตงาน WBS'!L13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7"/>
    <hyperlink ref="M126" location="'อัปเดตงาน WBS'!L13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8"/>
    <hyperlink ref="M127" location="'อัปเดตงาน WBS'!L13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399"/>
    <hyperlink ref="D134" location="'จุดติดตั้ง'!A87" display="✎ เพิ่ม / แก้จุดติดตั้ง →"/>
    <hyperlink ref="D146" location="'Inverter station'!A22" display="file:///home/claude/dash/template/%E0%B9%81%E0%B8%A1%E0%B9%88%E0%B9%81%E0%B8%9A%E0%B8%9A%E0%B9%82%E0%B8%84%E0%B8%A3%E0%B8%87%E0%B8%81%E0%B8%B2%E0%B8%A3%20TCRoof%20(%E0%B8%97%E0%B8%B8%E0%B8%81%E0%B8%81%E0%B8%A3%E0%B8%93%E0%B8%B5).xlsx#'Inverter station'!A2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6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3736</v>
      </c>
    </row>
    <row r="2" customFormat="false" ht="15" hidden="false" customHeight="false" outlineLevel="0" collapsed="false">
      <c r="A2" s="354" t="s">
        <v>3737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Plan'!$AI$25</f>
        <v>-36</v>
      </c>
      <c r="M4" s="360"/>
      <c r="N4" s="360" t="n">
        <f aca="false">'Master Plan'!$AJ$25</f>
        <v>-3</v>
      </c>
      <c r="O4" s="360"/>
      <c r="P4" s="361" t="str">
        <f aca="false">'Master Plan'!$AK$25&amp;" / "&amp;'Master Plan'!$AL$25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COUNTIFS(CR_ST,"P9-018",CR_STAT,"อนุมัติ")&amp;" รายการ, "&amp;'Master Plan'!$AO$25&amp;" วัน"</f>
        <v>0 รายการ, 0 วัน</v>
      </c>
      <c r="AG4" s="362"/>
      <c r="AH4" s="362"/>
      <c r="AI4" s="362"/>
      <c r="AJ4" s="362"/>
      <c r="AK4" s="363" t="n">
        <f aca="false">COUNTIFS(CR_ST,"P9-018",CR_STAT,"รออนุมัติ")+COUNTIFS(CR_ST,"P9-018",CR_STAT,"ขอข้อมูลเพิ่ม")</f>
        <v>0</v>
      </c>
      <c r="AL4" s="363"/>
      <c r="AM4" s="363"/>
      <c r="AN4" s="363"/>
      <c r="AO4" s="363"/>
      <c r="AP4" s="362" t="str">
        <f aca="false">COUNTIF(RW_ST,"P9-018")&amp;" ("&amp;COUNTIFS(RW_ST,"P9-018",RW_DONE,"&lt;&gt;Y")&amp;")"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COUNTIF(LL_ST,"*P9-018*")</f>
        <v>0</v>
      </c>
      <c r="BA4" s="363"/>
      <c r="BB4" s="363"/>
      <c r="BC4" s="363"/>
      <c r="BD4" s="363"/>
      <c r="BE4" s="362" t="str">
        <f aca="false">IF(COUNTIFS(SITE_ST,"P9-018",SITE_TYPE,"?*")=0,"ประมาณการ,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IF(COUNTIFS(SITE_ST,"P9-018",SITE_TYPE,"?*")=0,"ยังไม่ระบุจุด",COUNTIFS(SITE_ST,"P9-018",SITE_LAD,"ติด:*")&amp;" จุด"&amp;IF(COUNTIFS(SITE_ST,"P9-018",SITE_LAD,"⚠*")&gt;0,",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3738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113</v>
      </c>
      <c r="E9" s="372" t="n">
        <v>0</v>
      </c>
      <c r="F9" s="31"/>
      <c r="G9" s="32"/>
      <c r="H9" s="32" t="n">
        <v>1</v>
      </c>
      <c r="I9" s="373" t="n">
        <f aca="false">'Master Plan'!$H$25+(-75)</f>
        <v>46328</v>
      </c>
      <c r="J9" s="373" t="n">
        <f aca="false">'Master Plan'!$H$25+(50)</f>
        <v>46453</v>
      </c>
      <c r="K9" s="78"/>
      <c r="L9" s="78" t="str">
        <f aca="false">IF(ISNUMBER(อัปเดตรายสัปดาห์!$G$25),อัปเดตรายสัปดาห์!$G$25,"")</f>
        <v/>
      </c>
      <c r="M9" s="374" t="str">
        <f aca="false">IF(อัปเดตรายสัปดาห์!$G$25="Y","Y","")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Plan'!$H$25+(-75)</f>
        <v>46328</v>
      </c>
      <c r="J10" s="382" t="n">
        <f aca="false">'Master Plan'!$H$25+(-63)</f>
        <v>46340</v>
      </c>
      <c r="K10" s="387"/>
      <c r="L10" s="387"/>
      <c r="M10" s="383" t="str">
        <f aca="false">IF('อัปเดตงาน WBS'!$L$1400="","",'อัปเดตงาน WBS'!$L$1400)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Plan'!$H$25+(-75)</f>
        <v>46328</v>
      </c>
      <c r="J11" s="382" t="n">
        <f aca="false">'Master Plan'!$H$25+(-63)</f>
        <v>46340</v>
      </c>
      <c r="K11" s="387"/>
      <c r="L11" s="387"/>
      <c r="M11" s="383" t="str">
        <f aca="false">IF('อัปเดตงาน WBS'!$L$1401="","",'อัปเดตงาน WBS'!$L$1401)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Plan'!$H$25+(-75)</f>
        <v>46328</v>
      </c>
      <c r="J12" s="382" t="n">
        <f aca="false">'Master Plan'!$H$25+(-63)</f>
        <v>46340</v>
      </c>
      <c r="K12" s="387"/>
      <c r="L12" s="387"/>
      <c r="M12" s="383" t="str">
        <f aca="false">IF('อัปเดตงาน WBS'!$L$1402="","",'อัปเดตงาน WBS'!$L$1402)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Plan'!$H$25+(-75)</f>
        <v>46328</v>
      </c>
      <c r="J13" s="382" t="n">
        <f aca="false">'Master Plan'!$H$25+(-56)</f>
        <v>46347</v>
      </c>
      <c r="K13" s="387"/>
      <c r="L13" s="387"/>
      <c r="M13" s="383" t="str">
        <f aca="false">IF('อัปเดตงาน WBS'!$L$1403="","",'อัปเดตงาน WBS'!$L$1403)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Plan'!$H$25+(-63)</f>
        <v>46340</v>
      </c>
      <c r="J14" s="382" t="n">
        <f aca="false">'Master Plan'!$H$25+(50)</f>
        <v>46453</v>
      </c>
      <c r="K14" s="387"/>
      <c r="L14" s="387"/>
      <c r="M14" s="383" t="str">
        <f aca="false">IF('อัปเดตงาน WBS'!$L$1404="","",'อัปเดตงาน WBS'!$L$1404)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Plan'!$H$25+(-63)</f>
        <v>46340</v>
      </c>
      <c r="J15" s="382" t="n">
        <f aca="false">'Master Plan'!$H$25+(50)</f>
        <v>46453</v>
      </c>
      <c r="K15" s="387"/>
      <c r="L15" s="387"/>
      <c r="M15" s="383" t="str">
        <f aca="false">IF('อัปเดตงาน WBS'!$L$1405="","",'อัปเดตงาน WBS'!$L$1405)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Plan'!$H$25+(-56)</f>
        <v>46347</v>
      </c>
      <c r="J16" s="373" t="n">
        <f aca="false">'Master Plan'!$H$25+(-45)</f>
        <v>46358</v>
      </c>
      <c r="K16" s="78"/>
      <c r="L16" s="78" t="str">
        <f aca="false">IF(ISNUMBER(อัปเดตรายสัปดาห์!$H$25),อัปเดตรายสัปดาห์!$H$25,"")</f>
        <v/>
      </c>
      <c r="M16" s="374" t="str">
        <f aca="false">IF(อัปเดตรายสัปดาห์!$H$25="Y","Y","")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Plan'!$H$25+(-56)</f>
        <v>46347</v>
      </c>
      <c r="J17" s="382" t="n">
        <f aca="false">'Master Plan'!$H$25+(-54)</f>
        <v>46349</v>
      </c>
      <c r="K17" s="387"/>
      <c r="L17" s="387"/>
      <c r="M17" s="383" t="str">
        <f aca="false">IF('อัปเดตงาน WBS'!$L$1406="","",'อัปเดตงาน WBS'!$L$1406)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Plan'!$H$25+(-55)</f>
        <v>46348</v>
      </c>
      <c r="J18" s="382" t="n">
        <f aca="false">'Master Plan'!$H$25+(-52)</f>
        <v>46351</v>
      </c>
      <c r="K18" s="387"/>
      <c r="L18" s="387"/>
      <c r="M18" s="383" t="str">
        <f aca="false">IF('อัปเดตงาน WBS'!$L$1407="","",'อัปเดตงาน WBS'!$L$1407)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Plan'!$H$25+(-53)</f>
        <v>46350</v>
      </c>
      <c r="J19" s="382" t="n">
        <f aca="false">'Master Plan'!$H$25+(-48)</f>
        <v>46355</v>
      </c>
      <c r="K19" s="387"/>
      <c r="L19" s="387"/>
      <c r="M19" s="383" t="str">
        <f aca="false">IF('อัปเดตงาน WBS'!$L$1408="","",'อัปเดตงาน WBS'!$L$1408)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Plan'!$H$25+(-53)</f>
        <v>46350</v>
      </c>
      <c r="J20" s="382" t="n">
        <f aca="false">'Master Plan'!$H$25+(-48)</f>
        <v>46355</v>
      </c>
      <c r="K20" s="387"/>
      <c r="L20" s="387"/>
      <c r="M20" s="383" t="str">
        <f aca="false">IF('อัปเดตงาน WBS'!$L$1409="","",'อัปเดตงาน WBS'!$L$1409)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Plan'!$H$25+(-52)</f>
        <v>46351</v>
      </c>
      <c r="J21" s="382" t="n">
        <f aca="false">'Master Plan'!$H$25+(-47)</f>
        <v>46356</v>
      </c>
      <c r="K21" s="387"/>
      <c r="L21" s="387"/>
      <c r="M21" s="383" t="str">
        <f aca="false">IF('อัปเดตงาน WBS'!$L$1410="","",'อัปเดตงาน WBS'!$L$1410)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Plan'!$H$25+(-50)</f>
        <v>46353</v>
      </c>
      <c r="J22" s="382" t="n">
        <f aca="false">'Master Plan'!$H$25+(-46)</f>
        <v>46357</v>
      </c>
      <c r="K22" s="387"/>
      <c r="L22" s="387"/>
      <c r="M22" s="383" t="str">
        <f aca="false">IF('อัปเดตงาน WBS'!$L$1411="","",'อัปเดตงาน WBS'!$L$1411)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3434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 t="n">
        <f aca="false">'Master Plan'!$H$25+(-50)</f>
        <v>46353</v>
      </c>
      <c r="J23" s="382" t="n">
        <f aca="false">'Master Plan'!$H$25+(-45)</f>
        <v>46358</v>
      </c>
      <c r="K23" s="387"/>
      <c r="L23" s="387"/>
      <c r="M23" s="383" t="str">
        <f aca="false">IF('อัปเดตงาน WBS'!$L$1412="","",'อัปเดตงาน WBS'!$L$1412)</f>
        <v/>
      </c>
      <c r="N23" s="384" t="n">
        <f aca="false">IF(OR(N16="",O16=""),"",N16+ROUND((O16-N16)*0.5,0))</f>
        <v>46328</v>
      </c>
      <c r="O23" s="384" t="n">
        <f aca="false">IF(OR(N16="",O16=""),"",N16+ROUND((O16-N16)*1,0))</f>
        <v>46328</v>
      </c>
      <c r="P23" s="380" t="str">
        <f aca="false">IFERROR(INDEX(ST_LABEL,MATCH(T23,ST_CODE,0)),T23)</f>
        <v>กำลังดำเนินการ</v>
      </c>
      <c r="Q23" s="385" t="n">
        <f aca="false">IF(OR(J23="",O23=""),"",O23-J23)</f>
        <v>-30</v>
      </c>
      <c r="R23" s="387"/>
      <c r="S23" s="387" t="n">
        <v>2</v>
      </c>
      <c r="T23" s="387" t="str">
        <f aca="false">IF(O23="","BL",IF(M23="Y","DY",IF(LEFT(T16,1)="D","DY",IF(OR(M23="S",N23&lt;=ASOF),"IP","NS"))))</f>
        <v>IP</v>
      </c>
      <c r="U23" s="387"/>
      <c r="V23" s="386" t="n">
        <f aca="false">IF(LEFT(T23,1)="D",1,0)</f>
        <v>0</v>
      </c>
      <c r="W23" s="380" t="s">
        <v>3408</v>
      </c>
      <c r="X23" s="387"/>
      <c r="Y23" s="387" t="s">
        <v>1681</v>
      </c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Plan'!$H$25+(-49)</f>
        <v>46354</v>
      </c>
      <c r="J24" s="382" t="n">
        <f aca="false">'Master Plan'!$H$25+(-45)</f>
        <v>46358</v>
      </c>
      <c r="K24" s="387"/>
      <c r="L24" s="387"/>
      <c r="M24" s="383" t="str">
        <f aca="false">IF('อัปเดตงาน WBS'!$L$1413="","",'อัปเดตงาน WBS'!$L$1413)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Plan'!$H$25+(-51)</f>
        <v>46352</v>
      </c>
      <c r="J25" s="373" t="n">
        <f aca="false">'Master Plan'!$H$25+(-51)</f>
        <v>46352</v>
      </c>
      <c r="K25" s="78"/>
      <c r="L25" s="78" t="str">
        <f aca="false">IF(ISNUMBER(อัปเดตรายสัปดาห์!$I$25),อัปเดตรายสัปดาห์!$I$25,"")</f>
        <v/>
      </c>
      <c r="M25" s="374" t="str">
        <f aca="false">IF(อัปเดตรายสัปดาห์!$I$25="Y","Y","")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Plan'!$H$25+(-51)</f>
        <v>46352</v>
      </c>
      <c r="J26" s="382" t="n">
        <f aca="false">'Master Plan'!$H$25+(-51)</f>
        <v>46352</v>
      </c>
      <c r="K26" s="387"/>
      <c r="L26" s="387"/>
      <c r="M26" s="383" t="str">
        <f aca="false">IF('อัปเดตงาน WBS'!$L$1414="","",'อัปเดตงาน WBS'!$L$1414)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Plan'!$H$25+(-51)</f>
        <v>46352</v>
      </c>
      <c r="J27" s="382" t="n">
        <f aca="false">'Master Plan'!$H$25+(-51)</f>
        <v>46352</v>
      </c>
      <c r="K27" s="387"/>
      <c r="L27" s="387"/>
      <c r="M27" s="383" t="str">
        <f aca="false">IF('อัปเดตงาน WBS'!$L$1415="","",'อัปเดตงาน WBS'!$L$1415)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Plan'!$H$25+(-51)</f>
        <v>46352</v>
      </c>
      <c r="J28" s="382" t="n">
        <f aca="false">'Master Plan'!$H$25+(-51)</f>
        <v>46352</v>
      </c>
      <c r="K28" s="387"/>
      <c r="L28" s="387"/>
      <c r="M28" s="383" t="str">
        <f aca="false">IF('อัปเดตงาน WBS'!$L$1416="","",'อัปเดตงาน WBS'!$L$1416)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113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Plan'!$H$25+(-75)</f>
        <v>46328</v>
      </c>
      <c r="J30" s="373" t="n">
        <f aca="false">'Master Plan'!$H$25+(-75)</f>
        <v>46328</v>
      </c>
      <c r="K30" s="78"/>
      <c r="L30" s="78" t="str">
        <f aca="false">IF(ISNUMBER(อัปเดตรายสัปดาห์!$J$25),อัปเดตรายสัปดาห์!$J$25,"")</f>
        <v/>
      </c>
      <c r="M30" s="374" t="str">
        <f aca="false">IF(อัปเดตรายสัปดาห์!$J$25="Y","Y","")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Plan'!$H$25+(-75)</f>
        <v>46328</v>
      </c>
      <c r="J31" s="382" t="n">
        <f aca="false">'Master Plan'!$H$25+(-75)</f>
        <v>46328</v>
      </c>
      <c r="K31" s="387"/>
      <c r="L31" s="387"/>
      <c r="M31" s="383" t="str">
        <f aca="false">IF('อัปเดตงาน WBS'!$L$1417="","",'อัปเดตงาน WBS'!$L$1417)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Plan'!$H$25+(-75)</f>
        <v>46328</v>
      </c>
      <c r="J32" s="382" t="n">
        <f aca="false">'Master Plan'!$H$25+(-75)</f>
        <v>46328</v>
      </c>
      <c r="K32" s="387"/>
      <c r="L32" s="387"/>
      <c r="M32" s="383" t="str">
        <f aca="false">IF('อัปเดตงาน WBS'!$L$1418="","",'อัปเดตงาน WBS'!$L$1418)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Plan'!$H$25+(-75)</f>
        <v>46328</v>
      </c>
      <c r="J33" s="382" t="n">
        <f aca="false">'Master Plan'!$H$25+(-75)</f>
        <v>46328</v>
      </c>
      <c r="K33" s="387"/>
      <c r="L33" s="387"/>
      <c r="M33" s="383" t="str">
        <f aca="false">IF('อัปเดตงาน WBS'!$L$1419="","",'อัปเดตงาน WBS'!$L$1419)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113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Plan'!$H$25+(-68)</f>
        <v>46335</v>
      </c>
      <c r="J34" s="373" t="n">
        <f aca="false">'Master Plan'!$H$25+(-59)</f>
        <v>46344</v>
      </c>
      <c r="K34" s="78"/>
      <c r="L34" s="78" t="str">
        <f aca="false">IF(ISNUMBER(อัปเดตรายสัปดาห์!$K$25),อัปเดตรายสัปดาห์!$K$25,"")</f>
        <v/>
      </c>
      <c r="M34" s="374" t="str">
        <f aca="false">IF(อัปเดตรายสัปดาห์!$K$25="Y","Y","")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Plan'!$H$25+(-68)</f>
        <v>46335</v>
      </c>
      <c r="J35" s="382" t="n">
        <f aca="false">'Master Plan'!$H$25+(-64)</f>
        <v>46339</v>
      </c>
      <c r="K35" s="387"/>
      <c r="L35" s="387"/>
      <c r="M35" s="383" t="str">
        <f aca="false">IF('อัปเดตงาน WBS'!$L$1420="","",'อัปเดตงาน WBS'!$L$1420)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Plan'!$H$25+(-68)</f>
        <v>46335</v>
      </c>
      <c r="J36" s="382" t="n">
        <f aca="false">'Master Plan'!$H$25+(-63)</f>
        <v>46340</v>
      </c>
      <c r="K36" s="387"/>
      <c r="L36" s="387"/>
      <c r="M36" s="383" t="str">
        <f aca="false">IF('อัปเดตงาน WBS'!$L$1421="","",'อัปเดตงาน WBS'!$L$1421)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Plan'!$H$25+(-65)</f>
        <v>46338</v>
      </c>
      <c r="J37" s="382" t="n">
        <f aca="false">'Master Plan'!$H$25+(-62)</f>
        <v>46341</v>
      </c>
      <c r="K37" s="387"/>
      <c r="L37" s="387"/>
      <c r="M37" s="383" t="str">
        <f aca="false">IF('อัปเดตงาน WBS'!$L$1422="","",'อัปเดตงาน WBS'!$L$1422)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Plan'!$H$25+(-63)</f>
        <v>46340</v>
      </c>
      <c r="J38" s="382" t="n">
        <f aca="false">'Master Plan'!$H$25+(-59)</f>
        <v>46344</v>
      </c>
      <c r="K38" s="387"/>
      <c r="L38" s="387"/>
      <c r="M38" s="383" t="str">
        <f aca="false">IF('อัปเดตงาน WBS'!$L$1423="","",'อัปเดตงาน WBS'!$L$1423)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113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Plan'!$H$25+(-45)</f>
        <v>46358</v>
      </c>
      <c r="J39" s="373" t="n">
        <f aca="false">'Master Plan'!$H$25+(-45)</f>
        <v>46358</v>
      </c>
      <c r="K39" s="78"/>
      <c r="L39" s="78" t="str">
        <f aca="false">IF(ISNUMBER(อัปเดตรายสัปดาห์!$L$25),อัปเดตรายสัปดาห์!$L$25,"")</f>
        <v/>
      </c>
      <c r="M39" s="374" t="str">
        <f aca="false">IF(อัปเดตรายสัปดาห์!$L$25="Y","Y","")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Plan'!$H$25+(-45)</f>
        <v>46358</v>
      </c>
      <c r="J40" s="382" t="n">
        <f aca="false">'Master Plan'!$H$25+(-45)</f>
        <v>46358</v>
      </c>
      <c r="K40" s="387"/>
      <c r="L40" s="387"/>
      <c r="M40" s="383" t="str">
        <f aca="false">IF('อัปเดตงาน WBS'!$L$1424="","",'อัปเดตงาน WBS'!$L$1424)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Plan'!$H$25+(-45)</f>
        <v>46358</v>
      </c>
      <c r="J41" s="382" t="n">
        <f aca="false">'Master Plan'!$H$25+(-45)</f>
        <v>46358</v>
      </c>
      <c r="K41" s="387"/>
      <c r="L41" s="387"/>
      <c r="M41" s="383" t="str">
        <f aca="false">IF('อัปเดตงาน WBS'!$L$1425="","",'อัปเดตงาน WBS'!$L$1425)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Plan'!$H$25+(-45)</f>
        <v>46358</v>
      </c>
      <c r="J42" s="382" t="n">
        <f aca="false">'Master Plan'!$H$25+(-45)</f>
        <v>46358</v>
      </c>
      <c r="K42" s="387"/>
      <c r="L42" s="387"/>
      <c r="M42" s="383" t="str">
        <f aca="false">IF('อัปเดตงาน WBS'!$L$1426="","",'อัปเดตงาน WBS'!$L$1426)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Plan'!$H$25+(-68)</f>
        <v>46335</v>
      </c>
      <c r="J43" s="373" t="n">
        <f aca="false">'Master Plan'!$H$25+(-55)</f>
        <v>46348</v>
      </c>
      <c r="K43" s="78"/>
      <c r="L43" s="78" t="str">
        <f aca="false">IF(ISNUMBER(อัปเดตรายสัปดาห์!$M$25),อัปเดตรายสัปดาห์!$M$25,"")</f>
        <v/>
      </c>
      <c r="M43" s="374" t="str">
        <f aca="false">IF(อัปเดตรายสัปดาห์!$M$25="Y","Y","")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Plan'!$H$25+(-68)</f>
        <v>46335</v>
      </c>
      <c r="J44" s="382" t="n">
        <f aca="false">'Master Plan'!$H$25+(-65)</f>
        <v>46338</v>
      </c>
      <c r="K44" s="387"/>
      <c r="L44" s="387"/>
      <c r="M44" s="383" t="str">
        <f aca="false">IF('อัปเดตงาน WBS'!$L$1427="","",'อัปเดตงาน WBS'!$L$1427)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Plan'!$H$25+(-67)</f>
        <v>46336</v>
      </c>
      <c r="J45" s="382" t="n">
        <f aca="false">'Master Plan'!$H$25+(-62)</f>
        <v>46341</v>
      </c>
      <c r="K45" s="387"/>
      <c r="L45" s="387"/>
      <c r="M45" s="383" t="str">
        <f aca="false">IF('อัปเดตงาน WBS'!$L$1428="","",'อัปเดตงาน WBS'!$L$1428)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Plan'!$H$25+(-62)</f>
        <v>46341</v>
      </c>
      <c r="J46" s="382" t="n">
        <f aca="false">'Master Plan'!$H$25+(-55)</f>
        <v>46348</v>
      </c>
      <c r="K46" s="387"/>
      <c r="L46" s="387"/>
      <c r="M46" s="383" t="str">
        <f aca="false">IF('อัปเดตงาน WBS'!$L$1429="","",'อัปเดตงาน WBS'!$L$1429)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Plan'!$H$25+(-12)</f>
        <v>46391</v>
      </c>
      <c r="J47" s="373" t="n">
        <f aca="false">'Master Plan'!$H$25+(-12)</f>
        <v>46391</v>
      </c>
      <c r="K47" s="78"/>
      <c r="L47" s="78" t="str">
        <f aca="false">IF(ISNUMBER(อัปเดตรายสัปดาห์!$N$25),อัปเดตรายสัปดาห์!$N$25,"")</f>
        <v/>
      </c>
      <c r="M47" s="374" t="str">
        <f aca="false">IF(อัปเดตรายสัปดาห์!$N$25="Y","Y","")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Plan'!$AG$25)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Plan'!$H$25+(-12)</f>
        <v>46391</v>
      </c>
      <c r="J48" s="382" t="n">
        <f aca="false">'Master Plan'!$H$25+(-12)</f>
        <v>46391</v>
      </c>
      <c r="K48" s="387"/>
      <c r="L48" s="387"/>
      <c r="M48" s="383" t="str">
        <f aca="false">IF('อัปเดตงาน WBS'!$L$1430="","",'อัปเดตงาน WBS'!$L$1430)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Plan'!$H$25+(-12)</f>
        <v>46391</v>
      </c>
      <c r="J49" s="382" t="n">
        <f aca="false">'Master Plan'!$H$25+(-12)</f>
        <v>46391</v>
      </c>
      <c r="K49" s="387"/>
      <c r="L49" s="387"/>
      <c r="M49" s="383" t="str">
        <f aca="false">IF('อัปเดตงาน WBS'!$L$1431="","",'อัปเดตงาน WBS'!$L$1431)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Plan'!$H$25+(-11)</f>
        <v>46392</v>
      </c>
      <c r="J50" s="373" t="n">
        <f aca="false">'Master Plan'!$H$25+(18)</f>
        <v>46421</v>
      </c>
      <c r="K50" s="78"/>
      <c r="L50" s="78" t="str">
        <f aca="false">IF(ISNUMBER(อัปเดตรายสัปดาห์!$O$25),อัปเดตรายสัปดาห์!$O$25,"")</f>
        <v/>
      </c>
      <c r="M50" s="374" t="str">
        <f aca="false">IF(อัปเดตรายสัปดาห์!$O$25="Y","Y","")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Plan'!$H$25+(-12)</f>
        <v>46391</v>
      </c>
      <c r="J51" s="382" t="n">
        <f aca="false">'Master Plan'!$H$25+(-12)</f>
        <v>46391</v>
      </c>
      <c r="K51" s="387"/>
      <c r="L51" s="387"/>
      <c r="M51" s="383" t="str">
        <f aca="false">IF('อัปเดตงาน WBS'!$L$1432="","",'อัปเดตงาน WBS'!$L$1432)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IF(ISNUMBER(อัปเดตรายสัปดาห์!$P$25),อัปเดตรายสัปดาห์!$P$25,"")</f>
        <v/>
      </c>
      <c r="M52" s="374" t="str">
        <f aca="false">IF(อัปเดตรายสัปดาห์!$P$25="Y","Y","")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WBS'!$L$1433="","",'อัปเดตงาน WBS'!$L$1433)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WBS'!$L$1434="","",'อัปเดตงาน WBS'!$L$1434)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Plan'!$H$25+(-12)</f>
        <v>46391</v>
      </c>
      <c r="J55" s="373" t="n">
        <f aca="false">'Master Plan'!$H$25+(-12)</f>
        <v>46391</v>
      </c>
      <c r="K55" s="78"/>
      <c r="L55" s="78" t="str">
        <f aca="false">IF(ISNUMBER(อัปเดตรายสัปดาห์!$Q$25),อัปเดตรายสัปดาห์!$Q$25,"")</f>
        <v/>
      </c>
      <c r="M55" s="374" t="str">
        <f aca="false">IF(อัปเดตรายสัปดาห์!$Q$25="Y","Y","")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Plan'!$AC$25)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IF(ISNUMBER(อัปเดตรายสัปดาห์!$R$25),อัปเดตรายสัปดาห์!$R$25,"")</f>
        <v/>
      </c>
      <c r="M56" s="374" t="str">
        <f aca="false">IF(อัปเดตรายสัปดาห์!$R$25="Y","Y","")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Plan'!$H$25+(-11)</f>
        <v>46392</v>
      </c>
      <c r="J57" s="373" t="n">
        <f aca="false">'Master Plan'!$H$25+(9)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IF(ISNUMBER(อัปเดตรายสัปดาห์!$S$25),อัปเดตรายสัปดาห์!$S$25,"")</f>
        <v/>
      </c>
      <c r="M57" s="374" t="str">
        <f aca="false">IF(อัปเดตรายสัปดาห์!$S$25="Y","Y","")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Plan'!$AD$25)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Plan'!$H$25+(10)</f>
        <v>46413</v>
      </c>
      <c r="J58" s="373" t="n">
        <f aca="false">'Master Plan'!$H$25+(16)</f>
        <v>46419</v>
      </c>
      <c r="K58" s="78"/>
      <c r="L58" s="78" t="str">
        <f aca="false">IF(ISNUMBER(อัปเดตรายสัปดาห์!$T$25),อัปเดตรายสัปดาห์!$T$25,"")</f>
        <v/>
      </c>
      <c r="M58" s="374" t="str">
        <f aca="false">IF(อัปเดตรายสัปดาห์!$T$25="Y","Y","")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Plan'!$AE$25)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Plan'!$H$25+(17)</f>
        <v>46420</v>
      </c>
      <c r="J59" s="373" t="n">
        <f aca="false">'Master Plan'!$H$25+(17)</f>
        <v>46420</v>
      </c>
      <c r="K59" s="78"/>
      <c r="L59" s="78" t="str">
        <f aca="false">IF(ISNUMBER(อัปเดตรายสัปดาห์!$U$25),อัปเดตรายสัปดาห์!$U$25,"")</f>
        <v/>
      </c>
      <c r="M59" s="374" t="str">
        <f aca="false">IF(อัปเดตรายสัปดาห์!$U$25="Y","Y","")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Plan'!$AF$25)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113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Plan'!$H$25+(18)</f>
        <v>46421</v>
      </c>
      <c r="J60" s="373" t="n">
        <f aca="false">'Master Plan'!$H$25+(33)</f>
        <v>46436</v>
      </c>
      <c r="K60" s="78"/>
      <c r="L60" s="78" t="str">
        <f aca="false">IF(ISNUMBER(อัปเดตรายสัปดาห์!$V$25),อัปเดตรายสัปดาห์!$V$25,"")</f>
        <v/>
      </c>
      <c r="M60" s="374" t="str">
        <f aca="false">IF(อัปเดตรายสัปดาห์!$V$25="Y","Y","")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Plan'!$AH$25)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3739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Plan'!$H$25+(-42)</f>
        <v>46361</v>
      </c>
      <c r="J62" s="373" t="n">
        <f aca="false">'Master Plan'!$H$25+(-25)</f>
        <v>46378</v>
      </c>
      <c r="K62" s="78"/>
      <c r="L62" s="78" t="str">
        <f aca="false">IF(ISNUMBER(อัปเดตรายสัปดาห์!$W$25),อัปเดตรายสัปดาห์!$W$25,"")</f>
        <v/>
      </c>
      <c r="M62" s="374" t="str">
        <f aca="false">IF(อัปเดตรายสัปดาห์!$W$25="Y","Y","")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-018",SITE_TYPE,"?*")&gt;0,MIN(1,SUMPRODUCT((SITE_ST="P9-018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Plan'!$H$25+(-42)</f>
        <v>46361</v>
      </c>
      <c r="J63" s="382" t="n">
        <f aca="false">'Master Plan'!$H$25+(-40)</f>
        <v>46363</v>
      </c>
      <c r="K63" s="387"/>
      <c r="L63" s="387"/>
      <c r="M63" s="383" t="str">
        <f aca="false">IF('อัปเดตงาน WBS'!$L$1435="","",'อัปเดตงาน WBS'!$L$1435)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Plan'!$H$25+(-42)</f>
        <v>46361</v>
      </c>
      <c r="J64" s="382" t="n">
        <f aca="false">'Master Plan'!$H$25+(-39)</f>
        <v>46364</v>
      </c>
      <c r="K64" s="387"/>
      <c r="L64" s="387"/>
      <c r="M64" s="383" t="str">
        <f aca="false">IF('อัปเดตงาน WBS'!$L$1436="","",'อัปเดตงาน WBS'!$L$1436)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Plan'!$H$25+(-40)</f>
        <v>46363</v>
      </c>
      <c r="J65" s="382" t="n">
        <f aca="false">'Master Plan'!$H$25+(-34)</f>
        <v>46369</v>
      </c>
      <c r="K65" s="387"/>
      <c r="L65" s="387"/>
      <c r="M65" s="383" t="str">
        <f aca="false">IF('อัปเดตงาน WBS'!$L$1437="","",'อัปเดตงาน WBS'!$L$1437)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Plan'!$H$25+(-35)</f>
        <v>46368</v>
      </c>
      <c r="J66" s="382" t="n">
        <f aca="false">'Master Plan'!$H$25+(-28)</f>
        <v>46375</v>
      </c>
      <c r="K66" s="387"/>
      <c r="L66" s="387"/>
      <c r="M66" s="383" t="str">
        <f aca="false">IF('อัปเดตงาน WBS'!$L$1438="","",'อัปเดตงาน WBS'!$L$1438)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Plan'!$H$25+(-32)</f>
        <v>46371</v>
      </c>
      <c r="J67" s="382" t="n">
        <f aca="false">'Master Plan'!$H$25+(-26)</f>
        <v>46377</v>
      </c>
      <c r="K67" s="387"/>
      <c r="L67" s="387"/>
      <c r="M67" s="383" t="str">
        <f aca="false">IF('อัปเดตงาน WBS'!$L$1439="","",'อัปเดตงาน WBS'!$L$1439)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Plan'!$H$25+(-28)</f>
        <v>46375</v>
      </c>
      <c r="J68" s="382" t="n">
        <f aca="false">'Master Plan'!$H$25+(-25)</f>
        <v>46378</v>
      </c>
      <c r="K68" s="387"/>
      <c r="L68" s="387"/>
      <c r="M68" s="383" t="str">
        <f aca="false">IF('อัปเดตงาน WBS'!$L$1440="","",'อัปเดตงาน WBS'!$L$1440)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Plan'!$H$25+(-26)</f>
        <v>46377</v>
      </c>
      <c r="J69" s="382" t="n">
        <f aca="false">'Master Plan'!$H$25+(-25)</f>
        <v>46378</v>
      </c>
      <c r="K69" s="387"/>
      <c r="L69" s="387"/>
      <c r="M69" s="383" t="str">
        <f aca="false">IF('อัปเดตงาน WBS'!$L$1441="","",'อัปเดตงาน WBS'!$L$1441)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3739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Plan'!$H$25+(-24)</f>
        <v>46379</v>
      </c>
      <c r="J70" s="373" t="n">
        <f aca="false">'Master Plan'!$H$25+(-15)</f>
        <v>46388</v>
      </c>
      <c r="K70" s="78"/>
      <c r="L70" s="78" t="str">
        <f aca="false">IF(ISNUMBER(อัปเดตรายสัปดาห์!$X$25),อัปเดตรายสัปดาห์!$X$25,"")</f>
        <v/>
      </c>
      <c r="M70" s="374" t="str">
        <f aca="false">IF(อัปเดตรายสัปดาห์!$X$25="Y","Y","")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-018",SITE_TYPE,"?*")&gt;0,MIN(1,SUMPRODUCT((SITE_ST="P9-018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Plan'!$H$25+(-24)</f>
        <v>46379</v>
      </c>
      <c r="J71" s="382" t="n">
        <f aca="false">'Master Plan'!$H$25+(-20)</f>
        <v>46383</v>
      </c>
      <c r="K71" s="387"/>
      <c r="L71" s="387"/>
      <c r="M71" s="383" t="str">
        <f aca="false">IF('อัปเดตงาน WBS'!$L$1442="","",'อัปเดตงาน WBS'!$L$1442)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Plan'!$H$25+(-22)</f>
        <v>46381</v>
      </c>
      <c r="J72" s="382" t="n">
        <f aca="false">'Master Plan'!$H$25+(-17)</f>
        <v>46386</v>
      </c>
      <c r="K72" s="387"/>
      <c r="L72" s="387"/>
      <c r="M72" s="383" t="str">
        <f aca="false">IF('อัปเดตงาน WBS'!$L$1443="","",'อัปเดตงาน WBS'!$L$1443)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Plan'!$H$25+(-21)</f>
        <v>46382</v>
      </c>
      <c r="J73" s="382" t="n">
        <f aca="false">'Master Plan'!$H$25+(-17)</f>
        <v>46386</v>
      </c>
      <c r="K73" s="387"/>
      <c r="L73" s="387"/>
      <c r="M73" s="383" t="str">
        <f aca="false">IF('อัปเดตงาน WBS'!$L$1444="","",'อัปเดตงาน WBS'!$L$1444)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Plan'!$H$25+(-20)</f>
        <v>46383</v>
      </c>
      <c r="J74" s="382" t="n">
        <f aca="false">'Master Plan'!$H$25+(-15)</f>
        <v>46388</v>
      </c>
      <c r="K74" s="387"/>
      <c r="L74" s="387"/>
      <c r="M74" s="383" t="str">
        <f aca="false">IF('อัปเดตงาน WBS'!$L$1445="","",'อัปเดตงาน WBS'!$L$1445)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Plan'!$H$25+(-17)</f>
        <v>46386</v>
      </c>
      <c r="J75" s="382" t="n">
        <f aca="false">'Master Plan'!$H$25+(-15)</f>
        <v>46388</v>
      </c>
      <c r="K75" s="387"/>
      <c r="L75" s="387"/>
      <c r="M75" s="383" t="str">
        <f aca="false">IF('อัปเดตงาน WBS'!$L$1446="","",'อัปเดตงาน WBS'!$L$1446)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3739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Plan'!$H$25+(-24)</f>
        <v>46379</v>
      </c>
      <c r="J76" s="373" t="n">
        <f aca="false">'Master Plan'!$H$25+(-15)</f>
        <v>46388</v>
      </c>
      <c r="K76" s="78"/>
      <c r="L76" s="78" t="str">
        <f aca="false">IF(ISNUMBER(อัปเดตรายสัปดาห์!$Y$25),อัปเดตรายสัปดาห์!$Y$25,"")</f>
        <v/>
      </c>
      <c r="M76" s="374" t="str">
        <f aca="false">IF(อัปเดตรายสัปดาห์!$Y$25="Y","Y","")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-018",SITE_TYPE,"?*")&gt;0,MIN(1,SUMPRODUCT((SITE_ST="P9-018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Plan'!$H$25+(-24)</f>
        <v>46379</v>
      </c>
      <c r="J77" s="382" t="n">
        <f aca="false">'Master Plan'!$H$25+(-21)</f>
        <v>46382</v>
      </c>
      <c r="K77" s="387"/>
      <c r="L77" s="387"/>
      <c r="M77" s="383" t="str">
        <f aca="false">IF('อัปเดตงาน WBS'!$L$1447="","",'อัปเดตงาน WBS'!$L$1447)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Plan'!$H$25+(-23)</f>
        <v>46380</v>
      </c>
      <c r="J78" s="382" t="n">
        <f aca="false">'Master Plan'!$H$25+(-16)</f>
        <v>46387</v>
      </c>
      <c r="K78" s="387"/>
      <c r="L78" s="387"/>
      <c r="M78" s="383" t="str">
        <f aca="false">IF('อัปเดตงาน WBS'!$L$1448="","",'อัปเดตงาน WBS'!$L$1448)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Plan'!$H$25+(-20)</f>
        <v>46383</v>
      </c>
      <c r="J79" s="382" t="n">
        <f aca="false">'Master Plan'!$H$25+(-15)</f>
        <v>46388</v>
      </c>
      <c r="K79" s="387"/>
      <c r="L79" s="387"/>
      <c r="M79" s="383" t="str">
        <f aca="false">IF('อัปเดตงาน WBS'!$L$1449="","",'อัปเดตงาน WBS'!$L$1449)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Plan'!$H$25+(-17)</f>
        <v>46386</v>
      </c>
      <c r="J80" s="382" t="n">
        <f aca="false">'Master Plan'!$H$25+(-15)</f>
        <v>46388</v>
      </c>
      <c r="K80" s="387"/>
      <c r="L80" s="387"/>
      <c r="M80" s="383" t="str">
        <f aca="false">IF('อัปเดตงาน WBS'!$L$1450="","",'อัปเดตงาน WBS'!$L$1450)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Plan'!$H$25+(-15)</f>
        <v>46388</v>
      </c>
      <c r="J81" s="382" t="n">
        <f aca="false">'Master Plan'!$H$25+(-15)</f>
        <v>46388</v>
      </c>
      <c r="K81" s="387"/>
      <c r="L81" s="387"/>
      <c r="M81" s="383" t="str">
        <f aca="false">IF('อัปเดตงาน WBS'!$L$1451="","",'อัปเดตงาน WBS'!$L$1451)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3739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Plan'!$H$25+(-21)</f>
        <v>46382</v>
      </c>
      <c r="J82" s="373" t="n">
        <f aca="false">'Master Plan'!$H$25+(-18)</f>
        <v>46385</v>
      </c>
      <c r="K82" s="78"/>
      <c r="L82" s="78" t="str">
        <f aca="false">IF(ISNUMBER(อัปเดตรายสัปดาห์!$Z$25),อัปเดตรายสัปดาห์!$Z$25,"")</f>
        <v/>
      </c>
      <c r="M82" s="374" t="str">
        <f aca="false">IF(อัปเดตรายสัปดาห์!$Z$25="Y","Y","")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Plan'!$H$25+(-21)</f>
        <v>46382</v>
      </c>
      <c r="J83" s="382" t="n">
        <f aca="false">'Master Plan'!$H$25+(-19)</f>
        <v>46384</v>
      </c>
      <c r="K83" s="387"/>
      <c r="L83" s="387"/>
      <c r="M83" s="383" t="str">
        <f aca="false">IF('อัปเดตงาน WBS'!$L$1452="","",'อัปเดตงาน WBS'!$L$1452)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Plan'!$H$25+(-20)</f>
        <v>46383</v>
      </c>
      <c r="J84" s="382" t="n">
        <f aca="false">'Master Plan'!$H$25+(-18)</f>
        <v>46385</v>
      </c>
      <c r="K84" s="387"/>
      <c r="L84" s="387"/>
      <c r="M84" s="383" t="str">
        <f aca="false">IF('อัปเดตงาน WBS'!$L$1453="","",'อัปเดตงาน WBS'!$L$1453)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3739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Plan'!$H$25+(-25)</f>
        <v>46378</v>
      </c>
      <c r="J85" s="373" t="n">
        <f aca="false">'Master Plan'!$H$25+(-17)</f>
        <v>46386</v>
      </c>
      <c r="K85" s="78"/>
      <c r="L85" s="78" t="str">
        <f aca="false">IF(ISNUMBER(อัปเดตรายสัปดาห์!$AA$25),อัปเดตรายสัปดาห์!$AA$25,"")</f>
        <v/>
      </c>
      <c r="M85" s="374" t="str">
        <f aca="false">IF(อัปเดตรายสัปดาห์!$AA$25="Y","Y","")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Plan'!$H$25+(-25)</f>
        <v>46378</v>
      </c>
      <c r="J86" s="382" t="n">
        <f aca="false">'Master Plan'!$H$25+(-21)</f>
        <v>46382</v>
      </c>
      <c r="K86" s="387"/>
      <c r="L86" s="387"/>
      <c r="M86" s="383" t="str">
        <f aca="false">IF('อัปเดตงาน WBS'!$L$1454="","",'อัปเดตงาน WBS'!$L$1454)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Plan'!$H$25+(-22)</f>
        <v>46381</v>
      </c>
      <c r="J87" s="382" t="n">
        <f aca="false">'Master Plan'!$H$25+(-18)</f>
        <v>46385</v>
      </c>
      <c r="K87" s="387"/>
      <c r="L87" s="387"/>
      <c r="M87" s="383" t="str">
        <f aca="false">IF('อัปเดตงาน WBS'!$L$1455="","",'อัปเดตงาน WBS'!$L$1455)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Plan'!$H$25+(-20)</f>
        <v>46383</v>
      </c>
      <c r="J88" s="382" t="n">
        <f aca="false">'Master Plan'!$H$25+(-17)</f>
        <v>46386</v>
      </c>
      <c r="K88" s="387"/>
      <c r="L88" s="387"/>
      <c r="M88" s="383" t="str">
        <f aca="false">IF('อัปเดตงาน WBS'!$L$1456="","",'อัปเดตงาน WBS'!$L$1456)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Plan'!$H$25+(-18)</f>
        <v>46385</v>
      </c>
      <c r="J89" s="382" t="n">
        <f aca="false">'Master Plan'!$H$25+(-17)</f>
        <v>46386</v>
      </c>
      <c r="K89" s="387"/>
      <c r="L89" s="387"/>
      <c r="M89" s="383" t="str">
        <f aca="false">IF('อัปเดตงาน WBS'!$L$1457="","",'อัปเดตงาน WBS'!$L$1457)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3557</v>
      </c>
      <c r="D90" s="31" t="s">
        <v>3739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Plan'!$H$25+(-25)</f>
        <v>46378</v>
      </c>
      <c r="J90" s="373" t="n">
        <f aca="false">'Master Plan'!$H$25+(-16)</f>
        <v>46387</v>
      </c>
      <c r="K90" s="78"/>
      <c r="L90" s="78" t="str">
        <f aca="false">IF(ISNUMBER(อัปเดตรายสัปดาห์!$AB$25),อัปเดตรายสัปดาห์!$AB$25,"")</f>
        <v/>
      </c>
      <c r="M90" s="374" t="str">
        <f aca="false">IF(อัปเดตรายสัปดาห์!$AB$25="Y","Y","")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Plan'!$H$25+(-25)</f>
        <v>46378</v>
      </c>
      <c r="J91" s="382" t="n">
        <f aca="false">'Master Plan'!$H$25+(-20)</f>
        <v>46383</v>
      </c>
      <c r="K91" s="387"/>
      <c r="L91" s="387"/>
      <c r="M91" s="383" t="str">
        <f aca="false">IF('อัปเดตงาน WBS'!$L$1458="","",'อัปเดตงาน WBS'!$L$1458)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Plan'!$H$25+(-20)</f>
        <v>46383</v>
      </c>
      <c r="J92" s="382" t="n">
        <f aca="false">'Master Plan'!$H$25+(-16)</f>
        <v>46387</v>
      </c>
      <c r="K92" s="387"/>
      <c r="L92" s="387"/>
      <c r="M92" s="383" t="str">
        <f aca="false">IF('อัปเดตงาน WBS'!$L$1459="","",'อัปเดตงาน WBS'!$L$1459)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Plan'!$H$25+(-25)</f>
        <v>46378</v>
      </c>
      <c r="J93" s="382" t="n">
        <f aca="false">'Master Plan'!$H$25+(-21)</f>
        <v>46382</v>
      </c>
      <c r="K93" s="387"/>
      <c r="L93" s="387"/>
      <c r="M93" s="383" t="str">
        <f aca="false">IF('อัปเดตงาน WBS'!$L$1460="","",'อัปเดตงาน WBS'!$L$1460)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Plan'!$H$25+(-21)</f>
        <v>46382</v>
      </c>
      <c r="J94" s="382" t="n">
        <f aca="false">'Master Plan'!$H$25+(-16)</f>
        <v>46387</v>
      </c>
      <c r="K94" s="387"/>
      <c r="L94" s="387"/>
      <c r="M94" s="383" t="str">
        <f aca="false">IF('อัปเดตงาน WBS'!$L$1461="","",'อัปเดตงาน WBS'!$L$1461)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Plan'!$H$25+(-17)</f>
        <v>46386</v>
      </c>
      <c r="J95" s="382" t="n">
        <f aca="false">'Master Plan'!$H$25+(-16)</f>
        <v>46387</v>
      </c>
      <c r="K95" s="387"/>
      <c r="L95" s="387"/>
      <c r="M95" s="383" t="str">
        <f aca="false">IF('อัปเดตงาน WBS'!$L$1462="","",'อัปเดตงาน WBS'!$L$1462)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3739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Plan'!$H$25+(-22)</f>
        <v>46381</v>
      </c>
      <c r="J96" s="373" t="n">
        <f aca="false">'Master Plan'!$H$25+(-16)</f>
        <v>46387</v>
      </c>
      <c r="K96" s="78"/>
      <c r="L96" s="78" t="str">
        <f aca="false">IF(ISNUMBER(อัปเดตรายสัปดาห์!$AC$25),อัปเดตรายสัปดาห์!$AC$25,"")</f>
        <v/>
      </c>
      <c r="M96" s="374" t="str">
        <f aca="false">IF(อัปเดตรายสัปดาห์!$AC$25="Y","Y","")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Plan'!$H$25+(-22)</f>
        <v>46381</v>
      </c>
      <c r="J97" s="382" t="n">
        <f aca="false">'Master Plan'!$H$25+(-17)</f>
        <v>46386</v>
      </c>
      <c r="K97" s="387"/>
      <c r="L97" s="387"/>
      <c r="M97" s="383" t="str">
        <f aca="false">IF('อัปเดตงาน WBS'!$L$1463="","",'อัปเดตงาน WBS'!$L$1463)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Plan'!$H$25+(-20)</f>
        <v>46383</v>
      </c>
      <c r="J98" s="382" t="n">
        <f aca="false">'Master Plan'!$H$25+(-16)</f>
        <v>46387</v>
      </c>
      <c r="K98" s="387"/>
      <c r="L98" s="387"/>
      <c r="M98" s="383" t="str">
        <f aca="false">IF('อัปเดตงาน WBS'!$L$1464="","",'อัปเดตงาน WBS'!$L$1464)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Plan'!$H$25+(-17)</f>
        <v>46386</v>
      </c>
      <c r="J99" s="382" t="n">
        <f aca="false">'Master Plan'!$H$25+(-16)</f>
        <v>46387</v>
      </c>
      <c r="K99" s="387"/>
      <c r="L99" s="387"/>
      <c r="M99" s="383" t="str">
        <f aca="false">IF('อัปเดตงาน WBS'!$L$1465="","",'อัปเดตงาน WBS'!$L$1465)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3578</v>
      </c>
      <c r="D100" s="31" t="s">
        <v>3739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Plan'!$H$25+(-20)</f>
        <v>46383</v>
      </c>
      <c r="J100" s="373" t="n">
        <f aca="false">'Master Plan'!$H$25+(-15)</f>
        <v>46388</v>
      </c>
      <c r="K100" s="78"/>
      <c r="L100" s="78" t="str">
        <f aca="false">IF(ISNUMBER(อัปเดตรายสัปดาห์!$AD$25),อัปเดตรายสัปดาห์!$AD$25,"")</f>
        <v/>
      </c>
      <c r="M100" s="374" t="str">
        <f aca="false">IF(อัปเดตรายสัปดาห์!$AD$25="Y","Y","")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3581</v>
      </c>
      <c r="C101" s="387"/>
      <c r="D101" s="380" t="s">
        <v>3408</v>
      </c>
      <c r="E101" s="381" t="n">
        <v>0</v>
      </c>
      <c r="F101" s="387"/>
      <c r="G101" s="387"/>
      <c r="H101" s="387"/>
      <c r="I101" s="382" t="n">
        <f aca="false">'Master Plan'!$H$25+(-20)</f>
        <v>46383</v>
      </c>
      <c r="J101" s="382" t="n">
        <f aca="false">'Master Plan'!$H$25+(-19)</f>
        <v>46384</v>
      </c>
      <c r="K101" s="387"/>
      <c r="L101" s="387"/>
      <c r="M101" s="392"/>
      <c r="N101" s="384" t="n">
        <f aca="false">IF(OR(N100="",O100=""),"",N100+ROUND((O100-N100)*0,0))</f>
        <v>46346</v>
      </c>
      <c r="O101" s="384" t="n">
        <f aca="false">IF(OR(N100="",O100=""),"",N100+ROUND((O100-N100)*0.2,0))</f>
        <v>46346</v>
      </c>
      <c r="P101" s="380" t="str">
        <f aca="false">IFERROR(INDEX(ST_LABEL,MATCH(T101,ST_CODE,0)),T101)</f>
        <v>ยังไม่เริ่ม</v>
      </c>
      <c r="Q101" s="385" t="n">
        <f aca="false">IF(OR(J101="",O101=""),"",O101-J101)</f>
        <v>-38</v>
      </c>
      <c r="R101" s="387"/>
      <c r="S101" s="387" t="n">
        <v>2</v>
      </c>
      <c r="T101" s="387" t="str">
        <f aca="false">IF(O101="","BL",IF(M101="Y","DY",IF(LEFT(T100,1)="D","DY",IF(OR(M101="S",N101&lt;=ASOF),"IP","NS"))))</f>
        <v>NS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3582</v>
      </c>
      <c r="C102" s="380" t="s">
        <v>3583</v>
      </c>
      <c r="D102" s="380" t="s">
        <v>3411</v>
      </c>
      <c r="E102" s="381" t="n">
        <v>2</v>
      </c>
      <c r="F102" s="387"/>
      <c r="G102" s="387"/>
      <c r="H102" s="387"/>
      <c r="I102" s="382" t="n">
        <f aca="false">'Master Plan'!$H$25+(-19)</f>
        <v>46384</v>
      </c>
      <c r="J102" s="382" t="n">
        <f aca="false">'Master Plan'!$H$25+(-16)</f>
        <v>46387</v>
      </c>
      <c r="K102" s="387"/>
      <c r="L102" s="387"/>
      <c r="M102" s="383" t="str">
        <f aca="false">IF('อัปเดตงาน WBS'!$L$1466="","",'อัปเดตงาน WBS'!$L$1466)</f>
        <v/>
      </c>
      <c r="N102" s="384" t="n">
        <f aca="false">IF(OR(N100="",O100=""),"",N100+ROUND((O100-N100)*0.2,0))</f>
        <v>46346</v>
      </c>
      <c r="O102" s="384" t="n">
        <f aca="false">IF(OR(N100="",O100=""),"",N100+ROUND((O100-N100)*0.7,0))</f>
        <v>46347</v>
      </c>
      <c r="P102" s="380" t="str">
        <f aca="false">IFERROR(INDEX(ST_LABEL,MATCH(T102,ST_CODE,0)),T102)</f>
        <v>ยังไม่เริ่ม</v>
      </c>
      <c r="Q102" s="385" t="n">
        <f aca="false">IF(OR(J102="",O102=""),"",O102-J102)</f>
        <v>-40</v>
      </c>
      <c r="R102" s="387"/>
      <c r="S102" s="387" t="n">
        <v>2</v>
      </c>
      <c r="T102" s="387" t="str">
        <f aca="false">IF(O102="","BL",IF(M102="Y","DY",IF(LEFT(T100,1)="D","DY",IF(OR(M102="S",N102&lt;=ASOF),"IP","NS"))))</f>
        <v>NS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3584</v>
      </c>
      <c r="C103" s="387" t="s">
        <v>3585</v>
      </c>
      <c r="D103" s="380" t="s">
        <v>3411</v>
      </c>
      <c r="E103" s="381" t="n">
        <v>0</v>
      </c>
      <c r="F103" s="387"/>
      <c r="G103" s="387"/>
      <c r="H103" s="387"/>
      <c r="I103" s="382"/>
      <c r="J103" s="382"/>
      <c r="K103" s="387"/>
      <c r="L103" s="387"/>
      <c r="M103" s="379"/>
      <c r="N103" s="384"/>
      <c r="O103" s="384"/>
      <c r="P103" s="380" t="str">
        <f aca="false">IFERROR(INDEX(ST_LABEL,MATCH(T103,ST_CODE,0)),T103)</f>
        <v>ไม่ต้องทำ</v>
      </c>
      <c r="Q103" s="385" t="str">
        <f aca="false">IF(OR(J103="",O103=""),"",O103-J103)</f>
        <v/>
      </c>
      <c r="R103" s="387"/>
      <c r="S103" s="387" t="n">
        <v>2</v>
      </c>
      <c r="T103" s="387" t="s">
        <v>3231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Plan'!$H$25+(-18)</f>
        <v>46385</v>
      </c>
      <c r="J104" s="382" t="n">
        <f aca="false">'Master Plan'!$H$25+(-16)</f>
        <v>46387</v>
      </c>
      <c r="K104" s="387"/>
      <c r="L104" s="387"/>
      <c r="M104" s="383" t="str">
        <f aca="false">IF('อัปเดตงาน WBS'!$L$1467="","",'อัปเดตงาน WBS'!$L$1467)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Plan'!$H$25+(-18)</f>
        <v>46385</v>
      </c>
      <c r="J105" s="382" t="n">
        <f aca="false">'Master Plan'!$H$25+(-15)</f>
        <v>46388</v>
      </c>
      <c r="K105" s="387"/>
      <c r="L105" s="387"/>
      <c r="M105" s="383" t="str">
        <f aca="false">IF('อัปเดตงาน WBS'!$L$1468="","",'อัปเดตงาน WBS'!$L$1468)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Plan'!$H$25+(-16)</f>
        <v>46387</v>
      </c>
      <c r="J106" s="382" t="n">
        <f aca="false">'Master Plan'!$H$25+(-15)</f>
        <v>46388</v>
      </c>
      <c r="K106" s="387"/>
      <c r="L106" s="387"/>
      <c r="M106" s="383" t="str">
        <f aca="false">IF('อัปเดตงาน WBS'!$L$1469="","",'อัปเดตงาน WBS'!$L$1469)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3739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Plan'!$H$25+(-18)</f>
        <v>46385</v>
      </c>
      <c r="J107" s="373" t="n">
        <f aca="false">'Master Plan'!$H$25+(-14)</f>
        <v>46389</v>
      </c>
      <c r="K107" s="78"/>
      <c r="L107" s="78" t="str">
        <f aca="false">IF(ISNUMBER(อัปเดตรายสัปดาห์!$AE$25),อัปเดตรายสัปดาห์!$AE$25,"")</f>
        <v/>
      </c>
      <c r="M107" s="374" t="str">
        <f aca="false">IF(อัปเดตรายสัปดาห์!$AE$25="Y","Y","")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Plan'!$H$25+(-18)</f>
        <v>46385</v>
      </c>
      <c r="J108" s="382" t="n">
        <f aca="false">'Master Plan'!$H$25+(-15)</f>
        <v>46388</v>
      </c>
      <c r="K108" s="387"/>
      <c r="L108" s="387"/>
      <c r="M108" s="383" t="str">
        <f aca="false">IF('อัปเดตงาน WBS'!$L$1470="","",'อัปเดตงาน WBS'!$L$1470)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Plan'!$H$25+(-16)</f>
        <v>46387</v>
      </c>
      <c r="J109" s="382" t="n">
        <f aca="false">'Master Plan'!$H$25+(-14)</f>
        <v>46389</v>
      </c>
      <c r="K109" s="387"/>
      <c r="L109" s="387"/>
      <c r="M109" s="383" t="str">
        <f aca="false">IF('อัปเดตงาน WBS'!$L$1471="","",'อัปเดตงาน WBS'!$L$1471)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Plan'!$H$25+(-17)</f>
        <v>46386</v>
      </c>
      <c r="J110" s="382" t="n">
        <f aca="false">'Master Plan'!$H$25+(-15)</f>
        <v>46388</v>
      </c>
      <c r="K110" s="387"/>
      <c r="L110" s="387"/>
      <c r="M110" s="383" t="str">
        <f aca="false">IF('อัปเดตงาน WBS'!$L$1472="","",'อัปเดตงาน WBS'!$L$1472)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113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Plan'!$H$25+(-13)</f>
        <v>46390</v>
      </c>
      <c r="J111" s="373" t="n">
        <f aca="false">'Master Plan'!$H$25+(-13)</f>
        <v>46390</v>
      </c>
      <c r="K111" s="78"/>
      <c r="L111" s="78" t="str">
        <f aca="false">IF(ISNUMBER(อัปเดตรายสัปดาห์!$AF$25),อัปเดตรายสัปดาห์!$AF$25,"")</f>
        <v/>
      </c>
      <c r="M111" s="374" t="str">
        <f aca="false">IF(อัปเดตรายสัปดาห์!$AF$25="Y","Y","")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Plan'!$Y$25)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Plan'!$H$25+(-13)</f>
        <v>46390</v>
      </c>
      <c r="J112" s="382" t="n">
        <f aca="false">'Master Plan'!$H$25+(-13)</f>
        <v>46390</v>
      </c>
      <c r="K112" s="387"/>
      <c r="L112" s="387"/>
      <c r="M112" s="383" t="str">
        <f aca="false">IF('อัปเดตงาน WBS'!$L$1473="","",'อัปเดตงาน WBS'!$L$1473)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Plan'!$H$25+(-13)</f>
        <v>46390</v>
      </c>
      <c r="J113" s="382" t="n">
        <f aca="false">'Master Plan'!$H$25+(-13)</f>
        <v>46390</v>
      </c>
      <c r="K113" s="387"/>
      <c r="L113" s="387"/>
      <c r="M113" s="383" t="str">
        <f aca="false">IF('อัปเดตงาน WBS'!$L$1474="","",'อัปเดตงาน WBS'!$L$1474)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3739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Plan'!$H$25+(-12)</f>
        <v>46391</v>
      </c>
      <c r="J115" s="373" t="n">
        <f aca="false">'Master Plan'!$H$25+(-10)</f>
        <v>46393</v>
      </c>
      <c r="K115" s="78"/>
      <c r="L115" s="78" t="str">
        <f aca="false">IF(ISNUMBER(อัปเดตรายสัปดาห์!$AG$25),อัปเดตรายสัปดาห์!$AG$25,"")</f>
        <v/>
      </c>
      <c r="M115" s="374" t="str">
        <f aca="false">IF(อัปเดตรายสัปดาห์!$AG$25="Y","Y","")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Plan'!$AA$25)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Plan'!$H$25+(-12)</f>
        <v>46391</v>
      </c>
      <c r="J116" s="382" t="n">
        <f aca="false">'Master Plan'!$H$25+(-12)</f>
        <v>46391</v>
      </c>
      <c r="K116" s="387"/>
      <c r="L116" s="387"/>
      <c r="M116" s="383" t="str">
        <f aca="false">IF('อัปเดตงาน WBS'!$L$1475="","",'อัปเดตงาน WBS'!$L$1475)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Plan'!$H$25+(-12)</f>
        <v>46391</v>
      </c>
      <c r="J117" s="382" t="n">
        <f aca="false">'Master Plan'!$H$25+(-11)</f>
        <v>46392</v>
      </c>
      <c r="K117" s="387"/>
      <c r="L117" s="387"/>
      <c r="M117" s="383" t="str">
        <f aca="false">IF('อัปเดตงาน WBS'!$L$1476="","",'อัปเดตงาน WBS'!$L$1476)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Plan'!$H$25+(-11)</f>
        <v>46392</v>
      </c>
      <c r="J118" s="382" t="n">
        <f aca="false">'Master Plan'!$H$25+(-11)</f>
        <v>46392</v>
      </c>
      <c r="K118" s="387"/>
      <c r="L118" s="387"/>
      <c r="M118" s="383" t="str">
        <f aca="false">IF('อัปเดตงาน WBS'!$L$1477="","",'อัปเดตงาน WBS'!$L$1477)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Plan'!$H$25+(-11)</f>
        <v>46392</v>
      </c>
      <c r="J119" s="382" t="n">
        <f aca="false">'Master Plan'!$H$25+(-11)</f>
        <v>46392</v>
      </c>
      <c r="K119" s="387"/>
      <c r="L119" s="387"/>
      <c r="M119" s="383" t="str">
        <f aca="false">IF('อัปเดตงาน WBS'!$L$1478="","",'อัปเดตงาน WBS'!$L$1478)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Plan'!$H$25+(-11)</f>
        <v>46392</v>
      </c>
      <c r="J120" s="382" t="n">
        <f aca="false">'Master Plan'!$H$25+(-10)</f>
        <v>46393</v>
      </c>
      <c r="K120" s="387"/>
      <c r="L120" s="387"/>
      <c r="M120" s="383" t="str">
        <f aca="false">IF('อัปเดตงาน WBS'!$L$1479="","",'อัปเดตงาน WBS'!$L$1479)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Plan'!$H$25+(-11)</f>
        <v>46392</v>
      </c>
      <c r="J121" s="382" t="n">
        <f aca="false">'Master Plan'!$H$25+(-10)</f>
        <v>46393</v>
      </c>
      <c r="K121" s="387"/>
      <c r="L121" s="387"/>
      <c r="M121" s="383" t="str">
        <f aca="false">IF('อัปเดตงาน WBS'!$L$1480="","",'อัปเดตงาน WBS'!$L$1480)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113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Plan'!$H$25+(-10)</f>
        <v>46393</v>
      </c>
      <c r="J122" s="373" t="n">
        <f aca="false">'Master Plan'!$H$25+(-10)</f>
        <v>46393</v>
      </c>
      <c r="K122" s="78"/>
      <c r="L122" s="78" t="str">
        <f aca="false">IF(ISNUMBER(อัปเดตรายสัปดาห์!$AH$25),อัปเดตรายสัปดาห์!$AH$25,"")</f>
        <v/>
      </c>
      <c r="M122" s="374" t="str">
        <f aca="false">IF(อัปเดตรายสัปดาห์!$AH$25="Y","Y","")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Plan'!$Z$25)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113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Plan'!$H$25+(-12)</f>
        <v>46391</v>
      </c>
      <c r="J123" s="373" t="n">
        <f aca="false">'Master Plan'!$H$25+(-8)</f>
        <v>46395</v>
      </c>
      <c r="K123" s="78" t="str">
        <f aca="false">IF(ISNUMBER(อัปเดตรายสัปดาห์!$AI$25),อัปเดตรายสัปดาห์!$AI$25,"")</f>
        <v/>
      </c>
      <c r="L123" s="78" t="str">
        <f aca="false">IF(ISNUMBER(อัปเดตรายสัปดาห์!$AJ$25),อัปเดตรายสัปดาห์!$AJ$25,"")</f>
        <v/>
      </c>
      <c r="M123" s="374" t="str">
        <f aca="false">IF(อัปเดตรายสัปดาห์!$AJ$25="Y","Y","")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113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Plan'!$H$25+(37)</f>
        <v>46440</v>
      </c>
      <c r="J124" s="373" t="n">
        <f aca="false">'Master Plan'!$H$25+(50)</f>
        <v>46453</v>
      </c>
      <c r="K124" s="78"/>
      <c r="L124" s="78" t="str">
        <f aca="false">IF(ISNUMBER(อัปเดตรายสัปดาห์!$AK$25),อัปเดตรายสัปดาห์!$AK$25,"")</f>
        <v/>
      </c>
      <c r="M124" s="374" t="str">
        <f aca="false">IF(อัปเดตรายสัปดาห์!$AK$25="Y","Y","")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Plan'!$H$25+(37)</f>
        <v>46440</v>
      </c>
      <c r="J125" s="382" t="n">
        <f aca="false">'Master Plan'!$H$25+(41)</f>
        <v>46444</v>
      </c>
      <c r="K125" s="387"/>
      <c r="L125" s="387"/>
      <c r="M125" s="383" t="str">
        <f aca="false">IF('อัปเดตงาน WBS'!$L$1481="","",'อัปเดตงาน WBS'!$L$1481)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Plan'!$H$25+(40)</f>
        <v>46443</v>
      </c>
      <c r="J126" s="382" t="n">
        <f aca="false">'Master Plan'!$H$25+(47)</f>
        <v>46450</v>
      </c>
      <c r="K126" s="387"/>
      <c r="L126" s="387"/>
      <c r="M126" s="383" t="str">
        <f aca="false">IF('อัปเดตงาน WBS'!$L$1482="","",'อัปเดตงาน WBS'!$L$1482)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Plan'!$H$25+(47)</f>
        <v>46450</v>
      </c>
      <c r="J127" s="382" t="n">
        <f aca="false">'Master Plan'!$H$25+(50)</f>
        <v>46453</v>
      </c>
      <c r="K127" s="387"/>
      <c r="L127" s="387"/>
      <c r="M127" s="383" t="str">
        <f aca="false">IF('อัปเดตงาน WBS'!$L$1483="","",'อัปเดตงาน WBS'!$L$1483)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3739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Plan'!$H$25+(0)</f>
        <v>46403</v>
      </c>
      <c r="J128" s="373" t="n">
        <f aca="false">'Master Plan'!$H$25+(0)</f>
        <v>46403</v>
      </c>
      <c r="K128" s="78"/>
      <c r="L128" s="78" t="str">
        <f aca="false">IF(ISNUMBER(อัปเดตรายสัปดาห์!$AL$25),อัปเดตรายสัปดาห์!$AL$25,"")</f>
        <v/>
      </c>
      <c r="M128" s="374" t="str">
        <f aca="false">IF(อัปเดตรายสัปดาห์!$AL$25="Y","Y","")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Plan'!$AB$25)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Plan'!$H$25+(0)</f>
        <v>46403</v>
      </c>
      <c r="J129" s="373" t="n">
        <f aca="false">'Master Plan'!$H$25+(0)</f>
        <v>46403</v>
      </c>
      <c r="K129" s="78"/>
      <c r="L129" s="78" t="str">
        <f aca="false">IF(ISNUMBER(อัปเดตรายสัปดาห์!$AM$25),อัปเดตรายสัปดาห์!$AM$25,"")</f>
        <v/>
      </c>
      <c r="M129" s="374" t="str">
        <f aca="false">IF(อัปเดตรายสัปดาห์!$AM$25="Y","Y","")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Plan'!$H$25+(0)</f>
        <v>46403</v>
      </c>
      <c r="J130" s="373" t="n">
        <f aca="false">'Master Plan'!$H$25+(0)</f>
        <v>46403</v>
      </c>
      <c r="K130" s="78"/>
      <c r="L130" s="78" t="str">
        <f aca="false">IF(ISNUMBER(อัปเดตรายสัปดาห์!$AN$25),อัปเดตรายสัปดาห์!$AN$25,"")</f>
        <v/>
      </c>
      <c r="M130" s="374" t="str">
        <f aca="false">IF(อัปเดตรายสัปดาห์!$AN$25="Y","Y","")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113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Plan'!$H$25+(34)</f>
        <v>46437</v>
      </c>
      <c r="J131" s="373" t="n">
        <f aca="false">'Master Plan'!$H$25+(36)</f>
        <v>46439</v>
      </c>
      <c r="K131" s="78"/>
      <c r="L131" s="78" t="str">
        <f aca="false">IF(ISNUMBER(อัปเดตรายสัปดาห์!$AO$25),อัปเดตรายสัปดาห์!$AO$25,"")</f>
        <v/>
      </c>
      <c r="M131" s="374" t="str">
        <f aca="false">IF(อัปเดตรายสัปดาห์!$AO$25="Y","Y","")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SUMPRODUCT((SITE_ST="P9-018")*(SITE_TYPE=$B136)*(SITE_TYPE&lt;&gt;""))</f>
        <v>0</v>
      </c>
      <c r="E136" s="397" t="n">
        <f aca="false">SUMPRODUCT((SITE_ST="P9-018")*(SITE_TYPE=$B136)*SITE_MOD)</f>
        <v>0</v>
      </c>
      <c r="I136" s="398" t="n">
        <f aca="false">SUMPRODUCT((SITE_ST="P9-018")*(SITE_TYPE=$B136)*SITE_KWP)</f>
        <v>0</v>
      </c>
      <c r="J136" s="35" t="str">
        <f aca="false">IF(SUMPRODUCT((SITE_ST="P9-018")*(SITE_TYPE=$B136)*(SITE_TYPE&lt;&gt;""))=0,"",SUMPRODUCT((SITE_ST="P9-018")*(SITE_TYPE=$B136)*SITE_S21*SITE_D21)/MAX(0.0001,SUMPRODUCT((SITE_ST="P9-018")*(SITE_TYPE=$B136)*SITE_S21)))</f>
        <v/>
      </c>
      <c r="K136" s="32" t="str">
        <f aca="false">IF(SUMPRODUCT((SITE_ST="P9-018")*(SITE_TYPE=$B136)*(SITE_TYPE&lt;&gt;""))=0,"",SUMPRODUCT((SITE_ST="P9-018")*(SITE_TYPE=$B136)*(SITE_TYPE&lt;&gt;"")*(SITE_T22="Y"))&amp;"/"&amp;SUMPRODUCT((SITE_ST="P9-018")*(SITE_TYPE=$B136)*(SITE_TYPE&lt;&gt;"")))</f>
        <v/>
      </c>
      <c r="L136" s="32" t="str">
        <f aca="false">IF(SUMPRODUCT((SITE_ST="P9-018")*(SITE_TYPE=$B136)*(SITE_TYPE&lt;&gt;""))=0,"",SUMPRODUCT((SITE_ST="P9-018")*(SITE_TYPE=$B136)*(SITE_TYPE&lt;&gt;"")*(SITE_T23="Y"))&amp;"/"&amp;SUMPRODUCT((SITE_ST="P9-018")*(SITE_TYPE=$B136)*(SITE_TYPE&lt;&gt;"")))</f>
        <v/>
      </c>
      <c r="O136" s="32" t="str">
        <f aca="false">IF(SUMPRODUCT((SITE_ST="P9-018")*(SITE_TYPE=$B136)*(LEFT(SITE_LAD,4)="ติด:"))=0,"",SUMPRODUCT((SITE_ST="P9-018")*(SITE_TYPE=$B136)*(LEFT(SITE_LAD,4)="ติด:"))&amp;"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SUMPRODUCT((SITE_ST="P9-018")*(SITE_TYPE=$B137)*(SITE_TYPE&lt;&gt;""))</f>
        <v>0</v>
      </c>
      <c r="E137" s="397" t="n">
        <f aca="false">SUMPRODUCT((SITE_ST="P9-018")*(SITE_TYPE=$B137)*SITE_MOD)</f>
        <v>0</v>
      </c>
      <c r="I137" s="398" t="n">
        <f aca="false">SUMPRODUCT((SITE_ST="P9-018")*(SITE_TYPE=$B137)*SITE_KWP)</f>
        <v>0</v>
      </c>
      <c r="J137" s="35" t="str">
        <f aca="false">IF(SUMPRODUCT((SITE_ST="P9-018")*(SITE_TYPE=$B137)*(SITE_TYPE&lt;&gt;""))=0,"",SUMPRODUCT((SITE_ST="P9-018")*(SITE_TYPE=$B137)*SITE_S21*SITE_D21)/MAX(0.0001,SUMPRODUCT((SITE_ST="P9-018")*(SITE_TYPE=$B137)*SITE_S21)))</f>
        <v/>
      </c>
      <c r="K137" s="32" t="str">
        <f aca="false">IF(SUMPRODUCT((SITE_ST="P9-018")*(SITE_TYPE=$B137)*(SITE_TYPE&lt;&gt;""))=0,"",SUMPRODUCT((SITE_ST="P9-018")*(SITE_TYPE=$B137)*(SITE_TYPE&lt;&gt;"")*(SITE_T22="Y"))&amp;"/"&amp;SUMPRODUCT((SITE_ST="P9-018")*(SITE_TYPE=$B137)*(SITE_TYPE&lt;&gt;"")))</f>
        <v/>
      </c>
      <c r="L137" s="32" t="str">
        <f aca="false">IF(SUMPRODUCT((SITE_ST="P9-018")*(SITE_TYPE=$B137)*(SITE_TYPE&lt;&gt;""))=0,"",SUMPRODUCT((SITE_ST="P9-018")*(SITE_TYPE=$B137)*(SITE_TYPE&lt;&gt;"")*(SITE_T23="Y"))&amp;"/"&amp;SUMPRODUCT((SITE_ST="P9-018")*(SITE_TYPE=$B137)*(SITE_TYPE&lt;&gt;"")))</f>
        <v/>
      </c>
      <c r="O137" s="32" t="str">
        <f aca="false">IF(SUMPRODUCT((SITE_ST="P9-018")*(SITE_TYPE=$B137)*(LEFT(SITE_LAD,4)="ติด:"))=0,"",SUMPRODUCT((SITE_ST="P9-018")*(SITE_TYPE=$B137)*(LEFT(SITE_LAD,4)="ติด:"))&amp;"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SUMPRODUCT((SITE_ST="P9-018")*(SITE_TYPE=$B138)*(SITE_TYPE&lt;&gt;""))</f>
        <v>0</v>
      </c>
      <c r="E138" s="397" t="n">
        <f aca="false">SUMPRODUCT((SITE_ST="P9-018")*(SITE_TYPE=$B138)*SITE_MOD)</f>
        <v>0</v>
      </c>
      <c r="I138" s="398" t="n">
        <f aca="false">SUMPRODUCT((SITE_ST="P9-018")*(SITE_TYPE=$B138)*SITE_KWP)</f>
        <v>0</v>
      </c>
      <c r="J138" s="35" t="str">
        <f aca="false">IF(SUMPRODUCT((SITE_ST="P9-018")*(SITE_TYPE=$B138)*(SITE_TYPE&lt;&gt;""))=0,"",SUMPRODUCT((SITE_ST="P9-018")*(SITE_TYPE=$B138)*SITE_S21*SITE_D21)/MAX(0.0001,SUMPRODUCT((SITE_ST="P9-018")*(SITE_TYPE=$B138)*SITE_S21)))</f>
        <v/>
      </c>
      <c r="K138" s="32" t="str">
        <f aca="false">IF(SUMPRODUCT((SITE_ST="P9-018")*(SITE_TYPE=$B138)*(SITE_TYPE&lt;&gt;""))=0,"",SUMPRODUCT((SITE_ST="P9-018")*(SITE_TYPE=$B138)*(SITE_TYPE&lt;&gt;"")*(SITE_T22="Y"))&amp;"/"&amp;SUMPRODUCT((SITE_ST="P9-018")*(SITE_TYPE=$B138)*(SITE_TYPE&lt;&gt;"")))</f>
        <v/>
      </c>
      <c r="L138" s="32" t="str">
        <f aca="false">IF(SUMPRODUCT((SITE_ST="P9-018")*(SITE_TYPE=$B138)*(SITE_TYPE&lt;&gt;""))=0,"",SUMPRODUCT((SITE_ST="P9-018")*(SITE_TYPE=$B138)*(SITE_TYPE&lt;&gt;"")*(SITE_T23="Y"))&amp;"/"&amp;SUMPRODUCT((SITE_ST="P9-018")*(SITE_TYPE=$B138)*(SITE_TYPE&lt;&gt;"")))</f>
        <v/>
      </c>
      <c r="O138" s="32" t="str">
        <f aca="false">IF(SUMPRODUCT((SITE_ST="P9-018")*(SITE_TYPE=$B138)*(LEFT(SITE_LAD,4)="ติด:"))=0,"",SUMPRODUCT((SITE_ST="P9-018")*(SITE_TYPE=$B138)*(LEFT(SITE_LAD,4)="ติด:"))&amp;"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SUMPRODUCT((SITE_ST="P9-018")*(SITE_TYPE=$B139)*(SITE_TYPE&lt;&gt;""))</f>
        <v>0</v>
      </c>
      <c r="E139" s="397" t="n">
        <f aca="false">SUMPRODUCT((SITE_ST="P9-018")*(SITE_TYPE=$B139)*SITE_MOD)</f>
        <v>0</v>
      </c>
      <c r="I139" s="398" t="n">
        <f aca="false">SUMPRODUCT((SITE_ST="P9-018")*(SITE_TYPE=$B139)*SITE_KWP)</f>
        <v>0</v>
      </c>
      <c r="J139" s="35" t="str">
        <f aca="false">IF(SUMPRODUCT((SITE_ST="P9-018")*(SITE_TYPE=$B139)*(SITE_TYPE&lt;&gt;""))=0,"",SUMPRODUCT((SITE_ST="P9-018")*(SITE_TYPE=$B139)*SITE_S21*SITE_D21)/MAX(0.0001,SUMPRODUCT((SITE_ST="P9-018")*(SITE_TYPE=$B139)*SITE_S21)))</f>
        <v/>
      </c>
      <c r="K139" s="32" t="str">
        <f aca="false">IF(SUMPRODUCT((SITE_ST="P9-018")*(SITE_TYPE=$B139)*(SITE_TYPE&lt;&gt;""))=0,"",SUMPRODUCT((SITE_ST="P9-018")*(SITE_TYPE=$B139)*(SITE_TYPE&lt;&gt;"")*(SITE_T22="Y"))&amp;"/"&amp;SUMPRODUCT((SITE_ST="P9-018")*(SITE_TYPE=$B139)*(SITE_TYPE&lt;&gt;"")))</f>
        <v/>
      </c>
      <c r="L139" s="32" t="str">
        <f aca="false">IF(SUMPRODUCT((SITE_ST="P9-018")*(SITE_TYPE=$B139)*(SITE_TYPE&lt;&gt;""))=0,"",SUMPRODUCT((SITE_ST="P9-018")*(SITE_TYPE=$B139)*(SITE_TYPE&lt;&gt;"")*(SITE_T23="Y"))&amp;"/"&amp;SUMPRODUCT((SITE_ST="P9-018")*(SITE_TYPE=$B139)*(SITE_TYPE&lt;&gt;"")))</f>
        <v/>
      </c>
      <c r="O139" s="32" t="str">
        <f aca="false">IF(SUMPRODUCT((SITE_ST="P9-018")*(SITE_TYPE=$B139)*(LEFT(SITE_LAD,4)="ติด:"))=0,"",SUMPRODUCT((SITE_ST="P9-018")*(SITE_TYPE=$B139)*(LEFT(SITE_LAD,4)="ติด:"))&amp;"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SUMPRODUCT((SITE_ST="P9-018")*(SITE_TYPE=$B140)*(SITE_TYPE&lt;&gt;""))</f>
        <v>0</v>
      </c>
      <c r="E140" s="397" t="n">
        <f aca="false">SUMPRODUCT((SITE_ST="P9-018")*(SITE_TYPE=$B140)*SITE_MOD)</f>
        <v>0</v>
      </c>
      <c r="I140" s="398" t="n">
        <f aca="false">SUMPRODUCT((SITE_ST="P9-018")*(SITE_TYPE=$B140)*SITE_KWP)</f>
        <v>0</v>
      </c>
      <c r="J140" s="35" t="str">
        <f aca="false">IF(SUMPRODUCT((SITE_ST="P9-018")*(SITE_TYPE=$B140)*(SITE_TYPE&lt;&gt;""))=0,"",SUMPRODUCT((SITE_ST="P9-018")*(SITE_TYPE=$B140)*SITE_S21*SITE_D21)/MAX(0.0001,SUMPRODUCT((SITE_ST="P9-018")*(SITE_TYPE=$B140)*SITE_S21)))</f>
        <v/>
      </c>
      <c r="K140" s="32" t="str">
        <f aca="false">IF(SUMPRODUCT((SITE_ST="P9-018")*(SITE_TYPE=$B140)*(SITE_TYPE&lt;&gt;""))=0,"",SUMPRODUCT((SITE_ST="P9-018")*(SITE_TYPE=$B140)*(SITE_TYPE&lt;&gt;"")*(SITE_T22="Y"))&amp;"/"&amp;SUMPRODUCT((SITE_ST="P9-018")*(SITE_TYPE=$B140)*(SITE_TYPE&lt;&gt;"")))</f>
        <v/>
      </c>
      <c r="L140" s="32" t="str">
        <f aca="false">IF(SUMPRODUCT((SITE_ST="P9-018")*(SITE_TYPE=$B140)*(SITE_TYPE&lt;&gt;""))=0,"",SUMPRODUCT((SITE_ST="P9-018")*(SITE_TYPE=$B140)*(SITE_TYPE&lt;&gt;"")*(SITE_T23="Y"))&amp;"/"&amp;SUMPRODUCT((SITE_ST="P9-018")*(SITE_TYPE=$B140)*(SITE_TYPE&lt;&gt;"")))</f>
        <v/>
      </c>
      <c r="O140" s="32" t="str">
        <f aca="false">IF(SUMPRODUCT((SITE_ST="P9-018")*(SITE_TYPE=$B140)*(LEFT(SITE_LAD,4)="ติด:"))=0,"",SUMPRODUCT((SITE_ST="P9-018")*(SITE_TYPE=$B140)*(LEFT(SITE_LAD,4)="ติด:"))&amp;"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SUMPRODUCT((SITE_ST="P9-018")*(SITE_TYPE=$B141)*(SITE_TYPE&lt;&gt;""))</f>
        <v>1</v>
      </c>
      <c r="E141" s="397" t="n">
        <f aca="false">SUMPRODUCT((SITE_ST="P9-018")*(SITE_TYPE=$B141)*SITE_MOD)</f>
        <v>492</v>
      </c>
      <c r="I141" s="398" t="n">
        <f aca="false">SUMPRODUCT((SITE_ST="P9-018")*(SITE_TYPE=$B141)*SITE_KWP)</f>
        <v>280.44</v>
      </c>
      <c r="J141" s="35" t="n">
        <f aca="false">IF(SUMPRODUCT((SITE_ST="P9-018")*(SITE_TYPE=$B141)*(SITE_TYPE&lt;&gt;""))=0,"",SUMPRODUCT((SITE_ST="P9-018")*(SITE_TYPE=$B141)*SITE_S21*SITE_D21)/MAX(0.0001,SUMPRODUCT((SITE_ST="P9-018")*(SITE_TYPE=$B141)*SITE_S21)))</f>
        <v>0</v>
      </c>
      <c r="K141" s="32" t="str">
        <f aca="false">IF(SUMPRODUCT((SITE_ST="P9-018")*(SITE_TYPE=$B141)*(SITE_TYPE&lt;&gt;""))=0,"",SUMPRODUCT((SITE_ST="P9-018")*(SITE_TYPE=$B141)*(SITE_TYPE&lt;&gt;"")*(SITE_T22="Y"))&amp;"/"&amp;SUMPRODUCT((SITE_ST="P9-018")*(SITE_TYPE=$B141)*(SITE_TYPE&lt;&gt;"")))</f>
        <v>0/1</v>
      </c>
      <c r="L141" s="32" t="str">
        <f aca="false">IF(SUMPRODUCT((SITE_ST="P9-018")*(SITE_TYPE=$B141)*(SITE_TYPE&lt;&gt;""))=0,"",SUMPRODUCT((SITE_ST="P9-018")*(SITE_TYPE=$B141)*(SITE_TYPE&lt;&gt;"")*(SITE_T23="Y"))&amp;"/"&amp;SUMPRODUCT((SITE_ST="P9-018")*(SITE_TYPE=$B141)*(SITE_TYPE&lt;&gt;"")))</f>
        <v>0/1</v>
      </c>
      <c r="O141" s="32" t="str">
        <f aca="false">IF(SUMPRODUCT((SITE_ST="P9-018")*(SITE_TYPE=$B141)*(LEFT(SITE_LAD,4)="ติด:"))=0,"",SUMPRODUCT((SITE_ST="P9-018")*(SITE_TYPE=$B141)*(LEFT(SITE_LAD,4)="ติด:"))&amp;"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SUMPRODUCT((SITE_ST="P9-018")*(SITE_TYPE&lt;&gt;""))</f>
        <v>1</v>
      </c>
      <c r="E142" s="403" t="n">
        <f aca="false">SUMPRODUCT((SITE_ST="P9-018")*SITE_MOD)</f>
        <v>492</v>
      </c>
      <c r="I142" s="404" t="n">
        <f aca="false">SUMPRODUCT((SITE_ST="P9-018")*SITE_KWP)</f>
        <v>280.44</v>
      </c>
      <c r="J142" s="405" t="n">
        <f aca="false">IF(SUMPRODUCT((SITE_ST="P9-018")*(SITE_TYPE&lt;&gt;""))=0,"",SUMPRODUCT((SITE_ST="P9-018")*SITE_S21*SITE_D21)/MAX(0.0001,SUMPRODUCT((SITE_ST="P9-018")*SITE_S21)))</f>
        <v>0</v>
      </c>
      <c r="K142" s="406" t="str">
        <f aca="false">IF(SUMPRODUCT((SITE_ST="P9-018")*(SITE_TYPE&lt;&gt;""))=0,"",SUMPRODUCT((SITE_ST="P9-018")*(SITE_TYPE&lt;&gt;"")*(SITE_T22="Y"))&amp;"/"&amp;SUMPRODUCT((SITE_ST="P9-018")*(SITE_TYPE&lt;&gt;"")))</f>
        <v>0/1</v>
      </c>
      <c r="L142" s="406" t="str">
        <f aca="false">IF(SUMPRODUCT((SITE_ST="P9-018")*(SITE_TYPE&lt;&gt;""))=0,"",SUMPRODUCT((SITE_ST="P9-018")*(SITE_TYPE&lt;&gt;"")*(SITE_T23="Y"))&amp;"/"&amp;SUMPRODUCT((SITE_ST="P9-018")*(SITE_TYPE&lt;&gt;"")))</f>
        <v>0/1</v>
      </c>
      <c r="O142" s="406" t="str">
        <f aca="false">IF(SUMPRODUCT((SITE_ST="P9-018")*(LEFT(SITE_LAD,4)="ติด:"))=0,"",SUMPRODUCT((SITE_ST="P9-018")*(LEFT(SITE_LAD,4)="ติด:"))&amp;"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IFERROR(INDEX(INVS_TYPE,MATCH("P9-018",INVS_ID,0))&amp;"","")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ทั้งก้อน",IFERROR(INDEX(INVS_SET,MATCH("P9-018",INVS_ID,0)),"")&amp;" kW, โรงเรือน "&amp;IFERROR(INDEX(INVS_SIZE,MATCH("P9-018",INVS_ID,0)),"")&amp;",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5" display="✎ กรอกความคืบหน้า"/>
    <hyperlink ref="R4" location="'Master Plan'!A25" display="← กลับ Master Plan"/>
    <hyperlink ref="M10" location="'อัปเดตงาน WBS'!L14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0"/>
    <hyperlink ref="M11" location="'อัปเดตงาน WBS'!L14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1"/>
    <hyperlink ref="M12" location="'อัปเดตงาน WBS'!L14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2"/>
    <hyperlink ref="M13" location="'อัปเดตงาน WBS'!L14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3"/>
    <hyperlink ref="M14" location="'อัปเดตงาน WBS'!L14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4"/>
    <hyperlink ref="M15" location="'อัปเดตงาน WBS'!L14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5"/>
    <hyperlink ref="M17" location="'อัปเดตงาน WBS'!L14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6"/>
    <hyperlink ref="M18" location="'อัปเดตงาน WBS'!L14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7"/>
    <hyperlink ref="M19" location="'อัปเดตงาน WBS'!L14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8"/>
    <hyperlink ref="M20" location="'อัปเดตงาน WBS'!L14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09"/>
    <hyperlink ref="M21" location="'อัปเดตงาน WBS'!L14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0"/>
    <hyperlink ref="M22" location="'อัปเดตงาน WBS'!L14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1"/>
    <hyperlink ref="M23" location="'อัปเดตงาน WBS'!L14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2"/>
    <hyperlink ref="M24" location="'อัปเดตงาน WBS'!L14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3"/>
    <hyperlink ref="M26" location="'อัปเดตงาน WBS'!L14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4"/>
    <hyperlink ref="M27" location="'อัปเดตงาน WBS'!L14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5"/>
    <hyperlink ref="M28" location="'อัปเดตงาน WBS'!L14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6"/>
    <hyperlink ref="M31" location="'อัปเดตงาน WBS'!L14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7"/>
    <hyperlink ref="M32" location="'อัปเดตงาน WBS'!L14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8"/>
    <hyperlink ref="M33" location="'อัปเดตงาน WBS'!L14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19"/>
    <hyperlink ref="M35" location="'อัปเดตงาน WBS'!L14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0"/>
    <hyperlink ref="M36" location="'อัปเดตงาน WBS'!L14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1"/>
    <hyperlink ref="M37" location="'อัปเดตงาน WBS'!L14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2"/>
    <hyperlink ref="M38" location="'อัปเดตงาน WBS'!L14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3"/>
    <hyperlink ref="M40" location="'อัปเดตงาน WBS'!L14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4"/>
    <hyperlink ref="M41" location="'อัปเดตงาน WBS'!L14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5"/>
    <hyperlink ref="M42" location="'อัปเดตงาน WBS'!L14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6"/>
    <hyperlink ref="M44" location="'อัปเดตงาน WBS'!L14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7"/>
    <hyperlink ref="M45" location="'อัปเดตงาน WBS'!L14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8"/>
    <hyperlink ref="M46" location="'อัปเดตงาน WBS'!L14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29"/>
    <hyperlink ref="M48" location="'อัปเดตงาน WBS'!L14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0"/>
    <hyperlink ref="M49" location="'อัปเดตงาน WBS'!L14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1"/>
    <hyperlink ref="M51" location="'อัปเดตงาน WBS'!L14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2"/>
    <hyperlink ref="M53" location="'อัปเดตงาน WBS'!L14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3"/>
    <hyperlink ref="M54" location="'อัปเดตงาน WBS'!L14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4"/>
    <hyperlink ref="M63" location="'อัปเดตงาน WBS'!L14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5"/>
    <hyperlink ref="M64" location="'อัปเดตงาน WBS'!L14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6"/>
    <hyperlink ref="M65" location="'อัปเดตงาน WBS'!L14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7"/>
    <hyperlink ref="M66" location="'อัปเดตงาน WBS'!L14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8"/>
    <hyperlink ref="M67" location="'อัปเดตงาน WBS'!L14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39"/>
    <hyperlink ref="M68" location="'อัปเดตงาน WBS'!L14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0"/>
    <hyperlink ref="M69" location="'อัปเดตงาน WBS'!L14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1"/>
    <hyperlink ref="M71" location="'อัปเดตงาน WBS'!L14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2"/>
    <hyperlink ref="M72" location="'อัปเดตงาน WBS'!L14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3"/>
    <hyperlink ref="M73" location="'อัปเดตงาน WBS'!L14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4"/>
    <hyperlink ref="M74" location="'อัปเดตงาน WBS'!L14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5"/>
    <hyperlink ref="M75" location="'อัปเดตงาน WBS'!L14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6"/>
    <hyperlink ref="M77" location="'อัปเดตงาน WBS'!L14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7"/>
    <hyperlink ref="M78" location="'อัปเดตงาน WBS'!L14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8"/>
    <hyperlink ref="M79" location="'อัปเดตงาน WBS'!L14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49"/>
    <hyperlink ref="M80" location="'อัปเดตงาน WBS'!L14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0"/>
    <hyperlink ref="M81" location="'อัปเดตงาน WBS'!L14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1"/>
    <hyperlink ref="M83" location="'อัปเดตงาน WBS'!L14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2"/>
    <hyperlink ref="M84" location="'อัปเดตงาน WBS'!L14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3"/>
    <hyperlink ref="M86" location="'อัปเดตงาน WBS'!L14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4"/>
    <hyperlink ref="M87" location="'อัปเดตงาน WBS'!L14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5"/>
    <hyperlink ref="M88" location="'อัปเดตงาน WBS'!L14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6"/>
    <hyperlink ref="M89" location="'อัปเดตงาน WBS'!L14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7"/>
    <hyperlink ref="M91" location="'อัปเดตงาน WBS'!L14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8"/>
    <hyperlink ref="M92" location="'อัปเดตงาน WBS'!L14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59"/>
    <hyperlink ref="M93" location="'อัปเดตงาน WBS'!L14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0"/>
    <hyperlink ref="M94" location="'อัปเดตงาน WBS'!L14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1"/>
    <hyperlink ref="M95" location="'อัปเดตงาน WBS'!L14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2"/>
    <hyperlink ref="M97" location="'อัปเดตงาน WBS'!L14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3"/>
    <hyperlink ref="M98" location="'อัปเดตงาน WBS'!L14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4"/>
    <hyperlink ref="M99" location="'อัปเดตงาน WBS'!L14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5"/>
    <hyperlink ref="M102" location="'อัปเดตงาน WBS'!L14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6"/>
    <hyperlink ref="M104" location="'อัปเดตงาน WBS'!L14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7"/>
    <hyperlink ref="M105" location="'อัปเดตงาน WBS'!L14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8"/>
    <hyperlink ref="M106" location="'อัปเดตงาน WBS'!L14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69"/>
    <hyperlink ref="M108" location="'อัปเดตงาน WBS'!L14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0"/>
    <hyperlink ref="M109" location="'อัปเดตงาน WBS'!L14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1"/>
    <hyperlink ref="M110" location="'อัปเดตงาน WBS'!L14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2"/>
    <hyperlink ref="M112" location="'อัปเดตงาน WBS'!L14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3"/>
    <hyperlink ref="M113" location="'อัปเดตงาน WBS'!L14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4"/>
    <hyperlink ref="M116" location="'อัปเดตงาน WBS'!L14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5"/>
    <hyperlink ref="M117" location="'อัปเดตงาน WBS'!L14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6"/>
    <hyperlink ref="M118" location="'อัปเดตงาน WBS'!L14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7"/>
    <hyperlink ref="M119" location="'อัปเดตงาน WBS'!L14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8"/>
    <hyperlink ref="M120" location="'อัปเดตงาน WBS'!L14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79"/>
    <hyperlink ref="M121" location="'อัปเดตงาน WBS'!L14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0"/>
    <hyperlink ref="M125" location="'อัปเดตงาน WBS'!L14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1"/>
    <hyperlink ref="M126" location="'อัปเดตงาน WBS'!L14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2"/>
    <hyperlink ref="M127" location="'อัปเดตงาน WBS'!L14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3"/>
    <hyperlink ref="D134" location="'จุดติดตั้ง'!A92" display="✎ เพิ่ม / แก้จุดติดตั้ง →"/>
    <hyperlink ref="D146" location="'Inverter station'!A23" display="file:///home/claude/dash/template/%E0%B9%81%E0%B8%A1%E0%B9%88%E0%B9%81%E0%B8%9A%E0%B8%9A%E0%B9%82%E0%B8%84%E0%B8%A3%E0%B8%87%E0%B8%81%E0%B8%B2%E0%B8%A3%20TCRoof%20(%E0%B8%97%E0%B8%B8%E0%B8%81%E0%B8%81%E0%B8%A3%E0%B8%93%E0%B8%B5).xlsx#'Inverter station'!A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3740</v>
      </c>
    </row>
    <row r="2" customFormat="false" ht="15" hidden="false" customHeight="false" outlineLevel="0" collapsed="false">
      <c r="A2" s="354" t="s">
        <v>3741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Plan'!$AI$26</f>
        <v>-36</v>
      </c>
      <c r="M4" s="360"/>
      <c r="N4" s="360" t="n">
        <f aca="false">'Master Plan'!$AJ$26</f>
        <v>-3</v>
      </c>
      <c r="O4" s="360"/>
      <c r="P4" s="361" t="str">
        <f aca="false">'Master Plan'!$AK$26&amp;" / "&amp;'Master Plan'!$AL$26</f>
        <v>0 / 7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COUNTIFS(CR_ST,"P9-019",CR_STAT,"อนุมัติ")&amp;" รายการ, "&amp;'Master Plan'!$AO$26&amp;" วัน"</f>
        <v>0 รายการ, 0 วัน</v>
      </c>
      <c r="AG4" s="362"/>
      <c r="AH4" s="362"/>
      <c r="AI4" s="362"/>
      <c r="AJ4" s="362"/>
      <c r="AK4" s="363" t="n">
        <f aca="false">COUNTIFS(CR_ST,"P9-019",CR_STAT,"รออนุมัติ")+COUNTIFS(CR_ST,"P9-019",CR_STAT,"ขอข้อมูลเพิ่ม")</f>
        <v>0</v>
      </c>
      <c r="AL4" s="363"/>
      <c r="AM4" s="363"/>
      <c r="AN4" s="363"/>
      <c r="AO4" s="363"/>
      <c r="AP4" s="362" t="str">
        <f aca="false">COUNTIF(RW_ST,"P9-019")&amp;" ("&amp;COUNTIFS(RW_ST,"P9-019",RW_DONE,"&lt;&gt;Y")&amp;")"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362"/>
      <c r="AW4" s="362"/>
      <c r="AX4" s="362"/>
      <c r="AY4" s="362"/>
      <c r="AZ4" s="363" t="n">
        <f aca="false">COUNTIF(LL_ST,"*P9-019*")</f>
        <v>0</v>
      </c>
      <c r="BA4" s="363"/>
      <c r="BB4" s="363"/>
      <c r="BC4" s="363"/>
      <c r="BD4" s="363"/>
      <c r="BE4" s="362" t="str">
        <f aca="false">IF(COUNTIFS(SITE_ST,"P9-019",SITE_TYPE,"?*")=0,"ประมาณการ,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IF(COUNTIFS(SITE_ST,"P9-019",SITE_TYPE,"?*")=0,"ยังไม่ระบุจุด",COUNTIFS(SITE_ST,"P9-019",SITE_LAD,"ติด:*")&amp;" จุด"&amp;IF(COUNTIFS(SITE_ST,"P9-019",SITE_LAD,"⚠*")&gt;0,",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3742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117</v>
      </c>
      <c r="E9" s="372" t="n">
        <v>0</v>
      </c>
      <c r="F9" s="31"/>
      <c r="G9" s="32"/>
      <c r="H9" s="32" t="n">
        <v>1</v>
      </c>
      <c r="I9" s="373" t="n">
        <f aca="false">'Master Plan'!$H$26+(-75)</f>
        <v>46328</v>
      </c>
      <c r="J9" s="373" t="n">
        <f aca="false">'Master Plan'!$H$26+(50)</f>
        <v>46453</v>
      </c>
      <c r="K9" s="78"/>
      <c r="L9" s="78" t="str">
        <f aca="false">IF(ISNUMBER(อัปเดตรายสัปดาห์!$G$26),อัปเดตรายสัปดาห์!$G$26,"")</f>
        <v/>
      </c>
      <c r="M9" s="374" t="str">
        <f aca="false">IF(อัปเดตรายสัปดาห์!$G$26="Y","Y","")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Plan'!$H$26+(-75)</f>
        <v>46328</v>
      </c>
      <c r="J10" s="382" t="n">
        <f aca="false">'Master Plan'!$H$26+(-63)</f>
        <v>46340</v>
      </c>
      <c r="K10" s="387"/>
      <c r="L10" s="387"/>
      <c r="M10" s="383" t="str">
        <f aca="false">IF('อัปเดตงาน WBS'!$L$1484="","",'อัปเดตงาน WBS'!$L$1484)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Plan'!$H$26+(-75)</f>
        <v>46328</v>
      </c>
      <c r="J11" s="382" t="n">
        <f aca="false">'Master Plan'!$H$26+(-63)</f>
        <v>46340</v>
      </c>
      <c r="K11" s="387"/>
      <c r="L11" s="387"/>
      <c r="M11" s="383" t="str">
        <f aca="false">IF('อัปเดตงาน WBS'!$L$1485="","",'อัปเดตงาน WBS'!$L$1485)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Plan'!$H$26+(-75)</f>
        <v>46328</v>
      </c>
      <c r="J12" s="382" t="n">
        <f aca="false">'Master Plan'!$H$26+(-63)</f>
        <v>46340</v>
      </c>
      <c r="K12" s="387"/>
      <c r="L12" s="387"/>
      <c r="M12" s="383" t="str">
        <f aca="false">IF('อัปเดตงาน WBS'!$L$1486="","",'อัปเดตงาน WBS'!$L$1486)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Plan'!$H$26+(-75)</f>
        <v>46328</v>
      </c>
      <c r="J13" s="382" t="n">
        <f aca="false">'Master Plan'!$H$26+(-56)</f>
        <v>46347</v>
      </c>
      <c r="K13" s="387"/>
      <c r="L13" s="387"/>
      <c r="M13" s="383" t="str">
        <f aca="false">IF('อัปเดตงาน WBS'!$L$1487="","",'อัปเดตงาน WBS'!$L$1487)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Plan'!$H$26+(-63)</f>
        <v>46340</v>
      </c>
      <c r="J14" s="382" t="n">
        <f aca="false">'Master Plan'!$H$26+(50)</f>
        <v>46453</v>
      </c>
      <c r="K14" s="387"/>
      <c r="L14" s="387"/>
      <c r="M14" s="383" t="str">
        <f aca="false">IF('อัปเดตงาน WBS'!$L$1488="","",'อัปเดตงาน WBS'!$L$1488)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Plan'!$H$26+(-63)</f>
        <v>46340</v>
      </c>
      <c r="J15" s="382" t="n">
        <f aca="false">'Master Plan'!$H$26+(50)</f>
        <v>46453</v>
      </c>
      <c r="K15" s="387"/>
      <c r="L15" s="387"/>
      <c r="M15" s="383" t="str">
        <f aca="false">IF('อัปเดตงาน WBS'!$L$1489="","",'อัปเดตงาน WBS'!$L$1489)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Plan'!$H$26+(-56)</f>
        <v>46347</v>
      </c>
      <c r="J16" s="373" t="n">
        <f aca="false">'Master Plan'!$H$26+(-45)</f>
        <v>46358</v>
      </c>
      <c r="K16" s="78"/>
      <c r="L16" s="78" t="str">
        <f aca="false">IF(ISNUMBER(อัปเดตรายสัปดาห์!$H$26),อัปเดตรายสัปดาห์!$H$26,"")</f>
        <v/>
      </c>
      <c r="M16" s="374" t="str">
        <f aca="false">IF(อัปเดตรายสัปดาห์!$H$26="Y","Y","")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Plan'!$H$26+(-56)</f>
        <v>46347</v>
      </c>
      <c r="J17" s="382" t="n">
        <f aca="false">'Master Plan'!$H$26+(-54)</f>
        <v>46349</v>
      </c>
      <c r="K17" s="387"/>
      <c r="L17" s="387"/>
      <c r="M17" s="383" t="str">
        <f aca="false">IF('อัปเดตงาน WBS'!$L$1490="","",'อัปเดตงาน WBS'!$L$1490)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Plan'!$H$26+(-55)</f>
        <v>46348</v>
      </c>
      <c r="J18" s="382" t="n">
        <f aca="false">'Master Plan'!$H$26+(-52)</f>
        <v>46351</v>
      </c>
      <c r="K18" s="387"/>
      <c r="L18" s="387"/>
      <c r="M18" s="383" t="str">
        <f aca="false">IF('อัปเดตงาน WBS'!$L$1491="","",'อัปเดตงาน WBS'!$L$1491)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Plan'!$H$26+(-53)</f>
        <v>46350</v>
      </c>
      <c r="J19" s="382" t="n">
        <f aca="false">'Master Plan'!$H$26+(-48)</f>
        <v>46355</v>
      </c>
      <c r="K19" s="387"/>
      <c r="L19" s="387"/>
      <c r="M19" s="383" t="str">
        <f aca="false">IF('อัปเดตงาน WBS'!$L$1492="","",'อัปเดตงาน WBS'!$L$1492)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Plan'!$H$26+(-53)</f>
        <v>46350</v>
      </c>
      <c r="J20" s="382" t="n">
        <f aca="false">'Master Plan'!$H$26+(-48)</f>
        <v>46355</v>
      </c>
      <c r="K20" s="387"/>
      <c r="L20" s="387"/>
      <c r="M20" s="383" t="str">
        <f aca="false">IF('อัปเดตงาน WBS'!$L$1493="","",'อัปเดตงาน WBS'!$L$1493)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Plan'!$H$26+(-52)</f>
        <v>46351</v>
      </c>
      <c r="J21" s="382" t="n">
        <f aca="false">'Master Plan'!$H$26+(-47)</f>
        <v>46356</v>
      </c>
      <c r="K21" s="387"/>
      <c r="L21" s="387"/>
      <c r="M21" s="383" t="str">
        <f aca="false">IF('อัปเดตงาน WBS'!$L$1494="","",'อัปเดตงาน WBS'!$L$1494)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Plan'!$H$26+(-50)</f>
        <v>46353</v>
      </c>
      <c r="J22" s="382" t="n">
        <f aca="false">'Master Plan'!$H$26+(-46)</f>
        <v>46357</v>
      </c>
      <c r="K22" s="387"/>
      <c r="L22" s="387"/>
      <c r="M22" s="383" t="str">
        <f aca="false">IF('อัปเดตงาน WBS'!$L$1495="","",'อัปเดตงาน WBS'!$L$1495)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Plan'!$H$26+(-49)</f>
        <v>46354</v>
      </c>
      <c r="J24" s="382" t="n">
        <f aca="false">'Master Plan'!$H$26+(-45)</f>
        <v>46358</v>
      </c>
      <c r="K24" s="387"/>
      <c r="L24" s="387"/>
      <c r="M24" s="383" t="str">
        <f aca="false">IF('อัปเดตงาน WBS'!$L$1496="","",'อัปเดตงาน WBS'!$L$1496)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Plan'!$H$26+(-51)</f>
        <v>46352</v>
      </c>
      <c r="J25" s="373" t="n">
        <f aca="false">'Master Plan'!$H$26+(-51)</f>
        <v>46352</v>
      </c>
      <c r="K25" s="78"/>
      <c r="L25" s="78" t="str">
        <f aca="false">IF(ISNUMBER(อัปเดตรายสัปดาห์!$I$26),อัปเดตรายสัปดาห์!$I$26,"")</f>
        <v/>
      </c>
      <c r="M25" s="374" t="str">
        <f aca="false">IF(อัปเดตรายสัปดาห์!$I$26="Y","Y","")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Plan'!$H$26+(-51)</f>
        <v>46352</v>
      </c>
      <c r="J26" s="382" t="n">
        <f aca="false">'Master Plan'!$H$26+(-51)</f>
        <v>46352</v>
      </c>
      <c r="K26" s="387"/>
      <c r="L26" s="387"/>
      <c r="M26" s="383" t="str">
        <f aca="false">IF('อัปเดตงาน WBS'!$L$1497="","",'อัปเดตงาน WBS'!$L$1497)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Plan'!$H$26+(-51)</f>
        <v>46352</v>
      </c>
      <c r="J27" s="382" t="n">
        <f aca="false">'Master Plan'!$H$26+(-51)</f>
        <v>46352</v>
      </c>
      <c r="K27" s="387"/>
      <c r="L27" s="387"/>
      <c r="M27" s="383" t="str">
        <f aca="false">IF('อัปเดตงาน WBS'!$L$1498="","",'อัปเดตงาน WBS'!$L$1498)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Plan'!$H$26+(-51)</f>
        <v>46352</v>
      </c>
      <c r="J28" s="382" t="n">
        <f aca="false">'Master Plan'!$H$26+(-51)</f>
        <v>46352</v>
      </c>
      <c r="K28" s="387"/>
      <c r="L28" s="387"/>
      <c r="M28" s="383" t="str">
        <f aca="false">IF('อัปเดตงาน WBS'!$L$1499="","",'อัปเดตงาน WBS'!$L$1499)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117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Plan'!$H$26+(-75)</f>
        <v>46328</v>
      </c>
      <c r="J30" s="373" t="n">
        <f aca="false">'Master Plan'!$H$26+(-75)</f>
        <v>46328</v>
      </c>
      <c r="K30" s="78"/>
      <c r="L30" s="78" t="str">
        <f aca="false">IF(ISNUMBER(อัปเดตรายสัปดาห์!$J$26),อัปเดตรายสัปดาห์!$J$26,"")</f>
        <v/>
      </c>
      <c r="M30" s="374" t="str">
        <f aca="false">IF(อัปเดตรายสัปดาห์!$J$26="Y","Y","")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Plan'!$H$26+(-75)</f>
        <v>46328</v>
      </c>
      <c r="J31" s="382" t="n">
        <f aca="false">'Master Plan'!$H$26+(-75)</f>
        <v>46328</v>
      </c>
      <c r="K31" s="387"/>
      <c r="L31" s="387"/>
      <c r="M31" s="383" t="str">
        <f aca="false">IF('อัปเดตงาน WBS'!$L$1500="","",'อัปเดตงาน WBS'!$L$1500)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Plan'!$H$26+(-75)</f>
        <v>46328</v>
      </c>
      <c r="J32" s="382" t="n">
        <f aca="false">'Master Plan'!$H$26+(-75)</f>
        <v>46328</v>
      </c>
      <c r="K32" s="387"/>
      <c r="L32" s="387"/>
      <c r="M32" s="383" t="str">
        <f aca="false">IF('อัปเดตงาน WBS'!$L$1501="","",'อัปเดตงาน WBS'!$L$1501)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Plan'!$H$26+(-75)</f>
        <v>46328</v>
      </c>
      <c r="J33" s="382" t="n">
        <f aca="false">'Master Plan'!$H$26+(-75)</f>
        <v>46328</v>
      </c>
      <c r="K33" s="387"/>
      <c r="L33" s="387"/>
      <c r="M33" s="383" t="str">
        <f aca="false">IF('อัปเดตงาน WBS'!$L$1502="","",'อัปเดตงาน WBS'!$L$1502)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117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Plan'!$H$26+(-68)</f>
        <v>46335</v>
      </c>
      <c r="J34" s="373" t="n">
        <f aca="false">'Master Plan'!$H$26+(-59)</f>
        <v>46344</v>
      </c>
      <c r="K34" s="78"/>
      <c r="L34" s="78" t="str">
        <f aca="false">IF(ISNUMBER(อัปเดตรายสัปดาห์!$K$26),อัปเดตรายสัปดาห์!$K$26,"")</f>
        <v/>
      </c>
      <c r="M34" s="374" t="str">
        <f aca="false">IF(อัปเดตรายสัปดาห์!$K$26="Y","Y","")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Plan'!$H$26+(-68)</f>
        <v>46335</v>
      </c>
      <c r="J35" s="382" t="n">
        <f aca="false">'Master Plan'!$H$26+(-64)</f>
        <v>46339</v>
      </c>
      <c r="K35" s="387"/>
      <c r="L35" s="387"/>
      <c r="M35" s="383" t="str">
        <f aca="false">IF('อัปเดตงาน WBS'!$L$1503="","",'อัปเดตงาน WBS'!$L$1503)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Plan'!$H$26+(-68)</f>
        <v>46335</v>
      </c>
      <c r="J36" s="382" t="n">
        <f aca="false">'Master Plan'!$H$26+(-63)</f>
        <v>46340</v>
      </c>
      <c r="K36" s="387"/>
      <c r="L36" s="387"/>
      <c r="M36" s="383" t="str">
        <f aca="false">IF('อัปเดตงาน WBS'!$L$1504="","",'อัปเดตงาน WBS'!$L$1504)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Plan'!$H$26+(-65)</f>
        <v>46338</v>
      </c>
      <c r="J37" s="382" t="n">
        <f aca="false">'Master Plan'!$H$26+(-62)</f>
        <v>46341</v>
      </c>
      <c r="K37" s="387"/>
      <c r="L37" s="387"/>
      <c r="M37" s="383" t="str">
        <f aca="false">IF('อัปเดตงาน WBS'!$L$1505="","",'อัปเดตงาน WBS'!$L$1505)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Plan'!$H$26+(-63)</f>
        <v>46340</v>
      </c>
      <c r="J38" s="382" t="n">
        <f aca="false">'Master Plan'!$H$26+(-59)</f>
        <v>46344</v>
      </c>
      <c r="K38" s="387"/>
      <c r="L38" s="387"/>
      <c r="M38" s="383" t="str">
        <f aca="false">IF('อัปเดตงาน WBS'!$L$1506="","",'อัปเดตงาน WBS'!$L$1506)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117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Plan'!$H$26+(-45)</f>
        <v>46358</v>
      </c>
      <c r="J39" s="373" t="n">
        <f aca="false">'Master Plan'!$H$26+(-45)</f>
        <v>46358</v>
      </c>
      <c r="K39" s="78"/>
      <c r="L39" s="78" t="str">
        <f aca="false">IF(ISNUMBER(อัปเดตรายสัปดาห์!$L$26),อัปเดตรายสัปดาห์!$L$26,"")</f>
        <v/>
      </c>
      <c r="M39" s="374" t="str">
        <f aca="false">IF(อัปเดตรายสัปดาห์!$L$26="Y","Y","")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Plan'!$H$26+(-45)</f>
        <v>46358</v>
      </c>
      <c r="J40" s="382" t="n">
        <f aca="false">'Master Plan'!$H$26+(-45)</f>
        <v>46358</v>
      </c>
      <c r="K40" s="387"/>
      <c r="L40" s="387"/>
      <c r="M40" s="383" t="str">
        <f aca="false">IF('อัปเดตงาน WBS'!$L$1507="","",'อัปเดตงาน WBS'!$L$1507)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Plan'!$H$26+(-45)</f>
        <v>46358</v>
      </c>
      <c r="J41" s="382" t="n">
        <f aca="false">'Master Plan'!$H$26+(-45)</f>
        <v>46358</v>
      </c>
      <c r="K41" s="387"/>
      <c r="L41" s="387"/>
      <c r="M41" s="383" t="str">
        <f aca="false">IF('อัปเดตงาน WBS'!$L$1508="","",'อัปเดตงาน WBS'!$L$1508)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Plan'!$H$26+(-45)</f>
        <v>46358</v>
      </c>
      <c r="J42" s="382" t="n">
        <f aca="false">'Master Plan'!$H$26+(-45)</f>
        <v>46358</v>
      </c>
      <c r="K42" s="387"/>
      <c r="L42" s="387"/>
      <c r="M42" s="383" t="str">
        <f aca="false">IF('อัปเดตงาน WBS'!$L$1509="","",'อัปเดตงาน WBS'!$L$1509)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1.5</v>
      </c>
      <c r="F43" s="31" t="s">
        <v>3469</v>
      </c>
      <c r="G43" s="32"/>
      <c r="H43" s="32" t="n">
        <v>14</v>
      </c>
      <c r="I43" s="373" t="n">
        <f aca="false">'Master Plan'!$H$26+(-68)</f>
        <v>46335</v>
      </c>
      <c r="J43" s="373" t="n">
        <f aca="false">'Master Plan'!$H$26+(-55)</f>
        <v>46348</v>
      </c>
      <c r="K43" s="78"/>
      <c r="L43" s="78" t="str">
        <f aca="false">IF(ISNUMBER(อัปเดตรายสัปดาห์!$M$26),อัปเดตรายสัปดาห์!$M$26,"")</f>
        <v/>
      </c>
      <c r="M43" s="374" t="str">
        <f aca="false">IF(อัปเดตรายสัปดาห์!$M$26="Y","Y","")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0.3</v>
      </c>
      <c r="F44" s="387"/>
      <c r="G44" s="387"/>
      <c r="H44" s="387"/>
      <c r="I44" s="382" t="n">
        <f aca="false">'Master Plan'!$H$26+(-68)</f>
        <v>46335</v>
      </c>
      <c r="J44" s="382" t="n">
        <f aca="false">'Master Plan'!$H$26+(-65)</f>
        <v>46338</v>
      </c>
      <c r="K44" s="387"/>
      <c r="L44" s="387"/>
      <c r="M44" s="383" t="str">
        <f aca="false">IF('อัปเดตงาน WBS'!$L$1510="","",'อัปเดตงาน WBS'!$L$1510)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0.6</v>
      </c>
      <c r="F45" s="387"/>
      <c r="G45" s="387"/>
      <c r="H45" s="387"/>
      <c r="I45" s="382" t="n">
        <f aca="false">'Master Plan'!$H$26+(-67)</f>
        <v>46336</v>
      </c>
      <c r="J45" s="382" t="n">
        <f aca="false">'Master Plan'!$H$26+(-62)</f>
        <v>46341</v>
      </c>
      <c r="K45" s="387"/>
      <c r="L45" s="387"/>
      <c r="M45" s="383" t="str">
        <f aca="false">IF('อัปเดตงาน WBS'!$L$1511="","",'อัปเดตงาน WBS'!$L$1511)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0.6</v>
      </c>
      <c r="F46" s="387"/>
      <c r="G46" s="387"/>
      <c r="H46" s="387"/>
      <c r="I46" s="382" t="n">
        <f aca="false">'Master Plan'!$H$26+(-62)</f>
        <v>46341</v>
      </c>
      <c r="J46" s="382" t="n">
        <f aca="false">'Master Plan'!$H$26+(-55)</f>
        <v>46348</v>
      </c>
      <c r="K46" s="387"/>
      <c r="L46" s="387"/>
      <c r="M46" s="383" t="str">
        <f aca="false">IF('อัปเดตงาน WBS'!$L$1512="","",'อัปเดตงาน WBS'!$L$1512)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3477</v>
      </c>
      <c r="C47" s="31"/>
      <c r="D47" s="36" t="s">
        <v>131</v>
      </c>
      <c r="E47" s="372" t="n">
        <v>0</v>
      </c>
      <c r="F47" s="36" t="s">
        <v>3478</v>
      </c>
      <c r="G47" s="32"/>
      <c r="H47" s="32" t="n">
        <v>1</v>
      </c>
      <c r="I47" s="373"/>
      <c r="J47" s="373"/>
      <c r="K47" s="78"/>
      <c r="L47" s="78"/>
      <c r="M47" s="374"/>
      <c r="N47" s="375"/>
      <c r="O47" s="80"/>
      <c r="P47" s="36" t="str">
        <f aca="false">IFERROR(INDEX(ST_LABEL,MATCH(T47,ST_CODE,0)),T47)</f>
        <v>ไม่ต้องทำ</v>
      </c>
      <c r="Q47" s="376" t="str">
        <f aca="false">IF(OR(J47="",O47=""),"",O47-J47)</f>
        <v/>
      </c>
      <c r="R47" s="31"/>
      <c r="S47" s="31" t="n">
        <v>1</v>
      </c>
      <c r="T47" s="36" t="s">
        <v>3231</v>
      </c>
      <c r="U47" s="31" t="str">
        <f aca="false">IF(AND(LEFT(T47,1)&lt;&gt;"D",T47&lt;&gt;"NA",T47&lt;&gt;"BL",ISNUMBER(N47)),N47+ROW()/10000,"")</f>
        <v/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1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3480</v>
      </c>
      <c r="C48" s="387" t="s">
        <v>3481</v>
      </c>
      <c r="D48" s="387" t="s">
        <v>131</v>
      </c>
      <c r="E48" s="381" t="n">
        <v>0</v>
      </c>
      <c r="F48" s="387"/>
      <c r="G48" s="387"/>
      <c r="H48" s="387"/>
      <c r="I48" s="382"/>
      <c r="J48" s="382"/>
      <c r="K48" s="387"/>
      <c r="L48" s="387"/>
      <c r="M48" s="379"/>
      <c r="N48" s="384"/>
      <c r="O48" s="384"/>
      <c r="P48" s="380" t="str">
        <f aca="false">IFERROR(INDEX(ST_LABEL,MATCH(T48,ST_CODE,0)),T48)</f>
        <v>ไม่ต้องทำ</v>
      </c>
      <c r="Q48" s="385" t="str">
        <f aca="false">IF(OR(J48="",O48=""),"",O48-J48)</f>
        <v/>
      </c>
      <c r="R48" s="387"/>
      <c r="S48" s="387" t="n">
        <v>2</v>
      </c>
      <c r="T48" s="387" t="s">
        <v>3231</v>
      </c>
      <c r="U48" s="387"/>
      <c r="V48" s="386" t="n">
        <f aca="false">IF(LEFT(T48,1)="D",1,0)</f>
        <v>0</v>
      </c>
      <c r="W48" s="380" t="s">
        <v>3408</v>
      </c>
      <c r="X48" s="387"/>
      <c r="Y48" s="387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3482</v>
      </c>
      <c r="C49" s="380" t="s">
        <v>3483</v>
      </c>
      <c r="D49" s="387" t="s">
        <v>131</v>
      </c>
      <c r="E49" s="381" t="n">
        <v>0</v>
      </c>
      <c r="F49" s="387"/>
      <c r="G49" s="387"/>
      <c r="H49" s="387"/>
      <c r="I49" s="382"/>
      <c r="J49" s="382"/>
      <c r="K49" s="387"/>
      <c r="L49" s="387"/>
      <c r="M49" s="379"/>
      <c r="N49" s="384"/>
      <c r="O49" s="384"/>
      <c r="P49" s="380" t="str">
        <f aca="false">IFERROR(INDEX(ST_LABEL,MATCH(T49,ST_CODE,0)),T49)</f>
        <v>ไม่ต้องทำ</v>
      </c>
      <c r="Q49" s="385" t="str">
        <f aca="false">IF(OR(J49="",O49=""),"",O49-J49)</f>
        <v/>
      </c>
      <c r="R49" s="387"/>
      <c r="S49" s="387" t="n">
        <v>2</v>
      </c>
      <c r="T49" s="387" t="s">
        <v>3231</v>
      </c>
      <c r="U49" s="387"/>
      <c r="V49" s="386" t="n">
        <f aca="false">IF(LEFT(T49,1)="D",1,0)</f>
        <v>0</v>
      </c>
      <c r="W49" s="387" t="s">
        <v>1627</v>
      </c>
      <c r="X49" s="387"/>
      <c r="Y49" s="387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3484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/>
      <c r="J50" s="373"/>
      <c r="K50" s="78"/>
      <c r="L50" s="78"/>
      <c r="M50" s="374"/>
      <c r="N50" s="375"/>
      <c r="O50" s="80"/>
      <c r="P50" s="36" t="str">
        <f aca="false">IFERROR(INDEX(ST_LABEL,MATCH(T50,ST_CODE,0)),T50)</f>
        <v>ไม่ต้องทำ</v>
      </c>
      <c r="Q50" s="376" t="str">
        <f aca="false">IF(OR(J50="",O50=""),"",O50-J50)</f>
        <v/>
      </c>
      <c r="R50" s="31"/>
      <c r="S50" s="31" t="n">
        <v>1</v>
      </c>
      <c r="T50" s="36" t="s">
        <v>3231</v>
      </c>
      <c r="U50" s="31" t="str">
        <f aca="false">IF(AND(LEFT(T50,1)&lt;&gt;"D",T50&lt;&gt;"NA",T50&lt;&gt;"BL",ISNUMBER(N50)),N50+ROW()/10000,"")</f>
        <v/>
      </c>
      <c r="V50" s="377" t="n">
        <f aca="false">IF(LEFT(T50,1)="D",1,IF(T50="NA",0,MIN(1,0)))</f>
        <v>0</v>
      </c>
      <c r="W50" s="36" t="s">
        <v>1627</v>
      </c>
      <c r="X50" s="31"/>
      <c r="Y50" s="31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3485</v>
      </c>
      <c r="C51" s="380" t="s">
        <v>3486</v>
      </c>
      <c r="D51" s="387" t="s">
        <v>131</v>
      </c>
      <c r="E51" s="381" t="n">
        <v>0</v>
      </c>
      <c r="F51" s="387"/>
      <c r="G51" s="387"/>
      <c r="H51" s="387"/>
      <c r="I51" s="382"/>
      <c r="J51" s="382"/>
      <c r="K51" s="387"/>
      <c r="L51" s="387"/>
      <c r="M51" s="379"/>
      <c r="N51" s="384"/>
      <c r="O51" s="384"/>
      <c r="P51" s="380" t="str">
        <f aca="false">IFERROR(INDEX(ST_LABEL,MATCH(T51,ST_CODE,0)),T51)</f>
        <v>ไม่ต้องทำ</v>
      </c>
      <c r="Q51" s="385" t="str">
        <f aca="false">IF(OR(J51="",O51=""),"",O51-J51)</f>
        <v/>
      </c>
      <c r="R51" s="387"/>
      <c r="S51" s="387" t="n">
        <v>2</v>
      </c>
      <c r="T51" s="387" t="s">
        <v>3231</v>
      </c>
      <c r="U51" s="387"/>
      <c r="V51" s="386" t="n">
        <f aca="false">IF(LEFT(T51,1)="D",1,0)</f>
        <v>0</v>
      </c>
      <c r="W51" s="387" t="s">
        <v>1627</v>
      </c>
      <c r="X51" s="387"/>
      <c r="Y51" s="387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IF(ISNUMBER(อัปเดตรายสัปดาห์!$P$26),อัปเดตรายสัปดาห์!$P$26,"")</f>
        <v/>
      </c>
      <c r="M52" s="374" t="str">
        <f aca="false">IF(อัปเดตรายสัปดาห์!$P$26="Y","Y","")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WBS'!$L$1513="","",'อัปเดตงาน WBS'!$L$1513)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WBS'!$L$1514="","",'อัปเดตงาน WBS'!$L$1514)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1.5</v>
      </c>
      <c r="F55" s="36" t="s">
        <v>3478</v>
      </c>
      <c r="G55" s="32"/>
      <c r="H55" s="32" t="n">
        <v>1</v>
      </c>
      <c r="I55" s="373" t="n">
        <f aca="false">'Master Plan'!$H$26+(-12)</f>
        <v>46391</v>
      </c>
      <c r="J55" s="373" t="n">
        <f aca="false">'Master Plan'!$H$26+(-12)</f>
        <v>46391</v>
      </c>
      <c r="K55" s="78"/>
      <c r="L55" s="78" t="str">
        <f aca="false">IF(ISNUMBER(อัปเดตรายสัปดาห์!$Q$26),อัปเดตรายสัปดาห์!$Q$26,"")</f>
        <v/>
      </c>
      <c r="M55" s="374" t="str">
        <f aca="false">IF(อัปเดตรายสัปดาห์!$Q$26="Y","Y","")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Plan'!$AC$26)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IF(ISNUMBER(อัปเดตรายสัปดาห์!$R$26),อัปเดตรายสัปดาห์!$R$26,"")</f>
        <v/>
      </c>
      <c r="M56" s="374" t="str">
        <f aca="false">IF(อัปเดตรายสัปดาห์!$R$26="Y","Y","")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Plan'!$H$26+(-11)</f>
        <v>46392</v>
      </c>
      <c r="J57" s="373" t="n">
        <f aca="false">'Master Plan'!$H$26+(9)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IF(ISNUMBER(อัปเดตรายสัปดาห์!$S$26),อัปเดตรายสัปดาห์!$S$26,"")</f>
        <v/>
      </c>
      <c r="M57" s="374" t="str">
        <f aca="false">IF(อัปเดตรายสัปดาห์!$S$26="Y","Y","")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Plan'!$AD$26)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Plan'!$H$26+(10)</f>
        <v>46413</v>
      </c>
      <c r="J58" s="373" t="n">
        <f aca="false">'Master Plan'!$H$26+(16)</f>
        <v>46419</v>
      </c>
      <c r="K58" s="78"/>
      <c r="L58" s="78" t="str">
        <f aca="false">IF(ISNUMBER(อัปเดตรายสัปดาห์!$T$26),อัปเดตรายสัปดาห์!$T$26,"")</f>
        <v/>
      </c>
      <c r="M58" s="374" t="str">
        <f aca="false">IF(อัปเดตรายสัปดาห์!$T$26="Y","Y","")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Plan'!$AE$26)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Plan'!$H$26+(17)</f>
        <v>46420</v>
      </c>
      <c r="J59" s="373" t="n">
        <f aca="false">'Master Plan'!$H$26+(17)</f>
        <v>46420</v>
      </c>
      <c r="K59" s="78"/>
      <c r="L59" s="78" t="str">
        <f aca="false">IF(ISNUMBER(อัปเดตรายสัปดาห์!$U$26),อัปเดตรายสัปดาห์!$U$26,"")</f>
        <v/>
      </c>
      <c r="M59" s="374" t="str">
        <f aca="false">IF(อัปเดตรายสัปดาห์!$U$26="Y","Y","")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Plan'!$AF$26)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117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Plan'!$H$26+(18)</f>
        <v>46421</v>
      </c>
      <c r="J60" s="373" t="n">
        <f aca="false">'Master Plan'!$H$26+(33)</f>
        <v>46436</v>
      </c>
      <c r="K60" s="78"/>
      <c r="L60" s="78" t="str">
        <f aca="false">IF(ISNUMBER(อัปเดตรายสัปดาห์!$V$26),อัปเดตรายสัปดาห์!$V$26,"")</f>
        <v/>
      </c>
      <c r="M60" s="374" t="str">
        <f aca="false">IF(อัปเดตรายสัปดาห์!$V$26="Y","Y","")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Plan'!$AH$26)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3743</v>
      </c>
      <c r="E62" s="372" t="n">
        <v>20</v>
      </c>
      <c r="F62" s="31" t="s">
        <v>3499</v>
      </c>
      <c r="G62" s="32"/>
      <c r="H62" s="32" t="n">
        <v>15</v>
      </c>
      <c r="I62" s="373" t="n">
        <f aca="false">'Master Plan'!$H$26+(-42)</f>
        <v>46361</v>
      </c>
      <c r="J62" s="373" t="n">
        <f aca="false">'Master Plan'!$H$26+(-25)</f>
        <v>46378</v>
      </c>
      <c r="K62" s="78"/>
      <c r="L62" s="78" t="str">
        <f aca="false">IF(ISNUMBER(อัปเดตรายสัปดาห์!$W$26),อัปเดตรายสัปดาห์!$W$26,"")</f>
        <v/>
      </c>
      <c r="M62" s="374" t="str">
        <f aca="false">IF(อัปเดตรายสัปดาห์!$W$26="Y","Y","")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IF(L62&lt;&gt;"",L62,IF(M62="Y",MIN(J62,O111-8),MAX(O111-8,ASOF)))</f>
        <v>46341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-37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-019",SITE_TYPE,"?*")&gt;0,MIN(1,SUMPRODUCT((SITE_ST="P9-019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Plan'!$H$26+(-42)</f>
        <v>46361</v>
      </c>
      <c r="J63" s="382" t="n">
        <f aca="false">'Master Plan'!$H$26+(-40)</f>
        <v>46363</v>
      </c>
      <c r="K63" s="387"/>
      <c r="L63" s="387"/>
      <c r="M63" s="383" t="str">
        <f aca="false">IF('อัปเดตงาน WBS'!$L$1515="","",'อัปเดตงาน WBS'!$L$1515)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Plan'!$H$26+(-42)</f>
        <v>46361</v>
      </c>
      <c r="J64" s="382" t="n">
        <f aca="false">'Master Plan'!$H$26+(-39)</f>
        <v>46364</v>
      </c>
      <c r="K64" s="387"/>
      <c r="L64" s="387"/>
      <c r="M64" s="383" t="str">
        <f aca="false">IF('อัปเดตงาน WBS'!$L$1516="","",'อัปเดตงาน WBS'!$L$1516)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46331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-33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Plan'!$H$26+(-40)</f>
        <v>46363</v>
      </c>
      <c r="J65" s="382" t="n">
        <f aca="false">'Master Plan'!$H$26+(-34)</f>
        <v>46369</v>
      </c>
      <c r="K65" s="387"/>
      <c r="L65" s="387"/>
      <c r="M65" s="383" t="str">
        <f aca="false">IF('อัปเดตงาน WBS'!$L$1517="","",'อัปเดตงาน WBS'!$L$1517)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46335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-34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Plan'!$H$26+(-35)</f>
        <v>46368</v>
      </c>
      <c r="J66" s="382" t="n">
        <f aca="false">'Master Plan'!$H$26+(-28)</f>
        <v>46375</v>
      </c>
      <c r="K66" s="387"/>
      <c r="L66" s="387"/>
      <c r="M66" s="383" t="str">
        <f aca="false">IF('อัปเดตงาน WBS'!$L$1518="","",'อัปเดตงาน WBS'!$L$1518)</f>
        <v/>
      </c>
      <c r="N66" s="384" t="n">
        <f aca="false">IF(OR(N62="",O62=""),"",N62+ROUND((O62-N62)*0.4,0))</f>
        <v>46333</v>
      </c>
      <c r="O66" s="384" t="n">
        <f aca="false">IF(OR(N62="",O62=""),"",N62+ROUND((O62-N62)*0.85,0))</f>
        <v>46339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-36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Plan'!$H$26+(-32)</f>
        <v>46371</v>
      </c>
      <c r="J67" s="382" t="n">
        <f aca="false">'Master Plan'!$H$26+(-26)</f>
        <v>46377</v>
      </c>
      <c r="K67" s="387"/>
      <c r="L67" s="387"/>
      <c r="M67" s="383" t="str">
        <f aca="false">IF('อัปเดตงาน WBS'!$L$1519="","",'อัปเดตงาน WBS'!$L$1519)</f>
        <v/>
      </c>
      <c r="N67" s="384" t="n">
        <f aca="false">IF(OR(N62="",O62=""),"",N62+ROUND((O62-N62)*0.6,0))</f>
        <v>46336</v>
      </c>
      <c r="O67" s="384" t="n">
        <f aca="false">IF(OR(N62="",O62=""),"",N62+ROUND((O62-N62)*0.95,0))</f>
        <v>46340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-37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Plan'!$H$26+(-28)</f>
        <v>46375</v>
      </c>
      <c r="J68" s="382" t="n">
        <f aca="false">'Master Plan'!$H$26+(-25)</f>
        <v>46378</v>
      </c>
      <c r="K68" s="387"/>
      <c r="L68" s="387"/>
      <c r="M68" s="383" t="str">
        <f aca="false">IF('อัปเดตงาน WBS'!$L$1520="","",'อัปเดตงาน WBS'!$L$1520)</f>
        <v/>
      </c>
      <c r="N68" s="384" t="n">
        <f aca="false">IF(OR(N62="",O62=""),"",N62+ROUND((O62-N62)*0.8,0))</f>
        <v>46338</v>
      </c>
      <c r="O68" s="384" t="n">
        <f aca="false">IF(OR(N62="",O62=""),"",N62+ROUND((O62-N62)*1,0))</f>
        <v>46341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-37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Plan'!$H$26+(-26)</f>
        <v>46377</v>
      </c>
      <c r="J69" s="382" t="n">
        <f aca="false">'Master Plan'!$H$26+(-25)</f>
        <v>46378</v>
      </c>
      <c r="K69" s="387"/>
      <c r="L69" s="387"/>
      <c r="M69" s="383" t="str">
        <f aca="false">IF('อัปเดตงาน WBS'!$L$1521="","",'อัปเดตงาน WBS'!$L$1521)</f>
        <v/>
      </c>
      <c r="N69" s="384" t="n">
        <f aca="false">IF(OR(N62="",O62=""),"",N62+ROUND((O62-N62)*0.95,0))</f>
        <v>46340</v>
      </c>
      <c r="O69" s="384" t="n">
        <f aca="false">IF(OR(N62="",O62=""),"",N62+ROUND((O62-N62)*1,0))</f>
        <v>46341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-37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3743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Plan'!$H$26+(-24)</f>
        <v>46379</v>
      </c>
      <c r="J70" s="373" t="n">
        <f aca="false">'Master Plan'!$H$26+(-15)</f>
        <v>46388</v>
      </c>
      <c r="K70" s="78"/>
      <c r="L70" s="78" t="str">
        <f aca="false">IF(ISNUMBER(อัปเดตรายสัปดาห์!$X$26),อัปเดตรายสัปดาห์!$X$26,"")</f>
        <v/>
      </c>
      <c r="M70" s="374" t="str">
        <f aca="false">IF(อัปเดตรายสัปดาห์!$X$26="Y","Y","")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-019",SITE_TYPE,"?*")&gt;0,MIN(1,SUMPRODUCT((SITE_ST="P9-019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Plan'!$H$26+(-24)</f>
        <v>46379</v>
      </c>
      <c r="J71" s="382" t="n">
        <f aca="false">'Master Plan'!$H$26+(-20)</f>
        <v>46383</v>
      </c>
      <c r="K71" s="387"/>
      <c r="L71" s="387"/>
      <c r="M71" s="383" t="str">
        <f aca="false">IF('อัปเดตงาน WBS'!$L$1522="","",'อัปเดตงาน WBS'!$L$1522)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Plan'!$H$26+(-22)</f>
        <v>46381</v>
      </c>
      <c r="J72" s="382" t="n">
        <f aca="false">'Master Plan'!$H$26+(-17)</f>
        <v>46386</v>
      </c>
      <c r="K72" s="387"/>
      <c r="L72" s="387"/>
      <c r="M72" s="383" t="str">
        <f aca="false">IF('อัปเดตงาน WBS'!$L$1523="","",'อัปเดตงาน WBS'!$L$1523)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Plan'!$H$26+(-21)</f>
        <v>46382</v>
      </c>
      <c r="J73" s="382" t="n">
        <f aca="false">'Master Plan'!$H$26+(-17)</f>
        <v>46386</v>
      </c>
      <c r="K73" s="387"/>
      <c r="L73" s="387"/>
      <c r="M73" s="383" t="str">
        <f aca="false">IF('อัปเดตงาน WBS'!$L$1524="","",'อัปเดตงาน WBS'!$L$1524)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Plan'!$H$26+(-20)</f>
        <v>46383</v>
      </c>
      <c r="J74" s="382" t="n">
        <f aca="false">'Master Plan'!$H$26+(-15)</f>
        <v>46388</v>
      </c>
      <c r="K74" s="387"/>
      <c r="L74" s="387"/>
      <c r="M74" s="383" t="str">
        <f aca="false">IF('อัปเดตงาน WBS'!$L$1525="","",'อัปเดตงาน WBS'!$L$1525)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Plan'!$H$26+(-17)</f>
        <v>46386</v>
      </c>
      <c r="J75" s="382" t="n">
        <f aca="false">'Master Plan'!$H$26+(-15)</f>
        <v>46388</v>
      </c>
      <c r="K75" s="387"/>
      <c r="L75" s="387"/>
      <c r="M75" s="383" t="str">
        <f aca="false">IF('อัปเดตงาน WBS'!$L$1526="","",'อัปเดตงาน WBS'!$L$1526)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3743</v>
      </c>
      <c r="E76" s="372" t="n">
        <v>20</v>
      </c>
      <c r="F76" s="31" t="s">
        <v>3528</v>
      </c>
      <c r="G76" s="32"/>
      <c r="H76" s="32" t="n">
        <v>6</v>
      </c>
      <c r="I76" s="373" t="n">
        <f aca="false">'Master Plan'!$H$26+(-24)</f>
        <v>46379</v>
      </c>
      <c r="J76" s="373" t="n">
        <f aca="false">'Master Plan'!$H$26+(-15)</f>
        <v>46388</v>
      </c>
      <c r="K76" s="78"/>
      <c r="L76" s="78" t="str">
        <f aca="false">IF(ISNUMBER(อัปเดตรายสัปดาห์!$Y$26),อัปเดตรายสัปดาห์!$Y$26,"")</f>
        <v/>
      </c>
      <c r="M76" s="374" t="str">
        <f aca="false">IF(อัปเดตรายสัปดาห์!$Y$26="Y","Y","")</f>
        <v/>
      </c>
      <c r="N76" s="375" t="n">
        <f aca="false">IF(K76&lt;&gt;"",K76,IF(L76&lt;&gt;"",L76-H76+1,IF(M76="Y",O76-H76+1,MAX(O76-H76+1,ASOF))))</f>
        <v>46342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46342.0076</v>
      </c>
      <c r="V76" s="377" t="n">
        <f aca="false">IF(LEFT(T76,1)="D",1,IF(T76="NA",0,IF(COUNTIFS(SITE_ST,"P9-019",SITE_TYPE,"?*")&gt;0,MIN(1,SUMPRODUCT((SITE_ST="P9-019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Plan'!$H$26+(-24)</f>
        <v>46379</v>
      </c>
      <c r="J77" s="382" t="n">
        <f aca="false">'Master Plan'!$H$26+(-21)</f>
        <v>46382</v>
      </c>
      <c r="K77" s="387"/>
      <c r="L77" s="387"/>
      <c r="M77" s="383" t="str">
        <f aca="false">IF('อัปเดตงาน WBS'!$L$1527="","",'อัปเดตงาน WBS'!$L$1527)</f>
        <v/>
      </c>
      <c r="N77" s="384" t="n">
        <f aca="false">IF(OR(N76="",O76=""),"",N76+ROUND((O76-N76)*0,0))</f>
        <v>46342</v>
      </c>
      <c r="O77" s="384" t="n">
        <f aca="false">IF(OR(N76="",O76=""),"",N76+ROUND((O76-N76)*0.3,0))</f>
        <v>46344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-38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Plan'!$H$26+(-23)</f>
        <v>46380</v>
      </c>
      <c r="J78" s="382" t="n">
        <f aca="false">'Master Plan'!$H$26+(-16)</f>
        <v>46387</v>
      </c>
      <c r="K78" s="387"/>
      <c r="L78" s="387"/>
      <c r="M78" s="383" t="str">
        <f aca="false">IF('อัปเดตงาน WBS'!$L$1528="","",'อัปเดตงาน WBS'!$L$1528)</f>
        <v/>
      </c>
      <c r="N78" s="384" t="n">
        <f aca="false">IF(OR(N76="",O76=""),"",N76+ROUND((O76-N76)*0.1,0))</f>
        <v>46343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Plan'!$H$26+(-20)</f>
        <v>46383</v>
      </c>
      <c r="J79" s="382" t="n">
        <f aca="false">'Master Plan'!$H$26+(-15)</f>
        <v>46388</v>
      </c>
      <c r="K79" s="387"/>
      <c r="L79" s="387"/>
      <c r="M79" s="383" t="str">
        <f aca="false">IF('อัปเดตงาน WBS'!$L$1529="","",'อัปเดตงาน WBS'!$L$1529)</f>
        <v/>
      </c>
      <c r="N79" s="384" t="n">
        <f aca="false">IF(OR(N76="",O76=""),"",N76+ROUND((O76-N76)*0.4,0))</f>
        <v>46344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Plan'!$H$26+(-17)</f>
        <v>46386</v>
      </c>
      <c r="J80" s="382" t="n">
        <f aca="false">'Master Plan'!$H$26+(-15)</f>
        <v>46388</v>
      </c>
      <c r="K80" s="387"/>
      <c r="L80" s="387"/>
      <c r="M80" s="383" t="str">
        <f aca="false">IF('อัปเดตงาน WBS'!$L$1530="","",'อัปเดตงาน WBS'!$L$1530)</f>
        <v/>
      </c>
      <c r="N80" s="384" t="n">
        <f aca="false">IF(OR(N76="",O76=""),"",N76+ROUND((O76-N76)*0.8,0))</f>
        <v>46346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Plan'!$H$26+(-15)</f>
        <v>46388</v>
      </c>
      <c r="J81" s="382" t="n">
        <f aca="false">'Master Plan'!$H$26+(-15)</f>
        <v>46388</v>
      </c>
      <c r="K81" s="387"/>
      <c r="L81" s="387"/>
      <c r="M81" s="383" t="str">
        <f aca="false">IF('อัปเดตงาน WBS'!$L$1531="","",'อัปเดตงาน WBS'!$L$1531)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3743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Plan'!$H$26+(-21)</f>
        <v>46382</v>
      </c>
      <c r="J82" s="373" t="n">
        <f aca="false">'Master Plan'!$H$26+(-18)</f>
        <v>46385</v>
      </c>
      <c r="K82" s="78"/>
      <c r="L82" s="78" t="str">
        <f aca="false">IF(ISNUMBER(อัปเดตรายสัปดาห์!$Z$26),อัปเดตรายสัปดาห์!$Z$26,"")</f>
        <v/>
      </c>
      <c r="M82" s="374" t="str">
        <f aca="false">IF(อัปเดตรายสัปดาห์!$Z$26="Y","Y","")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Plan'!$H$26+(-21)</f>
        <v>46382</v>
      </c>
      <c r="J83" s="382" t="n">
        <f aca="false">'Master Plan'!$H$26+(-19)</f>
        <v>46384</v>
      </c>
      <c r="K83" s="387"/>
      <c r="L83" s="387"/>
      <c r="M83" s="383" t="str">
        <f aca="false">IF('อัปเดตงาน WBS'!$L$1532="","",'อัปเดตงาน WBS'!$L$1532)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Plan'!$H$26+(-20)</f>
        <v>46383</v>
      </c>
      <c r="J84" s="382" t="n">
        <f aca="false">'Master Plan'!$H$26+(-18)</f>
        <v>46385</v>
      </c>
      <c r="K84" s="387"/>
      <c r="L84" s="387"/>
      <c r="M84" s="383" t="str">
        <f aca="false">IF('อัปเดตงาน WBS'!$L$1533="","",'อัปเดตงาน WBS'!$L$1533)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3547</v>
      </c>
      <c r="D85" s="31" t="s">
        <v>3743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Plan'!$H$26+(-25)</f>
        <v>46378</v>
      </c>
      <c r="J85" s="373" t="n">
        <f aca="false">'Master Plan'!$H$26+(-17)</f>
        <v>46386</v>
      </c>
      <c r="K85" s="78"/>
      <c r="L85" s="78" t="str">
        <f aca="false">IF(ISNUMBER(อัปเดตรายสัปดาห์!$AA$26),อัปเดตรายสัปดาห์!$AA$26,"")</f>
        <v/>
      </c>
      <c r="M85" s="374" t="str">
        <f aca="false">IF(อัปเดตรายสัปดาห์!$AA$26="Y","Y","")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Plan'!$H$26+(-25)</f>
        <v>46378</v>
      </c>
      <c r="J86" s="382" t="n">
        <f aca="false">'Master Plan'!$H$26+(-21)</f>
        <v>46382</v>
      </c>
      <c r="K86" s="387"/>
      <c r="L86" s="387"/>
      <c r="M86" s="383" t="str">
        <f aca="false">IF('อัปเดตงาน WBS'!$L$1534="","",'อัปเดตงาน WBS'!$L$1534)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Plan'!$H$26+(-22)</f>
        <v>46381</v>
      </c>
      <c r="J87" s="382" t="n">
        <f aca="false">'Master Plan'!$H$26+(-18)</f>
        <v>46385</v>
      </c>
      <c r="K87" s="387"/>
      <c r="L87" s="387"/>
      <c r="M87" s="383" t="str">
        <f aca="false">IF('อัปเดตงาน WBS'!$L$1535="","",'อัปเดตงาน WBS'!$L$1535)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Plan'!$H$26+(-20)</f>
        <v>46383</v>
      </c>
      <c r="J88" s="382" t="n">
        <f aca="false">'Master Plan'!$H$26+(-17)</f>
        <v>46386</v>
      </c>
      <c r="K88" s="387"/>
      <c r="L88" s="387"/>
      <c r="M88" s="383" t="str">
        <f aca="false">IF('อัปเดตงาน WBS'!$L$1536="","",'อัปเดตงาน WBS'!$L$1536)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Plan'!$H$26+(-18)</f>
        <v>46385</v>
      </c>
      <c r="J89" s="382" t="n">
        <f aca="false">'Master Plan'!$H$26+(-17)</f>
        <v>46386</v>
      </c>
      <c r="K89" s="387"/>
      <c r="L89" s="387"/>
      <c r="M89" s="383" t="str">
        <f aca="false">IF('อัปเดตงาน WBS'!$L$1537="","",'อัปเดตงาน WBS'!$L$1537)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3743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Plan'!$H$26+(-25)</f>
        <v>46378</v>
      </c>
      <c r="J90" s="373" t="n">
        <f aca="false">'Master Plan'!$H$26+(-16)</f>
        <v>46387</v>
      </c>
      <c r="K90" s="78"/>
      <c r="L90" s="78" t="str">
        <f aca="false">IF(ISNUMBER(อัปเดตรายสัปดาห์!$AB$26),อัปเดตรายสัปดาห์!$AB$26,"")</f>
        <v/>
      </c>
      <c r="M90" s="374" t="str">
        <f aca="false">IF(อัปเดตรายสัปดาห์!$AB$26="Y","Y","")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Plan'!$H$26+(-25)</f>
        <v>46378</v>
      </c>
      <c r="J91" s="382" t="n">
        <f aca="false">'Master Plan'!$H$26+(-20)</f>
        <v>46383</v>
      </c>
      <c r="K91" s="387"/>
      <c r="L91" s="387"/>
      <c r="M91" s="383" t="str">
        <f aca="false">IF('อัปเดตงาน WBS'!$L$1538="","",'อัปเดตงาน WBS'!$L$1538)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Plan'!$H$26+(-20)</f>
        <v>46383</v>
      </c>
      <c r="J92" s="382" t="n">
        <f aca="false">'Master Plan'!$H$26+(-16)</f>
        <v>46387</v>
      </c>
      <c r="K92" s="387"/>
      <c r="L92" s="387"/>
      <c r="M92" s="383" t="str">
        <f aca="false">IF('อัปเดตงาน WBS'!$L$1539="","",'อัปเดตงาน WBS'!$L$1539)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Plan'!$H$26+(-25)</f>
        <v>46378</v>
      </c>
      <c r="J93" s="382" t="n">
        <f aca="false">'Master Plan'!$H$26+(-21)</f>
        <v>46382</v>
      </c>
      <c r="K93" s="387"/>
      <c r="L93" s="387"/>
      <c r="M93" s="383" t="str">
        <f aca="false">IF('อัปเดตงาน WBS'!$L$1540="","",'อัปเดตงาน WBS'!$L$1540)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Plan'!$H$26+(-21)</f>
        <v>46382</v>
      </c>
      <c r="J94" s="382" t="n">
        <f aca="false">'Master Plan'!$H$26+(-16)</f>
        <v>46387</v>
      </c>
      <c r="K94" s="387"/>
      <c r="L94" s="387"/>
      <c r="M94" s="383" t="str">
        <f aca="false">IF('อัปเดตงาน WBS'!$L$1541="","",'อัปเดตงาน WBS'!$L$1541)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Plan'!$H$26+(-17)</f>
        <v>46386</v>
      </c>
      <c r="J95" s="382" t="n">
        <f aca="false">'Master Plan'!$H$26+(-16)</f>
        <v>46387</v>
      </c>
      <c r="K95" s="387"/>
      <c r="L95" s="387"/>
      <c r="M95" s="383" t="str">
        <f aca="false">IF('อัปเดตงาน WBS'!$L$1542="","",'อัปเดตงาน WBS'!$L$1542)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3743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Plan'!$H$26+(-22)</f>
        <v>46381</v>
      </c>
      <c r="J96" s="373" t="n">
        <f aca="false">'Master Plan'!$H$26+(-16)</f>
        <v>46387</v>
      </c>
      <c r="K96" s="78"/>
      <c r="L96" s="78" t="str">
        <f aca="false">IF(ISNUMBER(อัปเดตรายสัปดาห์!$AC$26),อัปเดตรายสัปดาห์!$AC$26,"")</f>
        <v/>
      </c>
      <c r="M96" s="374" t="str">
        <f aca="false">IF(อัปเดตรายสัปดาห์!$AC$26="Y","Y","")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Plan'!$H$26+(-22)</f>
        <v>46381</v>
      </c>
      <c r="J97" s="382" t="n">
        <f aca="false">'Master Plan'!$H$26+(-17)</f>
        <v>46386</v>
      </c>
      <c r="K97" s="387"/>
      <c r="L97" s="387"/>
      <c r="M97" s="383" t="str">
        <f aca="false">IF('อัปเดตงาน WBS'!$L$1543="","",'อัปเดตงาน WBS'!$L$1543)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Plan'!$H$26+(-20)</f>
        <v>46383</v>
      </c>
      <c r="J98" s="382" t="n">
        <f aca="false">'Master Plan'!$H$26+(-16)</f>
        <v>46387</v>
      </c>
      <c r="K98" s="387"/>
      <c r="L98" s="387"/>
      <c r="M98" s="383" t="str">
        <f aca="false">IF('อัปเดตงาน WBS'!$L$1544="","",'อัปเดตงาน WBS'!$L$1544)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Plan'!$H$26+(-17)</f>
        <v>46386</v>
      </c>
      <c r="J99" s="382" t="n">
        <f aca="false">'Master Plan'!$H$26+(-16)</f>
        <v>46387</v>
      </c>
      <c r="K99" s="387"/>
      <c r="L99" s="387"/>
      <c r="M99" s="383" t="str">
        <f aca="false">IF('อัปเดตงาน WBS'!$L$1545="","",'อัปเดตงาน WBS'!$L$1545)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3743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Plan'!$H$26+(-20)</f>
        <v>46383</v>
      </c>
      <c r="J100" s="373" t="n">
        <f aca="false">'Master Plan'!$H$26+(-15)</f>
        <v>46388</v>
      </c>
      <c r="K100" s="78"/>
      <c r="L100" s="78" t="str">
        <f aca="false">IF(ISNUMBER(อัปเดตรายสัปดาห์!$AD$26),อัปเดตรายสัปดาห์!$AD$26,"")</f>
        <v/>
      </c>
      <c r="M100" s="374" t="str">
        <f aca="false">IF(อัปเดตรายสัปดาห์!$AD$26="Y","Y","")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Plan'!$H$26+(-19)</f>
        <v>46384</v>
      </c>
      <c r="J103" s="382" t="n">
        <f aca="false">'Master Plan'!$H$26+(-16)</f>
        <v>46387</v>
      </c>
      <c r="K103" s="387"/>
      <c r="L103" s="387"/>
      <c r="M103" s="383" t="str">
        <f aca="false">IF('อัปเดตงาน WBS'!$L$1546="","",'อัปเดตงาน WBS'!$L$1546)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Plan'!$H$26+(-18)</f>
        <v>46385</v>
      </c>
      <c r="J104" s="382" t="n">
        <f aca="false">'Master Plan'!$H$26+(-16)</f>
        <v>46387</v>
      </c>
      <c r="K104" s="387"/>
      <c r="L104" s="387"/>
      <c r="M104" s="383" t="str">
        <f aca="false">IF('อัปเดตงาน WBS'!$L$1547="","",'อัปเดตงาน WBS'!$L$1547)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Plan'!$H$26+(-18)</f>
        <v>46385</v>
      </c>
      <c r="J105" s="382" t="n">
        <f aca="false">'Master Plan'!$H$26+(-15)</f>
        <v>46388</v>
      </c>
      <c r="K105" s="387"/>
      <c r="L105" s="387"/>
      <c r="M105" s="383" t="str">
        <f aca="false">IF('อัปเดตงาน WBS'!$L$1548="","",'อัปเดตงาน WBS'!$L$1548)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Plan'!$H$26+(-16)</f>
        <v>46387</v>
      </c>
      <c r="J106" s="382" t="n">
        <f aca="false">'Master Plan'!$H$26+(-15)</f>
        <v>46388</v>
      </c>
      <c r="K106" s="387"/>
      <c r="L106" s="387"/>
      <c r="M106" s="383" t="str">
        <f aca="false">IF('อัปเดตงาน WBS'!$L$1549="","",'อัปเดตงาน WBS'!$L$1549)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3743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Plan'!$H$26+(-18)</f>
        <v>46385</v>
      </c>
      <c r="J107" s="373" t="n">
        <f aca="false">'Master Plan'!$H$26+(-14)</f>
        <v>46389</v>
      </c>
      <c r="K107" s="78"/>
      <c r="L107" s="78" t="str">
        <f aca="false">IF(ISNUMBER(อัปเดตรายสัปดาห์!$AE$26),อัปเดตรายสัปดาห์!$AE$26,"")</f>
        <v/>
      </c>
      <c r="M107" s="374" t="str">
        <f aca="false">IF(อัปเดตรายสัปดาห์!$AE$26="Y","Y","")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Plan'!$H$26+(-18)</f>
        <v>46385</v>
      </c>
      <c r="J108" s="382" t="n">
        <f aca="false">'Master Plan'!$H$26+(-15)</f>
        <v>46388</v>
      </c>
      <c r="K108" s="387"/>
      <c r="L108" s="387"/>
      <c r="M108" s="383" t="str">
        <f aca="false">IF('อัปเดตงาน WBS'!$L$1550="","",'อัปเดตงาน WBS'!$L$1550)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Plan'!$H$26+(-16)</f>
        <v>46387</v>
      </c>
      <c r="J109" s="382" t="n">
        <f aca="false">'Master Plan'!$H$26+(-14)</f>
        <v>46389</v>
      </c>
      <c r="K109" s="387"/>
      <c r="L109" s="387"/>
      <c r="M109" s="383" t="str">
        <f aca="false">IF('อัปเดตงาน WBS'!$L$1551="","",'อัปเดตงาน WBS'!$L$1551)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Plan'!$H$26+(-17)</f>
        <v>46386</v>
      </c>
      <c r="J110" s="382" t="n">
        <f aca="false">'Master Plan'!$H$26+(-15)</f>
        <v>46388</v>
      </c>
      <c r="K110" s="387"/>
      <c r="L110" s="387"/>
      <c r="M110" s="383" t="str">
        <f aca="false">IF('อัปเดตงาน WBS'!$L$1552="","",'อัปเดตงาน WBS'!$L$1552)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117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Plan'!$H$26+(-13)</f>
        <v>46390</v>
      </c>
      <c r="J111" s="373" t="n">
        <f aca="false">'Master Plan'!$H$26+(-13)</f>
        <v>46390</v>
      </c>
      <c r="K111" s="78"/>
      <c r="L111" s="78" t="str">
        <f aca="false">IF(ISNUMBER(อัปเดตรายสัปดาห์!$AF$26),อัปเดตรายสัปดาห์!$AF$26,"")</f>
        <v/>
      </c>
      <c r="M111" s="374" t="str">
        <f aca="false">IF(อัปเดตรายสัปดาห์!$AF$26="Y","Y","")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Plan'!$Y$26)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Plan'!$H$26+(-13)</f>
        <v>46390</v>
      </c>
      <c r="J112" s="382" t="n">
        <f aca="false">'Master Plan'!$H$26+(-13)</f>
        <v>46390</v>
      </c>
      <c r="K112" s="387"/>
      <c r="L112" s="387"/>
      <c r="M112" s="383" t="str">
        <f aca="false">IF('อัปเดตงาน WBS'!$L$1553="","",'อัปเดตงาน WBS'!$L$1553)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Plan'!$H$26+(-13)</f>
        <v>46390</v>
      </c>
      <c r="J113" s="382" t="n">
        <f aca="false">'Master Plan'!$H$26+(-13)</f>
        <v>46390</v>
      </c>
      <c r="K113" s="387"/>
      <c r="L113" s="387"/>
      <c r="M113" s="383" t="str">
        <f aca="false">IF('อัปเดตงาน WBS'!$L$1554="","",'อัปเดตงาน WBS'!$L$1554)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3743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Plan'!$H$26+(-12)</f>
        <v>46391</v>
      </c>
      <c r="J115" s="373" t="n">
        <f aca="false">'Master Plan'!$H$26+(-10)</f>
        <v>46393</v>
      </c>
      <c r="K115" s="78"/>
      <c r="L115" s="78" t="str">
        <f aca="false">IF(ISNUMBER(อัปเดตรายสัปดาห์!$AG$26),อัปเดตรายสัปดาห์!$AG$26,"")</f>
        <v/>
      </c>
      <c r="M115" s="374" t="str">
        <f aca="false">IF(อัปเดตรายสัปดาห์!$AG$26="Y","Y","")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Plan'!$AA$26)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Plan'!$H$26+(-12)</f>
        <v>46391</v>
      </c>
      <c r="J116" s="382" t="n">
        <f aca="false">'Master Plan'!$H$26+(-12)</f>
        <v>46391</v>
      </c>
      <c r="K116" s="387"/>
      <c r="L116" s="387"/>
      <c r="M116" s="383" t="str">
        <f aca="false">IF('อัปเดตงาน WBS'!$L$1555="","",'อัปเดตงาน WBS'!$L$1555)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Plan'!$H$26+(-12)</f>
        <v>46391</v>
      </c>
      <c r="J117" s="382" t="n">
        <f aca="false">'Master Plan'!$H$26+(-11)</f>
        <v>46392</v>
      </c>
      <c r="K117" s="387"/>
      <c r="L117" s="387"/>
      <c r="M117" s="383" t="str">
        <f aca="false">IF('อัปเดตงาน WBS'!$L$1556="","",'อัปเดตงาน WBS'!$L$1556)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Plan'!$H$26+(-11)</f>
        <v>46392</v>
      </c>
      <c r="J118" s="382" t="n">
        <f aca="false">'Master Plan'!$H$26+(-11)</f>
        <v>46392</v>
      </c>
      <c r="K118" s="387"/>
      <c r="L118" s="387"/>
      <c r="M118" s="383" t="str">
        <f aca="false">IF('อัปเดตงาน WBS'!$L$1557="","",'อัปเดตงาน WBS'!$L$1557)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Plan'!$H$26+(-11)</f>
        <v>46392</v>
      </c>
      <c r="J119" s="382" t="n">
        <f aca="false">'Master Plan'!$H$26+(-11)</f>
        <v>46392</v>
      </c>
      <c r="K119" s="387"/>
      <c r="L119" s="387"/>
      <c r="M119" s="383" t="str">
        <f aca="false">IF('อัปเดตงาน WBS'!$L$1558="","",'อัปเดตงาน WBS'!$L$1558)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Plan'!$H$26+(-11)</f>
        <v>46392</v>
      </c>
      <c r="J120" s="382" t="n">
        <f aca="false">'Master Plan'!$H$26+(-10)</f>
        <v>46393</v>
      </c>
      <c r="K120" s="387"/>
      <c r="L120" s="387"/>
      <c r="M120" s="383" t="str">
        <f aca="false">IF('อัปเดตงาน WBS'!$L$1559="","",'อัปเดตงาน WBS'!$L$1559)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Plan'!$H$26+(-11)</f>
        <v>46392</v>
      </c>
      <c r="J121" s="382" t="n">
        <f aca="false">'Master Plan'!$H$26+(-10)</f>
        <v>46393</v>
      </c>
      <c r="K121" s="387"/>
      <c r="L121" s="387"/>
      <c r="M121" s="383" t="str">
        <f aca="false">IF('อัปเดตงาน WBS'!$L$1560="","",'อัปเดตงาน WBS'!$L$1560)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117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Plan'!$H$26+(-10)</f>
        <v>46393</v>
      </c>
      <c r="J122" s="373" t="n">
        <f aca="false">'Master Plan'!$H$26+(-10)</f>
        <v>46393</v>
      </c>
      <c r="K122" s="78"/>
      <c r="L122" s="78" t="str">
        <f aca="false">IF(ISNUMBER(อัปเดตรายสัปดาห์!$AH$26),อัปเดตรายสัปดาห์!$AH$26,"")</f>
        <v/>
      </c>
      <c r="M122" s="374" t="str">
        <f aca="false">IF(อัปเดตรายสัปดาห์!$AH$26="Y","Y","")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Plan'!$Z$26)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117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Plan'!$H$26+(-12)</f>
        <v>46391</v>
      </c>
      <c r="J123" s="373" t="n">
        <f aca="false">'Master Plan'!$H$26+(-8)</f>
        <v>46395</v>
      </c>
      <c r="K123" s="78" t="str">
        <f aca="false">IF(ISNUMBER(อัปเดตรายสัปดาห์!$AI$26),อัปเดตรายสัปดาห์!$AI$26,"")</f>
        <v/>
      </c>
      <c r="L123" s="78" t="str">
        <f aca="false">IF(ISNUMBER(อัปเดตรายสัปดาห์!$AJ$26),อัปเดตรายสัปดาห์!$AJ$26,"")</f>
        <v/>
      </c>
      <c r="M123" s="374" t="str">
        <f aca="false">IF(อัปเดตรายสัปดาห์!$AJ$26="Y","Y","")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117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Plan'!$H$26+(37)</f>
        <v>46440</v>
      </c>
      <c r="J124" s="373" t="n">
        <f aca="false">'Master Plan'!$H$26+(50)</f>
        <v>46453</v>
      </c>
      <c r="K124" s="78"/>
      <c r="L124" s="78" t="str">
        <f aca="false">IF(ISNUMBER(อัปเดตรายสัปดาห์!$AK$26),อัปเดตรายสัปดาห์!$AK$26,"")</f>
        <v/>
      </c>
      <c r="M124" s="374" t="str">
        <f aca="false">IF(อัปเดตรายสัปดาห์!$AK$26="Y","Y","")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Plan'!$H$26+(37)</f>
        <v>46440</v>
      </c>
      <c r="J125" s="382" t="n">
        <f aca="false">'Master Plan'!$H$26+(41)</f>
        <v>46444</v>
      </c>
      <c r="K125" s="387"/>
      <c r="L125" s="387"/>
      <c r="M125" s="383" t="str">
        <f aca="false">IF('อัปเดตงาน WBS'!$L$1561="","",'อัปเดตงาน WBS'!$L$1561)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Plan'!$H$26+(40)</f>
        <v>46443</v>
      </c>
      <c r="J126" s="382" t="n">
        <f aca="false">'Master Plan'!$H$26+(47)</f>
        <v>46450</v>
      </c>
      <c r="K126" s="387"/>
      <c r="L126" s="387"/>
      <c r="M126" s="383" t="str">
        <f aca="false">IF('อัปเดตงาน WBS'!$L$1562="","",'อัปเดตงาน WBS'!$L$1562)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Plan'!$H$26+(47)</f>
        <v>46450</v>
      </c>
      <c r="J127" s="382" t="n">
        <f aca="false">'Master Plan'!$H$26+(50)</f>
        <v>46453</v>
      </c>
      <c r="K127" s="387"/>
      <c r="L127" s="387"/>
      <c r="M127" s="383" t="str">
        <f aca="false">IF('อัปเดตงาน WBS'!$L$1563="","",'อัปเดตงาน WBS'!$L$1563)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3743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Plan'!$H$26+(0)</f>
        <v>46403</v>
      </c>
      <c r="J128" s="373" t="n">
        <f aca="false">'Master Plan'!$H$26+(0)</f>
        <v>46403</v>
      </c>
      <c r="K128" s="78"/>
      <c r="L128" s="78" t="str">
        <f aca="false">IF(ISNUMBER(อัปเดตรายสัปดาห์!$AL$26),อัปเดตรายสัปดาห์!$AL$26,"")</f>
        <v/>
      </c>
      <c r="M128" s="374" t="str">
        <f aca="false">IF(อัปเดตรายสัปดาห์!$AL$26="Y","Y","")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Plan'!$AB$26)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Plan'!$H$26+(0)</f>
        <v>46403</v>
      </c>
      <c r="J129" s="373" t="n">
        <f aca="false">'Master Plan'!$H$26+(0)</f>
        <v>46403</v>
      </c>
      <c r="K129" s="78"/>
      <c r="L129" s="78" t="str">
        <f aca="false">IF(ISNUMBER(อัปเดตรายสัปดาห์!$AM$26),อัปเดตรายสัปดาห์!$AM$26,"")</f>
        <v/>
      </c>
      <c r="M129" s="374" t="str">
        <f aca="false">IF(อัปเดตรายสัปดาห์!$AM$26="Y","Y","")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Plan'!$H$26+(0)</f>
        <v>46403</v>
      </c>
      <c r="J130" s="373" t="n">
        <f aca="false">'Master Plan'!$H$26+(0)</f>
        <v>46403</v>
      </c>
      <c r="K130" s="78"/>
      <c r="L130" s="78" t="str">
        <f aca="false">IF(ISNUMBER(อัปเดตรายสัปดาห์!$AN$26),อัปเดตรายสัปดาห์!$AN$26,"")</f>
        <v/>
      </c>
      <c r="M130" s="374" t="str">
        <f aca="false">IF(อัปเดตรายสัปดาห์!$AN$26="Y","Y","")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117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Plan'!$H$26+(34)</f>
        <v>46437</v>
      </c>
      <c r="J131" s="373" t="n">
        <f aca="false">'Master Plan'!$H$26+(36)</f>
        <v>46439</v>
      </c>
      <c r="K131" s="78"/>
      <c r="L131" s="78" t="str">
        <f aca="false">IF(ISNUMBER(อัปเดตรายสัปดาห์!$AO$26),อัปเดตรายสัปดาห์!$AO$26,"")</f>
        <v/>
      </c>
      <c r="M131" s="374" t="str">
        <f aca="false">IF(อัปเดตรายสัปดาห์!$AO$26="Y","Y","")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SUMPRODUCT((SITE_ST="P9-019")*(SITE_TYPE=$B136)*(SITE_TYPE&lt;&gt;""))</f>
        <v>0</v>
      </c>
      <c r="E136" s="397" t="n">
        <f aca="false">SUMPRODUCT((SITE_ST="P9-019")*(SITE_TYPE=$B136)*SITE_MOD)</f>
        <v>0</v>
      </c>
      <c r="I136" s="398" t="n">
        <f aca="false">SUMPRODUCT((SITE_ST="P9-019")*(SITE_TYPE=$B136)*SITE_KWP)</f>
        <v>0</v>
      </c>
      <c r="J136" s="35" t="str">
        <f aca="false">IF(SUMPRODUCT((SITE_ST="P9-019")*(SITE_TYPE=$B136)*(SITE_TYPE&lt;&gt;""))=0,"",SUMPRODUCT((SITE_ST="P9-019")*(SITE_TYPE=$B136)*SITE_S21*SITE_D21)/MAX(0.0001,SUMPRODUCT((SITE_ST="P9-019")*(SITE_TYPE=$B136)*SITE_S21)))</f>
        <v/>
      </c>
      <c r="K136" s="32" t="str">
        <f aca="false">IF(SUMPRODUCT((SITE_ST="P9-019")*(SITE_TYPE=$B136)*(SITE_TYPE&lt;&gt;""))=0,"",SUMPRODUCT((SITE_ST="P9-019")*(SITE_TYPE=$B136)*(SITE_TYPE&lt;&gt;"")*(SITE_T22="Y"))&amp;"/"&amp;SUMPRODUCT((SITE_ST="P9-019")*(SITE_TYPE=$B136)*(SITE_TYPE&lt;&gt;"")))</f>
        <v/>
      </c>
      <c r="L136" s="32" t="str">
        <f aca="false">IF(SUMPRODUCT((SITE_ST="P9-019")*(SITE_TYPE=$B136)*(SITE_TYPE&lt;&gt;""))=0,"",SUMPRODUCT((SITE_ST="P9-019")*(SITE_TYPE=$B136)*(SITE_TYPE&lt;&gt;"")*(SITE_T23="Y"))&amp;"/"&amp;SUMPRODUCT((SITE_ST="P9-019")*(SITE_TYPE=$B136)*(SITE_TYPE&lt;&gt;"")))</f>
        <v/>
      </c>
      <c r="O136" s="32" t="str">
        <f aca="false">IF(SUMPRODUCT((SITE_ST="P9-019")*(SITE_TYPE=$B136)*(LEFT(SITE_LAD,4)="ติด:"))=0,"",SUMPRODUCT((SITE_ST="P9-019")*(SITE_TYPE=$B136)*(LEFT(SITE_LAD,4)="ติด:"))&amp;"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SUMPRODUCT((SITE_ST="P9-019")*(SITE_TYPE=$B137)*(SITE_TYPE&lt;&gt;""))</f>
        <v>0</v>
      </c>
      <c r="E137" s="397" t="n">
        <f aca="false">SUMPRODUCT((SITE_ST="P9-019")*(SITE_TYPE=$B137)*SITE_MOD)</f>
        <v>0</v>
      </c>
      <c r="I137" s="398" t="n">
        <f aca="false">SUMPRODUCT((SITE_ST="P9-019")*(SITE_TYPE=$B137)*SITE_KWP)</f>
        <v>0</v>
      </c>
      <c r="J137" s="35" t="str">
        <f aca="false">IF(SUMPRODUCT((SITE_ST="P9-019")*(SITE_TYPE=$B137)*(SITE_TYPE&lt;&gt;""))=0,"",SUMPRODUCT((SITE_ST="P9-019")*(SITE_TYPE=$B137)*SITE_S21*SITE_D21)/MAX(0.0001,SUMPRODUCT((SITE_ST="P9-019")*(SITE_TYPE=$B137)*SITE_S21)))</f>
        <v/>
      </c>
      <c r="K137" s="32" t="str">
        <f aca="false">IF(SUMPRODUCT((SITE_ST="P9-019")*(SITE_TYPE=$B137)*(SITE_TYPE&lt;&gt;""))=0,"",SUMPRODUCT((SITE_ST="P9-019")*(SITE_TYPE=$B137)*(SITE_TYPE&lt;&gt;"")*(SITE_T22="Y"))&amp;"/"&amp;SUMPRODUCT((SITE_ST="P9-019")*(SITE_TYPE=$B137)*(SITE_TYPE&lt;&gt;"")))</f>
        <v/>
      </c>
      <c r="L137" s="32" t="str">
        <f aca="false">IF(SUMPRODUCT((SITE_ST="P9-019")*(SITE_TYPE=$B137)*(SITE_TYPE&lt;&gt;""))=0,"",SUMPRODUCT((SITE_ST="P9-019")*(SITE_TYPE=$B137)*(SITE_TYPE&lt;&gt;"")*(SITE_T23="Y"))&amp;"/"&amp;SUMPRODUCT((SITE_ST="P9-019")*(SITE_TYPE=$B137)*(SITE_TYPE&lt;&gt;"")))</f>
        <v/>
      </c>
      <c r="O137" s="32" t="str">
        <f aca="false">IF(SUMPRODUCT((SITE_ST="P9-019")*(SITE_TYPE=$B137)*(LEFT(SITE_LAD,4)="ติด:"))=0,"",SUMPRODUCT((SITE_ST="P9-019")*(SITE_TYPE=$B137)*(LEFT(SITE_LAD,4)="ติด:"))&amp;"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SUMPRODUCT((SITE_ST="P9-019")*(SITE_TYPE=$B138)*(SITE_TYPE&lt;&gt;""))</f>
        <v>0</v>
      </c>
      <c r="E138" s="397" t="n">
        <f aca="false">SUMPRODUCT((SITE_ST="P9-019")*(SITE_TYPE=$B138)*SITE_MOD)</f>
        <v>0</v>
      </c>
      <c r="I138" s="398" t="n">
        <f aca="false">SUMPRODUCT((SITE_ST="P9-019")*(SITE_TYPE=$B138)*SITE_KWP)</f>
        <v>0</v>
      </c>
      <c r="J138" s="35" t="str">
        <f aca="false">IF(SUMPRODUCT((SITE_ST="P9-019")*(SITE_TYPE=$B138)*(SITE_TYPE&lt;&gt;""))=0,"",SUMPRODUCT((SITE_ST="P9-019")*(SITE_TYPE=$B138)*SITE_S21*SITE_D21)/MAX(0.0001,SUMPRODUCT((SITE_ST="P9-019")*(SITE_TYPE=$B138)*SITE_S21)))</f>
        <v/>
      </c>
      <c r="K138" s="32" t="str">
        <f aca="false">IF(SUMPRODUCT((SITE_ST="P9-019")*(SITE_TYPE=$B138)*(SITE_TYPE&lt;&gt;""))=0,"",SUMPRODUCT((SITE_ST="P9-019")*(SITE_TYPE=$B138)*(SITE_TYPE&lt;&gt;"")*(SITE_T22="Y"))&amp;"/"&amp;SUMPRODUCT((SITE_ST="P9-019")*(SITE_TYPE=$B138)*(SITE_TYPE&lt;&gt;"")))</f>
        <v/>
      </c>
      <c r="L138" s="32" t="str">
        <f aca="false">IF(SUMPRODUCT((SITE_ST="P9-019")*(SITE_TYPE=$B138)*(SITE_TYPE&lt;&gt;""))=0,"",SUMPRODUCT((SITE_ST="P9-019")*(SITE_TYPE=$B138)*(SITE_TYPE&lt;&gt;"")*(SITE_T23="Y"))&amp;"/"&amp;SUMPRODUCT((SITE_ST="P9-019")*(SITE_TYPE=$B138)*(SITE_TYPE&lt;&gt;"")))</f>
        <v/>
      </c>
      <c r="O138" s="32" t="str">
        <f aca="false">IF(SUMPRODUCT((SITE_ST="P9-019")*(SITE_TYPE=$B138)*(LEFT(SITE_LAD,4)="ติด:"))=0,"",SUMPRODUCT((SITE_ST="P9-019")*(SITE_TYPE=$B138)*(LEFT(SITE_LAD,4)="ติด:"))&amp;"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SUMPRODUCT((SITE_ST="P9-019")*(SITE_TYPE=$B139)*(SITE_TYPE&lt;&gt;""))</f>
        <v>0</v>
      </c>
      <c r="E139" s="397" t="n">
        <f aca="false">SUMPRODUCT((SITE_ST="P9-019")*(SITE_TYPE=$B139)*SITE_MOD)</f>
        <v>0</v>
      </c>
      <c r="I139" s="398" t="n">
        <f aca="false">SUMPRODUCT((SITE_ST="P9-019")*(SITE_TYPE=$B139)*SITE_KWP)</f>
        <v>0</v>
      </c>
      <c r="J139" s="35" t="str">
        <f aca="false">IF(SUMPRODUCT((SITE_ST="P9-019")*(SITE_TYPE=$B139)*(SITE_TYPE&lt;&gt;""))=0,"",SUMPRODUCT((SITE_ST="P9-019")*(SITE_TYPE=$B139)*SITE_S21*SITE_D21)/MAX(0.0001,SUMPRODUCT((SITE_ST="P9-019")*(SITE_TYPE=$B139)*SITE_S21)))</f>
        <v/>
      </c>
      <c r="K139" s="32" t="str">
        <f aca="false">IF(SUMPRODUCT((SITE_ST="P9-019")*(SITE_TYPE=$B139)*(SITE_TYPE&lt;&gt;""))=0,"",SUMPRODUCT((SITE_ST="P9-019")*(SITE_TYPE=$B139)*(SITE_TYPE&lt;&gt;"")*(SITE_T22="Y"))&amp;"/"&amp;SUMPRODUCT((SITE_ST="P9-019")*(SITE_TYPE=$B139)*(SITE_TYPE&lt;&gt;"")))</f>
        <v/>
      </c>
      <c r="L139" s="32" t="str">
        <f aca="false">IF(SUMPRODUCT((SITE_ST="P9-019")*(SITE_TYPE=$B139)*(SITE_TYPE&lt;&gt;""))=0,"",SUMPRODUCT((SITE_ST="P9-019")*(SITE_TYPE=$B139)*(SITE_TYPE&lt;&gt;"")*(SITE_T23="Y"))&amp;"/"&amp;SUMPRODUCT((SITE_ST="P9-019")*(SITE_TYPE=$B139)*(SITE_TYPE&lt;&gt;"")))</f>
        <v/>
      </c>
      <c r="O139" s="32" t="str">
        <f aca="false">IF(SUMPRODUCT((SITE_ST="P9-019")*(SITE_TYPE=$B139)*(LEFT(SITE_LAD,4)="ติด:"))=0,"",SUMPRODUCT((SITE_ST="P9-019")*(SITE_TYPE=$B139)*(LEFT(SITE_LAD,4)="ติด:"))&amp;"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SUMPRODUCT((SITE_ST="P9-019")*(SITE_TYPE=$B140)*(SITE_TYPE&lt;&gt;""))</f>
        <v>0</v>
      </c>
      <c r="E140" s="397" t="n">
        <f aca="false">SUMPRODUCT((SITE_ST="P9-019")*(SITE_TYPE=$B140)*SITE_MOD)</f>
        <v>0</v>
      </c>
      <c r="I140" s="398" t="n">
        <f aca="false">SUMPRODUCT((SITE_ST="P9-019")*(SITE_TYPE=$B140)*SITE_KWP)</f>
        <v>0</v>
      </c>
      <c r="J140" s="35" t="str">
        <f aca="false">IF(SUMPRODUCT((SITE_ST="P9-019")*(SITE_TYPE=$B140)*(SITE_TYPE&lt;&gt;""))=0,"",SUMPRODUCT((SITE_ST="P9-019")*(SITE_TYPE=$B140)*SITE_S21*SITE_D21)/MAX(0.0001,SUMPRODUCT((SITE_ST="P9-019")*(SITE_TYPE=$B140)*SITE_S21)))</f>
        <v/>
      </c>
      <c r="K140" s="32" t="str">
        <f aca="false">IF(SUMPRODUCT((SITE_ST="P9-019")*(SITE_TYPE=$B140)*(SITE_TYPE&lt;&gt;""))=0,"",SUMPRODUCT((SITE_ST="P9-019")*(SITE_TYPE=$B140)*(SITE_TYPE&lt;&gt;"")*(SITE_T22="Y"))&amp;"/"&amp;SUMPRODUCT((SITE_ST="P9-019")*(SITE_TYPE=$B140)*(SITE_TYPE&lt;&gt;"")))</f>
        <v/>
      </c>
      <c r="L140" s="32" t="str">
        <f aca="false">IF(SUMPRODUCT((SITE_ST="P9-019")*(SITE_TYPE=$B140)*(SITE_TYPE&lt;&gt;""))=0,"",SUMPRODUCT((SITE_ST="P9-019")*(SITE_TYPE=$B140)*(SITE_TYPE&lt;&gt;"")*(SITE_T23="Y"))&amp;"/"&amp;SUMPRODUCT((SITE_ST="P9-019")*(SITE_TYPE=$B140)*(SITE_TYPE&lt;&gt;"")))</f>
        <v/>
      </c>
      <c r="O140" s="32" t="str">
        <f aca="false">IF(SUMPRODUCT((SITE_ST="P9-019")*(SITE_TYPE=$B140)*(LEFT(SITE_LAD,4)="ติด:"))=0,"",SUMPRODUCT((SITE_ST="P9-019")*(SITE_TYPE=$B140)*(LEFT(SITE_LAD,4)="ติด:"))&amp;"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SUMPRODUCT((SITE_ST="P9-019")*(SITE_TYPE=$B141)*(SITE_TYPE&lt;&gt;""))</f>
        <v>1</v>
      </c>
      <c r="E141" s="397" t="n">
        <f aca="false">SUMPRODUCT((SITE_ST="P9-019")*(SITE_TYPE=$B141)*SITE_MOD)</f>
        <v>264</v>
      </c>
      <c r="I141" s="398" t="n">
        <f aca="false">SUMPRODUCT((SITE_ST="P9-019")*(SITE_TYPE=$B141)*SITE_KWP)</f>
        <v>150.48</v>
      </c>
      <c r="J141" s="35" t="n">
        <f aca="false">IF(SUMPRODUCT((SITE_ST="P9-019")*(SITE_TYPE=$B141)*(SITE_TYPE&lt;&gt;""))=0,"",SUMPRODUCT((SITE_ST="P9-019")*(SITE_TYPE=$B141)*SITE_S21*SITE_D21)/MAX(0.0001,SUMPRODUCT((SITE_ST="P9-019")*(SITE_TYPE=$B141)*SITE_S21)))</f>
        <v>0</v>
      </c>
      <c r="K141" s="32" t="str">
        <f aca="false">IF(SUMPRODUCT((SITE_ST="P9-019")*(SITE_TYPE=$B141)*(SITE_TYPE&lt;&gt;""))=0,"",SUMPRODUCT((SITE_ST="P9-019")*(SITE_TYPE=$B141)*(SITE_TYPE&lt;&gt;"")*(SITE_T22="Y"))&amp;"/"&amp;SUMPRODUCT((SITE_ST="P9-019")*(SITE_TYPE=$B141)*(SITE_TYPE&lt;&gt;"")))</f>
        <v>0/1</v>
      </c>
      <c r="L141" s="32" t="str">
        <f aca="false">IF(SUMPRODUCT((SITE_ST="P9-019")*(SITE_TYPE=$B141)*(SITE_TYPE&lt;&gt;""))=0,"",SUMPRODUCT((SITE_ST="P9-019")*(SITE_TYPE=$B141)*(SITE_TYPE&lt;&gt;"")*(SITE_T23="Y"))&amp;"/"&amp;SUMPRODUCT((SITE_ST="P9-019")*(SITE_TYPE=$B141)*(SITE_TYPE&lt;&gt;"")))</f>
        <v>0/1</v>
      </c>
      <c r="O141" s="32" t="str">
        <f aca="false">IF(SUMPRODUCT((SITE_ST="P9-019")*(SITE_TYPE=$B141)*(LEFT(SITE_LAD,4)="ติด:"))=0,"",SUMPRODUCT((SITE_ST="P9-019")*(SITE_TYPE=$B141)*(LEFT(SITE_LAD,4)="ติด:"))&amp;"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SUMPRODUCT((SITE_ST="P9-019")*(SITE_TYPE&lt;&gt;""))</f>
        <v>1</v>
      </c>
      <c r="E142" s="403" t="n">
        <f aca="false">SUMPRODUCT((SITE_ST="P9-019")*SITE_MOD)</f>
        <v>264</v>
      </c>
      <c r="I142" s="404" t="n">
        <f aca="false">SUMPRODUCT((SITE_ST="P9-019")*SITE_KWP)</f>
        <v>150.48</v>
      </c>
      <c r="J142" s="405" t="n">
        <f aca="false">IF(SUMPRODUCT((SITE_ST="P9-019")*(SITE_TYPE&lt;&gt;""))=0,"",SUMPRODUCT((SITE_ST="P9-019")*SITE_S21*SITE_D21)/MAX(0.0001,SUMPRODUCT((SITE_ST="P9-019")*SITE_S21)))</f>
        <v>0</v>
      </c>
      <c r="K142" s="406" t="str">
        <f aca="false">IF(SUMPRODUCT((SITE_ST="P9-019")*(SITE_TYPE&lt;&gt;""))=0,"",SUMPRODUCT((SITE_ST="P9-019")*(SITE_TYPE&lt;&gt;"")*(SITE_T22="Y"))&amp;"/"&amp;SUMPRODUCT((SITE_ST="P9-019")*(SITE_TYPE&lt;&gt;"")))</f>
        <v>0/1</v>
      </c>
      <c r="L142" s="406" t="str">
        <f aca="false">IF(SUMPRODUCT((SITE_ST="P9-019")*(SITE_TYPE&lt;&gt;""))=0,"",SUMPRODUCT((SITE_ST="P9-019")*(SITE_TYPE&lt;&gt;"")*(SITE_T23="Y"))&amp;"/"&amp;SUMPRODUCT((SITE_ST="P9-019")*(SITE_TYPE&lt;&gt;"")))</f>
        <v>0/1</v>
      </c>
      <c r="O142" s="406" t="str">
        <f aca="false">IF(SUMPRODUCT((SITE_ST="P9-019")*(LEFT(SITE_LAD,4)="ติด:"))=0,"",SUMPRODUCT((SITE_ST="P9-019")*(LEFT(SITE_LAD,4)="ติด:"))&amp;"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IFERROR(INDEX(INVS_TYPE,MATCH("P9-019",INVS_ID,0))&amp;"","")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ทั้งก้อน",IFERROR(INDEX(INVS_SET,MATCH("P9-019",INVS_ID,0)),"")&amp;" kW, โรงเรือน "&amp;IFERROR(INDEX(INVS_SIZE,MATCH("P9-019",INVS_ID,0)),"")&amp;", "&amp;IFERROR(INDEX(INV_NOTE,MATCH($D$146,INV_NAMES,0)),""))</f>
        <v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6" display="✎ กรอกความคืบหน้า"/>
    <hyperlink ref="R4" location="'Master Plan'!A26" display="← กลับ Master Plan"/>
    <hyperlink ref="M10" location="'อัปเดตงาน WBS'!L14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4"/>
    <hyperlink ref="M11" location="'อัปเดตงาน WBS'!L14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5"/>
    <hyperlink ref="M12" location="'อัปเดตงาน WBS'!L14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6"/>
    <hyperlink ref="M13" location="'อัปเดตงาน WBS'!L14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7"/>
    <hyperlink ref="M14" location="'อัปเดตงาน WBS'!L14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8"/>
    <hyperlink ref="M15" location="'อัปเดตงาน WBS'!L14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89"/>
    <hyperlink ref="M17" location="'อัปเดตงาน WBS'!L14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0"/>
    <hyperlink ref="M18" location="'อัปเดตงาน WBS'!L14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1"/>
    <hyperlink ref="M19" location="'อัปเดตงาน WBS'!L14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2"/>
    <hyperlink ref="M20" location="'อัปเดตงาน WBS'!L14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3"/>
    <hyperlink ref="M21" location="'อัปเดตงาน WBS'!L14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4"/>
    <hyperlink ref="M22" location="'อัปเดตงาน WBS'!L14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5"/>
    <hyperlink ref="M24" location="'อัปเดตงาน WBS'!L14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6"/>
    <hyperlink ref="M26" location="'อัปเดตงาน WBS'!L14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7"/>
    <hyperlink ref="M27" location="'อัปเดตงาน WBS'!L14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8"/>
    <hyperlink ref="M28" location="'อัปเดตงาน WBS'!L14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499"/>
    <hyperlink ref="M31" location="'อัปเดตงาน WBS'!L15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0"/>
    <hyperlink ref="M32" location="'อัปเดตงาน WBS'!L15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1"/>
    <hyperlink ref="M33" location="'อัปเดตงาน WBS'!L15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2"/>
    <hyperlink ref="M35" location="'อัปเดตงาน WBS'!L15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3"/>
    <hyperlink ref="M36" location="'อัปเดตงาน WBS'!L15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4"/>
    <hyperlink ref="M37" location="'อัปเดตงาน WBS'!L15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5"/>
    <hyperlink ref="M38" location="'อัปเดตงาน WBS'!L15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6"/>
    <hyperlink ref="M40" location="'อัปเดตงาน WBS'!L15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7"/>
    <hyperlink ref="M41" location="'อัปเดตงาน WBS'!L15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8"/>
    <hyperlink ref="M42" location="'อัปเดตงาน WBS'!L15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09"/>
    <hyperlink ref="M44" location="'อัปเดตงาน WBS'!L15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0"/>
    <hyperlink ref="M45" location="'อัปเดตงาน WBS'!L15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1"/>
    <hyperlink ref="M46" location="'อัปเดตงาน WBS'!L15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2"/>
    <hyperlink ref="M53" location="'อัปเดตงาน WBS'!L15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3"/>
    <hyperlink ref="M54" location="'อัปเดตงาน WBS'!L15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4"/>
    <hyperlink ref="M63" location="'อัปเดตงาน WBS'!L15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5"/>
    <hyperlink ref="M64" location="'อัปเดตงาน WBS'!L15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6"/>
    <hyperlink ref="M65" location="'อัปเดตงาน WBS'!L15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7"/>
    <hyperlink ref="M66" location="'อัปเดตงาน WBS'!L15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8"/>
    <hyperlink ref="M67" location="'อัปเดตงาน WBS'!L15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19"/>
    <hyperlink ref="M68" location="'อัปเดตงาน WBS'!L15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0"/>
    <hyperlink ref="M69" location="'อัปเดตงาน WBS'!L15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1"/>
    <hyperlink ref="M71" location="'อัปเดตงาน WBS'!L15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2"/>
    <hyperlink ref="M72" location="'อัปเดตงาน WBS'!L15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3"/>
    <hyperlink ref="M73" location="'อัปเดตงาน WBS'!L15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4"/>
    <hyperlink ref="M74" location="'อัปเดตงาน WBS'!L15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5"/>
    <hyperlink ref="M75" location="'อัปเดตงาน WBS'!L15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6"/>
    <hyperlink ref="M77" location="'อัปเดตงาน WBS'!L15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7"/>
    <hyperlink ref="M78" location="'อัปเดตงาน WBS'!L15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8"/>
    <hyperlink ref="M79" location="'อัปเดตงาน WBS'!L15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29"/>
    <hyperlink ref="M80" location="'อัปเดตงาน WBS'!L15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0"/>
    <hyperlink ref="M81" location="'อัปเดตงาน WBS'!L15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1"/>
    <hyperlink ref="M83" location="'อัปเดตงาน WBS'!L15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2"/>
    <hyperlink ref="M84" location="'อัปเดตงาน WBS'!L15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3"/>
    <hyperlink ref="M86" location="'อัปเดตงาน WBS'!L15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4"/>
    <hyperlink ref="M87" location="'อัปเดตงาน WBS'!L15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5"/>
    <hyperlink ref="M88" location="'อัปเดตงาน WBS'!L15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6"/>
    <hyperlink ref="M89" location="'อัปเดตงาน WBS'!L15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7"/>
    <hyperlink ref="M91" location="'อัปเดตงาน WBS'!L15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8"/>
    <hyperlink ref="M92" location="'อัปเดตงาน WBS'!L15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39"/>
    <hyperlink ref="M93" location="'อัปเดตงาน WBS'!L15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0"/>
    <hyperlink ref="M94" location="'อัปเดตงาน WBS'!L15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1"/>
    <hyperlink ref="M95" location="'อัปเดตงาน WBS'!L15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2"/>
    <hyperlink ref="M97" location="'อัปเดตงาน WBS'!L15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3"/>
    <hyperlink ref="M98" location="'อัปเดตงาน WBS'!L15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4"/>
    <hyperlink ref="M99" location="'อัปเดตงาน WBS'!L15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5"/>
    <hyperlink ref="M103" location="'อัปเดตงาน WBS'!L15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6"/>
    <hyperlink ref="M104" location="'อัปเดตงาน WBS'!L154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7"/>
    <hyperlink ref="M105" location="'อัปเดตงาน WBS'!L154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8"/>
    <hyperlink ref="M106" location="'อัปเดตงาน WBS'!L154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49"/>
    <hyperlink ref="M108" location="'อัปเดตงาน WBS'!L155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0"/>
    <hyperlink ref="M109" location="'อัปเดตงาน WBS'!L155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1"/>
    <hyperlink ref="M110" location="'อัปเดตงาน WBS'!L155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2"/>
    <hyperlink ref="M112" location="'อัปเดตงาน WBS'!L155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3"/>
    <hyperlink ref="M113" location="'อัปเดตงาน WBS'!L155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4"/>
    <hyperlink ref="M116" location="'อัปเดตงาน WBS'!L155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5"/>
    <hyperlink ref="M117" location="'อัปเดตงาน WBS'!L155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6"/>
    <hyperlink ref="M118" location="'อัปเดตงาน WBS'!L155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7"/>
    <hyperlink ref="M119" location="'อัปเดตงาน WBS'!L155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8"/>
    <hyperlink ref="M120" location="'อัปเดตงาน WBS'!L155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59"/>
    <hyperlink ref="M121" location="'อัปเดตงาน WBS'!L156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0"/>
    <hyperlink ref="M125" location="'อัปเดตงาน WBS'!L156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1"/>
    <hyperlink ref="M126" location="'อัปเดตงาน WBS'!L156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2"/>
    <hyperlink ref="M127" location="'อัปเดตงาน WBS'!L156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3"/>
    <hyperlink ref="D134" location="'จุดติดตั้ง'!A97" display="✎ เพิ่ม / แก้จุดติดตั้ง →"/>
    <hyperlink ref="D146" location="'Inverter station'!A24" display="file:///home/claude/dash/template/%E0%B9%81%E0%B8%A1%E0%B9%88%E0%B9%81%E0%B8%9A%E0%B8%9A%E0%B9%82%E0%B8%84%E0%B8%A3%E0%B8%87%E0%B8%81%E0%B8%B2%E0%B8%A3%20TCRoof%20(%E0%B8%97%E0%B8%B8%E0%B8%81%E0%B8%81%E0%B8%A3%E0%B8%93%E0%B8%B5).xlsx#'Inverter station'!A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12" min="9" style="0" width="9.51"/>
    <col collapsed="false" customWidth="true" hidden="false" outlineLevel="0" max="13" min="13" style="0" width="6"/>
    <col collapsed="false" customWidth="true" hidden="false" outlineLevel="0" max="15" min="14" style="0" width="9.51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1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74" min="27" style="0" width="3.3"/>
  </cols>
  <sheetData>
    <row r="1" customFormat="false" ht="18.65" hidden="false" customHeight="false" outlineLevel="0" collapsed="false">
      <c r="A1" s="37" t="s">
        <v>3744</v>
      </c>
    </row>
    <row r="2" customFormat="false" ht="15" hidden="false" customHeight="false" outlineLevel="0" collapsed="false">
      <c r="A2" s="354" t="s">
        <v>3745</v>
      </c>
    </row>
    <row r="3" customFormat="false" ht="24" hidden="false" customHeight="true" outlineLevel="0" collapsed="false">
      <c r="A3" s="230" t="s">
        <v>729</v>
      </c>
      <c r="C3" s="3" t="s">
        <v>3365</v>
      </c>
      <c r="D3" s="3" t="s">
        <v>2</v>
      </c>
      <c r="E3" s="3"/>
      <c r="F3" s="4" t="s">
        <v>3366</v>
      </c>
      <c r="G3" s="4"/>
      <c r="H3" s="4"/>
      <c r="J3" s="4" t="s">
        <v>3367</v>
      </c>
      <c r="K3" s="4"/>
      <c r="L3" s="3" t="s">
        <v>3368</v>
      </c>
      <c r="M3" s="3"/>
      <c r="N3" s="4" t="s">
        <v>3369</v>
      </c>
      <c r="O3" s="4"/>
      <c r="P3" s="4" t="s">
        <v>515</v>
      </c>
      <c r="Q3" s="4"/>
      <c r="R3" s="64" t="s">
        <v>3370</v>
      </c>
      <c r="AA3" s="355" t="s">
        <v>3371</v>
      </c>
      <c r="AB3" s="355"/>
      <c r="AC3" s="355"/>
      <c r="AD3" s="355"/>
      <c r="AE3" s="355"/>
      <c r="AF3" s="355" t="s">
        <v>3372</v>
      </c>
      <c r="AG3" s="355"/>
      <c r="AH3" s="355"/>
      <c r="AI3" s="355"/>
      <c r="AJ3" s="355"/>
      <c r="AK3" s="355" t="s">
        <v>3373</v>
      </c>
      <c r="AL3" s="355"/>
      <c r="AM3" s="355"/>
      <c r="AN3" s="355"/>
      <c r="AO3" s="355"/>
      <c r="AP3" s="356" t="s">
        <v>3374</v>
      </c>
      <c r="AQ3" s="356"/>
      <c r="AR3" s="356"/>
      <c r="AS3" s="356"/>
      <c r="AT3" s="356"/>
      <c r="AU3" s="356" t="s">
        <v>3375</v>
      </c>
      <c r="AV3" s="356"/>
      <c r="AW3" s="356"/>
      <c r="AX3" s="356"/>
      <c r="AY3" s="356"/>
      <c r="AZ3" s="356" t="s">
        <v>3376</v>
      </c>
      <c r="BA3" s="356"/>
      <c r="BB3" s="356"/>
      <c r="BC3" s="356"/>
      <c r="BD3" s="356"/>
      <c r="BE3" s="356" t="s">
        <v>3377</v>
      </c>
      <c r="BF3" s="356"/>
      <c r="BG3" s="356"/>
      <c r="BH3" s="356"/>
      <c r="BI3" s="356"/>
      <c r="BJ3" s="356" t="s">
        <v>3378</v>
      </c>
      <c r="BK3" s="356"/>
      <c r="BL3" s="356"/>
      <c r="BM3" s="356"/>
      <c r="BN3" s="356"/>
    </row>
    <row r="4" customFormat="false" ht="21.75" hidden="false" customHeight="true" outlineLevel="0" collapsed="false">
      <c r="C4" s="357" t="n">
        <v>46403</v>
      </c>
      <c r="D4" s="357" t="n">
        <f aca="false">ASOF</f>
        <v>46328</v>
      </c>
      <c r="E4" s="357"/>
      <c r="F4" s="358" t="n">
        <f aca="false">$O$60</f>
        <v>46433</v>
      </c>
      <c r="G4" s="358"/>
      <c r="H4" s="358"/>
      <c r="J4" s="359" t="n">
        <f aca="false">SUMPRODUCT($E$8:$E$131*($S$8:$S$131=1)*$V$8:$V$131)/100</f>
        <v>0</v>
      </c>
      <c r="K4" s="359"/>
      <c r="L4" s="360" t="n">
        <f aca="false">'Master Plan'!$AI$27</f>
        <v>-36</v>
      </c>
      <c r="M4" s="360"/>
      <c r="N4" s="360" t="n">
        <f aca="false">'Master Plan'!$AJ$27</f>
        <v>-3</v>
      </c>
      <c r="O4" s="360"/>
      <c r="P4" s="361" t="str">
        <f aca="false">'Master Plan'!$AK$27&amp;" / "&amp;'Master Plan'!$AL$27</f>
        <v>0 / 8</v>
      </c>
      <c r="Q4" s="361"/>
      <c r="R4" s="64" t="s">
        <v>3379</v>
      </c>
      <c r="AA4" s="362" t="str">
        <f aca="false">AB5&amp;IF(AG5="",", ยังไม่อนุมัติ",", อนุมัติ "&amp;AG5)</f>
        <v>REV 00 (จากกำหนดรอบ), ยังไม่อนุมัติ</v>
      </c>
      <c r="AB4" s="362"/>
      <c r="AC4" s="362"/>
      <c r="AD4" s="362"/>
      <c r="AE4" s="362"/>
      <c r="AF4" s="362" t="str">
        <f aca="false">COUNTIFS(CR_ST,"P9-020",CR_STAT,"อนุมัติ")&amp;" รายการ, "&amp;'Master Plan'!$AO$27&amp;" วัน"</f>
        <v>0 รายการ, 0 วัน</v>
      </c>
      <c r="AG4" s="362"/>
      <c r="AH4" s="362"/>
      <c r="AI4" s="362"/>
      <c r="AJ4" s="362"/>
      <c r="AK4" s="363" t="n">
        <f aca="false">COUNTIFS(CR_ST,"P9-020",CR_STAT,"รออนุมัติ")+COUNTIFS(CR_ST,"P9-020",CR_STAT,"ขอข้อมูลเพิ่ม")</f>
        <v>0</v>
      </c>
      <c r="AL4" s="363"/>
      <c r="AM4" s="363"/>
      <c r="AN4" s="363"/>
      <c r="AO4" s="363"/>
      <c r="AP4" s="362" t="str">
        <f aca="false">COUNTIF(RW_ST,"P9-020")&amp;" ("&amp;COUNTIFS(RW_ST,"P9-020",RW_DONE,"&lt;&gt;Y")&amp;")"</f>
        <v>0 (0)</v>
      </c>
      <c r="AQ4" s="362"/>
      <c r="AR4" s="362"/>
      <c r="AS4" s="362"/>
      <c r="AT4" s="362"/>
      <c r="AU4" s="362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362"/>
      <c r="AW4" s="362"/>
      <c r="AX4" s="362"/>
      <c r="AY4" s="362"/>
      <c r="AZ4" s="363" t="n">
        <f aca="false">COUNTIF(LL_ST,"*P9-020*")</f>
        <v>0</v>
      </c>
      <c r="BA4" s="363"/>
      <c r="BB4" s="363"/>
      <c r="BC4" s="363"/>
      <c r="BD4" s="363"/>
      <c r="BE4" s="362" t="str">
        <f aca="false">IF(COUNTIFS(SITE_ST,"P9-020",SITE_TYPE,"?*")=0,"ประมาณการ, รอสำรวจ","สำรวจแล้ว, % รายจุด")</f>
        <v>สำรวจแล้ว, % รายจุด</v>
      </c>
      <c r="BF4" s="362"/>
      <c r="BG4" s="362"/>
      <c r="BH4" s="362"/>
      <c r="BI4" s="362"/>
      <c r="BJ4" s="362" t="str">
        <f aca="false">IF(COUNTIFS(SITE_ST,"P9-020",SITE_TYPE,"?*")=0,"ยังไม่ระบุจุด",COUNTIFS(SITE_ST,"P9-020",SITE_LAD,"ติด:*")&amp;" จุด"&amp;IF(COUNTIFS(SITE_ST,"P9-020",SITE_LAD,"⚠*")&gt;0,", ⚠ กรอกความสูง",""))</f>
        <v>0 จุด</v>
      </c>
      <c r="BK4" s="362"/>
      <c r="BL4" s="362"/>
      <c r="BM4" s="362"/>
      <c r="BN4" s="362"/>
    </row>
    <row r="5" customFormat="false" ht="15" hidden="false" customHeight="false" outlineLevel="0" collapsed="false">
      <c r="A5" s="212" t="s">
        <v>3380</v>
      </c>
      <c r="B5" s="364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2" t="s">
        <v>3746</v>
      </c>
      <c r="AA5" s="123" t="s">
        <v>2408</v>
      </c>
      <c r="AB5" s="365" t="s">
        <v>3382</v>
      </c>
      <c r="AC5" s="365"/>
      <c r="AD5" s="365"/>
      <c r="AE5" s="365"/>
      <c r="AF5" s="123" t="s">
        <v>1727</v>
      </c>
      <c r="AG5" s="365"/>
      <c r="AH5" s="365"/>
      <c r="AI5" s="365"/>
      <c r="AJ5" s="365"/>
      <c r="AK5" s="123" t="s">
        <v>572</v>
      </c>
      <c r="AL5" s="366"/>
      <c r="AM5" s="366"/>
      <c r="AN5" s="366"/>
      <c r="AO5" s="366"/>
      <c r="AP5" s="128" t="s">
        <v>3383</v>
      </c>
    </row>
    <row r="6" customFormat="false" ht="15" hidden="false" customHeight="false" outlineLevel="0" collapsed="false">
      <c r="A6" s="42" t="s">
        <v>3384</v>
      </c>
      <c r="B6" s="42"/>
      <c r="C6" s="42"/>
      <c r="D6" s="42"/>
      <c r="E6" s="42" t="s">
        <v>3385</v>
      </c>
      <c r="F6" s="42"/>
      <c r="G6" s="42"/>
      <c r="H6" s="42"/>
      <c r="I6" s="43" t="s">
        <v>3386</v>
      </c>
      <c r="J6" s="43"/>
      <c r="K6" s="42" t="s">
        <v>3387</v>
      </c>
      <c r="L6" s="42"/>
      <c r="M6" s="42"/>
      <c r="N6" s="42" t="s">
        <v>3388</v>
      </c>
      <c r="O6" s="42"/>
      <c r="P6" s="42"/>
      <c r="Q6" s="42"/>
      <c r="R6" s="367"/>
      <c r="AA6" s="73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3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3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3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3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3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3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3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3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3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3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3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3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3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3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3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3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3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3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3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3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3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3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3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3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3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3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3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3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3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3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3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3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3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3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3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3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3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3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3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3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3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3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3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3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3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3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3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29" t="s">
        <v>197</v>
      </c>
      <c r="B7" s="28" t="s">
        <v>3384</v>
      </c>
      <c r="C7" s="28" t="s">
        <v>3389</v>
      </c>
      <c r="D7" s="28" t="s">
        <v>520</v>
      </c>
      <c r="E7" s="28" t="s">
        <v>3390</v>
      </c>
      <c r="F7" s="28" t="s">
        <v>3391</v>
      </c>
      <c r="G7" s="28" t="s">
        <v>3392</v>
      </c>
      <c r="H7" s="28" t="s">
        <v>3393</v>
      </c>
      <c r="I7" s="28" t="s">
        <v>1520</v>
      </c>
      <c r="J7" s="28" t="s">
        <v>3197</v>
      </c>
      <c r="K7" s="28" t="s">
        <v>1520</v>
      </c>
      <c r="L7" s="28" t="s">
        <v>3394</v>
      </c>
      <c r="M7" s="28" t="s">
        <v>3395</v>
      </c>
      <c r="N7" s="28" t="s">
        <v>1520</v>
      </c>
      <c r="O7" s="28" t="s">
        <v>3197</v>
      </c>
      <c r="P7" s="28" t="s">
        <v>574</v>
      </c>
      <c r="Q7" s="28" t="s">
        <v>3396</v>
      </c>
      <c r="R7" s="28" t="s">
        <v>3397</v>
      </c>
      <c r="S7" s="28" t="s">
        <v>3398</v>
      </c>
      <c r="T7" s="29" t="s">
        <v>3399</v>
      </c>
      <c r="U7" s="29" t="s">
        <v>3400</v>
      </c>
      <c r="V7" s="29" t="s">
        <v>39</v>
      </c>
      <c r="W7" s="28" t="s">
        <v>3401</v>
      </c>
      <c r="X7" s="28" t="s">
        <v>2393</v>
      </c>
      <c r="Y7" s="28" t="s">
        <v>3402</v>
      </c>
      <c r="AA7" s="74" t="n">
        <f aca="false">GANTT_START</f>
        <v>46321</v>
      </c>
      <c r="AB7" s="74" t="n">
        <f aca="false">AA7+7</f>
        <v>46328</v>
      </c>
      <c r="AC7" s="74" t="n">
        <f aca="false">AB7+7</f>
        <v>46335</v>
      </c>
      <c r="AD7" s="74" t="n">
        <f aca="false">AC7+7</f>
        <v>46342</v>
      </c>
      <c r="AE7" s="74" t="n">
        <f aca="false">AD7+7</f>
        <v>46349</v>
      </c>
      <c r="AF7" s="74" t="n">
        <f aca="false">AE7+7</f>
        <v>46356</v>
      </c>
      <c r="AG7" s="74" t="n">
        <f aca="false">AF7+7</f>
        <v>46363</v>
      </c>
      <c r="AH7" s="74" t="n">
        <f aca="false">AG7+7</f>
        <v>46370</v>
      </c>
      <c r="AI7" s="74" t="n">
        <f aca="false">AH7+7</f>
        <v>46377</v>
      </c>
      <c r="AJ7" s="74" t="n">
        <f aca="false">AI7+7</f>
        <v>46384</v>
      </c>
      <c r="AK7" s="74" t="n">
        <f aca="false">AJ7+7</f>
        <v>46391</v>
      </c>
      <c r="AL7" s="74" t="n">
        <f aca="false">AK7+7</f>
        <v>46398</v>
      </c>
      <c r="AM7" s="74" t="n">
        <f aca="false">AL7+7</f>
        <v>46405</v>
      </c>
      <c r="AN7" s="74" t="n">
        <f aca="false">AM7+7</f>
        <v>46412</v>
      </c>
      <c r="AO7" s="74" t="n">
        <f aca="false">AN7+7</f>
        <v>46419</v>
      </c>
      <c r="AP7" s="74" t="n">
        <f aca="false">AO7+7</f>
        <v>46426</v>
      </c>
      <c r="AQ7" s="74" t="n">
        <f aca="false">AP7+7</f>
        <v>46433</v>
      </c>
      <c r="AR7" s="74" t="n">
        <f aca="false">AQ7+7</f>
        <v>46440</v>
      </c>
      <c r="AS7" s="74" t="n">
        <f aca="false">AR7+7</f>
        <v>46447</v>
      </c>
      <c r="AT7" s="74" t="n">
        <f aca="false">AS7+7</f>
        <v>46454</v>
      </c>
      <c r="AU7" s="74" t="n">
        <f aca="false">AT7+7</f>
        <v>46461</v>
      </c>
      <c r="AV7" s="74" t="n">
        <f aca="false">AU7+7</f>
        <v>46468</v>
      </c>
      <c r="AW7" s="74" t="n">
        <f aca="false">AV7+7</f>
        <v>46475</v>
      </c>
      <c r="AX7" s="74" t="n">
        <f aca="false">AW7+7</f>
        <v>46482</v>
      </c>
      <c r="AY7" s="74" t="n">
        <f aca="false">AX7+7</f>
        <v>46489</v>
      </c>
      <c r="AZ7" s="74" t="n">
        <f aca="false">AY7+7</f>
        <v>46496</v>
      </c>
      <c r="BA7" s="74" t="n">
        <f aca="false">AZ7+7</f>
        <v>46503</v>
      </c>
      <c r="BB7" s="74" t="n">
        <f aca="false">BA7+7</f>
        <v>46510</v>
      </c>
      <c r="BC7" s="74" t="n">
        <f aca="false">BB7+7</f>
        <v>46517</v>
      </c>
      <c r="BD7" s="74" t="n">
        <f aca="false">BC7+7</f>
        <v>46524</v>
      </c>
      <c r="BE7" s="74" t="n">
        <f aca="false">BD7+7</f>
        <v>46531</v>
      </c>
      <c r="BF7" s="74" t="n">
        <f aca="false">BE7+7</f>
        <v>46538</v>
      </c>
      <c r="BG7" s="74" t="n">
        <f aca="false">BF7+7</f>
        <v>46545</v>
      </c>
      <c r="BH7" s="74" t="n">
        <f aca="false">BG7+7</f>
        <v>46552</v>
      </c>
      <c r="BI7" s="74" t="n">
        <f aca="false">BH7+7</f>
        <v>46559</v>
      </c>
      <c r="BJ7" s="74" t="n">
        <f aca="false">BI7+7</f>
        <v>46566</v>
      </c>
      <c r="BK7" s="74" t="n">
        <f aca="false">BJ7+7</f>
        <v>46573</v>
      </c>
      <c r="BL7" s="74" t="n">
        <f aca="false">BK7+7</f>
        <v>46580</v>
      </c>
      <c r="BM7" s="74" t="n">
        <f aca="false">BL7+7</f>
        <v>46587</v>
      </c>
      <c r="BN7" s="74" t="n">
        <f aca="false">BM7+7</f>
        <v>46594</v>
      </c>
      <c r="BO7" s="74" t="n">
        <f aca="false">BN7+7</f>
        <v>46601</v>
      </c>
      <c r="BP7" s="74" t="n">
        <f aca="false">BO7+7</f>
        <v>46608</v>
      </c>
      <c r="BQ7" s="74" t="n">
        <f aca="false">BP7+7</f>
        <v>46615</v>
      </c>
      <c r="BR7" s="74" t="n">
        <f aca="false">BQ7+7</f>
        <v>46622</v>
      </c>
      <c r="BS7" s="74" t="n">
        <f aca="false">BR7+7</f>
        <v>46629</v>
      </c>
      <c r="BT7" s="74" t="n">
        <f aca="false">BS7+7</f>
        <v>46636</v>
      </c>
      <c r="BU7" s="74" t="n">
        <f aca="false">BT7+7</f>
        <v>46643</v>
      </c>
      <c r="BV7" s="74" t="n">
        <f aca="false">BU7+7</f>
        <v>46650</v>
      </c>
    </row>
    <row r="8" customFormat="false" ht="15" hidden="false" customHeight="false" outlineLevel="0" collapsed="false">
      <c r="A8" s="319" t="s">
        <v>1838</v>
      </c>
      <c r="B8" s="319" t="s">
        <v>3403</v>
      </c>
      <c r="C8" s="319"/>
      <c r="D8" s="319"/>
      <c r="E8" s="368" t="n">
        <f aca="false">SUMIF(S9:S28,1,E9:E28)</f>
        <v>0</v>
      </c>
      <c r="F8" s="319"/>
      <c r="G8" s="319"/>
      <c r="H8" s="319"/>
      <c r="I8" s="369" t="n">
        <f aca="false">MIN(I9:I28)</f>
        <v>46328</v>
      </c>
      <c r="J8" s="369" t="n">
        <f aca="false">MAX(J9:J28)</f>
        <v>46453</v>
      </c>
      <c r="K8" s="319"/>
      <c r="L8" s="319"/>
      <c r="M8" s="319"/>
      <c r="N8" s="369" t="n">
        <f aca="false">MIN(N9:N28)</f>
        <v>46328</v>
      </c>
      <c r="O8" s="369" t="n">
        <f aca="false">MAX(O9:O28)</f>
        <v>46450</v>
      </c>
      <c r="P8" s="323" t="str">
        <f aca="false">IFERROR(INDEX(ST_LABEL,MATCH(T8,ST_CODE,0)),T8)</f>
        <v>กำลังดำเนินการ</v>
      </c>
      <c r="Q8" s="370" t="n">
        <f aca="false">IF(J8=0,"",O8-J8)</f>
        <v>-3</v>
      </c>
      <c r="R8" s="319"/>
      <c r="S8" s="319" t="n">
        <v>0</v>
      </c>
      <c r="T8" s="319" t="str">
        <f aca="false">IF(COUNTIF(T9:T28,"D*")+COUNTIF(T9:T28,"NA")+COUNTIF(T9:T28,"BL")=20,"DN",IF(COUNTIF(T9:T28,"D*")+COUNTIF(T9:T28,"AP")+COUNTIF(T9:T28,"IP")&gt;0,"IP","NS"))</f>
        <v>IP</v>
      </c>
      <c r="U8" s="319"/>
      <c r="V8" s="371" t="n">
        <f aca="false">IF(E8&gt;0,SUMPRODUCT(E9:E28*(S9:S28=1)*V9:V28)/E8,0)</f>
        <v>0</v>
      </c>
      <c r="W8" s="319"/>
      <c r="X8" s="319"/>
      <c r="Y8" s="319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</row>
    <row r="9" customFormat="false" ht="15" hidden="false" customHeight="false" outlineLevel="0" collapsed="false">
      <c r="A9" s="32" t="s">
        <v>1660</v>
      </c>
      <c r="B9" s="36" t="s">
        <v>3404</v>
      </c>
      <c r="C9" s="31"/>
      <c r="D9" s="31" t="s">
        <v>121</v>
      </c>
      <c r="E9" s="372" t="n">
        <v>0</v>
      </c>
      <c r="F9" s="31"/>
      <c r="G9" s="32"/>
      <c r="H9" s="32" t="n">
        <v>1</v>
      </c>
      <c r="I9" s="373" t="n">
        <f aca="false">'Master Plan'!$H$27+(-75)</f>
        <v>46328</v>
      </c>
      <c r="J9" s="373" t="n">
        <f aca="false">'Master Plan'!$H$27+(50)</f>
        <v>46453</v>
      </c>
      <c r="K9" s="78"/>
      <c r="L9" s="78" t="str">
        <f aca="false">IF(ISNUMBER(อัปเดตรายสัปดาห์!$G$27),อัปเดตรายสัปดาห์!$G$27,"")</f>
        <v/>
      </c>
      <c r="M9" s="374" t="str">
        <f aca="false">IF(อัปเดตรายสัปดาห์!$G$27="Y","Y","")</f>
        <v/>
      </c>
      <c r="N9" s="375" t="n">
        <f aca="false">IF(K9&lt;&gt;"",K9,IF(L9&lt;&gt;"",L9-H9+1,N30))</f>
        <v>46328</v>
      </c>
      <c r="O9" s="80" t="n">
        <f aca="false">IF(L9&lt;&gt;"",L9,IF(M9="Y",J9,O124))</f>
        <v>46450</v>
      </c>
      <c r="P9" s="36" t="str">
        <f aca="false">IFERROR(INDEX(ST_LABEL,MATCH(T9,ST_CODE,0)),T9)</f>
        <v>กำลังดำเนินการ</v>
      </c>
      <c r="Q9" s="376" t="n">
        <f aca="false">IF(OR(J9="",O9=""),"",O9-J9)</f>
        <v>-3</v>
      </c>
      <c r="R9" s="31"/>
      <c r="S9" s="31" t="n">
        <v>1</v>
      </c>
      <c r="T9" s="31" t="str">
        <f aca="false">IF(O9="","BL",IF(AND(L9&lt;&gt;"",L9&lt;=ASOF),"DN",IF(M9="Y","DY",IF(L9&lt;&gt;"","AP",IF(N9&lt;=ASOF,"IP","NS")))))</f>
        <v>IP</v>
      </c>
      <c r="U9" s="31"/>
      <c r="V9" s="377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6" t="s">
        <v>1627</v>
      </c>
      <c r="X9" s="31" t="s">
        <v>3405</v>
      </c>
      <c r="Y9" s="36" t="s">
        <v>1657</v>
      </c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</row>
    <row r="10" customFormat="false" ht="15" hidden="true" customHeight="false" outlineLevel="1" collapsed="false">
      <c r="A10" s="379" t="s">
        <v>208</v>
      </c>
      <c r="B10" s="380" t="s">
        <v>3406</v>
      </c>
      <c r="C10" s="380" t="s">
        <v>3407</v>
      </c>
      <c r="D10" s="380" t="s">
        <v>3408</v>
      </c>
      <c r="E10" s="381" t="n">
        <v>0</v>
      </c>
      <c r="F10" s="387"/>
      <c r="G10" s="387"/>
      <c r="H10" s="387"/>
      <c r="I10" s="382" t="n">
        <f aca="false">'Master Plan'!$H$27+(-75)</f>
        <v>46328</v>
      </c>
      <c r="J10" s="382" t="n">
        <f aca="false">'Master Plan'!$H$27+(-63)</f>
        <v>46340</v>
      </c>
      <c r="K10" s="387"/>
      <c r="L10" s="387"/>
      <c r="M10" s="383" t="str">
        <f aca="false">IF('อัปเดตงาน WBS'!$L$1564="","",'อัปเดตงาน WBS'!$L$1564)</f>
        <v/>
      </c>
      <c r="N10" s="384" t="n">
        <f aca="false">IF(OR(N9="",O9=""),"",N9+ROUND((O9-N9)*0,0))</f>
        <v>46328</v>
      </c>
      <c r="O10" s="384" t="n">
        <f aca="false">IF(OR(N9="",O9=""),"",N9+ROUND((O9-N9)*0.1,0))</f>
        <v>46340</v>
      </c>
      <c r="P10" s="380" t="str">
        <f aca="false">IFERROR(INDEX(ST_LABEL,MATCH(T10,ST_CODE,0)),T10)</f>
        <v>กำลังดำเนินการ</v>
      </c>
      <c r="Q10" s="385" t="n">
        <f aca="false">IF(OR(J10="",O10=""),"",O10-J10)</f>
        <v>0</v>
      </c>
      <c r="R10" s="387"/>
      <c r="S10" s="387" t="n">
        <v>2</v>
      </c>
      <c r="T10" s="387" t="str">
        <f aca="false">IF(O10="","BL",IF(M10="Y","DY",IF(LEFT(T9,1)="D","DY",IF(OR(M10="S",N10&lt;=ASOF),"IP","NS"))))</f>
        <v>IP</v>
      </c>
      <c r="U10" s="387"/>
      <c r="V10" s="386" t="n">
        <f aca="false">IF(LEFT(T10,1)="D",1,0)</f>
        <v>0</v>
      </c>
      <c r="W10" s="387" t="s">
        <v>1627</v>
      </c>
      <c r="X10" s="387"/>
      <c r="Y10" s="387" t="s">
        <v>1657</v>
      </c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</row>
    <row r="11" customFormat="false" ht="15" hidden="true" customHeight="false" outlineLevel="1" collapsed="false">
      <c r="A11" s="379" t="s">
        <v>212</v>
      </c>
      <c r="B11" s="380" t="s">
        <v>3409</v>
      </c>
      <c r="C11" s="380" t="s">
        <v>3410</v>
      </c>
      <c r="D11" s="380" t="s">
        <v>3411</v>
      </c>
      <c r="E11" s="381" t="n">
        <v>0</v>
      </c>
      <c r="F11" s="387"/>
      <c r="G11" s="387"/>
      <c r="H11" s="387"/>
      <c r="I11" s="382" t="n">
        <f aca="false">'Master Plan'!$H$27+(-75)</f>
        <v>46328</v>
      </c>
      <c r="J11" s="382" t="n">
        <f aca="false">'Master Plan'!$H$27+(-63)</f>
        <v>46340</v>
      </c>
      <c r="K11" s="387"/>
      <c r="L11" s="387"/>
      <c r="M11" s="383" t="str">
        <f aca="false">IF('อัปเดตงาน WBS'!$L$1565="","",'อัปเดตงาน WBS'!$L$1565)</f>
        <v/>
      </c>
      <c r="N11" s="384" t="n">
        <f aca="false">IF(OR(N9="",O9=""),"",N9+ROUND((O9-N9)*0,0))</f>
        <v>46328</v>
      </c>
      <c r="O11" s="384" t="n">
        <f aca="false">IF(OR(N9="",O9=""),"",N9+ROUND((O9-N9)*0.1,0))</f>
        <v>46340</v>
      </c>
      <c r="P11" s="380" t="str">
        <f aca="false">IFERROR(INDEX(ST_LABEL,MATCH(T11,ST_CODE,0)),T11)</f>
        <v>กำลังดำเนินการ</v>
      </c>
      <c r="Q11" s="385" t="n">
        <f aca="false">IF(OR(J11="",O11=""),"",O11-J11)</f>
        <v>0</v>
      </c>
      <c r="R11" s="387"/>
      <c r="S11" s="387" t="n">
        <v>2</v>
      </c>
      <c r="T11" s="387" t="str">
        <f aca="false">IF(O11="","BL",IF(M11="Y","DY",IF(LEFT(T9,1)="D","DY",IF(OR(M11="S",N11&lt;=ASOF),"IP","NS"))))</f>
        <v>IP</v>
      </c>
      <c r="U11" s="387"/>
      <c r="V11" s="386" t="n">
        <f aca="false">IF(LEFT(T11,1)="D",1,0)</f>
        <v>0</v>
      </c>
      <c r="W11" s="380" t="s">
        <v>3408</v>
      </c>
      <c r="X11" s="387"/>
      <c r="Y11" s="387" t="s">
        <v>1657</v>
      </c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</row>
    <row r="12" customFormat="false" ht="15" hidden="true" customHeight="false" outlineLevel="1" collapsed="false">
      <c r="A12" s="379" t="s">
        <v>215</v>
      </c>
      <c r="B12" s="380" t="s">
        <v>3412</v>
      </c>
      <c r="C12" s="387" t="s">
        <v>3413</v>
      </c>
      <c r="D12" s="380" t="s">
        <v>3411</v>
      </c>
      <c r="E12" s="381" t="n">
        <v>0</v>
      </c>
      <c r="F12" s="387"/>
      <c r="G12" s="387"/>
      <c r="H12" s="387"/>
      <c r="I12" s="382" t="n">
        <f aca="false">'Master Plan'!$H$27+(-75)</f>
        <v>46328</v>
      </c>
      <c r="J12" s="382" t="n">
        <f aca="false">'Master Plan'!$H$27+(-63)</f>
        <v>46340</v>
      </c>
      <c r="K12" s="387"/>
      <c r="L12" s="387"/>
      <c r="M12" s="383" t="str">
        <f aca="false">IF('อัปเดตงาน WBS'!$L$1566="","",'อัปเดตงาน WBS'!$L$1566)</f>
        <v/>
      </c>
      <c r="N12" s="384" t="n">
        <f aca="false">IF(OR(N9="",O9=""),"",N9+ROUND((O9-N9)*0,0))</f>
        <v>46328</v>
      </c>
      <c r="O12" s="384" t="n">
        <f aca="false">IF(OR(N9="",O9=""),"",N9+ROUND((O9-N9)*0.1,0))</f>
        <v>46340</v>
      </c>
      <c r="P12" s="380" t="str">
        <f aca="false">IFERROR(INDEX(ST_LABEL,MATCH(T12,ST_CODE,0)),T12)</f>
        <v>กำลังดำเนินการ</v>
      </c>
      <c r="Q12" s="385" t="n">
        <f aca="false">IF(OR(J12="",O12=""),"",O12-J12)</f>
        <v>0</v>
      </c>
      <c r="R12" s="387"/>
      <c r="S12" s="387" t="n">
        <v>2</v>
      </c>
      <c r="T12" s="387" t="str">
        <f aca="false">IF(O12="","BL",IF(M12="Y","DY",IF(LEFT(T9,1)="D","DY",IF(OR(M12="S",N12&lt;=ASOF),"IP","NS"))))</f>
        <v>IP</v>
      </c>
      <c r="U12" s="387"/>
      <c r="V12" s="386" t="n">
        <f aca="false">IF(LEFT(T12,1)="D",1,0)</f>
        <v>0</v>
      </c>
      <c r="W12" s="380" t="s">
        <v>3408</v>
      </c>
      <c r="X12" s="387"/>
      <c r="Y12" s="387" t="s">
        <v>1657</v>
      </c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</row>
    <row r="13" customFormat="false" ht="15" hidden="true" customHeight="false" outlineLevel="1" collapsed="false">
      <c r="A13" s="379" t="s">
        <v>218</v>
      </c>
      <c r="B13" s="380" t="s">
        <v>3414</v>
      </c>
      <c r="C13" s="380" t="s">
        <v>220</v>
      </c>
      <c r="D13" s="380" t="s">
        <v>3411</v>
      </c>
      <c r="E13" s="381" t="n">
        <v>0</v>
      </c>
      <c r="F13" s="387"/>
      <c r="G13" s="387"/>
      <c r="H13" s="387"/>
      <c r="I13" s="382" t="n">
        <f aca="false">'Master Plan'!$H$27+(-75)</f>
        <v>46328</v>
      </c>
      <c r="J13" s="382" t="n">
        <f aca="false">'Master Plan'!$H$27+(-56)</f>
        <v>46347</v>
      </c>
      <c r="K13" s="387"/>
      <c r="L13" s="387"/>
      <c r="M13" s="383" t="str">
        <f aca="false">IF('อัปเดตงาน WBS'!$L$1567="","",'อัปเดตงาน WBS'!$L$1567)</f>
        <v/>
      </c>
      <c r="N13" s="384" t="n">
        <f aca="false">IF(OR(N9="",O9=""),"",N9+ROUND((O9-N9)*0,0))</f>
        <v>46328</v>
      </c>
      <c r="O13" s="384" t="n">
        <f aca="false">IF(OR(N9="",O9=""),"",N9+ROUND((O9-N9)*0.15,0))</f>
        <v>46346</v>
      </c>
      <c r="P13" s="380" t="str">
        <f aca="false">IFERROR(INDEX(ST_LABEL,MATCH(T13,ST_CODE,0)),T13)</f>
        <v>กำลังดำเนินการ</v>
      </c>
      <c r="Q13" s="385" t="n">
        <f aca="false">IF(OR(J13="",O13=""),"",O13-J13)</f>
        <v>-1</v>
      </c>
      <c r="R13" s="387"/>
      <c r="S13" s="387" t="n">
        <v>2</v>
      </c>
      <c r="T13" s="387" t="str">
        <f aca="false">IF(O13="","BL",IF(M13="Y","DY",IF(LEFT(T9,1)="D","DY",IF(OR(M13="S",N13&lt;=ASOF),"IP","NS"))))</f>
        <v>IP</v>
      </c>
      <c r="U13" s="387"/>
      <c r="V13" s="386" t="n">
        <f aca="false">IF(LEFT(T13,1)="D",1,0)</f>
        <v>0</v>
      </c>
      <c r="W13" s="380" t="s">
        <v>3408</v>
      </c>
      <c r="X13" s="387"/>
      <c r="Y13" s="387" t="s">
        <v>1657</v>
      </c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</row>
    <row r="14" customFormat="false" ht="15" hidden="true" customHeight="false" outlineLevel="1" collapsed="false">
      <c r="A14" s="379" t="s">
        <v>221</v>
      </c>
      <c r="B14" s="380" t="s">
        <v>3415</v>
      </c>
      <c r="C14" s="380" t="s">
        <v>3416</v>
      </c>
      <c r="D14" s="380" t="s">
        <v>3411</v>
      </c>
      <c r="E14" s="381" t="n">
        <v>0</v>
      </c>
      <c r="F14" s="387"/>
      <c r="G14" s="387"/>
      <c r="H14" s="387"/>
      <c r="I14" s="382" t="n">
        <f aca="false">'Master Plan'!$H$27+(-63)</f>
        <v>46340</v>
      </c>
      <c r="J14" s="382" t="n">
        <f aca="false">'Master Plan'!$H$27+(50)</f>
        <v>46453</v>
      </c>
      <c r="K14" s="387"/>
      <c r="L14" s="387"/>
      <c r="M14" s="383" t="str">
        <f aca="false">IF('อัปเดตงาน WBS'!$L$1568="","",'อัปเดตงาน WBS'!$L$1568)</f>
        <v/>
      </c>
      <c r="N14" s="384" t="n">
        <f aca="false">IF(OR(N9="",O9=""),"",N9+ROUND((O9-N9)*0.1,0))</f>
        <v>46340</v>
      </c>
      <c r="O14" s="384" t="n">
        <f aca="false">IF(OR(N9="",O9=""),"",N9+ROUND((O9-N9)*1,0))</f>
        <v>46450</v>
      </c>
      <c r="P14" s="380" t="str">
        <f aca="false">IFERROR(INDEX(ST_LABEL,MATCH(T14,ST_CODE,0)),T14)</f>
        <v>ยังไม่เริ่ม</v>
      </c>
      <c r="Q14" s="385" t="n">
        <f aca="false">IF(OR(J14="",O14=""),"",O14-J14)</f>
        <v>-3</v>
      </c>
      <c r="R14" s="387"/>
      <c r="S14" s="387" t="n">
        <v>2</v>
      </c>
      <c r="T14" s="387" t="str">
        <f aca="false">IF(O14="","BL",IF(M14="Y","DY",IF(LEFT(T9,1)="D","DY",IF(OR(M14="S",N14&lt;=ASOF),"IP","NS"))))</f>
        <v>NS</v>
      </c>
      <c r="U14" s="387"/>
      <c r="V14" s="386" t="n">
        <f aca="false">IF(LEFT(T14,1)="D",1,0)</f>
        <v>0</v>
      </c>
      <c r="W14" s="380" t="s">
        <v>3408</v>
      </c>
      <c r="X14" s="387"/>
      <c r="Y14" s="387" t="s">
        <v>1657</v>
      </c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</row>
    <row r="15" customFormat="false" ht="15" hidden="true" customHeight="false" outlineLevel="1" collapsed="false">
      <c r="A15" s="379" t="s">
        <v>224</v>
      </c>
      <c r="B15" s="380" t="s">
        <v>3417</v>
      </c>
      <c r="C15" s="387" t="s">
        <v>3418</v>
      </c>
      <c r="D15" s="380" t="s">
        <v>3408</v>
      </c>
      <c r="E15" s="381" t="n">
        <v>0</v>
      </c>
      <c r="F15" s="387"/>
      <c r="G15" s="387"/>
      <c r="H15" s="387"/>
      <c r="I15" s="382" t="n">
        <f aca="false">'Master Plan'!$H$27+(-63)</f>
        <v>46340</v>
      </c>
      <c r="J15" s="382" t="n">
        <f aca="false">'Master Plan'!$H$27+(50)</f>
        <v>46453</v>
      </c>
      <c r="K15" s="387"/>
      <c r="L15" s="387"/>
      <c r="M15" s="383" t="str">
        <f aca="false">IF('อัปเดตงาน WBS'!$L$1569="","",'อัปเดตงาน WBS'!$L$1569)</f>
        <v/>
      </c>
      <c r="N15" s="384" t="n">
        <f aca="false">IF(OR(N9="",O9=""),"",N9+ROUND((O9-N9)*0.1,0))</f>
        <v>46340</v>
      </c>
      <c r="O15" s="384" t="n">
        <f aca="false">IF(OR(N9="",O9=""),"",N9+ROUND((O9-N9)*1,0))</f>
        <v>46450</v>
      </c>
      <c r="P15" s="380" t="str">
        <f aca="false">IFERROR(INDEX(ST_LABEL,MATCH(T15,ST_CODE,0)),T15)</f>
        <v>ยังไม่เริ่ม</v>
      </c>
      <c r="Q15" s="385" t="n">
        <f aca="false">IF(OR(J15="",O15=""),"",O15-J15)</f>
        <v>-3</v>
      </c>
      <c r="R15" s="387"/>
      <c r="S15" s="387" t="n">
        <v>2</v>
      </c>
      <c r="T15" s="387" t="str">
        <f aca="false">IF(O15="","BL",IF(M15="Y","DY",IF(LEFT(T9,1)="D","DY",IF(OR(M15="S",N15&lt;=ASOF),"IP","NS"))))</f>
        <v>NS</v>
      </c>
      <c r="U15" s="387"/>
      <c r="V15" s="386" t="n">
        <f aca="false">IF(LEFT(T15,1)="D",1,0)</f>
        <v>0</v>
      </c>
      <c r="W15" s="387" t="s">
        <v>1627</v>
      </c>
      <c r="X15" s="387"/>
      <c r="Y15" s="387" t="s">
        <v>1657</v>
      </c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</row>
    <row r="16" customFormat="false" ht="15" hidden="false" customHeight="false" outlineLevel="0" collapsed="false">
      <c r="A16" s="32" t="s">
        <v>1685</v>
      </c>
      <c r="B16" s="31" t="s">
        <v>3419</v>
      </c>
      <c r="C16" s="31"/>
      <c r="D16" s="36" t="s">
        <v>131</v>
      </c>
      <c r="E16" s="372" t="n">
        <v>0</v>
      </c>
      <c r="F16" s="31" t="s">
        <v>3420</v>
      </c>
      <c r="G16" s="32"/>
      <c r="H16" s="32" t="n">
        <v>10</v>
      </c>
      <c r="I16" s="373" t="n">
        <f aca="false">'Master Plan'!$H$27+(-56)</f>
        <v>46347</v>
      </c>
      <c r="J16" s="373" t="n">
        <f aca="false">'Master Plan'!$H$27+(-45)</f>
        <v>46358</v>
      </c>
      <c r="K16" s="78"/>
      <c r="L16" s="78" t="str">
        <f aca="false">IF(ISNUMBER(อัปเดตรายสัปดาห์!$H$27),อัปเดตรายสัปดาห์!$H$27,"")</f>
        <v/>
      </c>
      <c r="M16" s="374" t="str">
        <f aca="false">IF(อัปเดตรายสัปดาห์!$H$27="Y","Y","")</f>
        <v/>
      </c>
      <c r="N16" s="375" t="n">
        <f aca="false">IF(K16&lt;&gt;"",K16,IF(L16&lt;&gt;"",L16-H16+1,IF(M16="Y",O16-H16+1,MAX(O16-H16+1,ASOF))))</f>
        <v>46328</v>
      </c>
      <c r="O16" s="80" t="n">
        <f aca="false">IF(L16&lt;&gt;"",L16,IF(M16="Y",MIN(J16,O111-25),MAX(O111-25,ASOF)))</f>
        <v>46328</v>
      </c>
      <c r="P16" s="36" t="str">
        <f aca="false">IFERROR(INDEX(ST_LABEL,MATCH(T16,ST_CODE,0)),T16)</f>
        <v>กำลังดำเนินการ</v>
      </c>
      <c r="Q16" s="376" t="n">
        <f aca="false">IF(OR(J16="",O16=""),"",O16-J16)</f>
        <v>-30</v>
      </c>
      <c r="R16" s="31"/>
      <c r="S16" s="31" t="n">
        <v>1</v>
      </c>
      <c r="T16" s="31" t="str">
        <f aca="false">IF(O16="","BL",IF(AND(L16&lt;&gt;"",L16&lt;=ASOF),"DN",IF(M16="Y","DY",IF(L16&lt;&gt;"","AP",IF(N16&lt;=ASOF,"IP","NS")))))</f>
        <v>IP</v>
      </c>
      <c r="U16" s="388" t="n">
        <f aca="false">IF(AND(LEFT(T16,1)&lt;&gt;"D",T16&lt;&gt;"NA",T16&lt;&gt;"BL",ISNUMBER(N16)),N16+ROW()/10000,"")</f>
        <v>46328.0016</v>
      </c>
      <c r="V16" s="377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1" t="s">
        <v>2426</v>
      </c>
      <c r="X16" s="31" t="s">
        <v>3421</v>
      </c>
      <c r="Y16" s="36" t="s">
        <v>1681</v>
      </c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</row>
    <row r="17" customFormat="false" ht="15" hidden="true" customHeight="false" outlineLevel="1" collapsed="false">
      <c r="A17" s="379" t="s">
        <v>227</v>
      </c>
      <c r="B17" s="380" t="s">
        <v>3422</v>
      </c>
      <c r="C17" s="380" t="s">
        <v>3423</v>
      </c>
      <c r="D17" s="387" t="s">
        <v>131</v>
      </c>
      <c r="E17" s="381" t="n">
        <v>0</v>
      </c>
      <c r="F17" s="387"/>
      <c r="G17" s="387"/>
      <c r="H17" s="387"/>
      <c r="I17" s="382" t="n">
        <f aca="false">'Master Plan'!$H$27+(-56)</f>
        <v>46347</v>
      </c>
      <c r="J17" s="382" t="n">
        <f aca="false">'Master Plan'!$H$27+(-54)</f>
        <v>46349</v>
      </c>
      <c r="K17" s="387"/>
      <c r="L17" s="387"/>
      <c r="M17" s="383" t="str">
        <f aca="false">IF('อัปเดตงาน WBS'!$L$1570="","",'อัปเดตงาน WBS'!$L$1570)</f>
        <v/>
      </c>
      <c r="N17" s="384" t="n">
        <f aca="false">IF(OR(N16="",O16=""),"",N16+ROUND((O16-N16)*0,0))</f>
        <v>46328</v>
      </c>
      <c r="O17" s="384" t="n">
        <f aca="false">IF(OR(N16="",O16=""),"",N16+ROUND((O16-N16)*0.2,0))</f>
        <v>46328</v>
      </c>
      <c r="P17" s="380" t="str">
        <f aca="false">IFERROR(INDEX(ST_LABEL,MATCH(T17,ST_CODE,0)),T17)</f>
        <v>กำลังดำเนินการ</v>
      </c>
      <c r="Q17" s="385" t="n">
        <f aca="false">IF(OR(J17="",O17=""),"",O17-J17)</f>
        <v>-21</v>
      </c>
      <c r="R17" s="387"/>
      <c r="S17" s="387" t="n">
        <v>2</v>
      </c>
      <c r="T17" s="387" t="str">
        <f aca="false">IF(O17="","BL",IF(M17="Y","DY",IF(LEFT(T16,1)="D","DY",IF(OR(M17="S",N17&lt;=ASOF),"IP","NS"))))</f>
        <v>IP</v>
      </c>
      <c r="U17" s="387"/>
      <c r="V17" s="386" t="n">
        <f aca="false">IF(LEFT(T17,1)="D",1,0)</f>
        <v>0</v>
      </c>
      <c r="W17" s="387" t="s">
        <v>1627</v>
      </c>
      <c r="X17" s="387"/>
      <c r="Y17" s="387" t="s">
        <v>1681</v>
      </c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</row>
    <row r="18" customFormat="false" ht="15" hidden="true" customHeight="false" outlineLevel="1" collapsed="false">
      <c r="A18" s="379" t="s">
        <v>230</v>
      </c>
      <c r="B18" s="380" t="s">
        <v>3424</v>
      </c>
      <c r="C18" s="380" t="s">
        <v>3425</v>
      </c>
      <c r="D18" s="380" t="s">
        <v>3411</v>
      </c>
      <c r="E18" s="381" t="n">
        <v>0</v>
      </c>
      <c r="F18" s="387"/>
      <c r="G18" s="387"/>
      <c r="H18" s="387"/>
      <c r="I18" s="382" t="n">
        <f aca="false">'Master Plan'!$H$27+(-55)</f>
        <v>46348</v>
      </c>
      <c r="J18" s="382" t="n">
        <f aca="false">'Master Plan'!$H$27+(-52)</f>
        <v>46351</v>
      </c>
      <c r="K18" s="387"/>
      <c r="L18" s="387"/>
      <c r="M18" s="383" t="str">
        <f aca="false">IF('อัปเดตงาน WBS'!$L$1571="","",'อัปเดตงาน WBS'!$L$1571)</f>
        <v/>
      </c>
      <c r="N18" s="384" t="n">
        <f aca="false">IF(OR(N16="",O16=""),"",N16+ROUND((O16-N16)*0.1,0))</f>
        <v>46328</v>
      </c>
      <c r="O18" s="384" t="n">
        <f aca="false">IF(OR(N16="",O16=""),"",N16+ROUND((O16-N16)*0.4,0))</f>
        <v>46328</v>
      </c>
      <c r="P18" s="380" t="str">
        <f aca="false">IFERROR(INDEX(ST_LABEL,MATCH(T18,ST_CODE,0)),T18)</f>
        <v>กำลังดำเนินการ</v>
      </c>
      <c r="Q18" s="385" t="n">
        <f aca="false">IF(OR(J18="",O18=""),"",O18-J18)</f>
        <v>-23</v>
      </c>
      <c r="R18" s="387"/>
      <c r="S18" s="387" t="n">
        <v>2</v>
      </c>
      <c r="T18" s="387" t="str">
        <f aca="false">IF(O18="","BL",IF(M18="Y","DY",IF(LEFT(T16,1)="D","DY",IF(OR(M18="S",N18&lt;=ASOF),"IP","NS"))))</f>
        <v>IP</v>
      </c>
      <c r="U18" s="387"/>
      <c r="V18" s="386" t="n">
        <f aca="false">IF(LEFT(T18,1)="D",1,0)</f>
        <v>0</v>
      </c>
      <c r="W18" s="380" t="s">
        <v>3408</v>
      </c>
      <c r="X18" s="387"/>
      <c r="Y18" s="387" t="s">
        <v>1681</v>
      </c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</row>
    <row r="19" customFormat="false" ht="15" hidden="true" customHeight="false" outlineLevel="1" collapsed="false">
      <c r="A19" s="379" t="s">
        <v>233</v>
      </c>
      <c r="B19" s="380" t="s">
        <v>3426</v>
      </c>
      <c r="C19" s="380" t="s">
        <v>3427</v>
      </c>
      <c r="D19" s="380" t="s">
        <v>3411</v>
      </c>
      <c r="E19" s="381" t="n">
        <v>0</v>
      </c>
      <c r="F19" s="387"/>
      <c r="G19" s="387"/>
      <c r="H19" s="387"/>
      <c r="I19" s="382" t="n">
        <f aca="false">'Master Plan'!$H$27+(-53)</f>
        <v>46350</v>
      </c>
      <c r="J19" s="382" t="n">
        <f aca="false">'Master Plan'!$H$27+(-48)</f>
        <v>46355</v>
      </c>
      <c r="K19" s="387"/>
      <c r="L19" s="387"/>
      <c r="M19" s="383" t="str">
        <f aca="false">IF('อัปเดตงาน WBS'!$L$1572="","",'อัปเดตงาน WBS'!$L$1572)</f>
        <v/>
      </c>
      <c r="N19" s="384" t="n">
        <f aca="false">IF(OR(N16="",O16=""),"",N16+ROUND((O16-N16)*0.3,0))</f>
        <v>46328</v>
      </c>
      <c r="O19" s="384" t="n">
        <f aca="false">IF(OR(N16="",O16=""),"",N16+ROUND((O16-N16)*0.7,0))</f>
        <v>46328</v>
      </c>
      <c r="P19" s="380" t="str">
        <f aca="false">IFERROR(INDEX(ST_LABEL,MATCH(T19,ST_CODE,0)),T19)</f>
        <v>กำลังดำเนินการ</v>
      </c>
      <c r="Q19" s="385" t="n">
        <f aca="false">IF(OR(J19="",O19=""),"",O19-J19)</f>
        <v>-27</v>
      </c>
      <c r="R19" s="387"/>
      <c r="S19" s="387" t="n">
        <v>2</v>
      </c>
      <c r="T19" s="387" t="str">
        <f aca="false">IF(O19="","BL",IF(M19="Y","DY",IF(LEFT(T16,1)="D","DY",IF(OR(M19="S",N19&lt;=ASOF),"IP","NS"))))</f>
        <v>IP</v>
      </c>
      <c r="U19" s="387"/>
      <c r="V19" s="386" t="n">
        <f aca="false">IF(LEFT(T19,1)="D",1,0)</f>
        <v>0</v>
      </c>
      <c r="W19" s="380" t="s">
        <v>3408</v>
      </c>
      <c r="X19" s="387"/>
      <c r="Y19" s="387" t="s">
        <v>1681</v>
      </c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</row>
    <row r="20" customFormat="false" ht="15" hidden="true" customHeight="false" outlineLevel="1" collapsed="false">
      <c r="A20" s="379" t="s">
        <v>236</v>
      </c>
      <c r="B20" s="380" t="s">
        <v>3428</v>
      </c>
      <c r="C20" s="380" t="s">
        <v>3429</v>
      </c>
      <c r="D20" s="380" t="s">
        <v>3411</v>
      </c>
      <c r="E20" s="381" t="n">
        <v>0</v>
      </c>
      <c r="F20" s="387"/>
      <c r="G20" s="387"/>
      <c r="H20" s="387"/>
      <c r="I20" s="382" t="n">
        <f aca="false">'Master Plan'!$H$27+(-53)</f>
        <v>46350</v>
      </c>
      <c r="J20" s="382" t="n">
        <f aca="false">'Master Plan'!$H$27+(-48)</f>
        <v>46355</v>
      </c>
      <c r="K20" s="387"/>
      <c r="L20" s="387"/>
      <c r="M20" s="383" t="str">
        <f aca="false">IF('อัปเดตงาน WBS'!$L$1573="","",'อัปเดตงาน WBS'!$L$1573)</f>
        <v/>
      </c>
      <c r="N20" s="384" t="n">
        <f aca="false">IF(OR(N16="",O16=""),"",N16+ROUND((O16-N16)*0.3,0))</f>
        <v>46328</v>
      </c>
      <c r="O20" s="384" t="n">
        <f aca="false">IF(OR(N16="",O16=""),"",N16+ROUND((O16-N16)*0.7,0))</f>
        <v>46328</v>
      </c>
      <c r="P20" s="380" t="str">
        <f aca="false">IFERROR(INDEX(ST_LABEL,MATCH(T20,ST_CODE,0)),T20)</f>
        <v>กำลังดำเนินการ</v>
      </c>
      <c r="Q20" s="385" t="n">
        <f aca="false">IF(OR(J20="",O20=""),"",O20-J20)</f>
        <v>-27</v>
      </c>
      <c r="R20" s="387"/>
      <c r="S20" s="387" t="n">
        <v>2</v>
      </c>
      <c r="T20" s="387" t="str">
        <f aca="false">IF(O20="","BL",IF(M20="Y","DY",IF(LEFT(T16,1)="D","DY",IF(OR(M20="S",N20&lt;=ASOF),"IP","NS"))))</f>
        <v>IP</v>
      </c>
      <c r="U20" s="387"/>
      <c r="V20" s="386" t="n">
        <f aca="false">IF(LEFT(T20,1)="D",1,0)</f>
        <v>0</v>
      </c>
      <c r="W20" s="380" t="s">
        <v>3408</v>
      </c>
      <c r="X20" s="387"/>
      <c r="Y20" s="387" t="s">
        <v>1681</v>
      </c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</row>
    <row r="21" customFormat="false" ht="15" hidden="true" customHeight="false" outlineLevel="1" collapsed="false">
      <c r="A21" s="379" t="s">
        <v>239</v>
      </c>
      <c r="B21" s="380" t="s">
        <v>3430</v>
      </c>
      <c r="C21" s="380" t="s">
        <v>3431</v>
      </c>
      <c r="D21" s="380" t="s">
        <v>3411</v>
      </c>
      <c r="E21" s="381" t="n">
        <v>0</v>
      </c>
      <c r="F21" s="387"/>
      <c r="G21" s="387"/>
      <c r="H21" s="387"/>
      <c r="I21" s="382" t="n">
        <f aca="false">'Master Plan'!$H$27+(-52)</f>
        <v>46351</v>
      </c>
      <c r="J21" s="382" t="n">
        <f aca="false">'Master Plan'!$H$27+(-47)</f>
        <v>46356</v>
      </c>
      <c r="K21" s="387"/>
      <c r="L21" s="387"/>
      <c r="M21" s="383" t="str">
        <f aca="false">IF('อัปเดตงาน WBS'!$L$1574="","",'อัปเดตงาน WBS'!$L$1574)</f>
        <v/>
      </c>
      <c r="N21" s="384" t="n">
        <f aca="false">IF(OR(N16="",O16=""),"",N16+ROUND((O16-N16)*0.4,0))</f>
        <v>46328</v>
      </c>
      <c r="O21" s="384" t="n">
        <f aca="false">IF(OR(N16="",O16=""),"",N16+ROUND((O16-N16)*0.8,0))</f>
        <v>46328</v>
      </c>
      <c r="P21" s="380" t="str">
        <f aca="false">IFERROR(INDEX(ST_LABEL,MATCH(T21,ST_CODE,0)),T21)</f>
        <v>กำลังดำเนินการ</v>
      </c>
      <c r="Q21" s="385" t="n">
        <f aca="false">IF(OR(J21="",O21=""),"",O21-J21)</f>
        <v>-28</v>
      </c>
      <c r="R21" s="387"/>
      <c r="S21" s="387" t="n">
        <v>2</v>
      </c>
      <c r="T21" s="387" t="str">
        <f aca="false">IF(O21="","BL",IF(M21="Y","DY",IF(LEFT(T16,1)="D","DY",IF(OR(M21="S",N21&lt;=ASOF),"IP","NS"))))</f>
        <v>IP</v>
      </c>
      <c r="U21" s="387"/>
      <c r="V21" s="386" t="n">
        <f aca="false">IF(LEFT(T21,1)="D",1,0)</f>
        <v>0</v>
      </c>
      <c r="W21" s="380" t="s">
        <v>3408</v>
      </c>
      <c r="X21" s="387"/>
      <c r="Y21" s="387" t="s">
        <v>1681</v>
      </c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</row>
    <row r="22" customFormat="false" ht="15" hidden="true" customHeight="false" outlineLevel="1" collapsed="false">
      <c r="A22" s="379" t="s">
        <v>242</v>
      </c>
      <c r="B22" s="380" t="s">
        <v>3432</v>
      </c>
      <c r="C22" s="380" t="s">
        <v>3433</v>
      </c>
      <c r="D22" s="380" t="s">
        <v>3411</v>
      </c>
      <c r="E22" s="381" t="n">
        <v>0</v>
      </c>
      <c r="F22" s="387"/>
      <c r="G22" s="387"/>
      <c r="H22" s="387"/>
      <c r="I22" s="382" t="n">
        <f aca="false">'Master Plan'!$H$27+(-50)</f>
        <v>46353</v>
      </c>
      <c r="J22" s="382" t="n">
        <f aca="false">'Master Plan'!$H$27+(-46)</f>
        <v>46357</v>
      </c>
      <c r="K22" s="387"/>
      <c r="L22" s="387"/>
      <c r="M22" s="383" t="str">
        <f aca="false">IF('อัปเดตงาน WBS'!$L$1575="","",'อัปเดตงาน WBS'!$L$1575)</f>
        <v/>
      </c>
      <c r="N22" s="384" t="n">
        <f aca="false">IF(OR(N16="",O16=""),"",N16+ROUND((O16-N16)*0.5,0))</f>
        <v>46328</v>
      </c>
      <c r="O22" s="384" t="n">
        <f aca="false">IF(OR(N16="",O16=""),"",N16+ROUND((O16-N16)*0.9,0))</f>
        <v>46328</v>
      </c>
      <c r="P22" s="380" t="str">
        <f aca="false">IFERROR(INDEX(ST_LABEL,MATCH(T22,ST_CODE,0)),T22)</f>
        <v>กำลังดำเนินการ</v>
      </c>
      <c r="Q22" s="385" t="n">
        <f aca="false">IF(OR(J22="",O22=""),"",O22-J22)</f>
        <v>-29</v>
      </c>
      <c r="R22" s="387"/>
      <c r="S22" s="387" t="n">
        <v>2</v>
      </c>
      <c r="T22" s="387" t="str">
        <f aca="false">IF(O22="","BL",IF(M22="Y","DY",IF(LEFT(T16,1)="D","DY",IF(OR(M22="S",N22&lt;=ASOF),"IP","NS"))))</f>
        <v>IP</v>
      </c>
      <c r="U22" s="387"/>
      <c r="V22" s="386" t="n">
        <f aca="false">IF(LEFT(T22,1)="D",1,0)</f>
        <v>0</v>
      </c>
      <c r="W22" s="380" t="s">
        <v>3408</v>
      </c>
      <c r="X22" s="387"/>
      <c r="Y22" s="387" t="s">
        <v>1681</v>
      </c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</row>
    <row r="23" customFormat="false" ht="15" hidden="true" customHeight="false" outlineLevel="1" collapsed="false">
      <c r="A23" s="379" t="s">
        <v>245</v>
      </c>
      <c r="B23" s="380" t="s">
        <v>3673</v>
      </c>
      <c r="C23" s="380" t="s">
        <v>3435</v>
      </c>
      <c r="D23" s="380" t="s">
        <v>3411</v>
      </c>
      <c r="E23" s="381" t="n">
        <v>0</v>
      </c>
      <c r="F23" s="387"/>
      <c r="G23" s="387"/>
      <c r="H23" s="387"/>
      <c r="I23" s="382"/>
      <c r="J23" s="382"/>
      <c r="K23" s="387"/>
      <c r="L23" s="387"/>
      <c r="M23" s="379"/>
      <c r="N23" s="384"/>
      <c r="O23" s="384"/>
      <c r="P23" s="380" t="str">
        <f aca="false">IFERROR(INDEX(ST_LABEL,MATCH(T23,ST_CODE,0)),T23)</f>
        <v>ไม่ต้องทำ</v>
      </c>
      <c r="Q23" s="385" t="str">
        <f aca="false">IF(OR(J23="",O23=""),"",O23-J23)</f>
        <v/>
      </c>
      <c r="R23" s="387"/>
      <c r="S23" s="387" t="n">
        <v>2</v>
      </c>
      <c r="T23" s="387" t="s">
        <v>3231</v>
      </c>
      <c r="U23" s="387"/>
      <c r="V23" s="386" t="n">
        <f aca="false">IF(LEFT(T23,1)="D",1,0)</f>
        <v>0</v>
      </c>
      <c r="W23" s="380" t="s">
        <v>3408</v>
      </c>
      <c r="X23" s="387"/>
      <c r="Y23" s="387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</row>
    <row r="24" customFormat="false" ht="15" hidden="true" customHeight="false" outlineLevel="1" collapsed="false">
      <c r="A24" s="379" t="s">
        <v>248</v>
      </c>
      <c r="B24" s="380" t="s">
        <v>3436</v>
      </c>
      <c r="C24" s="380" t="s">
        <v>250</v>
      </c>
      <c r="D24" s="380" t="s">
        <v>3411</v>
      </c>
      <c r="E24" s="381" t="n">
        <v>0</v>
      </c>
      <c r="F24" s="387"/>
      <c r="G24" s="387"/>
      <c r="H24" s="387"/>
      <c r="I24" s="382" t="n">
        <f aca="false">'Master Plan'!$H$27+(-49)</f>
        <v>46354</v>
      </c>
      <c r="J24" s="382" t="n">
        <f aca="false">'Master Plan'!$H$27+(-45)</f>
        <v>46358</v>
      </c>
      <c r="K24" s="387"/>
      <c r="L24" s="387"/>
      <c r="M24" s="383" t="str">
        <f aca="false">IF('อัปเดตงาน WBS'!$L$1576="","",'อัปเดตงาน WBS'!$L$1576)</f>
        <v/>
      </c>
      <c r="N24" s="384" t="n">
        <f aca="false">IF(OR(N16="",O16=""),"",N16+ROUND((O16-N16)*0.6,0))</f>
        <v>46328</v>
      </c>
      <c r="O24" s="384" t="n">
        <f aca="false">IF(OR(N16="",O16=""),"",N16+ROUND((O16-N16)*1,0))</f>
        <v>46328</v>
      </c>
      <c r="P24" s="380" t="str">
        <f aca="false">IFERROR(INDEX(ST_LABEL,MATCH(T24,ST_CODE,0)),T24)</f>
        <v>กำลังดำเนินการ</v>
      </c>
      <c r="Q24" s="385" t="n">
        <f aca="false">IF(OR(J24="",O24=""),"",O24-J24)</f>
        <v>-30</v>
      </c>
      <c r="R24" s="387"/>
      <c r="S24" s="387" t="n">
        <v>2</v>
      </c>
      <c r="T24" s="387" t="str">
        <f aca="false">IF(O24="","BL",IF(M24="Y","DY",IF(LEFT(T16,1)="D","DY",IF(OR(M24="S",N24&lt;=ASOF),"IP","NS"))))</f>
        <v>IP</v>
      </c>
      <c r="U24" s="387"/>
      <c r="V24" s="386" t="n">
        <f aca="false">IF(LEFT(T24,1)="D",1,0)</f>
        <v>0</v>
      </c>
      <c r="W24" s="380" t="s">
        <v>3408</v>
      </c>
      <c r="X24" s="387"/>
      <c r="Y24" s="387" t="s">
        <v>1681</v>
      </c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</row>
    <row r="25" customFormat="false" ht="15" hidden="false" customHeight="false" outlineLevel="0" collapsed="false">
      <c r="A25" s="32" t="s">
        <v>1917</v>
      </c>
      <c r="B25" s="31" t="s">
        <v>1918</v>
      </c>
      <c r="C25" s="31"/>
      <c r="D25" s="36" t="s">
        <v>131</v>
      </c>
      <c r="E25" s="372" t="n">
        <v>0</v>
      </c>
      <c r="F25" s="31" t="s">
        <v>3437</v>
      </c>
      <c r="G25" s="32"/>
      <c r="H25" s="32" t="n">
        <v>1</v>
      </c>
      <c r="I25" s="373" t="n">
        <f aca="false">'Master Plan'!$H$27+(-51)</f>
        <v>46352</v>
      </c>
      <c r="J25" s="373" t="n">
        <f aca="false">'Master Plan'!$H$27+(-51)</f>
        <v>46352</v>
      </c>
      <c r="K25" s="78"/>
      <c r="L25" s="78" t="str">
        <f aca="false">IF(ISNUMBER(อัปเดตรายสัปดาห์!$I$27),อัปเดตรายสัปดาห์!$I$27,"")</f>
        <v/>
      </c>
      <c r="M25" s="374" t="str">
        <f aca="false">IF(อัปเดตรายสัปดาห์!$I$27="Y","Y","")</f>
        <v/>
      </c>
      <c r="N25" s="375" t="n">
        <f aca="false">IF(K25&lt;&gt;"",K25,IF(L25&lt;&gt;"",L25-H25+1,IF(M25="Y",O25-H25+1,MAX(O25-H25+1,ASOF))))</f>
        <v>46329</v>
      </c>
      <c r="O25" s="80" t="n">
        <f aca="false">IF(L25&lt;&gt;"",L25,IF(M25="Y",MIN(J25,O111-20),MAX(O111-20,ASOF)))</f>
        <v>46329</v>
      </c>
      <c r="P25" s="36" t="str">
        <f aca="false">IFERROR(INDEX(ST_LABEL,MATCH(T25,ST_CODE,0)),T25)</f>
        <v>ยังไม่เริ่ม</v>
      </c>
      <c r="Q25" s="376" t="n">
        <f aca="false">IF(OR(J25="",O25=""),"",O25-J25)</f>
        <v>-23</v>
      </c>
      <c r="R25" s="31"/>
      <c r="S25" s="31" t="n">
        <v>1</v>
      </c>
      <c r="T25" s="31" t="str">
        <f aca="false">IF(O25="","BL",IF(AND(L25&lt;&gt;"",L25&lt;=ASOF),"DN",IF(M25="Y","DY",IF(L25&lt;&gt;"","AP",IF(N25&lt;=ASOF,"IP","NS")))))</f>
        <v>NS</v>
      </c>
      <c r="U25" s="388" t="n">
        <f aca="false">IF(AND(LEFT(T25,1)&lt;&gt;"D",T25&lt;&gt;"NA",T25&lt;&gt;"BL",ISNUMBER(N25)),N25+ROW()/10000,"")</f>
        <v>46329.0025</v>
      </c>
      <c r="V25" s="377" t="n">
        <f aca="false">IF(LEFT(T25,1)="D",1,IF(T25="NA",0,MIN(1,IF((E26+E27+E28)&gt;0,(E26*(M26="Y")+E27*(M27="Y")+E28*(M28="Y"))/(E26+E27+E28),((M26="Y")+(M27="Y")+(M28="Y"))/3))))</f>
        <v>0</v>
      </c>
      <c r="W25" s="36" t="s">
        <v>1627</v>
      </c>
      <c r="X25" s="31" t="s">
        <v>3438</v>
      </c>
      <c r="Y25" s="36" t="s">
        <v>1634</v>
      </c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customFormat="false" ht="15" hidden="true" customHeight="false" outlineLevel="1" collapsed="false">
      <c r="A26" s="379" t="s">
        <v>251</v>
      </c>
      <c r="B26" s="380" t="s">
        <v>1919</v>
      </c>
      <c r="C26" s="380" t="s">
        <v>3439</v>
      </c>
      <c r="D26" s="387" t="s">
        <v>131</v>
      </c>
      <c r="E26" s="381" t="n">
        <v>0</v>
      </c>
      <c r="F26" s="387"/>
      <c r="G26" s="387"/>
      <c r="H26" s="387"/>
      <c r="I26" s="382" t="n">
        <f aca="false">'Master Plan'!$H$27+(-51)</f>
        <v>46352</v>
      </c>
      <c r="J26" s="382" t="n">
        <f aca="false">'Master Plan'!$H$27+(-51)</f>
        <v>46352</v>
      </c>
      <c r="K26" s="387"/>
      <c r="L26" s="387"/>
      <c r="M26" s="383" t="str">
        <f aca="false">IF('อัปเดตงาน WBS'!$L$1577="","",'อัปเดตงาน WBS'!$L$1577)</f>
        <v/>
      </c>
      <c r="N26" s="384" t="n">
        <f aca="false">IF(OR(N25="",O25=""),"",N25+ROUND((O25-N25)*0,0))</f>
        <v>46329</v>
      </c>
      <c r="O26" s="384" t="n">
        <f aca="false">IF(OR(N25="",O25=""),"",N25+ROUND((O25-N25)*0.5,0))</f>
        <v>46329</v>
      </c>
      <c r="P26" s="380" t="str">
        <f aca="false">IFERROR(INDEX(ST_LABEL,MATCH(T26,ST_CODE,0)),T26)</f>
        <v>ยังไม่เริ่ม</v>
      </c>
      <c r="Q26" s="385" t="n">
        <f aca="false">IF(OR(J26="",O26=""),"",O26-J26)</f>
        <v>-23</v>
      </c>
      <c r="R26" s="387"/>
      <c r="S26" s="387" t="n">
        <v>2</v>
      </c>
      <c r="T26" s="387" t="str">
        <f aca="false">IF(O26="","BL",IF(M26="Y","DY",IF(LEFT(T25,1)="D","DY",IF(OR(M26="S",N26&lt;=ASOF),"IP","NS"))))</f>
        <v>NS</v>
      </c>
      <c r="U26" s="387"/>
      <c r="V26" s="386" t="n">
        <f aca="false">IF(LEFT(T26,1)="D",1,0)</f>
        <v>0</v>
      </c>
      <c r="W26" s="380" t="s">
        <v>3408</v>
      </c>
      <c r="X26" s="387"/>
      <c r="Y26" s="387" t="s">
        <v>1634</v>
      </c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</row>
    <row r="27" customFormat="false" ht="15" hidden="true" customHeight="false" outlineLevel="1" collapsed="false">
      <c r="A27" s="379" t="s">
        <v>254</v>
      </c>
      <c r="B27" s="380" t="s">
        <v>3440</v>
      </c>
      <c r="C27" s="380" t="s">
        <v>3441</v>
      </c>
      <c r="D27" s="387" t="s">
        <v>131</v>
      </c>
      <c r="E27" s="381" t="n">
        <v>0</v>
      </c>
      <c r="F27" s="387"/>
      <c r="G27" s="387"/>
      <c r="H27" s="387"/>
      <c r="I27" s="382" t="n">
        <f aca="false">'Master Plan'!$H$27+(-51)</f>
        <v>46352</v>
      </c>
      <c r="J27" s="382" t="n">
        <f aca="false">'Master Plan'!$H$27+(-51)</f>
        <v>46352</v>
      </c>
      <c r="K27" s="387"/>
      <c r="L27" s="387"/>
      <c r="M27" s="383" t="str">
        <f aca="false">IF('อัปเดตงาน WBS'!$L$1578="","",'อัปเดตงาน WBS'!$L$1578)</f>
        <v/>
      </c>
      <c r="N27" s="384" t="n">
        <f aca="false">IF(OR(N25="",O25=""),"",N25+ROUND((O25-N25)*0.5,0))</f>
        <v>46329</v>
      </c>
      <c r="O27" s="384" t="n">
        <f aca="false">IF(OR(N25="",O25=""),"",N25+ROUND((O25-N25)*1,0))</f>
        <v>46329</v>
      </c>
      <c r="P27" s="380" t="str">
        <f aca="false">IFERROR(INDEX(ST_LABEL,MATCH(T27,ST_CODE,0)),T27)</f>
        <v>ยังไม่เริ่ม</v>
      </c>
      <c r="Q27" s="385" t="n">
        <f aca="false">IF(OR(J27="",O27=""),"",O27-J27)</f>
        <v>-23</v>
      </c>
      <c r="R27" s="387"/>
      <c r="S27" s="387" t="n">
        <v>2</v>
      </c>
      <c r="T27" s="387" t="str">
        <f aca="false">IF(O27="","BL",IF(M27="Y","DY",IF(LEFT(T25,1)="D","DY",IF(OR(M27="S",N27&lt;=ASOF),"IP","NS"))))</f>
        <v>NS</v>
      </c>
      <c r="U27" s="387"/>
      <c r="V27" s="386" t="n">
        <f aca="false">IF(LEFT(T27,1)="D",1,0)</f>
        <v>0</v>
      </c>
      <c r="W27" s="387" t="s">
        <v>1627</v>
      </c>
      <c r="X27" s="387"/>
      <c r="Y27" s="387" t="s">
        <v>1634</v>
      </c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</row>
    <row r="28" customFormat="false" ht="15" hidden="true" customHeight="false" outlineLevel="1" collapsed="false">
      <c r="A28" s="379" t="s">
        <v>257</v>
      </c>
      <c r="B28" s="380" t="s">
        <v>3442</v>
      </c>
      <c r="C28" s="380" t="s">
        <v>3443</v>
      </c>
      <c r="D28" s="380" t="s">
        <v>3408</v>
      </c>
      <c r="E28" s="381" t="n">
        <v>0</v>
      </c>
      <c r="F28" s="387"/>
      <c r="G28" s="387"/>
      <c r="H28" s="387"/>
      <c r="I28" s="382" t="n">
        <f aca="false">'Master Plan'!$H$27+(-51)</f>
        <v>46352</v>
      </c>
      <c r="J28" s="382" t="n">
        <f aca="false">'Master Plan'!$H$27+(-51)</f>
        <v>46352</v>
      </c>
      <c r="K28" s="387"/>
      <c r="L28" s="387"/>
      <c r="M28" s="383" t="str">
        <f aca="false">IF('อัปเดตงาน WBS'!$L$1579="","",'อัปเดตงาน WBS'!$L$1579)</f>
        <v/>
      </c>
      <c r="N28" s="384" t="n">
        <f aca="false">IF(OR(N25="",O25=""),"",N25+ROUND((O25-N25)*1,0))</f>
        <v>46329</v>
      </c>
      <c r="O28" s="384" t="n">
        <f aca="false">IF(OR(N25="",O25=""),"",N25+ROUND((O25-N25)*1,0))</f>
        <v>46329</v>
      </c>
      <c r="P28" s="380" t="str">
        <f aca="false">IFERROR(INDEX(ST_LABEL,MATCH(T28,ST_CODE,0)),T28)</f>
        <v>ยังไม่เริ่ม</v>
      </c>
      <c r="Q28" s="385" t="n">
        <f aca="false">IF(OR(J28="",O28=""),"",O28-J28)</f>
        <v>-23</v>
      </c>
      <c r="R28" s="387"/>
      <c r="S28" s="387" t="n">
        <v>2</v>
      </c>
      <c r="T28" s="387" t="str">
        <f aca="false">IF(O28="","BL",IF(M28="Y","DY",IF(LEFT(T25,1)="D","DY",IF(OR(M28="S",N28&lt;=ASOF),"IP","NS"))))</f>
        <v>NS</v>
      </c>
      <c r="U28" s="387"/>
      <c r="V28" s="386" t="n">
        <f aca="false">IF(LEFT(T28,1)="D",1,0)</f>
        <v>0</v>
      </c>
      <c r="W28" s="387" t="s">
        <v>1627</v>
      </c>
      <c r="X28" s="387"/>
      <c r="Y28" s="387" t="s">
        <v>1634</v>
      </c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</row>
    <row r="29" customFormat="false" ht="15" hidden="false" customHeight="false" outlineLevel="0" collapsed="false">
      <c r="A29" s="319" t="s">
        <v>1841</v>
      </c>
      <c r="B29" s="319" t="s">
        <v>127</v>
      </c>
      <c r="C29" s="319"/>
      <c r="D29" s="319"/>
      <c r="E29" s="368" t="n">
        <f aca="false">SUMIF(S30:S60,1,E30:E60)</f>
        <v>5</v>
      </c>
      <c r="F29" s="319"/>
      <c r="G29" s="319"/>
      <c r="H29" s="319"/>
      <c r="I29" s="369" t="n">
        <f aca="false">MIN(I30:I60)</f>
        <v>46328</v>
      </c>
      <c r="J29" s="369" t="n">
        <f aca="false">MAX(J30:J60)</f>
        <v>46436</v>
      </c>
      <c r="K29" s="319"/>
      <c r="L29" s="319"/>
      <c r="M29" s="319"/>
      <c r="N29" s="369" t="n">
        <f aca="false">MIN(N30:N60)</f>
        <v>46328</v>
      </c>
      <c r="O29" s="369" t="n">
        <f aca="false">MAX(O30:O60)</f>
        <v>46433</v>
      </c>
      <c r="P29" s="323" t="str">
        <f aca="false">IFERROR(INDEX(ST_LABEL,MATCH(T29,ST_CODE,0)),T29)</f>
        <v>กำลังดำเนินการ</v>
      </c>
      <c r="Q29" s="370" t="n">
        <f aca="false">IF(J29=0,"",O29-J29)</f>
        <v>-3</v>
      </c>
      <c r="R29" s="319"/>
      <c r="S29" s="319" t="n">
        <v>0</v>
      </c>
      <c r="T29" s="319" t="str">
        <f aca="false">IF(COUNTIF(T30:T60,"D*")+COUNTIF(T30:T60,"NA")+COUNTIF(T30:T60,"BL")=31,"DN",IF(COUNTIF(T30:T60,"D*")+COUNTIF(T30:T60,"AP")+COUNTIF(T30:T60,"IP")&gt;0,"IP","NS"))</f>
        <v>IP</v>
      </c>
      <c r="U29" s="319"/>
      <c r="V29" s="371" t="n">
        <f aca="false">IF(E29&gt;0,SUMPRODUCT(E30:E60*(S30:S60=1)*V30:V60)/E29,0)</f>
        <v>0</v>
      </c>
      <c r="W29" s="319"/>
      <c r="X29" s="319"/>
      <c r="Y29" s="319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</row>
    <row r="30" customFormat="false" ht="15" hidden="false" customHeight="false" outlineLevel="0" collapsed="false">
      <c r="A30" s="32" t="s">
        <v>1844</v>
      </c>
      <c r="B30" s="36" t="s">
        <v>1922</v>
      </c>
      <c r="C30" s="31"/>
      <c r="D30" s="31" t="s">
        <v>121</v>
      </c>
      <c r="E30" s="372" t="n">
        <v>0.5</v>
      </c>
      <c r="F30" s="31" t="s">
        <v>3444</v>
      </c>
      <c r="G30" s="32"/>
      <c r="H30" s="32" t="n">
        <v>1</v>
      </c>
      <c r="I30" s="373" t="n">
        <f aca="false">'Master Plan'!$H$27+(-75)</f>
        <v>46328</v>
      </c>
      <c r="J30" s="373" t="n">
        <f aca="false">'Master Plan'!$H$27+(-75)</f>
        <v>46328</v>
      </c>
      <c r="K30" s="78"/>
      <c r="L30" s="78" t="str">
        <f aca="false">IF(ISNUMBER(อัปเดตรายสัปดาห์!$J$27),อัปเดตรายสัปดาห์!$J$27,"")</f>
        <v/>
      </c>
      <c r="M30" s="374" t="str">
        <f aca="false">IF(อัปเดตรายสัปดาห์!$J$27="Y","Y","")</f>
        <v/>
      </c>
      <c r="N30" s="375" t="n">
        <f aca="false">IF(K30&lt;&gt;"",K30,IF(L30&lt;&gt;"",L30-H30+1,IF(M30="Y",O30-H30+1,MAX(O30-H30+1,ASOF))))</f>
        <v>46328</v>
      </c>
      <c r="O30" s="80" t="n">
        <f aca="false">IF(L30&lt;&gt;"",L30,IF(M30="Y",MIN(J30,O111-60),MAX(O111-60,ASOF)))</f>
        <v>46328</v>
      </c>
      <c r="P30" s="36" t="str">
        <f aca="false">IFERROR(INDEX(ST_LABEL,MATCH(T30,ST_CODE,0)),T30)</f>
        <v>กำลังดำเนินการ</v>
      </c>
      <c r="Q30" s="376" t="n">
        <f aca="false">IF(OR(J30="",O30=""),"",O30-J30)</f>
        <v>0</v>
      </c>
      <c r="R30" s="31"/>
      <c r="S30" s="31" t="n">
        <v>1</v>
      </c>
      <c r="T30" s="31" t="str">
        <f aca="false">IF(O30="","BL",IF(AND(L30&lt;&gt;"",L30&lt;=ASOF),"DN",IF(M30="Y","DY",IF(L30&lt;&gt;"","AP",IF(N30&lt;=ASOF,"IP","NS")))))</f>
        <v>IP</v>
      </c>
      <c r="U30" s="388" t="n">
        <f aca="false">IF(AND(LEFT(T30,1)&lt;&gt;"D",T30&lt;&gt;"NA",T30&lt;&gt;"BL",ISNUMBER(N30)),N30+ROW()/10000,"")</f>
        <v>46328.003</v>
      </c>
      <c r="V30" s="377" t="n">
        <f aca="false">IF(LEFT(T30,1)="D",1,IF(T30="NA",0,MIN(1,IF((E31+E32+E33)&gt;0,(E31*(M31="Y")+E32*(M32="Y")+E33*(M33="Y"))/(E31+E32+E33),((M31="Y")+(M32="Y")+(M33="Y"))/3))))</f>
        <v>0</v>
      </c>
      <c r="W30" s="36" t="s">
        <v>1627</v>
      </c>
      <c r="X30" s="31" t="s">
        <v>3445</v>
      </c>
      <c r="Y30" s="31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</row>
    <row r="31" customFormat="false" ht="15" hidden="true" customHeight="false" outlineLevel="1" collapsed="false">
      <c r="A31" s="379" t="s">
        <v>260</v>
      </c>
      <c r="B31" s="380" t="s">
        <v>3446</v>
      </c>
      <c r="C31" s="380" t="s">
        <v>3447</v>
      </c>
      <c r="D31" s="380" t="s">
        <v>3408</v>
      </c>
      <c r="E31" s="381" t="n">
        <v>0.2</v>
      </c>
      <c r="F31" s="387"/>
      <c r="G31" s="387"/>
      <c r="H31" s="387"/>
      <c r="I31" s="382" t="n">
        <f aca="false">'Master Plan'!$H$27+(-75)</f>
        <v>46328</v>
      </c>
      <c r="J31" s="382" t="n">
        <f aca="false">'Master Plan'!$H$27+(-75)</f>
        <v>46328</v>
      </c>
      <c r="K31" s="387"/>
      <c r="L31" s="387"/>
      <c r="M31" s="383" t="str">
        <f aca="false">IF('อัปเดตงาน WBS'!$L$1580="","",'อัปเดตงาน WBS'!$L$1580)</f>
        <v/>
      </c>
      <c r="N31" s="384" t="n">
        <f aca="false">IF(OR(N30="",O30=""),"",N30+ROUND((O30-N30)*0,0))</f>
        <v>46328</v>
      </c>
      <c r="O31" s="384" t="n">
        <f aca="false">IF(OR(N30="",O30=""),"",N30+ROUND((O30-N30)*1,0))</f>
        <v>46328</v>
      </c>
      <c r="P31" s="380" t="str">
        <f aca="false">IFERROR(INDEX(ST_LABEL,MATCH(T31,ST_CODE,0)),T31)</f>
        <v>กำลังดำเนินการ</v>
      </c>
      <c r="Q31" s="385" t="n">
        <f aca="false">IF(OR(J31="",O31=""),"",O31-J31)</f>
        <v>0</v>
      </c>
      <c r="R31" s="387"/>
      <c r="S31" s="387" t="n">
        <v>2</v>
      </c>
      <c r="T31" s="387" t="str">
        <f aca="false">IF(O31="","BL",IF(M31="Y","DY",IF(LEFT(T30,1)="D","DY",IF(OR(M31="S",N31&lt;=ASOF),"IP","NS"))))</f>
        <v>IP</v>
      </c>
      <c r="U31" s="387"/>
      <c r="V31" s="386" t="n">
        <f aca="false">IF(LEFT(T31,1)="D",1,0)</f>
        <v>0</v>
      </c>
      <c r="W31" s="387" t="s">
        <v>1627</v>
      </c>
      <c r="X31" s="387"/>
      <c r="Y31" s="387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</row>
    <row r="32" customFormat="false" ht="15" hidden="true" customHeight="false" outlineLevel="1" collapsed="false">
      <c r="A32" s="379" t="s">
        <v>263</v>
      </c>
      <c r="B32" s="380" t="s">
        <v>3448</v>
      </c>
      <c r="C32" s="380" t="s">
        <v>3449</v>
      </c>
      <c r="D32" s="387" t="s">
        <v>131</v>
      </c>
      <c r="E32" s="381" t="n">
        <v>0.1</v>
      </c>
      <c r="F32" s="387"/>
      <c r="G32" s="387"/>
      <c r="H32" s="387"/>
      <c r="I32" s="382" t="n">
        <f aca="false">'Master Plan'!$H$27+(-75)</f>
        <v>46328</v>
      </c>
      <c r="J32" s="382" t="n">
        <f aca="false">'Master Plan'!$H$27+(-75)</f>
        <v>46328</v>
      </c>
      <c r="K32" s="387"/>
      <c r="L32" s="387"/>
      <c r="M32" s="383" t="str">
        <f aca="false">IF('อัปเดตงาน WBS'!$L$1581="","",'อัปเดตงาน WBS'!$L$1581)</f>
        <v/>
      </c>
      <c r="N32" s="384" t="n">
        <f aca="false">IF(OR(N30="",O30=""),"",N30+ROUND((O30-N30)*0,0))</f>
        <v>46328</v>
      </c>
      <c r="O32" s="384" t="n">
        <f aca="false">IF(OR(N30="",O30=""),"",N30+ROUND((O30-N30)*1,0))</f>
        <v>46328</v>
      </c>
      <c r="P32" s="380" t="str">
        <f aca="false">IFERROR(INDEX(ST_LABEL,MATCH(T32,ST_CODE,0)),T32)</f>
        <v>กำลังดำเนินการ</v>
      </c>
      <c r="Q32" s="385" t="n">
        <f aca="false">IF(OR(J32="",O32=""),"",O32-J32)</f>
        <v>0</v>
      </c>
      <c r="R32" s="387"/>
      <c r="S32" s="387" t="n">
        <v>2</v>
      </c>
      <c r="T32" s="387" t="str">
        <f aca="false">IF(O32="","BL",IF(M32="Y","DY",IF(LEFT(T30,1)="D","DY",IF(OR(M32="S",N32&lt;=ASOF),"IP","NS"))))</f>
        <v>IP</v>
      </c>
      <c r="U32" s="387"/>
      <c r="V32" s="386" t="n">
        <f aca="false">IF(LEFT(T32,1)="D",1,0)</f>
        <v>0</v>
      </c>
      <c r="W32" s="387" t="s">
        <v>1627</v>
      </c>
      <c r="X32" s="387"/>
      <c r="Y32" s="387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</row>
    <row r="33" customFormat="false" ht="15" hidden="true" customHeight="false" outlineLevel="1" collapsed="false">
      <c r="A33" s="379" t="s">
        <v>266</v>
      </c>
      <c r="B33" s="380" t="s">
        <v>3450</v>
      </c>
      <c r="C33" s="380" t="s">
        <v>3451</v>
      </c>
      <c r="D33" s="380" t="s">
        <v>3408</v>
      </c>
      <c r="E33" s="381" t="n">
        <v>0.2</v>
      </c>
      <c r="F33" s="387"/>
      <c r="G33" s="387"/>
      <c r="H33" s="387"/>
      <c r="I33" s="382" t="n">
        <f aca="false">'Master Plan'!$H$27+(-75)</f>
        <v>46328</v>
      </c>
      <c r="J33" s="382" t="n">
        <f aca="false">'Master Plan'!$H$27+(-75)</f>
        <v>46328</v>
      </c>
      <c r="K33" s="387"/>
      <c r="L33" s="387"/>
      <c r="M33" s="383" t="str">
        <f aca="false">IF('อัปเดตงาน WBS'!$L$1582="","",'อัปเดตงาน WBS'!$L$1582)</f>
        <v/>
      </c>
      <c r="N33" s="384" t="n">
        <f aca="false">IF(OR(N30="",O30=""),"",N30+ROUND((O30-N30)*0,0))</f>
        <v>46328</v>
      </c>
      <c r="O33" s="384" t="n">
        <f aca="false">IF(OR(N30="",O30=""),"",N30+ROUND((O30-N30)*1,0))</f>
        <v>46328</v>
      </c>
      <c r="P33" s="380" t="str">
        <f aca="false">IFERROR(INDEX(ST_LABEL,MATCH(T33,ST_CODE,0)),T33)</f>
        <v>กำลังดำเนินการ</v>
      </c>
      <c r="Q33" s="385" t="n">
        <f aca="false">IF(OR(J33="",O33=""),"",O33-J33)</f>
        <v>0</v>
      </c>
      <c r="R33" s="387"/>
      <c r="S33" s="387" t="n">
        <v>2</v>
      </c>
      <c r="T33" s="387" t="str">
        <f aca="false">IF(O33="","BL",IF(M33="Y","DY",IF(LEFT(T30,1)="D","DY",IF(OR(M33="S",N33&lt;=ASOF),"IP","NS"))))</f>
        <v>IP</v>
      </c>
      <c r="U33" s="387"/>
      <c r="V33" s="386" t="n">
        <f aca="false">IF(LEFT(T33,1)="D",1,0)</f>
        <v>0</v>
      </c>
      <c r="W33" s="387" t="s">
        <v>1627</v>
      </c>
      <c r="X33" s="387"/>
      <c r="Y33" s="387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</row>
    <row r="34" customFormat="false" ht="15" hidden="false" customHeight="false" outlineLevel="0" collapsed="false">
      <c r="A34" s="32" t="s">
        <v>1847</v>
      </c>
      <c r="B34" s="36" t="s">
        <v>1927</v>
      </c>
      <c r="C34" s="31"/>
      <c r="D34" s="31" t="s">
        <v>121</v>
      </c>
      <c r="E34" s="372" t="n">
        <v>1</v>
      </c>
      <c r="F34" s="31" t="s">
        <v>3452</v>
      </c>
      <c r="G34" s="32"/>
      <c r="H34" s="32" t="n">
        <v>10</v>
      </c>
      <c r="I34" s="373" t="n">
        <f aca="false">'Master Plan'!$H$27+(-68)</f>
        <v>46335</v>
      </c>
      <c r="J34" s="373" t="n">
        <f aca="false">'Master Plan'!$H$27+(-59)</f>
        <v>46344</v>
      </c>
      <c r="K34" s="78"/>
      <c r="L34" s="78" t="str">
        <f aca="false">IF(ISNUMBER(อัปเดตรายสัปดาห์!$K$27),อัปเดตรายสัปดาห์!$K$27,"")</f>
        <v/>
      </c>
      <c r="M34" s="374" t="str">
        <f aca="false">IF(อัปเดตรายสัปดาห์!$K$27="Y","Y","")</f>
        <v/>
      </c>
      <c r="N34" s="375" t="n">
        <f aca="false">IF(K34&lt;&gt;"",K34,IF(L34&lt;&gt;"",L34-H34+1,IF(M34="Y",O34-H34+1,MAX(O34-H34+1,ASOF))))</f>
        <v>46328</v>
      </c>
      <c r="O34" s="80" t="n">
        <f aca="false">IF(L34&lt;&gt;"",L34,IF(M34="Y",MIN(J34,O111-45),MAX(O111-45,ASOF)))</f>
        <v>46328</v>
      </c>
      <c r="P34" s="36" t="str">
        <f aca="false">IFERROR(INDEX(ST_LABEL,MATCH(T34,ST_CODE,0)),T34)</f>
        <v>กำลังดำเนินการ</v>
      </c>
      <c r="Q34" s="376" t="n">
        <f aca="false">IF(OR(J34="",O34=""),"",O34-J34)</f>
        <v>-16</v>
      </c>
      <c r="R34" s="31"/>
      <c r="S34" s="31" t="n">
        <v>1</v>
      </c>
      <c r="T34" s="31" t="str">
        <f aca="false">IF(O34="","BL",IF(AND(L34&lt;&gt;"",L34&lt;=ASOF),"DN",IF(M34="Y","DY",IF(L34&lt;&gt;"","AP",IF(N34&lt;=ASOF,"IP","NS")))))</f>
        <v>IP</v>
      </c>
      <c r="U34" s="388" t="n">
        <f aca="false">IF(AND(LEFT(T34,1)&lt;&gt;"D",T34&lt;&gt;"NA",T34&lt;&gt;"BL",ISNUMBER(N34)),N34+ROW()/10000,"")</f>
        <v>46328.0034</v>
      </c>
      <c r="V34" s="377" t="n">
        <f aca="false">IF(LEFT(T34,1)="D",1,IF(T34="NA",0,MIN(1,IF((E35+E36+E37+E38)&gt;0,(E35*(M35="Y")+E36*(M36="Y")+E37*(M37="Y")+E38*(M38="Y"))/(E35+E36+E37+E38),((M35="Y")+(M36="Y")+(M37="Y")+(M38="Y"))/4))))</f>
        <v>0</v>
      </c>
      <c r="W34" s="36" t="s">
        <v>1627</v>
      </c>
      <c r="X34" s="36" t="s">
        <v>3453</v>
      </c>
      <c r="Y34" s="31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</row>
    <row r="35" customFormat="false" ht="15" hidden="true" customHeight="false" outlineLevel="1" collapsed="false">
      <c r="A35" s="379" t="s">
        <v>269</v>
      </c>
      <c r="B35" s="387" t="s">
        <v>1928</v>
      </c>
      <c r="C35" s="387" t="s">
        <v>3454</v>
      </c>
      <c r="D35" s="380" t="s">
        <v>3408</v>
      </c>
      <c r="E35" s="381" t="n">
        <v>0.3</v>
      </c>
      <c r="F35" s="387"/>
      <c r="G35" s="387"/>
      <c r="H35" s="387"/>
      <c r="I35" s="382" t="n">
        <f aca="false">'Master Plan'!$H$27+(-68)</f>
        <v>46335</v>
      </c>
      <c r="J35" s="382" t="n">
        <f aca="false">'Master Plan'!$H$27+(-64)</f>
        <v>46339</v>
      </c>
      <c r="K35" s="387"/>
      <c r="L35" s="387"/>
      <c r="M35" s="383" t="str">
        <f aca="false">IF('อัปเดตงาน WBS'!$L$1583="","",'อัปเดตงาน WBS'!$L$1583)</f>
        <v/>
      </c>
      <c r="N35" s="384" t="n">
        <f aca="false">IF(OR(N34="",O34=""),"",N34+ROUND((O34-N34)*0,0))</f>
        <v>46328</v>
      </c>
      <c r="O35" s="384" t="n">
        <f aca="false">IF(OR(N34="",O34=""),"",N34+ROUND((O34-N34)*0.5,0))</f>
        <v>46328</v>
      </c>
      <c r="P35" s="380" t="str">
        <f aca="false">IFERROR(INDEX(ST_LABEL,MATCH(T35,ST_CODE,0)),T35)</f>
        <v>กำลังดำเนินการ</v>
      </c>
      <c r="Q35" s="385" t="n">
        <f aca="false">IF(OR(J35="",O35=""),"",O35-J35)</f>
        <v>-11</v>
      </c>
      <c r="R35" s="387"/>
      <c r="S35" s="387" t="n">
        <v>2</v>
      </c>
      <c r="T35" s="387" t="str">
        <f aca="false">IF(O35="","BL",IF(M35="Y","DY",IF(LEFT(T34,1)="D","DY",IF(OR(M35="S",N35&lt;=ASOF),"IP","NS"))))</f>
        <v>IP</v>
      </c>
      <c r="U35" s="387"/>
      <c r="V35" s="386" t="n">
        <f aca="false">IF(LEFT(T35,1)="D",1,0)</f>
        <v>0</v>
      </c>
      <c r="W35" s="387" t="s">
        <v>1627</v>
      </c>
      <c r="X35" s="387"/>
      <c r="Y35" s="387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</row>
    <row r="36" customFormat="false" ht="15" hidden="true" customHeight="false" outlineLevel="1" collapsed="false">
      <c r="A36" s="379" t="s">
        <v>272</v>
      </c>
      <c r="B36" s="380" t="s">
        <v>3455</v>
      </c>
      <c r="C36" s="380" t="s">
        <v>3456</v>
      </c>
      <c r="D36" s="380" t="s">
        <v>3408</v>
      </c>
      <c r="E36" s="381" t="n">
        <v>0.3</v>
      </c>
      <c r="F36" s="387"/>
      <c r="G36" s="387"/>
      <c r="H36" s="387"/>
      <c r="I36" s="382" t="n">
        <f aca="false">'Master Plan'!$H$27+(-68)</f>
        <v>46335</v>
      </c>
      <c r="J36" s="382" t="n">
        <f aca="false">'Master Plan'!$H$27+(-63)</f>
        <v>46340</v>
      </c>
      <c r="K36" s="387"/>
      <c r="L36" s="387"/>
      <c r="M36" s="383" t="str">
        <f aca="false">IF('อัปเดตงาน WBS'!$L$1584="","",'อัปเดตงาน WBS'!$L$1584)</f>
        <v/>
      </c>
      <c r="N36" s="384" t="n">
        <f aca="false">IF(OR(N34="",O34=""),"",N34+ROUND((O34-N34)*0,0))</f>
        <v>46328</v>
      </c>
      <c r="O36" s="384" t="n">
        <f aca="false">IF(OR(N34="",O34=""),"",N34+ROUND((O34-N34)*0.6,0))</f>
        <v>46328</v>
      </c>
      <c r="P36" s="380" t="str">
        <f aca="false">IFERROR(INDEX(ST_LABEL,MATCH(T36,ST_CODE,0)),T36)</f>
        <v>กำลังดำเนินการ</v>
      </c>
      <c r="Q36" s="385" t="n">
        <f aca="false">IF(OR(J36="",O36=""),"",O36-J36)</f>
        <v>-12</v>
      </c>
      <c r="R36" s="387"/>
      <c r="S36" s="387" t="n">
        <v>2</v>
      </c>
      <c r="T36" s="387" t="str">
        <f aca="false">IF(O36="","BL",IF(M36="Y","DY",IF(LEFT(T34,1)="D","DY",IF(OR(M36="S",N36&lt;=ASOF),"IP","NS"))))</f>
        <v>IP</v>
      </c>
      <c r="U36" s="387"/>
      <c r="V36" s="386" t="n">
        <f aca="false">IF(LEFT(T36,1)="D",1,0)</f>
        <v>0</v>
      </c>
      <c r="W36" s="387" t="s">
        <v>1627</v>
      </c>
      <c r="X36" s="387"/>
      <c r="Y36" s="387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</row>
    <row r="37" customFormat="false" ht="15" hidden="true" customHeight="false" outlineLevel="1" collapsed="false">
      <c r="A37" s="379" t="s">
        <v>275</v>
      </c>
      <c r="B37" s="380" t="s">
        <v>3457</v>
      </c>
      <c r="C37" s="380" t="s">
        <v>3458</v>
      </c>
      <c r="D37" s="380" t="s">
        <v>3408</v>
      </c>
      <c r="E37" s="381" t="n">
        <v>0.1</v>
      </c>
      <c r="F37" s="387"/>
      <c r="G37" s="387"/>
      <c r="H37" s="387"/>
      <c r="I37" s="382" t="n">
        <f aca="false">'Master Plan'!$H$27+(-65)</f>
        <v>46338</v>
      </c>
      <c r="J37" s="382" t="n">
        <f aca="false">'Master Plan'!$H$27+(-62)</f>
        <v>46341</v>
      </c>
      <c r="K37" s="387"/>
      <c r="L37" s="387"/>
      <c r="M37" s="383" t="str">
        <f aca="false">IF('อัปเดตงาน WBS'!$L$1585="","",'อัปเดตงาน WBS'!$L$1585)</f>
        <v/>
      </c>
      <c r="N37" s="384" t="n">
        <f aca="false">IF(OR(N34="",O34=""),"",N34+ROUND((O34-N34)*0.3,0))</f>
        <v>46328</v>
      </c>
      <c r="O37" s="384" t="n">
        <f aca="false">IF(OR(N34="",O34=""),"",N34+ROUND((O34-N34)*0.7,0))</f>
        <v>46328</v>
      </c>
      <c r="P37" s="380" t="str">
        <f aca="false">IFERROR(INDEX(ST_LABEL,MATCH(T37,ST_CODE,0)),T37)</f>
        <v>กำลังดำเนินการ</v>
      </c>
      <c r="Q37" s="385" t="n">
        <f aca="false">IF(OR(J37="",O37=""),"",O37-J37)</f>
        <v>-13</v>
      </c>
      <c r="R37" s="387"/>
      <c r="S37" s="387" t="n">
        <v>2</v>
      </c>
      <c r="T37" s="387" t="str">
        <f aca="false">IF(O37="","BL",IF(M37="Y","DY",IF(LEFT(T34,1)="D","DY",IF(OR(M37="S",N37&lt;=ASOF),"IP","NS"))))</f>
        <v>IP</v>
      </c>
      <c r="U37" s="387"/>
      <c r="V37" s="386" t="n">
        <f aca="false">IF(LEFT(T37,1)="D",1,0)</f>
        <v>0</v>
      </c>
      <c r="W37" s="387" t="s">
        <v>1627</v>
      </c>
      <c r="X37" s="387"/>
      <c r="Y37" s="387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</row>
    <row r="38" customFormat="false" ht="15" hidden="true" customHeight="false" outlineLevel="1" collapsed="false">
      <c r="A38" s="379" t="s">
        <v>278</v>
      </c>
      <c r="B38" s="380" t="s">
        <v>3459</v>
      </c>
      <c r="C38" s="380" t="s">
        <v>3460</v>
      </c>
      <c r="D38" s="380" t="s">
        <v>3408</v>
      </c>
      <c r="E38" s="381" t="n">
        <v>0.3</v>
      </c>
      <c r="F38" s="387"/>
      <c r="G38" s="387"/>
      <c r="H38" s="387"/>
      <c r="I38" s="382" t="n">
        <f aca="false">'Master Plan'!$H$27+(-63)</f>
        <v>46340</v>
      </c>
      <c r="J38" s="382" t="n">
        <f aca="false">'Master Plan'!$H$27+(-59)</f>
        <v>46344</v>
      </c>
      <c r="K38" s="387"/>
      <c r="L38" s="387"/>
      <c r="M38" s="383" t="str">
        <f aca="false">IF('อัปเดตงาน WBS'!$L$1586="","",'อัปเดตงาน WBS'!$L$1586)</f>
        <v/>
      </c>
      <c r="N38" s="384" t="n">
        <f aca="false">IF(OR(N34="",O34=""),"",N34+ROUND((O34-N34)*0.6,0))</f>
        <v>46328</v>
      </c>
      <c r="O38" s="384" t="n">
        <f aca="false">IF(OR(N34="",O34=""),"",N34+ROUND((O34-N34)*1,0))</f>
        <v>46328</v>
      </c>
      <c r="P38" s="380" t="str">
        <f aca="false">IFERROR(INDEX(ST_LABEL,MATCH(T38,ST_CODE,0)),T38)</f>
        <v>กำลังดำเนินการ</v>
      </c>
      <c r="Q38" s="385" t="n">
        <f aca="false">IF(OR(J38="",O38=""),"",O38-J38)</f>
        <v>-16</v>
      </c>
      <c r="R38" s="387"/>
      <c r="S38" s="387" t="n">
        <v>2</v>
      </c>
      <c r="T38" s="387" t="str">
        <f aca="false">IF(O38="","BL",IF(M38="Y","DY",IF(LEFT(T34,1)="D","DY",IF(OR(M38="S",N38&lt;=ASOF),"IP","NS"))))</f>
        <v>IP</v>
      </c>
      <c r="U38" s="387"/>
      <c r="V38" s="386" t="n">
        <f aca="false">IF(LEFT(T38,1)="D",1,0)</f>
        <v>0</v>
      </c>
      <c r="W38" s="387" t="s">
        <v>1627</v>
      </c>
      <c r="X38" s="387"/>
      <c r="Y38" s="387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</row>
    <row r="39" customFormat="false" ht="15" hidden="false" customHeight="false" outlineLevel="0" collapsed="false">
      <c r="A39" s="32" t="s">
        <v>1850</v>
      </c>
      <c r="B39" s="31" t="s">
        <v>1934</v>
      </c>
      <c r="C39" s="31"/>
      <c r="D39" s="31" t="s">
        <v>121</v>
      </c>
      <c r="E39" s="372" t="n">
        <v>0.5</v>
      </c>
      <c r="F39" s="31" t="s">
        <v>3461</v>
      </c>
      <c r="G39" s="32"/>
      <c r="H39" s="32" t="n">
        <v>1</v>
      </c>
      <c r="I39" s="373" t="n">
        <f aca="false">'Master Plan'!$H$27+(-45)</f>
        <v>46358</v>
      </c>
      <c r="J39" s="373" t="n">
        <f aca="false">'Master Plan'!$H$27+(-45)</f>
        <v>46358</v>
      </c>
      <c r="K39" s="78"/>
      <c r="L39" s="78" t="str">
        <f aca="false">IF(ISNUMBER(อัปเดตรายสัปดาห์!$L$27),อัปเดตรายสัปดาห์!$L$27,"")</f>
        <v/>
      </c>
      <c r="M39" s="374" t="str">
        <f aca="false">IF(อัปเดตรายสัปดาห์!$L$27="Y","Y","")</f>
        <v/>
      </c>
      <c r="N39" s="375" t="n">
        <f aca="false">IF(K39&lt;&gt;"",K39,IF(L39&lt;&gt;"",L39-H39+1,IF(M39="Y",O39-H39+1,MAX(O39-H39+1,ASOF))))</f>
        <v>46328</v>
      </c>
      <c r="O39" s="80" t="n">
        <f aca="false">IF(L39&lt;&gt;"",L39,IF(M39="Y",MIN(J39,O111-35),MAX(O111-35,ASOF)))</f>
        <v>46328</v>
      </c>
      <c r="P39" s="36" t="str">
        <f aca="false">IFERROR(INDEX(ST_LABEL,MATCH(T39,ST_CODE,0)),T39)</f>
        <v>กำลังดำเนินการ</v>
      </c>
      <c r="Q39" s="376" t="n">
        <f aca="false">IF(OR(J39="",O39=""),"",O39-J39)</f>
        <v>-30</v>
      </c>
      <c r="R39" s="31"/>
      <c r="S39" s="31" t="n">
        <v>1</v>
      </c>
      <c r="T39" s="31" t="str">
        <f aca="false">IF(O39="","BL",IF(AND(L39&lt;&gt;"",L39&lt;=ASOF),"DN",IF(M39="Y","DY",IF(L39&lt;&gt;"","AP",IF(N39&lt;=ASOF,"IP","NS")))))</f>
        <v>IP</v>
      </c>
      <c r="U39" s="388" t="n">
        <f aca="false">IF(AND(LEFT(T39,1)&lt;&gt;"D",T39&lt;&gt;"NA",T39&lt;&gt;"BL",ISNUMBER(N39)),N39+ROW()/10000,"")</f>
        <v>46328.0039</v>
      </c>
      <c r="V39" s="377" t="n">
        <f aca="false">IF(LEFT(T39,1)="D",1,IF(T39="NA",0,MIN(1,IF((E40+E41+E42)&gt;0,(E40*(M40="Y")+E41*(M41="Y")+E42*(M42="Y"))/(E40+E41+E42),((M40="Y")+(M41="Y")+(M42="Y"))/3))))</f>
        <v>0</v>
      </c>
      <c r="W39" s="36" t="s">
        <v>1627</v>
      </c>
      <c r="X39" s="31" t="s">
        <v>3462</v>
      </c>
      <c r="Y39" s="31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</row>
    <row r="40" customFormat="false" ht="15" hidden="true" customHeight="false" outlineLevel="1" collapsed="false">
      <c r="A40" s="379" t="s">
        <v>281</v>
      </c>
      <c r="B40" s="380" t="s">
        <v>1935</v>
      </c>
      <c r="C40" s="380" t="s">
        <v>3463</v>
      </c>
      <c r="D40" s="380" t="s">
        <v>3408</v>
      </c>
      <c r="E40" s="381" t="n">
        <v>0.2</v>
      </c>
      <c r="F40" s="387"/>
      <c r="G40" s="387"/>
      <c r="H40" s="387"/>
      <c r="I40" s="382" t="n">
        <f aca="false">'Master Plan'!$H$27+(-45)</f>
        <v>46358</v>
      </c>
      <c r="J40" s="382" t="n">
        <f aca="false">'Master Plan'!$H$27+(-45)</f>
        <v>46358</v>
      </c>
      <c r="K40" s="387"/>
      <c r="L40" s="387"/>
      <c r="M40" s="383" t="str">
        <f aca="false">IF('อัปเดตงาน WBS'!$L$1587="","",'อัปเดตงาน WBS'!$L$1587)</f>
        <v/>
      </c>
      <c r="N40" s="384" t="n">
        <f aca="false">IF(OR(N39="",O39=""),"",N39+ROUND((O39-N39)*0,0))</f>
        <v>46328</v>
      </c>
      <c r="O40" s="384" t="n">
        <f aca="false">IF(OR(N39="",O39=""),"",N39+ROUND((O39-N39)*1,0))</f>
        <v>46328</v>
      </c>
      <c r="P40" s="380" t="str">
        <f aca="false">IFERROR(INDEX(ST_LABEL,MATCH(T40,ST_CODE,0)),T40)</f>
        <v>กำลังดำเนินการ</v>
      </c>
      <c r="Q40" s="385" t="n">
        <f aca="false">IF(OR(J40="",O40=""),"",O40-J40)</f>
        <v>-30</v>
      </c>
      <c r="R40" s="387"/>
      <c r="S40" s="387" t="n">
        <v>2</v>
      </c>
      <c r="T40" s="387" t="str">
        <f aca="false">IF(O40="","BL",IF(M40="Y","DY",IF(LEFT(T39,1)="D","DY",IF(OR(M40="S",N40&lt;=ASOF),"IP","NS"))))</f>
        <v>IP</v>
      </c>
      <c r="U40" s="387"/>
      <c r="V40" s="386" t="n">
        <f aca="false">IF(LEFT(T40,1)="D",1,0)</f>
        <v>0</v>
      </c>
      <c r="W40" s="387" t="s">
        <v>1627</v>
      </c>
      <c r="X40" s="387"/>
      <c r="Y40" s="387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</row>
    <row r="41" customFormat="false" ht="15" hidden="true" customHeight="false" outlineLevel="1" collapsed="false">
      <c r="A41" s="379" t="s">
        <v>284</v>
      </c>
      <c r="B41" s="380" t="s">
        <v>3464</v>
      </c>
      <c r="C41" s="387" t="s">
        <v>3465</v>
      </c>
      <c r="D41" s="380" t="s">
        <v>3411</v>
      </c>
      <c r="E41" s="381" t="n">
        <v>0.2</v>
      </c>
      <c r="F41" s="387"/>
      <c r="G41" s="387"/>
      <c r="H41" s="387"/>
      <c r="I41" s="382" t="n">
        <f aca="false">'Master Plan'!$H$27+(-45)</f>
        <v>46358</v>
      </c>
      <c r="J41" s="382" t="n">
        <f aca="false">'Master Plan'!$H$27+(-45)</f>
        <v>46358</v>
      </c>
      <c r="K41" s="387"/>
      <c r="L41" s="387"/>
      <c r="M41" s="383" t="str">
        <f aca="false">IF('อัปเดตงาน WBS'!$L$1588="","",'อัปเดตงาน WBS'!$L$1588)</f>
        <v/>
      </c>
      <c r="N41" s="384" t="n">
        <f aca="false">IF(OR(N39="",O39=""),"",N39+ROUND((O39-N39)*0,0))</f>
        <v>46328</v>
      </c>
      <c r="O41" s="384" t="n">
        <f aca="false">IF(OR(N39="",O39=""),"",N39+ROUND((O39-N39)*1,0))</f>
        <v>46328</v>
      </c>
      <c r="P41" s="380" t="str">
        <f aca="false">IFERROR(INDEX(ST_LABEL,MATCH(T41,ST_CODE,0)),T41)</f>
        <v>กำลังดำเนินการ</v>
      </c>
      <c r="Q41" s="385" t="n">
        <f aca="false">IF(OR(J41="",O41=""),"",O41-J41)</f>
        <v>-30</v>
      </c>
      <c r="R41" s="387"/>
      <c r="S41" s="387" t="n">
        <v>2</v>
      </c>
      <c r="T41" s="387" t="str">
        <f aca="false">IF(O41="","BL",IF(M41="Y","DY",IF(LEFT(T39,1)="D","DY",IF(OR(M41="S",N41&lt;=ASOF),"IP","NS"))))</f>
        <v>IP</v>
      </c>
      <c r="U41" s="387"/>
      <c r="V41" s="386" t="n">
        <f aca="false">IF(LEFT(T41,1)="D",1,0)</f>
        <v>0</v>
      </c>
      <c r="W41" s="380" t="s">
        <v>3408</v>
      </c>
      <c r="X41" s="387"/>
      <c r="Y41" s="387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</row>
    <row r="42" customFormat="false" ht="15" hidden="true" customHeight="false" outlineLevel="1" collapsed="false">
      <c r="A42" s="379" t="s">
        <v>287</v>
      </c>
      <c r="B42" s="380" t="s">
        <v>3466</v>
      </c>
      <c r="C42" s="387" t="s">
        <v>3467</v>
      </c>
      <c r="D42" s="380" t="s">
        <v>3411</v>
      </c>
      <c r="E42" s="381" t="n">
        <v>0.1</v>
      </c>
      <c r="F42" s="387"/>
      <c r="G42" s="387"/>
      <c r="H42" s="387"/>
      <c r="I42" s="382" t="n">
        <f aca="false">'Master Plan'!$H$27+(-45)</f>
        <v>46358</v>
      </c>
      <c r="J42" s="382" t="n">
        <f aca="false">'Master Plan'!$H$27+(-45)</f>
        <v>46358</v>
      </c>
      <c r="K42" s="387"/>
      <c r="L42" s="387"/>
      <c r="M42" s="383" t="str">
        <f aca="false">IF('อัปเดตงาน WBS'!$L$1589="","",'อัปเดตงาน WBS'!$L$1589)</f>
        <v/>
      </c>
      <c r="N42" s="384" t="n">
        <f aca="false">IF(OR(N39="",O39=""),"",N39+ROUND((O39-N39)*0.5,0))</f>
        <v>46328</v>
      </c>
      <c r="O42" s="384" t="n">
        <f aca="false">IF(OR(N39="",O39=""),"",N39+ROUND((O39-N39)*1,0))</f>
        <v>46328</v>
      </c>
      <c r="P42" s="380" t="str">
        <f aca="false">IFERROR(INDEX(ST_LABEL,MATCH(T42,ST_CODE,0)),T42)</f>
        <v>กำลังดำเนินการ</v>
      </c>
      <c r="Q42" s="385" t="n">
        <f aca="false">IF(OR(J42="",O42=""),"",O42-J42)</f>
        <v>-30</v>
      </c>
      <c r="R42" s="387"/>
      <c r="S42" s="387" t="n">
        <v>2</v>
      </c>
      <c r="T42" s="387" t="str">
        <f aca="false">IF(O42="","BL",IF(M42="Y","DY",IF(LEFT(T39,1)="D","DY",IF(OR(M42="S",N42&lt;=ASOF),"IP","NS"))))</f>
        <v>IP</v>
      </c>
      <c r="U42" s="387"/>
      <c r="V42" s="386" t="n">
        <f aca="false">IF(LEFT(T42,1)="D",1,0)</f>
        <v>0</v>
      </c>
      <c r="W42" s="380" t="s">
        <v>3408</v>
      </c>
      <c r="X42" s="387"/>
      <c r="Y42" s="387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</row>
    <row r="43" customFormat="false" ht="15" hidden="false" customHeight="false" outlineLevel="0" collapsed="false">
      <c r="A43" s="32" t="s">
        <v>1852</v>
      </c>
      <c r="B43" s="31" t="s">
        <v>3468</v>
      </c>
      <c r="C43" s="31"/>
      <c r="D43" s="36" t="s">
        <v>131</v>
      </c>
      <c r="E43" s="372" t="n">
        <v>1</v>
      </c>
      <c r="F43" s="31" t="s">
        <v>3469</v>
      </c>
      <c r="G43" s="32"/>
      <c r="H43" s="32" t="n">
        <v>14</v>
      </c>
      <c r="I43" s="373" t="n">
        <f aca="false">'Master Plan'!$H$27+(-68)</f>
        <v>46335</v>
      </c>
      <c r="J43" s="373" t="n">
        <f aca="false">'Master Plan'!$H$27+(-55)</f>
        <v>46348</v>
      </c>
      <c r="K43" s="78"/>
      <c r="L43" s="78" t="str">
        <f aca="false">IF(ISNUMBER(อัปเดตรายสัปดาห์!$M$27),อัปเดตรายสัปดาห์!$M$27,"")</f>
        <v/>
      </c>
      <c r="M43" s="374" t="str">
        <f aca="false">IF(อัปเดตรายสัปดาห์!$M$27="Y","Y","")</f>
        <v/>
      </c>
      <c r="N43" s="375" t="n">
        <f aca="false">IF(K43&lt;&gt;"",K43,IF(L43&lt;&gt;"",L43-H43+1,IF(M43="Y",O43-H43+1,MAX(O43-H43+1,ASOF))))</f>
        <v>46328</v>
      </c>
      <c r="O43" s="80" t="n">
        <f aca="false">IF(L43&lt;&gt;"",L43,IF(M43="Y",MIN(J43,O111-40),MAX(O111-40,ASOF)))</f>
        <v>46328</v>
      </c>
      <c r="P43" s="36" t="str">
        <f aca="false">IFERROR(INDEX(ST_LABEL,MATCH(T43,ST_CODE,0)),T43)</f>
        <v>กำลังดำเนินการ</v>
      </c>
      <c r="Q43" s="376" t="n">
        <f aca="false">IF(OR(J43="",O43=""),"",O43-J43)</f>
        <v>-20</v>
      </c>
      <c r="R43" s="31"/>
      <c r="S43" s="31" t="n">
        <v>1</v>
      </c>
      <c r="T43" s="31" t="str">
        <f aca="false">IF(O43="","BL",IF(AND(L43&lt;&gt;"",L43&lt;=ASOF),"DN",IF(M43="Y","DY",IF(L43&lt;&gt;"","AP",IF(N43&lt;=ASOF,"IP","NS")))))</f>
        <v>IP</v>
      </c>
      <c r="U43" s="388" t="n">
        <f aca="false">IF(AND(LEFT(T43,1)&lt;&gt;"D",T43&lt;&gt;"NA",T43&lt;&gt;"BL",ISNUMBER(N43)),N43+ROW()/10000,"")</f>
        <v>46328.0043</v>
      </c>
      <c r="V43" s="377" t="n">
        <f aca="false">IF(LEFT(T43,1)="D",1,IF(T43="NA",0,MIN(1,IF((E44+E45+E46)&gt;0,(E44*(M44="Y")+E45*(M45="Y")+E46*(M46="Y"))/(E44+E45+E46),((M44="Y")+(M45="Y")+(M46="Y"))/3))))</f>
        <v>0</v>
      </c>
      <c r="W43" s="36" t="s">
        <v>1627</v>
      </c>
      <c r="X43" s="31" t="s">
        <v>3470</v>
      </c>
      <c r="Y43" s="31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</row>
    <row r="44" customFormat="false" ht="15" hidden="true" customHeight="false" outlineLevel="1" collapsed="false">
      <c r="A44" s="379" t="s">
        <v>290</v>
      </c>
      <c r="B44" s="380" t="s">
        <v>3471</v>
      </c>
      <c r="C44" s="380" t="s">
        <v>3472</v>
      </c>
      <c r="D44" s="380" t="s">
        <v>3408</v>
      </c>
      <c r="E44" s="381" t="n">
        <v>0.2</v>
      </c>
      <c r="F44" s="387"/>
      <c r="G44" s="387"/>
      <c r="H44" s="387"/>
      <c r="I44" s="382" t="n">
        <f aca="false">'Master Plan'!$H$27+(-68)</f>
        <v>46335</v>
      </c>
      <c r="J44" s="382" t="n">
        <f aca="false">'Master Plan'!$H$27+(-65)</f>
        <v>46338</v>
      </c>
      <c r="K44" s="387"/>
      <c r="L44" s="387"/>
      <c r="M44" s="383" t="str">
        <f aca="false">IF('อัปเดตงาน WBS'!$L$1590="","",'อัปเดตงาน WBS'!$L$1590)</f>
        <v/>
      </c>
      <c r="N44" s="384" t="n">
        <f aca="false">IF(OR(N43="",O43=""),"",N43+ROUND((O43-N43)*0,0))</f>
        <v>46328</v>
      </c>
      <c r="O44" s="384" t="n">
        <f aca="false">IF(OR(N43="",O43=""),"",N43+ROUND((O43-N43)*0.2,0))</f>
        <v>46328</v>
      </c>
      <c r="P44" s="380" t="str">
        <f aca="false">IFERROR(INDEX(ST_LABEL,MATCH(T44,ST_CODE,0)),T44)</f>
        <v>กำลังดำเนินการ</v>
      </c>
      <c r="Q44" s="385" t="n">
        <f aca="false">IF(OR(J44="",O44=""),"",O44-J44)</f>
        <v>-10</v>
      </c>
      <c r="R44" s="387"/>
      <c r="S44" s="387" t="n">
        <v>2</v>
      </c>
      <c r="T44" s="387" t="str">
        <f aca="false">IF(O44="","BL",IF(M44="Y","DY",IF(LEFT(T43,1)="D","DY",IF(OR(M44="S",N44&lt;=ASOF),"IP","NS"))))</f>
        <v>IP</v>
      </c>
      <c r="U44" s="387"/>
      <c r="V44" s="386" t="n">
        <f aca="false">IF(LEFT(T44,1)="D",1,0)</f>
        <v>0</v>
      </c>
      <c r="W44" s="387" t="s">
        <v>1627</v>
      </c>
      <c r="X44" s="387"/>
      <c r="Y44" s="387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</row>
    <row r="45" customFormat="false" ht="15" hidden="true" customHeight="false" outlineLevel="1" collapsed="false">
      <c r="A45" s="379" t="s">
        <v>293</v>
      </c>
      <c r="B45" s="380" t="s">
        <v>3473</v>
      </c>
      <c r="C45" s="380" t="s">
        <v>3474</v>
      </c>
      <c r="D45" s="387" t="s">
        <v>131</v>
      </c>
      <c r="E45" s="381" t="n">
        <v>0.4</v>
      </c>
      <c r="F45" s="387"/>
      <c r="G45" s="387"/>
      <c r="H45" s="387"/>
      <c r="I45" s="382" t="n">
        <f aca="false">'Master Plan'!$H$27+(-67)</f>
        <v>46336</v>
      </c>
      <c r="J45" s="382" t="n">
        <f aca="false">'Master Plan'!$H$27+(-62)</f>
        <v>46341</v>
      </c>
      <c r="K45" s="387"/>
      <c r="L45" s="387"/>
      <c r="M45" s="383" t="str">
        <f aca="false">IF('อัปเดตงาน WBS'!$L$1591="","",'อัปเดตงาน WBS'!$L$1591)</f>
        <v/>
      </c>
      <c r="N45" s="384" t="n">
        <f aca="false">IF(OR(N43="",O43=""),"",N43+ROUND((O43-N43)*0.1,0))</f>
        <v>46328</v>
      </c>
      <c r="O45" s="384" t="n">
        <f aca="false">IF(OR(N43="",O43=""),"",N43+ROUND((O43-N43)*0.5,0))</f>
        <v>46328</v>
      </c>
      <c r="P45" s="380" t="str">
        <f aca="false">IFERROR(INDEX(ST_LABEL,MATCH(T45,ST_CODE,0)),T45)</f>
        <v>กำลังดำเนินการ</v>
      </c>
      <c r="Q45" s="385" t="n">
        <f aca="false">IF(OR(J45="",O45=""),"",O45-J45)</f>
        <v>-13</v>
      </c>
      <c r="R45" s="387"/>
      <c r="S45" s="387" t="n">
        <v>2</v>
      </c>
      <c r="T45" s="387" t="str">
        <f aca="false">IF(O45="","BL",IF(M45="Y","DY",IF(LEFT(T43,1)="D","DY",IF(OR(M45="S",N45&lt;=ASOF),"IP","NS"))))</f>
        <v>IP</v>
      </c>
      <c r="U45" s="387"/>
      <c r="V45" s="386" t="n">
        <f aca="false">IF(LEFT(T45,1)="D",1,0)</f>
        <v>0</v>
      </c>
      <c r="W45" s="380" t="s">
        <v>3408</v>
      </c>
      <c r="X45" s="387"/>
      <c r="Y45" s="387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</row>
    <row r="46" customFormat="false" ht="15" hidden="true" customHeight="false" outlineLevel="1" collapsed="false">
      <c r="A46" s="379" t="s">
        <v>296</v>
      </c>
      <c r="B46" s="380" t="s">
        <v>3475</v>
      </c>
      <c r="C46" s="380" t="s">
        <v>3476</v>
      </c>
      <c r="D46" s="387" t="s">
        <v>131</v>
      </c>
      <c r="E46" s="381" t="n">
        <v>0.4</v>
      </c>
      <c r="F46" s="387"/>
      <c r="G46" s="387"/>
      <c r="H46" s="387"/>
      <c r="I46" s="382" t="n">
        <f aca="false">'Master Plan'!$H$27+(-62)</f>
        <v>46341</v>
      </c>
      <c r="J46" s="382" t="n">
        <f aca="false">'Master Plan'!$H$27+(-55)</f>
        <v>46348</v>
      </c>
      <c r="K46" s="387"/>
      <c r="L46" s="387"/>
      <c r="M46" s="383" t="str">
        <f aca="false">IF('อัปเดตงาน WBS'!$L$1592="","",'อัปเดตงาน WBS'!$L$1592)</f>
        <v/>
      </c>
      <c r="N46" s="384" t="n">
        <f aca="false">IF(OR(N43="",O43=""),"",N43+ROUND((O43-N43)*0.5,0))</f>
        <v>46328</v>
      </c>
      <c r="O46" s="384" t="n">
        <f aca="false">IF(OR(N43="",O43=""),"",N43+ROUND((O43-N43)*1,0))</f>
        <v>46328</v>
      </c>
      <c r="P46" s="380" t="str">
        <f aca="false">IFERROR(INDEX(ST_LABEL,MATCH(T46,ST_CODE,0)),T46)</f>
        <v>กำลังดำเนินการ</v>
      </c>
      <c r="Q46" s="385" t="n">
        <f aca="false">IF(OR(J46="",O46=""),"",O46-J46)</f>
        <v>-20</v>
      </c>
      <c r="R46" s="387"/>
      <c r="S46" s="387" t="n">
        <v>2</v>
      </c>
      <c r="T46" s="387" t="str">
        <f aca="false">IF(O46="","BL",IF(M46="Y","DY",IF(LEFT(T43,1)="D","DY",IF(OR(M46="S",N46&lt;=ASOF),"IP","NS"))))</f>
        <v>IP</v>
      </c>
      <c r="U46" s="387"/>
      <c r="V46" s="386" t="n">
        <f aca="false">IF(LEFT(T46,1)="D",1,0)</f>
        <v>0</v>
      </c>
      <c r="W46" s="387" t="s">
        <v>1627</v>
      </c>
      <c r="X46" s="387"/>
      <c r="Y46" s="387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</row>
    <row r="47" customFormat="false" ht="15" hidden="false" customHeight="false" outlineLevel="0" collapsed="false">
      <c r="A47" s="32" t="s">
        <v>1491</v>
      </c>
      <c r="B47" s="31" t="s">
        <v>3662</v>
      </c>
      <c r="C47" s="31"/>
      <c r="D47" s="36" t="s">
        <v>131</v>
      </c>
      <c r="E47" s="372" t="n">
        <v>1</v>
      </c>
      <c r="F47" s="36" t="s">
        <v>3478</v>
      </c>
      <c r="G47" s="32"/>
      <c r="H47" s="32" t="n">
        <v>1</v>
      </c>
      <c r="I47" s="373" t="n">
        <f aca="false">'Master Plan'!$H$27+(-12)</f>
        <v>46391</v>
      </c>
      <c r="J47" s="373" t="n">
        <f aca="false">'Master Plan'!$H$27+(-12)</f>
        <v>46391</v>
      </c>
      <c r="K47" s="78"/>
      <c r="L47" s="78" t="str">
        <f aca="false">IF(ISNUMBER(อัปเดตรายสัปดาห์!$N$27),อัปเดตรายสัปดาห์!$N$27,"")</f>
        <v/>
      </c>
      <c r="M47" s="374" t="str">
        <f aca="false">IF(อัปเดตรายสัปดาห์!$N$27="Y","Y","")</f>
        <v/>
      </c>
      <c r="N47" s="375" t="n">
        <f aca="false">IF(K47&lt;&gt;"",K47,IF(L47&lt;&gt;"",L47-H47+1,O47-H47+1))</f>
        <v>46356</v>
      </c>
      <c r="O47" s="80" t="n">
        <f aca="false">IF(L47&lt;&gt;"",L47,'Master Plan'!$AG$27)</f>
        <v>46356</v>
      </c>
      <c r="P47" s="36" t="str">
        <f aca="false">IFERROR(INDEX(ST_LABEL,MATCH(T47,ST_CODE,0)),T47)</f>
        <v>ยังไม่เริ่ม</v>
      </c>
      <c r="Q47" s="376" t="n">
        <f aca="false">IF(OR(J47="",O47=""),"",O47-J47)</f>
        <v>-35</v>
      </c>
      <c r="R47" s="31"/>
      <c r="S47" s="31" t="n">
        <v>1</v>
      </c>
      <c r="T47" s="31" t="str">
        <f aca="false">IF(O47="","BL",IF(AND(L47&lt;&gt;"",L47&lt;=ASOF),"DN",IF(M47="Y","DY",IF(L47&lt;&gt;"","AP",IF(N47&lt;=ASOF,"IP","NS")))))</f>
        <v>NS</v>
      </c>
      <c r="U47" s="388" t="n">
        <f aca="false">IF(AND(LEFT(T47,1)&lt;&gt;"D",T47&lt;&gt;"NA",T47&lt;&gt;"BL",ISNUMBER(N47)),N47+ROW()/10000,"")</f>
        <v>46356.0047</v>
      </c>
      <c r="V47" s="377" t="n">
        <f aca="false">IF(LEFT(T47,1)="D",1,IF(T47="NA",0,MIN(1,IF((E48+E49+E51)&gt;0,(E48*(M48="Y")+E49*(M49="Y")+E51*(M51="Y"))/(E48+E49+E51),((M48="Y")+(M49="Y")+(M51="Y"))/3))))</f>
        <v>0</v>
      </c>
      <c r="W47" s="36" t="s">
        <v>1627</v>
      </c>
      <c r="X47" s="31" t="s">
        <v>3479</v>
      </c>
      <c r="Y47" s="36" t="s">
        <v>1673</v>
      </c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</row>
    <row r="48" customFormat="false" ht="15" hidden="true" customHeight="false" outlineLevel="1" collapsed="false">
      <c r="A48" s="379" t="s">
        <v>456</v>
      </c>
      <c r="B48" s="387" t="s">
        <v>3663</v>
      </c>
      <c r="C48" s="387" t="s">
        <v>3481</v>
      </c>
      <c r="D48" s="387" t="s">
        <v>131</v>
      </c>
      <c r="E48" s="381" t="n">
        <v>0.2</v>
      </c>
      <c r="F48" s="387"/>
      <c r="G48" s="387"/>
      <c r="H48" s="387"/>
      <c r="I48" s="382" t="n">
        <f aca="false">'Master Plan'!$H$27+(-12)</f>
        <v>46391</v>
      </c>
      <c r="J48" s="382" t="n">
        <f aca="false">'Master Plan'!$H$27+(-12)</f>
        <v>46391</v>
      </c>
      <c r="K48" s="387"/>
      <c r="L48" s="387"/>
      <c r="M48" s="383" t="str">
        <f aca="false">IF('อัปเดตงาน WBS'!$L$1593="","",'อัปเดตงาน WBS'!$L$1593)</f>
        <v/>
      </c>
      <c r="N48" s="384" t="n">
        <f aca="false">IF(OR(N47="",O47=""),"",N47+ROUND((O47-N47)*0,0))</f>
        <v>46356</v>
      </c>
      <c r="O48" s="384" t="n">
        <f aca="false">IF(OR(N47="",O47=""),"",N47+ROUND((O47-N47)*1,0))</f>
        <v>46356</v>
      </c>
      <c r="P48" s="380" t="str">
        <f aca="false">IFERROR(INDEX(ST_LABEL,MATCH(T48,ST_CODE,0)),T48)</f>
        <v>ยังไม่เริ่ม</v>
      </c>
      <c r="Q48" s="385" t="n">
        <f aca="false">IF(OR(J48="",O48=""),"",O48-J48)</f>
        <v>-35</v>
      </c>
      <c r="R48" s="387"/>
      <c r="S48" s="387" t="n">
        <v>2</v>
      </c>
      <c r="T48" s="387" t="str">
        <f aca="false">IF(O48="","BL",IF(M48="Y","DY",IF(LEFT(T47,1)="D","DY",IF(OR(M48="S",N48&lt;=ASOF),"IP","NS"))))</f>
        <v>NS</v>
      </c>
      <c r="U48" s="387"/>
      <c r="V48" s="386" t="n">
        <f aca="false">IF(LEFT(T48,1)="D",1,0)</f>
        <v>0</v>
      </c>
      <c r="W48" s="380" t="s">
        <v>3408</v>
      </c>
      <c r="X48" s="387"/>
      <c r="Y48" s="387" t="s">
        <v>1673</v>
      </c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</row>
    <row r="49" customFormat="false" ht="15" hidden="true" customHeight="false" outlineLevel="1" collapsed="false">
      <c r="A49" s="379" t="s">
        <v>459</v>
      </c>
      <c r="B49" s="380" t="s">
        <v>3664</v>
      </c>
      <c r="C49" s="380" t="s">
        <v>3483</v>
      </c>
      <c r="D49" s="387" t="s">
        <v>131</v>
      </c>
      <c r="E49" s="381" t="n">
        <v>0.4</v>
      </c>
      <c r="F49" s="387"/>
      <c r="G49" s="387"/>
      <c r="H49" s="387"/>
      <c r="I49" s="382" t="n">
        <f aca="false">'Master Plan'!$H$27+(-12)</f>
        <v>46391</v>
      </c>
      <c r="J49" s="382" t="n">
        <f aca="false">'Master Plan'!$H$27+(-12)</f>
        <v>46391</v>
      </c>
      <c r="K49" s="387"/>
      <c r="L49" s="387"/>
      <c r="M49" s="383" t="str">
        <f aca="false">IF('อัปเดตงาน WBS'!$L$1594="","",'อัปเดตงาน WBS'!$L$1594)</f>
        <v/>
      </c>
      <c r="N49" s="384" t="n">
        <f aca="false">IF(OR(N47="",O47=""),"",N47+ROUND((O47-N47)*1,0))</f>
        <v>46356</v>
      </c>
      <c r="O49" s="384" t="n">
        <f aca="false">IF(OR(N47="",O47=""),"",N47+ROUND((O47-N47)*1,0))</f>
        <v>46356</v>
      </c>
      <c r="P49" s="380" t="str">
        <f aca="false">IFERROR(INDEX(ST_LABEL,MATCH(T49,ST_CODE,0)),T49)</f>
        <v>ยังไม่เริ่ม</v>
      </c>
      <c r="Q49" s="385" t="n">
        <f aca="false">IF(OR(J49="",O49=""),"",O49-J49)</f>
        <v>-35</v>
      </c>
      <c r="R49" s="387"/>
      <c r="S49" s="387" t="n">
        <v>2</v>
      </c>
      <c r="T49" s="387" t="str">
        <f aca="false">IF(O49="","BL",IF(M49="Y","DY",IF(LEFT(T47,1)="D","DY",IF(OR(M49="S",N49&lt;=ASOF),"IP","NS"))))</f>
        <v>NS</v>
      </c>
      <c r="U49" s="387"/>
      <c r="V49" s="386" t="n">
        <f aca="false">IF(LEFT(T49,1)="D",1,0)</f>
        <v>0</v>
      </c>
      <c r="W49" s="387" t="s">
        <v>1627</v>
      </c>
      <c r="X49" s="387"/>
      <c r="Y49" s="387" t="s">
        <v>1673</v>
      </c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</row>
    <row r="50" customFormat="false" ht="15" hidden="false" customHeight="false" outlineLevel="0" collapsed="false">
      <c r="A50" s="32" t="s">
        <v>1947</v>
      </c>
      <c r="B50" s="31" t="s">
        <v>3665</v>
      </c>
      <c r="C50" s="31"/>
      <c r="D50" s="31" t="s">
        <v>2640</v>
      </c>
      <c r="E50" s="372" t="n">
        <v>0</v>
      </c>
      <c r="F50" s="36" t="s">
        <v>1491</v>
      </c>
      <c r="G50" s="32" t="n">
        <v>0</v>
      </c>
      <c r="H50" s="389" t="n">
        <f aca="false">REVIEW_PK2</f>
        <v>30</v>
      </c>
      <c r="I50" s="373" t="n">
        <f aca="false">'Master Plan'!$H$27+(-11)</f>
        <v>46392</v>
      </c>
      <c r="J50" s="373" t="n">
        <f aca="false">'Master Plan'!$H$27+(18)</f>
        <v>46421</v>
      </c>
      <c r="K50" s="78"/>
      <c r="L50" s="78" t="str">
        <f aca="false">IF(ISNUMBER(อัปเดตรายสัปดาห์!$O$27),อัปเดตรายสัปดาห์!$O$27,"")</f>
        <v/>
      </c>
      <c r="M50" s="374" t="str">
        <f aca="false">IF(อัปเดตรายสัปดาห์!$O$27="Y","Y","")</f>
        <v/>
      </c>
      <c r="N50" s="375" t="n">
        <f aca="false">IF(K50&lt;&gt;"",K50,IF(L50&lt;&gt;"",L50-H50+1,IF(M50="Y",I50,MAX(O47+1+G50,ASOF))))</f>
        <v>46357</v>
      </c>
      <c r="O50" s="80" t="n">
        <f aca="false">IF(L50&lt;&gt;"",L50,IF(M50="Y",J50,WORKDAY((MAX(N50+H50-1,ASOF))-1,1,HOLIDAYS)))</f>
        <v>46386</v>
      </c>
      <c r="P50" s="36" t="str">
        <f aca="false">IFERROR(INDEX(ST_LABEL,MATCH(T50,ST_CODE,0)),T50)</f>
        <v>ยังไม่เริ่ม</v>
      </c>
      <c r="Q50" s="376" t="n">
        <f aca="false">IF(OR(J50="",O50=""),"",O50-J50)</f>
        <v>-35</v>
      </c>
      <c r="R50" s="31"/>
      <c r="S50" s="31" t="n">
        <v>1</v>
      </c>
      <c r="T50" s="31" t="str">
        <f aca="false">IF(O50="","BL",IF(AND(L50&lt;&gt;"",L50&lt;=ASOF),"DN",IF(M50="Y","DY",IF(L50&lt;&gt;"","AP",IF(N50&lt;=ASOF,"IP","NS")))))</f>
        <v>NS</v>
      </c>
      <c r="U50" s="388" t="n">
        <f aca="false">IF(AND(LEFT(T50,1)&lt;&gt;"D",T50&lt;&gt;"NA",T50&lt;&gt;"BL",ISNUMBER(N50)),N50+ROW()/10000,"")</f>
        <v>46357.005</v>
      </c>
      <c r="V50" s="377" t="n">
        <f aca="false">IF(LEFT(T50,1)="D",1,IF(T50="NA",0,MIN(1,0)))</f>
        <v>0</v>
      </c>
      <c r="W50" s="36" t="s">
        <v>1627</v>
      </c>
      <c r="X50" s="31"/>
      <c r="Y50" s="36" t="s">
        <v>1673</v>
      </c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</row>
    <row r="51" customFormat="false" ht="15" hidden="true" customHeight="false" outlineLevel="1" collapsed="false">
      <c r="A51" s="379" t="s">
        <v>462</v>
      </c>
      <c r="B51" s="380" t="s">
        <v>3666</v>
      </c>
      <c r="C51" s="380" t="s">
        <v>3486</v>
      </c>
      <c r="D51" s="387" t="s">
        <v>131</v>
      </c>
      <c r="E51" s="381" t="n">
        <v>0.4</v>
      </c>
      <c r="F51" s="387"/>
      <c r="G51" s="387"/>
      <c r="H51" s="387"/>
      <c r="I51" s="382" t="n">
        <f aca="false">'Master Plan'!$H$27+(-12)</f>
        <v>46391</v>
      </c>
      <c r="J51" s="382" t="n">
        <f aca="false">'Master Plan'!$H$27+(-12)</f>
        <v>46391</v>
      </c>
      <c r="K51" s="387"/>
      <c r="L51" s="387"/>
      <c r="M51" s="383" t="str">
        <f aca="false">IF('อัปเดตงาน WBS'!$L$1595="","",'อัปเดตงาน WBS'!$L$1595)</f>
        <v/>
      </c>
      <c r="N51" s="384" t="n">
        <f aca="false">IF(OR(N47="",O47=""),"",N47+ROUND((O47-N47)*1,0))</f>
        <v>46356</v>
      </c>
      <c r="O51" s="384" t="n">
        <f aca="false">IF(OR(N47="",O47=""),"",N47+ROUND((O47-N47)*1,0))</f>
        <v>46356</v>
      </c>
      <c r="P51" s="380" t="str">
        <f aca="false">IFERROR(INDEX(ST_LABEL,MATCH(T51,ST_CODE,0)),T51)</f>
        <v>ยังไม่เริ่ม</v>
      </c>
      <c r="Q51" s="385" t="n">
        <f aca="false">IF(OR(J51="",O51=""),"",O51-J51)</f>
        <v>-35</v>
      </c>
      <c r="R51" s="387"/>
      <c r="S51" s="387" t="n">
        <v>2</v>
      </c>
      <c r="T51" s="387" t="str">
        <f aca="false">IF(O51="","BL",IF(M51="Y","DY",IF(LEFT(T47,1)="D","DY",IF(OR(M51="S",N51&lt;=ASOF),"IP","NS"))))</f>
        <v>NS</v>
      </c>
      <c r="U51" s="387"/>
      <c r="V51" s="386" t="n">
        <f aca="false">IF(LEFT(T51,1)="D",1,0)</f>
        <v>0</v>
      </c>
      <c r="W51" s="387" t="s">
        <v>1627</v>
      </c>
      <c r="X51" s="387"/>
      <c r="Y51" s="387" t="s">
        <v>1673</v>
      </c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</row>
    <row r="52" customFormat="false" ht="15" hidden="false" customHeight="false" outlineLevel="0" collapsed="false">
      <c r="A52" s="32" t="s">
        <v>1857</v>
      </c>
      <c r="B52" s="36" t="s">
        <v>3487</v>
      </c>
      <c r="C52" s="31"/>
      <c r="D52" s="36" t="s">
        <v>131</v>
      </c>
      <c r="E52" s="372" t="n">
        <v>0</v>
      </c>
      <c r="F52" s="31"/>
      <c r="G52" s="32"/>
      <c r="H52" s="32" t="n">
        <v>1</v>
      </c>
      <c r="I52" s="373"/>
      <c r="J52" s="373"/>
      <c r="K52" s="78"/>
      <c r="L52" s="78" t="str">
        <f aca="false">IF(ISNUMBER(อัปเดตรายสัปดาห์!$P$27),อัปเดตรายสัปดาห์!$P$27,"")</f>
        <v/>
      </c>
      <c r="M52" s="374" t="str">
        <f aca="false">IF(อัปเดตรายสัปดาห์!$P$27="Y","Y","")</f>
        <v/>
      </c>
      <c r="N52" s="375" t="str">
        <f aca="false">IF(K52&lt;&gt;"",K52,IF(L52&lt;&gt;"",L52,""))</f>
        <v/>
      </c>
      <c r="O52" s="80" t="str">
        <f aca="false">IF(L52&lt;&gt;"",L52,"")</f>
        <v/>
      </c>
      <c r="P52" s="36" t="str">
        <f aca="false">IFERROR(INDEX(ST_LABEL,MATCH(T52,ST_CODE,0)),T52)</f>
        <v>—</v>
      </c>
      <c r="Q52" s="376" t="str">
        <f aca="false">IF(OR(J52="",O52=""),"",O52-J52)</f>
        <v/>
      </c>
      <c r="R52" s="31"/>
      <c r="S52" s="31" t="n">
        <v>1</v>
      </c>
      <c r="T52" s="31" t="str">
        <f aca="false">IF(O52="","BL",IF(AND(L52&lt;&gt;"",L52&lt;=ASOF),"DN",IF(M52="Y","DY",IF(L52&lt;&gt;"","AP",IF(N52&lt;=ASOF,"IP","NS")))))</f>
        <v>BL</v>
      </c>
      <c r="U52" s="31" t="str">
        <f aca="false">IF(AND(LEFT(T52,1)&lt;&gt;"D",T52&lt;&gt;"NA",T52&lt;&gt;"BL",ISNUMBER(N52)),N52+ROW()/10000,"")</f>
        <v/>
      </c>
      <c r="V52" s="377" t="n">
        <f aca="false">IF(LEFT(T52,1)="D",1,IF(T52="NA",0,MIN(1,IF((E53+E54)&gt;0,(E53*(M53="Y")+E54*(M54="Y"))/(E53+E54),((M53="Y")+(M54="Y"))/2))))</f>
        <v>0</v>
      </c>
      <c r="W52" s="36" t="s">
        <v>1627</v>
      </c>
      <c r="X52" s="31" t="s">
        <v>3488</v>
      </c>
      <c r="Y52" s="31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</row>
    <row r="53" customFormat="false" ht="15" hidden="true" customHeight="false" outlineLevel="1" collapsed="false">
      <c r="A53" s="379" t="s">
        <v>299</v>
      </c>
      <c r="B53" s="380" t="s">
        <v>3489</v>
      </c>
      <c r="C53" s="380" t="s">
        <v>3490</v>
      </c>
      <c r="D53" s="387" t="s">
        <v>131</v>
      </c>
      <c r="E53" s="381" t="n">
        <v>0</v>
      </c>
      <c r="F53" s="387"/>
      <c r="G53" s="387"/>
      <c r="H53" s="387"/>
      <c r="I53" s="382"/>
      <c r="J53" s="382"/>
      <c r="K53" s="387"/>
      <c r="L53" s="387"/>
      <c r="M53" s="383" t="str">
        <f aca="false">IF('อัปเดตงาน WBS'!$L$1596="","",'อัปเดตงาน WBS'!$L$1596)</f>
        <v/>
      </c>
      <c r="N53" s="384" t="str">
        <f aca="false">IF(OR(N52="",O52=""),"",N52+ROUND((O52-N52)*0,0))</f>
        <v/>
      </c>
      <c r="O53" s="384" t="str">
        <f aca="false">IF(OR(N52="",O52=""),"",N52+ROUND((O52-N52)*1,0))</f>
        <v/>
      </c>
      <c r="P53" s="380" t="str">
        <f aca="false">IFERROR(INDEX(ST_LABEL,MATCH(T53,ST_CODE,0)),T53)</f>
        <v>—</v>
      </c>
      <c r="Q53" s="385" t="str">
        <f aca="false">IF(OR(J53="",O53=""),"",O53-J53)</f>
        <v/>
      </c>
      <c r="R53" s="387"/>
      <c r="S53" s="387" t="n">
        <v>2</v>
      </c>
      <c r="T53" s="387" t="str">
        <f aca="false">IF(O53="","BL",IF(M53="Y","DY",IF(LEFT(T52,1)="D","DY",IF(OR(M53="S",N53&lt;=ASOF),"IP","NS"))))</f>
        <v>BL</v>
      </c>
      <c r="U53" s="387"/>
      <c r="V53" s="386" t="n">
        <f aca="false">IF(LEFT(T53,1)="D",1,0)</f>
        <v>0</v>
      </c>
      <c r="W53" s="380" t="s">
        <v>3408</v>
      </c>
      <c r="X53" s="387"/>
      <c r="Y53" s="387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</row>
    <row r="54" customFormat="false" ht="15" hidden="true" customHeight="false" outlineLevel="1" collapsed="false">
      <c r="A54" s="379" t="s">
        <v>302</v>
      </c>
      <c r="B54" s="380" t="s">
        <v>3491</v>
      </c>
      <c r="C54" s="380" t="s">
        <v>3492</v>
      </c>
      <c r="D54" s="387" t="s">
        <v>131</v>
      </c>
      <c r="E54" s="381" t="n">
        <v>0</v>
      </c>
      <c r="F54" s="387"/>
      <c r="G54" s="387"/>
      <c r="H54" s="387"/>
      <c r="I54" s="382"/>
      <c r="J54" s="382"/>
      <c r="K54" s="387"/>
      <c r="L54" s="387"/>
      <c r="M54" s="383" t="str">
        <f aca="false">IF('อัปเดตงาน WBS'!$L$1597="","",'อัปเดตงาน WBS'!$L$1597)</f>
        <v/>
      </c>
      <c r="N54" s="384" t="str">
        <f aca="false">IF(OR(N52="",O52=""),"",N52+ROUND((O52-N52)*0,0))</f>
        <v/>
      </c>
      <c r="O54" s="384" t="str">
        <f aca="false">IF(OR(N52="",O52=""),"",N52+ROUND((O52-N52)*1,0))</f>
        <v/>
      </c>
      <c r="P54" s="380" t="str">
        <f aca="false">IFERROR(INDEX(ST_LABEL,MATCH(T54,ST_CODE,0)),T54)</f>
        <v>—</v>
      </c>
      <c r="Q54" s="385" t="str">
        <f aca="false">IF(OR(J54="",O54=""),"",O54-J54)</f>
        <v/>
      </c>
      <c r="R54" s="387"/>
      <c r="S54" s="387" t="n">
        <v>2</v>
      </c>
      <c r="T54" s="387" t="str">
        <f aca="false">IF(O54="","BL",IF(M54="Y","DY",IF(LEFT(T52,1)="D","DY",IF(OR(M54="S",N54&lt;=ASOF),"IP","NS"))))</f>
        <v>BL</v>
      </c>
      <c r="U54" s="387"/>
      <c r="V54" s="386" t="n">
        <f aca="false">IF(LEFT(T54,1)="D",1,0)</f>
        <v>0</v>
      </c>
      <c r="W54" s="387" t="s">
        <v>1627</v>
      </c>
      <c r="X54" s="387"/>
      <c r="Y54" s="387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</row>
    <row r="55" customFormat="false" ht="15" hidden="false" customHeight="false" outlineLevel="0" collapsed="false">
      <c r="A55" s="32" t="s">
        <v>1489</v>
      </c>
      <c r="B55" s="31" t="s">
        <v>2667</v>
      </c>
      <c r="C55" s="31"/>
      <c r="D55" s="36" t="s">
        <v>131</v>
      </c>
      <c r="E55" s="372" t="n">
        <v>1</v>
      </c>
      <c r="F55" s="36" t="s">
        <v>3478</v>
      </c>
      <c r="G55" s="32"/>
      <c r="H55" s="32" t="n">
        <v>1</v>
      </c>
      <c r="I55" s="373" t="n">
        <f aca="false">'Master Plan'!$H$27+(-12)</f>
        <v>46391</v>
      </c>
      <c r="J55" s="373" t="n">
        <f aca="false">'Master Plan'!$H$27+(-12)</f>
        <v>46391</v>
      </c>
      <c r="K55" s="78"/>
      <c r="L55" s="78" t="str">
        <f aca="false">IF(ISNUMBER(อัปเดตรายสัปดาห์!$Q$27),อัปเดตรายสัปดาห์!$Q$27,"")</f>
        <v/>
      </c>
      <c r="M55" s="374" t="str">
        <f aca="false">IF(อัปเดตรายสัปดาห์!$Q$27="Y","Y","")</f>
        <v/>
      </c>
      <c r="N55" s="375" t="n">
        <f aca="false">IF(K55&lt;&gt;"",K55,IF(L55&lt;&gt;"",L55-H55+1,O55-H55+1))</f>
        <v>46356</v>
      </c>
      <c r="O55" s="80" t="n">
        <f aca="false">IF(L55&lt;&gt;"",L55,'Master Plan'!$AC$27)</f>
        <v>46356</v>
      </c>
      <c r="P55" s="36" t="str">
        <f aca="false">IFERROR(INDEX(ST_LABEL,MATCH(T55,ST_CODE,0)),T55)</f>
        <v>ยังไม่เริ่ม</v>
      </c>
      <c r="Q55" s="376" t="n">
        <f aca="false">IF(OR(J55="",O55=""),"",O55-J55)</f>
        <v>-35</v>
      </c>
      <c r="R55" s="31"/>
      <c r="S55" s="31" t="n">
        <v>1</v>
      </c>
      <c r="T55" s="31" t="str">
        <f aca="false">IF(O55="","BL",IF(AND(L55&lt;&gt;"",L55&lt;=ASOF),"DN",IF(M55="Y","DY",IF(L55&lt;&gt;"","AP",IF(N55&lt;=ASOF,"IP","NS")))))</f>
        <v>NS</v>
      </c>
      <c r="U55" s="388" t="n">
        <f aca="false">IF(AND(LEFT(T55,1)&lt;&gt;"D",T55&lt;&gt;"NA",T55&lt;&gt;"BL",ISNUMBER(N55)),N55+ROW()/10000,"")</f>
        <v>46356.0055</v>
      </c>
      <c r="V55" s="377" t="n">
        <f aca="false">IF(LEFT(T55,1)="D",1,IF(T55="NA",0,MIN(1,0)))</f>
        <v>0</v>
      </c>
      <c r="W55" s="36" t="s">
        <v>1627</v>
      </c>
      <c r="X55" s="31"/>
      <c r="Y55" s="36" t="s">
        <v>1611</v>
      </c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</row>
    <row r="56" customFormat="false" ht="15" hidden="false" customHeight="false" outlineLevel="0" collapsed="false">
      <c r="A56" s="32" t="s">
        <v>1787</v>
      </c>
      <c r="B56" s="31" t="s">
        <v>2672</v>
      </c>
      <c r="C56" s="31"/>
      <c r="D56" s="36" t="s">
        <v>131</v>
      </c>
      <c r="E56" s="372" t="n">
        <v>0</v>
      </c>
      <c r="F56" s="31"/>
      <c r="G56" s="32"/>
      <c r="H56" s="32" t="n">
        <v>1</v>
      </c>
      <c r="I56" s="373"/>
      <c r="J56" s="373"/>
      <c r="K56" s="78"/>
      <c r="L56" s="78" t="str">
        <f aca="false">IF(ISNUMBER(อัปเดตรายสัปดาห์!$R$27),อัปเดตรายสัปดาห์!$R$27,"")</f>
        <v/>
      </c>
      <c r="M56" s="374" t="str">
        <f aca="false">IF(อัปเดตรายสัปดาห์!$R$27="Y","Y","")</f>
        <v/>
      </c>
      <c r="N56" s="375" t="str">
        <f aca="false">IF(K56&lt;&gt;"",K56,IF(L56&lt;&gt;"",L56,""))</f>
        <v/>
      </c>
      <c r="O56" s="80" t="str">
        <f aca="false">IF(L56&lt;&gt;"",L56,"")</f>
        <v/>
      </c>
      <c r="P56" s="36" t="str">
        <f aca="false">IFERROR(INDEX(ST_LABEL,MATCH(T56,ST_CODE,0)),T56)</f>
        <v>—</v>
      </c>
      <c r="Q56" s="376" t="str">
        <f aca="false">IF(OR(J56="",O56=""),"",O56-J56)</f>
        <v/>
      </c>
      <c r="R56" s="31"/>
      <c r="S56" s="31" t="n">
        <v>1</v>
      </c>
      <c r="T56" s="31" t="str">
        <f aca="false">IF(O56="","BL",IF(AND(L56&lt;&gt;"",L56&lt;=ASOF),"DN",IF(M56="Y","DY",IF(L56&lt;&gt;"","AP",IF(N56&lt;=ASOF,"IP","NS")))))</f>
        <v>BL</v>
      </c>
      <c r="U56" s="31" t="str">
        <f aca="false">IF(AND(LEFT(T56,1)&lt;&gt;"D",T56&lt;&gt;"NA",T56&lt;&gt;"BL",ISNUMBER(N56)),N56+ROW()/10000,"")</f>
        <v/>
      </c>
      <c r="V56" s="377" t="n">
        <f aca="false">IF(LEFT(T56,1)="D",1,IF(T56="NA",0,MIN(1,0)))</f>
        <v>0</v>
      </c>
      <c r="W56" s="36" t="s">
        <v>1627</v>
      </c>
      <c r="X56" s="31"/>
      <c r="Y56" s="36" t="s">
        <v>1611</v>
      </c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</row>
    <row r="57" customFormat="false" ht="15" hidden="false" customHeight="false" outlineLevel="0" collapsed="false">
      <c r="A57" s="32" t="s">
        <v>1498</v>
      </c>
      <c r="B57" s="31" t="s">
        <v>3493</v>
      </c>
      <c r="C57" s="31"/>
      <c r="D57" s="31" t="s">
        <v>1733</v>
      </c>
      <c r="E57" s="372" t="n">
        <v>0</v>
      </c>
      <c r="F57" s="36" t="s">
        <v>3478</v>
      </c>
      <c r="G57" s="32"/>
      <c r="H57" s="32" t="n">
        <f aca="false">ROUND(REVIEW_WD*7/5,0)</f>
        <v>21</v>
      </c>
      <c r="I57" s="373" t="n">
        <f aca="false">'Master Plan'!$H$27+(-11)</f>
        <v>46392</v>
      </c>
      <c r="J57" s="373" t="n">
        <f aca="false">'Master Plan'!$H$27+(9)</f>
        <v>46412</v>
      </c>
      <c r="K57" s="78" t="str">
        <f aca="false">IF(ISNUMBER(L55),MAX(L55,N(L56)),"")</f>
        <v/>
      </c>
      <c r="L57" s="78" t="str">
        <f aca="false">IF(ISNUMBER(อัปเดตรายสัปดาห์!$S$27),อัปเดตรายสัปดาห์!$S$27,"")</f>
        <v/>
      </c>
      <c r="M57" s="374" t="str">
        <f aca="false">IF(อัปเดตรายสัปดาห์!$S$27="Y","Y","")</f>
        <v/>
      </c>
      <c r="N57" s="375" t="n">
        <f aca="false">IF(K57&lt;&gt;"",K57,IF(L57&lt;&gt;"",L57-H57+1,O57-H57+1))</f>
        <v>46359</v>
      </c>
      <c r="O57" s="80" t="n">
        <f aca="false">IF(L57&lt;&gt;"",L57,'Master Plan'!$AD$27)</f>
        <v>46379</v>
      </c>
      <c r="P57" s="36" t="str">
        <f aca="false">IFERROR(INDEX(ST_LABEL,MATCH(T57,ST_CODE,0)),T57)</f>
        <v>ยังไม่เริ่ม</v>
      </c>
      <c r="Q57" s="376" t="n">
        <f aca="false">IF(OR(J57="",O57=""),"",O57-J57)</f>
        <v>-33</v>
      </c>
      <c r="R57" s="31"/>
      <c r="S57" s="31" t="n">
        <v>1</v>
      </c>
      <c r="T57" s="31" t="str">
        <f aca="false">IF(O57="","BL",IF(AND(L57&lt;&gt;"",L57&lt;=ASOF),"DN",IF(M57="Y","DY",IF(L57&lt;&gt;"","AP",IF(N57&lt;=ASOF,"IP","NS")))))</f>
        <v>NS</v>
      </c>
      <c r="U57" s="388" t="n">
        <f aca="false">IF(AND(LEFT(T57,1)&lt;&gt;"D",T57&lt;&gt;"NA",T57&lt;&gt;"BL",ISNUMBER(N57)),N57+ROW()/10000,"")</f>
        <v>46359.0057</v>
      </c>
      <c r="V57" s="377" t="n">
        <f aca="false">IF(LEFT(T57,1)="D",1,IF(T57="NA",0,MIN(1,0)))</f>
        <v>0</v>
      </c>
      <c r="W57" s="36" t="s">
        <v>1627</v>
      </c>
      <c r="X57" s="31"/>
      <c r="Y57" s="36" t="s">
        <v>1611</v>
      </c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</row>
    <row r="58" customFormat="false" ht="15" hidden="false" customHeight="false" outlineLevel="0" collapsed="false">
      <c r="A58" s="32" t="s">
        <v>1502</v>
      </c>
      <c r="B58" s="31" t="s">
        <v>2680</v>
      </c>
      <c r="C58" s="31"/>
      <c r="D58" s="36" t="s">
        <v>131</v>
      </c>
      <c r="E58" s="372" t="n">
        <v>0</v>
      </c>
      <c r="F58" s="36" t="s">
        <v>3478</v>
      </c>
      <c r="G58" s="32"/>
      <c r="H58" s="389" t="n">
        <f aca="false">FEE_DAYS</f>
        <v>7</v>
      </c>
      <c r="I58" s="373" t="n">
        <f aca="false">'Master Plan'!$H$27+(10)</f>
        <v>46413</v>
      </c>
      <c r="J58" s="373" t="n">
        <f aca="false">'Master Plan'!$H$27+(16)</f>
        <v>46419</v>
      </c>
      <c r="K58" s="78"/>
      <c r="L58" s="78" t="str">
        <f aca="false">IF(ISNUMBER(อัปเดตรายสัปดาห์!$T$27),อัปเดตรายสัปดาห์!$T$27,"")</f>
        <v/>
      </c>
      <c r="M58" s="374" t="str">
        <f aca="false">IF(อัปเดตรายสัปดาห์!$T$27="Y","Y","")</f>
        <v/>
      </c>
      <c r="N58" s="375" t="n">
        <f aca="false">IF(K58&lt;&gt;"",K58,IF(L58&lt;&gt;"",L58-H58+1,O58-H58+1))</f>
        <v>46380</v>
      </c>
      <c r="O58" s="80" t="n">
        <f aca="false">IF(L58&lt;&gt;"",L58,'Master Plan'!$AE$27)</f>
        <v>46386</v>
      </c>
      <c r="P58" s="36" t="str">
        <f aca="false">IFERROR(INDEX(ST_LABEL,MATCH(T58,ST_CODE,0)),T58)</f>
        <v>ยังไม่เริ่ม</v>
      </c>
      <c r="Q58" s="376" t="n">
        <f aca="false">IF(OR(J58="",O58=""),"",O58-J58)</f>
        <v>-33</v>
      </c>
      <c r="R58" s="31"/>
      <c r="S58" s="31" t="n">
        <v>1</v>
      </c>
      <c r="T58" s="31" t="str">
        <f aca="false">IF(O58="","BL",IF(AND(L58&lt;&gt;"",L58&lt;=ASOF),"DN",IF(M58="Y","DY",IF(L58&lt;&gt;"","AP",IF(N58&lt;=ASOF,"IP","NS")))))</f>
        <v>NS</v>
      </c>
      <c r="U58" s="388" t="n">
        <f aca="false">IF(AND(LEFT(T58,1)&lt;&gt;"D",T58&lt;&gt;"NA",T58&lt;&gt;"BL",ISNUMBER(N58)),N58+ROW()/10000,"")</f>
        <v>46380.0058</v>
      </c>
      <c r="V58" s="377" t="n">
        <f aca="false">IF(LEFT(T58,1)="D",1,IF(T58="NA",0,MIN(1,0)))</f>
        <v>0</v>
      </c>
      <c r="W58" s="36" t="s">
        <v>1627</v>
      </c>
      <c r="X58" s="31"/>
      <c r="Y58" s="36" t="s">
        <v>1689</v>
      </c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</row>
    <row r="59" customFormat="false" ht="15" hidden="false" customHeight="false" outlineLevel="0" collapsed="false">
      <c r="A59" s="32" t="s">
        <v>1504</v>
      </c>
      <c r="B59" s="31" t="s">
        <v>2684</v>
      </c>
      <c r="C59" s="31"/>
      <c r="D59" s="36" t="s">
        <v>131</v>
      </c>
      <c r="E59" s="372" t="n">
        <v>0</v>
      </c>
      <c r="F59" s="36" t="s">
        <v>3478</v>
      </c>
      <c r="G59" s="32"/>
      <c r="H59" s="32" t="n">
        <v>1</v>
      </c>
      <c r="I59" s="373" t="n">
        <f aca="false">'Master Plan'!$H$27+(17)</f>
        <v>46420</v>
      </c>
      <c r="J59" s="373" t="n">
        <f aca="false">'Master Plan'!$H$27+(17)</f>
        <v>46420</v>
      </c>
      <c r="K59" s="78"/>
      <c r="L59" s="78" t="str">
        <f aca="false">IF(ISNUMBER(อัปเดตรายสัปดาห์!$U$27),อัปเดตรายสัปดาห์!$U$27,"")</f>
        <v/>
      </c>
      <c r="M59" s="374" t="str">
        <f aca="false">IF(อัปเดตรายสัปดาห์!$U$27="Y","Y","")</f>
        <v/>
      </c>
      <c r="N59" s="375" t="n">
        <f aca="false">IF(K59&lt;&gt;"",K59,IF(L59&lt;&gt;"",L59-H59+1,O59-H59+1))</f>
        <v>46391</v>
      </c>
      <c r="O59" s="80" t="n">
        <f aca="false">IF(L59&lt;&gt;"",L59,'Master Plan'!$AF$27)</f>
        <v>46391</v>
      </c>
      <c r="P59" s="36" t="str">
        <f aca="false">IFERROR(INDEX(ST_LABEL,MATCH(T59,ST_CODE,0)),T59)</f>
        <v>ยังไม่เริ่ม</v>
      </c>
      <c r="Q59" s="376" t="n">
        <f aca="false">IF(OR(J59="",O59=""),"",O59-J59)</f>
        <v>-29</v>
      </c>
      <c r="R59" s="31"/>
      <c r="S59" s="31" t="n">
        <v>1</v>
      </c>
      <c r="T59" s="31" t="str">
        <f aca="false">IF(O59="","BL",IF(AND(L59&lt;&gt;"",L59&lt;=ASOF),"DN",IF(M59="Y","DY",IF(L59&lt;&gt;"","AP",IF(N59&lt;=ASOF,"IP","NS")))))</f>
        <v>NS</v>
      </c>
      <c r="U59" s="388" t="n">
        <f aca="false">IF(AND(LEFT(T59,1)&lt;&gt;"D",T59&lt;&gt;"NA",T59&lt;&gt;"BL",ISNUMBER(N59)),N59+ROW()/10000,"")</f>
        <v>46391.0059</v>
      </c>
      <c r="V59" s="377" t="n">
        <f aca="false">IF(LEFT(T59,1)="D",1,IF(T59="NA",0,MIN(1,0)))</f>
        <v>0</v>
      </c>
      <c r="W59" s="31" t="s">
        <v>2426</v>
      </c>
      <c r="X59" s="31"/>
      <c r="Y59" s="36" t="s">
        <v>1601</v>
      </c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</row>
    <row r="60" customFormat="false" ht="15" hidden="false" customHeight="false" outlineLevel="0" collapsed="false">
      <c r="A60" s="32" t="s">
        <v>1506</v>
      </c>
      <c r="B60" s="390" t="s">
        <v>3494</v>
      </c>
      <c r="C60" s="31"/>
      <c r="D60" s="31" t="s">
        <v>121</v>
      </c>
      <c r="E60" s="372" t="n">
        <v>0</v>
      </c>
      <c r="F60" s="36" t="s">
        <v>3478</v>
      </c>
      <c r="G60" s="32"/>
      <c r="H60" s="32" t="n">
        <f aca="false">ROUND(INSPECT_WD*7/5,0)</f>
        <v>42</v>
      </c>
      <c r="I60" s="373" t="n">
        <f aca="false">'Master Plan'!$H$27+(18)</f>
        <v>46421</v>
      </c>
      <c r="J60" s="373" t="n">
        <f aca="false">'Master Plan'!$H$27+(33)</f>
        <v>46436</v>
      </c>
      <c r="K60" s="78"/>
      <c r="L60" s="78" t="str">
        <f aca="false">IF(ISNUMBER(อัปเดตรายสัปดาห์!$V$27),อัปเดตรายสัปดาห์!$V$27,"")</f>
        <v/>
      </c>
      <c r="M60" s="374" t="str">
        <f aca="false">IF(อัปเดตรายสัปดาห์!$V$27="Y","Y","")</f>
        <v/>
      </c>
      <c r="N60" s="375" t="n">
        <f aca="false">IF(K60&lt;&gt;"",K60,IF(L60&lt;&gt;"",L60-H60+1,O60-H60+1))</f>
        <v>46392</v>
      </c>
      <c r="O60" s="391" t="n">
        <f aca="false">IF(L60&lt;&gt;"",L60,'Master Plan'!$AH$27)</f>
        <v>46433</v>
      </c>
      <c r="P60" s="36" t="str">
        <f aca="false">IFERROR(INDEX(ST_LABEL,MATCH(T60,ST_CODE,0)),T60)</f>
        <v>ยังไม่เริ่ม</v>
      </c>
      <c r="Q60" s="376" t="n">
        <f aca="false">IF(OR(J60="",O60=""),"",O60-J60)</f>
        <v>-3</v>
      </c>
      <c r="R60" s="31"/>
      <c r="S60" s="31" t="n">
        <v>1</v>
      </c>
      <c r="T60" s="31" t="str">
        <f aca="false">IF(O60="","BL",IF(AND(L60&lt;&gt;"",L60&lt;=ASOF),"DN",IF(M60="Y","DY",IF(L60&lt;&gt;"","AP",IF(N60&lt;=ASOF,"IP","NS")))))</f>
        <v>NS</v>
      </c>
      <c r="U60" s="388" t="n">
        <f aca="false">IF(AND(LEFT(T60,1)&lt;&gt;"D",T60&lt;&gt;"NA",T60&lt;&gt;"BL",ISNUMBER(N60)),N60+ROW()/10000,"")</f>
        <v>46392.006</v>
      </c>
      <c r="V60" s="377" t="n">
        <f aca="false">IF(LEFT(T60,1)="D",1,IF(T60="NA",0,MIN(1,0)))</f>
        <v>0</v>
      </c>
      <c r="W60" s="36" t="s">
        <v>1627</v>
      </c>
      <c r="X60" s="31"/>
      <c r="Y60" s="36" t="s">
        <v>1601</v>
      </c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</row>
    <row r="61" customFormat="false" ht="15" hidden="false" customHeight="false" outlineLevel="0" collapsed="false">
      <c r="A61" s="319" t="s">
        <v>1872</v>
      </c>
      <c r="B61" s="319" t="s">
        <v>3495</v>
      </c>
      <c r="C61" s="319"/>
      <c r="D61" s="319"/>
      <c r="E61" s="368" t="n">
        <f aca="false">SUMIF(S62:S113,1,E62:E113)</f>
        <v>90</v>
      </c>
      <c r="F61" s="319"/>
      <c r="G61" s="319"/>
      <c r="H61" s="319"/>
      <c r="I61" s="369" t="n">
        <f aca="false">MIN(I62:I113)</f>
        <v>46361</v>
      </c>
      <c r="J61" s="369" t="n">
        <f aca="false">MAX(J62:J113)</f>
        <v>46390</v>
      </c>
      <c r="K61" s="319"/>
      <c r="L61" s="319"/>
      <c r="M61" s="319"/>
      <c r="N61" s="369" t="n">
        <f aca="false">MIN(N62:N113)</f>
        <v>46328</v>
      </c>
      <c r="O61" s="369" t="n">
        <f aca="false">MAX(O62:O113)</f>
        <v>46349</v>
      </c>
      <c r="P61" s="323" t="str">
        <f aca="false">IFERROR(INDEX(ST_LABEL,MATCH(T61,ST_CODE,0)),T61)</f>
        <v>กำลังดำเนินการ</v>
      </c>
      <c r="Q61" s="370" t="n">
        <f aca="false">IF(J61=0,"",O61-J61)</f>
        <v>-41</v>
      </c>
      <c r="R61" s="319"/>
      <c r="S61" s="319" t="n">
        <v>0</v>
      </c>
      <c r="T61" s="319" t="str">
        <f aca="false">IF(COUNTIF(T62:T113,"D*")+COUNTIF(T62:T113,"NA")+COUNTIF(T62:T113,"BL")=52,"DN",IF(COUNTIF(T62:T113,"D*")+COUNTIF(T62:T113,"AP")+COUNTIF(T62:T113,"IP")&gt;0,"IP","NS"))</f>
        <v>IP</v>
      </c>
      <c r="U61" s="319"/>
      <c r="V61" s="371" t="n">
        <f aca="false">IF(E61&gt;0,SUMPRODUCT(E62:E113*(S62:S113=1)*V62:V113)/E61,0)</f>
        <v>0</v>
      </c>
      <c r="W61" s="319"/>
      <c r="X61" s="319"/>
      <c r="Y61" s="319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</row>
    <row r="62" customFormat="false" ht="15" hidden="false" customHeight="false" outlineLevel="0" collapsed="false">
      <c r="A62" s="32" t="s">
        <v>872</v>
      </c>
      <c r="B62" s="31" t="s">
        <v>3496</v>
      </c>
      <c r="C62" s="31" t="s">
        <v>3497</v>
      </c>
      <c r="D62" s="31" t="s">
        <v>3747</v>
      </c>
      <c r="E62" s="372" t="n">
        <v>20</v>
      </c>
      <c r="F62" s="31" t="s">
        <v>3668</v>
      </c>
      <c r="G62" s="32"/>
      <c r="H62" s="32" t="n">
        <v>28</v>
      </c>
      <c r="I62" s="373" t="n">
        <f aca="false">'Master Plan'!$H$27+(-42)</f>
        <v>46361</v>
      </c>
      <c r="J62" s="373" t="n">
        <f aca="false">'Master Plan'!$H$27+(-25)</f>
        <v>46378</v>
      </c>
      <c r="K62" s="78"/>
      <c r="L62" s="78" t="str">
        <f aca="false">IF(ISNUMBER(อัปเดตรายสัปดาห์!$W$27),อัปเดตรายสัปดาห์!$W$27,"")</f>
        <v/>
      </c>
      <c r="M62" s="374" t="str">
        <f aca="false">IF(อัปเดตรายสัปดาห์!$W$27="Y","Y","")</f>
        <v/>
      </c>
      <c r="N62" s="375" t="n">
        <f aca="false">IF(K62&lt;&gt;"",K62,IF(L62&lt;&gt;"",L62-H62+1,IF(M62="Y",O62-H62+1,MAX(O62-H62+1,ASOF))))</f>
        <v>46328</v>
      </c>
      <c r="O62" s="80" t="n">
        <f aca="false">IF(L62&lt;&gt;"",L62,IF(M62="Y",MIN(J62,O111-13),MAX(O111-13,ASOF)))</f>
        <v>46336</v>
      </c>
      <c r="P62" s="36" t="str">
        <f aca="false">IFERROR(INDEX(ST_LABEL,MATCH(T62,ST_CODE,0)),T62)</f>
        <v>กำลังดำเนินการ</v>
      </c>
      <c r="Q62" s="376" t="n">
        <f aca="false">IF(OR(J62="",O62=""),"",O62-J62)</f>
        <v>-42</v>
      </c>
      <c r="R62" s="31"/>
      <c r="S62" s="31" t="n">
        <v>1</v>
      </c>
      <c r="T62" s="31" t="str">
        <f aca="false">IF(O62="","BL",IF(AND(L62&lt;&gt;"",L62&lt;=ASOF),"DN",IF(M62="Y","DY",IF(L62&lt;&gt;"","AP",IF(N62&lt;=ASOF,"IP","NS")))))</f>
        <v>IP</v>
      </c>
      <c r="U62" s="388" t="n">
        <f aca="false">IF(AND(LEFT(T62,1)&lt;&gt;"D",T62&lt;&gt;"NA",T62&lt;&gt;"BL",ISNUMBER(N62)),N62+ROW()/10000,"")</f>
        <v>46328.0062</v>
      </c>
      <c r="V62" s="377" t="n">
        <f aca="false">IF(LEFT(T62,1)="D",1,IF(T62="NA",0,IF(COUNTIFS(SITE_ST,"P9-020",SITE_TYPE,"?*")&gt;0,MIN(1,SUMPRODUCT((SITE_ST="P9-020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1" t="s">
        <v>2426</v>
      </c>
      <c r="X62" s="31" t="s">
        <v>3500</v>
      </c>
      <c r="Y62" s="36" t="s">
        <v>1643</v>
      </c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</row>
    <row r="63" customFormat="false" ht="15" hidden="true" customHeight="false" outlineLevel="1" collapsed="false">
      <c r="A63" s="379" t="s">
        <v>305</v>
      </c>
      <c r="B63" s="380" t="s">
        <v>3501</v>
      </c>
      <c r="C63" s="380" t="s">
        <v>3502</v>
      </c>
      <c r="D63" s="380" t="s">
        <v>3411</v>
      </c>
      <c r="E63" s="381" t="n">
        <v>1</v>
      </c>
      <c r="F63" s="387"/>
      <c r="G63" s="387"/>
      <c r="H63" s="387"/>
      <c r="I63" s="382" t="n">
        <f aca="false">'Master Plan'!$H$27+(-42)</f>
        <v>46361</v>
      </c>
      <c r="J63" s="382" t="n">
        <f aca="false">'Master Plan'!$H$27+(-40)</f>
        <v>46363</v>
      </c>
      <c r="K63" s="387"/>
      <c r="L63" s="387"/>
      <c r="M63" s="383" t="str">
        <f aca="false">IF('อัปเดตงาน WBS'!$L$1598="","",'อัปเดตงาน WBS'!$L$1598)</f>
        <v/>
      </c>
      <c r="N63" s="384" t="n">
        <f aca="false">IF(OR(N62="",O62=""),"",N62+ROUND((O62-N62)*0,0))</f>
        <v>46328</v>
      </c>
      <c r="O63" s="384" t="n">
        <f aca="false">IF(OR(N62="",O62=""),"",N62+ROUND((O62-N62)*0.1,0))</f>
        <v>46329</v>
      </c>
      <c r="P63" s="380" t="str">
        <f aca="false">IFERROR(INDEX(ST_LABEL,MATCH(T63,ST_CODE,0)),T63)</f>
        <v>กำลังดำเนินการ</v>
      </c>
      <c r="Q63" s="385" t="n">
        <f aca="false">IF(OR(J63="",O63=""),"",O63-J63)</f>
        <v>-34</v>
      </c>
      <c r="R63" s="387"/>
      <c r="S63" s="387" t="n">
        <v>2</v>
      </c>
      <c r="T63" s="387" t="str">
        <f aca="false">IF(O63="","BL",IF(M63="Y","DY",IF(LEFT(T62,1)="D","DY",IF(OR(M63="S",N63&lt;=ASOF),"IP","NS"))))</f>
        <v>IP</v>
      </c>
      <c r="U63" s="387"/>
      <c r="V63" s="386" t="n">
        <f aca="false">IF(LEFT(T63,1)="D",1,0)</f>
        <v>0</v>
      </c>
      <c r="W63" s="380" t="s">
        <v>3408</v>
      </c>
      <c r="X63" s="387"/>
      <c r="Y63" s="387" t="s">
        <v>1643</v>
      </c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</row>
    <row r="64" customFormat="false" ht="15" hidden="true" customHeight="false" outlineLevel="1" collapsed="false">
      <c r="A64" s="379" t="s">
        <v>308</v>
      </c>
      <c r="B64" s="380" t="s">
        <v>3503</v>
      </c>
      <c r="C64" s="380" t="s">
        <v>3504</v>
      </c>
      <c r="D64" s="380" t="s">
        <v>3411</v>
      </c>
      <c r="E64" s="381" t="n">
        <v>2.5</v>
      </c>
      <c r="F64" s="387"/>
      <c r="G64" s="387"/>
      <c r="H64" s="387"/>
      <c r="I64" s="382" t="n">
        <f aca="false">'Master Plan'!$H$27+(-42)</f>
        <v>46361</v>
      </c>
      <c r="J64" s="382" t="n">
        <f aca="false">'Master Plan'!$H$27+(-39)</f>
        <v>46364</v>
      </c>
      <c r="K64" s="387"/>
      <c r="L64" s="387"/>
      <c r="M64" s="383" t="str">
        <f aca="false">IF('อัปเดตงาน WBS'!$L$1599="","",'อัปเดตงาน WBS'!$L$1599)</f>
        <v/>
      </c>
      <c r="N64" s="384" t="n">
        <f aca="false">IF(OR(N62="",O62=""),"",N62+ROUND((O62-N62)*0,0))</f>
        <v>46328</v>
      </c>
      <c r="O64" s="384" t="n">
        <f aca="false">IF(OR(N62="",O62=""),"",N62+ROUND((O62-N62)*0.2,0))</f>
        <v>46330</v>
      </c>
      <c r="P64" s="380" t="str">
        <f aca="false">IFERROR(INDEX(ST_LABEL,MATCH(T64,ST_CODE,0)),T64)</f>
        <v>กำลังดำเนินการ</v>
      </c>
      <c r="Q64" s="385" t="n">
        <f aca="false">IF(OR(J64="",O64=""),"",O64-J64)</f>
        <v>-34</v>
      </c>
      <c r="R64" s="387"/>
      <c r="S64" s="387" t="n">
        <v>2</v>
      </c>
      <c r="T64" s="387" t="str">
        <f aca="false">IF(O64="","BL",IF(M64="Y","DY",IF(LEFT(T62,1)="D","DY",IF(OR(M64="S",N64&lt;=ASOF),"IP","NS"))))</f>
        <v>IP</v>
      </c>
      <c r="U64" s="387"/>
      <c r="V64" s="386" t="n">
        <f aca="false">IF(LEFT(T64,1)="D",1,0)</f>
        <v>0</v>
      </c>
      <c r="W64" s="380" t="s">
        <v>3408</v>
      </c>
      <c r="X64" s="387"/>
      <c r="Y64" s="387" t="s">
        <v>1643</v>
      </c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</row>
    <row r="65" customFormat="false" ht="15" hidden="true" customHeight="false" outlineLevel="1" collapsed="false">
      <c r="A65" s="379" t="s">
        <v>311</v>
      </c>
      <c r="B65" s="380" t="s">
        <v>3505</v>
      </c>
      <c r="C65" s="380" t="s">
        <v>3506</v>
      </c>
      <c r="D65" s="380" t="s">
        <v>3411</v>
      </c>
      <c r="E65" s="381" t="n">
        <v>5</v>
      </c>
      <c r="F65" s="387"/>
      <c r="G65" s="387"/>
      <c r="H65" s="387"/>
      <c r="I65" s="382" t="n">
        <f aca="false">'Master Plan'!$H$27+(-40)</f>
        <v>46363</v>
      </c>
      <c r="J65" s="382" t="n">
        <f aca="false">'Master Plan'!$H$27+(-34)</f>
        <v>46369</v>
      </c>
      <c r="K65" s="387"/>
      <c r="L65" s="387"/>
      <c r="M65" s="383" t="str">
        <f aca="false">IF('อัปเดตงาน WBS'!$L$1600="","",'อัปเดตงาน WBS'!$L$1600)</f>
        <v/>
      </c>
      <c r="N65" s="384" t="n">
        <f aca="false">IF(OR(N62="",O62=""),"",N62+ROUND((O62-N62)*0.1,0))</f>
        <v>46329</v>
      </c>
      <c r="O65" s="384" t="n">
        <f aca="false">IF(OR(N62="",O62=""),"",N62+ROUND((O62-N62)*0.5,0))</f>
        <v>46332</v>
      </c>
      <c r="P65" s="380" t="str">
        <f aca="false">IFERROR(INDEX(ST_LABEL,MATCH(T65,ST_CODE,0)),T65)</f>
        <v>ยังไม่เริ่ม</v>
      </c>
      <c r="Q65" s="385" t="n">
        <f aca="false">IF(OR(J65="",O65=""),"",O65-J65)</f>
        <v>-37</v>
      </c>
      <c r="R65" s="387"/>
      <c r="S65" s="387" t="n">
        <v>2</v>
      </c>
      <c r="T65" s="387" t="str">
        <f aca="false">IF(O65="","BL",IF(M65="Y","DY",IF(LEFT(T62,1)="D","DY",IF(OR(M65="S",N65&lt;=ASOF),"IP","NS"))))</f>
        <v>NS</v>
      </c>
      <c r="U65" s="387"/>
      <c r="V65" s="386" t="n">
        <f aca="false">IF(LEFT(T65,1)="D",1,IF(M65="S",0.5,0))</f>
        <v>0</v>
      </c>
      <c r="W65" s="380" t="s">
        <v>3408</v>
      </c>
      <c r="X65" s="387"/>
      <c r="Y65" s="387" t="s">
        <v>1643</v>
      </c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</row>
    <row r="66" customFormat="false" ht="15" hidden="true" customHeight="false" outlineLevel="1" collapsed="false">
      <c r="A66" s="379" t="s">
        <v>314</v>
      </c>
      <c r="B66" s="380" t="s">
        <v>3507</v>
      </c>
      <c r="C66" s="387" t="s">
        <v>3508</v>
      </c>
      <c r="D66" s="380" t="s">
        <v>3411</v>
      </c>
      <c r="E66" s="381" t="n">
        <v>7</v>
      </c>
      <c r="F66" s="387"/>
      <c r="G66" s="387"/>
      <c r="H66" s="387"/>
      <c r="I66" s="382" t="n">
        <f aca="false">'Master Plan'!$H$27+(-35)</f>
        <v>46368</v>
      </c>
      <c r="J66" s="382" t="n">
        <f aca="false">'Master Plan'!$H$27+(-28)</f>
        <v>46375</v>
      </c>
      <c r="K66" s="387"/>
      <c r="L66" s="387"/>
      <c r="M66" s="383" t="str">
        <f aca="false">IF('อัปเดตงาน WBS'!$L$1601="","",'อัปเดตงาน WBS'!$L$1601)</f>
        <v/>
      </c>
      <c r="N66" s="384" t="n">
        <f aca="false">IF(OR(N62="",O62=""),"",N62+ROUND((O62-N62)*0.4,0))</f>
        <v>46331</v>
      </c>
      <c r="O66" s="384" t="n">
        <f aca="false">IF(OR(N62="",O62=""),"",N62+ROUND((O62-N62)*0.85,0))</f>
        <v>46335</v>
      </c>
      <c r="P66" s="380" t="str">
        <f aca="false">IFERROR(INDEX(ST_LABEL,MATCH(T66,ST_CODE,0)),T66)</f>
        <v>ยังไม่เริ่ม</v>
      </c>
      <c r="Q66" s="385" t="n">
        <f aca="false">IF(OR(J66="",O66=""),"",O66-J66)</f>
        <v>-40</v>
      </c>
      <c r="R66" s="387"/>
      <c r="S66" s="387" t="n">
        <v>2</v>
      </c>
      <c r="T66" s="387" t="str">
        <f aca="false">IF(O66="","BL",IF(M66="Y","DY",IF(LEFT(T62,1)="D","DY",IF(OR(M66="S",N66&lt;=ASOF),"IP","NS"))))</f>
        <v>NS</v>
      </c>
      <c r="U66" s="387"/>
      <c r="V66" s="386" t="n">
        <f aca="false">IF(LEFT(T66,1)="D",1,IF(M66="S",0.5,0))</f>
        <v>0</v>
      </c>
      <c r="W66" s="380" t="s">
        <v>3408</v>
      </c>
      <c r="X66" s="387"/>
      <c r="Y66" s="387" t="s">
        <v>1643</v>
      </c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</row>
    <row r="67" customFormat="false" ht="15" hidden="true" customHeight="false" outlineLevel="1" collapsed="false">
      <c r="A67" s="379" t="s">
        <v>317</v>
      </c>
      <c r="B67" s="387" t="s">
        <v>3509</v>
      </c>
      <c r="C67" s="387" t="s">
        <v>3510</v>
      </c>
      <c r="D67" s="380" t="s">
        <v>3411</v>
      </c>
      <c r="E67" s="381" t="n">
        <v>3</v>
      </c>
      <c r="F67" s="387"/>
      <c r="G67" s="387"/>
      <c r="H67" s="387"/>
      <c r="I67" s="382" t="n">
        <f aca="false">'Master Plan'!$H$27+(-32)</f>
        <v>46371</v>
      </c>
      <c r="J67" s="382" t="n">
        <f aca="false">'Master Plan'!$H$27+(-26)</f>
        <v>46377</v>
      </c>
      <c r="K67" s="387"/>
      <c r="L67" s="387"/>
      <c r="M67" s="383" t="str">
        <f aca="false">IF('อัปเดตงาน WBS'!$L$1602="","",'อัปเดตงาน WBS'!$L$1602)</f>
        <v/>
      </c>
      <c r="N67" s="384" t="n">
        <f aca="false">IF(OR(N62="",O62=""),"",N62+ROUND((O62-N62)*0.6,0))</f>
        <v>46333</v>
      </c>
      <c r="O67" s="384" t="n">
        <f aca="false">IF(OR(N62="",O62=""),"",N62+ROUND((O62-N62)*0.95,0))</f>
        <v>46336</v>
      </c>
      <c r="P67" s="380" t="str">
        <f aca="false">IFERROR(INDEX(ST_LABEL,MATCH(T67,ST_CODE,0)),T67)</f>
        <v>ยังไม่เริ่ม</v>
      </c>
      <c r="Q67" s="385" t="n">
        <f aca="false">IF(OR(J67="",O67=""),"",O67-J67)</f>
        <v>-41</v>
      </c>
      <c r="R67" s="387"/>
      <c r="S67" s="387" t="n">
        <v>2</v>
      </c>
      <c r="T67" s="387" t="str">
        <f aca="false">IF(O67="","BL",IF(M67="Y","DY",IF(LEFT(T62,1)="D","DY",IF(OR(M67="S",N67&lt;=ASOF),"IP","NS"))))</f>
        <v>NS</v>
      </c>
      <c r="U67" s="387"/>
      <c r="V67" s="386" t="n">
        <f aca="false">IF(LEFT(T67,1)="D",1,IF(M67="S",0.5,0))</f>
        <v>0</v>
      </c>
      <c r="W67" s="380" t="s">
        <v>3408</v>
      </c>
      <c r="X67" s="387"/>
      <c r="Y67" s="387" t="s">
        <v>1643</v>
      </c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</row>
    <row r="68" customFormat="false" ht="15" hidden="true" customHeight="false" outlineLevel="1" collapsed="false">
      <c r="A68" s="379" t="s">
        <v>320</v>
      </c>
      <c r="B68" s="380" t="s">
        <v>3511</v>
      </c>
      <c r="C68" s="380" t="s">
        <v>3512</v>
      </c>
      <c r="D68" s="380" t="s">
        <v>3411</v>
      </c>
      <c r="E68" s="381" t="n">
        <v>0.5</v>
      </c>
      <c r="F68" s="387"/>
      <c r="G68" s="387"/>
      <c r="H68" s="387"/>
      <c r="I68" s="382" t="n">
        <f aca="false">'Master Plan'!$H$27+(-28)</f>
        <v>46375</v>
      </c>
      <c r="J68" s="382" t="n">
        <f aca="false">'Master Plan'!$H$27+(-25)</f>
        <v>46378</v>
      </c>
      <c r="K68" s="387"/>
      <c r="L68" s="387"/>
      <c r="M68" s="383" t="str">
        <f aca="false">IF('อัปเดตงาน WBS'!$L$1603="","",'อัปเดตงาน WBS'!$L$1603)</f>
        <v/>
      </c>
      <c r="N68" s="384" t="n">
        <f aca="false">IF(OR(N62="",O62=""),"",N62+ROUND((O62-N62)*0.8,0))</f>
        <v>46334</v>
      </c>
      <c r="O68" s="384" t="n">
        <f aca="false">IF(OR(N62="",O62=""),"",N62+ROUND((O62-N62)*1,0))</f>
        <v>46336</v>
      </c>
      <c r="P68" s="380" t="str">
        <f aca="false">IFERROR(INDEX(ST_LABEL,MATCH(T68,ST_CODE,0)),T68)</f>
        <v>ยังไม่เริ่ม</v>
      </c>
      <c r="Q68" s="385" t="n">
        <f aca="false">IF(OR(J68="",O68=""),"",O68-J68)</f>
        <v>-42</v>
      </c>
      <c r="R68" s="387"/>
      <c r="S68" s="387" t="n">
        <v>2</v>
      </c>
      <c r="T68" s="387" t="str">
        <f aca="false">IF(O68="","BL",IF(M68="Y","DY",IF(LEFT(T62,1)="D","DY",IF(OR(M68="S",N68&lt;=ASOF),"IP","NS"))))</f>
        <v>NS</v>
      </c>
      <c r="U68" s="387"/>
      <c r="V68" s="386" t="n">
        <f aca="false">IF(LEFT(T68,1)="D",1,0)</f>
        <v>0</v>
      </c>
      <c r="W68" s="380" t="s">
        <v>3408</v>
      </c>
      <c r="X68" s="387"/>
      <c r="Y68" s="387" t="s">
        <v>1643</v>
      </c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</row>
    <row r="69" customFormat="false" ht="15" hidden="true" customHeight="false" outlineLevel="1" collapsed="false">
      <c r="A69" s="379" t="s">
        <v>323</v>
      </c>
      <c r="B69" s="387" t="s">
        <v>3513</v>
      </c>
      <c r="C69" s="380" t="s">
        <v>3514</v>
      </c>
      <c r="D69" s="380" t="s">
        <v>3411</v>
      </c>
      <c r="E69" s="381" t="n">
        <v>1</v>
      </c>
      <c r="F69" s="387"/>
      <c r="G69" s="387"/>
      <c r="H69" s="387"/>
      <c r="I69" s="382" t="n">
        <f aca="false">'Master Plan'!$H$27+(-26)</f>
        <v>46377</v>
      </c>
      <c r="J69" s="382" t="n">
        <f aca="false">'Master Plan'!$H$27+(-25)</f>
        <v>46378</v>
      </c>
      <c r="K69" s="387"/>
      <c r="L69" s="387"/>
      <c r="M69" s="383" t="str">
        <f aca="false">IF('อัปเดตงาน WBS'!$L$1604="","",'อัปเดตงาน WBS'!$L$1604)</f>
        <v/>
      </c>
      <c r="N69" s="384" t="n">
        <f aca="false">IF(OR(N62="",O62=""),"",N62+ROUND((O62-N62)*0.95,0))</f>
        <v>46336</v>
      </c>
      <c r="O69" s="384" t="n">
        <f aca="false">IF(OR(N62="",O62=""),"",N62+ROUND((O62-N62)*1,0))</f>
        <v>46336</v>
      </c>
      <c r="P69" s="380" t="str">
        <f aca="false">IFERROR(INDEX(ST_LABEL,MATCH(T69,ST_CODE,0)),T69)</f>
        <v>ยังไม่เริ่ม</v>
      </c>
      <c r="Q69" s="385" t="n">
        <f aca="false">IF(OR(J69="",O69=""),"",O69-J69)</f>
        <v>-42</v>
      </c>
      <c r="R69" s="387"/>
      <c r="S69" s="387" t="n">
        <v>2</v>
      </c>
      <c r="T69" s="387" t="str">
        <f aca="false">IF(O69="","BL",IF(M69="Y","DY",IF(LEFT(T62,1)="D","DY",IF(OR(M69="S",N69&lt;=ASOF),"IP","NS"))))</f>
        <v>NS</v>
      </c>
      <c r="U69" s="387"/>
      <c r="V69" s="386" t="n">
        <f aca="false">IF(LEFT(T69,1)="D",1,0)</f>
        <v>0</v>
      </c>
      <c r="W69" s="380" t="s">
        <v>3408</v>
      </c>
      <c r="X69" s="387"/>
      <c r="Y69" s="387" t="s">
        <v>1643</v>
      </c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</row>
    <row r="70" customFormat="false" ht="15" hidden="false" customHeight="false" outlineLevel="0" collapsed="false">
      <c r="A70" s="32" t="s">
        <v>987</v>
      </c>
      <c r="B70" s="31" t="s">
        <v>3515</v>
      </c>
      <c r="C70" s="31" t="s">
        <v>3497</v>
      </c>
      <c r="D70" s="31" t="s">
        <v>3747</v>
      </c>
      <c r="E70" s="372" t="n">
        <v>10</v>
      </c>
      <c r="F70" s="31" t="s">
        <v>3516</v>
      </c>
      <c r="G70" s="32"/>
      <c r="H70" s="32" t="n">
        <v>4</v>
      </c>
      <c r="I70" s="373" t="n">
        <f aca="false">'Master Plan'!$H$27+(-24)</f>
        <v>46379</v>
      </c>
      <c r="J70" s="373" t="n">
        <f aca="false">'Master Plan'!$H$27+(-15)</f>
        <v>46388</v>
      </c>
      <c r="K70" s="78"/>
      <c r="L70" s="78" t="str">
        <f aca="false">IF(ISNUMBER(อัปเดตรายสัปดาห์!$X$27),อัปเดตรายสัปดาห์!$X$27,"")</f>
        <v/>
      </c>
      <c r="M70" s="374" t="str">
        <f aca="false">IF(อัปเดตรายสัปดาห์!$X$27="Y","Y","")</f>
        <v/>
      </c>
      <c r="N70" s="375" t="n">
        <f aca="false">IF(K70&lt;&gt;"",K70,IF(L70&lt;&gt;"",L70-H70+1,IF(M70="Y",O70-H70+1,MAX(O70-H70+1,ASOF))))</f>
        <v>46343</v>
      </c>
      <c r="O70" s="80" t="n">
        <f aca="false">IF(L70&lt;&gt;"",L70,IF(M70="Y",MIN(J70,O111-3),MAX(O111-3,ASOF)))</f>
        <v>46346</v>
      </c>
      <c r="P70" s="36" t="str">
        <f aca="false">IFERROR(INDEX(ST_LABEL,MATCH(T70,ST_CODE,0)),T70)</f>
        <v>ยังไม่เริ่ม</v>
      </c>
      <c r="Q70" s="376" t="n">
        <f aca="false">IF(OR(J70="",O70=""),"",O70-J70)</f>
        <v>-42</v>
      </c>
      <c r="R70" s="31"/>
      <c r="S70" s="31" t="n">
        <v>1</v>
      </c>
      <c r="T70" s="31" t="str">
        <f aca="false">IF(O70="","BL",IF(AND(L70&lt;&gt;"",L70&lt;=ASOF),"DN",IF(M70="Y","DY",IF(L70&lt;&gt;"","AP",IF(N70&lt;=ASOF,"IP","NS")))))</f>
        <v>NS</v>
      </c>
      <c r="U70" s="388" t="n">
        <f aca="false">IF(AND(LEFT(T70,1)&lt;&gt;"D",T70&lt;&gt;"NA",T70&lt;&gt;"BL",ISNUMBER(N70)),N70+ROW()/10000,"")</f>
        <v>46343.007</v>
      </c>
      <c r="V70" s="377" t="n">
        <f aca="false">IF(LEFT(T70,1)="D",1,IF(T70="NA",0,IF(COUNTIFS(SITE_ST,"P9-020",SITE_TYPE,"?*")&gt;0,MIN(1,SUMPRODUCT((SITE_ST="P9-020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1" t="s">
        <v>2426</v>
      </c>
      <c r="X70" s="31" t="s">
        <v>3517</v>
      </c>
      <c r="Y70" s="36" t="s">
        <v>1643</v>
      </c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</row>
    <row r="71" customFormat="false" ht="15" hidden="true" customHeight="false" outlineLevel="1" collapsed="false">
      <c r="A71" s="379" t="s">
        <v>326</v>
      </c>
      <c r="B71" s="380" t="s">
        <v>3518</v>
      </c>
      <c r="C71" s="387" t="s">
        <v>3519</v>
      </c>
      <c r="D71" s="380" t="s">
        <v>3411</v>
      </c>
      <c r="E71" s="381" t="n">
        <v>3</v>
      </c>
      <c r="F71" s="387"/>
      <c r="G71" s="387"/>
      <c r="H71" s="387"/>
      <c r="I71" s="382" t="n">
        <f aca="false">'Master Plan'!$H$27+(-24)</f>
        <v>46379</v>
      </c>
      <c r="J71" s="382" t="n">
        <f aca="false">'Master Plan'!$H$27+(-20)</f>
        <v>46383</v>
      </c>
      <c r="K71" s="387"/>
      <c r="L71" s="387"/>
      <c r="M71" s="383" t="str">
        <f aca="false">IF('อัปเดตงาน WBS'!$L$1605="","",'อัปเดตงาน WBS'!$L$1605)</f>
        <v/>
      </c>
      <c r="N71" s="384" t="n">
        <f aca="false">IF(OR(N70="",O70=""),"",N70+ROUND((O70-N70)*0,0))</f>
        <v>46343</v>
      </c>
      <c r="O71" s="384" t="n">
        <f aca="false">IF(OR(N70="",O70=""),"",N70+ROUND((O70-N70)*0.4,0))</f>
        <v>46344</v>
      </c>
      <c r="P71" s="380" t="str">
        <f aca="false">IFERROR(INDEX(ST_LABEL,MATCH(T71,ST_CODE,0)),T71)</f>
        <v>ยังไม่เริ่ม</v>
      </c>
      <c r="Q71" s="385" t="n">
        <f aca="false">IF(OR(J71="",O71=""),"",O71-J71)</f>
        <v>-39</v>
      </c>
      <c r="R71" s="387"/>
      <c r="S71" s="387" t="n">
        <v>2</v>
      </c>
      <c r="T71" s="387" t="str">
        <f aca="false">IF(O71="","BL",IF(M71="Y","DY",IF(LEFT(T70,1)="D","DY",IF(OR(M71="S",N71&lt;=ASOF),"IP","NS"))))</f>
        <v>NS</v>
      </c>
      <c r="U71" s="387"/>
      <c r="V71" s="386" t="n">
        <f aca="false">IF(LEFT(T71,1)="D",1,IF(M71="S",0.5,0))</f>
        <v>0</v>
      </c>
      <c r="W71" s="380" t="s">
        <v>3408</v>
      </c>
      <c r="X71" s="387"/>
      <c r="Y71" s="387" t="s">
        <v>1643</v>
      </c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</row>
    <row r="72" customFormat="false" ht="15" hidden="true" customHeight="false" outlineLevel="1" collapsed="false">
      <c r="A72" s="379" t="s">
        <v>329</v>
      </c>
      <c r="B72" s="380" t="s">
        <v>3520</v>
      </c>
      <c r="C72" s="380" t="s">
        <v>3521</v>
      </c>
      <c r="D72" s="380" t="s">
        <v>3411</v>
      </c>
      <c r="E72" s="381" t="n">
        <v>3</v>
      </c>
      <c r="F72" s="387"/>
      <c r="G72" s="387"/>
      <c r="H72" s="387"/>
      <c r="I72" s="382" t="n">
        <f aca="false">'Master Plan'!$H$27+(-22)</f>
        <v>46381</v>
      </c>
      <c r="J72" s="382" t="n">
        <f aca="false">'Master Plan'!$H$27+(-17)</f>
        <v>46386</v>
      </c>
      <c r="K72" s="387"/>
      <c r="L72" s="387"/>
      <c r="M72" s="383" t="str">
        <f aca="false">IF('อัปเดตงาน WBS'!$L$1606="","",'อัปเดตงาน WBS'!$L$1606)</f>
        <v/>
      </c>
      <c r="N72" s="384" t="n">
        <f aca="false">IF(OR(N70="",O70=""),"",N70+ROUND((O70-N70)*0.2,0))</f>
        <v>46344</v>
      </c>
      <c r="O72" s="384" t="n">
        <f aca="false">IF(OR(N70="",O70=""),"",N70+ROUND((O70-N70)*0.8,0))</f>
        <v>46345</v>
      </c>
      <c r="P72" s="380" t="str">
        <f aca="false">IFERROR(INDEX(ST_LABEL,MATCH(T72,ST_CODE,0)),T72)</f>
        <v>ยังไม่เริ่ม</v>
      </c>
      <c r="Q72" s="385" t="n">
        <f aca="false">IF(OR(J72="",O72=""),"",O72-J72)</f>
        <v>-41</v>
      </c>
      <c r="R72" s="387"/>
      <c r="S72" s="387" t="n">
        <v>2</v>
      </c>
      <c r="T72" s="387" t="str">
        <f aca="false">IF(O72="","BL",IF(M72="Y","DY",IF(LEFT(T70,1)="D","DY",IF(OR(M72="S",N72&lt;=ASOF),"IP","NS"))))</f>
        <v>NS</v>
      </c>
      <c r="U72" s="387"/>
      <c r="V72" s="386" t="n">
        <f aca="false">IF(LEFT(T72,1)="D",1,IF(M72="S",0.5,0))</f>
        <v>0</v>
      </c>
      <c r="W72" s="380" t="s">
        <v>3408</v>
      </c>
      <c r="X72" s="387"/>
      <c r="Y72" s="387" t="s">
        <v>1643</v>
      </c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</row>
    <row r="73" customFormat="false" ht="15" hidden="true" customHeight="false" outlineLevel="1" collapsed="false">
      <c r="A73" s="379" t="s">
        <v>332</v>
      </c>
      <c r="B73" s="380" t="s">
        <v>3522</v>
      </c>
      <c r="C73" s="380" t="s">
        <v>3523</v>
      </c>
      <c r="D73" s="380" t="s">
        <v>3411</v>
      </c>
      <c r="E73" s="381" t="n">
        <v>2</v>
      </c>
      <c r="F73" s="387"/>
      <c r="G73" s="387"/>
      <c r="H73" s="387"/>
      <c r="I73" s="382" t="n">
        <f aca="false">'Master Plan'!$H$27+(-21)</f>
        <v>46382</v>
      </c>
      <c r="J73" s="382" t="n">
        <f aca="false">'Master Plan'!$H$27+(-17)</f>
        <v>46386</v>
      </c>
      <c r="K73" s="387"/>
      <c r="L73" s="387"/>
      <c r="M73" s="383" t="str">
        <f aca="false">IF('อัปเดตงาน WBS'!$L$1607="","",'อัปเดตงาน WBS'!$L$1607)</f>
        <v/>
      </c>
      <c r="N73" s="384" t="n">
        <f aca="false">IF(OR(N70="",O70=""),"",N70+ROUND((O70-N70)*0.3,0))</f>
        <v>46344</v>
      </c>
      <c r="O73" s="384" t="n">
        <f aca="false">IF(OR(N70="",O70=""),"",N70+ROUND((O70-N70)*0.8,0))</f>
        <v>46345</v>
      </c>
      <c r="P73" s="380" t="str">
        <f aca="false">IFERROR(INDEX(ST_LABEL,MATCH(T73,ST_CODE,0)),T73)</f>
        <v>ยังไม่เริ่ม</v>
      </c>
      <c r="Q73" s="385" t="n">
        <f aca="false">IF(OR(J73="",O73=""),"",O73-J73)</f>
        <v>-41</v>
      </c>
      <c r="R73" s="387"/>
      <c r="S73" s="387" t="n">
        <v>2</v>
      </c>
      <c r="T73" s="387" t="str">
        <f aca="false">IF(O73="","BL",IF(M73="Y","DY",IF(LEFT(T70,1)="D","DY",IF(OR(M73="S",N73&lt;=ASOF),"IP","NS"))))</f>
        <v>NS</v>
      </c>
      <c r="U73" s="387"/>
      <c r="V73" s="386" t="n">
        <f aca="false">IF(LEFT(T73,1)="D",1,0)</f>
        <v>0</v>
      </c>
      <c r="W73" s="380" t="s">
        <v>3408</v>
      </c>
      <c r="X73" s="387"/>
      <c r="Y73" s="387" t="s">
        <v>1643</v>
      </c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</row>
    <row r="74" customFormat="false" ht="15" hidden="true" customHeight="false" outlineLevel="1" collapsed="false">
      <c r="A74" s="379" t="s">
        <v>335</v>
      </c>
      <c r="B74" s="380" t="s">
        <v>3524</v>
      </c>
      <c r="C74" s="387" t="s">
        <v>3525</v>
      </c>
      <c r="D74" s="380" t="s">
        <v>3411</v>
      </c>
      <c r="E74" s="381" t="n">
        <v>1</v>
      </c>
      <c r="F74" s="387"/>
      <c r="G74" s="387"/>
      <c r="H74" s="387"/>
      <c r="I74" s="382" t="n">
        <f aca="false">'Master Plan'!$H$27+(-20)</f>
        <v>46383</v>
      </c>
      <c r="J74" s="382" t="n">
        <f aca="false">'Master Plan'!$H$27+(-15)</f>
        <v>46388</v>
      </c>
      <c r="K74" s="387"/>
      <c r="L74" s="387"/>
      <c r="M74" s="383" t="str">
        <f aca="false">IF('อัปเดตงาน WBS'!$L$1608="","",'อัปเดตงาน WBS'!$L$1608)</f>
        <v/>
      </c>
      <c r="N74" s="384" t="n">
        <f aca="false">IF(OR(N70="",O70=""),"",N70+ROUND((O70-N70)*0.5,0))</f>
        <v>46345</v>
      </c>
      <c r="O74" s="384" t="n">
        <f aca="false">IF(OR(N70="",O70=""),"",N70+ROUND((O70-N70)*1,0))</f>
        <v>46346</v>
      </c>
      <c r="P74" s="380" t="str">
        <f aca="false">IFERROR(INDEX(ST_LABEL,MATCH(T74,ST_CODE,0)),T74)</f>
        <v>ยังไม่เริ่ม</v>
      </c>
      <c r="Q74" s="385" t="n">
        <f aca="false">IF(OR(J74="",O74=""),"",O74-J74)</f>
        <v>-42</v>
      </c>
      <c r="R74" s="387"/>
      <c r="S74" s="387" t="n">
        <v>2</v>
      </c>
      <c r="T74" s="387" t="str">
        <f aca="false">IF(O74="","BL",IF(M74="Y","DY",IF(LEFT(T70,1)="D","DY",IF(OR(M74="S",N74&lt;=ASOF),"IP","NS"))))</f>
        <v>NS</v>
      </c>
      <c r="U74" s="387"/>
      <c r="V74" s="386" t="n">
        <f aca="false">IF(LEFT(T74,1)="D",1,0)</f>
        <v>0</v>
      </c>
      <c r="W74" s="380" t="s">
        <v>3408</v>
      </c>
      <c r="X74" s="387"/>
      <c r="Y74" s="387" t="s">
        <v>1643</v>
      </c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</row>
    <row r="75" customFormat="false" ht="15" hidden="true" customHeight="false" outlineLevel="1" collapsed="false">
      <c r="A75" s="379" t="s">
        <v>338</v>
      </c>
      <c r="B75" s="387" t="s">
        <v>3526</v>
      </c>
      <c r="C75" s="380" t="s">
        <v>3527</v>
      </c>
      <c r="D75" s="380" t="s">
        <v>3411</v>
      </c>
      <c r="E75" s="381" t="n">
        <v>1</v>
      </c>
      <c r="F75" s="387"/>
      <c r="G75" s="387"/>
      <c r="H75" s="387"/>
      <c r="I75" s="382" t="n">
        <f aca="false">'Master Plan'!$H$27+(-17)</f>
        <v>46386</v>
      </c>
      <c r="J75" s="382" t="n">
        <f aca="false">'Master Plan'!$H$27+(-15)</f>
        <v>46388</v>
      </c>
      <c r="K75" s="387"/>
      <c r="L75" s="387"/>
      <c r="M75" s="383" t="str">
        <f aca="false">IF('อัปเดตงาน WBS'!$L$1609="","",'อัปเดตงาน WBS'!$L$1609)</f>
        <v/>
      </c>
      <c r="N75" s="384" t="n">
        <f aca="false">IF(OR(N70="",O70=""),"",N70+ROUND((O70-N70)*0.8,0))</f>
        <v>46345</v>
      </c>
      <c r="O75" s="384" t="n">
        <f aca="false">IF(OR(N70="",O70=""),"",N70+ROUND((O70-N70)*1,0))</f>
        <v>46346</v>
      </c>
      <c r="P75" s="380" t="str">
        <f aca="false">IFERROR(INDEX(ST_LABEL,MATCH(T75,ST_CODE,0)),T75)</f>
        <v>ยังไม่เริ่ม</v>
      </c>
      <c r="Q75" s="385" t="n">
        <f aca="false">IF(OR(J75="",O75=""),"",O75-J75)</f>
        <v>-42</v>
      </c>
      <c r="R75" s="387"/>
      <c r="S75" s="387" t="n">
        <v>2</v>
      </c>
      <c r="T75" s="387" t="str">
        <f aca="false">IF(O75="","BL",IF(M75="Y","DY",IF(LEFT(T70,1)="D","DY",IF(OR(M75="S",N75&lt;=ASOF),"IP","NS"))))</f>
        <v>NS</v>
      </c>
      <c r="U75" s="387"/>
      <c r="V75" s="386" t="n">
        <f aca="false">IF(LEFT(T75,1)="D",1,0)</f>
        <v>0</v>
      </c>
      <c r="W75" s="380" t="s">
        <v>3408</v>
      </c>
      <c r="X75" s="387"/>
      <c r="Y75" s="387" t="s">
        <v>1643</v>
      </c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</row>
    <row r="76" customFormat="false" ht="15" hidden="false" customHeight="false" outlineLevel="0" collapsed="false">
      <c r="A76" s="32" t="s">
        <v>1037</v>
      </c>
      <c r="B76" s="31" t="s">
        <v>1976</v>
      </c>
      <c r="C76" s="31" t="s">
        <v>3497</v>
      </c>
      <c r="D76" s="31" t="s">
        <v>3747</v>
      </c>
      <c r="E76" s="372" t="n">
        <v>20</v>
      </c>
      <c r="F76" s="31" t="s">
        <v>3528</v>
      </c>
      <c r="G76" s="32"/>
      <c r="H76" s="32" t="n">
        <v>11</v>
      </c>
      <c r="I76" s="373" t="n">
        <f aca="false">'Master Plan'!$H$27+(-24)</f>
        <v>46379</v>
      </c>
      <c r="J76" s="373" t="n">
        <f aca="false">'Master Plan'!$H$27+(-15)</f>
        <v>46388</v>
      </c>
      <c r="K76" s="78"/>
      <c r="L76" s="78" t="str">
        <f aca="false">IF(ISNUMBER(อัปเดตรายสัปดาห์!$Y$27),อัปเดตรายสัปดาห์!$Y$27,"")</f>
        <v/>
      </c>
      <c r="M76" s="374" t="str">
        <f aca="false">IF(อัปเดตรายสัปดาห์!$Y$27="Y","Y","")</f>
        <v/>
      </c>
      <c r="N76" s="375" t="n">
        <f aca="false">IF(K76&lt;&gt;"",K76,IF(L76&lt;&gt;"",L76-H76+1,IF(M76="Y",O76-H76+1,MAX(O76-H76+1,ASOF))))</f>
        <v>46337</v>
      </c>
      <c r="O76" s="80" t="n">
        <f aca="false">IF(L76&lt;&gt;"",L76,IF(M76="Y",MIN(J76,O111-2),MAX(O111-2,ASOF)))</f>
        <v>46347</v>
      </c>
      <c r="P76" s="36" t="str">
        <f aca="false">IFERROR(INDEX(ST_LABEL,MATCH(T76,ST_CODE,0)),T76)</f>
        <v>ยังไม่เริ่ม</v>
      </c>
      <c r="Q76" s="376" t="n">
        <f aca="false">IF(OR(J76="",O76=""),"",O76-J76)</f>
        <v>-41</v>
      </c>
      <c r="R76" s="31"/>
      <c r="S76" s="31" t="n">
        <v>1</v>
      </c>
      <c r="T76" s="31" t="str">
        <f aca="false">IF(O76="","BL",IF(AND(L76&lt;&gt;"",L76&lt;=ASOF),"DN",IF(M76="Y","DY",IF(L76&lt;&gt;"","AP",IF(N76&lt;=ASOF,"IP","NS")))))</f>
        <v>NS</v>
      </c>
      <c r="U76" s="388" t="n">
        <f aca="false">IF(AND(LEFT(T76,1)&lt;&gt;"D",T76&lt;&gt;"NA",T76&lt;&gt;"BL",ISNUMBER(N76)),N76+ROW()/10000,"")</f>
        <v>46337.0076</v>
      </c>
      <c r="V76" s="377" t="n">
        <f aca="false">IF(LEFT(T76,1)="D",1,IF(T76="NA",0,IF(COUNTIFS(SITE_ST,"P9-020",SITE_TYPE,"?*")&gt;0,MIN(1,SUMPRODUCT((SITE_ST="P9-020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1" t="s">
        <v>2426</v>
      </c>
      <c r="X76" s="31" t="s">
        <v>3529</v>
      </c>
      <c r="Y76" s="36" t="s">
        <v>1643</v>
      </c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</row>
    <row r="77" customFormat="false" ht="15" hidden="true" customHeight="false" outlineLevel="1" collapsed="false">
      <c r="A77" s="379" t="s">
        <v>341</v>
      </c>
      <c r="B77" s="380" t="s">
        <v>3530</v>
      </c>
      <c r="C77" s="380" t="s">
        <v>3531</v>
      </c>
      <c r="D77" s="380" t="s">
        <v>3411</v>
      </c>
      <c r="E77" s="381" t="n">
        <v>2</v>
      </c>
      <c r="F77" s="387"/>
      <c r="G77" s="387"/>
      <c r="H77" s="387"/>
      <c r="I77" s="382" t="n">
        <f aca="false">'Master Plan'!$H$27+(-24)</f>
        <v>46379</v>
      </c>
      <c r="J77" s="382" t="n">
        <f aca="false">'Master Plan'!$H$27+(-21)</f>
        <v>46382</v>
      </c>
      <c r="K77" s="387"/>
      <c r="L77" s="387"/>
      <c r="M77" s="383" t="str">
        <f aca="false">IF('อัปเดตงาน WBS'!$L$1610="","",'อัปเดตงาน WBS'!$L$1610)</f>
        <v/>
      </c>
      <c r="N77" s="384" t="n">
        <f aca="false">IF(OR(N76="",O76=""),"",N76+ROUND((O76-N76)*0,0))</f>
        <v>46337</v>
      </c>
      <c r="O77" s="384" t="n">
        <f aca="false">IF(OR(N76="",O76=""),"",N76+ROUND((O76-N76)*0.3,0))</f>
        <v>46340</v>
      </c>
      <c r="P77" s="380" t="str">
        <f aca="false">IFERROR(INDEX(ST_LABEL,MATCH(T77,ST_CODE,0)),T77)</f>
        <v>ยังไม่เริ่ม</v>
      </c>
      <c r="Q77" s="385" t="n">
        <f aca="false">IF(OR(J77="",O77=""),"",O77-J77)</f>
        <v>-42</v>
      </c>
      <c r="R77" s="387"/>
      <c r="S77" s="387" t="n">
        <v>2</v>
      </c>
      <c r="T77" s="387" t="str">
        <f aca="false">IF(O77="","BL",IF(M77="Y","DY",IF(LEFT(T76,1)="D","DY",IF(OR(M77="S",N77&lt;=ASOF),"IP","NS"))))</f>
        <v>NS</v>
      </c>
      <c r="U77" s="387"/>
      <c r="V77" s="386" t="n">
        <f aca="false">IF(LEFT(T77,1)="D",1,0)</f>
        <v>0</v>
      </c>
      <c r="W77" s="380" t="s">
        <v>3408</v>
      </c>
      <c r="X77" s="387"/>
      <c r="Y77" s="387" t="s">
        <v>1643</v>
      </c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</row>
    <row r="78" customFormat="false" ht="15" hidden="true" customHeight="false" outlineLevel="1" collapsed="false">
      <c r="A78" s="379" t="s">
        <v>344</v>
      </c>
      <c r="B78" s="380" t="s">
        <v>3532</v>
      </c>
      <c r="C78" s="380" t="s">
        <v>3533</v>
      </c>
      <c r="D78" s="380" t="s">
        <v>3411</v>
      </c>
      <c r="E78" s="381" t="n">
        <v>12</v>
      </c>
      <c r="F78" s="387"/>
      <c r="G78" s="387"/>
      <c r="H78" s="387"/>
      <c r="I78" s="382" t="n">
        <f aca="false">'Master Plan'!$H$27+(-23)</f>
        <v>46380</v>
      </c>
      <c r="J78" s="382" t="n">
        <f aca="false">'Master Plan'!$H$27+(-16)</f>
        <v>46387</v>
      </c>
      <c r="K78" s="387"/>
      <c r="L78" s="387"/>
      <c r="M78" s="383" t="str">
        <f aca="false">IF('อัปเดตงาน WBS'!$L$1611="","",'อัปเดตงาน WBS'!$L$1611)</f>
        <v/>
      </c>
      <c r="N78" s="384" t="n">
        <f aca="false">IF(OR(N76="",O76=""),"",N76+ROUND((O76-N76)*0.1,0))</f>
        <v>46338</v>
      </c>
      <c r="O78" s="384" t="n">
        <f aca="false">IF(OR(N76="",O76=""),"",N76+ROUND((O76-N76)*0.85,0))</f>
        <v>46346</v>
      </c>
      <c r="P78" s="380" t="str">
        <f aca="false">IFERROR(INDEX(ST_LABEL,MATCH(T78,ST_CODE,0)),T78)</f>
        <v>ยังไม่เริ่ม</v>
      </c>
      <c r="Q78" s="385" t="n">
        <f aca="false">IF(OR(J78="",O78=""),"",O78-J78)</f>
        <v>-41</v>
      </c>
      <c r="R78" s="387"/>
      <c r="S78" s="387" t="n">
        <v>2</v>
      </c>
      <c r="T78" s="387" t="str">
        <f aca="false">IF(O78="","BL",IF(M78="Y","DY",IF(LEFT(T76,1)="D","DY",IF(OR(M78="S",N78&lt;=ASOF),"IP","NS"))))</f>
        <v>NS</v>
      </c>
      <c r="U78" s="387"/>
      <c r="V78" s="386" t="n">
        <f aca="false">IF(LEFT(T78,1)="D",1,IF(M78="S",0.5,0))</f>
        <v>0</v>
      </c>
      <c r="W78" s="380" t="s">
        <v>3408</v>
      </c>
      <c r="X78" s="387"/>
      <c r="Y78" s="387" t="s">
        <v>1643</v>
      </c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</row>
    <row r="79" customFormat="false" ht="15" hidden="true" customHeight="false" outlineLevel="1" collapsed="false">
      <c r="A79" s="379" t="s">
        <v>347</v>
      </c>
      <c r="B79" s="387" t="s">
        <v>3534</v>
      </c>
      <c r="C79" s="380" t="s">
        <v>3535</v>
      </c>
      <c r="D79" s="380" t="s">
        <v>3411</v>
      </c>
      <c r="E79" s="381" t="n">
        <v>4</v>
      </c>
      <c r="F79" s="387"/>
      <c r="G79" s="387"/>
      <c r="H79" s="387"/>
      <c r="I79" s="382" t="n">
        <f aca="false">'Master Plan'!$H$27+(-20)</f>
        <v>46383</v>
      </c>
      <c r="J79" s="382" t="n">
        <f aca="false">'Master Plan'!$H$27+(-15)</f>
        <v>46388</v>
      </c>
      <c r="K79" s="387"/>
      <c r="L79" s="387"/>
      <c r="M79" s="383" t="str">
        <f aca="false">IF('อัปเดตงาน WBS'!$L$1612="","",'อัปเดตงาน WBS'!$L$1612)</f>
        <v/>
      </c>
      <c r="N79" s="384" t="n">
        <f aca="false">IF(OR(N76="",O76=""),"",N76+ROUND((O76-N76)*0.4,0))</f>
        <v>46341</v>
      </c>
      <c r="O79" s="384" t="n">
        <f aca="false">IF(OR(N76="",O76=""),"",N76+ROUND((O76-N76)*0.95,0))</f>
        <v>46347</v>
      </c>
      <c r="P79" s="380" t="str">
        <f aca="false">IFERROR(INDEX(ST_LABEL,MATCH(T79,ST_CODE,0)),T79)</f>
        <v>ยังไม่เริ่ม</v>
      </c>
      <c r="Q79" s="385" t="n">
        <f aca="false">IF(OR(J79="",O79=""),"",O79-J79)</f>
        <v>-41</v>
      </c>
      <c r="R79" s="387"/>
      <c r="S79" s="387" t="n">
        <v>2</v>
      </c>
      <c r="T79" s="387" t="str">
        <f aca="false">IF(O79="","BL",IF(M79="Y","DY",IF(LEFT(T76,1)="D","DY",IF(OR(M79="S",N79&lt;=ASOF),"IP","NS"))))</f>
        <v>NS</v>
      </c>
      <c r="U79" s="387"/>
      <c r="V79" s="386" t="n">
        <f aca="false">IF(LEFT(T79,1)="D",1,IF(M79="S",0.5,0))</f>
        <v>0</v>
      </c>
      <c r="W79" s="380" t="s">
        <v>3408</v>
      </c>
      <c r="X79" s="387"/>
      <c r="Y79" s="387" t="s">
        <v>1643</v>
      </c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</row>
    <row r="80" customFormat="false" ht="15" hidden="true" customHeight="false" outlineLevel="1" collapsed="false">
      <c r="A80" s="379" t="s">
        <v>350</v>
      </c>
      <c r="B80" s="387" t="s">
        <v>3536</v>
      </c>
      <c r="C80" s="380" t="s">
        <v>3537</v>
      </c>
      <c r="D80" s="380" t="s">
        <v>3411</v>
      </c>
      <c r="E80" s="381" t="n">
        <v>1</v>
      </c>
      <c r="F80" s="387"/>
      <c r="G80" s="387"/>
      <c r="H80" s="387"/>
      <c r="I80" s="382" t="n">
        <f aca="false">'Master Plan'!$H$27+(-17)</f>
        <v>46386</v>
      </c>
      <c r="J80" s="382" t="n">
        <f aca="false">'Master Plan'!$H$27+(-15)</f>
        <v>46388</v>
      </c>
      <c r="K80" s="387"/>
      <c r="L80" s="387"/>
      <c r="M80" s="383" t="str">
        <f aca="false">IF('อัปเดตงาน WBS'!$L$1613="","",'อัปเดตงาน WBS'!$L$1613)</f>
        <v/>
      </c>
      <c r="N80" s="384" t="n">
        <f aca="false">IF(OR(N76="",O76=""),"",N76+ROUND((O76-N76)*0.8,0))</f>
        <v>46345</v>
      </c>
      <c r="O80" s="384" t="n">
        <f aca="false">IF(OR(N76="",O76=""),"",N76+ROUND((O76-N76)*1,0))</f>
        <v>46347</v>
      </c>
      <c r="P80" s="380" t="str">
        <f aca="false">IFERROR(INDEX(ST_LABEL,MATCH(T80,ST_CODE,0)),T80)</f>
        <v>ยังไม่เริ่ม</v>
      </c>
      <c r="Q80" s="385" t="n">
        <f aca="false">IF(OR(J80="",O80=""),"",O80-J80)</f>
        <v>-41</v>
      </c>
      <c r="R80" s="387"/>
      <c r="S80" s="387" t="n">
        <v>2</v>
      </c>
      <c r="T80" s="387" t="str">
        <f aca="false">IF(O80="","BL",IF(M80="Y","DY",IF(LEFT(T76,1)="D","DY",IF(OR(M80="S",N80&lt;=ASOF),"IP","NS"))))</f>
        <v>NS</v>
      </c>
      <c r="U80" s="387"/>
      <c r="V80" s="386" t="n">
        <f aca="false">IF(LEFT(T80,1)="D",1,0)</f>
        <v>0</v>
      </c>
      <c r="W80" s="380" t="s">
        <v>3408</v>
      </c>
      <c r="X80" s="387"/>
      <c r="Y80" s="387" t="s">
        <v>1643</v>
      </c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</row>
    <row r="81" customFormat="false" ht="15" hidden="true" customHeight="false" outlineLevel="1" collapsed="false">
      <c r="A81" s="379" t="s">
        <v>353</v>
      </c>
      <c r="B81" s="387" t="s">
        <v>3538</v>
      </c>
      <c r="C81" s="380" t="s">
        <v>3539</v>
      </c>
      <c r="D81" s="380" t="s">
        <v>3411</v>
      </c>
      <c r="E81" s="381" t="n">
        <v>1</v>
      </c>
      <c r="F81" s="387"/>
      <c r="G81" s="387"/>
      <c r="H81" s="387"/>
      <c r="I81" s="382" t="n">
        <f aca="false">'Master Plan'!$H$27+(-15)</f>
        <v>46388</v>
      </c>
      <c r="J81" s="382" t="n">
        <f aca="false">'Master Plan'!$H$27+(-15)</f>
        <v>46388</v>
      </c>
      <c r="K81" s="387"/>
      <c r="L81" s="387"/>
      <c r="M81" s="383" t="str">
        <f aca="false">IF('อัปเดตงาน WBS'!$L$1614="","",'อัปเดตงาน WBS'!$L$1614)</f>
        <v/>
      </c>
      <c r="N81" s="384" t="n">
        <f aca="false">IF(OR(N76="",O76=""),"",N76+ROUND((O76-N76)*0.95,0))</f>
        <v>46347</v>
      </c>
      <c r="O81" s="384" t="n">
        <f aca="false">IF(OR(N76="",O76=""),"",N76+ROUND((O76-N76)*1,0))</f>
        <v>46347</v>
      </c>
      <c r="P81" s="380" t="str">
        <f aca="false">IFERROR(INDEX(ST_LABEL,MATCH(T81,ST_CODE,0)),T81)</f>
        <v>ยังไม่เริ่ม</v>
      </c>
      <c r="Q81" s="385" t="n">
        <f aca="false">IF(OR(J81="",O81=""),"",O81-J81)</f>
        <v>-41</v>
      </c>
      <c r="R81" s="387"/>
      <c r="S81" s="387" t="n">
        <v>2</v>
      </c>
      <c r="T81" s="387" t="str">
        <f aca="false">IF(O81="","BL",IF(M81="Y","DY",IF(LEFT(T76,1)="D","DY",IF(OR(M81="S",N81&lt;=ASOF),"IP","NS"))))</f>
        <v>NS</v>
      </c>
      <c r="U81" s="387"/>
      <c r="V81" s="386" t="n">
        <f aca="false">IF(LEFT(T81,1)="D",1,0)</f>
        <v>0</v>
      </c>
      <c r="W81" s="380" t="s">
        <v>3408</v>
      </c>
      <c r="X81" s="387"/>
      <c r="Y81" s="387" t="s">
        <v>1643</v>
      </c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</row>
    <row r="82" customFormat="false" ht="15" hidden="false" customHeight="false" outlineLevel="0" collapsed="false">
      <c r="A82" s="32" t="s">
        <v>1063</v>
      </c>
      <c r="B82" s="31" t="s">
        <v>3540</v>
      </c>
      <c r="C82" s="31" t="s">
        <v>2955</v>
      </c>
      <c r="D82" s="31" t="s">
        <v>3747</v>
      </c>
      <c r="E82" s="372" t="n">
        <v>2.5</v>
      </c>
      <c r="F82" s="31" t="s">
        <v>3528</v>
      </c>
      <c r="G82" s="32"/>
      <c r="H82" s="32" t="n">
        <v>3</v>
      </c>
      <c r="I82" s="373" t="n">
        <f aca="false">'Master Plan'!$H$27+(-21)</f>
        <v>46382</v>
      </c>
      <c r="J82" s="373" t="n">
        <f aca="false">'Master Plan'!$H$27+(-18)</f>
        <v>46385</v>
      </c>
      <c r="K82" s="78"/>
      <c r="L82" s="78" t="str">
        <f aca="false">IF(ISNUMBER(อัปเดตรายสัปดาห์!$Z$27),อัปเดตรายสัปดาห์!$Z$27,"")</f>
        <v/>
      </c>
      <c r="M82" s="374" t="str">
        <f aca="false">IF(อัปเดตรายสัปดาห์!$Z$27="Y","Y","")</f>
        <v/>
      </c>
      <c r="N82" s="375" t="n">
        <f aca="false">IF(K82&lt;&gt;"",K82,IF(L82&lt;&gt;"",L82-H82+1,IF(M82="Y",O82-H82+1,MAX(O82-H82+1,ASOF))))</f>
        <v>46345</v>
      </c>
      <c r="O82" s="80" t="n">
        <f aca="false">IF(L82&lt;&gt;"",L82,IF(M82="Y",MIN(J82,O111-2),MAX(O111-2,ASOF)))</f>
        <v>46347</v>
      </c>
      <c r="P82" s="36" t="str">
        <f aca="false">IFERROR(INDEX(ST_LABEL,MATCH(T82,ST_CODE,0)),T82)</f>
        <v>ยังไม่เริ่ม</v>
      </c>
      <c r="Q82" s="376" t="n">
        <f aca="false">IF(OR(J82="",O82=""),"",O82-J82)</f>
        <v>-38</v>
      </c>
      <c r="R82" s="31"/>
      <c r="S82" s="31" t="n">
        <v>1</v>
      </c>
      <c r="T82" s="31" t="str">
        <f aca="false">IF(O82="","BL",IF(AND(L82&lt;&gt;"",L82&lt;=ASOF),"DN",IF(M82="Y","DY",IF(L82&lt;&gt;"","AP",IF(N82&lt;=ASOF,"IP","NS")))))</f>
        <v>NS</v>
      </c>
      <c r="U82" s="388" t="n">
        <f aca="false">IF(AND(LEFT(T82,1)&lt;&gt;"D",T82&lt;&gt;"NA",T82&lt;&gt;"BL",ISNUMBER(N82)),N82+ROW()/10000,"")</f>
        <v>46345.0082</v>
      </c>
      <c r="V82" s="377" t="n">
        <f aca="false">IF(LEFT(T82,1)="D",1,IF(T82="NA",0,MIN(1,IF((E83+E84)&gt;0,(E83*(M83="Y")+E84*(M84="Y"))/(E83+E84),((M83="Y")+(M84="Y"))/2))))</f>
        <v>0</v>
      </c>
      <c r="W82" s="31" t="s">
        <v>2426</v>
      </c>
      <c r="X82" s="31" t="s">
        <v>3541</v>
      </c>
      <c r="Y82" s="36" t="s">
        <v>1643</v>
      </c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</row>
    <row r="83" customFormat="false" ht="15" hidden="true" customHeight="false" outlineLevel="1" collapsed="false">
      <c r="A83" s="379" t="s">
        <v>356</v>
      </c>
      <c r="B83" s="380" t="s">
        <v>3542</v>
      </c>
      <c r="C83" s="380" t="s">
        <v>3543</v>
      </c>
      <c r="D83" s="380" t="s">
        <v>3411</v>
      </c>
      <c r="E83" s="381" t="n">
        <v>1.5</v>
      </c>
      <c r="F83" s="387"/>
      <c r="G83" s="387"/>
      <c r="H83" s="387"/>
      <c r="I83" s="382" t="n">
        <f aca="false">'Master Plan'!$H$27+(-21)</f>
        <v>46382</v>
      </c>
      <c r="J83" s="382" t="n">
        <f aca="false">'Master Plan'!$H$27+(-19)</f>
        <v>46384</v>
      </c>
      <c r="K83" s="387"/>
      <c r="L83" s="387"/>
      <c r="M83" s="383" t="str">
        <f aca="false">IF('อัปเดตงาน WBS'!$L$1615="","",'อัปเดตงาน WBS'!$L$1615)</f>
        <v/>
      </c>
      <c r="N83" s="384" t="n">
        <f aca="false">IF(OR(N82="",O82=""),"",N82+ROUND((O82-N82)*0,0))</f>
        <v>46345</v>
      </c>
      <c r="O83" s="384" t="n">
        <f aca="false">IF(OR(N82="",O82=""),"",N82+ROUND((O82-N82)*0.7,0))</f>
        <v>46346</v>
      </c>
      <c r="P83" s="380" t="str">
        <f aca="false">IFERROR(INDEX(ST_LABEL,MATCH(T83,ST_CODE,0)),T83)</f>
        <v>ยังไม่เริ่ม</v>
      </c>
      <c r="Q83" s="385" t="n">
        <f aca="false">IF(OR(J83="",O83=""),"",O83-J83)</f>
        <v>-38</v>
      </c>
      <c r="R83" s="387"/>
      <c r="S83" s="387" t="n">
        <v>2</v>
      </c>
      <c r="T83" s="387" t="str">
        <f aca="false">IF(O83="","BL",IF(M83="Y","DY",IF(LEFT(T82,1)="D","DY",IF(OR(M83="S",N83&lt;=ASOF),"IP","NS"))))</f>
        <v>NS</v>
      </c>
      <c r="U83" s="387"/>
      <c r="V83" s="386" t="n">
        <f aca="false">IF(LEFT(T83,1)="D",1,0)</f>
        <v>0</v>
      </c>
      <c r="W83" s="380" t="s">
        <v>3408</v>
      </c>
      <c r="X83" s="387"/>
      <c r="Y83" s="387" t="s">
        <v>1643</v>
      </c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</row>
    <row r="84" customFormat="false" ht="15" hidden="true" customHeight="false" outlineLevel="1" collapsed="false">
      <c r="A84" s="379" t="s">
        <v>359</v>
      </c>
      <c r="B84" s="380" t="s">
        <v>3544</v>
      </c>
      <c r="C84" s="380" t="s">
        <v>3545</v>
      </c>
      <c r="D84" s="380" t="s">
        <v>3411</v>
      </c>
      <c r="E84" s="381" t="n">
        <v>1</v>
      </c>
      <c r="F84" s="387"/>
      <c r="G84" s="387"/>
      <c r="H84" s="387"/>
      <c r="I84" s="382" t="n">
        <f aca="false">'Master Plan'!$H$27+(-20)</f>
        <v>46383</v>
      </c>
      <c r="J84" s="382" t="n">
        <f aca="false">'Master Plan'!$H$27+(-18)</f>
        <v>46385</v>
      </c>
      <c r="K84" s="387"/>
      <c r="L84" s="387"/>
      <c r="M84" s="383" t="str">
        <f aca="false">IF('อัปเดตงาน WBS'!$L$1616="","",'อัปเดตงาน WBS'!$L$1616)</f>
        <v/>
      </c>
      <c r="N84" s="384" t="n">
        <f aca="false">IF(OR(N82="",O82=""),"",N82+ROUND((O82-N82)*0.4,0))</f>
        <v>46346</v>
      </c>
      <c r="O84" s="384" t="n">
        <f aca="false">IF(OR(N82="",O82=""),"",N82+ROUND((O82-N82)*1,0))</f>
        <v>46347</v>
      </c>
      <c r="P84" s="380" t="str">
        <f aca="false">IFERROR(INDEX(ST_LABEL,MATCH(T84,ST_CODE,0)),T84)</f>
        <v>ยังไม่เริ่ม</v>
      </c>
      <c r="Q84" s="385" t="n">
        <f aca="false">IF(OR(J84="",O84=""),"",O84-J84)</f>
        <v>-38</v>
      </c>
      <c r="R84" s="387"/>
      <c r="S84" s="387" t="n">
        <v>2</v>
      </c>
      <c r="T84" s="387" t="str">
        <f aca="false">IF(O84="","BL",IF(M84="Y","DY",IF(LEFT(T82,1)="D","DY",IF(OR(M84="S",N84&lt;=ASOF),"IP","NS"))))</f>
        <v>NS</v>
      </c>
      <c r="U84" s="387"/>
      <c r="V84" s="386" t="n">
        <f aca="false">IF(LEFT(T84,1)="D",1,0)</f>
        <v>0</v>
      </c>
      <c r="W84" s="380" t="s">
        <v>3408</v>
      </c>
      <c r="X84" s="387"/>
      <c r="Y84" s="387" t="s">
        <v>1643</v>
      </c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</row>
    <row r="85" customFormat="false" ht="15" hidden="false" customHeight="false" outlineLevel="0" collapsed="false">
      <c r="A85" s="32" t="s">
        <v>1079</v>
      </c>
      <c r="B85" s="31" t="s">
        <v>3546</v>
      </c>
      <c r="C85" s="36" t="s">
        <v>3669</v>
      </c>
      <c r="D85" s="31" t="s">
        <v>3747</v>
      </c>
      <c r="E85" s="372" t="n">
        <v>15</v>
      </c>
      <c r="F85" s="31" t="s">
        <v>3516</v>
      </c>
      <c r="G85" s="32"/>
      <c r="H85" s="32" t="n">
        <v>4</v>
      </c>
      <c r="I85" s="373" t="n">
        <f aca="false">'Master Plan'!$H$27+(-25)</f>
        <v>46378</v>
      </c>
      <c r="J85" s="373" t="n">
        <f aca="false">'Master Plan'!$H$27+(-17)</f>
        <v>46386</v>
      </c>
      <c r="K85" s="78"/>
      <c r="L85" s="78" t="str">
        <f aca="false">IF(ISNUMBER(อัปเดตรายสัปดาห์!$AA$27),อัปเดตรายสัปดาห์!$AA$27,"")</f>
        <v/>
      </c>
      <c r="M85" s="374" t="str">
        <f aca="false">IF(อัปเดตรายสัปดาห์!$AA$27="Y","Y","")</f>
        <v/>
      </c>
      <c r="N85" s="375" t="n">
        <f aca="false">IF(K85&lt;&gt;"",K85,IF(L85&lt;&gt;"",L85-H85+1,IF(M85="Y",O85-H85+1,MAX(O85-H85+1,ASOF))))</f>
        <v>46343</v>
      </c>
      <c r="O85" s="80" t="n">
        <f aca="false">IF(L85&lt;&gt;"",L85,IF(M85="Y",MIN(J85,O111-3),MAX(O111-3,ASOF)))</f>
        <v>46346</v>
      </c>
      <c r="P85" s="36" t="str">
        <f aca="false">IFERROR(INDEX(ST_LABEL,MATCH(T85,ST_CODE,0)),T85)</f>
        <v>ยังไม่เริ่ม</v>
      </c>
      <c r="Q85" s="376" t="n">
        <f aca="false">IF(OR(J85="",O85=""),"",O85-J85)</f>
        <v>-40</v>
      </c>
      <c r="R85" s="31"/>
      <c r="S85" s="31" t="n">
        <v>1</v>
      </c>
      <c r="T85" s="31" t="str">
        <f aca="false">IF(O85="","BL",IF(AND(L85&lt;&gt;"",L85&lt;=ASOF),"DN",IF(M85="Y","DY",IF(L85&lt;&gt;"","AP",IF(N85&lt;=ASOF,"IP","NS")))))</f>
        <v>NS</v>
      </c>
      <c r="U85" s="388" t="n">
        <f aca="false">IF(AND(LEFT(T85,1)&lt;&gt;"D",T85&lt;&gt;"NA",T85&lt;&gt;"BL",ISNUMBER(N85)),N85+ROW()/10000,"")</f>
        <v>46343.0085</v>
      </c>
      <c r="V85" s="377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1" t="s">
        <v>2426</v>
      </c>
      <c r="X85" s="31" t="s">
        <v>3548</v>
      </c>
      <c r="Y85" s="36" t="s">
        <v>1643</v>
      </c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</row>
    <row r="86" customFormat="false" ht="15" hidden="true" customHeight="false" outlineLevel="1" collapsed="false">
      <c r="A86" s="379" t="s">
        <v>362</v>
      </c>
      <c r="B86" s="387" t="s">
        <v>3549</v>
      </c>
      <c r="C86" s="387" t="s">
        <v>3550</v>
      </c>
      <c r="D86" s="380" t="s">
        <v>3411</v>
      </c>
      <c r="E86" s="381" t="n">
        <v>5</v>
      </c>
      <c r="F86" s="387"/>
      <c r="G86" s="387"/>
      <c r="H86" s="387"/>
      <c r="I86" s="382" t="n">
        <f aca="false">'Master Plan'!$H$27+(-25)</f>
        <v>46378</v>
      </c>
      <c r="J86" s="382" t="n">
        <f aca="false">'Master Plan'!$H$27+(-21)</f>
        <v>46382</v>
      </c>
      <c r="K86" s="387"/>
      <c r="L86" s="387"/>
      <c r="M86" s="383" t="str">
        <f aca="false">IF('อัปเดตงาน WBS'!$L$1617="","",'อัปเดตงาน WBS'!$L$1617)</f>
        <v/>
      </c>
      <c r="N86" s="384" t="n">
        <f aca="false">IF(OR(N85="",O85=""),"",N85+ROUND((O85-N85)*0,0))</f>
        <v>46343</v>
      </c>
      <c r="O86" s="384" t="n">
        <f aca="false">IF(OR(N85="",O85=""),"",N85+ROUND((O85-N85)*0.5,0))</f>
        <v>46345</v>
      </c>
      <c r="P86" s="380" t="str">
        <f aca="false">IFERROR(INDEX(ST_LABEL,MATCH(T86,ST_CODE,0)),T86)</f>
        <v>ยังไม่เริ่ม</v>
      </c>
      <c r="Q86" s="385" t="n">
        <f aca="false">IF(OR(J86="",O86=""),"",O86-J86)</f>
        <v>-37</v>
      </c>
      <c r="R86" s="387"/>
      <c r="S86" s="387" t="n">
        <v>2</v>
      </c>
      <c r="T86" s="387" t="str">
        <f aca="false">IF(O86="","BL",IF(M86="Y","DY",IF(LEFT(T85,1)="D","DY",IF(OR(M86="S",N86&lt;=ASOF),"IP","NS"))))</f>
        <v>NS</v>
      </c>
      <c r="U86" s="387"/>
      <c r="V86" s="386" t="n">
        <f aca="false">IF(LEFT(T86,1)="D",1,0)</f>
        <v>0</v>
      </c>
      <c r="W86" s="380" t="s">
        <v>3408</v>
      </c>
      <c r="X86" s="387"/>
      <c r="Y86" s="387" t="s">
        <v>1643</v>
      </c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</row>
    <row r="87" customFormat="false" ht="15" hidden="true" customHeight="false" outlineLevel="1" collapsed="false">
      <c r="A87" s="379" t="s">
        <v>366</v>
      </c>
      <c r="B87" s="387" t="s">
        <v>3551</v>
      </c>
      <c r="C87" s="387" t="s">
        <v>3552</v>
      </c>
      <c r="D87" s="380" t="s">
        <v>3411</v>
      </c>
      <c r="E87" s="381" t="n">
        <v>6.5</v>
      </c>
      <c r="F87" s="387"/>
      <c r="G87" s="387"/>
      <c r="H87" s="387"/>
      <c r="I87" s="382" t="n">
        <f aca="false">'Master Plan'!$H$27+(-22)</f>
        <v>46381</v>
      </c>
      <c r="J87" s="382" t="n">
        <f aca="false">'Master Plan'!$H$27+(-18)</f>
        <v>46385</v>
      </c>
      <c r="K87" s="387"/>
      <c r="L87" s="387"/>
      <c r="M87" s="383" t="str">
        <f aca="false">IF('อัปเดตงาน WBS'!$L$1618="","",'อัปเดตงาน WBS'!$L$1618)</f>
        <v/>
      </c>
      <c r="N87" s="384" t="n">
        <f aca="false">IF(OR(N85="",O85=""),"",N85+ROUND((O85-N85)*0.4,0))</f>
        <v>46344</v>
      </c>
      <c r="O87" s="384" t="n">
        <f aca="false">IF(OR(N85="",O85=""),"",N85+ROUND((O85-N85)*0.85,0))</f>
        <v>46346</v>
      </c>
      <c r="P87" s="380" t="str">
        <f aca="false">IFERROR(INDEX(ST_LABEL,MATCH(T87,ST_CODE,0)),T87)</f>
        <v>ยังไม่เริ่ม</v>
      </c>
      <c r="Q87" s="385" t="n">
        <f aca="false">IF(OR(J87="",O87=""),"",O87-J87)</f>
        <v>-39</v>
      </c>
      <c r="R87" s="387"/>
      <c r="S87" s="387" t="n">
        <v>2</v>
      </c>
      <c r="T87" s="387" t="str">
        <f aca="false">IF(O87="","BL",IF(M87="Y","DY",IF(LEFT(T85,1)="D","DY",IF(OR(M87="S",N87&lt;=ASOF),"IP","NS"))))</f>
        <v>NS</v>
      </c>
      <c r="U87" s="387"/>
      <c r="V87" s="386" t="n">
        <f aca="false">IF(LEFT(T87,1)="D",1,IF(M87="S",0.5,0))</f>
        <v>0</v>
      </c>
      <c r="W87" s="380" t="s">
        <v>3408</v>
      </c>
      <c r="X87" s="387"/>
      <c r="Y87" s="387" t="s">
        <v>1643</v>
      </c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</row>
    <row r="88" customFormat="false" ht="15" hidden="true" customHeight="false" outlineLevel="1" collapsed="false">
      <c r="A88" s="379" t="s">
        <v>370</v>
      </c>
      <c r="B88" s="380" t="s">
        <v>3553</v>
      </c>
      <c r="C88" s="380" t="s">
        <v>3554</v>
      </c>
      <c r="D88" s="380" t="s">
        <v>3411</v>
      </c>
      <c r="E88" s="381" t="n">
        <v>2.5</v>
      </c>
      <c r="F88" s="387"/>
      <c r="G88" s="387"/>
      <c r="H88" s="387"/>
      <c r="I88" s="382" t="n">
        <f aca="false">'Master Plan'!$H$27+(-20)</f>
        <v>46383</v>
      </c>
      <c r="J88" s="382" t="n">
        <f aca="false">'Master Plan'!$H$27+(-17)</f>
        <v>46386</v>
      </c>
      <c r="K88" s="387"/>
      <c r="L88" s="387"/>
      <c r="M88" s="383" t="str">
        <f aca="false">IF('อัปเดตงาน WBS'!$L$1619="","",'อัปเดตงาน WBS'!$L$1619)</f>
        <v/>
      </c>
      <c r="N88" s="384" t="n">
        <f aca="false">IF(OR(N85="",O85=""),"",N85+ROUND((O85-N85)*0.6,0))</f>
        <v>46345</v>
      </c>
      <c r="O88" s="384" t="n">
        <f aca="false">IF(OR(N85="",O85=""),"",N85+ROUND((O85-N85)*1,0))</f>
        <v>46346</v>
      </c>
      <c r="P88" s="380" t="str">
        <f aca="false">IFERROR(INDEX(ST_LABEL,MATCH(T88,ST_CODE,0)),T88)</f>
        <v>ยังไม่เริ่ม</v>
      </c>
      <c r="Q88" s="385" t="n">
        <f aca="false">IF(OR(J88="",O88=""),"",O88-J88)</f>
        <v>-40</v>
      </c>
      <c r="R88" s="387"/>
      <c r="S88" s="387" t="n">
        <v>2</v>
      </c>
      <c r="T88" s="387" t="str">
        <f aca="false">IF(O88="","BL",IF(M88="Y","DY",IF(LEFT(T85,1)="D","DY",IF(OR(M88="S",N88&lt;=ASOF),"IP","NS"))))</f>
        <v>NS</v>
      </c>
      <c r="U88" s="387"/>
      <c r="V88" s="386" t="n">
        <f aca="false">IF(LEFT(T88,1)="D",1,0)</f>
        <v>0</v>
      </c>
      <c r="W88" s="380" t="s">
        <v>3408</v>
      </c>
      <c r="X88" s="387"/>
      <c r="Y88" s="387" t="s">
        <v>1643</v>
      </c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</row>
    <row r="89" customFormat="false" ht="15" hidden="true" customHeight="false" outlineLevel="1" collapsed="false">
      <c r="A89" s="379" t="s">
        <v>373</v>
      </c>
      <c r="B89" s="387" t="s">
        <v>1991</v>
      </c>
      <c r="C89" s="380" t="s">
        <v>3555</v>
      </c>
      <c r="D89" s="380" t="s">
        <v>3411</v>
      </c>
      <c r="E89" s="381" t="n">
        <v>1</v>
      </c>
      <c r="F89" s="387"/>
      <c r="G89" s="387"/>
      <c r="H89" s="387"/>
      <c r="I89" s="382" t="n">
        <f aca="false">'Master Plan'!$H$27+(-18)</f>
        <v>46385</v>
      </c>
      <c r="J89" s="382" t="n">
        <f aca="false">'Master Plan'!$H$27+(-17)</f>
        <v>46386</v>
      </c>
      <c r="K89" s="387"/>
      <c r="L89" s="387"/>
      <c r="M89" s="383" t="str">
        <f aca="false">IF('อัปเดตงาน WBS'!$L$1620="","",'อัปเดตงาน WBS'!$L$1620)</f>
        <v/>
      </c>
      <c r="N89" s="384" t="n">
        <f aca="false">IF(OR(N85="",O85=""),"",N85+ROUND((O85-N85)*0.9,0))</f>
        <v>46346</v>
      </c>
      <c r="O89" s="384" t="n">
        <f aca="false">IF(OR(N85="",O85=""),"",N85+ROUND((O85-N85)*1,0))</f>
        <v>46346</v>
      </c>
      <c r="P89" s="380" t="str">
        <f aca="false">IFERROR(INDEX(ST_LABEL,MATCH(T89,ST_CODE,0)),T89)</f>
        <v>ยังไม่เริ่ม</v>
      </c>
      <c r="Q89" s="385" t="n">
        <f aca="false">IF(OR(J89="",O89=""),"",O89-J89)</f>
        <v>-40</v>
      </c>
      <c r="R89" s="387"/>
      <c r="S89" s="387" t="n">
        <v>2</v>
      </c>
      <c r="T89" s="387" t="str">
        <f aca="false">IF(O89="","BL",IF(M89="Y","DY",IF(LEFT(T85,1)="D","DY",IF(OR(M89="S",N89&lt;=ASOF),"IP","NS"))))</f>
        <v>NS</v>
      </c>
      <c r="U89" s="387"/>
      <c r="V89" s="386" t="n">
        <f aca="false">IF(LEFT(T89,1)="D",1,0)</f>
        <v>0</v>
      </c>
      <c r="W89" s="380" t="s">
        <v>3408</v>
      </c>
      <c r="X89" s="387"/>
      <c r="Y89" s="387" t="s">
        <v>1643</v>
      </c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</row>
    <row r="90" customFormat="false" ht="15" hidden="false" customHeight="false" outlineLevel="0" collapsed="false">
      <c r="A90" s="32" t="s">
        <v>1113</v>
      </c>
      <c r="B90" s="31" t="s">
        <v>3556</v>
      </c>
      <c r="C90" s="31" t="s">
        <v>3675</v>
      </c>
      <c r="D90" s="31" t="s">
        <v>3747</v>
      </c>
      <c r="E90" s="372" t="n">
        <v>10</v>
      </c>
      <c r="F90" s="31" t="s">
        <v>3528</v>
      </c>
      <c r="G90" s="32"/>
      <c r="H90" s="32" t="n">
        <v>4</v>
      </c>
      <c r="I90" s="373" t="n">
        <f aca="false">'Master Plan'!$H$27+(-25)</f>
        <v>46378</v>
      </c>
      <c r="J90" s="373" t="n">
        <f aca="false">'Master Plan'!$H$27+(-16)</f>
        <v>46387</v>
      </c>
      <c r="K90" s="78"/>
      <c r="L90" s="78" t="str">
        <f aca="false">IF(ISNUMBER(อัปเดตรายสัปดาห์!$AB$27),อัปเดตรายสัปดาห์!$AB$27,"")</f>
        <v/>
      </c>
      <c r="M90" s="374" t="str">
        <f aca="false">IF(อัปเดตรายสัปดาห์!$AB$27="Y","Y","")</f>
        <v/>
      </c>
      <c r="N90" s="375" t="n">
        <f aca="false">IF(K90&lt;&gt;"",K90,IF(L90&lt;&gt;"",L90-H90+1,IF(M90="Y",O90-H90+1,MAX(O90-H90+1,ASOF))))</f>
        <v>46344</v>
      </c>
      <c r="O90" s="80" t="n">
        <f aca="false">IF(L90&lt;&gt;"",L90,IF(M90="Y",MIN(J90,O111-2),MAX(O111-2,ASOF)))</f>
        <v>46347</v>
      </c>
      <c r="P90" s="36" t="str">
        <f aca="false">IFERROR(INDEX(ST_LABEL,MATCH(T90,ST_CODE,0)),T90)</f>
        <v>ยังไม่เริ่ม</v>
      </c>
      <c r="Q90" s="376" t="n">
        <f aca="false">IF(OR(J90="",O90=""),"",O90-J90)</f>
        <v>-40</v>
      </c>
      <c r="R90" s="31"/>
      <c r="S90" s="31" t="n">
        <v>1</v>
      </c>
      <c r="T90" s="31" t="str">
        <f aca="false">IF(O90="","BL",IF(AND(L90&lt;&gt;"",L90&lt;=ASOF),"DN",IF(M90="Y","DY",IF(L90&lt;&gt;"","AP",IF(N90&lt;=ASOF,"IP","NS")))))</f>
        <v>NS</v>
      </c>
      <c r="U90" s="388" t="n">
        <f aca="false">IF(AND(LEFT(T90,1)&lt;&gt;"D",T90&lt;&gt;"NA",T90&lt;&gt;"BL",ISNUMBER(N90)),N90+ROW()/10000,"")</f>
        <v>46344.009</v>
      </c>
      <c r="V90" s="377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1" t="s">
        <v>2426</v>
      </c>
      <c r="X90" s="31" t="s">
        <v>3558</v>
      </c>
      <c r="Y90" s="31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</row>
    <row r="91" customFormat="false" ht="15" hidden="true" customHeight="false" outlineLevel="1" collapsed="false">
      <c r="A91" s="379" t="s">
        <v>376</v>
      </c>
      <c r="B91" s="380" t="s">
        <v>3559</v>
      </c>
      <c r="C91" s="380" t="s">
        <v>3560</v>
      </c>
      <c r="D91" s="380" t="s">
        <v>3411</v>
      </c>
      <c r="E91" s="381" t="n">
        <v>4</v>
      </c>
      <c r="F91" s="387"/>
      <c r="G91" s="387"/>
      <c r="H91" s="387"/>
      <c r="I91" s="382" t="n">
        <f aca="false">'Master Plan'!$H$27+(-25)</f>
        <v>46378</v>
      </c>
      <c r="J91" s="382" t="n">
        <f aca="false">'Master Plan'!$H$27+(-20)</f>
        <v>46383</v>
      </c>
      <c r="K91" s="387"/>
      <c r="L91" s="387"/>
      <c r="M91" s="383" t="str">
        <f aca="false">IF('อัปเดตงาน WBS'!$L$1621="","",'อัปเดตงาน WBS'!$L$1621)</f>
        <v/>
      </c>
      <c r="N91" s="384" t="n">
        <f aca="false">IF(OR(N90="",O90=""),"",N90+ROUND((O90-N90)*0,0))</f>
        <v>46344</v>
      </c>
      <c r="O91" s="384" t="n">
        <f aca="false">IF(OR(N90="",O90=""),"",N90+ROUND((O90-N90)*0.6,0))</f>
        <v>46346</v>
      </c>
      <c r="P91" s="380" t="str">
        <f aca="false">IFERROR(INDEX(ST_LABEL,MATCH(T91,ST_CODE,0)),T91)</f>
        <v>ยังไม่เริ่ม</v>
      </c>
      <c r="Q91" s="385" t="n">
        <f aca="false">IF(OR(J91="",O91=""),"",O91-J91)</f>
        <v>-37</v>
      </c>
      <c r="R91" s="387"/>
      <c r="S91" s="387" t="n">
        <v>2</v>
      </c>
      <c r="T91" s="387" t="str">
        <f aca="false">IF(O91="","BL",IF(M91="Y","DY",IF(LEFT(T90,1)="D","DY",IF(OR(M91="S",N91&lt;=ASOF),"IP","NS"))))</f>
        <v>NS</v>
      </c>
      <c r="U91" s="387"/>
      <c r="V91" s="386" t="n">
        <f aca="false">IF(LEFT(T91,1)="D",1,IF(M91="S",0.5,0))</f>
        <v>0</v>
      </c>
      <c r="W91" s="380" t="s">
        <v>3408</v>
      </c>
      <c r="X91" s="387"/>
      <c r="Y91" s="387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</row>
    <row r="92" customFormat="false" ht="15" hidden="true" customHeight="false" outlineLevel="1" collapsed="false">
      <c r="A92" s="379" t="s">
        <v>379</v>
      </c>
      <c r="B92" s="387" t="s">
        <v>3561</v>
      </c>
      <c r="C92" s="387" t="s">
        <v>3562</v>
      </c>
      <c r="D92" s="380" t="s">
        <v>3411</v>
      </c>
      <c r="E92" s="381" t="n">
        <v>1.5</v>
      </c>
      <c r="F92" s="387"/>
      <c r="G92" s="387"/>
      <c r="H92" s="387"/>
      <c r="I92" s="382" t="n">
        <f aca="false">'Master Plan'!$H$27+(-20)</f>
        <v>46383</v>
      </c>
      <c r="J92" s="382" t="n">
        <f aca="false">'Master Plan'!$H$27+(-16)</f>
        <v>46387</v>
      </c>
      <c r="K92" s="387"/>
      <c r="L92" s="387"/>
      <c r="M92" s="383" t="str">
        <f aca="false">IF('อัปเดตงาน WBS'!$L$1622="","",'อัปเดตงาน WBS'!$L$1622)</f>
        <v/>
      </c>
      <c r="N92" s="384" t="n">
        <f aca="false">IF(OR(N90="",O90=""),"",N90+ROUND((O90-N90)*0.6,0))</f>
        <v>46346</v>
      </c>
      <c r="O92" s="384" t="n">
        <f aca="false">IF(OR(N90="",O90=""),"",N90+ROUND((O90-N90)*1,0))</f>
        <v>46347</v>
      </c>
      <c r="P92" s="380" t="str">
        <f aca="false">IFERROR(INDEX(ST_LABEL,MATCH(T92,ST_CODE,0)),T92)</f>
        <v>ยังไม่เริ่ม</v>
      </c>
      <c r="Q92" s="385" t="n">
        <f aca="false">IF(OR(J92="",O92=""),"",O92-J92)</f>
        <v>-40</v>
      </c>
      <c r="R92" s="387"/>
      <c r="S92" s="387" t="n">
        <v>2</v>
      </c>
      <c r="T92" s="387" t="str">
        <f aca="false">IF(O92="","BL",IF(M92="Y","DY",IF(LEFT(T90,1)="D","DY",IF(OR(M92="S",N92&lt;=ASOF),"IP","NS"))))</f>
        <v>NS</v>
      </c>
      <c r="U92" s="387"/>
      <c r="V92" s="386" t="n">
        <f aca="false">IF(LEFT(T92,1)="D",1,0)</f>
        <v>0</v>
      </c>
      <c r="W92" s="380" t="s">
        <v>3408</v>
      </c>
      <c r="X92" s="387"/>
      <c r="Y92" s="387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</row>
    <row r="93" customFormat="false" ht="15" hidden="true" customHeight="false" outlineLevel="1" collapsed="false">
      <c r="A93" s="379" t="s">
        <v>382</v>
      </c>
      <c r="B93" s="380" t="s">
        <v>3563</v>
      </c>
      <c r="C93" s="380" t="s">
        <v>3564</v>
      </c>
      <c r="D93" s="380" t="s">
        <v>3411</v>
      </c>
      <c r="E93" s="381" t="n">
        <v>3</v>
      </c>
      <c r="F93" s="387"/>
      <c r="G93" s="387"/>
      <c r="H93" s="387"/>
      <c r="I93" s="382" t="n">
        <f aca="false">'Master Plan'!$H$27+(-25)</f>
        <v>46378</v>
      </c>
      <c r="J93" s="382" t="n">
        <f aca="false">'Master Plan'!$H$27+(-21)</f>
        <v>46382</v>
      </c>
      <c r="K93" s="387"/>
      <c r="L93" s="387"/>
      <c r="M93" s="383" t="str">
        <f aca="false">IF('อัปเดตงาน WBS'!$L$1623="","",'อัปเดตงาน WBS'!$L$1623)</f>
        <v/>
      </c>
      <c r="N93" s="384" t="n">
        <f aca="false">IF(OR(N90="",O90=""),"",N90+ROUND((O90-N90)*0,0))</f>
        <v>46344</v>
      </c>
      <c r="O93" s="384" t="n">
        <f aca="false">IF(OR(N90="",O90=""),"",N90+ROUND((O90-N90)*0.5,0))</f>
        <v>46346</v>
      </c>
      <c r="P93" s="380" t="str">
        <f aca="false">IFERROR(INDEX(ST_LABEL,MATCH(T93,ST_CODE,0)),T93)</f>
        <v>ยังไม่เริ่ม</v>
      </c>
      <c r="Q93" s="385" t="n">
        <f aca="false">IF(OR(J93="",O93=""),"",O93-J93)</f>
        <v>-36</v>
      </c>
      <c r="R93" s="387"/>
      <c r="S93" s="387" t="n">
        <v>2</v>
      </c>
      <c r="T93" s="387" t="str">
        <f aca="false">IF(O93="","BL",IF(M93="Y","DY",IF(LEFT(T90,1)="D","DY",IF(OR(M93="S",N93&lt;=ASOF),"IP","NS"))))</f>
        <v>NS</v>
      </c>
      <c r="U93" s="387"/>
      <c r="V93" s="386" t="n">
        <f aca="false">IF(LEFT(T93,1)="D",1,IF(M93="S",0.5,0))</f>
        <v>0</v>
      </c>
      <c r="W93" s="380" t="s">
        <v>3408</v>
      </c>
      <c r="X93" s="387"/>
      <c r="Y93" s="387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</row>
    <row r="94" customFormat="false" ht="15" hidden="true" customHeight="false" outlineLevel="1" collapsed="false">
      <c r="A94" s="379" t="s">
        <v>385</v>
      </c>
      <c r="B94" s="380" t="s">
        <v>3565</v>
      </c>
      <c r="C94" s="380" t="s">
        <v>3566</v>
      </c>
      <c r="D94" s="380" t="s">
        <v>3411</v>
      </c>
      <c r="E94" s="381" t="n">
        <v>1</v>
      </c>
      <c r="F94" s="387"/>
      <c r="G94" s="387"/>
      <c r="H94" s="387"/>
      <c r="I94" s="382" t="n">
        <f aca="false">'Master Plan'!$H$27+(-21)</f>
        <v>46382</v>
      </c>
      <c r="J94" s="382" t="n">
        <f aca="false">'Master Plan'!$H$27+(-16)</f>
        <v>46387</v>
      </c>
      <c r="K94" s="387"/>
      <c r="L94" s="387"/>
      <c r="M94" s="383" t="str">
        <f aca="false">IF('อัปเดตงาน WBS'!$L$1624="","",'อัปเดตงาน WBS'!$L$1624)</f>
        <v/>
      </c>
      <c r="N94" s="384" t="n">
        <f aca="false">IF(OR(N90="",O90=""),"",N90+ROUND((O90-N90)*0.5,0))</f>
        <v>46346</v>
      </c>
      <c r="O94" s="384" t="n">
        <f aca="false">IF(OR(N90="",O90=""),"",N90+ROUND((O90-N90)*1,0))</f>
        <v>46347</v>
      </c>
      <c r="P94" s="380" t="str">
        <f aca="false">IFERROR(INDEX(ST_LABEL,MATCH(T94,ST_CODE,0)),T94)</f>
        <v>ยังไม่เริ่ม</v>
      </c>
      <c r="Q94" s="385" t="n">
        <f aca="false">IF(OR(J94="",O94=""),"",O94-J94)</f>
        <v>-40</v>
      </c>
      <c r="R94" s="387"/>
      <c r="S94" s="387" t="n">
        <v>2</v>
      </c>
      <c r="T94" s="387" t="str">
        <f aca="false">IF(O94="","BL",IF(M94="Y","DY",IF(LEFT(T90,1)="D","DY",IF(OR(M94="S",N94&lt;=ASOF),"IP","NS"))))</f>
        <v>NS</v>
      </c>
      <c r="U94" s="387"/>
      <c r="V94" s="386" t="n">
        <f aca="false">IF(LEFT(T94,1)="D",1,0)</f>
        <v>0</v>
      </c>
      <c r="W94" s="380" t="s">
        <v>3408</v>
      </c>
      <c r="X94" s="387"/>
      <c r="Y94" s="387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</row>
    <row r="95" customFormat="false" ht="15" hidden="true" customHeight="false" outlineLevel="1" collapsed="false">
      <c r="A95" s="379" t="s">
        <v>388</v>
      </c>
      <c r="B95" s="387" t="s">
        <v>3567</v>
      </c>
      <c r="C95" s="380" t="s">
        <v>3568</v>
      </c>
      <c r="D95" s="380" t="s">
        <v>3411</v>
      </c>
      <c r="E95" s="381" t="n">
        <v>0.5</v>
      </c>
      <c r="F95" s="387"/>
      <c r="G95" s="387"/>
      <c r="H95" s="387"/>
      <c r="I95" s="382" t="n">
        <f aca="false">'Master Plan'!$H$27+(-17)</f>
        <v>46386</v>
      </c>
      <c r="J95" s="382" t="n">
        <f aca="false">'Master Plan'!$H$27+(-16)</f>
        <v>46387</v>
      </c>
      <c r="K95" s="387"/>
      <c r="L95" s="387"/>
      <c r="M95" s="383" t="str">
        <f aca="false">IF('อัปเดตงาน WBS'!$L$1625="","",'อัปเดตงาน WBS'!$L$1625)</f>
        <v/>
      </c>
      <c r="N95" s="384" t="n">
        <f aca="false">IF(OR(N90="",O90=""),"",N90+ROUND((O90-N90)*0.9,0))</f>
        <v>46347</v>
      </c>
      <c r="O95" s="384" t="n">
        <f aca="false">IF(OR(N90="",O90=""),"",N90+ROUND((O90-N90)*1,0))</f>
        <v>46347</v>
      </c>
      <c r="P95" s="380" t="str">
        <f aca="false">IFERROR(INDEX(ST_LABEL,MATCH(T95,ST_CODE,0)),T95)</f>
        <v>ยังไม่เริ่ม</v>
      </c>
      <c r="Q95" s="385" t="n">
        <f aca="false">IF(OR(J95="",O95=""),"",O95-J95)</f>
        <v>-40</v>
      </c>
      <c r="R95" s="387"/>
      <c r="S95" s="387" t="n">
        <v>2</v>
      </c>
      <c r="T95" s="387" t="str">
        <f aca="false">IF(O95="","BL",IF(M95="Y","DY",IF(LEFT(T90,1)="D","DY",IF(OR(M95="S",N95&lt;=ASOF),"IP","NS"))))</f>
        <v>NS</v>
      </c>
      <c r="U95" s="387"/>
      <c r="V95" s="386" t="n">
        <f aca="false">IF(LEFT(T95,1)="D",1,0)</f>
        <v>0</v>
      </c>
      <c r="W95" s="380" t="s">
        <v>3408</v>
      </c>
      <c r="X95" s="387"/>
      <c r="Y95" s="387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</row>
    <row r="96" customFormat="false" ht="15" hidden="false" customHeight="false" outlineLevel="0" collapsed="false">
      <c r="A96" s="32" t="s">
        <v>1147</v>
      </c>
      <c r="B96" s="31" t="s">
        <v>3569</v>
      </c>
      <c r="C96" s="31"/>
      <c r="D96" s="31" t="s">
        <v>3747</v>
      </c>
      <c r="E96" s="372" t="n">
        <v>5</v>
      </c>
      <c r="F96" s="31" t="s">
        <v>3528</v>
      </c>
      <c r="G96" s="32"/>
      <c r="H96" s="32" t="n">
        <v>3</v>
      </c>
      <c r="I96" s="373" t="n">
        <f aca="false">'Master Plan'!$H$27+(-22)</f>
        <v>46381</v>
      </c>
      <c r="J96" s="373" t="n">
        <f aca="false">'Master Plan'!$H$27+(-16)</f>
        <v>46387</v>
      </c>
      <c r="K96" s="78"/>
      <c r="L96" s="78" t="str">
        <f aca="false">IF(ISNUMBER(อัปเดตรายสัปดาห์!$AC$27),อัปเดตรายสัปดาห์!$AC$27,"")</f>
        <v/>
      </c>
      <c r="M96" s="374" t="str">
        <f aca="false">IF(อัปเดตรายสัปดาห์!$AC$27="Y","Y","")</f>
        <v/>
      </c>
      <c r="N96" s="375" t="n">
        <f aca="false">IF(K96&lt;&gt;"",K96,IF(L96&lt;&gt;"",L96-H96+1,IF(M96="Y",O96-H96+1,MAX(O96-H96+1,ASOF))))</f>
        <v>46345</v>
      </c>
      <c r="O96" s="80" t="n">
        <f aca="false">IF(L96&lt;&gt;"",L96,IF(M96="Y",MIN(J96,O111-2),MAX(O111-2,ASOF)))</f>
        <v>46347</v>
      </c>
      <c r="P96" s="36" t="str">
        <f aca="false">IFERROR(INDEX(ST_LABEL,MATCH(T96,ST_CODE,0)),T96)</f>
        <v>ยังไม่เริ่ม</v>
      </c>
      <c r="Q96" s="376" t="n">
        <f aca="false">IF(OR(J96="",O96=""),"",O96-J96)</f>
        <v>-40</v>
      </c>
      <c r="R96" s="31"/>
      <c r="S96" s="31" t="n">
        <v>1</v>
      </c>
      <c r="T96" s="31" t="str">
        <f aca="false">IF(O96="","BL",IF(AND(L96&lt;&gt;"",L96&lt;=ASOF),"DN",IF(M96="Y","DY",IF(L96&lt;&gt;"","AP",IF(N96&lt;=ASOF,"IP","NS")))))</f>
        <v>NS</v>
      </c>
      <c r="U96" s="388" t="n">
        <f aca="false">IF(AND(LEFT(T96,1)&lt;&gt;"D",T96&lt;&gt;"NA",T96&lt;&gt;"BL",ISNUMBER(N96)),N96+ROW()/10000,"")</f>
        <v>46345.0096</v>
      </c>
      <c r="V96" s="377" t="n">
        <f aca="false">IF(LEFT(T96,1)="D",1,IF(T96="NA",0,MIN(1,IF((E97+E98+E99)&gt;0,(E97*((M97="Y")+0.5*(M97="S"))+E98*(M98="Y")+E99*(M99="Y"))/(E97+E98+E99),(((M97="Y")+0.5*(M97="S"))+(M98="Y")+(M99="Y"))/3))))</f>
        <v>0</v>
      </c>
      <c r="W96" s="31" t="s">
        <v>2426</v>
      </c>
      <c r="X96" s="36" t="s">
        <v>3570</v>
      </c>
      <c r="Y96" s="31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</row>
    <row r="97" customFormat="false" ht="15" hidden="true" customHeight="false" outlineLevel="1" collapsed="false">
      <c r="A97" s="379" t="s">
        <v>391</v>
      </c>
      <c r="B97" s="380" t="s">
        <v>3571</v>
      </c>
      <c r="C97" s="380" t="s">
        <v>3572</v>
      </c>
      <c r="D97" s="380" t="s">
        <v>3411</v>
      </c>
      <c r="E97" s="381" t="n">
        <v>3</v>
      </c>
      <c r="F97" s="387"/>
      <c r="G97" s="387"/>
      <c r="H97" s="387"/>
      <c r="I97" s="382" t="n">
        <f aca="false">'Master Plan'!$H$27+(-22)</f>
        <v>46381</v>
      </c>
      <c r="J97" s="382" t="n">
        <f aca="false">'Master Plan'!$H$27+(-17)</f>
        <v>46386</v>
      </c>
      <c r="K97" s="387"/>
      <c r="L97" s="387"/>
      <c r="M97" s="383" t="str">
        <f aca="false">IF('อัปเดตงาน WBS'!$L$1626="","",'อัปเดตงาน WBS'!$L$1626)</f>
        <v/>
      </c>
      <c r="N97" s="384" t="n">
        <f aca="false">IF(OR(N96="",O96=""),"",N96+ROUND((O96-N96)*0,0))</f>
        <v>46345</v>
      </c>
      <c r="O97" s="384" t="n">
        <f aca="false">IF(OR(N96="",O96=""),"",N96+ROUND((O96-N96)*0.8,0))</f>
        <v>46347</v>
      </c>
      <c r="P97" s="380" t="str">
        <f aca="false">IFERROR(INDEX(ST_LABEL,MATCH(T97,ST_CODE,0)),T97)</f>
        <v>ยังไม่เริ่ม</v>
      </c>
      <c r="Q97" s="385" t="n">
        <f aca="false">IF(OR(J97="",O97=""),"",O97-J97)</f>
        <v>-39</v>
      </c>
      <c r="R97" s="387"/>
      <c r="S97" s="387" t="n">
        <v>2</v>
      </c>
      <c r="T97" s="387" t="str">
        <f aca="false">IF(O97="","BL",IF(M97="Y","DY",IF(LEFT(T96,1)="D","DY",IF(OR(M97="S",N97&lt;=ASOF),"IP","NS"))))</f>
        <v>NS</v>
      </c>
      <c r="U97" s="387"/>
      <c r="V97" s="386" t="n">
        <f aca="false">IF(LEFT(T97,1)="D",1,IF(M97="S",0.5,0))</f>
        <v>0</v>
      </c>
      <c r="W97" s="380" t="s">
        <v>3408</v>
      </c>
      <c r="X97" s="387"/>
      <c r="Y97" s="387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</row>
    <row r="98" customFormat="false" ht="15" hidden="true" customHeight="false" outlineLevel="1" collapsed="false">
      <c r="A98" s="379" t="s">
        <v>394</v>
      </c>
      <c r="B98" s="380" t="s">
        <v>3573</v>
      </c>
      <c r="C98" s="380" t="s">
        <v>3574</v>
      </c>
      <c r="D98" s="380" t="s">
        <v>3411</v>
      </c>
      <c r="E98" s="381" t="n">
        <v>1.5</v>
      </c>
      <c r="F98" s="387"/>
      <c r="G98" s="387"/>
      <c r="H98" s="387"/>
      <c r="I98" s="382" t="n">
        <f aca="false">'Master Plan'!$H$27+(-20)</f>
        <v>46383</v>
      </c>
      <c r="J98" s="382" t="n">
        <f aca="false">'Master Plan'!$H$27+(-16)</f>
        <v>46387</v>
      </c>
      <c r="K98" s="387"/>
      <c r="L98" s="387"/>
      <c r="M98" s="383" t="str">
        <f aca="false">IF('อัปเดตงาน WBS'!$L$1627="","",'อัปเดตงาน WBS'!$L$1627)</f>
        <v/>
      </c>
      <c r="N98" s="384" t="n">
        <f aca="false">IF(OR(N96="",O96=""),"",N96+ROUND((O96-N96)*0.3,0))</f>
        <v>46346</v>
      </c>
      <c r="O98" s="384" t="n">
        <f aca="false">IF(OR(N96="",O96=""),"",N96+ROUND((O96-N96)*1,0))</f>
        <v>46347</v>
      </c>
      <c r="P98" s="380" t="str">
        <f aca="false">IFERROR(INDEX(ST_LABEL,MATCH(T98,ST_CODE,0)),T98)</f>
        <v>ยังไม่เริ่ม</v>
      </c>
      <c r="Q98" s="385" t="n">
        <f aca="false">IF(OR(J98="",O98=""),"",O98-J98)</f>
        <v>-40</v>
      </c>
      <c r="R98" s="387"/>
      <c r="S98" s="387" t="n">
        <v>2</v>
      </c>
      <c r="T98" s="387" t="str">
        <f aca="false">IF(O98="","BL",IF(M98="Y","DY",IF(LEFT(T96,1)="D","DY",IF(OR(M98="S",N98&lt;=ASOF),"IP","NS"))))</f>
        <v>NS</v>
      </c>
      <c r="U98" s="387"/>
      <c r="V98" s="386" t="n">
        <f aca="false">IF(LEFT(T98,1)="D",1,0)</f>
        <v>0</v>
      </c>
      <c r="W98" s="380" t="s">
        <v>3408</v>
      </c>
      <c r="X98" s="387"/>
      <c r="Y98" s="387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</row>
    <row r="99" customFormat="false" ht="15" hidden="true" customHeight="false" outlineLevel="1" collapsed="false">
      <c r="A99" s="379" t="s">
        <v>397</v>
      </c>
      <c r="B99" s="387" t="s">
        <v>3575</v>
      </c>
      <c r="C99" s="380" t="s">
        <v>3576</v>
      </c>
      <c r="D99" s="380" t="s">
        <v>3411</v>
      </c>
      <c r="E99" s="381" t="n">
        <v>0.5</v>
      </c>
      <c r="F99" s="387"/>
      <c r="G99" s="387"/>
      <c r="H99" s="387"/>
      <c r="I99" s="382" t="n">
        <f aca="false">'Master Plan'!$H$27+(-17)</f>
        <v>46386</v>
      </c>
      <c r="J99" s="382" t="n">
        <f aca="false">'Master Plan'!$H$27+(-16)</f>
        <v>46387</v>
      </c>
      <c r="K99" s="387"/>
      <c r="L99" s="387"/>
      <c r="M99" s="383" t="str">
        <f aca="false">IF('อัปเดตงาน WBS'!$L$1628="","",'อัปเดตงาน WBS'!$L$1628)</f>
        <v/>
      </c>
      <c r="N99" s="384" t="n">
        <f aca="false">IF(OR(N96="",O96=""),"",N96+ROUND((O96-N96)*0.9,0))</f>
        <v>46347</v>
      </c>
      <c r="O99" s="384" t="n">
        <f aca="false">IF(OR(N96="",O96=""),"",N96+ROUND((O96-N96)*1,0))</f>
        <v>46347</v>
      </c>
      <c r="P99" s="380" t="str">
        <f aca="false">IFERROR(INDEX(ST_LABEL,MATCH(T99,ST_CODE,0)),T99)</f>
        <v>ยังไม่เริ่ม</v>
      </c>
      <c r="Q99" s="385" t="n">
        <f aca="false">IF(OR(J99="",O99=""),"",O99-J99)</f>
        <v>-40</v>
      </c>
      <c r="R99" s="387"/>
      <c r="S99" s="387" t="n">
        <v>2</v>
      </c>
      <c r="T99" s="387" t="str">
        <f aca="false">IF(O99="","BL",IF(M99="Y","DY",IF(LEFT(T96,1)="D","DY",IF(OR(M99="S",N99&lt;=ASOF),"IP","NS"))))</f>
        <v>NS</v>
      </c>
      <c r="U99" s="387"/>
      <c r="V99" s="386" t="n">
        <f aca="false">IF(LEFT(T99,1)="D",1,0)</f>
        <v>0</v>
      </c>
      <c r="W99" s="380" t="s">
        <v>3408</v>
      </c>
      <c r="X99" s="387"/>
      <c r="Y99" s="387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</row>
    <row r="100" customFormat="false" ht="15" hidden="false" customHeight="false" outlineLevel="0" collapsed="false">
      <c r="A100" s="32" t="s">
        <v>1168</v>
      </c>
      <c r="B100" s="31" t="s">
        <v>3577</v>
      </c>
      <c r="C100" s="36" t="s">
        <v>3676</v>
      </c>
      <c r="D100" s="31" t="s">
        <v>3747</v>
      </c>
      <c r="E100" s="372" t="n">
        <v>5</v>
      </c>
      <c r="F100" s="31" t="s">
        <v>3579</v>
      </c>
      <c r="G100" s="32"/>
      <c r="H100" s="32" t="n">
        <v>3</v>
      </c>
      <c r="I100" s="373" t="n">
        <f aca="false">'Master Plan'!$H$27+(-20)</f>
        <v>46383</v>
      </c>
      <c r="J100" s="373" t="n">
        <f aca="false">'Master Plan'!$H$27+(-15)</f>
        <v>46388</v>
      </c>
      <c r="K100" s="78"/>
      <c r="L100" s="78" t="str">
        <f aca="false">IF(ISNUMBER(อัปเดตรายสัปดาห์!$AD$27),อัปเดตรายสัปดาห์!$AD$27,"")</f>
        <v/>
      </c>
      <c r="M100" s="374" t="str">
        <f aca="false">IF(อัปเดตรายสัปดาห์!$AD$27="Y","Y","")</f>
        <v/>
      </c>
      <c r="N100" s="375" t="n">
        <f aca="false">IF(K100&lt;&gt;"",K100,IF(L100&lt;&gt;"",L100-H100+1,IF(M100="Y",O100-H100+1,MAX(O100-H100+1,ASOF))))</f>
        <v>46346</v>
      </c>
      <c r="O100" s="80" t="n">
        <f aca="false">IF(L100&lt;&gt;"",L100,IF(M100="Y",MIN(J100,O111-1),MAX(O111-1,ASOF)))</f>
        <v>46348</v>
      </c>
      <c r="P100" s="36" t="str">
        <f aca="false">IFERROR(INDEX(ST_LABEL,MATCH(T100,ST_CODE,0)),T100)</f>
        <v>ยังไม่เริ่ม</v>
      </c>
      <c r="Q100" s="376" t="n">
        <f aca="false">IF(OR(J100="",O100=""),"",O100-J100)</f>
        <v>-40</v>
      </c>
      <c r="R100" s="31"/>
      <c r="S100" s="31" t="n">
        <v>1</v>
      </c>
      <c r="T100" s="31" t="str">
        <f aca="false">IF(O100="","BL",IF(AND(L100&lt;&gt;"",L100&lt;=ASOF),"DN",IF(M100="Y","DY",IF(L100&lt;&gt;"","AP",IF(N100&lt;=ASOF,"IP","NS")))))</f>
        <v>NS</v>
      </c>
      <c r="U100" s="388" t="n">
        <f aca="false">IF(AND(LEFT(T100,1)&lt;&gt;"D",T100&lt;&gt;"NA",T100&lt;&gt;"BL",ISNUMBER(N100)),N100+ROW()/10000,"")</f>
        <v>46346.01</v>
      </c>
      <c r="V100" s="377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1" t="s">
        <v>2426</v>
      </c>
      <c r="X100" s="31" t="s">
        <v>3580</v>
      </c>
      <c r="Y100" s="31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</row>
    <row r="101" customFormat="false" ht="15" hidden="true" customHeight="false" outlineLevel="1" collapsed="false">
      <c r="A101" s="379" t="s">
        <v>2004</v>
      </c>
      <c r="B101" s="380" t="s">
        <v>3677</v>
      </c>
      <c r="C101" s="387"/>
      <c r="D101" s="380" t="s">
        <v>3408</v>
      </c>
      <c r="E101" s="381" t="n">
        <v>0</v>
      </c>
      <c r="F101" s="387"/>
      <c r="G101" s="387"/>
      <c r="H101" s="387"/>
      <c r="I101" s="382"/>
      <c r="J101" s="382"/>
      <c r="K101" s="387"/>
      <c r="L101" s="387"/>
      <c r="M101" s="379"/>
      <c r="N101" s="384"/>
      <c r="O101" s="384"/>
      <c r="P101" s="380" t="str">
        <f aca="false">IFERROR(INDEX(ST_LABEL,MATCH(T101,ST_CODE,0)),T101)</f>
        <v>ไม่ต้องทำ</v>
      </c>
      <c r="Q101" s="385" t="str">
        <f aca="false">IF(OR(J101="",O101=""),"",O101-J101)</f>
        <v/>
      </c>
      <c r="R101" s="387"/>
      <c r="S101" s="387" t="n">
        <v>2</v>
      </c>
      <c r="T101" s="387" t="s">
        <v>3231</v>
      </c>
      <c r="U101" s="387"/>
      <c r="V101" s="386" t="n">
        <f aca="false">IF(LEFT(T101,1)="D",1,0)</f>
        <v>0</v>
      </c>
      <c r="W101" s="387" t="s">
        <v>1627</v>
      </c>
      <c r="X101" s="387"/>
      <c r="Y101" s="387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</row>
    <row r="102" customFormat="false" ht="15" hidden="true" customHeight="false" outlineLevel="1" collapsed="false">
      <c r="A102" s="379" t="s">
        <v>400</v>
      </c>
      <c r="B102" s="380" t="s">
        <v>3678</v>
      </c>
      <c r="C102" s="380" t="s">
        <v>3583</v>
      </c>
      <c r="D102" s="380" t="s">
        <v>3411</v>
      </c>
      <c r="E102" s="381" t="n">
        <v>0</v>
      </c>
      <c r="F102" s="387"/>
      <c r="G102" s="387"/>
      <c r="H102" s="387"/>
      <c r="I102" s="382"/>
      <c r="J102" s="382"/>
      <c r="K102" s="387"/>
      <c r="L102" s="387"/>
      <c r="M102" s="379"/>
      <c r="N102" s="384"/>
      <c r="O102" s="384"/>
      <c r="P102" s="380" t="str">
        <f aca="false">IFERROR(INDEX(ST_LABEL,MATCH(T102,ST_CODE,0)),T102)</f>
        <v>ไม่ต้องทำ</v>
      </c>
      <c r="Q102" s="385" t="str">
        <f aca="false">IF(OR(J102="",O102=""),"",O102-J102)</f>
        <v/>
      </c>
      <c r="R102" s="387"/>
      <c r="S102" s="387" t="n">
        <v>2</v>
      </c>
      <c r="T102" s="387" t="s">
        <v>3231</v>
      </c>
      <c r="U102" s="387"/>
      <c r="V102" s="386" t="n">
        <f aca="false">IF(LEFT(T102,1)="D",1,0)</f>
        <v>0</v>
      </c>
      <c r="W102" s="380" t="s">
        <v>3408</v>
      </c>
      <c r="X102" s="387"/>
      <c r="Y102" s="387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</row>
    <row r="103" customFormat="false" ht="15" hidden="true" customHeight="false" outlineLevel="1" collapsed="false">
      <c r="A103" s="379" t="s">
        <v>467</v>
      </c>
      <c r="B103" s="387" t="s">
        <v>3679</v>
      </c>
      <c r="C103" s="387" t="s">
        <v>3585</v>
      </c>
      <c r="D103" s="380" t="s">
        <v>3411</v>
      </c>
      <c r="E103" s="381" t="n">
        <v>2</v>
      </c>
      <c r="F103" s="387"/>
      <c r="G103" s="387"/>
      <c r="H103" s="387"/>
      <c r="I103" s="382" t="n">
        <f aca="false">'Master Plan'!$H$27+(-19)</f>
        <v>46384</v>
      </c>
      <c r="J103" s="382" t="n">
        <f aca="false">'Master Plan'!$H$27+(-16)</f>
        <v>46387</v>
      </c>
      <c r="K103" s="387"/>
      <c r="L103" s="387"/>
      <c r="M103" s="383" t="str">
        <f aca="false">IF('อัปเดตงาน WBS'!$L$1629="","",'อัปเดตงาน WBS'!$L$1629)</f>
        <v/>
      </c>
      <c r="N103" s="384" t="n">
        <f aca="false">IF(OR(N100="",O100=""),"",N100+ROUND((O100-N100)*0.2,0))</f>
        <v>46346</v>
      </c>
      <c r="O103" s="384" t="n">
        <f aca="false">IF(OR(N100="",O100=""),"",N100+ROUND((O100-N100)*0.7,0))</f>
        <v>46347</v>
      </c>
      <c r="P103" s="380" t="str">
        <f aca="false">IFERROR(INDEX(ST_LABEL,MATCH(T103,ST_CODE,0)),T103)</f>
        <v>ยังไม่เริ่ม</v>
      </c>
      <c r="Q103" s="385" t="n">
        <f aca="false">IF(OR(J103="",O103=""),"",O103-J103)</f>
        <v>-40</v>
      </c>
      <c r="R103" s="387"/>
      <c r="S103" s="387" t="n">
        <v>2</v>
      </c>
      <c r="T103" s="387" t="str">
        <f aca="false">IF(O103="","BL",IF(M103="Y","DY",IF(LEFT(T100,1)="D","DY",IF(OR(M103="S",N103&lt;=ASOF),"IP","NS"))))</f>
        <v>NS</v>
      </c>
      <c r="U103" s="387"/>
      <c r="V103" s="386" t="n">
        <f aca="false">IF(LEFT(T103,1)="D",1,0)</f>
        <v>0</v>
      </c>
      <c r="W103" s="380" t="s">
        <v>3408</v>
      </c>
      <c r="X103" s="387"/>
      <c r="Y103" s="387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</row>
    <row r="104" customFormat="false" ht="15" hidden="true" customHeight="false" outlineLevel="1" collapsed="false">
      <c r="A104" s="379" t="s">
        <v>403</v>
      </c>
      <c r="B104" s="380" t="s">
        <v>3586</v>
      </c>
      <c r="C104" s="380" t="s">
        <v>3587</v>
      </c>
      <c r="D104" s="380" t="s">
        <v>3411</v>
      </c>
      <c r="E104" s="381" t="n">
        <v>1.25</v>
      </c>
      <c r="F104" s="387"/>
      <c r="G104" s="387"/>
      <c r="H104" s="387"/>
      <c r="I104" s="382" t="n">
        <f aca="false">'Master Plan'!$H$27+(-18)</f>
        <v>46385</v>
      </c>
      <c r="J104" s="382" t="n">
        <f aca="false">'Master Plan'!$H$27+(-16)</f>
        <v>46387</v>
      </c>
      <c r="K104" s="387"/>
      <c r="L104" s="387"/>
      <c r="M104" s="383" t="str">
        <f aca="false">IF('อัปเดตงาน WBS'!$L$1630="","",'อัปเดตงาน WBS'!$L$1630)</f>
        <v/>
      </c>
      <c r="N104" s="384" t="n">
        <f aca="false">IF(OR(N100="",O100=""),"",N100+ROUND((O100-N100)*0.4,0))</f>
        <v>46347</v>
      </c>
      <c r="O104" s="384" t="n">
        <f aca="false">IF(OR(N100="",O100=""),"",N100+ROUND((O100-N100)*0.9,0))</f>
        <v>46348</v>
      </c>
      <c r="P104" s="380" t="str">
        <f aca="false">IFERROR(INDEX(ST_LABEL,MATCH(T104,ST_CODE,0)),T104)</f>
        <v>ยังไม่เริ่ม</v>
      </c>
      <c r="Q104" s="385" t="n">
        <f aca="false">IF(OR(J104="",O104=""),"",O104-J104)</f>
        <v>-39</v>
      </c>
      <c r="R104" s="387"/>
      <c r="S104" s="387" t="n">
        <v>2</v>
      </c>
      <c r="T104" s="387" t="str">
        <f aca="false">IF(O104="","BL",IF(M104="Y","DY",IF(LEFT(T100,1)="D","DY",IF(OR(M104="S",N104&lt;=ASOF),"IP","NS"))))</f>
        <v>NS</v>
      </c>
      <c r="U104" s="387"/>
      <c r="V104" s="386" t="n">
        <f aca="false">IF(LEFT(T104,1)="D",1,0)</f>
        <v>0</v>
      </c>
      <c r="W104" s="380" t="s">
        <v>3408</v>
      </c>
      <c r="X104" s="387"/>
      <c r="Y104" s="387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</row>
    <row r="105" customFormat="false" ht="15" hidden="true" customHeight="false" outlineLevel="1" collapsed="false">
      <c r="A105" s="379" t="s">
        <v>406</v>
      </c>
      <c r="B105" s="380" t="s">
        <v>3588</v>
      </c>
      <c r="C105" s="380" t="s">
        <v>3589</v>
      </c>
      <c r="D105" s="380" t="s">
        <v>3411</v>
      </c>
      <c r="E105" s="381" t="n">
        <v>1.25</v>
      </c>
      <c r="F105" s="387"/>
      <c r="G105" s="387"/>
      <c r="H105" s="387"/>
      <c r="I105" s="382" t="n">
        <f aca="false">'Master Plan'!$H$27+(-18)</f>
        <v>46385</v>
      </c>
      <c r="J105" s="382" t="n">
        <f aca="false">'Master Plan'!$H$27+(-15)</f>
        <v>46388</v>
      </c>
      <c r="K105" s="387"/>
      <c r="L105" s="387"/>
      <c r="M105" s="383" t="str">
        <f aca="false">IF('อัปเดตงาน WBS'!$L$1631="","",'อัปเดตงาน WBS'!$L$1631)</f>
        <v/>
      </c>
      <c r="N105" s="384" t="n">
        <f aca="false">IF(OR(N100="",O100=""),"",N100+ROUND((O100-N100)*0.5,0))</f>
        <v>46347</v>
      </c>
      <c r="O105" s="384" t="n">
        <f aca="false">IF(OR(N100="",O100=""),"",N100+ROUND((O100-N100)*1,0))</f>
        <v>46348</v>
      </c>
      <c r="P105" s="380" t="str">
        <f aca="false">IFERROR(INDEX(ST_LABEL,MATCH(T105,ST_CODE,0)),T105)</f>
        <v>ยังไม่เริ่ม</v>
      </c>
      <c r="Q105" s="385" t="n">
        <f aca="false">IF(OR(J105="",O105=""),"",O105-J105)</f>
        <v>-40</v>
      </c>
      <c r="R105" s="387"/>
      <c r="S105" s="387" t="n">
        <v>2</v>
      </c>
      <c r="T105" s="387" t="str">
        <f aca="false">IF(O105="","BL",IF(M105="Y","DY",IF(LEFT(T100,1)="D","DY",IF(OR(M105="S",N105&lt;=ASOF),"IP","NS"))))</f>
        <v>NS</v>
      </c>
      <c r="U105" s="387"/>
      <c r="V105" s="386" t="n">
        <f aca="false">IF(LEFT(T105,1)="D",1,0)</f>
        <v>0</v>
      </c>
      <c r="W105" s="380" t="s">
        <v>3408</v>
      </c>
      <c r="X105" s="387"/>
      <c r="Y105" s="387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</row>
    <row r="106" customFormat="false" ht="15" hidden="true" customHeight="false" outlineLevel="1" collapsed="false">
      <c r="A106" s="379" t="s">
        <v>409</v>
      </c>
      <c r="B106" s="387" t="s">
        <v>3590</v>
      </c>
      <c r="C106" s="380" t="s">
        <v>3591</v>
      </c>
      <c r="D106" s="380" t="s">
        <v>3411</v>
      </c>
      <c r="E106" s="381" t="n">
        <v>0.5</v>
      </c>
      <c r="F106" s="387"/>
      <c r="G106" s="387"/>
      <c r="H106" s="387"/>
      <c r="I106" s="382" t="n">
        <f aca="false">'Master Plan'!$H$27+(-16)</f>
        <v>46387</v>
      </c>
      <c r="J106" s="382" t="n">
        <f aca="false">'Master Plan'!$H$27+(-15)</f>
        <v>46388</v>
      </c>
      <c r="K106" s="387"/>
      <c r="L106" s="387"/>
      <c r="M106" s="383" t="str">
        <f aca="false">IF('อัปเดตงาน WBS'!$L$1632="","",'อัปเดตงาน WBS'!$L$1632)</f>
        <v/>
      </c>
      <c r="N106" s="384" t="n">
        <f aca="false">IF(OR(N100="",O100=""),"",N100+ROUND((O100-N100)*0.9,0))</f>
        <v>46348</v>
      </c>
      <c r="O106" s="384" t="n">
        <f aca="false">IF(OR(N100="",O100=""),"",N100+ROUND((O100-N100)*1,0))</f>
        <v>46348</v>
      </c>
      <c r="P106" s="380" t="str">
        <f aca="false">IFERROR(INDEX(ST_LABEL,MATCH(T106,ST_CODE,0)),T106)</f>
        <v>ยังไม่เริ่ม</v>
      </c>
      <c r="Q106" s="385" t="n">
        <f aca="false">IF(OR(J106="",O106=""),"",O106-J106)</f>
        <v>-40</v>
      </c>
      <c r="R106" s="387"/>
      <c r="S106" s="387" t="n">
        <v>2</v>
      </c>
      <c r="T106" s="387" t="str">
        <f aca="false">IF(O106="","BL",IF(M106="Y","DY",IF(LEFT(T100,1)="D","DY",IF(OR(M106="S",N106&lt;=ASOF),"IP","NS"))))</f>
        <v>NS</v>
      </c>
      <c r="U106" s="387"/>
      <c r="V106" s="386" t="n">
        <f aca="false">IF(LEFT(T106,1)="D",1,0)</f>
        <v>0</v>
      </c>
      <c r="W106" s="380" t="s">
        <v>3408</v>
      </c>
      <c r="X106" s="387"/>
      <c r="Y106" s="387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</row>
    <row r="107" customFormat="false" ht="15" hidden="false" customHeight="false" outlineLevel="0" collapsed="false">
      <c r="A107" s="32" t="s">
        <v>1192</v>
      </c>
      <c r="B107" s="31" t="s">
        <v>3592</v>
      </c>
      <c r="C107" s="31"/>
      <c r="D107" s="31" t="s">
        <v>3747</v>
      </c>
      <c r="E107" s="372" t="n">
        <v>2.5</v>
      </c>
      <c r="F107" s="31" t="s">
        <v>3579</v>
      </c>
      <c r="G107" s="32"/>
      <c r="H107" s="32" t="n">
        <v>2</v>
      </c>
      <c r="I107" s="373" t="n">
        <f aca="false">'Master Plan'!$H$27+(-18)</f>
        <v>46385</v>
      </c>
      <c r="J107" s="373" t="n">
        <f aca="false">'Master Plan'!$H$27+(-14)</f>
        <v>46389</v>
      </c>
      <c r="K107" s="78"/>
      <c r="L107" s="78" t="str">
        <f aca="false">IF(ISNUMBER(อัปเดตรายสัปดาห์!$AE$27),อัปเดตรายสัปดาห์!$AE$27,"")</f>
        <v/>
      </c>
      <c r="M107" s="374" t="str">
        <f aca="false">IF(อัปเดตรายสัปดาห์!$AE$27="Y","Y","")</f>
        <v/>
      </c>
      <c r="N107" s="375" t="n">
        <f aca="false">IF(K107&lt;&gt;"",K107,IF(L107&lt;&gt;"",L107-H107+1,IF(M107="Y",O107-H107+1,MAX(O107-H107+1,ASOF))))</f>
        <v>46347</v>
      </c>
      <c r="O107" s="80" t="n">
        <f aca="false">IF(L107&lt;&gt;"",L107,IF(M107="Y",MIN(J107,O111-1),MAX(O111-1,ASOF)))</f>
        <v>46348</v>
      </c>
      <c r="P107" s="36" t="str">
        <f aca="false">IFERROR(INDEX(ST_LABEL,MATCH(T107,ST_CODE,0)),T107)</f>
        <v>ยังไม่เริ่ม</v>
      </c>
      <c r="Q107" s="376" t="n">
        <f aca="false">IF(OR(J107="",O107=""),"",O107-J107)</f>
        <v>-41</v>
      </c>
      <c r="R107" s="31"/>
      <c r="S107" s="31" t="n">
        <v>1</v>
      </c>
      <c r="T107" s="31" t="str">
        <f aca="false">IF(O107="","BL",IF(AND(L107&lt;&gt;"",L107&lt;=ASOF),"DN",IF(M107="Y","DY",IF(L107&lt;&gt;"","AP",IF(N107&lt;=ASOF,"IP","NS")))))</f>
        <v>NS</v>
      </c>
      <c r="U107" s="388" t="n">
        <f aca="false">IF(AND(LEFT(T107,1)&lt;&gt;"D",T107&lt;&gt;"NA",T107&lt;&gt;"BL",ISNUMBER(N107)),N107+ROW()/10000,"")</f>
        <v>46347.0107</v>
      </c>
      <c r="V107" s="377" t="n">
        <f aca="false">IF(LEFT(T107,1)="D",1,IF(T107="NA",0,MIN(1,IF((E108+E109+E110)&gt;0,(E108*(M108="Y")+E109*(M109="Y")+E110*(M110="Y"))/(E108+E109+E110),((M108="Y")+(M109="Y")+(M110="Y"))/3))))</f>
        <v>0</v>
      </c>
      <c r="W107" s="31" t="s">
        <v>2426</v>
      </c>
      <c r="X107" s="31" t="s">
        <v>3593</v>
      </c>
      <c r="Y107" s="31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</row>
    <row r="108" customFormat="false" ht="15" hidden="true" customHeight="false" outlineLevel="1" collapsed="false">
      <c r="A108" s="379" t="s">
        <v>412</v>
      </c>
      <c r="B108" s="387" t="s">
        <v>3594</v>
      </c>
      <c r="C108" s="387" t="s">
        <v>3595</v>
      </c>
      <c r="D108" s="380" t="s">
        <v>3411</v>
      </c>
      <c r="E108" s="381" t="n">
        <v>1</v>
      </c>
      <c r="F108" s="387"/>
      <c r="G108" s="387"/>
      <c r="H108" s="387"/>
      <c r="I108" s="382" t="n">
        <f aca="false">'Master Plan'!$H$27+(-18)</f>
        <v>46385</v>
      </c>
      <c r="J108" s="382" t="n">
        <f aca="false">'Master Plan'!$H$27+(-15)</f>
        <v>46388</v>
      </c>
      <c r="K108" s="387"/>
      <c r="L108" s="387"/>
      <c r="M108" s="383" t="str">
        <f aca="false">IF('อัปเดตงาน WBS'!$L$1633="","",'อัปเดตงาน WBS'!$L$1633)</f>
        <v/>
      </c>
      <c r="N108" s="384" t="n">
        <f aca="false">IF(OR(N107="",O107=""),"",N107+ROUND((O107-N107)*0,0))</f>
        <v>46347</v>
      </c>
      <c r="O108" s="384" t="n">
        <f aca="false">IF(OR(N107="",O107=""),"",N107+ROUND((O107-N107)*0.7,0))</f>
        <v>46348</v>
      </c>
      <c r="P108" s="380" t="str">
        <f aca="false">IFERROR(INDEX(ST_LABEL,MATCH(T108,ST_CODE,0)),T108)</f>
        <v>ยังไม่เริ่ม</v>
      </c>
      <c r="Q108" s="385" t="n">
        <f aca="false">IF(OR(J108="",O108=""),"",O108-J108)</f>
        <v>-40</v>
      </c>
      <c r="R108" s="387"/>
      <c r="S108" s="387" t="n">
        <v>2</v>
      </c>
      <c r="T108" s="387" t="str">
        <f aca="false">IF(O108="","BL",IF(M108="Y","DY",IF(LEFT(T107,1)="D","DY",IF(OR(M108="S",N108&lt;=ASOF),"IP","NS"))))</f>
        <v>NS</v>
      </c>
      <c r="U108" s="387"/>
      <c r="V108" s="386" t="n">
        <f aca="false">IF(LEFT(T108,1)="D",1,0)</f>
        <v>0</v>
      </c>
      <c r="W108" s="380" t="s">
        <v>3408</v>
      </c>
      <c r="X108" s="387"/>
      <c r="Y108" s="387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</row>
    <row r="109" customFormat="false" ht="15" hidden="true" customHeight="false" outlineLevel="1" collapsed="false">
      <c r="A109" s="379" t="s">
        <v>415</v>
      </c>
      <c r="B109" s="380" t="s">
        <v>3596</v>
      </c>
      <c r="C109" s="380" t="s">
        <v>3597</v>
      </c>
      <c r="D109" s="380" t="s">
        <v>3411</v>
      </c>
      <c r="E109" s="381" t="n">
        <v>1</v>
      </c>
      <c r="F109" s="387"/>
      <c r="G109" s="387"/>
      <c r="H109" s="387"/>
      <c r="I109" s="382" t="n">
        <f aca="false">'Master Plan'!$H$27+(-16)</f>
        <v>46387</v>
      </c>
      <c r="J109" s="382" t="n">
        <f aca="false">'Master Plan'!$H$27+(-14)</f>
        <v>46389</v>
      </c>
      <c r="K109" s="387"/>
      <c r="L109" s="387"/>
      <c r="M109" s="383" t="str">
        <f aca="false">IF('อัปเดตงาน WBS'!$L$1634="","",'อัปเดตงาน WBS'!$L$1634)</f>
        <v/>
      </c>
      <c r="N109" s="384" t="n">
        <f aca="false">IF(OR(N107="",O107=""),"",N107+ROUND((O107-N107)*0.6,0))</f>
        <v>46348</v>
      </c>
      <c r="O109" s="384" t="n">
        <f aca="false">IF(OR(N107="",O107=""),"",N107+ROUND((O107-N107)*1,0))</f>
        <v>46348</v>
      </c>
      <c r="P109" s="380" t="str">
        <f aca="false">IFERROR(INDEX(ST_LABEL,MATCH(T109,ST_CODE,0)),T109)</f>
        <v>ยังไม่เริ่ม</v>
      </c>
      <c r="Q109" s="385" t="n">
        <f aca="false">IF(OR(J109="",O109=""),"",O109-J109)</f>
        <v>-41</v>
      </c>
      <c r="R109" s="387"/>
      <c r="S109" s="387" t="n">
        <v>2</v>
      </c>
      <c r="T109" s="387" t="str">
        <f aca="false">IF(O109="","BL",IF(M109="Y","DY",IF(LEFT(T107,1)="D","DY",IF(OR(M109="S",N109&lt;=ASOF),"IP","NS"))))</f>
        <v>NS</v>
      </c>
      <c r="U109" s="387"/>
      <c r="V109" s="386" t="n">
        <f aca="false">IF(LEFT(T109,1)="D",1,0)</f>
        <v>0</v>
      </c>
      <c r="W109" s="380" t="s">
        <v>3408</v>
      </c>
      <c r="X109" s="387"/>
      <c r="Y109" s="387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</row>
    <row r="110" customFormat="false" ht="15" hidden="true" customHeight="false" outlineLevel="1" collapsed="false">
      <c r="A110" s="379" t="s">
        <v>418</v>
      </c>
      <c r="B110" s="387" t="s">
        <v>3598</v>
      </c>
      <c r="C110" s="380" t="s">
        <v>3599</v>
      </c>
      <c r="D110" s="380" t="s">
        <v>3411</v>
      </c>
      <c r="E110" s="381" t="n">
        <v>0.5</v>
      </c>
      <c r="F110" s="387"/>
      <c r="G110" s="387"/>
      <c r="H110" s="387"/>
      <c r="I110" s="382" t="n">
        <f aca="false">'Master Plan'!$H$27+(-17)</f>
        <v>46386</v>
      </c>
      <c r="J110" s="382" t="n">
        <f aca="false">'Master Plan'!$H$27+(-15)</f>
        <v>46388</v>
      </c>
      <c r="K110" s="387"/>
      <c r="L110" s="387"/>
      <c r="M110" s="383" t="str">
        <f aca="false">IF('อัปเดตงาน WBS'!$L$1635="","",'อัปเดตงาน WBS'!$L$1635)</f>
        <v/>
      </c>
      <c r="N110" s="384" t="n">
        <f aca="false">IF(OR(N107="",O107=""),"",N107+ROUND((O107-N107)*0.3,0))</f>
        <v>46347</v>
      </c>
      <c r="O110" s="384" t="n">
        <f aca="false">IF(OR(N107="",O107=""),"",N107+ROUND((O107-N107)*0.8,0))</f>
        <v>46348</v>
      </c>
      <c r="P110" s="380" t="str">
        <f aca="false">IFERROR(INDEX(ST_LABEL,MATCH(T110,ST_CODE,0)),T110)</f>
        <v>ยังไม่เริ่ม</v>
      </c>
      <c r="Q110" s="385" t="n">
        <f aca="false">IF(OR(J110="",O110=""),"",O110-J110)</f>
        <v>-40</v>
      </c>
      <c r="R110" s="387"/>
      <c r="S110" s="387" t="n">
        <v>2</v>
      </c>
      <c r="T110" s="387" t="str">
        <f aca="false">IF(O110="","BL",IF(M110="Y","DY",IF(LEFT(T107,1)="D","DY",IF(OR(M110="S",N110&lt;=ASOF),"IP","NS"))))</f>
        <v>NS</v>
      </c>
      <c r="U110" s="387"/>
      <c r="V110" s="386" t="n">
        <f aca="false">IF(LEFT(T110,1)="D",1,0)</f>
        <v>0</v>
      </c>
      <c r="W110" s="380" t="s">
        <v>3408</v>
      </c>
      <c r="X110" s="387"/>
      <c r="Y110" s="387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</row>
    <row r="111" customFormat="false" ht="15" hidden="false" customHeight="false" outlineLevel="0" collapsed="false">
      <c r="A111" s="32" t="s">
        <v>1487</v>
      </c>
      <c r="B111" s="31" t="s">
        <v>3600</v>
      </c>
      <c r="C111" s="31"/>
      <c r="D111" s="31" t="s">
        <v>121</v>
      </c>
      <c r="E111" s="372" t="n">
        <v>0</v>
      </c>
      <c r="F111" s="36" t="s">
        <v>3478</v>
      </c>
      <c r="G111" s="32"/>
      <c r="H111" s="32" t="n">
        <v>1</v>
      </c>
      <c r="I111" s="373" t="n">
        <f aca="false">'Master Plan'!$H$27+(-13)</f>
        <v>46390</v>
      </c>
      <c r="J111" s="373" t="n">
        <f aca="false">'Master Plan'!$H$27+(-13)</f>
        <v>46390</v>
      </c>
      <c r="K111" s="78"/>
      <c r="L111" s="78" t="str">
        <f aca="false">IF(ISNUMBER(อัปเดตรายสัปดาห์!$AF$27),อัปเดตรายสัปดาห์!$AF$27,"")</f>
        <v/>
      </c>
      <c r="M111" s="374" t="str">
        <f aca="false">IF(อัปเดตรายสัปดาห์!$AF$27="Y","Y","")</f>
        <v/>
      </c>
      <c r="N111" s="375" t="n">
        <f aca="false">IF(K111&lt;&gt;"",K111,IF(L111&lt;&gt;"",L111-H111+1,O111-H111+1))</f>
        <v>46349</v>
      </c>
      <c r="O111" s="80" t="n">
        <f aca="false">IF(L111&lt;&gt;"",L111,'Master Plan'!$Y$27)</f>
        <v>46349</v>
      </c>
      <c r="P111" s="36" t="str">
        <f aca="false">IFERROR(INDEX(ST_LABEL,MATCH(T111,ST_CODE,0)),T111)</f>
        <v>ยังไม่เริ่ม</v>
      </c>
      <c r="Q111" s="376" t="n">
        <f aca="false">IF(OR(J111="",O111=""),"",O111-J111)</f>
        <v>-41</v>
      </c>
      <c r="R111" s="31"/>
      <c r="S111" s="31" t="n">
        <v>1</v>
      </c>
      <c r="T111" s="31" t="str">
        <f aca="false">IF(O111="","BL",IF(AND(L111&lt;&gt;"",L111&lt;=ASOF),"DN",IF(M111="Y","DY",IF(L111&lt;&gt;"","AP",IF(N111&lt;=ASOF,"IP","NS")))))</f>
        <v>NS</v>
      </c>
      <c r="U111" s="388" t="n">
        <f aca="false">IF(AND(LEFT(T111,1)&lt;&gt;"D",T111&lt;&gt;"NA",T111&lt;&gt;"BL",ISNUMBER(N111)),N111+ROW()/10000,"")</f>
        <v>46349.0111</v>
      </c>
      <c r="V111" s="377" t="n">
        <f aca="false">IF(LEFT(T111,1)="D",1,IF(T111="NA",0,MIN(1,IF((E112+E113)&gt;0,(E112*(M112="Y")+E113*(M113="Y"))/(E112+E113),((M112="Y")+(M113="Y"))/2))))</f>
        <v>0</v>
      </c>
      <c r="W111" s="36" t="s">
        <v>1627</v>
      </c>
      <c r="X111" s="31" t="s">
        <v>3601</v>
      </c>
      <c r="Y111" s="36" t="s">
        <v>3602</v>
      </c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</row>
    <row r="112" customFormat="false" ht="15" hidden="true" customHeight="false" outlineLevel="1" collapsed="false">
      <c r="A112" s="379" t="s">
        <v>421</v>
      </c>
      <c r="B112" s="380" t="s">
        <v>3603</v>
      </c>
      <c r="C112" s="380" t="s">
        <v>423</v>
      </c>
      <c r="D112" s="380" t="s">
        <v>3411</v>
      </c>
      <c r="E112" s="381" t="n">
        <v>0</v>
      </c>
      <c r="F112" s="387"/>
      <c r="G112" s="387"/>
      <c r="H112" s="387"/>
      <c r="I112" s="382" t="n">
        <f aca="false">'Master Plan'!$H$27+(-13)</f>
        <v>46390</v>
      </c>
      <c r="J112" s="382" t="n">
        <f aca="false">'Master Plan'!$H$27+(-13)</f>
        <v>46390</v>
      </c>
      <c r="K112" s="387"/>
      <c r="L112" s="387"/>
      <c r="M112" s="383" t="str">
        <f aca="false">IF('อัปเดตงาน WBS'!$L$1636="","",'อัปเดตงาน WBS'!$L$1636)</f>
        <v/>
      </c>
      <c r="N112" s="384" t="n">
        <f aca="false">IF(OR(N111="",O111=""),"",N111+ROUND((O111-N111)*0,0))</f>
        <v>46349</v>
      </c>
      <c r="O112" s="384" t="n">
        <f aca="false">IF(OR(N111="",O111=""),"",N111+ROUND((O111-N111)*1,0))</f>
        <v>46349</v>
      </c>
      <c r="P112" s="380" t="str">
        <f aca="false">IFERROR(INDEX(ST_LABEL,MATCH(T112,ST_CODE,0)),T112)</f>
        <v>ยังไม่เริ่ม</v>
      </c>
      <c r="Q112" s="385" t="n">
        <f aca="false">IF(OR(J112="",O112=""),"",O112-J112)</f>
        <v>-41</v>
      </c>
      <c r="R112" s="387"/>
      <c r="S112" s="387" t="n">
        <v>2</v>
      </c>
      <c r="T112" s="387" t="str">
        <f aca="false">IF(O112="","BL",IF(M112="Y","DY",IF(LEFT(T111,1)="D","DY",IF(OR(M112="S",N112&lt;=ASOF),"IP","NS"))))</f>
        <v>NS</v>
      </c>
      <c r="U112" s="387"/>
      <c r="V112" s="386" t="n">
        <f aca="false">IF(LEFT(T112,1)="D",1,0)</f>
        <v>0</v>
      </c>
      <c r="W112" s="380" t="s">
        <v>3408</v>
      </c>
      <c r="X112" s="387"/>
      <c r="Y112" s="387" t="s">
        <v>3602</v>
      </c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</row>
    <row r="113" customFormat="false" ht="15" hidden="true" customHeight="false" outlineLevel="1" collapsed="false">
      <c r="A113" s="379" t="s">
        <v>424</v>
      </c>
      <c r="B113" s="380" t="s">
        <v>3604</v>
      </c>
      <c r="C113" s="380" t="s">
        <v>3605</v>
      </c>
      <c r="D113" s="380" t="s">
        <v>3411</v>
      </c>
      <c r="E113" s="381" t="n">
        <v>0</v>
      </c>
      <c r="F113" s="387"/>
      <c r="G113" s="387"/>
      <c r="H113" s="387"/>
      <c r="I113" s="382" t="n">
        <f aca="false">'Master Plan'!$H$27+(-13)</f>
        <v>46390</v>
      </c>
      <c r="J113" s="382" t="n">
        <f aca="false">'Master Plan'!$H$27+(-13)</f>
        <v>46390</v>
      </c>
      <c r="K113" s="387"/>
      <c r="L113" s="387"/>
      <c r="M113" s="383" t="str">
        <f aca="false">IF('อัปเดตงาน WBS'!$L$1637="","",'อัปเดตงาน WBS'!$L$1637)</f>
        <v/>
      </c>
      <c r="N113" s="384" t="n">
        <f aca="false">IF(OR(N111="",O111=""),"",N111+ROUND((O111-N111)*0,0))</f>
        <v>46349</v>
      </c>
      <c r="O113" s="384" t="n">
        <f aca="false">IF(OR(N111="",O111=""),"",N111+ROUND((O111-N111)*1,0))</f>
        <v>46349</v>
      </c>
      <c r="P113" s="380" t="str">
        <f aca="false">IFERROR(INDEX(ST_LABEL,MATCH(T113,ST_CODE,0)),T113)</f>
        <v>ยังไม่เริ่ม</v>
      </c>
      <c r="Q113" s="385" t="n">
        <f aca="false">IF(OR(J113="",O113=""),"",O113-J113)</f>
        <v>-41</v>
      </c>
      <c r="R113" s="387"/>
      <c r="S113" s="387" t="n">
        <v>2</v>
      </c>
      <c r="T113" s="387" t="str">
        <f aca="false">IF(O113="","BL",IF(M113="Y","DY",IF(LEFT(T111,1)="D","DY",IF(OR(M113="S",N113&lt;=ASOF),"IP","NS"))))</f>
        <v>NS</v>
      </c>
      <c r="U113" s="387"/>
      <c r="V113" s="386" t="n">
        <f aca="false">IF(LEFT(T113,1)="D",1,0)</f>
        <v>0</v>
      </c>
      <c r="W113" s="380" t="s">
        <v>3408</v>
      </c>
      <c r="X113" s="387"/>
      <c r="Y113" s="387" t="s">
        <v>3602</v>
      </c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</row>
    <row r="114" customFormat="false" ht="15" hidden="false" customHeight="false" outlineLevel="0" collapsed="false">
      <c r="A114" s="319" t="s">
        <v>3606</v>
      </c>
      <c r="B114" s="319" t="s">
        <v>3607</v>
      </c>
      <c r="C114" s="319"/>
      <c r="D114" s="319"/>
      <c r="E114" s="368" t="n">
        <f aca="false">SUMIF(S115:S131,1,E115:E131)</f>
        <v>5</v>
      </c>
      <c r="F114" s="319"/>
      <c r="G114" s="319"/>
      <c r="H114" s="319"/>
      <c r="I114" s="369" t="n">
        <f aca="false">MIN(I115:I131)</f>
        <v>46391</v>
      </c>
      <c r="J114" s="369" t="n">
        <f aca="false">MAX(J115:J131)</f>
        <v>46453</v>
      </c>
      <c r="K114" s="319"/>
      <c r="L114" s="319"/>
      <c r="M114" s="319"/>
      <c r="N114" s="369" t="n">
        <f aca="false">MIN(N115:N131)</f>
        <v>46350</v>
      </c>
      <c r="O114" s="369" t="n">
        <f aca="false">MAX(O115:O131)</f>
        <v>46450</v>
      </c>
      <c r="P114" s="323" t="str">
        <f aca="false">IFERROR(INDEX(ST_LABEL,MATCH(T114,ST_CODE,0)),T114)</f>
        <v>ยังไม่เริ่ม</v>
      </c>
      <c r="Q114" s="370" t="n">
        <f aca="false">IF(J114=0,"",O114-J114)</f>
        <v>-3</v>
      </c>
      <c r="R114" s="319"/>
      <c r="S114" s="319" t="n">
        <v>0</v>
      </c>
      <c r="T114" s="319" t="str">
        <f aca="false">IF(COUNTIF(T115:T131,"D*")+COUNTIF(T115:T131,"NA")+COUNTIF(T115:T131,"BL")=17,"DN",IF(COUNTIF(T115:T131,"D*")+COUNTIF(T115:T131,"AP")+COUNTIF(T115:T131,"IP")&gt;0,"IP","NS"))</f>
        <v>NS</v>
      </c>
      <c r="U114" s="319"/>
      <c r="V114" s="371" t="n">
        <f aca="false">IF(E114&gt;0,SUMPRODUCT(E115:E131*(S115:S131=1)*V115:V131)/E114,0)</f>
        <v>0</v>
      </c>
      <c r="W114" s="319"/>
      <c r="X114" s="319"/>
      <c r="Y114" s="319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</row>
    <row r="115" customFormat="false" ht="15" hidden="false" customHeight="false" outlineLevel="0" collapsed="false">
      <c r="A115" s="32" t="s">
        <v>1205</v>
      </c>
      <c r="B115" s="31" t="s">
        <v>3608</v>
      </c>
      <c r="C115" s="31"/>
      <c r="D115" s="31" t="s">
        <v>3747</v>
      </c>
      <c r="E115" s="372" t="n">
        <v>2.5</v>
      </c>
      <c r="F115" s="36" t="s">
        <v>3478</v>
      </c>
      <c r="G115" s="32"/>
      <c r="H115" s="32" t="n">
        <v>1</v>
      </c>
      <c r="I115" s="373" t="n">
        <f aca="false">'Master Plan'!$H$27+(-12)</f>
        <v>46391</v>
      </c>
      <c r="J115" s="373" t="n">
        <f aca="false">'Master Plan'!$H$27+(-10)</f>
        <v>46393</v>
      </c>
      <c r="K115" s="78"/>
      <c r="L115" s="78" t="str">
        <f aca="false">IF(ISNUMBER(อัปเดตรายสัปดาห์!$AG$27),อัปเดตรายสัปดาห์!$AG$27,"")</f>
        <v/>
      </c>
      <c r="M115" s="374" t="str">
        <f aca="false">IF(อัปเดตรายสัปดาห์!$AG$27="Y","Y","")</f>
        <v/>
      </c>
      <c r="N115" s="375" t="n">
        <f aca="false">IF(K115&lt;&gt;"",K115,IF(L115&lt;&gt;"",L115-H115+1,O115-H115+1))</f>
        <v>46359</v>
      </c>
      <c r="O115" s="80" t="n">
        <f aca="false">IF(L115&lt;&gt;"",L115,'Master Plan'!$AA$27)</f>
        <v>46359</v>
      </c>
      <c r="P115" s="36" t="str">
        <f aca="false">IFERROR(INDEX(ST_LABEL,MATCH(T115,ST_CODE,0)),T115)</f>
        <v>ยังไม่เริ่ม</v>
      </c>
      <c r="Q115" s="376" t="n">
        <f aca="false">IF(OR(J115="",O115=""),"",O115-J115)</f>
        <v>-34</v>
      </c>
      <c r="R115" s="31"/>
      <c r="S115" s="31" t="n">
        <v>1</v>
      </c>
      <c r="T115" s="31" t="str">
        <f aca="false">IF(O115="","BL",IF(AND(L115&lt;&gt;"",L115&lt;=ASOF),"DN",IF(M115="Y","DY",IF(L115&lt;&gt;"","AP",IF(N115&lt;=ASOF,"IP","NS")))))</f>
        <v>NS</v>
      </c>
      <c r="U115" s="388" t="n">
        <f aca="false">IF(AND(LEFT(T115,1)&lt;&gt;"D",T115&lt;&gt;"NA",T115&lt;&gt;"BL",ISNUMBER(N115)),N115+ROW()/10000,"")</f>
        <v>46359.0115</v>
      </c>
      <c r="V115" s="377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1" t="s">
        <v>2426</v>
      </c>
      <c r="X115" s="31" t="s">
        <v>3609</v>
      </c>
      <c r="Y115" s="36" t="s">
        <v>3610</v>
      </c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</row>
    <row r="116" customFormat="false" ht="15" hidden="true" customHeight="false" outlineLevel="1" collapsed="false">
      <c r="A116" s="379" t="s">
        <v>427</v>
      </c>
      <c r="B116" s="387" t="s">
        <v>2020</v>
      </c>
      <c r="C116" s="387" t="s">
        <v>3611</v>
      </c>
      <c r="D116" s="380" t="s">
        <v>3408</v>
      </c>
      <c r="E116" s="381" t="n">
        <v>0.25</v>
      </c>
      <c r="F116" s="387"/>
      <c r="G116" s="387"/>
      <c r="H116" s="387"/>
      <c r="I116" s="382" t="n">
        <f aca="false">'Master Plan'!$H$27+(-12)</f>
        <v>46391</v>
      </c>
      <c r="J116" s="382" t="n">
        <f aca="false">'Master Plan'!$H$27+(-12)</f>
        <v>46391</v>
      </c>
      <c r="K116" s="387"/>
      <c r="L116" s="387"/>
      <c r="M116" s="383" t="str">
        <f aca="false">IF('อัปเดตงาน WBS'!$L$1638="","",'อัปเดตงาน WBS'!$L$1638)</f>
        <v/>
      </c>
      <c r="N116" s="384" t="n">
        <f aca="false">IF(OR(N115="",O115=""),"",N115+ROUND((O115-N115)*0,0))</f>
        <v>46359</v>
      </c>
      <c r="O116" s="384" t="n">
        <f aca="false">IF(OR(N115="",O115=""),"",N115+ROUND((O115-N115)*0.2,0))</f>
        <v>46359</v>
      </c>
      <c r="P116" s="380" t="str">
        <f aca="false">IFERROR(INDEX(ST_LABEL,MATCH(T116,ST_CODE,0)),T116)</f>
        <v>ยังไม่เริ่ม</v>
      </c>
      <c r="Q116" s="385" t="n">
        <f aca="false">IF(OR(J116="",O116=""),"",O116-J116)</f>
        <v>-32</v>
      </c>
      <c r="R116" s="387"/>
      <c r="S116" s="387" t="n">
        <v>2</v>
      </c>
      <c r="T116" s="387" t="str">
        <f aca="false">IF(O116="","BL",IF(M116="Y","DY",IF(LEFT(T115,1)="D","DY",IF(OR(M116="S",N116&lt;=ASOF),"IP","NS"))))</f>
        <v>NS</v>
      </c>
      <c r="U116" s="387"/>
      <c r="V116" s="386" t="n">
        <f aca="false">IF(LEFT(T116,1)="D",1,0)</f>
        <v>0</v>
      </c>
      <c r="W116" s="387" t="s">
        <v>1627</v>
      </c>
      <c r="X116" s="387"/>
      <c r="Y116" s="387" t="s">
        <v>3610</v>
      </c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</row>
    <row r="117" customFormat="false" ht="15" hidden="true" customHeight="false" outlineLevel="1" collapsed="false">
      <c r="A117" s="379" t="s">
        <v>430</v>
      </c>
      <c r="B117" s="380" t="s">
        <v>3612</v>
      </c>
      <c r="C117" s="380" t="s">
        <v>3613</v>
      </c>
      <c r="D117" s="380" t="s">
        <v>3411</v>
      </c>
      <c r="E117" s="381" t="n">
        <v>0.75</v>
      </c>
      <c r="F117" s="387"/>
      <c r="G117" s="387"/>
      <c r="H117" s="387"/>
      <c r="I117" s="382" t="n">
        <f aca="false">'Master Plan'!$H$27+(-12)</f>
        <v>46391</v>
      </c>
      <c r="J117" s="382" t="n">
        <f aca="false">'Master Plan'!$H$27+(-11)</f>
        <v>46392</v>
      </c>
      <c r="K117" s="387"/>
      <c r="L117" s="387"/>
      <c r="M117" s="383" t="str">
        <f aca="false">IF('อัปเดตงาน WBS'!$L$1639="","",'อัปเดตงาน WBS'!$L$1639)</f>
        <v/>
      </c>
      <c r="N117" s="384" t="n">
        <f aca="false">IF(OR(N115="",O115=""),"",N115+ROUND((O115-N115)*0.1,0))</f>
        <v>46359</v>
      </c>
      <c r="O117" s="384" t="n">
        <f aca="false">IF(OR(N115="",O115=""),"",N115+ROUND((O115-N115)*0.5,0))</f>
        <v>46359</v>
      </c>
      <c r="P117" s="380" t="str">
        <f aca="false">IFERROR(INDEX(ST_LABEL,MATCH(T117,ST_CODE,0)),T117)</f>
        <v>ยังไม่เริ่ม</v>
      </c>
      <c r="Q117" s="385" t="n">
        <f aca="false">IF(OR(J117="",O117=""),"",O117-J117)</f>
        <v>-33</v>
      </c>
      <c r="R117" s="387"/>
      <c r="S117" s="387" t="n">
        <v>2</v>
      </c>
      <c r="T117" s="387" t="str">
        <f aca="false">IF(O117="","BL",IF(M117="Y","DY",IF(LEFT(T115,1)="D","DY",IF(OR(M117="S",N117&lt;=ASOF),"IP","NS"))))</f>
        <v>NS</v>
      </c>
      <c r="U117" s="387"/>
      <c r="V117" s="386" t="n">
        <f aca="false">IF(LEFT(T117,1)="D",1,0)</f>
        <v>0</v>
      </c>
      <c r="W117" s="380" t="s">
        <v>3408</v>
      </c>
      <c r="X117" s="387"/>
      <c r="Y117" s="387" t="s">
        <v>3610</v>
      </c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</row>
    <row r="118" customFormat="false" ht="15" hidden="true" customHeight="false" outlineLevel="1" collapsed="false">
      <c r="A118" s="379" t="s">
        <v>433</v>
      </c>
      <c r="B118" s="380" t="s">
        <v>3614</v>
      </c>
      <c r="C118" s="380" t="s">
        <v>3615</v>
      </c>
      <c r="D118" s="380" t="s">
        <v>3411</v>
      </c>
      <c r="E118" s="381" t="n">
        <v>0.25</v>
      </c>
      <c r="F118" s="387"/>
      <c r="G118" s="387"/>
      <c r="H118" s="387"/>
      <c r="I118" s="382" t="n">
        <f aca="false">'Master Plan'!$H$27+(-11)</f>
        <v>46392</v>
      </c>
      <c r="J118" s="382" t="n">
        <f aca="false">'Master Plan'!$H$27+(-11)</f>
        <v>46392</v>
      </c>
      <c r="K118" s="387"/>
      <c r="L118" s="387"/>
      <c r="M118" s="383" t="str">
        <f aca="false">IF('อัปเดตงาน WBS'!$L$1640="","",'อัปเดตงาน WBS'!$L$1640)</f>
        <v/>
      </c>
      <c r="N118" s="384" t="n">
        <f aca="false">IF(OR(N115="",O115=""),"",N115+ROUND((O115-N115)*0.3,0))</f>
        <v>46359</v>
      </c>
      <c r="O118" s="384" t="n">
        <f aca="false">IF(OR(N115="",O115=""),"",N115+ROUND((O115-N115)*0.6,0))</f>
        <v>46359</v>
      </c>
      <c r="P118" s="380" t="str">
        <f aca="false">IFERROR(INDEX(ST_LABEL,MATCH(T118,ST_CODE,0)),T118)</f>
        <v>ยังไม่เริ่ม</v>
      </c>
      <c r="Q118" s="385" t="n">
        <f aca="false">IF(OR(J118="",O118=""),"",O118-J118)</f>
        <v>-33</v>
      </c>
      <c r="R118" s="387"/>
      <c r="S118" s="387" t="n">
        <v>2</v>
      </c>
      <c r="T118" s="387" t="str">
        <f aca="false">IF(O118="","BL",IF(M118="Y","DY",IF(LEFT(T115,1)="D","DY",IF(OR(M118="S",N118&lt;=ASOF),"IP","NS"))))</f>
        <v>NS</v>
      </c>
      <c r="U118" s="387"/>
      <c r="V118" s="386" t="n">
        <f aca="false">IF(LEFT(T118,1)="D",1,0)</f>
        <v>0</v>
      </c>
      <c r="W118" s="380" t="s">
        <v>3408</v>
      </c>
      <c r="X118" s="387"/>
      <c r="Y118" s="387" t="s">
        <v>3610</v>
      </c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</row>
    <row r="119" customFormat="false" ht="15" hidden="true" customHeight="false" outlineLevel="1" collapsed="false">
      <c r="A119" s="379" t="s">
        <v>436</v>
      </c>
      <c r="B119" s="380" t="s">
        <v>3616</v>
      </c>
      <c r="C119" s="380" t="s">
        <v>3617</v>
      </c>
      <c r="D119" s="380" t="s">
        <v>3411</v>
      </c>
      <c r="E119" s="381" t="n">
        <v>0.25</v>
      </c>
      <c r="F119" s="387"/>
      <c r="G119" s="387"/>
      <c r="H119" s="387"/>
      <c r="I119" s="382" t="n">
        <f aca="false">'Master Plan'!$H$27+(-11)</f>
        <v>46392</v>
      </c>
      <c r="J119" s="382" t="n">
        <f aca="false">'Master Plan'!$H$27+(-11)</f>
        <v>46392</v>
      </c>
      <c r="K119" s="387"/>
      <c r="L119" s="387"/>
      <c r="M119" s="383" t="str">
        <f aca="false">IF('อัปเดตงาน WBS'!$L$1641="","",'อัปเดตงาน WBS'!$L$1641)</f>
        <v/>
      </c>
      <c r="N119" s="384" t="n">
        <f aca="false">IF(OR(N115="",O115=""),"",N115+ROUND((O115-N115)*0.3,0))</f>
        <v>46359</v>
      </c>
      <c r="O119" s="384" t="n">
        <f aca="false">IF(OR(N115="",O115=""),"",N115+ROUND((O115-N115)*0.6,0))</f>
        <v>46359</v>
      </c>
      <c r="P119" s="380" t="str">
        <f aca="false">IFERROR(INDEX(ST_LABEL,MATCH(T119,ST_CODE,0)),T119)</f>
        <v>ยังไม่เริ่ม</v>
      </c>
      <c r="Q119" s="385" t="n">
        <f aca="false">IF(OR(J119="",O119=""),"",O119-J119)</f>
        <v>-33</v>
      </c>
      <c r="R119" s="387"/>
      <c r="S119" s="387" t="n">
        <v>2</v>
      </c>
      <c r="T119" s="387" t="str">
        <f aca="false">IF(O119="","BL",IF(M119="Y","DY",IF(LEFT(T115,1)="D","DY",IF(OR(M119="S",N119&lt;=ASOF),"IP","NS"))))</f>
        <v>NS</v>
      </c>
      <c r="U119" s="387"/>
      <c r="V119" s="386" t="n">
        <f aca="false">IF(LEFT(T119,1)="D",1,0)</f>
        <v>0</v>
      </c>
      <c r="W119" s="380" t="s">
        <v>3408</v>
      </c>
      <c r="X119" s="387"/>
      <c r="Y119" s="387" t="s">
        <v>3610</v>
      </c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</row>
    <row r="120" customFormat="false" ht="15" hidden="true" customHeight="false" outlineLevel="1" collapsed="false">
      <c r="A120" s="379" t="s">
        <v>439</v>
      </c>
      <c r="B120" s="380" t="s">
        <v>3618</v>
      </c>
      <c r="C120" s="380" t="s">
        <v>3619</v>
      </c>
      <c r="D120" s="380" t="s">
        <v>3411</v>
      </c>
      <c r="E120" s="381" t="n">
        <v>0.5</v>
      </c>
      <c r="F120" s="387"/>
      <c r="G120" s="387"/>
      <c r="H120" s="387"/>
      <c r="I120" s="382" t="n">
        <f aca="false">'Master Plan'!$H$27+(-11)</f>
        <v>46392</v>
      </c>
      <c r="J120" s="382" t="n">
        <f aca="false">'Master Plan'!$H$27+(-10)</f>
        <v>46393</v>
      </c>
      <c r="K120" s="387"/>
      <c r="L120" s="387"/>
      <c r="M120" s="383" t="str">
        <f aca="false">IF('อัปเดตงาน WBS'!$L$1642="","",'อัปเดตงาน WBS'!$L$1642)</f>
        <v/>
      </c>
      <c r="N120" s="384" t="n">
        <f aca="false">IF(OR(N115="",O115=""),"",N115+ROUND((O115-N115)*0.5,0))</f>
        <v>46359</v>
      </c>
      <c r="O120" s="384" t="n">
        <f aca="false">IF(OR(N115="",O115=""),"",N115+ROUND((O115-N115)*0.8,0))</f>
        <v>46359</v>
      </c>
      <c r="P120" s="380" t="str">
        <f aca="false">IFERROR(INDEX(ST_LABEL,MATCH(T120,ST_CODE,0)),T120)</f>
        <v>ยังไม่เริ่ม</v>
      </c>
      <c r="Q120" s="385" t="n">
        <f aca="false">IF(OR(J120="",O120=""),"",O120-J120)</f>
        <v>-34</v>
      </c>
      <c r="R120" s="387"/>
      <c r="S120" s="387" t="n">
        <v>2</v>
      </c>
      <c r="T120" s="387" t="str">
        <f aca="false">IF(O120="","BL",IF(M120="Y","DY",IF(LEFT(T115,1)="D","DY",IF(OR(M120="S",N120&lt;=ASOF),"IP","NS"))))</f>
        <v>NS</v>
      </c>
      <c r="U120" s="387"/>
      <c r="V120" s="386" t="n">
        <f aca="false">IF(LEFT(T120,1)="D",1,0)</f>
        <v>0</v>
      </c>
      <c r="W120" s="380" t="s">
        <v>3408</v>
      </c>
      <c r="X120" s="387"/>
      <c r="Y120" s="387" t="s">
        <v>3610</v>
      </c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</row>
    <row r="121" customFormat="false" ht="15" hidden="true" customHeight="false" outlineLevel="1" collapsed="false">
      <c r="A121" s="379" t="s">
        <v>442</v>
      </c>
      <c r="B121" s="380" t="s">
        <v>3620</v>
      </c>
      <c r="C121" s="380" t="s">
        <v>3621</v>
      </c>
      <c r="D121" s="380" t="s">
        <v>3411</v>
      </c>
      <c r="E121" s="381" t="n">
        <v>0.5</v>
      </c>
      <c r="F121" s="387"/>
      <c r="G121" s="387"/>
      <c r="H121" s="387"/>
      <c r="I121" s="382" t="n">
        <f aca="false">'Master Plan'!$H$27+(-11)</f>
        <v>46392</v>
      </c>
      <c r="J121" s="382" t="n">
        <f aca="false">'Master Plan'!$H$27+(-10)</f>
        <v>46393</v>
      </c>
      <c r="K121" s="387"/>
      <c r="L121" s="387"/>
      <c r="M121" s="383" t="str">
        <f aca="false">IF('อัปเดตงาน WBS'!$L$1643="","",'อัปเดตงาน WBS'!$L$1643)</f>
        <v/>
      </c>
      <c r="N121" s="384" t="n">
        <f aca="false">IF(OR(N115="",O115=""),"",N115+ROUND((O115-N115)*0.7,0))</f>
        <v>46359</v>
      </c>
      <c r="O121" s="384" t="n">
        <f aca="false">IF(OR(N115="",O115=""),"",N115+ROUND((O115-N115)*1,0))</f>
        <v>46359</v>
      </c>
      <c r="P121" s="380" t="str">
        <f aca="false">IFERROR(INDEX(ST_LABEL,MATCH(T121,ST_CODE,0)),T121)</f>
        <v>ยังไม่เริ่ม</v>
      </c>
      <c r="Q121" s="385" t="n">
        <f aca="false">IF(OR(J121="",O121=""),"",O121-J121)</f>
        <v>-34</v>
      </c>
      <c r="R121" s="387"/>
      <c r="S121" s="387" t="n">
        <v>2</v>
      </c>
      <c r="T121" s="387" t="str">
        <f aca="false">IF(O121="","BL",IF(M121="Y","DY",IF(LEFT(T115,1)="D","DY",IF(OR(M121="S",N121&lt;=ASOF),"IP","NS"))))</f>
        <v>NS</v>
      </c>
      <c r="U121" s="387"/>
      <c r="V121" s="386" t="n">
        <f aca="false">IF(LEFT(T121,1)="D",1,0)</f>
        <v>0</v>
      </c>
      <c r="W121" s="380" t="s">
        <v>3408</v>
      </c>
      <c r="X121" s="387"/>
      <c r="Y121" s="387" t="s">
        <v>3610</v>
      </c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</row>
    <row r="122" customFormat="false" ht="15" hidden="false" customHeight="false" outlineLevel="0" collapsed="false">
      <c r="A122" s="32" t="s">
        <v>1493</v>
      </c>
      <c r="B122" s="31" t="s">
        <v>3622</v>
      </c>
      <c r="C122" s="31"/>
      <c r="D122" s="31" t="s">
        <v>121</v>
      </c>
      <c r="E122" s="372" t="n">
        <v>0</v>
      </c>
      <c r="F122" s="36" t="s">
        <v>3478</v>
      </c>
      <c r="G122" s="32"/>
      <c r="H122" s="32" t="n">
        <v>1</v>
      </c>
      <c r="I122" s="373" t="n">
        <f aca="false">'Master Plan'!$H$27+(-10)</f>
        <v>46393</v>
      </c>
      <c r="J122" s="373" t="n">
        <f aca="false">'Master Plan'!$H$27+(-10)</f>
        <v>46393</v>
      </c>
      <c r="K122" s="78"/>
      <c r="L122" s="78" t="str">
        <f aca="false">IF(ISNUMBER(อัปเดตรายสัปดาห์!$AH$27),อัปเดตรายสัปดาห์!$AH$27,"")</f>
        <v/>
      </c>
      <c r="M122" s="374" t="str">
        <f aca="false">IF(อัปเดตรายสัปดาห์!$AH$27="Y","Y","")</f>
        <v/>
      </c>
      <c r="N122" s="375" t="n">
        <f aca="false">IF(K122&lt;&gt;"",K122,IF(L122&lt;&gt;"",L122-H122+1,O122-H122+1))</f>
        <v>46356</v>
      </c>
      <c r="O122" s="80" t="n">
        <f aca="false">IF(L122&lt;&gt;"",L122,'Master Plan'!$Z$27)</f>
        <v>46356</v>
      </c>
      <c r="P122" s="36" t="str">
        <f aca="false">IFERROR(INDEX(ST_LABEL,MATCH(T122,ST_CODE,0)),T122)</f>
        <v>ยังไม่เริ่ม</v>
      </c>
      <c r="Q122" s="376" t="n">
        <f aca="false">IF(OR(J122="",O122=""),"",O122-J122)</f>
        <v>-37</v>
      </c>
      <c r="R122" s="31"/>
      <c r="S122" s="31" t="n">
        <v>1</v>
      </c>
      <c r="T122" s="31" t="str">
        <f aca="false">IF(O122="","BL",IF(AND(L122&lt;&gt;"",L122&lt;=ASOF),"DN",IF(M122="Y","DY",IF(L122&lt;&gt;"","AP",IF(N122&lt;=ASOF,"IP","NS")))))</f>
        <v>NS</v>
      </c>
      <c r="U122" s="388" t="n">
        <f aca="false">IF(AND(LEFT(T122,1)&lt;&gt;"D",T122&lt;&gt;"NA",T122&lt;&gt;"BL",ISNUMBER(N122)),N122+ROW()/10000,"")</f>
        <v>46356.0122</v>
      </c>
      <c r="V122" s="377" t="n">
        <f aca="false">IF(LEFT(T122,1)="D",1,IF(T122="NA",0,MIN(1,0)))</f>
        <v>0</v>
      </c>
      <c r="W122" s="36" t="s">
        <v>1627</v>
      </c>
      <c r="X122" s="31"/>
      <c r="Y122" s="36" t="s">
        <v>3623</v>
      </c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</row>
    <row r="123" customFormat="false" ht="15" hidden="false" customHeight="false" outlineLevel="0" collapsed="false">
      <c r="A123" s="32" t="s">
        <v>1800</v>
      </c>
      <c r="B123" s="31" t="s">
        <v>2966</v>
      </c>
      <c r="C123" s="31"/>
      <c r="D123" s="31" t="s">
        <v>121</v>
      </c>
      <c r="E123" s="372" t="n">
        <v>0</v>
      </c>
      <c r="F123" s="36" t="s">
        <v>1487</v>
      </c>
      <c r="G123" s="32" t="n">
        <v>0</v>
      </c>
      <c r="H123" s="32" t="n">
        <v>5</v>
      </c>
      <c r="I123" s="373" t="n">
        <f aca="false">'Master Plan'!$H$27+(-12)</f>
        <v>46391</v>
      </c>
      <c r="J123" s="373" t="n">
        <f aca="false">'Master Plan'!$H$27+(-8)</f>
        <v>46395</v>
      </c>
      <c r="K123" s="78" t="str">
        <f aca="false">IF(ISNUMBER(อัปเดตรายสัปดาห์!$AI$27),อัปเดตรายสัปดาห์!$AI$27,"")</f>
        <v/>
      </c>
      <c r="L123" s="78" t="str">
        <f aca="false">IF(ISNUMBER(อัปเดตรายสัปดาห์!$AJ$27),อัปเดตรายสัปดาห์!$AJ$27,"")</f>
        <v/>
      </c>
      <c r="M123" s="374" t="str">
        <f aca="false">IF(อัปเดตรายสัปดาห์!$AJ$27="Y","Y","")</f>
        <v/>
      </c>
      <c r="N123" s="375" t="n">
        <f aca="false">IF(K123&lt;&gt;"",K123,IF(L123&lt;&gt;"",L123-H123+1,IF(M123="Y",I123,MAX(O111+1+G123,ASOF))))</f>
        <v>46350</v>
      </c>
      <c r="O123" s="80" t="n">
        <f aca="false">IF(L123&lt;&gt;"",L123,IF(M123="Y",J123,WORKDAY((MAX(N123+H123-1,ASOF))-1,1,HOLIDAYS)))</f>
        <v>46356</v>
      </c>
      <c r="P123" s="36" t="str">
        <f aca="false">IFERROR(INDEX(ST_LABEL,MATCH(T123,ST_CODE,0)),T123)</f>
        <v>ยังไม่เริ่ม</v>
      </c>
      <c r="Q123" s="376" t="n">
        <f aca="false">IF(OR(J123="",O123=""),"",O123-J123)</f>
        <v>-39</v>
      </c>
      <c r="R123" s="31"/>
      <c r="S123" s="31" t="n">
        <v>1</v>
      </c>
      <c r="T123" s="31" t="str">
        <f aca="false">IF(O123="","BL",IF(AND(L123&lt;&gt;"",L123&lt;=ASOF),"DN",IF(M123="Y","DY",IF(L123&lt;&gt;"","AP",IF(N123&lt;=ASOF,"IP","NS")))))</f>
        <v>NS</v>
      </c>
      <c r="U123" s="388" t="n">
        <f aca="false">IF(AND(LEFT(T123,1)&lt;&gt;"D",T123&lt;&gt;"NA",T123&lt;&gt;"BL",ISNUMBER(N123)),N123+ROW()/10000,"")</f>
        <v>46350.0123</v>
      </c>
      <c r="V123" s="377" t="n">
        <f aca="false">IF(LEFT(T123,1)="D",1,IF(T123="NA",0,MIN(1,0)))</f>
        <v>0</v>
      </c>
      <c r="W123" s="36" t="s">
        <v>1627</v>
      </c>
      <c r="X123" s="31"/>
      <c r="Y123" s="36" t="s">
        <v>3624</v>
      </c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</row>
    <row r="124" customFormat="false" ht="15" hidden="false" customHeight="false" outlineLevel="0" collapsed="false">
      <c r="A124" s="32" t="s">
        <v>2030</v>
      </c>
      <c r="B124" s="31" t="s">
        <v>3625</v>
      </c>
      <c r="C124" s="31"/>
      <c r="D124" s="31" t="s">
        <v>121</v>
      </c>
      <c r="E124" s="372" t="n">
        <v>2.5</v>
      </c>
      <c r="F124" s="36" t="s">
        <v>3626</v>
      </c>
      <c r="G124" s="32" t="n">
        <v>0</v>
      </c>
      <c r="H124" s="389" t="n">
        <f aca="false">PAC_DAYS</f>
        <v>14</v>
      </c>
      <c r="I124" s="373" t="n">
        <f aca="false">'Master Plan'!$H$27+(37)</f>
        <v>46440</v>
      </c>
      <c r="J124" s="373" t="n">
        <f aca="false">'Master Plan'!$H$27+(50)</f>
        <v>46453</v>
      </c>
      <c r="K124" s="78"/>
      <c r="L124" s="78" t="str">
        <f aca="false">IF(ISNUMBER(อัปเดตรายสัปดาห์!$AK$27),อัปเดตรายสัปดาห์!$AK$27,"")</f>
        <v/>
      </c>
      <c r="M124" s="374" t="str">
        <f aca="false">IF(อัปเดตรายสัปดาห์!$AK$27="Y","Y","")</f>
        <v/>
      </c>
      <c r="N124" s="375" t="n">
        <f aca="false">IF(K124&lt;&gt;"",K124,IF(L124&lt;&gt;"",L124-H124+1,IF(M124="Y",I124,MAX(MAX(O131,O130)+1+G124,ASOF))))</f>
        <v>46437</v>
      </c>
      <c r="O124" s="80" t="n">
        <f aca="false">IF(L124&lt;&gt;"",L124,IF(M124="Y",J124,WORKDAY((MAX(N124+H124-1,ASOF))-1,1,HOLIDAYS)))</f>
        <v>46450</v>
      </c>
      <c r="P124" s="36" t="str">
        <f aca="false">IFERROR(INDEX(ST_LABEL,MATCH(T124,ST_CODE,0)),T124)</f>
        <v>ยังไม่เริ่ม</v>
      </c>
      <c r="Q124" s="376" t="n">
        <f aca="false">IF(OR(J124="",O124=""),"",O124-J124)</f>
        <v>-3</v>
      </c>
      <c r="R124" s="31"/>
      <c r="S124" s="31" t="n">
        <v>1</v>
      </c>
      <c r="T124" s="31" t="str">
        <f aca="false">IF(O124="","BL",IF(AND(L124&lt;&gt;"",L124&lt;=ASOF),"DN",IF(M124="Y","DY",IF(L124&lt;&gt;"","AP",IF(N124&lt;=ASOF,"IP","NS")))))</f>
        <v>NS</v>
      </c>
      <c r="U124" s="388" t="n">
        <f aca="false">IF(AND(LEFT(T124,1)&lt;&gt;"D",T124&lt;&gt;"NA",T124&lt;&gt;"BL",ISNUMBER(N124)),N124+ROW()/10000,"")</f>
        <v>46437.0124</v>
      </c>
      <c r="V124" s="377" t="n">
        <f aca="false">IF(LEFT(T124,1)="D",1,IF(T124="NA",0,MIN(1,IF((E125+E126+E127)&gt;0,(E125*(M125="Y")+E126*(M126="Y")+E127*(M127="Y"))/(E125+E126+E127),((M125="Y")+(M126="Y")+(M127="Y"))/3))))</f>
        <v>0</v>
      </c>
      <c r="W124" s="36" t="s">
        <v>1627</v>
      </c>
      <c r="X124" s="31" t="s">
        <v>3627</v>
      </c>
      <c r="Y124" s="31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</row>
    <row r="125" customFormat="false" ht="15" hidden="true" customHeight="false" outlineLevel="1" collapsed="false">
      <c r="A125" s="379" t="s">
        <v>445</v>
      </c>
      <c r="B125" s="380" t="s">
        <v>3628</v>
      </c>
      <c r="C125" s="380" t="s">
        <v>3629</v>
      </c>
      <c r="D125" s="380" t="s">
        <v>3408</v>
      </c>
      <c r="E125" s="381" t="n">
        <v>0.75</v>
      </c>
      <c r="F125" s="387"/>
      <c r="G125" s="387"/>
      <c r="H125" s="387"/>
      <c r="I125" s="382" t="n">
        <f aca="false">'Master Plan'!$H$27+(37)</f>
        <v>46440</v>
      </c>
      <c r="J125" s="382" t="n">
        <f aca="false">'Master Plan'!$H$27+(41)</f>
        <v>46444</v>
      </c>
      <c r="K125" s="387"/>
      <c r="L125" s="387"/>
      <c r="M125" s="383" t="str">
        <f aca="false">IF('อัปเดตงาน WBS'!$L$1644="","",'อัปเดตงาน WBS'!$L$1644)</f>
        <v/>
      </c>
      <c r="N125" s="384" t="n">
        <f aca="false">IF(OR(N124="",O124=""),"",N124+ROUND((O124-N124)*0,0))</f>
        <v>46437</v>
      </c>
      <c r="O125" s="384" t="n">
        <f aca="false">IF(OR(N124="",O124=""),"",N124+ROUND((O124-N124)*0.3,0))</f>
        <v>46441</v>
      </c>
      <c r="P125" s="380" t="str">
        <f aca="false">IFERROR(INDEX(ST_LABEL,MATCH(T125,ST_CODE,0)),T125)</f>
        <v>ยังไม่เริ่ม</v>
      </c>
      <c r="Q125" s="385" t="n">
        <f aca="false">IF(OR(J125="",O125=""),"",O125-J125)</f>
        <v>-3</v>
      </c>
      <c r="R125" s="387"/>
      <c r="S125" s="387" t="n">
        <v>2</v>
      </c>
      <c r="T125" s="387" t="str">
        <f aca="false">IF(O125="","BL",IF(M125="Y","DY",IF(LEFT(T124,1)="D","DY",IF(OR(M125="S",N125&lt;=ASOF),"IP","NS"))))</f>
        <v>NS</v>
      </c>
      <c r="U125" s="387"/>
      <c r="V125" s="386" t="n">
        <f aca="false">IF(LEFT(T125,1)="D",1,0)</f>
        <v>0</v>
      </c>
      <c r="W125" s="387" t="s">
        <v>1627</v>
      </c>
      <c r="X125" s="387"/>
      <c r="Y125" s="387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</row>
    <row r="126" customFormat="false" ht="15" hidden="true" customHeight="false" outlineLevel="1" collapsed="false">
      <c r="A126" s="379" t="s">
        <v>448</v>
      </c>
      <c r="B126" s="380" t="s">
        <v>3630</v>
      </c>
      <c r="C126" s="387" t="s">
        <v>3631</v>
      </c>
      <c r="D126" s="380" t="s">
        <v>3408</v>
      </c>
      <c r="E126" s="381" t="n">
        <v>1</v>
      </c>
      <c r="F126" s="387"/>
      <c r="G126" s="387"/>
      <c r="H126" s="387"/>
      <c r="I126" s="382" t="n">
        <f aca="false">'Master Plan'!$H$27+(40)</f>
        <v>46443</v>
      </c>
      <c r="J126" s="382" t="n">
        <f aca="false">'Master Plan'!$H$27+(47)</f>
        <v>46450</v>
      </c>
      <c r="K126" s="387"/>
      <c r="L126" s="387"/>
      <c r="M126" s="383" t="str">
        <f aca="false">IF('อัปเดตงาน WBS'!$L$1645="","",'อัปเดตงาน WBS'!$L$1645)</f>
        <v/>
      </c>
      <c r="N126" s="384" t="n">
        <f aca="false">IF(OR(N124="",O124=""),"",N124+ROUND((O124-N124)*0.2,0))</f>
        <v>46440</v>
      </c>
      <c r="O126" s="384" t="n">
        <f aca="false">IF(OR(N124="",O124=""),"",N124+ROUND((O124-N124)*0.8,0))</f>
        <v>46447</v>
      </c>
      <c r="P126" s="380" t="str">
        <f aca="false">IFERROR(INDEX(ST_LABEL,MATCH(T126,ST_CODE,0)),T126)</f>
        <v>ยังไม่เริ่ม</v>
      </c>
      <c r="Q126" s="385" t="n">
        <f aca="false">IF(OR(J126="",O126=""),"",O126-J126)</f>
        <v>-3</v>
      </c>
      <c r="R126" s="387"/>
      <c r="S126" s="387" t="n">
        <v>2</v>
      </c>
      <c r="T126" s="387" t="str">
        <f aca="false">IF(O126="","BL",IF(M126="Y","DY",IF(LEFT(T124,1)="D","DY",IF(OR(M126="S",N126&lt;=ASOF),"IP","NS"))))</f>
        <v>NS</v>
      </c>
      <c r="U126" s="387"/>
      <c r="V126" s="386" t="n">
        <f aca="false">IF(LEFT(T126,1)="D",1,0)</f>
        <v>0</v>
      </c>
      <c r="W126" s="387" t="s">
        <v>1627</v>
      </c>
      <c r="X126" s="387"/>
      <c r="Y126" s="387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</row>
    <row r="127" customFormat="false" ht="15" hidden="true" customHeight="false" outlineLevel="1" collapsed="false">
      <c r="A127" s="379" t="s">
        <v>451</v>
      </c>
      <c r="B127" s="387" t="s">
        <v>3632</v>
      </c>
      <c r="C127" s="387" t="s">
        <v>3633</v>
      </c>
      <c r="D127" s="380" t="s">
        <v>3408</v>
      </c>
      <c r="E127" s="381" t="n">
        <v>0.75</v>
      </c>
      <c r="F127" s="387"/>
      <c r="G127" s="387"/>
      <c r="H127" s="387"/>
      <c r="I127" s="382" t="n">
        <f aca="false">'Master Plan'!$H$27+(47)</f>
        <v>46450</v>
      </c>
      <c r="J127" s="382" t="n">
        <f aca="false">'Master Plan'!$H$27+(50)</f>
        <v>46453</v>
      </c>
      <c r="K127" s="387"/>
      <c r="L127" s="387"/>
      <c r="M127" s="383" t="str">
        <f aca="false">IF('อัปเดตงาน WBS'!$L$1646="","",'อัปเดตงาน WBS'!$L$1646)</f>
        <v/>
      </c>
      <c r="N127" s="384" t="n">
        <f aca="false">IF(OR(N124="",O124=""),"",N124+ROUND((O124-N124)*0.8,0))</f>
        <v>46447</v>
      </c>
      <c r="O127" s="384" t="n">
        <f aca="false">IF(OR(N124="",O124=""),"",N124+ROUND((O124-N124)*1,0))</f>
        <v>46450</v>
      </c>
      <c r="P127" s="380" t="str">
        <f aca="false">IFERROR(INDEX(ST_LABEL,MATCH(T127,ST_CODE,0)),T127)</f>
        <v>ยังไม่เริ่ม</v>
      </c>
      <c r="Q127" s="385" t="n">
        <f aca="false">IF(OR(J127="",O127=""),"",O127-J127)</f>
        <v>-3</v>
      </c>
      <c r="R127" s="387"/>
      <c r="S127" s="387" t="n">
        <v>2</v>
      </c>
      <c r="T127" s="387" t="str">
        <f aca="false">IF(O127="","BL",IF(M127="Y","DY",IF(LEFT(T124,1)="D","DY",IF(OR(M127="S",N127&lt;=ASOF),"IP","NS"))))</f>
        <v>NS</v>
      </c>
      <c r="U127" s="387"/>
      <c r="V127" s="386" t="n">
        <f aca="false">IF(LEFT(T127,1)="D",1,0)</f>
        <v>0</v>
      </c>
      <c r="W127" s="387" t="s">
        <v>1627</v>
      </c>
      <c r="X127" s="387"/>
      <c r="Y127" s="387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</row>
    <row r="128" customFormat="false" ht="15" hidden="false" customHeight="false" outlineLevel="0" collapsed="false">
      <c r="A128" s="32" t="s">
        <v>1496</v>
      </c>
      <c r="B128" s="31" t="s">
        <v>2991</v>
      </c>
      <c r="C128" s="31"/>
      <c r="D128" s="31" t="s">
        <v>3747</v>
      </c>
      <c r="E128" s="372" t="n">
        <v>0</v>
      </c>
      <c r="F128" s="36" t="s">
        <v>3478</v>
      </c>
      <c r="G128" s="32"/>
      <c r="H128" s="32" t="n">
        <v>1</v>
      </c>
      <c r="I128" s="373" t="n">
        <f aca="false">'Master Plan'!$H$27+(0)</f>
        <v>46403</v>
      </c>
      <c r="J128" s="373" t="n">
        <f aca="false">'Master Plan'!$H$27+(0)</f>
        <v>46403</v>
      </c>
      <c r="K128" s="78"/>
      <c r="L128" s="78" t="str">
        <f aca="false">IF(ISNUMBER(อัปเดตรายสัปดาห์!$AL$27),อัปเดตรายสัปดาห์!$AL$27,"")</f>
        <v/>
      </c>
      <c r="M128" s="374" t="str">
        <f aca="false">IF(อัปเดตรายสัปดาห์!$AL$27="Y","Y","")</f>
        <v/>
      </c>
      <c r="N128" s="375" t="n">
        <f aca="false">IF(K128&lt;&gt;"",K128,IF(L128&lt;&gt;"",L128-H128+1,O128-H128+1))</f>
        <v>46367</v>
      </c>
      <c r="O128" s="80" t="n">
        <f aca="false">IF(L128&lt;&gt;"",L128,'Master Plan'!$AB$27)</f>
        <v>46367</v>
      </c>
      <c r="P128" s="36" t="str">
        <f aca="false">IFERROR(INDEX(ST_LABEL,MATCH(T128,ST_CODE,0)),T128)</f>
        <v>ยังไม่เริ่ม</v>
      </c>
      <c r="Q128" s="376" t="n">
        <f aca="false">IF(OR(J128="",O128=""),"",O128-J128)</f>
        <v>-36</v>
      </c>
      <c r="R128" s="31"/>
      <c r="S128" s="31" t="n">
        <v>1</v>
      </c>
      <c r="T128" s="31" t="str">
        <f aca="false">IF(O128="","BL",IF(AND(L128&lt;&gt;"",L128&lt;=ASOF),"DN",IF(M128="Y","DY",IF(L128&lt;&gt;"","AP",IF(N128&lt;=ASOF,"IP","NS")))))</f>
        <v>NS</v>
      </c>
      <c r="U128" s="388" t="n">
        <f aca="false">IF(AND(LEFT(T128,1)&lt;&gt;"D",T128&lt;&gt;"NA",T128&lt;&gt;"BL",ISNUMBER(N128)),N128+ROW()/10000,"")</f>
        <v>46367.0128</v>
      </c>
      <c r="V128" s="377" t="n">
        <f aca="false">IF(LEFT(T128,1)="D",1,IF(T128="NA",0,MIN(1,0)))</f>
        <v>0</v>
      </c>
      <c r="W128" s="31" t="s">
        <v>2426</v>
      </c>
      <c r="X128" s="31"/>
      <c r="Y128" s="36" t="s">
        <v>1664</v>
      </c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</row>
    <row r="129" customFormat="false" ht="15" hidden="false" customHeight="false" outlineLevel="0" collapsed="false">
      <c r="A129" s="32" t="s">
        <v>2036</v>
      </c>
      <c r="B129" s="36" t="s">
        <v>2996</v>
      </c>
      <c r="C129" s="31"/>
      <c r="D129" s="36" t="s">
        <v>131</v>
      </c>
      <c r="E129" s="372" t="n">
        <v>0</v>
      </c>
      <c r="F129" s="36" t="s">
        <v>1496</v>
      </c>
      <c r="G129" s="32" t="n">
        <v>0</v>
      </c>
      <c r="H129" s="32" t="n">
        <v>1</v>
      </c>
      <c r="I129" s="373" t="n">
        <f aca="false">'Master Plan'!$H$27+(0)</f>
        <v>46403</v>
      </c>
      <c r="J129" s="373" t="n">
        <f aca="false">'Master Plan'!$H$27+(0)</f>
        <v>46403</v>
      </c>
      <c r="K129" s="78"/>
      <c r="L129" s="78" t="str">
        <f aca="false">IF(ISNUMBER(อัปเดตรายสัปดาห์!$AM$27),อัปเดตรายสัปดาห์!$AM$27,"")</f>
        <v/>
      </c>
      <c r="M129" s="374" t="str">
        <f aca="false">IF(อัปเดตรายสัปดาห์!$AM$27="Y","Y","")</f>
        <v/>
      </c>
      <c r="N129" s="375" t="n">
        <f aca="false">IF(K129&lt;&gt;"",K129,IF(L129&lt;&gt;"",L129-H129+1,IF(M129="Y",I129,MAX(O128+1+G129,ASOF))))</f>
        <v>46368</v>
      </c>
      <c r="O129" s="80" t="n">
        <f aca="false">IF(L129&lt;&gt;"",L129,IF(M129="Y",J129,WORKDAY((MAX(N129+H129-1,ASOF))-1,1,HOLIDAYS)))</f>
        <v>46370</v>
      </c>
      <c r="P129" s="36" t="str">
        <f aca="false">IFERROR(INDEX(ST_LABEL,MATCH(T129,ST_CODE,0)),T129)</f>
        <v>ยังไม่เริ่ม</v>
      </c>
      <c r="Q129" s="376" t="n">
        <f aca="false">IF(OR(J129="",O129=""),"",O129-J129)</f>
        <v>-33</v>
      </c>
      <c r="R129" s="31"/>
      <c r="S129" s="31" t="n">
        <v>1</v>
      </c>
      <c r="T129" s="31" t="str">
        <f aca="false">IF(O129="","BL",IF(AND(L129&lt;&gt;"",L129&lt;=ASOF),"DN",IF(M129="Y","DY",IF(L129&lt;&gt;"","AP",IF(N129&lt;=ASOF,"IP","NS")))))</f>
        <v>NS</v>
      </c>
      <c r="U129" s="388" t="n">
        <f aca="false">IF(AND(LEFT(T129,1)&lt;&gt;"D",T129&lt;&gt;"NA",T129&lt;&gt;"BL",ISNUMBER(N129)),N129+ROW()/10000,"")</f>
        <v>46368.0129</v>
      </c>
      <c r="V129" s="377" t="n">
        <f aca="false">IF(LEFT(T129,1)="D",1,IF(T129="NA",0,MIN(1,0)))</f>
        <v>0</v>
      </c>
      <c r="W129" s="31" t="s">
        <v>2426</v>
      </c>
      <c r="X129" s="31"/>
      <c r="Y129" s="31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</row>
    <row r="130" customFormat="false" ht="15" hidden="false" customHeight="false" outlineLevel="0" collapsed="false">
      <c r="A130" s="32" t="s">
        <v>2038</v>
      </c>
      <c r="B130" s="36" t="s">
        <v>2999</v>
      </c>
      <c r="C130" s="31"/>
      <c r="D130" s="36" t="s">
        <v>131</v>
      </c>
      <c r="E130" s="372" t="n">
        <v>0</v>
      </c>
      <c r="F130" s="36" t="s">
        <v>1496</v>
      </c>
      <c r="G130" s="32" t="n">
        <v>0</v>
      </c>
      <c r="H130" s="32" t="n">
        <v>5</v>
      </c>
      <c r="I130" s="373" t="n">
        <f aca="false">'Master Plan'!$H$27+(0)</f>
        <v>46403</v>
      </c>
      <c r="J130" s="373" t="n">
        <f aca="false">'Master Plan'!$H$27+(0)</f>
        <v>46403</v>
      </c>
      <c r="K130" s="78"/>
      <c r="L130" s="78" t="str">
        <f aca="false">IF(ISNUMBER(อัปเดตรายสัปดาห์!$AN$27),อัปเดตรายสัปดาห์!$AN$27,"")</f>
        <v/>
      </c>
      <c r="M130" s="374" t="str">
        <f aca="false">IF(อัปเดตรายสัปดาห์!$AN$27="Y","Y","")</f>
        <v/>
      </c>
      <c r="N130" s="375" t="n">
        <f aca="false">IF(K130&lt;&gt;"",K130,IF(L130&lt;&gt;"",L130-H130+1,IF(M130="Y",I130,MAX(O128+1+G130,ASOF))))</f>
        <v>46368</v>
      </c>
      <c r="O130" s="80" t="n">
        <f aca="false">IF(L130&lt;&gt;"",L130,IF(M130="Y",J130,WORKDAY((MAX(N130+H130-1,ASOF))-1,1,HOLIDAYS)))</f>
        <v>46372</v>
      </c>
      <c r="P130" s="36" t="str">
        <f aca="false">IFERROR(INDEX(ST_LABEL,MATCH(T130,ST_CODE,0)),T130)</f>
        <v>ยังไม่เริ่ม</v>
      </c>
      <c r="Q130" s="376" t="n">
        <f aca="false">IF(OR(J130="",O130=""),"",O130-J130)</f>
        <v>-31</v>
      </c>
      <c r="R130" s="31"/>
      <c r="S130" s="31" t="n">
        <v>1</v>
      </c>
      <c r="T130" s="31" t="str">
        <f aca="false">IF(O130="","BL",IF(AND(L130&lt;&gt;"",L130&lt;=ASOF),"DN",IF(M130="Y","DY",IF(L130&lt;&gt;"","AP",IF(N130&lt;=ASOF,"IP","NS")))))</f>
        <v>NS</v>
      </c>
      <c r="U130" s="388" t="n">
        <f aca="false">IF(AND(LEFT(T130,1)&lt;&gt;"D",T130&lt;&gt;"NA",T130&lt;&gt;"BL",ISNUMBER(N130)),N130+ROW()/10000,"")</f>
        <v>46368.013</v>
      </c>
      <c r="V130" s="377" t="n">
        <f aca="false">IF(LEFT(T130,1)="D",1,IF(T130="NA",0,MIN(1,0)))</f>
        <v>0</v>
      </c>
      <c r="W130" s="31" t="s">
        <v>2426</v>
      </c>
      <c r="X130" s="31"/>
      <c r="Y130" s="31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</row>
    <row r="131" customFormat="false" ht="15" hidden="false" customHeight="false" outlineLevel="0" collapsed="false">
      <c r="A131" s="32" t="s">
        <v>2040</v>
      </c>
      <c r="B131" s="31" t="s">
        <v>3002</v>
      </c>
      <c r="C131" s="31"/>
      <c r="D131" s="31" t="s">
        <v>121</v>
      </c>
      <c r="E131" s="372" t="n">
        <v>0</v>
      </c>
      <c r="F131" s="36" t="s">
        <v>1506</v>
      </c>
      <c r="G131" s="32" t="n">
        <v>0</v>
      </c>
      <c r="H131" s="389" t="n">
        <f aca="false">MON_DAYS</f>
        <v>3</v>
      </c>
      <c r="I131" s="373" t="n">
        <f aca="false">'Master Plan'!$H$27+(34)</f>
        <v>46437</v>
      </c>
      <c r="J131" s="373" t="n">
        <f aca="false">'Master Plan'!$H$27+(36)</f>
        <v>46439</v>
      </c>
      <c r="K131" s="78"/>
      <c r="L131" s="78" t="str">
        <f aca="false">IF(ISNUMBER(อัปเดตรายสัปดาห์!$AO$27),อัปเดตรายสัปดาห์!$AO$27,"")</f>
        <v/>
      </c>
      <c r="M131" s="374" t="str">
        <f aca="false">IF(อัปเดตรายสัปดาห์!$AO$27="Y","Y","")</f>
        <v/>
      </c>
      <c r="N131" s="375" t="n">
        <f aca="false">IF(K131&lt;&gt;"",K131,IF(L131&lt;&gt;"",L131-H131+1,IF(M131="Y",I131,MAX(O60+1+G131,ASOF))))</f>
        <v>46434</v>
      </c>
      <c r="O131" s="80" t="n">
        <f aca="false">IF(L131&lt;&gt;"",L131,IF(M131="Y",J131,WORKDAY((MAX(N131+H131-1,ASOF))-1,1,HOLIDAYS)))</f>
        <v>46436</v>
      </c>
      <c r="P131" s="36" t="str">
        <f aca="false">IFERROR(INDEX(ST_LABEL,MATCH(T131,ST_CODE,0)),T131)</f>
        <v>ยังไม่เริ่ม</v>
      </c>
      <c r="Q131" s="376" t="n">
        <f aca="false">IF(OR(J131="",O131=""),"",O131-J131)</f>
        <v>-3</v>
      </c>
      <c r="R131" s="31"/>
      <c r="S131" s="31" t="n">
        <v>1</v>
      </c>
      <c r="T131" s="31" t="str">
        <f aca="false">IF(O131="","BL",IF(AND(L131&lt;&gt;"",L131&lt;=ASOF),"DN",IF(M131="Y","DY",IF(L131&lt;&gt;"","AP",IF(N131&lt;=ASOF,"IP","NS")))))</f>
        <v>NS</v>
      </c>
      <c r="U131" s="388" t="n">
        <f aca="false">IF(AND(LEFT(T131,1)&lt;&gt;"D",T131&lt;&gt;"NA",T131&lt;&gt;"BL",ISNUMBER(N131)),N131+ROW()/10000,"")</f>
        <v>46434.0131</v>
      </c>
      <c r="V131" s="377" t="n">
        <f aca="false">IF(LEFT(T131,1)="D",1,IF(T131="NA",0,MIN(1,0)))</f>
        <v>0</v>
      </c>
      <c r="W131" s="36" t="s">
        <v>1627</v>
      </c>
      <c r="X131" s="31"/>
      <c r="Y131" s="31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</row>
    <row r="134" customFormat="false" ht="15" hidden="false" customHeight="false" outlineLevel="0" collapsed="false">
      <c r="A134" s="393" t="s">
        <v>3634</v>
      </c>
      <c r="D134" s="64" t="s">
        <v>3635</v>
      </c>
    </row>
    <row r="135" customFormat="false" ht="15" hidden="false" customHeight="false" outlineLevel="0" collapsed="false">
      <c r="B135" s="394" t="s">
        <v>3636</v>
      </c>
      <c r="D135" s="394" t="s">
        <v>582</v>
      </c>
      <c r="E135" s="394" t="s">
        <v>585</v>
      </c>
      <c r="I135" s="395" t="s">
        <v>527</v>
      </c>
      <c r="J135" s="395" t="s">
        <v>3637</v>
      </c>
      <c r="K135" s="395" t="s">
        <v>3638</v>
      </c>
      <c r="L135" s="395" t="s">
        <v>3639</v>
      </c>
      <c r="O135" s="394" t="s">
        <v>3640</v>
      </c>
      <c r="P135" s="394" t="s">
        <v>3641</v>
      </c>
    </row>
    <row r="136" customFormat="false" ht="15" hidden="false" customHeight="false" outlineLevel="0" collapsed="false">
      <c r="B136" s="396" t="s">
        <v>609</v>
      </c>
      <c r="D136" s="397" t="n">
        <f aca="false">SUMPRODUCT((SITE_ST="P9-020")*(SITE_TYPE=$B136)*(SITE_TYPE&lt;&gt;""))</f>
        <v>0</v>
      </c>
      <c r="E136" s="397" t="n">
        <f aca="false">SUMPRODUCT((SITE_ST="P9-020")*(SITE_TYPE=$B136)*SITE_MOD)</f>
        <v>0</v>
      </c>
      <c r="I136" s="398" t="n">
        <f aca="false">SUMPRODUCT((SITE_ST="P9-020")*(SITE_TYPE=$B136)*SITE_KWP)</f>
        <v>0</v>
      </c>
      <c r="J136" s="35" t="str">
        <f aca="false">IF(SUMPRODUCT((SITE_ST="P9-020")*(SITE_TYPE=$B136)*(SITE_TYPE&lt;&gt;""))=0,"",SUMPRODUCT((SITE_ST="P9-020")*(SITE_TYPE=$B136)*SITE_S21*SITE_D21)/MAX(0.0001,SUMPRODUCT((SITE_ST="P9-020")*(SITE_TYPE=$B136)*SITE_S21)))</f>
        <v/>
      </c>
      <c r="K136" s="32" t="str">
        <f aca="false">IF(SUMPRODUCT((SITE_ST="P9-020")*(SITE_TYPE=$B136)*(SITE_TYPE&lt;&gt;""))=0,"",SUMPRODUCT((SITE_ST="P9-020")*(SITE_TYPE=$B136)*(SITE_TYPE&lt;&gt;"")*(SITE_T22="Y"))&amp;"/"&amp;SUMPRODUCT((SITE_ST="P9-020")*(SITE_TYPE=$B136)*(SITE_TYPE&lt;&gt;"")))</f>
        <v/>
      </c>
      <c r="L136" s="32" t="str">
        <f aca="false">IF(SUMPRODUCT((SITE_ST="P9-020")*(SITE_TYPE=$B136)*(SITE_TYPE&lt;&gt;""))=0,"",SUMPRODUCT((SITE_ST="P9-020")*(SITE_TYPE=$B136)*(SITE_TYPE&lt;&gt;"")*(SITE_T23="Y"))&amp;"/"&amp;SUMPRODUCT((SITE_ST="P9-020")*(SITE_TYPE=$B136)*(SITE_TYPE&lt;&gt;"")))</f>
        <v/>
      </c>
      <c r="O136" s="32" t="str">
        <f aca="false">IF(SUMPRODUCT((SITE_ST="P9-020")*(SITE_TYPE=$B136)*(LEFT(SITE_LAD,4)="ติด:"))=0,"",SUMPRODUCT((SITE_ST="P9-020")*(SITE_TYPE=$B136)*(LEFT(SITE_LAD,4)="ติด:"))&amp;" จุด")</f>
        <v/>
      </c>
      <c r="P136" s="399" t="s">
        <v>3642</v>
      </c>
    </row>
    <row r="137" customFormat="false" ht="15" hidden="false" customHeight="false" outlineLevel="0" collapsed="false">
      <c r="B137" s="396" t="s">
        <v>624</v>
      </c>
      <c r="D137" s="397" t="n">
        <f aca="false">SUMPRODUCT((SITE_ST="P9-020")*(SITE_TYPE=$B137)*(SITE_TYPE&lt;&gt;""))</f>
        <v>0</v>
      </c>
      <c r="E137" s="397" t="n">
        <f aca="false">SUMPRODUCT((SITE_ST="P9-020")*(SITE_TYPE=$B137)*SITE_MOD)</f>
        <v>0</v>
      </c>
      <c r="I137" s="398" t="n">
        <f aca="false">SUMPRODUCT((SITE_ST="P9-020")*(SITE_TYPE=$B137)*SITE_KWP)</f>
        <v>0</v>
      </c>
      <c r="J137" s="35" t="str">
        <f aca="false">IF(SUMPRODUCT((SITE_ST="P9-020")*(SITE_TYPE=$B137)*(SITE_TYPE&lt;&gt;""))=0,"",SUMPRODUCT((SITE_ST="P9-020")*(SITE_TYPE=$B137)*SITE_S21*SITE_D21)/MAX(0.0001,SUMPRODUCT((SITE_ST="P9-020")*(SITE_TYPE=$B137)*SITE_S21)))</f>
        <v/>
      </c>
      <c r="K137" s="32" t="str">
        <f aca="false">IF(SUMPRODUCT((SITE_ST="P9-020")*(SITE_TYPE=$B137)*(SITE_TYPE&lt;&gt;""))=0,"",SUMPRODUCT((SITE_ST="P9-020")*(SITE_TYPE=$B137)*(SITE_TYPE&lt;&gt;"")*(SITE_T22="Y"))&amp;"/"&amp;SUMPRODUCT((SITE_ST="P9-020")*(SITE_TYPE=$B137)*(SITE_TYPE&lt;&gt;"")))</f>
        <v/>
      </c>
      <c r="L137" s="32" t="str">
        <f aca="false">IF(SUMPRODUCT((SITE_ST="P9-020")*(SITE_TYPE=$B137)*(SITE_TYPE&lt;&gt;""))=0,"",SUMPRODUCT((SITE_ST="P9-020")*(SITE_TYPE=$B137)*(SITE_TYPE&lt;&gt;"")*(SITE_T23="Y"))&amp;"/"&amp;SUMPRODUCT((SITE_ST="P9-020")*(SITE_TYPE=$B137)*(SITE_TYPE&lt;&gt;"")))</f>
        <v/>
      </c>
      <c r="O137" s="32" t="str">
        <f aca="false">IF(SUMPRODUCT((SITE_ST="P9-020")*(SITE_TYPE=$B137)*(LEFT(SITE_LAD,4)="ติด:"))=0,"",SUMPRODUCT((SITE_ST="P9-020")*(SITE_TYPE=$B137)*(LEFT(SITE_LAD,4)="ติด:"))&amp;" จุด")</f>
        <v/>
      </c>
      <c r="P137" s="399" t="s">
        <v>3643</v>
      </c>
    </row>
    <row r="138" customFormat="false" ht="15" hidden="false" customHeight="false" outlineLevel="0" collapsed="false">
      <c r="B138" s="396" t="s">
        <v>631</v>
      </c>
      <c r="D138" s="397" t="n">
        <f aca="false">SUMPRODUCT((SITE_ST="P9-020")*(SITE_TYPE=$B138)*(SITE_TYPE&lt;&gt;""))</f>
        <v>0</v>
      </c>
      <c r="E138" s="397" t="n">
        <f aca="false">SUMPRODUCT((SITE_ST="P9-020")*(SITE_TYPE=$B138)*SITE_MOD)</f>
        <v>0</v>
      </c>
      <c r="I138" s="398" t="n">
        <f aca="false">SUMPRODUCT((SITE_ST="P9-020")*(SITE_TYPE=$B138)*SITE_KWP)</f>
        <v>0</v>
      </c>
      <c r="J138" s="35" t="str">
        <f aca="false">IF(SUMPRODUCT((SITE_ST="P9-020")*(SITE_TYPE=$B138)*(SITE_TYPE&lt;&gt;""))=0,"",SUMPRODUCT((SITE_ST="P9-020")*(SITE_TYPE=$B138)*SITE_S21*SITE_D21)/MAX(0.0001,SUMPRODUCT((SITE_ST="P9-020")*(SITE_TYPE=$B138)*SITE_S21)))</f>
        <v/>
      </c>
      <c r="K138" s="32" t="str">
        <f aca="false">IF(SUMPRODUCT((SITE_ST="P9-020")*(SITE_TYPE=$B138)*(SITE_TYPE&lt;&gt;""))=0,"",SUMPRODUCT((SITE_ST="P9-020")*(SITE_TYPE=$B138)*(SITE_TYPE&lt;&gt;"")*(SITE_T22="Y"))&amp;"/"&amp;SUMPRODUCT((SITE_ST="P9-020")*(SITE_TYPE=$B138)*(SITE_TYPE&lt;&gt;"")))</f>
        <v/>
      </c>
      <c r="L138" s="32" t="str">
        <f aca="false">IF(SUMPRODUCT((SITE_ST="P9-020")*(SITE_TYPE=$B138)*(SITE_TYPE&lt;&gt;""))=0,"",SUMPRODUCT((SITE_ST="P9-020")*(SITE_TYPE=$B138)*(SITE_TYPE&lt;&gt;"")*(SITE_T23="Y"))&amp;"/"&amp;SUMPRODUCT((SITE_ST="P9-020")*(SITE_TYPE=$B138)*(SITE_TYPE&lt;&gt;"")))</f>
        <v/>
      </c>
      <c r="O138" s="32" t="str">
        <f aca="false">IF(SUMPRODUCT((SITE_ST="P9-020")*(SITE_TYPE=$B138)*(LEFT(SITE_LAD,4)="ติด:"))=0,"",SUMPRODUCT((SITE_ST="P9-020")*(SITE_TYPE=$B138)*(LEFT(SITE_LAD,4)="ติด:"))&amp;" จุด")</f>
        <v/>
      </c>
      <c r="P138" s="399" t="s">
        <v>3644</v>
      </c>
    </row>
    <row r="139" customFormat="false" ht="15" hidden="false" customHeight="false" outlineLevel="0" collapsed="false">
      <c r="B139" s="396" t="s">
        <v>640</v>
      </c>
      <c r="D139" s="397" t="n">
        <f aca="false">SUMPRODUCT((SITE_ST="P9-020")*(SITE_TYPE=$B139)*(SITE_TYPE&lt;&gt;""))</f>
        <v>0</v>
      </c>
      <c r="E139" s="397" t="n">
        <f aca="false">SUMPRODUCT((SITE_ST="P9-020")*(SITE_TYPE=$B139)*SITE_MOD)</f>
        <v>0</v>
      </c>
      <c r="I139" s="398" t="n">
        <f aca="false">SUMPRODUCT((SITE_ST="P9-020")*(SITE_TYPE=$B139)*SITE_KWP)</f>
        <v>0</v>
      </c>
      <c r="J139" s="35" t="str">
        <f aca="false">IF(SUMPRODUCT((SITE_ST="P9-020")*(SITE_TYPE=$B139)*(SITE_TYPE&lt;&gt;""))=0,"",SUMPRODUCT((SITE_ST="P9-020")*(SITE_TYPE=$B139)*SITE_S21*SITE_D21)/MAX(0.0001,SUMPRODUCT((SITE_ST="P9-020")*(SITE_TYPE=$B139)*SITE_S21)))</f>
        <v/>
      </c>
      <c r="K139" s="32" t="str">
        <f aca="false">IF(SUMPRODUCT((SITE_ST="P9-020")*(SITE_TYPE=$B139)*(SITE_TYPE&lt;&gt;""))=0,"",SUMPRODUCT((SITE_ST="P9-020")*(SITE_TYPE=$B139)*(SITE_TYPE&lt;&gt;"")*(SITE_T22="Y"))&amp;"/"&amp;SUMPRODUCT((SITE_ST="P9-020")*(SITE_TYPE=$B139)*(SITE_TYPE&lt;&gt;"")))</f>
        <v/>
      </c>
      <c r="L139" s="32" t="str">
        <f aca="false">IF(SUMPRODUCT((SITE_ST="P9-020")*(SITE_TYPE=$B139)*(SITE_TYPE&lt;&gt;""))=0,"",SUMPRODUCT((SITE_ST="P9-020")*(SITE_TYPE=$B139)*(SITE_TYPE&lt;&gt;"")*(SITE_T23="Y"))&amp;"/"&amp;SUMPRODUCT((SITE_ST="P9-020")*(SITE_TYPE=$B139)*(SITE_TYPE&lt;&gt;"")))</f>
        <v/>
      </c>
      <c r="O139" s="32" t="str">
        <f aca="false">IF(SUMPRODUCT((SITE_ST="P9-020")*(SITE_TYPE=$B139)*(LEFT(SITE_LAD,4)="ติด:"))=0,"",SUMPRODUCT((SITE_ST="P9-020")*(SITE_TYPE=$B139)*(LEFT(SITE_LAD,4)="ติด:"))&amp;" จุด")</f>
        <v/>
      </c>
      <c r="P139" s="399" t="s">
        <v>750</v>
      </c>
    </row>
    <row r="140" customFormat="false" ht="15" hidden="false" customHeight="false" outlineLevel="0" collapsed="false">
      <c r="B140" s="396" t="s">
        <v>651</v>
      </c>
      <c r="D140" s="397" t="n">
        <f aca="false">SUMPRODUCT((SITE_ST="P9-020")*(SITE_TYPE=$B140)*(SITE_TYPE&lt;&gt;""))</f>
        <v>0</v>
      </c>
      <c r="E140" s="397" t="n">
        <f aca="false">SUMPRODUCT((SITE_ST="P9-020")*(SITE_TYPE=$B140)*SITE_MOD)</f>
        <v>0</v>
      </c>
      <c r="I140" s="398" t="n">
        <f aca="false">SUMPRODUCT((SITE_ST="P9-020")*(SITE_TYPE=$B140)*SITE_KWP)</f>
        <v>0</v>
      </c>
      <c r="J140" s="35" t="str">
        <f aca="false">IF(SUMPRODUCT((SITE_ST="P9-020")*(SITE_TYPE=$B140)*(SITE_TYPE&lt;&gt;""))=0,"",SUMPRODUCT((SITE_ST="P9-020")*(SITE_TYPE=$B140)*SITE_S21*SITE_D21)/MAX(0.0001,SUMPRODUCT((SITE_ST="P9-020")*(SITE_TYPE=$B140)*SITE_S21)))</f>
        <v/>
      </c>
      <c r="K140" s="32" t="str">
        <f aca="false">IF(SUMPRODUCT((SITE_ST="P9-020")*(SITE_TYPE=$B140)*(SITE_TYPE&lt;&gt;""))=0,"",SUMPRODUCT((SITE_ST="P9-020")*(SITE_TYPE=$B140)*(SITE_TYPE&lt;&gt;"")*(SITE_T22="Y"))&amp;"/"&amp;SUMPRODUCT((SITE_ST="P9-020")*(SITE_TYPE=$B140)*(SITE_TYPE&lt;&gt;"")))</f>
        <v/>
      </c>
      <c r="L140" s="32" t="str">
        <f aca="false">IF(SUMPRODUCT((SITE_ST="P9-020")*(SITE_TYPE=$B140)*(SITE_TYPE&lt;&gt;""))=0,"",SUMPRODUCT((SITE_ST="P9-020")*(SITE_TYPE=$B140)*(SITE_TYPE&lt;&gt;"")*(SITE_T23="Y"))&amp;"/"&amp;SUMPRODUCT((SITE_ST="P9-020")*(SITE_TYPE=$B140)*(SITE_TYPE&lt;&gt;"")))</f>
        <v/>
      </c>
      <c r="O140" s="32" t="str">
        <f aca="false">IF(SUMPRODUCT((SITE_ST="P9-020")*(SITE_TYPE=$B140)*(LEFT(SITE_LAD,4)="ติด:"))=0,"",SUMPRODUCT((SITE_ST="P9-020")*(SITE_TYPE=$B140)*(LEFT(SITE_LAD,4)="ติด:"))&amp;" จุด")</f>
        <v/>
      </c>
      <c r="P140" s="399" t="s">
        <v>770</v>
      </c>
    </row>
    <row r="141" customFormat="false" ht="15" hidden="false" customHeight="false" outlineLevel="0" collapsed="false">
      <c r="B141" s="400" t="s">
        <v>663</v>
      </c>
      <c r="D141" s="397" t="n">
        <f aca="false">SUMPRODUCT((SITE_ST="P9-020")*(SITE_TYPE=$B141)*(SITE_TYPE&lt;&gt;""))</f>
        <v>1</v>
      </c>
      <c r="E141" s="397" t="n">
        <f aca="false">SUMPRODUCT((SITE_ST="P9-020")*(SITE_TYPE=$B141)*SITE_MOD)</f>
        <v>492</v>
      </c>
      <c r="I141" s="398" t="n">
        <f aca="false">SUMPRODUCT((SITE_ST="P9-020")*(SITE_TYPE=$B141)*SITE_KWP)</f>
        <v>280.44</v>
      </c>
      <c r="J141" s="35" t="n">
        <f aca="false">IF(SUMPRODUCT((SITE_ST="P9-020")*(SITE_TYPE=$B141)*(SITE_TYPE&lt;&gt;""))=0,"",SUMPRODUCT((SITE_ST="P9-020")*(SITE_TYPE=$B141)*SITE_S21*SITE_D21)/MAX(0.0001,SUMPRODUCT((SITE_ST="P9-020")*(SITE_TYPE=$B141)*SITE_S21)))</f>
        <v>0</v>
      </c>
      <c r="K141" s="32" t="str">
        <f aca="false">IF(SUMPRODUCT((SITE_ST="P9-020")*(SITE_TYPE=$B141)*(SITE_TYPE&lt;&gt;""))=0,"",SUMPRODUCT((SITE_ST="P9-020")*(SITE_TYPE=$B141)*(SITE_TYPE&lt;&gt;"")*(SITE_T22="Y"))&amp;"/"&amp;SUMPRODUCT((SITE_ST="P9-020")*(SITE_TYPE=$B141)*(SITE_TYPE&lt;&gt;"")))</f>
        <v>0/1</v>
      </c>
      <c r="L141" s="32" t="str">
        <f aca="false">IF(SUMPRODUCT((SITE_ST="P9-020")*(SITE_TYPE=$B141)*(SITE_TYPE&lt;&gt;""))=0,"",SUMPRODUCT((SITE_ST="P9-020")*(SITE_TYPE=$B141)*(SITE_TYPE&lt;&gt;"")*(SITE_T23="Y"))&amp;"/"&amp;SUMPRODUCT((SITE_ST="P9-020")*(SITE_TYPE=$B141)*(SITE_TYPE&lt;&gt;"")))</f>
        <v>0/1</v>
      </c>
      <c r="O141" s="32" t="str">
        <f aca="false">IF(SUMPRODUCT((SITE_ST="P9-020")*(SITE_TYPE=$B141)*(LEFT(SITE_LAD,4)="ติด:"))=0,"",SUMPRODUCT((SITE_ST="P9-020")*(SITE_TYPE=$B141)*(LEFT(SITE_LAD,4)="ติด:"))&amp;" จุด")</f>
        <v/>
      </c>
      <c r="P141" s="401" t="s">
        <v>3645</v>
      </c>
    </row>
    <row r="142" customFormat="false" ht="15" hidden="false" customHeight="false" outlineLevel="0" collapsed="false">
      <c r="B142" s="402" t="s">
        <v>1741</v>
      </c>
      <c r="D142" s="403" t="n">
        <f aca="false">SUMPRODUCT((SITE_ST="P9-020")*(SITE_TYPE&lt;&gt;""))</f>
        <v>1</v>
      </c>
      <c r="E142" s="403" t="n">
        <f aca="false">SUMPRODUCT((SITE_ST="P9-020")*SITE_MOD)</f>
        <v>492</v>
      </c>
      <c r="I142" s="404" t="n">
        <f aca="false">SUMPRODUCT((SITE_ST="P9-020")*SITE_KWP)</f>
        <v>280.44</v>
      </c>
      <c r="J142" s="405" t="n">
        <f aca="false">IF(SUMPRODUCT((SITE_ST="P9-020")*(SITE_TYPE&lt;&gt;""))=0,"",SUMPRODUCT((SITE_ST="P9-020")*SITE_S21*SITE_D21)/MAX(0.0001,SUMPRODUCT((SITE_ST="P9-020")*SITE_S21)))</f>
        <v>0</v>
      </c>
      <c r="K142" s="406" t="str">
        <f aca="false">IF(SUMPRODUCT((SITE_ST="P9-020")*(SITE_TYPE&lt;&gt;""))=0,"",SUMPRODUCT((SITE_ST="P9-020")*(SITE_TYPE&lt;&gt;"")*(SITE_T22="Y"))&amp;"/"&amp;SUMPRODUCT((SITE_ST="P9-020")*(SITE_TYPE&lt;&gt;"")))</f>
        <v>0/1</v>
      </c>
      <c r="L142" s="406" t="str">
        <f aca="false">IF(SUMPRODUCT((SITE_ST="P9-020")*(SITE_TYPE&lt;&gt;""))=0,"",SUMPRODUCT((SITE_ST="P9-020")*(SITE_TYPE&lt;&gt;"")*(SITE_T23="Y"))&amp;"/"&amp;SUMPRODUCT((SITE_ST="P9-020")*(SITE_TYPE&lt;&gt;"")))</f>
        <v>0/1</v>
      </c>
      <c r="O142" s="406" t="str">
        <f aca="false">IF(SUMPRODUCT((SITE_ST="P9-020")*(LEFT(SITE_LAD,4)="ติด:"))=0,"",SUMPRODUCT((SITE_ST="P9-020")*(LEFT(SITE_LAD,4)="ติด:"))&amp;" จุด")</f>
        <v/>
      </c>
      <c r="P142" s="402"/>
    </row>
    <row r="143" customFormat="false" ht="15" hidden="false" customHeight="false" outlineLevel="0" collapsed="false">
      <c r="B143" s="72" t="s">
        <v>3646</v>
      </c>
    </row>
    <row r="145" customFormat="false" ht="16.4" hidden="false" customHeight="false" outlineLevel="0" collapsed="false">
      <c r="A145" s="407" t="s">
        <v>3647</v>
      </c>
    </row>
    <row r="146" customFormat="false" ht="15" hidden="false" customHeight="false" outlineLevel="0" collapsed="false">
      <c r="B146" s="212" t="s">
        <v>3648</v>
      </c>
      <c r="D146" s="408" t="str">
        <f aca="false">IFERROR(INDEX(INVS_TYPE,MATCH("P9-020",INVS_ID,0))&amp;"","")</f>
        <v>สร้างใหม่ (E09)</v>
      </c>
      <c r="E146" s="408"/>
      <c r="F146" s="408"/>
      <c r="G146" s="408"/>
      <c r="H146" s="408"/>
      <c r="I146" s="408"/>
      <c r="J146" s="408"/>
      <c r="K146" s="72" t="str">
        <f aca="false">IF($D$146="","ยังไม่เลือก — งาน 2.5.1 นับแบบติ๊ก Y ทั้งก้อน",IFERROR(INDEX(INVS_SET,MATCH("P9-020",INVS_ID,0)),"")&amp;" kW, โรงเรือน "&amp;IFERROR(INDEX(INVS_SIZE,MATCH("P9-020",INVS_ID,0)),"")&amp;", "&amp;IFERROR(INDEX(INV_NOTE,MATCH($D$146,INV_NAMES,0)),""))</f>
        <v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409" t="s">
        <v>3649</v>
      </c>
      <c r="E147" s="410" t="s">
        <v>3650</v>
      </c>
      <c r="I147" s="409" t="s">
        <v>3651</v>
      </c>
    </row>
    <row r="148" customFormat="false" ht="24" hidden="false" customHeight="true" outlineLevel="0" collapsed="false">
      <c r="A148" s="314" t="s">
        <v>3652</v>
      </c>
      <c r="B148" s="147" t="str">
        <f aca="false">IF($D$146="","วางผัง / สำรวจ",IFERROR(VLOOKUP($D$146&amp;"|1",INV_TBL,4,0),""))</f>
        <v>วางผัง + ตรวจท่อ/สายใต้ดิน + ระดับพื้น, ตำแหน่งใกล้จุดเชื่อม (MDB)</v>
      </c>
      <c r="E148" s="56" t="n">
        <f aca="false">IF($D$146="","",IFERROR(VLOOKUP($D$146&amp;"|1",INV_TBL,5,0),0))</f>
        <v>5</v>
      </c>
      <c r="I148" s="392"/>
    </row>
    <row r="149" customFormat="false" ht="24" hidden="false" customHeight="true" outlineLevel="0" collapsed="false">
      <c r="A149" s="314" t="s">
        <v>3653</v>
      </c>
      <c r="B149" s="147" t="str">
        <f aca="false">IF($D$146="","ฐาน / จุดยึด",IFERROR(VLOOKUP($D$146&amp;"|2",INV_TBL,4,0),""))</f>
        <v>ฐานรากเสา คสล. + บ่มคอนกรีต</v>
      </c>
      <c r="E149" s="56" t="n">
        <f aca="false">IF($D$146="","",IFERROR(VLOOKUP($D$146&amp;"|2",INV_TBL,5,0),0))</f>
        <v>20</v>
      </c>
      <c r="I149" s="392"/>
    </row>
    <row r="150" customFormat="false" ht="24" hidden="false" customHeight="true" outlineLevel="0" collapsed="false">
      <c r="A150" s="314" t="s">
        <v>3654</v>
      </c>
      <c r="B150" s="147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6" t="n">
        <f aca="false">IF($D$146="","",IFERROR(VLOOKUP($D$146&amp;"|3",INV_TBL,5,0),0))</f>
        <v>30</v>
      </c>
      <c r="I150" s="392"/>
    </row>
    <row r="151" customFormat="false" ht="24" hidden="false" customHeight="true" outlineLevel="0" collapsed="false">
      <c r="A151" s="314" t="s">
        <v>3655</v>
      </c>
      <c r="B151" s="147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6" t="n">
        <f aca="false">IF($D$146="","",IFERROR(VLOOKUP($D$146&amp;"|4",INV_TBL,5,0),0))</f>
        <v>25</v>
      </c>
      <c r="I151" s="392"/>
    </row>
    <row r="152" customFormat="false" ht="24" hidden="false" customHeight="true" outlineLevel="0" collapsed="false">
      <c r="A152" s="314" t="s">
        <v>3656</v>
      </c>
      <c r="B152" s="147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6" t="n">
        <f aca="false">IF($D$146="","",IFERROR(VLOOKUP($D$146&amp;"|5",INV_TBL,5,0),0))</f>
        <v>10</v>
      </c>
      <c r="I152" s="392"/>
    </row>
    <row r="153" customFormat="false" ht="24" hidden="false" customHeight="true" outlineLevel="0" collapsed="false">
      <c r="A153" s="314" t="s">
        <v>3657</v>
      </c>
      <c r="B153" s="147" t="str">
        <f aca="false">IF($D$146="","ตรวจรับ ICL",IFERROR(VLOOKUP($D$146&amp;"|6",INV_TBL,4,0),""))</f>
        <v>ICL โครงสร้าง: แนวดิ่ง / ระดับ / สนิม, ระยะเว้นรอบ Inverter ตามคู่มือผู้ผลิต</v>
      </c>
      <c r="E153" s="56" t="n">
        <f aca="false">IF($D$146="","",IFERROR(VLOOKUP($D$146&amp;"|6",INV_TBL,5,0),0))</f>
        <v>10</v>
      </c>
      <c r="I153" s="392"/>
    </row>
    <row r="154" customFormat="false" ht="15" hidden="false" customHeight="false" outlineLevel="0" collapsed="false">
      <c r="B154" s="411" t="s">
        <v>3658</v>
      </c>
      <c r="I154" s="412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4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61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2">
      <formula>AND(ASOF&gt;=AA$7,ASOF&lt;AA$7+7)</formula>
    </cfRule>
  </conditionalFormatting>
  <conditionalFormatting sqref="AA8:BV131">
    <cfRule type="expression" priority="10" aboveAverage="0" equalAverage="0" bottom="0" percent="0" rank="0" text="" dxfId="63">
      <formula>AND($S8=0,ISNUMBER($N8),$N8&lt;=AA$7+6,$O8&gt;=AA$7)</formula>
    </cfRule>
    <cfRule type="expression" priority="11" aboveAverage="0" equalAverage="0" bottom="0" percent="0" rank="0" text="" dxfId="64">
      <formula>AND($S8&gt;=1,LEFT($T8,1)="D",ISNUMBER($N8),$N8&lt;=AA$7+6,$O8&gt;=AA$7)</formula>
    </cfRule>
    <cfRule type="expression" priority="12" aboveAverage="0" equalAverage="0" bottom="0" percent="0" rank="0" text="" dxfId="65">
      <formula>AND($S8&gt;=1,$T8="AP",ISNUMBER($N8),$N8&lt;=AA$7+6,$O8&gt;=AA$7)</formula>
    </cfRule>
    <cfRule type="expression" priority="13" aboveAverage="0" equalAverage="0" bottom="0" percent="0" rank="0" text="" dxfId="66">
      <formula>AND($S8&gt;=1,ISNUMBER($N8),$N8&lt;=AA$7+6,$O8&gt;=AA$7)</formula>
    </cfRule>
    <cfRule type="expression" priority="14" aboveAverage="0" equalAverage="0" bottom="0" percent="0" rank="0" text="" dxfId="53">
      <formula>AND($S8&gt;=1,ISNUMBER($I8),$I8&lt;=AA$7+6,$J8&gt;=AA$7)</formula>
    </cfRule>
    <cfRule type="expression" priority="15" aboveAverage="0" equalAverage="0" bottom="0" percent="0" rank="0" text="" dxfId="67">
      <formula>AND(ASOF&gt;=AA$7,ASOF&lt;AA$7+7)</formula>
    </cfRule>
  </conditionalFormatting>
  <conditionalFormatting sqref="B136:P136">
    <cfRule type="expression" priority="16" aboveAverage="0" equalAverage="0" bottom="0" percent="0" rank="0" text="" dxfId="68">
      <formula>$D$136=0</formula>
    </cfRule>
  </conditionalFormatting>
  <conditionalFormatting sqref="B137:P137">
    <cfRule type="expression" priority="17" aboveAverage="0" equalAverage="0" bottom="0" percent="0" rank="0" text="" dxfId="68">
      <formula>$D$137=0</formula>
    </cfRule>
  </conditionalFormatting>
  <conditionalFormatting sqref="B138:P138">
    <cfRule type="expression" priority="18" aboveAverage="0" equalAverage="0" bottom="0" percent="0" rank="0" text="" dxfId="68">
      <formula>$D$138=0</formula>
    </cfRule>
  </conditionalFormatting>
  <conditionalFormatting sqref="B139:P139">
    <cfRule type="expression" priority="19" aboveAverage="0" equalAverage="0" bottom="0" percent="0" rank="0" text="" dxfId="68">
      <formula>$D$139=0</formula>
    </cfRule>
  </conditionalFormatting>
  <conditionalFormatting sqref="B140:P140">
    <cfRule type="expression" priority="20" aboveAverage="0" equalAverage="0" bottom="0" percent="0" rank="0" text="" dxfId="68">
      <formula>$D$140=0</formula>
    </cfRule>
  </conditionalFormatting>
  <conditionalFormatting sqref="B141:P141">
    <cfRule type="expression" priority="21" aboveAverage="0" equalAverage="0" bottom="0" percent="0" rank="0" text="" dxfId="68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7" display="✎ กรอกความคืบหน้า"/>
    <hyperlink ref="R4" location="'Master Plan'!A27" display="← กลับ Master Plan"/>
    <hyperlink ref="M10" location="'อัปเดตงาน WBS'!L156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4"/>
    <hyperlink ref="M11" location="'อัปเดตงาน WBS'!L156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5"/>
    <hyperlink ref="M12" location="'อัปเดตงาน WBS'!L156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6"/>
    <hyperlink ref="M13" location="'อัปเดตงาน WBS'!L156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7"/>
    <hyperlink ref="M14" location="'อัปเดตงาน WBS'!L156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8"/>
    <hyperlink ref="M15" location="'อัปเดตงาน WBS'!L156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69"/>
    <hyperlink ref="M17" location="'อัปเดตงาน WBS'!L157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0"/>
    <hyperlink ref="M18" location="'อัปเดตงาน WBS'!L157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1"/>
    <hyperlink ref="M19" location="'อัปเดตงาน WBS'!L157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2"/>
    <hyperlink ref="M20" location="'อัปเดตงาน WBS'!L157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3"/>
    <hyperlink ref="M21" location="'อัปเดตงาน WBS'!L157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4"/>
    <hyperlink ref="M22" location="'อัปเดตงาน WBS'!L157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5"/>
    <hyperlink ref="M24" location="'อัปเดตงาน WBS'!L157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6"/>
    <hyperlink ref="M26" location="'อัปเดตงาน WBS'!L157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7"/>
    <hyperlink ref="M27" location="'อัปเดตงาน WBS'!L157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8"/>
    <hyperlink ref="M28" location="'อัปเดตงาน WBS'!L157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79"/>
    <hyperlink ref="M31" location="'อัปเดตงาน WBS'!L158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0"/>
    <hyperlink ref="M32" location="'อัปเดตงาน WBS'!L158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1"/>
    <hyperlink ref="M33" location="'อัปเดตงาน WBS'!L158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2"/>
    <hyperlink ref="M35" location="'อัปเดตงาน WBS'!L158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3"/>
    <hyperlink ref="M36" location="'อัปเดตงาน WBS'!L158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4"/>
    <hyperlink ref="M37" location="'อัปเดตงาน WBS'!L158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5"/>
    <hyperlink ref="M38" location="'อัปเดตงาน WBS'!L158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6"/>
    <hyperlink ref="M40" location="'อัปเดตงาน WBS'!L158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7"/>
    <hyperlink ref="M41" location="'อัปเดตงาน WBS'!L158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8"/>
    <hyperlink ref="M42" location="'อัปเดตงาน WBS'!L158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89"/>
    <hyperlink ref="M44" location="'อัปเดตงาน WBS'!L159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0"/>
    <hyperlink ref="M45" location="'อัปเดตงาน WBS'!L159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1"/>
    <hyperlink ref="M46" location="'อัปเดตงาน WBS'!L159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2"/>
    <hyperlink ref="M48" location="'อัปเดตงาน WBS'!L159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3"/>
    <hyperlink ref="M49" location="'อัปเดตงาน WBS'!L159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4"/>
    <hyperlink ref="M51" location="'อัปเดตงาน WBS'!L159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5"/>
    <hyperlink ref="M53" location="'อัปเดตงาน WBS'!L159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6"/>
    <hyperlink ref="M54" location="'อัปเดตงาน WBS'!L159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7"/>
    <hyperlink ref="M63" location="'อัปเดตงาน WBS'!L159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8"/>
    <hyperlink ref="M64" location="'อัปเดตงาน WBS'!L159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599"/>
    <hyperlink ref="M65" location="'อัปเดตงาน WBS'!L160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0"/>
    <hyperlink ref="M66" location="'อัปเดตงาน WBS'!L160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1"/>
    <hyperlink ref="M67" location="'อัปเดตงาน WBS'!L160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2"/>
    <hyperlink ref="M68" location="'อัปเดตงาน WBS'!L160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3"/>
    <hyperlink ref="M69" location="'อัปเดตงาน WBS'!L160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4"/>
    <hyperlink ref="M71" location="'อัปเดตงาน WBS'!L160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5"/>
    <hyperlink ref="M72" location="'อัปเดตงาน WBS'!L160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6"/>
    <hyperlink ref="M73" location="'อัปเดตงาน WBS'!L160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7"/>
    <hyperlink ref="M74" location="'อัปเดตงาน WBS'!L160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8"/>
    <hyperlink ref="M75" location="'อัปเดตงาน WBS'!L160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09"/>
    <hyperlink ref="M77" location="'อัปเดตงาน WBS'!L161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0"/>
    <hyperlink ref="M78" location="'อัปเดตงาน WBS'!L161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1"/>
    <hyperlink ref="M79" location="'อัปเดตงาน WBS'!L161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2"/>
    <hyperlink ref="M80" location="'อัปเดตงาน WBS'!L161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3"/>
    <hyperlink ref="M81" location="'อัปเดตงาน WBS'!L161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4"/>
    <hyperlink ref="M83" location="'อัปเดตงาน WBS'!L161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5"/>
    <hyperlink ref="M84" location="'อัปเดตงาน WBS'!L161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6"/>
    <hyperlink ref="M86" location="'อัปเดตงาน WBS'!L161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7"/>
    <hyperlink ref="M87" location="'อัปเดตงาน WBS'!L161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8"/>
    <hyperlink ref="M88" location="'อัปเดตงาน WBS'!L161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19"/>
    <hyperlink ref="M89" location="'อัปเดตงาน WBS'!L162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0"/>
    <hyperlink ref="M91" location="'อัปเดตงาน WBS'!L162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1"/>
    <hyperlink ref="M92" location="'อัปเดตงาน WBS'!L162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2"/>
    <hyperlink ref="M93" location="'อัปเดตงาน WBS'!L162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3"/>
    <hyperlink ref="M94" location="'อัปเดตงาน WBS'!L162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4"/>
    <hyperlink ref="M95" location="'อัปเดตงาน WBS'!L162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5"/>
    <hyperlink ref="M97" location="'อัปเดตงาน WBS'!L162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6"/>
    <hyperlink ref="M98" location="'อัปเดตงาน WBS'!L162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7"/>
    <hyperlink ref="M99" location="'อัปเดตงาน WBS'!L162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8"/>
    <hyperlink ref="M103" location="'อัปเดตงาน WBS'!L162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29"/>
    <hyperlink ref="M104" location="'อัปเดตงาน WBS'!L163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0"/>
    <hyperlink ref="M105" location="'อัปเดตงาน WBS'!L163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1"/>
    <hyperlink ref="M106" location="'อัปเดตงาน WBS'!L163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2"/>
    <hyperlink ref="M108" location="'อัปเดตงาน WBS'!L163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3"/>
    <hyperlink ref="M109" location="'อัปเดตงาน WBS'!L163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4"/>
    <hyperlink ref="M110" location="'อัปเดตงาน WBS'!L163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5"/>
    <hyperlink ref="M112" location="'อัปเดตงาน WBS'!L163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6"/>
    <hyperlink ref="M113" location="'อัปเดตงาน WBS'!L1637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7"/>
    <hyperlink ref="M116" location="'อัปเดตงาน WBS'!L1638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8"/>
    <hyperlink ref="M117" location="'อัปเดตงาน WBS'!L1639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39"/>
    <hyperlink ref="M118" location="'อัปเดตงาน WBS'!L1640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0"/>
    <hyperlink ref="M119" location="'อัปเดตงาน WBS'!L1641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1"/>
    <hyperlink ref="M120" location="'อัปเดตงาน WBS'!L1642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2"/>
    <hyperlink ref="M121" location="'อัปเดตงาน WBS'!L1643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3"/>
    <hyperlink ref="M125" location="'อัปเดตงาน WBS'!L1644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4"/>
    <hyperlink ref="M126" location="'อัปเดตงาน WBS'!L1645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5"/>
    <hyperlink ref="M127" location="'อัปเดตงาน WBS'!L1646" display="file:///home/claude/dash/template/%E0%B9%81%E0%B8%A1%E0%B9%88%E0%B9%81%E0%B8%9A%E0%B8%9A%E0%B9%82%E0%B8%84%E0%B8%A3%E0%B8%87%E0%B8%81%E0%B8%B2%E0%B8%A3%20TCRoof%20(%E0%B8%97%E0%B8%B8%E0%B8%81%E0%B8%81%E0%B8%A3%E0%B8%93%E0%B8%B5).xlsx#'อัปเดตงาน WBS'!L1646"/>
    <hyperlink ref="D134" location="'จุดติดตั้ง'!A102" display="✎ เพิ่ม / แก้จุดติดตั้ง →"/>
    <hyperlink ref="D146" location="'Inverter station'!A25" display="file:///home/claude/dash/template/%E0%B9%81%E0%B8%A1%E0%B9%88%E0%B9%81%E0%B8%9A%E0%B8%9A%E0%B9%82%E0%B8%84%E0%B8%A3%E0%B8%87%E0%B8%81%E0%B8%B2%E0%B8%A3%20TCRoof%20(%E0%B8%97%E0%B8%B8%E0%B8%81%E0%B8%81%E0%B8%A3%E0%B8%93%E0%B8%B5).xlsx#'Inverter station'!A2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603</v>
      </c>
      <c r="B1" s="0" t="s">
        <v>3748</v>
      </c>
      <c r="C1" s="413" t="s">
        <v>573</v>
      </c>
      <c r="D1" s="413" t="s">
        <v>34</v>
      </c>
      <c r="E1" s="413" t="s">
        <v>35</v>
      </c>
      <c r="F1" s="413" t="s">
        <v>3749</v>
      </c>
      <c r="G1" s="413" t="s">
        <v>22</v>
      </c>
      <c r="H1" s="413" t="s">
        <v>15</v>
      </c>
      <c r="I1" s="0" t="s">
        <v>131</v>
      </c>
      <c r="J1" s="413" t="s">
        <v>574</v>
      </c>
      <c r="K1" s="413" t="s">
        <v>575</v>
      </c>
    </row>
    <row r="2" customFormat="false" ht="15" hidden="false" customHeight="false" outlineLevel="0" collapsed="false">
      <c r="A2" s="414" t="n">
        <f aca="false">IF(AND(ISNUMBER(B2),NOT(AND(ISNUMBER('Master Plan'!$N$8),N('Master Plan'!$N$8)&lt;=ASOF)),N(B2)&gt;=ASOF,N(B2)&lt;=ASOF+LOOKAHEAD),B2+ROW()/100000,"")</f>
        <v>46349.00002</v>
      </c>
      <c r="B2" s="302" t="n">
        <f aca="false">'Master Plan'!$Y$8</f>
        <v>46349</v>
      </c>
      <c r="C2" s="413" t="s">
        <v>3750</v>
      </c>
      <c r="D2" s="0" t="s">
        <v>42</v>
      </c>
      <c r="E2" s="413" t="s">
        <v>3751</v>
      </c>
      <c r="F2" s="413" t="s">
        <v>3752</v>
      </c>
      <c r="G2" s="0" t="s">
        <v>44</v>
      </c>
      <c r="H2" s="413" t="s">
        <v>3753</v>
      </c>
      <c r="I2" s="0" t="s">
        <v>131</v>
      </c>
      <c r="J2" s="0" t="str">
        <f aca="false">IF(ISNUMBER('Master Plan'!$N$8),"นัดแล้ว","ตามแผน")</f>
        <v>ตามแผน</v>
      </c>
      <c r="K2" s="413" t="s">
        <v>3754</v>
      </c>
    </row>
    <row r="3" customFormat="false" ht="15" hidden="false" customHeight="false" outlineLevel="0" collapsed="false">
      <c r="A3" s="0" t="str">
        <f aca="false">IF(AND(ISNUMBER(B3),NOT(AND(ISNUMBER('Master Plan'!$O$8),N('Master Plan'!$O$8)&lt;=ASOF)),N(B3)&gt;=ASOF,N(B3)&lt;=ASOF+LOOKAHEAD),B3+ROW()/100000,"")</f>
        <v/>
      </c>
      <c r="B3" s="302" t="n">
        <f aca="false">'Master Plan'!$Z$8</f>
        <v>46356</v>
      </c>
      <c r="C3" s="413" t="s">
        <v>3755</v>
      </c>
      <c r="D3" s="0" t="s">
        <v>42</v>
      </c>
      <c r="E3" s="413" t="s">
        <v>3751</v>
      </c>
      <c r="F3" s="413" t="s">
        <v>3752</v>
      </c>
      <c r="G3" s="0" t="s">
        <v>44</v>
      </c>
      <c r="H3" s="413" t="s">
        <v>3753</v>
      </c>
      <c r="I3" s="0" t="s">
        <v>131</v>
      </c>
      <c r="J3" s="0" t="str">
        <f aca="false">IF(ISNUMBER('Master Plan'!$O$8),"นัดแล้ว","ตามแผน")</f>
        <v>ตามแผน</v>
      </c>
      <c r="K3" s="413" t="s">
        <v>3753</v>
      </c>
    </row>
    <row r="4" customFormat="false" ht="15" hidden="false" customHeight="false" outlineLevel="0" collapsed="false">
      <c r="A4" s="0" t="str">
        <f aca="false">IF(AND(ISNUMBER(B4),NOT(AND(ISNUMBER('Master Plan'!$P$8),N('Master Plan'!$P$8)&lt;=ASOF)),N(B4)&gt;=ASOF,N(B4)&lt;=ASOF+LOOKAHEAD),B4+ROW()/100000,"")</f>
        <v/>
      </c>
      <c r="B4" s="302" t="n">
        <f aca="false">'Master Plan'!$AA$8</f>
        <v>46359</v>
      </c>
      <c r="C4" s="413" t="s">
        <v>3756</v>
      </c>
      <c r="D4" s="0" t="s">
        <v>42</v>
      </c>
      <c r="E4" s="413" t="s">
        <v>3751</v>
      </c>
      <c r="F4" s="413" t="s">
        <v>3752</v>
      </c>
      <c r="G4" s="0" t="s">
        <v>44</v>
      </c>
      <c r="H4" s="413" t="s">
        <v>3753</v>
      </c>
      <c r="I4" s="0" t="s">
        <v>131</v>
      </c>
      <c r="J4" s="0" t="str">
        <f aca="false">IF(ISNUMBER('Master Plan'!$P$8),"นัดแล้ว","ตามแผน")</f>
        <v>ตามแผน</v>
      </c>
      <c r="K4" s="413" t="s">
        <v>3754</v>
      </c>
    </row>
    <row r="5" customFormat="false" ht="15" hidden="false" customHeight="false" outlineLevel="0" collapsed="false">
      <c r="A5" s="0" t="str">
        <f aca="false">IF(AND(ISNUMBER(B5),NOT(AND(ISNUMBER('Master Plan'!$Q$8),N('Master Plan'!$Q$8)&lt;=ASOF)),N(B5)&gt;=ASOF,N(B5)&lt;=ASOF+LOOKAHEAD),B5+ROW()/100000,"")</f>
        <v/>
      </c>
      <c r="B5" s="302" t="n">
        <f aca="false">'Master Plan'!$AB$8</f>
        <v>46367</v>
      </c>
      <c r="C5" s="413" t="s">
        <v>3757</v>
      </c>
      <c r="D5" s="0" t="s">
        <v>42</v>
      </c>
      <c r="E5" s="413" t="s">
        <v>3751</v>
      </c>
      <c r="F5" s="413" t="s">
        <v>3752</v>
      </c>
      <c r="G5" s="0" t="s">
        <v>44</v>
      </c>
      <c r="H5" s="413" t="s">
        <v>3753</v>
      </c>
      <c r="I5" s="0" t="s">
        <v>131</v>
      </c>
      <c r="J5" s="0" t="str">
        <f aca="false">IF(ISNUMBER('Master Plan'!$Q$8),"นัดแล้ว","ตามแผน")</f>
        <v>ตามแผน</v>
      </c>
      <c r="K5" s="413" t="s">
        <v>3754</v>
      </c>
    </row>
    <row r="6" customFormat="false" ht="15" hidden="false" customHeight="false" outlineLevel="0" collapsed="false">
      <c r="A6" s="0" t="str">
        <f aca="false">IF(AND(ISNUMBER(B6),NOT(AND(ISNUMBER('Master Plan'!$R$8),N('Master Plan'!$R$8)&lt;=ASOF)),N(B6)&gt;=ASOF,N(B6)&lt;=ASOF+LOOKAHEAD),B6+ROW()/100000,"")</f>
        <v/>
      </c>
      <c r="B6" s="302" t="n">
        <f aca="false">'Master Plan'!$AC$8</f>
        <v>46356</v>
      </c>
      <c r="C6" s="413" t="s">
        <v>3758</v>
      </c>
      <c r="D6" s="0" t="s">
        <v>42</v>
      </c>
      <c r="E6" s="413" t="s">
        <v>3751</v>
      </c>
      <c r="F6" s="413" t="s">
        <v>3752</v>
      </c>
      <c r="G6" s="0" t="s">
        <v>44</v>
      </c>
      <c r="H6" s="413" t="s">
        <v>3753</v>
      </c>
      <c r="I6" s="0" t="s">
        <v>131</v>
      </c>
      <c r="J6" s="0" t="str">
        <f aca="false">IF(ISNUMBER('Master Plan'!$R$8),"นัดแล้ว","ตามแผน")</f>
        <v>ตามแผน</v>
      </c>
      <c r="K6" s="0" t="s">
        <v>131</v>
      </c>
    </row>
    <row r="7" customFormat="false" ht="15" hidden="false" customHeight="false" outlineLevel="0" collapsed="false">
      <c r="A7" s="0" t="str">
        <f aca="false">IF(AND(ISNUMBER(B7),NOT(AND(ISNUMBER('Master Plan'!$U$8),N('Master Plan'!$U$8)&lt;=ASOF)),N(B7)&gt;=ASOF,N(B7)&lt;=ASOF+LOOKAHEAD),B7+ROW()/100000,"")</f>
        <v/>
      </c>
      <c r="B7" s="302" t="n">
        <f aca="false">'Master Plan'!$AE$8</f>
        <v>46386</v>
      </c>
      <c r="C7" s="413" t="s">
        <v>3759</v>
      </c>
      <c r="D7" s="0" t="s">
        <v>42</v>
      </c>
      <c r="E7" s="413" t="s">
        <v>3751</v>
      </c>
      <c r="F7" s="413" t="s">
        <v>3752</v>
      </c>
      <c r="G7" s="0" t="s">
        <v>44</v>
      </c>
      <c r="H7" s="413" t="s">
        <v>3753</v>
      </c>
      <c r="I7" s="0" t="s">
        <v>131</v>
      </c>
      <c r="J7" s="0" t="str">
        <f aca="false">IF(ISNUMBER('Master Plan'!$U$8),"นัดแล้ว","ตามแผน")</f>
        <v>ตามแผน</v>
      </c>
      <c r="K7" s="0" t="s">
        <v>131</v>
      </c>
    </row>
    <row r="8" customFormat="false" ht="15" hidden="false" customHeight="false" outlineLevel="0" collapsed="false">
      <c r="A8" s="0" t="str">
        <f aca="false">IF(AND(ISNUMBER(B8),NOT(AND(ISNUMBER('Master Plan'!$V$8),N('Master Plan'!$V$8)&lt;=ASOF)),N(B8)&gt;=ASOF,N(B8)&lt;=ASOF+LOOKAHEAD),B8+ROW()/100000,"")</f>
        <v/>
      </c>
      <c r="B8" s="302" t="n">
        <f aca="false">'Master Plan'!$AF$8</f>
        <v>46391</v>
      </c>
      <c r="C8" s="413" t="s">
        <v>3760</v>
      </c>
      <c r="D8" s="0" t="s">
        <v>42</v>
      </c>
      <c r="E8" s="413" t="s">
        <v>3751</v>
      </c>
      <c r="F8" s="413" t="s">
        <v>3752</v>
      </c>
      <c r="G8" s="0" t="s">
        <v>44</v>
      </c>
      <c r="H8" s="413" t="s">
        <v>3753</v>
      </c>
      <c r="I8" s="0" t="s">
        <v>131</v>
      </c>
      <c r="J8" s="0" t="str">
        <f aca="false">IF(ISNUMBER('Master Plan'!$V$8),"นัดแล้ว","ตามแผน")</f>
        <v>ตามแผน</v>
      </c>
      <c r="K8" s="0" t="s">
        <v>131</v>
      </c>
    </row>
    <row r="9" customFormat="false" ht="15" hidden="false" customHeight="false" outlineLevel="0" collapsed="false">
      <c r="A9" s="0" t="str">
        <f aca="false">IF(AND(ISNUMBER(B9),NOT(AND(ISNUMBER('Master Plan'!$X$8),N('Master Plan'!$X$8)&lt;=ASOF)),N(B9)&gt;=ASOF,N(B9)&lt;=ASOF+LOOKAHEAD),B9+ROW()/100000,"")</f>
        <v/>
      </c>
      <c r="B9" s="302" t="n">
        <f aca="false">'Master Plan'!$AH$8</f>
        <v>46433</v>
      </c>
      <c r="C9" s="0" t="s">
        <v>2226</v>
      </c>
      <c r="D9" s="0" t="s">
        <v>42</v>
      </c>
      <c r="E9" s="413" t="s">
        <v>3751</v>
      </c>
      <c r="F9" s="413" t="s">
        <v>3752</v>
      </c>
      <c r="G9" s="0" t="s">
        <v>44</v>
      </c>
      <c r="H9" s="413" t="s">
        <v>3753</v>
      </c>
      <c r="I9" s="0" t="s">
        <v>131</v>
      </c>
      <c r="J9" s="0" t="str">
        <f aca="false">IF(ISNUMBER('Master Plan'!$X$8),"นัดแล้ว","ตามแผน")</f>
        <v>ตามแผน</v>
      </c>
      <c r="K9" s="413" t="s">
        <v>3753</v>
      </c>
    </row>
    <row r="10" customFormat="false" ht="15" hidden="false" customHeight="false" outlineLevel="0" collapsed="false">
      <c r="A10" s="414" t="n">
        <f aca="false">IF(AND(ISNUMBER(B10),NOT(AND(ISNUMBER('Master Plan'!$N$9),N('Master Plan'!$N$9)&lt;=ASOF)),N(B10)&gt;=ASOF,N(B10)&lt;=ASOF+LOOKAHEAD),B10+ROW()/100000,"")</f>
        <v>46349.0001</v>
      </c>
      <c r="B10" s="302" t="n">
        <f aca="false">'Master Plan'!$Y$9</f>
        <v>46349</v>
      </c>
      <c r="C10" s="413" t="s">
        <v>3750</v>
      </c>
      <c r="D10" s="0" t="s">
        <v>46</v>
      </c>
      <c r="E10" s="413" t="s">
        <v>3761</v>
      </c>
      <c r="F10" s="413" t="s">
        <v>3762</v>
      </c>
      <c r="G10" s="0" t="s">
        <v>48</v>
      </c>
      <c r="H10" s="413" t="s">
        <v>3763</v>
      </c>
      <c r="I10" s="0" t="s">
        <v>131</v>
      </c>
      <c r="J10" s="0" t="str">
        <f aca="false">IF(ISNUMBER('Master Plan'!$N$9),"นัดแล้ว","ตามแผน")</f>
        <v>ตามแผน</v>
      </c>
      <c r="K10" s="413" t="s">
        <v>3764</v>
      </c>
    </row>
    <row r="11" customFormat="false" ht="15" hidden="false" customHeight="false" outlineLevel="0" collapsed="false">
      <c r="A11" s="0" t="str">
        <f aca="false">IF(AND(ISNUMBER(B11),NOT(AND(ISNUMBER('Master Plan'!$O$9),N('Master Plan'!$O$9)&lt;=ASOF)),N(B11)&gt;=ASOF,N(B11)&lt;=ASOF+LOOKAHEAD),B11+ROW()/100000,"")</f>
        <v/>
      </c>
      <c r="B11" s="302" t="n">
        <f aca="false">'Master Plan'!$Z$9</f>
        <v>46356</v>
      </c>
      <c r="C11" s="413" t="s">
        <v>3755</v>
      </c>
      <c r="D11" s="0" t="s">
        <v>46</v>
      </c>
      <c r="E11" s="413" t="s">
        <v>3761</v>
      </c>
      <c r="F11" s="413" t="s">
        <v>3762</v>
      </c>
      <c r="G11" s="0" t="s">
        <v>48</v>
      </c>
      <c r="H11" s="413" t="s">
        <v>3763</v>
      </c>
      <c r="I11" s="0" t="s">
        <v>131</v>
      </c>
      <c r="J11" s="0" t="str">
        <f aca="false">IF(ISNUMBER('Master Plan'!$O$9),"นัดแล้ว","ตามแผน")</f>
        <v>ตามแผน</v>
      </c>
      <c r="K11" s="413" t="s">
        <v>3763</v>
      </c>
    </row>
    <row r="12" customFormat="false" ht="15" hidden="false" customHeight="false" outlineLevel="0" collapsed="false">
      <c r="A12" s="0" t="str">
        <f aca="false">IF(AND(ISNUMBER(B12),NOT(AND(ISNUMBER('Master Plan'!$P$9),N('Master Plan'!$P$9)&lt;=ASOF)),N(B12)&gt;=ASOF,N(B12)&lt;=ASOF+LOOKAHEAD),B12+ROW()/100000,"")</f>
        <v/>
      </c>
      <c r="B12" s="302" t="n">
        <f aca="false">'Master Plan'!$AA$9</f>
        <v>46359</v>
      </c>
      <c r="C12" s="413" t="s">
        <v>3756</v>
      </c>
      <c r="D12" s="0" t="s">
        <v>46</v>
      </c>
      <c r="E12" s="413" t="s">
        <v>3761</v>
      </c>
      <c r="F12" s="413" t="s">
        <v>3762</v>
      </c>
      <c r="G12" s="0" t="s">
        <v>48</v>
      </c>
      <c r="H12" s="413" t="s">
        <v>3763</v>
      </c>
      <c r="I12" s="0" t="s">
        <v>131</v>
      </c>
      <c r="J12" s="0" t="str">
        <f aca="false">IF(ISNUMBER('Master Plan'!$P$9),"นัดแล้ว","ตามแผน")</f>
        <v>ตามแผน</v>
      </c>
      <c r="K12" s="413" t="s">
        <v>3764</v>
      </c>
    </row>
    <row r="13" customFormat="false" ht="15" hidden="false" customHeight="false" outlineLevel="0" collapsed="false">
      <c r="A13" s="0" t="str">
        <f aca="false">IF(AND(ISNUMBER(B13),NOT(AND(ISNUMBER('Master Plan'!$Q$9),N('Master Plan'!$Q$9)&lt;=ASOF)),N(B13)&gt;=ASOF,N(B13)&lt;=ASOF+LOOKAHEAD),B13+ROW()/100000,"")</f>
        <v/>
      </c>
      <c r="B13" s="302" t="n">
        <f aca="false">'Master Plan'!$AB$9</f>
        <v>46367</v>
      </c>
      <c r="C13" s="413" t="s">
        <v>3757</v>
      </c>
      <c r="D13" s="0" t="s">
        <v>46</v>
      </c>
      <c r="E13" s="413" t="s">
        <v>3761</v>
      </c>
      <c r="F13" s="413" t="s">
        <v>3762</v>
      </c>
      <c r="G13" s="0" t="s">
        <v>48</v>
      </c>
      <c r="H13" s="413" t="s">
        <v>3763</v>
      </c>
      <c r="I13" s="0" t="s">
        <v>131</v>
      </c>
      <c r="J13" s="0" t="str">
        <f aca="false">IF(ISNUMBER('Master Plan'!$Q$9),"นัดแล้ว","ตามแผน")</f>
        <v>ตามแผน</v>
      </c>
      <c r="K13" s="413" t="s">
        <v>3764</v>
      </c>
    </row>
    <row r="14" customFormat="false" ht="15" hidden="false" customHeight="false" outlineLevel="0" collapsed="false">
      <c r="A14" s="0" t="str">
        <f aca="false">IF(AND(ISNUMBER(B14),NOT(AND(ISNUMBER('Master Plan'!$R$9),N('Master Plan'!$R$9)&lt;=ASOF)),N(B14)&gt;=ASOF,N(B14)&lt;=ASOF+LOOKAHEAD),B14+ROW()/100000,"")</f>
        <v/>
      </c>
      <c r="B14" s="302" t="n">
        <f aca="false">'Master Plan'!$AC$9</f>
        <v>46356</v>
      </c>
      <c r="C14" s="413" t="s">
        <v>3758</v>
      </c>
      <c r="D14" s="0" t="s">
        <v>46</v>
      </c>
      <c r="E14" s="413" t="s">
        <v>3761</v>
      </c>
      <c r="F14" s="413" t="s">
        <v>3762</v>
      </c>
      <c r="G14" s="0" t="s">
        <v>48</v>
      </c>
      <c r="H14" s="413" t="s">
        <v>3763</v>
      </c>
      <c r="I14" s="0" t="s">
        <v>131</v>
      </c>
      <c r="J14" s="0" t="str">
        <f aca="false">IF(ISNUMBER('Master Plan'!$R$9),"นัดแล้ว","ตามแผน")</f>
        <v>ตามแผน</v>
      </c>
      <c r="K14" s="0" t="s">
        <v>131</v>
      </c>
    </row>
    <row r="15" customFormat="false" ht="15" hidden="false" customHeight="false" outlineLevel="0" collapsed="false">
      <c r="A15" s="0" t="str">
        <f aca="false">IF(AND(ISNUMBER(B15),NOT(AND(ISNUMBER('Master Plan'!$U$9),N('Master Plan'!$U$9)&lt;=ASOF)),N(B15)&gt;=ASOF,N(B15)&lt;=ASOF+LOOKAHEAD),B15+ROW()/100000,"")</f>
        <v/>
      </c>
      <c r="B15" s="302" t="n">
        <f aca="false">'Master Plan'!$AE$9</f>
        <v>46386</v>
      </c>
      <c r="C15" s="413" t="s">
        <v>3759</v>
      </c>
      <c r="D15" s="0" t="s">
        <v>46</v>
      </c>
      <c r="E15" s="413" t="s">
        <v>3761</v>
      </c>
      <c r="F15" s="413" t="s">
        <v>3762</v>
      </c>
      <c r="G15" s="0" t="s">
        <v>48</v>
      </c>
      <c r="H15" s="413" t="s">
        <v>3763</v>
      </c>
      <c r="I15" s="0" t="s">
        <v>131</v>
      </c>
      <c r="J15" s="0" t="str">
        <f aca="false">IF(ISNUMBER('Master Plan'!$U$9),"นัดแล้ว","ตามแผน")</f>
        <v>ตามแผน</v>
      </c>
      <c r="K15" s="0" t="s">
        <v>131</v>
      </c>
    </row>
    <row r="16" customFormat="false" ht="15" hidden="false" customHeight="false" outlineLevel="0" collapsed="false">
      <c r="A16" s="0" t="str">
        <f aca="false">IF(AND(ISNUMBER(B16),NOT(AND(ISNUMBER('Master Plan'!$V$9),N('Master Plan'!$V$9)&lt;=ASOF)),N(B16)&gt;=ASOF,N(B16)&lt;=ASOF+LOOKAHEAD),B16+ROW()/100000,"")</f>
        <v/>
      </c>
      <c r="B16" s="302" t="n">
        <f aca="false">'Master Plan'!$AF$9</f>
        <v>46391</v>
      </c>
      <c r="C16" s="413" t="s">
        <v>3760</v>
      </c>
      <c r="D16" s="0" t="s">
        <v>46</v>
      </c>
      <c r="E16" s="413" t="s">
        <v>3761</v>
      </c>
      <c r="F16" s="413" t="s">
        <v>3762</v>
      </c>
      <c r="G16" s="0" t="s">
        <v>48</v>
      </c>
      <c r="H16" s="413" t="s">
        <v>3763</v>
      </c>
      <c r="I16" s="0" t="s">
        <v>131</v>
      </c>
      <c r="J16" s="0" t="str">
        <f aca="false">IF(ISNUMBER('Master Plan'!$V$9),"นัดแล้ว","ตามแผน")</f>
        <v>ตามแผน</v>
      </c>
      <c r="K16" s="0" t="s">
        <v>131</v>
      </c>
    </row>
    <row r="17" customFormat="false" ht="15" hidden="false" customHeight="false" outlineLevel="0" collapsed="false">
      <c r="A17" s="0" t="str">
        <f aca="false">IF(AND(ISNUMBER(B17),NOT(AND(ISNUMBER('Master Plan'!$W$9),N('Master Plan'!$W$9)&lt;=ASOF)),N(B17)&gt;=ASOF,N(B17)&lt;=ASOF+LOOKAHEAD),B17+ROW()/100000,"")</f>
        <v/>
      </c>
      <c r="B17" s="302" t="n">
        <f aca="false">'Master Plan'!$AG$9</f>
        <v>46356</v>
      </c>
      <c r="C17" s="413" t="s">
        <v>3765</v>
      </c>
      <c r="D17" s="0" t="s">
        <v>46</v>
      </c>
      <c r="E17" s="413" t="s">
        <v>3761</v>
      </c>
      <c r="F17" s="413" t="s">
        <v>3762</v>
      </c>
      <c r="G17" s="0" t="s">
        <v>48</v>
      </c>
      <c r="H17" s="413" t="s">
        <v>3763</v>
      </c>
      <c r="I17" s="0" t="s">
        <v>131</v>
      </c>
      <c r="J17" s="0" t="str">
        <f aca="false">IF(ISNUMBER('Master Plan'!$W$9),"นัดแล้ว","ตามแผน")</f>
        <v>ตามแผน</v>
      </c>
      <c r="K17" s="0" t="s">
        <v>131</v>
      </c>
    </row>
    <row r="18" customFormat="false" ht="15" hidden="false" customHeight="false" outlineLevel="0" collapsed="false">
      <c r="A18" s="0" t="str">
        <f aca="false">IF(AND(ISNUMBER(B18),NOT(AND(ISNUMBER('Master Plan'!$X$9),N('Master Plan'!$X$9)&lt;=ASOF)),N(B18)&gt;=ASOF,N(B18)&lt;=ASOF+LOOKAHEAD),B18+ROW()/100000,"")</f>
        <v/>
      </c>
      <c r="B18" s="302" t="n">
        <f aca="false">'Master Plan'!$AH$9</f>
        <v>46433</v>
      </c>
      <c r="C18" s="0" t="s">
        <v>2226</v>
      </c>
      <c r="D18" s="0" t="s">
        <v>46</v>
      </c>
      <c r="E18" s="413" t="s">
        <v>3761</v>
      </c>
      <c r="F18" s="413" t="s">
        <v>3762</v>
      </c>
      <c r="G18" s="0" t="s">
        <v>48</v>
      </c>
      <c r="H18" s="413" t="s">
        <v>3763</v>
      </c>
      <c r="I18" s="0" t="s">
        <v>131</v>
      </c>
      <c r="J18" s="0" t="str">
        <f aca="false">IF(ISNUMBER('Master Plan'!$X$9),"นัดแล้ว","ตามแผน")</f>
        <v>ตามแผน</v>
      </c>
      <c r="K18" s="413" t="s">
        <v>3763</v>
      </c>
    </row>
    <row r="19" customFormat="false" ht="15" hidden="false" customHeight="false" outlineLevel="0" collapsed="false">
      <c r="A19" s="414" t="n">
        <f aca="false">IF(AND(ISNUMBER(B19),NOT(AND(ISNUMBER('Master Plan'!$N$10),N('Master Plan'!$N$10)&lt;=ASOF)),N(B19)&gt;=ASOF,N(B19)&lt;=ASOF+LOOKAHEAD),B19+ROW()/100000,"")</f>
        <v>46349.00019</v>
      </c>
      <c r="B19" s="302" t="n">
        <f aca="false">'Master Plan'!$Y$10</f>
        <v>46349</v>
      </c>
      <c r="C19" s="413" t="s">
        <v>3750</v>
      </c>
      <c r="D19" s="0" t="s">
        <v>50</v>
      </c>
      <c r="E19" s="413" t="s">
        <v>3766</v>
      </c>
      <c r="F19" s="413" t="s">
        <v>3767</v>
      </c>
      <c r="G19" s="0" t="s">
        <v>52</v>
      </c>
      <c r="H19" s="413" t="s">
        <v>3768</v>
      </c>
      <c r="I19" s="0" t="s">
        <v>131</v>
      </c>
      <c r="J19" s="0" t="str">
        <f aca="false">IF(ISNUMBER('Master Plan'!$N$10),"นัดแล้ว","ตามแผน")</f>
        <v>ตามแผน</v>
      </c>
      <c r="K19" s="413" t="s">
        <v>3769</v>
      </c>
    </row>
    <row r="20" customFormat="false" ht="15" hidden="false" customHeight="false" outlineLevel="0" collapsed="false">
      <c r="A20" s="0" t="str">
        <f aca="false">IF(AND(ISNUMBER(B20),NOT(AND(ISNUMBER('Master Plan'!$O$10),N('Master Plan'!$O$10)&lt;=ASOF)),N(B20)&gt;=ASOF,N(B20)&lt;=ASOF+LOOKAHEAD),B20+ROW()/100000,"")</f>
        <v/>
      </c>
      <c r="B20" s="302" t="n">
        <f aca="false">'Master Plan'!$Z$10</f>
        <v>46356</v>
      </c>
      <c r="C20" s="413" t="s">
        <v>3755</v>
      </c>
      <c r="D20" s="0" t="s">
        <v>50</v>
      </c>
      <c r="E20" s="413" t="s">
        <v>3766</v>
      </c>
      <c r="F20" s="413" t="s">
        <v>3767</v>
      </c>
      <c r="G20" s="0" t="s">
        <v>52</v>
      </c>
      <c r="H20" s="413" t="s">
        <v>3768</v>
      </c>
      <c r="I20" s="0" t="s">
        <v>131</v>
      </c>
      <c r="J20" s="0" t="str">
        <f aca="false">IF(ISNUMBER('Master Plan'!$O$10),"นัดแล้ว","ตามแผน")</f>
        <v>ตามแผน</v>
      </c>
      <c r="K20" s="413" t="s">
        <v>3768</v>
      </c>
    </row>
    <row r="21" customFormat="false" ht="15" hidden="false" customHeight="false" outlineLevel="0" collapsed="false">
      <c r="A21" s="0" t="str">
        <f aca="false">IF(AND(ISNUMBER(B21),NOT(AND(ISNUMBER('Master Plan'!$P$10),N('Master Plan'!$P$10)&lt;=ASOF)),N(B21)&gt;=ASOF,N(B21)&lt;=ASOF+LOOKAHEAD),B21+ROW()/100000,"")</f>
        <v/>
      </c>
      <c r="B21" s="302" t="n">
        <f aca="false">'Master Plan'!$AA$10</f>
        <v>46359</v>
      </c>
      <c r="C21" s="413" t="s">
        <v>3756</v>
      </c>
      <c r="D21" s="0" t="s">
        <v>50</v>
      </c>
      <c r="E21" s="413" t="s">
        <v>3766</v>
      </c>
      <c r="F21" s="413" t="s">
        <v>3767</v>
      </c>
      <c r="G21" s="0" t="s">
        <v>52</v>
      </c>
      <c r="H21" s="413" t="s">
        <v>3768</v>
      </c>
      <c r="I21" s="0" t="s">
        <v>131</v>
      </c>
      <c r="J21" s="0" t="str">
        <f aca="false">IF(ISNUMBER('Master Plan'!$P$10),"นัดแล้ว","ตามแผน")</f>
        <v>ตามแผน</v>
      </c>
      <c r="K21" s="413" t="s">
        <v>3769</v>
      </c>
    </row>
    <row r="22" customFormat="false" ht="15" hidden="false" customHeight="false" outlineLevel="0" collapsed="false">
      <c r="A22" s="0" t="str">
        <f aca="false">IF(AND(ISNUMBER(B22),NOT(AND(ISNUMBER('Master Plan'!$Q$10),N('Master Plan'!$Q$10)&lt;=ASOF)),N(B22)&gt;=ASOF,N(B22)&lt;=ASOF+LOOKAHEAD),B22+ROW()/100000,"")</f>
        <v/>
      </c>
      <c r="B22" s="302" t="n">
        <f aca="false">'Master Plan'!$AB$10</f>
        <v>46367</v>
      </c>
      <c r="C22" s="413" t="s">
        <v>3757</v>
      </c>
      <c r="D22" s="0" t="s">
        <v>50</v>
      </c>
      <c r="E22" s="413" t="s">
        <v>3766</v>
      </c>
      <c r="F22" s="413" t="s">
        <v>3767</v>
      </c>
      <c r="G22" s="0" t="s">
        <v>52</v>
      </c>
      <c r="H22" s="413" t="s">
        <v>3768</v>
      </c>
      <c r="I22" s="0" t="s">
        <v>131</v>
      </c>
      <c r="J22" s="0" t="str">
        <f aca="false">IF(ISNUMBER('Master Plan'!$Q$10),"นัดแล้ว","ตามแผน")</f>
        <v>ตามแผน</v>
      </c>
      <c r="K22" s="413" t="s">
        <v>3769</v>
      </c>
    </row>
    <row r="23" customFormat="false" ht="15" hidden="false" customHeight="false" outlineLevel="0" collapsed="false">
      <c r="A23" s="0" t="str">
        <f aca="false">IF(AND(ISNUMBER(B23),NOT(AND(ISNUMBER('Master Plan'!$R$10),N('Master Plan'!$R$10)&lt;=ASOF)),N(B23)&gt;=ASOF,N(B23)&lt;=ASOF+LOOKAHEAD),B23+ROW()/100000,"")</f>
        <v/>
      </c>
      <c r="B23" s="302" t="n">
        <f aca="false">'Master Plan'!$AC$10</f>
        <v>46356</v>
      </c>
      <c r="C23" s="413" t="s">
        <v>3758</v>
      </c>
      <c r="D23" s="0" t="s">
        <v>50</v>
      </c>
      <c r="E23" s="413" t="s">
        <v>3766</v>
      </c>
      <c r="F23" s="413" t="s">
        <v>3767</v>
      </c>
      <c r="G23" s="0" t="s">
        <v>52</v>
      </c>
      <c r="H23" s="413" t="s">
        <v>3768</v>
      </c>
      <c r="I23" s="0" t="s">
        <v>131</v>
      </c>
      <c r="J23" s="0" t="str">
        <f aca="false">IF(ISNUMBER('Master Plan'!$R$10),"นัดแล้ว","ตามแผน")</f>
        <v>ตามแผน</v>
      </c>
      <c r="K23" s="0" t="s">
        <v>131</v>
      </c>
    </row>
    <row r="24" customFormat="false" ht="15" hidden="false" customHeight="false" outlineLevel="0" collapsed="false">
      <c r="A24" s="0" t="str">
        <f aca="false">IF(AND(ISNUMBER(B24),NOT(AND(ISNUMBER('Master Plan'!$U$10),N('Master Plan'!$U$10)&lt;=ASOF)),N(B24)&gt;=ASOF,N(B24)&lt;=ASOF+LOOKAHEAD),B24+ROW()/100000,"")</f>
        <v/>
      </c>
      <c r="B24" s="302" t="n">
        <f aca="false">'Master Plan'!$AE$10</f>
        <v>46386</v>
      </c>
      <c r="C24" s="413" t="s">
        <v>3759</v>
      </c>
      <c r="D24" s="0" t="s">
        <v>50</v>
      </c>
      <c r="E24" s="413" t="s">
        <v>3766</v>
      </c>
      <c r="F24" s="413" t="s">
        <v>3767</v>
      </c>
      <c r="G24" s="0" t="s">
        <v>52</v>
      </c>
      <c r="H24" s="413" t="s">
        <v>3768</v>
      </c>
      <c r="I24" s="0" t="s">
        <v>131</v>
      </c>
      <c r="J24" s="0" t="str">
        <f aca="false">IF(ISNUMBER('Master Plan'!$U$10),"นัดแล้ว","ตามแผน")</f>
        <v>ตามแผน</v>
      </c>
      <c r="K24" s="0" t="s">
        <v>131</v>
      </c>
    </row>
    <row r="25" customFormat="false" ht="15" hidden="false" customHeight="false" outlineLevel="0" collapsed="false">
      <c r="A25" s="0" t="str">
        <f aca="false">IF(AND(ISNUMBER(B25),NOT(AND(ISNUMBER('Master Plan'!$V$10),N('Master Plan'!$V$10)&lt;=ASOF)),N(B25)&gt;=ASOF,N(B25)&lt;=ASOF+LOOKAHEAD),B25+ROW()/100000,"")</f>
        <v/>
      </c>
      <c r="B25" s="302" t="n">
        <f aca="false">'Master Plan'!$AF$10</f>
        <v>46391</v>
      </c>
      <c r="C25" s="413" t="s">
        <v>3760</v>
      </c>
      <c r="D25" s="0" t="s">
        <v>50</v>
      </c>
      <c r="E25" s="413" t="s">
        <v>3766</v>
      </c>
      <c r="F25" s="413" t="s">
        <v>3767</v>
      </c>
      <c r="G25" s="0" t="s">
        <v>52</v>
      </c>
      <c r="H25" s="413" t="s">
        <v>3768</v>
      </c>
      <c r="I25" s="0" t="s">
        <v>131</v>
      </c>
      <c r="J25" s="0" t="str">
        <f aca="false">IF(ISNUMBER('Master Plan'!$V$10),"นัดแล้ว","ตามแผน")</f>
        <v>ตามแผน</v>
      </c>
      <c r="K25" s="0" t="s">
        <v>131</v>
      </c>
    </row>
    <row r="26" customFormat="false" ht="15" hidden="false" customHeight="false" outlineLevel="0" collapsed="false">
      <c r="A26" s="0" t="str">
        <f aca="false">IF(AND(ISNUMBER(B26),NOT(AND(ISNUMBER('Master Plan'!$X$10),N('Master Plan'!$X$10)&lt;=ASOF)),N(B26)&gt;=ASOF,N(B26)&lt;=ASOF+LOOKAHEAD),B26+ROW()/100000,"")</f>
        <v/>
      </c>
      <c r="B26" s="302" t="n">
        <f aca="false">'Master Plan'!$AH$10</f>
        <v>46433</v>
      </c>
      <c r="C26" s="0" t="s">
        <v>2226</v>
      </c>
      <c r="D26" s="0" t="s">
        <v>50</v>
      </c>
      <c r="E26" s="413" t="s">
        <v>3766</v>
      </c>
      <c r="F26" s="413" t="s">
        <v>3767</v>
      </c>
      <c r="G26" s="0" t="s">
        <v>52</v>
      </c>
      <c r="H26" s="413" t="s">
        <v>3768</v>
      </c>
      <c r="I26" s="0" t="s">
        <v>131</v>
      </c>
      <c r="J26" s="0" t="str">
        <f aca="false">IF(ISNUMBER('Master Plan'!$X$10),"นัดแล้ว","ตามแผน")</f>
        <v>ตามแผน</v>
      </c>
      <c r="K26" s="413" t="s">
        <v>3768</v>
      </c>
    </row>
    <row r="27" customFormat="false" ht="15" hidden="false" customHeight="false" outlineLevel="0" collapsed="false">
      <c r="A27" s="414" t="n">
        <f aca="false">IF(AND(ISNUMBER(B27),NOT(AND(ISNUMBER('Master Plan'!$N$11),N('Master Plan'!$N$11)&lt;=ASOF)),N(B27)&gt;=ASOF,N(B27)&lt;=ASOF+LOOKAHEAD),B27+ROW()/100000,"")</f>
        <v>46349.00027</v>
      </c>
      <c r="B27" s="302" t="n">
        <f aca="false">'Master Plan'!$Y$11</f>
        <v>46349</v>
      </c>
      <c r="C27" s="413" t="s">
        <v>3750</v>
      </c>
      <c r="D27" s="0" t="s">
        <v>54</v>
      </c>
      <c r="E27" s="413" t="s">
        <v>3770</v>
      </c>
      <c r="F27" s="413" t="s">
        <v>3771</v>
      </c>
      <c r="G27" s="0" t="s">
        <v>56</v>
      </c>
      <c r="H27" s="413" t="s">
        <v>3772</v>
      </c>
      <c r="I27" s="0" t="s">
        <v>131</v>
      </c>
      <c r="J27" s="0" t="str">
        <f aca="false">IF(ISNUMBER('Master Plan'!$N$11),"นัดแล้ว","ตามแผน")</f>
        <v>ตามแผน</v>
      </c>
      <c r="K27" s="413" t="s">
        <v>3773</v>
      </c>
    </row>
    <row r="28" customFormat="false" ht="15" hidden="false" customHeight="false" outlineLevel="0" collapsed="false">
      <c r="A28" s="0" t="str">
        <f aca="false">IF(AND(ISNUMBER(B28),NOT(AND(ISNUMBER('Master Plan'!$O$11),N('Master Plan'!$O$11)&lt;=ASOF)),N(B28)&gt;=ASOF,N(B28)&lt;=ASOF+LOOKAHEAD),B28+ROW()/100000,"")</f>
        <v/>
      </c>
      <c r="B28" s="302" t="n">
        <f aca="false">'Master Plan'!$Z$11</f>
        <v>46356</v>
      </c>
      <c r="C28" s="413" t="s">
        <v>3755</v>
      </c>
      <c r="D28" s="0" t="s">
        <v>54</v>
      </c>
      <c r="E28" s="413" t="s">
        <v>3770</v>
      </c>
      <c r="F28" s="413" t="s">
        <v>3771</v>
      </c>
      <c r="G28" s="0" t="s">
        <v>56</v>
      </c>
      <c r="H28" s="413" t="s">
        <v>3772</v>
      </c>
      <c r="I28" s="0" t="s">
        <v>131</v>
      </c>
      <c r="J28" s="0" t="str">
        <f aca="false">IF(ISNUMBER('Master Plan'!$O$11),"นัดแล้ว","ตามแผน")</f>
        <v>ตามแผน</v>
      </c>
      <c r="K28" s="413" t="s">
        <v>3772</v>
      </c>
    </row>
    <row r="29" customFormat="false" ht="15" hidden="false" customHeight="false" outlineLevel="0" collapsed="false">
      <c r="A29" s="0" t="str">
        <f aca="false">IF(AND(ISNUMBER(B29),NOT(AND(ISNUMBER('Master Plan'!$P$11),N('Master Plan'!$P$11)&lt;=ASOF)),N(B29)&gt;=ASOF,N(B29)&lt;=ASOF+LOOKAHEAD),B29+ROW()/100000,"")</f>
        <v/>
      </c>
      <c r="B29" s="302" t="n">
        <f aca="false">'Master Plan'!$AA$11</f>
        <v>46359</v>
      </c>
      <c r="C29" s="413" t="s">
        <v>3756</v>
      </c>
      <c r="D29" s="0" t="s">
        <v>54</v>
      </c>
      <c r="E29" s="413" t="s">
        <v>3770</v>
      </c>
      <c r="F29" s="413" t="s">
        <v>3771</v>
      </c>
      <c r="G29" s="0" t="s">
        <v>56</v>
      </c>
      <c r="H29" s="413" t="s">
        <v>3772</v>
      </c>
      <c r="I29" s="0" t="s">
        <v>131</v>
      </c>
      <c r="J29" s="0" t="str">
        <f aca="false">IF(ISNUMBER('Master Plan'!$P$11),"นัดแล้ว","ตามแผน")</f>
        <v>ตามแผน</v>
      </c>
      <c r="K29" s="413" t="s">
        <v>3773</v>
      </c>
    </row>
    <row r="30" customFormat="false" ht="15" hidden="false" customHeight="false" outlineLevel="0" collapsed="false">
      <c r="A30" s="0" t="str">
        <f aca="false">IF(AND(ISNUMBER(B30),NOT(AND(ISNUMBER('Master Plan'!$Q$11),N('Master Plan'!$Q$11)&lt;=ASOF)),N(B30)&gt;=ASOF,N(B30)&lt;=ASOF+LOOKAHEAD),B30+ROW()/100000,"")</f>
        <v/>
      </c>
      <c r="B30" s="302" t="n">
        <f aca="false">'Master Plan'!$AB$11</f>
        <v>46367</v>
      </c>
      <c r="C30" s="413" t="s">
        <v>3757</v>
      </c>
      <c r="D30" s="0" t="s">
        <v>54</v>
      </c>
      <c r="E30" s="413" t="s">
        <v>3770</v>
      </c>
      <c r="F30" s="413" t="s">
        <v>3771</v>
      </c>
      <c r="G30" s="0" t="s">
        <v>56</v>
      </c>
      <c r="H30" s="413" t="s">
        <v>3772</v>
      </c>
      <c r="I30" s="0" t="s">
        <v>131</v>
      </c>
      <c r="J30" s="0" t="str">
        <f aca="false">IF(ISNUMBER('Master Plan'!$Q$11),"นัดแล้ว","ตามแผน")</f>
        <v>ตามแผน</v>
      </c>
      <c r="K30" s="413" t="s">
        <v>3773</v>
      </c>
    </row>
    <row r="31" customFormat="false" ht="15" hidden="false" customHeight="false" outlineLevel="0" collapsed="false">
      <c r="A31" s="0" t="str">
        <f aca="false">IF(AND(ISNUMBER(B31),NOT(AND(ISNUMBER('Master Plan'!$R$11),N('Master Plan'!$R$11)&lt;=ASOF)),N(B31)&gt;=ASOF,N(B31)&lt;=ASOF+LOOKAHEAD),B31+ROW()/100000,"")</f>
        <v/>
      </c>
      <c r="B31" s="302" t="n">
        <f aca="false">'Master Plan'!$AC$11</f>
        <v>46356</v>
      </c>
      <c r="C31" s="413" t="s">
        <v>3758</v>
      </c>
      <c r="D31" s="0" t="s">
        <v>54</v>
      </c>
      <c r="E31" s="413" t="s">
        <v>3770</v>
      </c>
      <c r="F31" s="413" t="s">
        <v>3771</v>
      </c>
      <c r="G31" s="0" t="s">
        <v>56</v>
      </c>
      <c r="H31" s="413" t="s">
        <v>3772</v>
      </c>
      <c r="I31" s="0" t="s">
        <v>131</v>
      </c>
      <c r="J31" s="0" t="str">
        <f aca="false">IF(ISNUMBER('Master Plan'!$R$11),"นัดแล้ว","ตามแผน")</f>
        <v>ตามแผน</v>
      </c>
      <c r="K31" s="0" t="s">
        <v>131</v>
      </c>
    </row>
    <row r="32" customFormat="false" ht="15" hidden="false" customHeight="false" outlineLevel="0" collapsed="false">
      <c r="A32" s="0" t="str">
        <f aca="false">IF(AND(ISNUMBER(B32),NOT(AND(ISNUMBER('Master Plan'!$U$11),N('Master Plan'!$U$11)&lt;=ASOF)),N(B32)&gt;=ASOF,N(B32)&lt;=ASOF+LOOKAHEAD),B32+ROW()/100000,"")</f>
        <v/>
      </c>
      <c r="B32" s="302" t="n">
        <f aca="false">'Master Plan'!$AE$11</f>
        <v>46386</v>
      </c>
      <c r="C32" s="413" t="s">
        <v>3759</v>
      </c>
      <c r="D32" s="0" t="s">
        <v>54</v>
      </c>
      <c r="E32" s="413" t="s">
        <v>3770</v>
      </c>
      <c r="F32" s="413" t="s">
        <v>3771</v>
      </c>
      <c r="G32" s="0" t="s">
        <v>56</v>
      </c>
      <c r="H32" s="413" t="s">
        <v>3772</v>
      </c>
      <c r="I32" s="0" t="s">
        <v>131</v>
      </c>
      <c r="J32" s="0" t="str">
        <f aca="false">IF(ISNUMBER('Master Plan'!$U$11),"นัดแล้ว","ตามแผน")</f>
        <v>ตามแผน</v>
      </c>
      <c r="K32" s="0" t="s">
        <v>131</v>
      </c>
    </row>
    <row r="33" customFormat="false" ht="15" hidden="false" customHeight="false" outlineLevel="0" collapsed="false">
      <c r="A33" s="0" t="str">
        <f aca="false">IF(AND(ISNUMBER(B33),NOT(AND(ISNUMBER('Master Plan'!$V$11),N('Master Plan'!$V$11)&lt;=ASOF)),N(B33)&gt;=ASOF,N(B33)&lt;=ASOF+LOOKAHEAD),B33+ROW()/100000,"")</f>
        <v/>
      </c>
      <c r="B33" s="302" t="n">
        <f aca="false">'Master Plan'!$AF$11</f>
        <v>46391</v>
      </c>
      <c r="C33" s="413" t="s">
        <v>3760</v>
      </c>
      <c r="D33" s="0" t="s">
        <v>54</v>
      </c>
      <c r="E33" s="413" t="s">
        <v>3770</v>
      </c>
      <c r="F33" s="413" t="s">
        <v>3771</v>
      </c>
      <c r="G33" s="0" t="s">
        <v>56</v>
      </c>
      <c r="H33" s="413" t="s">
        <v>3772</v>
      </c>
      <c r="I33" s="0" t="s">
        <v>131</v>
      </c>
      <c r="J33" s="0" t="str">
        <f aca="false">IF(ISNUMBER('Master Plan'!$V$11),"นัดแล้ว","ตามแผน")</f>
        <v>ตามแผน</v>
      </c>
      <c r="K33" s="0" t="s">
        <v>131</v>
      </c>
    </row>
    <row r="34" customFormat="false" ht="15" hidden="false" customHeight="false" outlineLevel="0" collapsed="false">
      <c r="A34" s="0" t="str">
        <f aca="false">IF(AND(ISNUMBER(B34),NOT(AND(ISNUMBER('Master Plan'!$W$11),N('Master Plan'!$W$11)&lt;=ASOF)),N(B34)&gt;=ASOF,N(B34)&lt;=ASOF+LOOKAHEAD),B34+ROW()/100000,"")</f>
        <v/>
      </c>
      <c r="B34" s="302" t="n">
        <f aca="false">'Master Plan'!$AG$11</f>
        <v>46356</v>
      </c>
      <c r="C34" s="413" t="s">
        <v>3765</v>
      </c>
      <c r="D34" s="0" t="s">
        <v>54</v>
      </c>
      <c r="E34" s="413" t="s">
        <v>3770</v>
      </c>
      <c r="F34" s="413" t="s">
        <v>3771</v>
      </c>
      <c r="G34" s="0" t="s">
        <v>56</v>
      </c>
      <c r="H34" s="413" t="s">
        <v>3772</v>
      </c>
      <c r="I34" s="0" t="s">
        <v>131</v>
      </c>
      <c r="J34" s="0" t="str">
        <f aca="false">IF(ISNUMBER('Master Plan'!$W$11),"นัดแล้ว","ตามแผน")</f>
        <v>ตามแผน</v>
      </c>
      <c r="K34" s="0" t="s">
        <v>131</v>
      </c>
    </row>
    <row r="35" customFormat="false" ht="15" hidden="false" customHeight="false" outlineLevel="0" collapsed="false">
      <c r="A35" s="0" t="str">
        <f aca="false">IF(AND(ISNUMBER(B35),NOT(AND(ISNUMBER('Master Plan'!$X$11),N('Master Plan'!$X$11)&lt;=ASOF)),N(B35)&gt;=ASOF,N(B35)&lt;=ASOF+LOOKAHEAD),B35+ROW()/100000,"")</f>
        <v/>
      </c>
      <c r="B35" s="302" t="n">
        <f aca="false">'Master Plan'!$AH$11</f>
        <v>46433</v>
      </c>
      <c r="C35" s="0" t="s">
        <v>2226</v>
      </c>
      <c r="D35" s="0" t="s">
        <v>54</v>
      </c>
      <c r="E35" s="413" t="s">
        <v>3770</v>
      </c>
      <c r="F35" s="413" t="s">
        <v>3771</v>
      </c>
      <c r="G35" s="0" t="s">
        <v>56</v>
      </c>
      <c r="H35" s="413" t="s">
        <v>3772</v>
      </c>
      <c r="I35" s="0" t="s">
        <v>131</v>
      </c>
      <c r="J35" s="0" t="str">
        <f aca="false">IF(ISNUMBER('Master Plan'!$X$11),"นัดแล้ว","ตามแผน")</f>
        <v>ตามแผน</v>
      </c>
      <c r="K35" s="413" t="s">
        <v>3772</v>
      </c>
    </row>
    <row r="36" customFormat="false" ht="15" hidden="false" customHeight="false" outlineLevel="0" collapsed="false">
      <c r="A36" s="414" t="n">
        <f aca="false">IF(AND(ISNUMBER(B36),NOT(AND(ISNUMBER('Master Plan'!$N$12),N('Master Plan'!$N$12)&lt;=ASOF)),N(B36)&gt;=ASOF,N(B36)&lt;=ASOF+LOOKAHEAD),B36+ROW()/100000,"")</f>
        <v>46349.00036</v>
      </c>
      <c r="B36" s="302" t="n">
        <f aca="false">'Master Plan'!$Y$12</f>
        <v>46349</v>
      </c>
      <c r="C36" s="413" t="s">
        <v>3750</v>
      </c>
      <c r="D36" s="0" t="s">
        <v>58</v>
      </c>
      <c r="E36" s="413" t="s">
        <v>3774</v>
      </c>
      <c r="F36" s="413" t="s">
        <v>3775</v>
      </c>
      <c r="G36" s="0" t="s">
        <v>60</v>
      </c>
      <c r="H36" s="413" t="s">
        <v>3776</v>
      </c>
      <c r="I36" s="0" t="s">
        <v>131</v>
      </c>
      <c r="J36" s="0" t="str">
        <f aca="false">IF(ISNUMBER('Master Plan'!$N$12),"นัดแล้ว","ตามแผน")</f>
        <v>ตามแผน</v>
      </c>
      <c r="K36" s="413" t="s">
        <v>3777</v>
      </c>
    </row>
    <row r="37" customFormat="false" ht="15" hidden="false" customHeight="false" outlineLevel="0" collapsed="false">
      <c r="A37" s="0" t="str">
        <f aca="false">IF(AND(ISNUMBER(B37),NOT(AND(ISNUMBER('Master Plan'!$O$12),N('Master Plan'!$O$12)&lt;=ASOF)),N(B37)&gt;=ASOF,N(B37)&lt;=ASOF+LOOKAHEAD),B37+ROW()/100000,"")</f>
        <v/>
      </c>
      <c r="B37" s="302" t="n">
        <f aca="false">'Master Plan'!$Z$12</f>
        <v>46356</v>
      </c>
      <c r="C37" s="413" t="s">
        <v>3755</v>
      </c>
      <c r="D37" s="0" t="s">
        <v>58</v>
      </c>
      <c r="E37" s="413" t="s">
        <v>3774</v>
      </c>
      <c r="F37" s="413" t="s">
        <v>3775</v>
      </c>
      <c r="G37" s="0" t="s">
        <v>60</v>
      </c>
      <c r="H37" s="413" t="s">
        <v>3776</v>
      </c>
      <c r="I37" s="0" t="s">
        <v>131</v>
      </c>
      <c r="J37" s="0" t="str">
        <f aca="false">IF(ISNUMBER('Master Plan'!$O$12),"นัดแล้ว","ตามแผน")</f>
        <v>ตามแผน</v>
      </c>
      <c r="K37" s="413" t="s">
        <v>3776</v>
      </c>
    </row>
    <row r="38" customFormat="false" ht="15" hidden="false" customHeight="false" outlineLevel="0" collapsed="false">
      <c r="A38" s="0" t="str">
        <f aca="false">IF(AND(ISNUMBER(B38),NOT(AND(ISNUMBER('Master Plan'!$P$12),N('Master Plan'!$P$12)&lt;=ASOF)),N(B38)&gt;=ASOF,N(B38)&lt;=ASOF+LOOKAHEAD),B38+ROW()/100000,"")</f>
        <v/>
      </c>
      <c r="B38" s="302" t="n">
        <f aca="false">'Master Plan'!$AA$12</f>
        <v>46359</v>
      </c>
      <c r="C38" s="413" t="s">
        <v>3756</v>
      </c>
      <c r="D38" s="0" t="s">
        <v>58</v>
      </c>
      <c r="E38" s="413" t="s">
        <v>3774</v>
      </c>
      <c r="F38" s="413" t="s">
        <v>3775</v>
      </c>
      <c r="G38" s="0" t="s">
        <v>60</v>
      </c>
      <c r="H38" s="413" t="s">
        <v>3776</v>
      </c>
      <c r="I38" s="0" t="s">
        <v>131</v>
      </c>
      <c r="J38" s="0" t="str">
        <f aca="false">IF(ISNUMBER('Master Plan'!$P$12),"นัดแล้ว","ตามแผน")</f>
        <v>ตามแผน</v>
      </c>
      <c r="K38" s="413" t="s">
        <v>3777</v>
      </c>
    </row>
    <row r="39" customFormat="false" ht="15" hidden="false" customHeight="false" outlineLevel="0" collapsed="false">
      <c r="A39" s="0" t="str">
        <f aca="false">IF(AND(ISNUMBER(B39),NOT(AND(ISNUMBER('Master Plan'!$Q$12),N('Master Plan'!$Q$12)&lt;=ASOF)),N(B39)&gt;=ASOF,N(B39)&lt;=ASOF+LOOKAHEAD),B39+ROW()/100000,"")</f>
        <v/>
      </c>
      <c r="B39" s="302" t="n">
        <f aca="false">'Master Plan'!$AB$12</f>
        <v>46367</v>
      </c>
      <c r="C39" s="413" t="s">
        <v>3757</v>
      </c>
      <c r="D39" s="0" t="s">
        <v>58</v>
      </c>
      <c r="E39" s="413" t="s">
        <v>3774</v>
      </c>
      <c r="F39" s="413" t="s">
        <v>3775</v>
      </c>
      <c r="G39" s="0" t="s">
        <v>60</v>
      </c>
      <c r="H39" s="413" t="s">
        <v>3776</v>
      </c>
      <c r="I39" s="0" t="s">
        <v>131</v>
      </c>
      <c r="J39" s="0" t="str">
        <f aca="false">IF(ISNUMBER('Master Plan'!$Q$12),"นัดแล้ว","ตามแผน")</f>
        <v>ตามแผน</v>
      </c>
      <c r="K39" s="413" t="s">
        <v>3777</v>
      </c>
    </row>
    <row r="40" customFormat="false" ht="15" hidden="false" customHeight="false" outlineLevel="0" collapsed="false">
      <c r="A40" s="0" t="str">
        <f aca="false">IF(AND(ISNUMBER(B40),NOT(AND(ISNUMBER('Master Plan'!$R$12),N('Master Plan'!$R$12)&lt;=ASOF)),N(B40)&gt;=ASOF,N(B40)&lt;=ASOF+LOOKAHEAD),B40+ROW()/100000,"")</f>
        <v/>
      </c>
      <c r="B40" s="302" t="n">
        <f aca="false">'Master Plan'!$AC$12</f>
        <v>46356</v>
      </c>
      <c r="C40" s="413" t="s">
        <v>3758</v>
      </c>
      <c r="D40" s="0" t="s">
        <v>58</v>
      </c>
      <c r="E40" s="413" t="s">
        <v>3774</v>
      </c>
      <c r="F40" s="413" t="s">
        <v>3775</v>
      </c>
      <c r="G40" s="0" t="s">
        <v>60</v>
      </c>
      <c r="H40" s="413" t="s">
        <v>3776</v>
      </c>
      <c r="I40" s="0" t="s">
        <v>131</v>
      </c>
      <c r="J40" s="0" t="str">
        <f aca="false">IF(ISNUMBER('Master Plan'!$R$12),"นัดแล้ว","ตามแผน")</f>
        <v>ตามแผน</v>
      </c>
      <c r="K40" s="0" t="s">
        <v>131</v>
      </c>
    </row>
    <row r="41" customFormat="false" ht="15" hidden="false" customHeight="false" outlineLevel="0" collapsed="false">
      <c r="A41" s="0" t="str">
        <f aca="false">IF(AND(ISNUMBER(B41),NOT(AND(ISNUMBER('Master Plan'!$U$12),N('Master Plan'!$U$12)&lt;=ASOF)),N(B41)&gt;=ASOF,N(B41)&lt;=ASOF+LOOKAHEAD),B41+ROW()/100000,"")</f>
        <v/>
      </c>
      <c r="B41" s="302" t="n">
        <f aca="false">'Master Plan'!$AE$12</f>
        <v>46386</v>
      </c>
      <c r="C41" s="413" t="s">
        <v>3759</v>
      </c>
      <c r="D41" s="0" t="s">
        <v>58</v>
      </c>
      <c r="E41" s="413" t="s">
        <v>3774</v>
      </c>
      <c r="F41" s="413" t="s">
        <v>3775</v>
      </c>
      <c r="G41" s="0" t="s">
        <v>60</v>
      </c>
      <c r="H41" s="413" t="s">
        <v>3776</v>
      </c>
      <c r="I41" s="0" t="s">
        <v>131</v>
      </c>
      <c r="J41" s="0" t="str">
        <f aca="false">IF(ISNUMBER('Master Plan'!$U$12),"นัดแล้ว","ตามแผน")</f>
        <v>ตามแผน</v>
      </c>
      <c r="K41" s="0" t="s">
        <v>131</v>
      </c>
    </row>
    <row r="42" customFormat="false" ht="15" hidden="false" customHeight="false" outlineLevel="0" collapsed="false">
      <c r="A42" s="0" t="str">
        <f aca="false">IF(AND(ISNUMBER(B42),NOT(AND(ISNUMBER('Master Plan'!$V$12),N('Master Plan'!$V$12)&lt;=ASOF)),N(B42)&gt;=ASOF,N(B42)&lt;=ASOF+LOOKAHEAD),B42+ROW()/100000,"")</f>
        <v/>
      </c>
      <c r="B42" s="302" t="n">
        <f aca="false">'Master Plan'!$AF$12</f>
        <v>46391</v>
      </c>
      <c r="C42" s="413" t="s">
        <v>3760</v>
      </c>
      <c r="D42" s="0" t="s">
        <v>58</v>
      </c>
      <c r="E42" s="413" t="s">
        <v>3774</v>
      </c>
      <c r="F42" s="413" t="s">
        <v>3775</v>
      </c>
      <c r="G42" s="0" t="s">
        <v>60</v>
      </c>
      <c r="H42" s="413" t="s">
        <v>3776</v>
      </c>
      <c r="I42" s="0" t="s">
        <v>131</v>
      </c>
      <c r="J42" s="0" t="str">
        <f aca="false">IF(ISNUMBER('Master Plan'!$V$12),"นัดแล้ว","ตามแผน")</f>
        <v>ตามแผน</v>
      </c>
      <c r="K42" s="0" t="s">
        <v>131</v>
      </c>
    </row>
    <row r="43" customFormat="false" ht="15" hidden="false" customHeight="false" outlineLevel="0" collapsed="false">
      <c r="A43" s="0" t="str">
        <f aca="false">IF(AND(ISNUMBER(B43),NOT(AND(ISNUMBER('Master Plan'!$X$12),N('Master Plan'!$X$12)&lt;=ASOF)),N(B43)&gt;=ASOF,N(B43)&lt;=ASOF+LOOKAHEAD),B43+ROW()/100000,"")</f>
        <v/>
      </c>
      <c r="B43" s="302" t="n">
        <f aca="false">'Master Plan'!$AH$12</f>
        <v>46433</v>
      </c>
      <c r="C43" s="0" t="s">
        <v>2226</v>
      </c>
      <c r="D43" s="0" t="s">
        <v>58</v>
      </c>
      <c r="E43" s="413" t="s">
        <v>3774</v>
      </c>
      <c r="F43" s="413" t="s">
        <v>3775</v>
      </c>
      <c r="G43" s="0" t="s">
        <v>60</v>
      </c>
      <c r="H43" s="413" t="s">
        <v>3776</v>
      </c>
      <c r="I43" s="0" t="s">
        <v>131</v>
      </c>
      <c r="J43" s="0" t="str">
        <f aca="false">IF(ISNUMBER('Master Plan'!$X$12),"นัดแล้ว","ตามแผน")</f>
        <v>ตามแผน</v>
      </c>
      <c r="K43" s="413" t="s">
        <v>3776</v>
      </c>
    </row>
    <row r="44" customFormat="false" ht="15" hidden="false" customHeight="false" outlineLevel="0" collapsed="false">
      <c r="A44" s="414" t="n">
        <f aca="false">IF(AND(ISNUMBER(B44),NOT(AND(ISNUMBER('Master Plan'!$N$13),N('Master Plan'!$N$13)&lt;=ASOF)),N(B44)&gt;=ASOF,N(B44)&lt;=ASOF+LOOKAHEAD),B44+ROW()/100000,"")</f>
        <v>46349.00044</v>
      </c>
      <c r="B44" s="302" t="n">
        <f aca="false">'Master Plan'!$Y$13</f>
        <v>46349</v>
      </c>
      <c r="C44" s="413" t="s">
        <v>3750</v>
      </c>
      <c r="D44" s="0" t="s">
        <v>62</v>
      </c>
      <c r="E44" s="413" t="s">
        <v>3778</v>
      </c>
      <c r="F44" s="413" t="s">
        <v>3779</v>
      </c>
      <c r="G44" s="0" t="s">
        <v>64</v>
      </c>
      <c r="H44" s="413" t="s">
        <v>3780</v>
      </c>
      <c r="I44" s="0" t="s">
        <v>131</v>
      </c>
      <c r="J44" s="0" t="str">
        <f aca="false">IF(ISNUMBER('Master Plan'!$N$13),"นัดแล้ว","ตามแผน")</f>
        <v>ตามแผน</v>
      </c>
      <c r="K44" s="413" t="s">
        <v>3781</v>
      </c>
    </row>
    <row r="45" customFormat="false" ht="15" hidden="false" customHeight="false" outlineLevel="0" collapsed="false">
      <c r="A45" s="0" t="str">
        <f aca="false">IF(AND(ISNUMBER(B45),NOT(AND(ISNUMBER('Master Plan'!$O$13),N('Master Plan'!$O$13)&lt;=ASOF)),N(B45)&gt;=ASOF,N(B45)&lt;=ASOF+LOOKAHEAD),B45+ROW()/100000,"")</f>
        <v/>
      </c>
      <c r="B45" s="302" t="n">
        <f aca="false">'Master Plan'!$Z$13</f>
        <v>46356</v>
      </c>
      <c r="C45" s="413" t="s">
        <v>3755</v>
      </c>
      <c r="D45" s="0" t="s">
        <v>62</v>
      </c>
      <c r="E45" s="413" t="s">
        <v>3778</v>
      </c>
      <c r="F45" s="413" t="s">
        <v>3779</v>
      </c>
      <c r="G45" s="0" t="s">
        <v>64</v>
      </c>
      <c r="H45" s="413" t="s">
        <v>3780</v>
      </c>
      <c r="I45" s="0" t="s">
        <v>131</v>
      </c>
      <c r="J45" s="0" t="str">
        <f aca="false">IF(ISNUMBER('Master Plan'!$O$13),"นัดแล้ว","ตามแผน")</f>
        <v>ตามแผน</v>
      </c>
      <c r="K45" s="413" t="s">
        <v>3780</v>
      </c>
    </row>
    <row r="46" customFormat="false" ht="15" hidden="false" customHeight="false" outlineLevel="0" collapsed="false">
      <c r="A46" s="0" t="str">
        <f aca="false">IF(AND(ISNUMBER(B46),NOT(AND(ISNUMBER('Master Plan'!$P$13),N('Master Plan'!$P$13)&lt;=ASOF)),N(B46)&gt;=ASOF,N(B46)&lt;=ASOF+LOOKAHEAD),B46+ROW()/100000,"")</f>
        <v/>
      </c>
      <c r="B46" s="302" t="n">
        <f aca="false">'Master Plan'!$AA$13</f>
        <v>46359</v>
      </c>
      <c r="C46" s="413" t="s">
        <v>3756</v>
      </c>
      <c r="D46" s="0" t="s">
        <v>62</v>
      </c>
      <c r="E46" s="413" t="s">
        <v>3778</v>
      </c>
      <c r="F46" s="413" t="s">
        <v>3779</v>
      </c>
      <c r="G46" s="0" t="s">
        <v>64</v>
      </c>
      <c r="H46" s="413" t="s">
        <v>3780</v>
      </c>
      <c r="I46" s="0" t="s">
        <v>131</v>
      </c>
      <c r="J46" s="0" t="str">
        <f aca="false">IF(ISNUMBER('Master Plan'!$P$13),"นัดแล้ว","ตามแผน")</f>
        <v>ตามแผน</v>
      </c>
      <c r="K46" s="413" t="s">
        <v>3781</v>
      </c>
    </row>
    <row r="47" customFormat="false" ht="15" hidden="false" customHeight="false" outlineLevel="0" collapsed="false">
      <c r="A47" s="0" t="str">
        <f aca="false">IF(AND(ISNUMBER(B47),NOT(AND(ISNUMBER('Master Plan'!$Q$13),N('Master Plan'!$Q$13)&lt;=ASOF)),N(B47)&gt;=ASOF,N(B47)&lt;=ASOF+LOOKAHEAD),B47+ROW()/100000,"")</f>
        <v/>
      </c>
      <c r="B47" s="302" t="n">
        <f aca="false">'Master Plan'!$AB$13</f>
        <v>46367</v>
      </c>
      <c r="C47" s="413" t="s">
        <v>3757</v>
      </c>
      <c r="D47" s="0" t="s">
        <v>62</v>
      </c>
      <c r="E47" s="413" t="s">
        <v>3778</v>
      </c>
      <c r="F47" s="413" t="s">
        <v>3779</v>
      </c>
      <c r="G47" s="0" t="s">
        <v>64</v>
      </c>
      <c r="H47" s="413" t="s">
        <v>3780</v>
      </c>
      <c r="I47" s="0" t="s">
        <v>131</v>
      </c>
      <c r="J47" s="0" t="str">
        <f aca="false">IF(ISNUMBER('Master Plan'!$Q$13),"นัดแล้ว","ตามแผน")</f>
        <v>ตามแผน</v>
      </c>
      <c r="K47" s="413" t="s">
        <v>3781</v>
      </c>
    </row>
    <row r="48" customFormat="false" ht="15" hidden="false" customHeight="false" outlineLevel="0" collapsed="false">
      <c r="A48" s="0" t="str">
        <f aca="false">IF(AND(ISNUMBER(B48),NOT(AND(ISNUMBER('Master Plan'!$R$13),N('Master Plan'!$R$13)&lt;=ASOF)),N(B48)&gt;=ASOF,N(B48)&lt;=ASOF+LOOKAHEAD),B48+ROW()/100000,"")</f>
        <v/>
      </c>
      <c r="B48" s="302" t="n">
        <f aca="false">'Master Plan'!$AC$13</f>
        <v>46356</v>
      </c>
      <c r="C48" s="413" t="s">
        <v>3758</v>
      </c>
      <c r="D48" s="0" t="s">
        <v>62</v>
      </c>
      <c r="E48" s="413" t="s">
        <v>3778</v>
      </c>
      <c r="F48" s="413" t="s">
        <v>3779</v>
      </c>
      <c r="G48" s="0" t="s">
        <v>64</v>
      </c>
      <c r="H48" s="413" t="s">
        <v>3780</v>
      </c>
      <c r="I48" s="0" t="s">
        <v>131</v>
      </c>
      <c r="J48" s="0" t="str">
        <f aca="false">IF(ISNUMBER('Master Plan'!$R$13),"นัดแล้ว","ตามแผน")</f>
        <v>ตามแผน</v>
      </c>
      <c r="K48" s="0" t="s">
        <v>131</v>
      </c>
    </row>
    <row r="49" customFormat="false" ht="15" hidden="false" customHeight="false" outlineLevel="0" collapsed="false">
      <c r="A49" s="0" t="str">
        <f aca="false">IF(AND(ISNUMBER(B49),NOT(AND(ISNUMBER('Master Plan'!$U$13),N('Master Plan'!$U$13)&lt;=ASOF)),N(B49)&gt;=ASOF,N(B49)&lt;=ASOF+LOOKAHEAD),B49+ROW()/100000,"")</f>
        <v/>
      </c>
      <c r="B49" s="302" t="n">
        <f aca="false">'Master Plan'!$AE$13</f>
        <v>46386</v>
      </c>
      <c r="C49" s="413" t="s">
        <v>3759</v>
      </c>
      <c r="D49" s="0" t="s">
        <v>62</v>
      </c>
      <c r="E49" s="413" t="s">
        <v>3778</v>
      </c>
      <c r="F49" s="413" t="s">
        <v>3779</v>
      </c>
      <c r="G49" s="0" t="s">
        <v>64</v>
      </c>
      <c r="H49" s="413" t="s">
        <v>3780</v>
      </c>
      <c r="I49" s="0" t="s">
        <v>131</v>
      </c>
      <c r="J49" s="0" t="str">
        <f aca="false">IF(ISNUMBER('Master Plan'!$U$13),"นัดแล้ว","ตามแผน")</f>
        <v>ตามแผน</v>
      </c>
      <c r="K49" s="0" t="s">
        <v>131</v>
      </c>
    </row>
    <row r="50" customFormat="false" ht="15" hidden="false" customHeight="false" outlineLevel="0" collapsed="false">
      <c r="A50" s="0" t="str">
        <f aca="false">IF(AND(ISNUMBER(B50),NOT(AND(ISNUMBER('Master Plan'!$V$13),N('Master Plan'!$V$13)&lt;=ASOF)),N(B50)&gt;=ASOF,N(B50)&lt;=ASOF+LOOKAHEAD),B50+ROW()/100000,"")</f>
        <v/>
      </c>
      <c r="B50" s="302" t="n">
        <f aca="false">'Master Plan'!$AF$13</f>
        <v>46391</v>
      </c>
      <c r="C50" s="413" t="s">
        <v>3760</v>
      </c>
      <c r="D50" s="0" t="s">
        <v>62</v>
      </c>
      <c r="E50" s="413" t="s">
        <v>3778</v>
      </c>
      <c r="F50" s="413" t="s">
        <v>3779</v>
      </c>
      <c r="G50" s="0" t="s">
        <v>64</v>
      </c>
      <c r="H50" s="413" t="s">
        <v>3780</v>
      </c>
      <c r="I50" s="0" t="s">
        <v>131</v>
      </c>
      <c r="J50" s="0" t="str">
        <f aca="false">IF(ISNUMBER('Master Plan'!$V$13),"นัดแล้ว","ตามแผน")</f>
        <v>ตามแผน</v>
      </c>
      <c r="K50" s="0" t="s">
        <v>131</v>
      </c>
    </row>
    <row r="51" customFormat="false" ht="15" hidden="false" customHeight="false" outlineLevel="0" collapsed="false">
      <c r="A51" s="0" t="str">
        <f aca="false">IF(AND(ISNUMBER(B51),NOT(AND(ISNUMBER('Master Plan'!$W$13),N('Master Plan'!$W$13)&lt;=ASOF)),N(B51)&gt;=ASOF,N(B51)&lt;=ASOF+LOOKAHEAD),B51+ROW()/100000,"")</f>
        <v/>
      </c>
      <c r="B51" s="302" t="n">
        <f aca="false">'Master Plan'!$AG$13</f>
        <v>46356</v>
      </c>
      <c r="C51" s="413" t="s">
        <v>3765</v>
      </c>
      <c r="D51" s="0" t="s">
        <v>62</v>
      </c>
      <c r="E51" s="413" t="s">
        <v>3778</v>
      </c>
      <c r="F51" s="413" t="s">
        <v>3779</v>
      </c>
      <c r="G51" s="0" t="s">
        <v>64</v>
      </c>
      <c r="H51" s="413" t="s">
        <v>3780</v>
      </c>
      <c r="I51" s="0" t="s">
        <v>131</v>
      </c>
      <c r="J51" s="0" t="str">
        <f aca="false">IF(ISNUMBER('Master Plan'!$W$13),"นัดแล้ว","ตามแผน")</f>
        <v>ตามแผน</v>
      </c>
      <c r="K51" s="0" t="s">
        <v>131</v>
      </c>
    </row>
    <row r="52" customFormat="false" ht="15" hidden="false" customHeight="false" outlineLevel="0" collapsed="false">
      <c r="A52" s="0" t="str">
        <f aca="false">IF(AND(ISNUMBER(B52),NOT(AND(ISNUMBER('Master Plan'!$X$13),N('Master Plan'!$X$13)&lt;=ASOF)),N(B52)&gt;=ASOF,N(B52)&lt;=ASOF+LOOKAHEAD),B52+ROW()/100000,"")</f>
        <v/>
      </c>
      <c r="B52" s="302" t="n">
        <f aca="false">'Master Plan'!$AH$13</f>
        <v>46433</v>
      </c>
      <c r="C52" s="0" t="s">
        <v>2226</v>
      </c>
      <c r="D52" s="0" t="s">
        <v>62</v>
      </c>
      <c r="E52" s="413" t="s">
        <v>3778</v>
      </c>
      <c r="F52" s="413" t="s">
        <v>3779</v>
      </c>
      <c r="G52" s="0" t="s">
        <v>64</v>
      </c>
      <c r="H52" s="413" t="s">
        <v>3780</v>
      </c>
      <c r="I52" s="0" t="s">
        <v>131</v>
      </c>
      <c r="J52" s="0" t="str">
        <f aca="false">IF(ISNUMBER('Master Plan'!$X$13),"นัดแล้ว","ตามแผน")</f>
        <v>ตามแผน</v>
      </c>
      <c r="K52" s="413" t="s">
        <v>3780</v>
      </c>
    </row>
    <row r="53" customFormat="false" ht="15" hidden="false" customHeight="false" outlineLevel="0" collapsed="false">
      <c r="A53" s="414" t="n">
        <f aca="false">IF(AND(ISNUMBER(B53),NOT(AND(ISNUMBER('Master Plan'!$N$14),N('Master Plan'!$N$14)&lt;=ASOF)),N(B53)&gt;=ASOF,N(B53)&lt;=ASOF+LOOKAHEAD),B53+ROW()/100000,"")</f>
        <v>46349.00053</v>
      </c>
      <c r="B53" s="302" t="n">
        <f aca="false">'Master Plan'!$Y$14</f>
        <v>46349</v>
      </c>
      <c r="C53" s="413" t="s">
        <v>3750</v>
      </c>
      <c r="D53" s="0" t="s">
        <v>66</v>
      </c>
      <c r="E53" s="413" t="s">
        <v>3782</v>
      </c>
      <c r="F53" s="413" t="s">
        <v>3783</v>
      </c>
      <c r="G53" s="0" t="s">
        <v>68</v>
      </c>
      <c r="H53" s="413" t="s">
        <v>3784</v>
      </c>
      <c r="I53" s="0" t="s">
        <v>131</v>
      </c>
      <c r="J53" s="0" t="str">
        <f aca="false">IF(ISNUMBER('Master Plan'!$N$14),"นัดแล้ว","ตามแผน")</f>
        <v>ตามแผน</v>
      </c>
      <c r="K53" s="413" t="s">
        <v>3785</v>
      </c>
    </row>
    <row r="54" customFormat="false" ht="15" hidden="false" customHeight="false" outlineLevel="0" collapsed="false">
      <c r="A54" s="0" t="str">
        <f aca="false">IF(AND(ISNUMBER(B54),NOT(AND(ISNUMBER('Master Plan'!$O$14),N('Master Plan'!$O$14)&lt;=ASOF)),N(B54)&gt;=ASOF,N(B54)&lt;=ASOF+LOOKAHEAD),B54+ROW()/100000,"")</f>
        <v/>
      </c>
      <c r="B54" s="302" t="n">
        <f aca="false">'Master Plan'!$Z$14</f>
        <v>46356</v>
      </c>
      <c r="C54" s="413" t="s">
        <v>3755</v>
      </c>
      <c r="D54" s="0" t="s">
        <v>66</v>
      </c>
      <c r="E54" s="413" t="s">
        <v>3782</v>
      </c>
      <c r="F54" s="413" t="s">
        <v>3783</v>
      </c>
      <c r="G54" s="0" t="s">
        <v>68</v>
      </c>
      <c r="H54" s="413" t="s">
        <v>3784</v>
      </c>
      <c r="I54" s="0" t="s">
        <v>131</v>
      </c>
      <c r="J54" s="0" t="str">
        <f aca="false">IF(ISNUMBER('Master Plan'!$O$14),"นัดแล้ว","ตามแผน")</f>
        <v>ตามแผน</v>
      </c>
      <c r="K54" s="413" t="s">
        <v>3784</v>
      </c>
    </row>
    <row r="55" customFormat="false" ht="15" hidden="false" customHeight="false" outlineLevel="0" collapsed="false">
      <c r="A55" s="0" t="str">
        <f aca="false">IF(AND(ISNUMBER(B55),NOT(AND(ISNUMBER('Master Plan'!$P$14),N('Master Plan'!$P$14)&lt;=ASOF)),N(B55)&gt;=ASOF,N(B55)&lt;=ASOF+LOOKAHEAD),B55+ROW()/100000,"")</f>
        <v/>
      </c>
      <c r="B55" s="302" t="n">
        <f aca="false">'Master Plan'!$AA$14</f>
        <v>46359</v>
      </c>
      <c r="C55" s="413" t="s">
        <v>3756</v>
      </c>
      <c r="D55" s="0" t="s">
        <v>66</v>
      </c>
      <c r="E55" s="413" t="s">
        <v>3782</v>
      </c>
      <c r="F55" s="413" t="s">
        <v>3783</v>
      </c>
      <c r="G55" s="0" t="s">
        <v>68</v>
      </c>
      <c r="H55" s="413" t="s">
        <v>3784</v>
      </c>
      <c r="I55" s="0" t="s">
        <v>131</v>
      </c>
      <c r="J55" s="0" t="str">
        <f aca="false">IF(ISNUMBER('Master Plan'!$P$14),"นัดแล้ว","ตามแผน")</f>
        <v>ตามแผน</v>
      </c>
      <c r="K55" s="413" t="s">
        <v>3785</v>
      </c>
    </row>
    <row r="56" customFormat="false" ht="15" hidden="false" customHeight="false" outlineLevel="0" collapsed="false">
      <c r="A56" s="0" t="str">
        <f aca="false">IF(AND(ISNUMBER(B56),NOT(AND(ISNUMBER('Master Plan'!$Q$14),N('Master Plan'!$Q$14)&lt;=ASOF)),N(B56)&gt;=ASOF,N(B56)&lt;=ASOF+LOOKAHEAD),B56+ROW()/100000,"")</f>
        <v/>
      </c>
      <c r="B56" s="302" t="n">
        <f aca="false">'Master Plan'!$AB$14</f>
        <v>46367</v>
      </c>
      <c r="C56" s="413" t="s">
        <v>3757</v>
      </c>
      <c r="D56" s="0" t="s">
        <v>66</v>
      </c>
      <c r="E56" s="413" t="s">
        <v>3782</v>
      </c>
      <c r="F56" s="413" t="s">
        <v>3783</v>
      </c>
      <c r="G56" s="0" t="s">
        <v>68</v>
      </c>
      <c r="H56" s="413" t="s">
        <v>3784</v>
      </c>
      <c r="I56" s="0" t="s">
        <v>131</v>
      </c>
      <c r="J56" s="0" t="str">
        <f aca="false">IF(ISNUMBER('Master Plan'!$Q$14),"นัดแล้ว","ตามแผน")</f>
        <v>ตามแผน</v>
      </c>
      <c r="K56" s="413" t="s">
        <v>3785</v>
      </c>
    </row>
    <row r="57" customFormat="false" ht="15" hidden="false" customHeight="false" outlineLevel="0" collapsed="false">
      <c r="A57" s="0" t="str">
        <f aca="false">IF(AND(ISNUMBER(B57),NOT(AND(ISNUMBER('Master Plan'!$R$14),N('Master Plan'!$R$14)&lt;=ASOF)),N(B57)&gt;=ASOF,N(B57)&lt;=ASOF+LOOKAHEAD),B57+ROW()/100000,"")</f>
        <v/>
      </c>
      <c r="B57" s="302" t="n">
        <f aca="false">'Master Plan'!$AC$14</f>
        <v>46356</v>
      </c>
      <c r="C57" s="413" t="s">
        <v>3758</v>
      </c>
      <c r="D57" s="0" t="s">
        <v>66</v>
      </c>
      <c r="E57" s="413" t="s">
        <v>3782</v>
      </c>
      <c r="F57" s="413" t="s">
        <v>3783</v>
      </c>
      <c r="G57" s="0" t="s">
        <v>68</v>
      </c>
      <c r="H57" s="413" t="s">
        <v>3784</v>
      </c>
      <c r="I57" s="0" t="s">
        <v>131</v>
      </c>
      <c r="J57" s="0" t="str">
        <f aca="false">IF(ISNUMBER('Master Plan'!$R$14),"นัดแล้ว","ตามแผน")</f>
        <v>ตามแผน</v>
      </c>
      <c r="K57" s="0" t="s">
        <v>131</v>
      </c>
    </row>
    <row r="58" customFormat="false" ht="15" hidden="false" customHeight="false" outlineLevel="0" collapsed="false">
      <c r="A58" s="0" t="str">
        <f aca="false">IF(AND(ISNUMBER(B58),NOT(AND(ISNUMBER('Master Plan'!$U$14),N('Master Plan'!$U$14)&lt;=ASOF)),N(B58)&gt;=ASOF,N(B58)&lt;=ASOF+LOOKAHEAD),B58+ROW()/100000,"")</f>
        <v/>
      </c>
      <c r="B58" s="302" t="n">
        <f aca="false">'Master Plan'!$AE$14</f>
        <v>46386</v>
      </c>
      <c r="C58" s="413" t="s">
        <v>3759</v>
      </c>
      <c r="D58" s="0" t="s">
        <v>66</v>
      </c>
      <c r="E58" s="413" t="s">
        <v>3782</v>
      </c>
      <c r="F58" s="413" t="s">
        <v>3783</v>
      </c>
      <c r="G58" s="0" t="s">
        <v>68</v>
      </c>
      <c r="H58" s="413" t="s">
        <v>3784</v>
      </c>
      <c r="I58" s="0" t="s">
        <v>131</v>
      </c>
      <c r="J58" s="0" t="str">
        <f aca="false">IF(ISNUMBER('Master Plan'!$U$14),"นัดแล้ว","ตามแผน")</f>
        <v>ตามแผน</v>
      </c>
      <c r="K58" s="0" t="s">
        <v>131</v>
      </c>
    </row>
    <row r="59" customFormat="false" ht="15" hidden="false" customHeight="false" outlineLevel="0" collapsed="false">
      <c r="A59" s="0" t="str">
        <f aca="false">IF(AND(ISNUMBER(B59),NOT(AND(ISNUMBER('Master Plan'!$V$14),N('Master Plan'!$V$14)&lt;=ASOF)),N(B59)&gt;=ASOF,N(B59)&lt;=ASOF+LOOKAHEAD),B59+ROW()/100000,"")</f>
        <v/>
      </c>
      <c r="B59" s="302" t="n">
        <f aca="false">'Master Plan'!$AF$14</f>
        <v>46391</v>
      </c>
      <c r="C59" s="413" t="s">
        <v>3760</v>
      </c>
      <c r="D59" s="0" t="s">
        <v>66</v>
      </c>
      <c r="E59" s="413" t="s">
        <v>3782</v>
      </c>
      <c r="F59" s="413" t="s">
        <v>3783</v>
      </c>
      <c r="G59" s="0" t="s">
        <v>68</v>
      </c>
      <c r="H59" s="413" t="s">
        <v>3784</v>
      </c>
      <c r="I59" s="0" t="s">
        <v>131</v>
      </c>
      <c r="J59" s="0" t="str">
        <f aca="false">IF(ISNUMBER('Master Plan'!$V$14),"นัดแล้ว","ตามแผน")</f>
        <v>ตามแผน</v>
      </c>
      <c r="K59" s="0" t="s">
        <v>131</v>
      </c>
    </row>
    <row r="60" customFormat="false" ht="15" hidden="false" customHeight="false" outlineLevel="0" collapsed="false">
      <c r="A60" s="0" t="str">
        <f aca="false">IF(AND(ISNUMBER(B60),NOT(AND(ISNUMBER('Master Plan'!$X$14),N('Master Plan'!$X$14)&lt;=ASOF)),N(B60)&gt;=ASOF,N(B60)&lt;=ASOF+LOOKAHEAD),B60+ROW()/100000,"")</f>
        <v/>
      </c>
      <c r="B60" s="302" t="n">
        <f aca="false">'Master Plan'!$AH$14</f>
        <v>46433</v>
      </c>
      <c r="C60" s="0" t="s">
        <v>2226</v>
      </c>
      <c r="D60" s="0" t="s">
        <v>66</v>
      </c>
      <c r="E60" s="413" t="s">
        <v>3782</v>
      </c>
      <c r="F60" s="413" t="s">
        <v>3783</v>
      </c>
      <c r="G60" s="0" t="s">
        <v>68</v>
      </c>
      <c r="H60" s="413" t="s">
        <v>3784</v>
      </c>
      <c r="I60" s="0" t="s">
        <v>131</v>
      </c>
      <c r="J60" s="0" t="str">
        <f aca="false">IF(ISNUMBER('Master Plan'!$X$14),"นัดแล้ว","ตามแผน")</f>
        <v>ตามแผน</v>
      </c>
      <c r="K60" s="413" t="s">
        <v>3784</v>
      </c>
    </row>
    <row r="61" customFormat="false" ht="15" hidden="false" customHeight="false" outlineLevel="0" collapsed="false">
      <c r="A61" s="414" t="n">
        <f aca="false">IF(AND(ISNUMBER(B61),NOT(AND(ISNUMBER('Master Plan'!$N$15),N('Master Plan'!$N$15)&lt;=ASOF)),N(B61)&gt;=ASOF,N(B61)&lt;=ASOF+LOOKAHEAD),B61+ROW()/100000,"")</f>
        <v>46349.00061</v>
      </c>
      <c r="B61" s="302" t="n">
        <f aca="false">'Master Plan'!$Y$15</f>
        <v>46349</v>
      </c>
      <c r="C61" s="413" t="s">
        <v>3750</v>
      </c>
      <c r="D61" s="0" t="s">
        <v>70</v>
      </c>
      <c r="E61" s="413" t="s">
        <v>3786</v>
      </c>
      <c r="F61" s="413" t="s">
        <v>3787</v>
      </c>
      <c r="G61" s="0" t="s">
        <v>72</v>
      </c>
      <c r="H61" s="413" t="s">
        <v>3788</v>
      </c>
      <c r="I61" s="0" t="s">
        <v>131</v>
      </c>
      <c r="J61" s="0" t="str">
        <f aca="false">IF(ISNUMBER('Master Plan'!$N$15),"นัดแล้ว","ตามแผน")</f>
        <v>ตามแผน</v>
      </c>
      <c r="K61" s="413" t="s">
        <v>3789</v>
      </c>
    </row>
    <row r="62" customFormat="false" ht="15" hidden="false" customHeight="false" outlineLevel="0" collapsed="false">
      <c r="A62" s="0" t="str">
        <f aca="false">IF(AND(ISNUMBER(B62),NOT(AND(ISNUMBER('Master Plan'!$O$15),N('Master Plan'!$O$15)&lt;=ASOF)),N(B62)&gt;=ASOF,N(B62)&lt;=ASOF+LOOKAHEAD),B62+ROW()/100000,"")</f>
        <v/>
      </c>
      <c r="B62" s="302" t="n">
        <f aca="false">'Master Plan'!$Z$15</f>
        <v>46356</v>
      </c>
      <c r="C62" s="413" t="s">
        <v>3755</v>
      </c>
      <c r="D62" s="0" t="s">
        <v>70</v>
      </c>
      <c r="E62" s="413" t="s">
        <v>3786</v>
      </c>
      <c r="F62" s="413" t="s">
        <v>3787</v>
      </c>
      <c r="G62" s="0" t="s">
        <v>72</v>
      </c>
      <c r="H62" s="413" t="s">
        <v>3788</v>
      </c>
      <c r="I62" s="0" t="s">
        <v>131</v>
      </c>
      <c r="J62" s="0" t="str">
        <f aca="false">IF(ISNUMBER('Master Plan'!$O$15),"นัดแล้ว","ตามแผน")</f>
        <v>ตามแผน</v>
      </c>
      <c r="K62" s="413" t="s">
        <v>3788</v>
      </c>
    </row>
    <row r="63" customFormat="false" ht="15" hidden="false" customHeight="false" outlineLevel="0" collapsed="false">
      <c r="A63" s="0" t="str">
        <f aca="false">IF(AND(ISNUMBER(B63),NOT(AND(ISNUMBER('Master Plan'!$P$15),N('Master Plan'!$P$15)&lt;=ASOF)),N(B63)&gt;=ASOF,N(B63)&lt;=ASOF+LOOKAHEAD),B63+ROW()/100000,"")</f>
        <v/>
      </c>
      <c r="B63" s="302" t="n">
        <f aca="false">'Master Plan'!$AA$15</f>
        <v>46359</v>
      </c>
      <c r="C63" s="413" t="s">
        <v>3756</v>
      </c>
      <c r="D63" s="0" t="s">
        <v>70</v>
      </c>
      <c r="E63" s="413" t="s">
        <v>3786</v>
      </c>
      <c r="F63" s="413" t="s">
        <v>3787</v>
      </c>
      <c r="G63" s="0" t="s">
        <v>72</v>
      </c>
      <c r="H63" s="413" t="s">
        <v>3788</v>
      </c>
      <c r="I63" s="0" t="s">
        <v>131</v>
      </c>
      <c r="J63" s="0" t="str">
        <f aca="false">IF(ISNUMBER('Master Plan'!$P$15),"นัดแล้ว","ตามแผน")</f>
        <v>ตามแผน</v>
      </c>
      <c r="K63" s="413" t="s">
        <v>3789</v>
      </c>
    </row>
    <row r="64" customFormat="false" ht="15" hidden="false" customHeight="false" outlineLevel="0" collapsed="false">
      <c r="A64" s="0" t="str">
        <f aca="false">IF(AND(ISNUMBER(B64),NOT(AND(ISNUMBER('Master Plan'!$Q$15),N('Master Plan'!$Q$15)&lt;=ASOF)),N(B64)&gt;=ASOF,N(B64)&lt;=ASOF+LOOKAHEAD),B64+ROW()/100000,"")</f>
        <v/>
      </c>
      <c r="B64" s="302" t="n">
        <f aca="false">'Master Plan'!$AB$15</f>
        <v>46367</v>
      </c>
      <c r="C64" s="413" t="s">
        <v>3757</v>
      </c>
      <c r="D64" s="0" t="s">
        <v>70</v>
      </c>
      <c r="E64" s="413" t="s">
        <v>3786</v>
      </c>
      <c r="F64" s="413" t="s">
        <v>3787</v>
      </c>
      <c r="G64" s="0" t="s">
        <v>72</v>
      </c>
      <c r="H64" s="413" t="s">
        <v>3788</v>
      </c>
      <c r="I64" s="0" t="s">
        <v>131</v>
      </c>
      <c r="J64" s="0" t="str">
        <f aca="false">IF(ISNUMBER('Master Plan'!$Q$15),"นัดแล้ว","ตามแผน")</f>
        <v>ตามแผน</v>
      </c>
      <c r="K64" s="413" t="s">
        <v>3789</v>
      </c>
    </row>
    <row r="65" customFormat="false" ht="15" hidden="false" customHeight="false" outlineLevel="0" collapsed="false">
      <c r="A65" s="0" t="str">
        <f aca="false">IF(AND(ISNUMBER(B65),NOT(AND(ISNUMBER('Master Plan'!$R$15),N('Master Plan'!$R$15)&lt;=ASOF)),N(B65)&gt;=ASOF,N(B65)&lt;=ASOF+LOOKAHEAD),B65+ROW()/100000,"")</f>
        <v/>
      </c>
      <c r="B65" s="302" t="n">
        <f aca="false">'Master Plan'!$AC$15</f>
        <v>46356</v>
      </c>
      <c r="C65" s="413" t="s">
        <v>3758</v>
      </c>
      <c r="D65" s="0" t="s">
        <v>70</v>
      </c>
      <c r="E65" s="413" t="s">
        <v>3786</v>
      </c>
      <c r="F65" s="413" t="s">
        <v>3787</v>
      </c>
      <c r="G65" s="0" t="s">
        <v>72</v>
      </c>
      <c r="H65" s="413" t="s">
        <v>3788</v>
      </c>
      <c r="I65" s="0" t="s">
        <v>131</v>
      </c>
      <c r="J65" s="0" t="str">
        <f aca="false">IF(ISNUMBER('Master Plan'!$R$15),"นัดแล้ว","ตามแผน")</f>
        <v>ตามแผน</v>
      </c>
      <c r="K65" s="0" t="s">
        <v>131</v>
      </c>
    </row>
    <row r="66" customFormat="false" ht="15" hidden="false" customHeight="false" outlineLevel="0" collapsed="false">
      <c r="A66" s="0" t="str">
        <f aca="false">IF(AND(ISNUMBER(B66),NOT(AND(ISNUMBER('Master Plan'!$U$15),N('Master Plan'!$U$15)&lt;=ASOF)),N(B66)&gt;=ASOF,N(B66)&lt;=ASOF+LOOKAHEAD),B66+ROW()/100000,"")</f>
        <v/>
      </c>
      <c r="B66" s="302" t="n">
        <f aca="false">'Master Plan'!$AE$15</f>
        <v>46386</v>
      </c>
      <c r="C66" s="413" t="s">
        <v>3759</v>
      </c>
      <c r="D66" s="0" t="s">
        <v>70</v>
      </c>
      <c r="E66" s="413" t="s">
        <v>3786</v>
      </c>
      <c r="F66" s="413" t="s">
        <v>3787</v>
      </c>
      <c r="G66" s="0" t="s">
        <v>72</v>
      </c>
      <c r="H66" s="413" t="s">
        <v>3788</v>
      </c>
      <c r="I66" s="0" t="s">
        <v>131</v>
      </c>
      <c r="J66" s="0" t="str">
        <f aca="false">IF(ISNUMBER('Master Plan'!$U$15),"นัดแล้ว","ตามแผน")</f>
        <v>ตามแผน</v>
      </c>
      <c r="K66" s="0" t="s">
        <v>131</v>
      </c>
    </row>
    <row r="67" customFormat="false" ht="15" hidden="false" customHeight="false" outlineLevel="0" collapsed="false">
      <c r="A67" s="0" t="str">
        <f aca="false">IF(AND(ISNUMBER(B67),NOT(AND(ISNUMBER('Master Plan'!$V$15),N('Master Plan'!$V$15)&lt;=ASOF)),N(B67)&gt;=ASOF,N(B67)&lt;=ASOF+LOOKAHEAD),B67+ROW()/100000,"")</f>
        <v/>
      </c>
      <c r="B67" s="302" t="n">
        <f aca="false">'Master Plan'!$AF$15</f>
        <v>46391</v>
      </c>
      <c r="C67" s="413" t="s">
        <v>3760</v>
      </c>
      <c r="D67" s="0" t="s">
        <v>70</v>
      </c>
      <c r="E67" s="413" t="s">
        <v>3786</v>
      </c>
      <c r="F67" s="413" t="s">
        <v>3787</v>
      </c>
      <c r="G67" s="0" t="s">
        <v>72</v>
      </c>
      <c r="H67" s="413" t="s">
        <v>3788</v>
      </c>
      <c r="I67" s="0" t="s">
        <v>131</v>
      </c>
      <c r="J67" s="0" t="str">
        <f aca="false">IF(ISNUMBER('Master Plan'!$V$15),"นัดแล้ว","ตามแผน")</f>
        <v>ตามแผน</v>
      </c>
      <c r="K67" s="0" t="s">
        <v>131</v>
      </c>
    </row>
    <row r="68" customFormat="false" ht="15" hidden="false" customHeight="false" outlineLevel="0" collapsed="false">
      <c r="A68" s="0" t="str">
        <f aca="false">IF(AND(ISNUMBER(B68),NOT(AND(ISNUMBER('Master Plan'!$W$15),N('Master Plan'!$W$15)&lt;=ASOF)),N(B68)&gt;=ASOF,N(B68)&lt;=ASOF+LOOKAHEAD),B68+ROW()/100000,"")</f>
        <v/>
      </c>
      <c r="B68" s="302" t="n">
        <f aca="false">'Master Plan'!$AG$15</f>
        <v>46356</v>
      </c>
      <c r="C68" s="413" t="s">
        <v>3765</v>
      </c>
      <c r="D68" s="0" t="s">
        <v>70</v>
      </c>
      <c r="E68" s="413" t="s">
        <v>3786</v>
      </c>
      <c r="F68" s="413" t="s">
        <v>3787</v>
      </c>
      <c r="G68" s="0" t="s">
        <v>72</v>
      </c>
      <c r="H68" s="413" t="s">
        <v>3788</v>
      </c>
      <c r="I68" s="0" t="s">
        <v>131</v>
      </c>
      <c r="J68" s="0" t="str">
        <f aca="false">IF(ISNUMBER('Master Plan'!$W$15),"นัดแล้ว","ตามแผน")</f>
        <v>ตามแผน</v>
      </c>
      <c r="K68" s="0" t="s">
        <v>131</v>
      </c>
    </row>
    <row r="69" customFormat="false" ht="15" hidden="false" customHeight="false" outlineLevel="0" collapsed="false">
      <c r="A69" s="0" t="str">
        <f aca="false">IF(AND(ISNUMBER(B69),NOT(AND(ISNUMBER('Master Plan'!$X$15),N('Master Plan'!$X$15)&lt;=ASOF)),N(B69)&gt;=ASOF,N(B69)&lt;=ASOF+LOOKAHEAD),B69+ROW()/100000,"")</f>
        <v/>
      </c>
      <c r="B69" s="302" t="n">
        <f aca="false">'Master Plan'!$AH$15</f>
        <v>46433</v>
      </c>
      <c r="C69" s="0" t="s">
        <v>2226</v>
      </c>
      <c r="D69" s="0" t="s">
        <v>70</v>
      </c>
      <c r="E69" s="413" t="s">
        <v>3786</v>
      </c>
      <c r="F69" s="413" t="s">
        <v>3787</v>
      </c>
      <c r="G69" s="0" t="s">
        <v>72</v>
      </c>
      <c r="H69" s="413" t="s">
        <v>3788</v>
      </c>
      <c r="I69" s="0" t="s">
        <v>131</v>
      </c>
      <c r="J69" s="0" t="str">
        <f aca="false">IF(ISNUMBER('Master Plan'!$X$15),"นัดแล้ว","ตามแผน")</f>
        <v>ตามแผน</v>
      </c>
      <c r="K69" s="413" t="s">
        <v>3788</v>
      </c>
    </row>
    <row r="70" customFormat="false" ht="15" hidden="false" customHeight="false" outlineLevel="0" collapsed="false">
      <c r="A70" s="414" t="n">
        <f aca="false">IF(AND(ISNUMBER(B70),NOT(AND(ISNUMBER('Master Plan'!$N$16),N('Master Plan'!$N$16)&lt;=ASOF)),N(B70)&gt;=ASOF,N(B70)&lt;=ASOF+LOOKAHEAD),B70+ROW()/100000,"")</f>
        <v>46349.0007</v>
      </c>
      <c r="B70" s="302" t="n">
        <f aca="false">'Master Plan'!$Y$16</f>
        <v>46349</v>
      </c>
      <c r="C70" s="413" t="s">
        <v>3750</v>
      </c>
      <c r="D70" s="0" t="s">
        <v>74</v>
      </c>
      <c r="E70" s="413" t="s">
        <v>3790</v>
      </c>
      <c r="F70" s="413" t="s">
        <v>3791</v>
      </c>
      <c r="G70" s="0" t="s">
        <v>76</v>
      </c>
      <c r="H70" s="413" t="s">
        <v>3792</v>
      </c>
      <c r="I70" s="0" t="s">
        <v>131</v>
      </c>
      <c r="J70" s="0" t="str">
        <f aca="false">IF(ISNUMBER('Master Plan'!$N$16),"นัดแล้ว","ตามแผน")</f>
        <v>ตามแผน</v>
      </c>
      <c r="K70" s="413" t="s">
        <v>3793</v>
      </c>
    </row>
    <row r="71" customFormat="false" ht="15" hidden="false" customHeight="false" outlineLevel="0" collapsed="false">
      <c r="A71" s="0" t="str">
        <f aca="false">IF(AND(ISNUMBER(B71),NOT(AND(ISNUMBER('Master Plan'!$O$16),N('Master Plan'!$O$16)&lt;=ASOF)),N(B71)&gt;=ASOF,N(B71)&lt;=ASOF+LOOKAHEAD),B71+ROW()/100000,"")</f>
        <v/>
      </c>
      <c r="B71" s="302" t="n">
        <f aca="false">'Master Plan'!$Z$16</f>
        <v>46356</v>
      </c>
      <c r="C71" s="413" t="s">
        <v>3755</v>
      </c>
      <c r="D71" s="0" t="s">
        <v>74</v>
      </c>
      <c r="E71" s="413" t="s">
        <v>3790</v>
      </c>
      <c r="F71" s="413" t="s">
        <v>3791</v>
      </c>
      <c r="G71" s="0" t="s">
        <v>76</v>
      </c>
      <c r="H71" s="413" t="s">
        <v>3792</v>
      </c>
      <c r="I71" s="0" t="s">
        <v>131</v>
      </c>
      <c r="J71" s="0" t="str">
        <f aca="false">IF(ISNUMBER('Master Plan'!$O$16),"นัดแล้ว","ตามแผน")</f>
        <v>ตามแผน</v>
      </c>
      <c r="K71" s="413" t="s">
        <v>3792</v>
      </c>
    </row>
    <row r="72" customFormat="false" ht="15" hidden="false" customHeight="false" outlineLevel="0" collapsed="false">
      <c r="A72" s="0" t="str">
        <f aca="false">IF(AND(ISNUMBER(B72),NOT(AND(ISNUMBER('Master Plan'!$P$16),N('Master Plan'!$P$16)&lt;=ASOF)),N(B72)&gt;=ASOF,N(B72)&lt;=ASOF+LOOKAHEAD),B72+ROW()/100000,"")</f>
        <v/>
      </c>
      <c r="B72" s="302" t="n">
        <f aca="false">'Master Plan'!$AA$16</f>
        <v>46359</v>
      </c>
      <c r="C72" s="413" t="s">
        <v>3756</v>
      </c>
      <c r="D72" s="0" t="s">
        <v>74</v>
      </c>
      <c r="E72" s="413" t="s">
        <v>3790</v>
      </c>
      <c r="F72" s="413" t="s">
        <v>3791</v>
      </c>
      <c r="G72" s="0" t="s">
        <v>76</v>
      </c>
      <c r="H72" s="413" t="s">
        <v>3792</v>
      </c>
      <c r="I72" s="0" t="s">
        <v>131</v>
      </c>
      <c r="J72" s="0" t="str">
        <f aca="false">IF(ISNUMBER('Master Plan'!$P$16),"นัดแล้ว","ตามแผน")</f>
        <v>ตามแผน</v>
      </c>
      <c r="K72" s="413" t="s">
        <v>3793</v>
      </c>
    </row>
    <row r="73" customFormat="false" ht="15" hidden="false" customHeight="false" outlineLevel="0" collapsed="false">
      <c r="A73" s="0" t="str">
        <f aca="false">IF(AND(ISNUMBER(B73),NOT(AND(ISNUMBER('Master Plan'!$Q$16),N('Master Plan'!$Q$16)&lt;=ASOF)),N(B73)&gt;=ASOF,N(B73)&lt;=ASOF+LOOKAHEAD),B73+ROW()/100000,"")</f>
        <v/>
      </c>
      <c r="B73" s="302" t="n">
        <f aca="false">'Master Plan'!$AB$16</f>
        <v>46367</v>
      </c>
      <c r="C73" s="413" t="s">
        <v>3757</v>
      </c>
      <c r="D73" s="0" t="s">
        <v>74</v>
      </c>
      <c r="E73" s="413" t="s">
        <v>3790</v>
      </c>
      <c r="F73" s="413" t="s">
        <v>3791</v>
      </c>
      <c r="G73" s="0" t="s">
        <v>76</v>
      </c>
      <c r="H73" s="413" t="s">
        <v>3792</v>
      </c>
      <c r="I73" s="0" t="s">
        <v>131</v>
      </c>
      <c r="J73" s="0" t="str">
        <f aca="false">IF(ISNUMBER('Master Plan'!$Q$16),"นัดแล้ว","ตามแผน")</f>
        <v>ตามแผน</v>
      </c>
      <c r="K73" s="413" t="s">
        <v>3793</v>
      </c>
    </row>
    <row r="74" customFormat="false" ht="15" hidden="false" customHeight="false" outlineLevel="0" collapsed="false">
      <c r="A74" s="0" t="str">
        <f aca="false">IF(AND(ISNUMBER(B74),NOT(AND(ISNUMBER('Master Plan'!$R$16),N('Master Plan'!$R$16)&lt;=ASOF)),N(B74)&gt;=ASOF,N(B74)&lt;=ASOF+LOOKAHEAD),B74+ROW()/100000,"")</f>
        <v/>
      </c>
      <c r="B74" s="302" t="n">
        <f aca="false">'Master Plan'!$AC$16</f>
        <v>46356</v>
      </c>
      <c r="C74" s="413" t="s">
        <v>3758</v>
      </c>
      <c r="D74" s="0" t="s">
        <v>74</v>
      </c>
      <c r="E74" s="413" t="s">
        <v>3790</v>
      </c>
      <c r="F74" s="413" t="s">
        <v>3791</v>
      </c>
      <c r="G74" s="0" t="s">
        <v>76</v>
      </c>
      <c r="H74" s="413" t="s">
        <v>3792</v>
      </c>
      <c r="I74" s="0" t="s">
        <v>131</v>
      </c>
      <c r="J74" s="0" t="str">
        <f aca="false">IF(ISNUMBER('Master Plan'!$R$16),"นัดแล้ว","ตามแผน")</f>
        <v>ตามแผน</v>
      </c>
      <c r="K74" s="0" t="s">
        <v>131</v>
      </c>
    </row>
    <row r="75" customFormat="false" ht="15" hidden="false" customHeight="false" outlineLevel="0" collapsed="false">
      <c r="A75" s="0" t="str">
        <f aca="false">IF(AND(ISNUMBER(B75),NOT(AND(ISNUMBER('Master Plan'!$U$16),N('Master Plan'!$U$16)&lt;=ASOF)),N(B75)&gt;=ASOF,N(B75)&lt;=ASOF+LOOKAHEAD),B75+ROW()/100000,"")</f>
        <v/>
      </c>
      <c r="B75" s="302" t="n">
        <f aca="false">'Master Plan'!$AE$16</f>
        <v>46386</v>
      </c>
      <c r="C75" s="413" t="s">
        <v>3759</v>
      </c>
      <c r="D75" s="0" t="s">
        <v>74</v>
      </c>
      <c r="E75" s="413" t="s">
        <v>3790</v>
      </c>
      <c r="F75" s="413" t="s">
        <v>3791</v>
      </c>
      <c r="G75" s="0" t="s">
        <v>76</v>
      </c>
      <c r="H75" s="413" t="s">
        <v>3792</v>
      </c>
      <c r="I75" s="0" t="s">
        <v>131</v>
      </c>
      <c r="J75" s="0" t="str">
        <f aca="false">IF(ISNUMBER('Master Plan'!$U$16),"นัดแล้ว","ตามแผน")</f>
        <v>ตามแผน</v>
      </c>
      <c r="K75" s="0" t="s">
        <v>131</v>
      </c>
    </row>
    <row r="76" customFormat="false" ht="15" hidden="false" customHeight="false" outlineLevel="0" collapsed="false">
      <c r="A76" s="0" t="str">
        <f aca="false">IF(AND(ISNUMBER(B76),NOT(AND(ISNUMBER('Master Plan'!$V$16),N('Master Plan'!$V$16)&lt;=ASOF)),N(B76)&gt;=ASOF,N(B76)&lt;=ASOF+LOOKAHEAD),B76+ROW()/100000,"")</f>
        <v/>
      </c>
      <c r="B76" s="302" t="n">
        <f aca="false">'Master Plan'!$AF$16</f>
        <v>46391</v>
      </c>
      <c r="C76" s="413" t="s">
        <v>3760</v>
      </c>
      <c r="D76" s="0" t="s">
        <v>74</v>
      </c>
      <c r="E76" s="413" t="s">
        <v>3790</v>
      </c>
      <c r="F76" s="413" t="s">
        <v>3791</v>
      </c>
      <c r="G76" s="0" t="s">
        <v>76</v>
      </c>
      <c r="H76" s="413" t="s">
        <v>3792</v>
      </c>
      <c r="I76" s="0" t="s">
        <v>131</v>
      </c>
      <c r="J76" s="0" t="str">
        <f aca="false">IF(ISNUMBER('Master Plan'!$V$16),"นัดแล้ว","ตามแผน")</f>
        <v>ตามแผน</v>
      </c>
      <c r="K76" s="0" t="s">
        <v>131</v>
      </c>
    </row>
    <row r="77" customFormat="false" ht="15" hidden="false" customHeight="false" outlineLevel="0" collapsed="false">
      <c r="A77" s="0" t="str">
        <f aca="false">IF(AND(ISNUMBER(B77),NOT(AND(ISNUMBER('Master Plan'!$X$16),N('Master Plan'!$X$16)&lt;=ASOF)),N(B77)&gt;=ASOF,N(B77)&lt;=ASOF+LOOKAHEAD),B77+ROW()/100000,"")</f>
        <v/>
      </c>
      <c r="B77" s="302" t="n">
        <f aca="false">'Master Plan'!$AH$16</f>
        <v>46433</v>
      </c>
      <c r="C77" s="0" t="s">
        <v>2226</v>
      </c>
      <c r="D77" s="0" t="s">
        <v>74</v>
      </c>
      <c r="E77" s="413" t="s">
        <v>3790</v>
      </c>
      <c r="F77" s="413" t="s">
        <v>3791</v>
      </c>
      <c r="G77" s="0" t="s">
        <v>76</v>
      </c>
      <c r="H77" s="413" t="s">
        <v>3792</v>
      </c>
      <c r="I77" s="0" t="s">
        <v>131</v>
      </c>
      <c r="J77" s="0" t="str">
        <f aca="false">IF(ISNUMBER('Master Plan'!$X$16),"นัดแล้ว","ตามแผน")</f>
        <v>ตามแผน</v>
      </c>
      <c r="K77" s="413" t="s">
        <v>3792</v>
      </c>
    </row>
    <row r="78" customFormat="false" ht="15" hidden="false" customHeight="false" outlineLevel="0" collapsed="false">
      <c r="A78" s="414" t="n">
        <f aca="false">IF(AND(ISNUMBER(B78),NOT(AND(ISNUMBER('Master Plan'!$N$17),N('Master Plan'!$N$17)&lt;=ASOF)),N(B78)&gt;=ASOF,N(B78)&lt;=ASOF+LOOKAHEAD),B78+ROW()/100000,"")</f>
        <v>46349.00078</v>
      </c>
      <c r="B78" s="302" t="n">
        <f aca="false">'Master Plan'!$Y$17</f>
        <v>46349</v>
      </c>
      <c r="C78" s="413" t="s">
        <v>3750</v>
      </c>
      <c r="D78" s="0" t="s">
        <v>78</v>
      </c>
      <c r="E78" s="413" t="s">
        <v>3794</v>
      </c>
      <c r="F78" s="413" t="s">
        <v>3795</v>
      </c>
      <c r="G78" s="0" t="s">
        <v>80</v>
      </c>
      <c r="H78" s="413" t="s">
        <v>3796</v>
      </c>
      <c r="I78" s="0" t="s">
        <v>131</v>
      </c>
      <c r="J78" s="0" t="str">
        <f aca="false">IF(ISNUMBER('Master Plan'!$N$17),"นัดแล้ว","ตามแผน")</f>
        <v>ตามแผน</v>
      </c>
      <c r="K78" s="413" t="s">
        <v>3797</v>
      </c>
    </row>
    <row r="79" customFormat="false" ht="15" hidden="false" customHeight="false" outlineLevel="0" collapsed="false">
      <c r="A79" s="0" t="str">
        <f aca="false">IF(AND(ISNUMBER(B79),NOT(AND(ISNUMBER('Master Plan'!$O$17),N('Master Plan'!$O$17)&lt;=ASOF)),N(B79)&gt;=ASOF,N(B79)&lt;=ASOF+LOOKAHEAD),B79+ROW()/100000,"")</f>
        <v/>
      </c>
      <c r="B79" s="302" t="n">
        <f aca="false">'Master Plan'!$Z$17</f>
        <v>46356</v>
      </c>
      <c r="C79" s="413" t="s">
        <v>3755</v>
      </c>
      <c r="D79" s="0" t="s">
        <v>78</v>
      </c>
      <c r="E79" s="413" t="s">
        <v>3794</v>
      </c>
      <c r="F79" s="413" t="s">
        <v>3795</v>
      </c>
      <c r="G79" s="0" t="s">
        <v>80</v>
      </c>
      <c r="H79" s="413" t="s">
        <v>3796</v>
      </c>
      <c r="I79" s="0" t="s">
        <v>131</v>
      </c>
      <c r="J79" s="0" t="str">
        <f aca="false">IF(ISNUMBER('Master Plan'!$O$17),"นัดแล้ว","ตามแผน")</f>
        <v>ตามแผน</v>
      </c>
      <c r="K79" s="413" t="s">
        <v>3796</v>
      </c>
    </row>
    <row r="80" customFormat="false" ht="15" hidden="false" customHeight="false" outlineLevel="0" collapsed="false">
      <c r="A80" s="0" t="str">
        <f aca="false">IF(AND(ISNUMBER(B80),NOT(AND(ISNUMBER('Master Plan'!$P$17),N('Master Plan'!$P$17)&lt;=ASOF)),N(B80)&gt;=ASOF,N(B80)&lt;=ASOF+LOOKAHEAD),B80+ROW()/100000,"")</f>
        <v/>
      </c>
      <c r="B80" s="302" t="n">
        <f aca="false">'Master Plan'!$AA$17</f>
        <v>46359</v>
      </c>
      <c r="C80" s="413" t="s">
        <v>3756</v>
      </c>
      <c r="D80" s="0" t="s">
        <v>78</v>
      </c>
      <c r="E80" s="413" t="s">
        <v>3794</v>
      </c>
      <c r="F80" s="413" t="s">
        <v>3795</v>
      </c>
      <c r="G80" s="0" t="s">
        <v>80</v>
      </c>
      <c r="H80" s="413" t="s">
        <v>3796</v>
      </c>
      <c r="I80" s="0" t="s">
        <v>131</v>
      </c>
      <c r="J80" s="0" t="str">
        <f aca="false">IF(ISNUMBER('Master Plan'!$P$17),"นัดแล้ว","ตามแผน")</f>
        <v>ตามแผน</v>
      </c>
      <c r="K80" s="413" t="s">
        <v>3797</v>
      </c>
    </row>
    <row r="81" customFormat="false" ht="15" hidden="false" customHeight="false" outlineLevel="0" collapsed="false">
      <c r="A81" s="0" t="str">
        <f aca="false">IF(AND(ISNUMBER(B81),NOT(AND(ISNUMBER('Master Plan'!$Q$17),N('Master Plan'!$Q$17)&lt;=ASOF)),N(B81)&gt;=ASOF,N(B81)&lt;=ASOF+LOOKAHEAD),B81+ROW()/100000,"")</f>
        <v/>
      </c>
      <c r="B81" s="302" t="n">
        <f aca="false">'Master Plan'!$AB$17</f>
        <v>46367</v>
      </c>
      <c r="C81" s="413" t="s">
        <v>3757</v>
      </c>
      <c r="D81" s="0" t="s">
        <v>78</v>
      </c>
      <c r="E81" s="413" t="s">
        <v>3794</v>
      </c>
      <c r="F81" s="413" t="s">
        <v>3795</v>
      </c>
      <c r="G81" s="0" t="s">
        <v>80</v>
      </c>
      <c r="H81" s="413" t="s">
        <v>3796</v>
      </c>
      <c r="I81" s="0" t="s">
        <v>131</v>
      </c>
      <c r="J81" s="0" t="str">
        <f aca="false">IF(ISNUMBER('Master Plan'!$Q$17),"นัดแล้ว","ตามแผน")</f>
        <v>ตามแผน</v>
      </c>
      <c r="K81" s="413" t="s">
        <v>3797</v>
      </c>
    </row>
    <row r="82" customFormat="false" ht="15" hidden="false" customHeight="false" outlineLevel="0" collapsed="false">
      <c r="A82" s="0" t="str">
        <f aca="false">IF(AND(ISNUMBER(B82),NOT(AND(ISNUMBER('Master Plan'!$R$17),N('Master Plan'!$R$17)&lt;=ASOF)),N(B82)&gt;=ASOF,N(B82)&lt;=ASOF+LOOKAHEAD),B82+ROW()/100000,"")</f>
        <v/>
      </c>
      <c r="B82" s="302" t="n">
        <f aca="false">'Master Plan'!$AC$17</f>
        <v>46356</v>
      </c>
      <c r="C82" s="413" t="s">
        <v>3758</v>
      </c>
      <c r="D82" s="0" t="s">
        <v>78</v>
      </c>
      <c r="E82" s="413" t="s">
        <v>3794</v>
      </c>
      <c r="F82" s="413" t="s">
        <v>3795</v>
      </c>
      <c r="G82" s="0" t="s">
        <v>80</v>
      </c>
      <c r="H82" s="413" t="s">
        <v>3796</v>
      </c>
      <c r="I82" s="0" t="s">
        <v>131</v>
      </c>
      <c r="J82" s="0" t="str">
        <f aca="false">IF(ISNUMBER('Master Plan'!$R$17),"นัดแล้ว","ตามแผน")</f>
        <v>ตามแผน</v>
      </c>
      <c r="K82" s="0" t="s">
        <v>131</v>
      </c>
    </row>
    <row r="83" customFormat="false" ht="15" hidden="false" customHeight="false" outlineLevel="0" collapsed="false">
      <c r="A83" s="0" t="str">
        <f aca="false">IF(AND(ISNUMBER(B83),NOT(AND(ISNUMBER('Master Plan'!$U$17),N('Master Plan'!$U$17)&lt;=ASOF)),N(B83)&gt;=ASOF,N(B83)&lt;=ASOF+LOOKAHEAD),B83+ROW()/100000,"")</f>
        <v/>
      </c>
      <c r="B83" s="302" t="n">
        <f aca="false">'Master Plan'!$AE$17</f>
        <v>46386</v>
      </c>
      <c r="C83" s="413" t="s">
        <v>3759</v>
      </c>
      <c r="D83" s="0" t="s">
        <v>78</v>
      </c>
      <c r="E83" s="413" t="s">
        <v>3794</v>
      </c>
      <c r="F83" s="413" t="s">
        <v>3795</v>
      </c>
      <c r="G83" s="0" t="s">
        <v>80</v>
      </c>
      <c r="H83" s="413" t="s">
        <v>3796</v>
      </c>
      <c r="I83" s="0" t="s">
        <v>131</v>
      </c>
      <c r="J83" s="0" t="str">
        <f aca="false">IF(ISNUMBER('Master Plan'!$U$17),"นัดแล้ว","ตามแผน")</f>
        <v>ตามแผน</v>
      </c>
      <c r="K83" s="0" t="s">
        <v>131</v>
      </c>
    </row>
    <row r="84" customFormat="false" ht="15" hidden="false" customHeight="false" outlineLevel="0" collapsed="false">
      <c r="A84" s="0" t="str">
        <f aca="false">IF(AND(ISNUMBER(B84),NOT(AND(ISNUMBER('Master Plan'!$V$17),N('Master Plan'!$V$17)&lt;=ASOF)),N(B84)&gt;=ASOF,N(B84)&lt;=ASOF+LOOKAHEAD),B84+ROW()/100000,"")</f>
        <v/>
      </c>
      <c r="B84" s="302" t="n">
        <f aca="false">'Master Plan'!$AF$17</f>
        <v>46391</v>
      </c>
      <c r="C84" s="413" t="s">
        <v>3760</v>
      </c>
      <c r="D84" s="0" t="s">
        <v>78</v>
      </c>
      <c r="E84" s="413" t="s">
        <v>3794</v>
      </c>
      <c r="F84" s="413" t="s">
        <v>3795</v>
      </c>
      <c r="G84" s="0" t="s">
        <v>80</v>
      </c>
      <c r="H84" s="413" t="s">
        <v>3796</v>
      </c>
      <c r="I84" s="0" t="s">
        <v>131</v>
      </c>
      <c r="J84" s="0" t="str">
        <f aca="false">IF(ISNUMBER('Master Plan'!$V$17),"นัดแล้ว","ตามแผน")</f>
        <v>ตามแผน</v>
      </c>
      <c r="K84" s="0" t="s">
        <v>131</v>
      </c>
    </row>
    <row r="85" customFormat="false" ht="15" hidden="false" customHeight="false" outlineLevel="0" collapsed="false">
      <c r="A85" s="0" t="str">
        <f aca="false">IF(AND(ISNUMBER(B85),NOT(AND(ISNUMBER('Master Plan'!$W$17),N('Master Plan'!$W$17)&lt;=ASOF)),N(B85)&gt;=ASOF,N(B85)&lt;=ASOF+LOOKAHEAD),B85+ROW()/100000,"")</f>
        <v/>
      </c>
      <c r="B85" s="302" t="n">
        <f aca="false">'Master Plan'!$AG$17</f>
        <v>46356</v>
      </c>
      <c r="C85" s="413" t="s">
        <v>3765</v>
      </c>
      <c r="D85" s="0" t="s">
        <v>78</v>
      </c>
      <c r="E85" s="413" t="s">
        <v>3794</v>
      </c>
      <c r="F85" s="413" t="s">
        <v>3795</v>
      </c>
      <c r="G85" s="0" t="s">
        <v>80</v>
      </c>
      <c r="H85" s="413" t="s">
        <v>3796</v>
      </c>
      <c r="I85" s="0" t="s">
        <v>131</v>
      </c>
      <c r="J85" s="0" t="str">
        <f aca="false">IF(ISNUMBER('Master Plan'!$W$17),"นัดแล้ว","ตามแผน")</f>
        <v>ตามแผน</v>
      </c>
      <c r="K85" s="0" t="s">
        <v>131</v>
      </c>
    </row>
    <row r="86" customFormat="false" ht="15" hidden="false" customHeight="false" outlineLevel="0" collapsed="false">
      <c r="A86" s="0" t="str">
        <f aca="false">IF(AND(ISNUMBER(B86),NOT(AND(ISNUMBER('Master Plan'!$X$17),N('Master Plan'!$X$17)&lt;=ASOF)),N(B86)&gt;=ASOF,N(B86)&lt;=ASOF+LOOKAHEAD),B86+ROW()/100000,"")</f>
        <v/>
      </c>
      <c r="B86" s="302" t="n">
        <f aca="false">'Master Plan'!$AH$17</f>
        <v>46433</v>
      </c>
      <c r="C86" s="0" t="s">
        <v>2226</v>
      </c>
      <c r="D86" s="0" t="s">
        <v>78</v>
      </c>
      <c r="E86" s="413" t="s">
        <v>3794</v>
      </c>
      <c r="F86" s="413" t="s">
        <v>3795</v>
      </c>
      <c r="G86" s="0" t="s">
        <v>80</v>
      </c>
      <c r="H86" s="413" t="s">
        <v>3796</v>
      </c>
      <c r="I86" s="0" t="s">
        <v>131</v>
      </c>
      <c r="J86" s="0" t="str">
        <f aca="false">IF(ISNUMBER('Master Plan'!$X$17),"นัดแล้ว","ตามแผน")</f>
        <v>ตามแผน</v>
      </c>
      <c r="K86" s="413" t="s">
        <v>3796</v>
      </c>
    </row>
    <row r="87" customFormat="false" ht="15" hidden="false" customHeight="false" outlineLevel="0" collapsed="false">
      <c r="A87" s="414" t="n">
        <f aca="false">IF(AND(ISNUMBER(B87),NOT(AND(ISNUMBER('Master Plan'!$N$18),N('Master Plan'!$N$18)&lt;=ASOF)),N(B87)&gt;=ASOF,N(B87)&lt;=ASOF+LOOKAHEAD),B87+ROW()/100000,"")</f>
        <v>46349.00087</v>
      </c>
      <c r="B87" s="302" t="n">
        <f aca="false">'Master Plan'!$Y$18</f>
        <v>46349</v>
      </c>
      <c r="C87" s="413" t="s">
        <v>3750</v>
      </c>
      <c r="D87" s="0" t="s">
        <v>82</v>
      </c>
      <c r="E87" s="413" t="s">
        <v>3798</v>
      </c>
      <c r="F87" s="413" t="s">
        <v>3799</v>
      </c>
      <c r="G87" s="0" t="s">
        <v>84</v>
      </c>
      <c r="H87" s="413" t="s">
        <v>3800</v>
      </c>
      <c r="I87" s="0" t="s">
        <v>131</v>
      </c>
      <c r="J87" s="0" t="str">
        <f aca="false">IF(ISNUMBER('Master Plan'!$N$18),"นัดแล้ว","ตามแผน")</f>
        <v>ตามแผน</v>
      </c>
      <c r="K87" s="413" t="s">
        <v>3801</v>
      </c>
    </row>
    <row r="88" customFormat="false" ht="15" hidden="false" customHeight="false" outlineLevel="0" collapsed="false">
      <c r="A88" s="0" t="str">
        <f aca="false">IF(AND(ISNUMBER(B88),NOT(AND(ISNUMBER('Master Plan'!$O$18),N('Master Plan'!$O$18)&lt;=ASOF)),N(B88)&gt;=ASOF,N(B88)&lt;=ASOF+LOOKAHEAD),B88+ROW()/100000,"")</f>
        <v/>
      </c>
      <c r="B88" s="302" t="n">
        <f aca="false">'Master Plan'!$Z$18</f>
        <v>46356</v>
      </c>
      <c r="C88" s="413" t="s">
        <v>3755</v>
      </c>
      <c r="D88" s="0" t="s">
        <v>82</v>
      </c>
      <c r="E88" s="413" t="s">
        <v>3798</v>
      </c>
      <c r="F88" s="413" t="s">
        <v>3799</v>
      </c>
      <c r="G88" s="0" t="s">
        <v>84</v>
      </c>
      <c r="H88" s="413" t="s">
        <v>3800</v>
      </c>
      <c r="I88" s="0" t="s">
        <v>131</v>
      </c>
      <c r="J88" s="0" t="str">
        <f aca="false">IF(ISNUMBER('Master Plan'!$O$18),"นัดแล้ว","ตามแผน")</f>
        <v>ตามแผน</v>
      </c>
      <c r="K88" s="413" t="s">
        <v>3800</v>
      </c>
    </row>
    <row r="89" customFormat="false" ht="15" hidden="false" customHeight="false" outlineLevel="0" collapsed="false">
      <c r="A89" s="0" t="str">
        <f aca="false">IF(AND(ISNUMBER(B89),NOT(AND(ISNUMBER('Master Plan'!$P$18),N('Master Plan'!$P$18)&lt;=ASOF)),N(B89)&gt;=ASOF,N(B89)&lt;=ASOF+LOOKAHEAD),B89+ROW()/100000,"")</f>
        <v/>
      </c>
      <c r="B89" s="302" t="n">
        <f aca="false">'Master Plan'!$AA$18</f>
        <v>46359</v>
      </c>
      <c r="C89" s="413" t="s">
        <v>3756</v>
      </c>
      <c r="D89" s="0" t="s">
        <v>82</v>
      </c>
      <c r="E89" s="413" t="s">
        <v>3798</v>
      </c>
      <c r="F89" s="413" t="s">
        <v>3799</v>
      </c>
      <c r="G89" s="0" t="s">
        <v>84</v>
      </c>
      <c r="H89" s="413" t="s">
        <v>3800</v>
      </c>
      <c r="I89" s="0" t="s">
        <v>131</v>
      </c>
      <c r="J89" s="0" t="str">
        <f aca="false">IF(ISNUMBER('Master Plan'!$P$18),"นัดแล้ว","ตามแผน")</f>
        <v>ตามแผน</v>
      </c>
      <c r="K89" s="413" t="s">
        <v>3801</v>
      </c>
    </row>
    <row r="90" customFormat="false" ht="15" hidden="false" customHeight="false" outlineLevel="0" collapsed="false">
      <c r="A90" s="0" t="str">
        <f aca="false">IF(AND(ISNUMBER(B90),NOT(AND(ISNUMBER('Master Plan'!$Q$18),N('Master Plan'!$Q$18)&lt;=ASOF)),N(B90)&gt;=ASOF,N(B90)&lt;=ASOF+LOOKAHEAD),B90+ROW()/100000,"")</f>
        <v/>
      </c>
      <c r="B90" s="302" t="n">
        <f aca="false">'Master Plan'!$AB$18</f>
        <v>46367</v>
      </c>
      <c r="C90" s="413" t="s">
        <v>3757</v>
      </c>
      <c r="D90" s="0" t="s">
        <v>82</v>
      </c>
      <c r="E90" s="413" t="s">
        <v>3798</v>
      </c>
      <c r="F90" s="413" t="s">
        <v>3799</v>
      </c>
      <c r="G90" s="0" t="s">
        <v>84</v>
      </c>
      <c r="H90" s="413" t="s">
        <v>3800</v>
      </c>
      <c r="I90" s="0" t="s">
        <v>131</v>
      </c>
      <c r="J90" s="0" t="str">
        <f aca="false">IF(ISNUMBER('Master Plan'!$Q$18),"นัดแล้ว","ตามแผน")</f>
        <v>ตามแผน</v>
      </c>
      <c r="K90" s="413" t="s">
        <v>3801</v>
      </c>
    </row>
    <row r="91" customFormat="false" ht="15" hidden="false" customHeight="false" outlineLevel="0" collapsed="false">
      <c r="A91" s="0" t="str">
        <f aca="false">IF(AND(ISNUMBER(B91),NOT(AND(ISNUMBER('Master Plan'!$R$18),N('Master Plan'!$R$18)&lt;=ASOF)),N(B91)&gt;=ASOF,N(B91)&lt;=ASOF+LOOKAHEAD),B91+ROW()/100000,"")</f>
        <v/>
      </c>
      <c r="B91" s="302" t="n">
        <f aca="false">'Master Plan'!$AC$18</f>
        <v>46356</v>
      </c>
      <c r="C91" s="413" t="s">
        <v>3758</v>
      </c>
      <c r="D91" s="0" t="s">
        <v>82</v>
      </c>
      <c r="E91" s="413" t="s">
        <v>3798</v>
      </c>
      <c r="F91" s="413" t="s">
        <v>3799</v>
      </c>
      <c r="G91" s="0" t="s">
        <v>84</v>
      </c>
      <c r="H91" s="413" t="s">
        <v>3800</v>
      </c>
      <c r="I91" s="0" t="s">
        <v>131</v>
      </c>
      <c r="J91" s="0" t="str">
        <f aca="false">IF(ISNUMBER('Master Plan'!$R$18),"นัดแล้ว","ตามแผน")</f>
        <v>ตามแผน</v>
      </c>
      <c r="K91" s="0" t="s">
        <v>131</v>
      </c>
    </row>
    <row r="92" customFormat="false" ht="15" hidden="false" customHeight="false" outlineLevel="0" collapsed="false">
      <c r="A92" s="0" t="str">
        <f aca="false">IF(AND(ISNUMBER(B92),NOT(AND(ISNUMBER('Master Plan'!$U$18),N('Master Plan'!$U$18)&lt;=ASOF)),N(B92)&gt;=ASOF,N(B92)&lt;=ASOF+LOOKAHEAD),B92+ROW()/100000,"")</f>
        <v/>
      </c>
      <c r="B92" s="302" t="n">
        <f aca="false">'Master Plan'!$AE$18</f>
        <v>46386</v>
      </c>
      <c r="C92" s="413" t="s">
        <v>3759</v>
      </c>
      <c r="D92" s="0" t="s">
        <v>82</v>
      </c>
      <c r="E92" s="413" t="s">
        <v>3798</v>
      </c>
      <c r="F92" s="413" t="s">
        <v>3799</v>
      </c>
      <c r="G92" s="0" t="s">
        <v>84</v>
      </c>
      <c r="H92" s="413" t="s">
        <v>3800</v>
      </c>
      <c r="I92" s="0" t="s">
        <v>131</v>
      </c>
      <c r="J92" s="0" t="str">
        <f aca="false">IF(ISNUMBER('Master Plan'!$U$18),"นัดแล้ว","ตามแผน")</f>
        <v>ตามแผน</v>
      </c>
      <c r="K92" s="0" t="s">
        <v>131</v>
      </c>
    </row>
    <row r="93" customFormat="false" ht="15" hidden="false" customHeight="false" outlineLevel="0" collapsed="false">
      <c r="A93" s="0" t="str">
        <f aca="false">IF(AND(ISNUMBER(B93),NOT(AND(ISNUMBER('Master Plan'!$V$18),N('Master Plan'!$V$18)&lt;=ASOF)),N(B93)&gt;=ASOF,N(B93)&lt;=ASOF+LOOKAHEAD),B93+ROW()/100000,"")</f>
        <v/>
      </c>
      <c r="B93" s="302" t="n">
        <f aca="false">'Master Plan'!$AF$18</f>
        <v>46391</v>
      </c>
      <c r="C93" s="413" t="s">
        <v>3760</v>
      </c>
      <c r="D93" s="0" t="s">
        <v>82</v>
      </c>
      <c r="E93" s="413" t="s">
        <v>3798</v>
      </c>
      <c r="F93" s="413" t="s">
        <v>3799</v>
      </c>
      <c r="G93" s="0" t="s">
        <v>84</v>
      </c>
      <c r="H93" s="413" t="s">
        <v>3800</v>
      </c>
      <c r="I93" s="0" t="s">
        <v>131</v>
      </c>
      <c r="J93" s="0" t="str">
        <f aca="false">IF(ISNUMBER('Master Plan'!$V$18),"นัดแล้ว","ตามแผน")</f>
        <v>ตามแผน</v>
      </c>
      <c r="K93" s="0" t="s">
        <v>131</v>
      </c>
    </row>
    <row r="94" customFormat="false" ht="15" hidden="false" customHeight="false" outlineLevel="0" collapsed="false">
      <c r="A94" s="0" t="str">
        <f aca="false">IF(AND(ISNUMBER(B94),NOT(AND(ISNUMBER('Master Plan'!$X$18),N('Master Plan'!$X$18)&lt;=ASOF)),N(B94)&gt;=ASOF,N(B94)&lt;=ASOF+LOOKAHEAD),B94+ROW()/100000,"")</f>
        <v/>
      </c>
      <c r="B94" s="302" t="n">
        <f aca="false">'Master Plan'!$AH$18</f>
        <v>46433</v>
      </c>
      <c r="C94" s="0" t="s">
        <v>2226</v>
      </c>
      <c r="D94" s="0" t="s">
        <v>82</v>
      </c>
      <c r="E94" s="413" t="s">
        <v>3798</v>
      </c>
      <c r="F94" s="413" t="s">
        <v>3799</v>
      </c>
      <c r="G94" s="0" t="s">
        <v>84</v>
      </c>
      <c r="H94" s="413" t="s">
        <v>3800</v>
      </c>
      <c r="I94" s="0" t="s">
        <v>131</v>
      </c>
      <c r="J94" s="0" t="str">
        <f aca="false">IF(ISNUMBER('Master Plan'!$X$18),"นัดแล้ว","ตามแผน")</f>
        <v>ตามแผน</v>
      </c>
      <c r="K94" s="413" t="s">
        <v>3800</v>
      </c>
    </row>
    <row r="95" customFormat="false" ht="15" hidden="false" customHeight="false" outlineLevel="0" collapsed="false">
      <c r="A95" s="414" t="n">
        <f aca="false">IF(AND(ISNUMBER(B95),NOT(AND(ISNUMBER('Master Plan'!$N$19),N('Master Plan'!$N$19)&lt;=ASOF)),N(B95)&gt;=ASOF,N(B95)&lt;=ASOF+LOOKAHEAD),B95+ROW()/100000,"")</f>
        <v>46349.00095</v>
      </c>
      <c r="B95" s="302" t="n">
        <f aca="false">'Master Plan'!$Y$19</f>
        <v>46349</v>
      </c>
      <c r="C95" s="413" t="s">
        <v>3750</v>
      </c>
      <c r="D95" s="0" t="s">
        <v>86</v>
      </c>
      <c r="E95" s="413" t="s">
        <v>3802</v>
      </c>
      <c r="F95" s="413" t="s">
        <v>3803</v>
      </c>
      <c r="G95" s="0" t="s">
        <v>88</v>
      </c>
      <c r="H95" s="413" t="s">
        <v>3804</v>
      </c>
      <c r="I95" s="0" t="s">
        <v>131</v>
      </c>
      <c r="J95" s="0" t="str">
        <f aca="false">IF(ISNUMBER('Master Plan'!$N$19),"นัดแล้ว","ตามแผน")</f>
        <v>ตามแผน</v>
      </c>
      <c r="K95" s="413" t="s">
        <v>3805</v>
      </c>
    </row>
    <row r="96" customFormat="false" ht="15" hidden="false" customHeight="false" outlineLevel="0" collapsed="false">
      <c r="A96" s="0" t="str">
        <f aca="false">IF(AND(ISNUMBER(B96),NOT(AND(ISNUMBER('Master Plan'!$O$19),N('Master Plan'!$O$19)&lt;=ASOF)),N(B96)&gt;=ASOF,N(B96)&lt;=ASOF+LOOKAHEAD),B96+ROW()/100000,"")</f>
        <v/>
      </c>
      <c r="B96" s="302" t="n">
        <f aca="false">'Master Plan'!$Z$19</f>
        <v>46356</v>
      </c>
      <c r="C96" s="413" t="s">
        <v>3755</v>
      </c>
      <c r="D96" s="0" t="s">
        <v>86</v>
      </c>
      <c r="E96" s="413" t="s">
        <v>3802</v>
      </c>
      <c r="F96" s="413" t="s">
        <v>3803</v>
      </c>
      <c r="G96" s="0" t="s">
        <v>88</v>
      </c>
      <c r="H96" s="413" t="s">
        <v>3804</v>
      </c>
      <c r="I96" s="0" t="s">
        <v>131</v>
      </c>
      <c r="J96" s="0" t="str">
        <f aca="false">IF(ISNUMBER('Master Plan'!$O$19),"นัดแล้ว","ตามแผน")</f>
        <v>ตามแผน</v>
      </c>
      <c r="K96" s="413" t="s">
        <v>3804</v>
      </c>
    </row>
    <row r="97" customFormat="false" ht="15" hidden="false" customHeight="false" outlineLevel="0" collapsed="false">
      <c r="A97" s="0" t="str">
        <f aca="false">IF(AND(ISNUMBER(B97),NOT(AND(ISNUMBER('Master Plan'!$P$19),N('Master Plan'!$P$19)&lt;=ASOF)),N(B97)&gt;=ASOF,N(B97)&lt;=ASOF+LOOKAHEAD),B97+ROW()/100000,"")</f>
        <v/>
      </c>
      <c r="B97" s="302" t="n">
        <f aca="false">'Master Plan'!$AA$19</f>
        <v>46359</v>
      </c>
      <c r="C97" s="413" t="s">
        <v>3756</v>
      </c>
      <c r="D97" s="0" t="s">
        <v>86</v>
      </c>
      <c r="E97" s="413" t="s">
        <v>3802</v>
      </c>
      <c r="F97" s="413" t="s">
        <v>3803</v>
      </c>
      <c r="G97" s="0" t="s">
        <v>88</v>
      </c>
      <c r="H97" s="413" t="s">
        <v>3804</v>
      </c>
      <c r="I97" s="0" t="s">
        <v>131</v>
      </c>
      <c r="J97" s="0" t="str">
        <f aca="false">IF(ISNUMBER('Master Plan'!$P$19),"นัดแล้ว","ตามแผน")</f>
        <v>ตามแผน</v>
      </c>
      <c r="K97" s="413" t="s">
        <v>3805</v>
      </c>
    </row>
    <row r="98" customFormat="false" ht="15" hidden="false" customHeight="false" outlineLevel="0" collapsed="false">
      <c r="A98" s="0" t="str">
        <f aca="false">IF(AND(ISNUMBER(B98),NOT(AND(ISNUMBER('Master Plan'!$Q$19),N('Master Plan'!$Q$19)&lt;=ASOF)),N(B98)&gt;=ASOF,N(B98)&lt;=ASOF+LOOKAHEAD),B98+ROW()/100000,"")</f>
        <v/>
      </c>
      <c r="B98" s="302" t="n">
        <f aca="false">'Master Plan'!$AB$19</f>
        <v>46367</v>
      </c>
      <c r="C98" s="413" t="s">
        <v>3757</v>
      </c>
      <c r="D98" s="0" t="s">
        <v>86</v>
      </c>
      <c r="E98" s="413" t="s">
        <v>3802</v>
      </c>
      <c r="F98" s="413" t="s">
        <v>3803</v>
      </c>
      <c r="G98" s="0" t="s">
        <v>88</v>
      </c>
      <c r="H98" s="413" t="s">
        <v>3804</v>
      </c>
      <c r="I98" s="0" t="s">
        <v>131</v>
      </c>
      <c r="J98" s="0" t="str">
        <f aca="false">IF(ISNUMBER('Master Plan'!$Q$19),"นัดแล้ว","ตามแผน")</f>
        <v>ตามแผน</v>
      </c>
      <c r="K98" s="413" t="s">
        <v>3805</v>
      </c>
    </row>
    <row r="99" customFormat="false" ht="15" hidden="false" customHeight="false" outlineLevel="0" collapsed="false">
      <c r="A99" s="0" t="str">
        <f aca="false">IF(AND(ISNUMBER(B99),NOT(AND(ISNUMBER('Master Plan'!$R$19),N('Master Plan'!$R$19)&lt;=ASOF)),N(B99)&gt;=ASOF,N(B99)&lt;=ASOF+LOOKAHEAD),B99+ROW()/100000,"")</f>
        <v/>
      </c>
      <c r="B99" s="302" t="n">
        <f aca="false">'Master Plan'!$AC$19</f>
        <v>46356</v>
      </c>
      <c r="C99" s="413" t="s">
        <v>3758</v>
      </c>
      <c r="D99" s="0" t="s">
        <v>86</v>
      </c>
      <c r="E99" s="413" t="s">
        <v>3802</v>
      </c>
      <c r="F99" s="413" t="s">
        <v>3803</v>
      </c>
      <c r="G99" s="0" t="s">
        <v>88</v>
      </c>
      <c r="H99" s="413" t="s">
        <v>3804</v>
      </c>
      <c r="I99" s="0" t="s">
        <v>131</v>
      </c>
      <c r="J99" s="0" t="str">
        <f aca="false">IF(ISNUMBER('Master Plan'!$R$19),"นัดแล้ว","ตามแผน")</f>
        <v>ตามแผน</v>
      </c>
      <c r="K99" s="0" t="s">
        <v>131</v>
      </c>
    </row>
    <row r="100" customFormat="false" ht="15" hidden="false" customHeight="false" outlineLevel="0" collapsed="false">
      <c r="A100" s="0" t="str">
        <f aca="false">IF(AND(ISNUMBER(B100),NOT(AND(ISNUMBER('Master Plan'!$U$19),N('Master Plan'!$U$19)&lt;=ASOF)),N(B100)&gt;=ASOF,N(B100)&lt;=ASOF+LOOKAHEAD),B100+ROW()/100000,"")</f>
        <v/>
      </c>
      <c r="B100" s="302" t="n">
        <f aca="false">'Master Plan'!$AE$19</f>
        <v>46386</v>
      </c>
      <c r="C100" s="413" t="s">
        <v>3759</v>
      </c>
      <c r="D100" s="0" t="s">
        <v>86</v>
      </c>
      <c r="E100" s="413" t="s">
        <v>3802</v>
      </c>
      <c r="F100" s="413" t="s">
        <v>3803</v>
      </c>
      <c r="G100" s="0" t="s">
        <v>88</v>
      </c>
      <c r="H100" s="413" t="s">
        <v>3804</v>
      </c>
      <c r="I100" s="0" t="s">
        <v>131</v>
      </c>
      <c r="J100" s="0" t="str">
        <f aca="false">IF(ISNUMBER('Master Plan'!$U$19),"นัดแล้ว","ตามแผน")</f>
        <v>ตามแผน</v>
      </c>
      <c r="K100" s="0" t="s">
        <v>131</v>
      </c>
    </row>
    <row r="101" customFormat="false" ht="15" hidden="false" customHeight="false" outlineLevel="0" collapsed="false">
      <c r="A101" s="0" t="str">
        <f aca="false">IF(AND(ISNUMBER(B101),NOT(AND(ISNUMBER('Master Plan'!$V$19),N('Master Plan'!$V$19)&lt;=ASOF)),N(B101)&gt;=ASOF,N(B101)&lt;=ASOF+LOOKAHEAD),B101+ROW()/100000,"")</f>
        <v/>
      </c>
      <c r="B101" s="302" t="n">
        <f aca="false">'Master Plan'!$AF$19</f>
        <v>46391</v>
      </c>
      <c r="C101" s="413" t="s">
        <v>3760</v>
      </c>
      <c r="D101" s="0" t="s">
        <v>86</v>
      </c>
      <c r="E101" s="413" t="s">
        <v>3802</v>
      </c>
      <c r="F101" s="413" t="s">
        <v>3803</v>
      </c>
      <c r="G101" s="0" t="s">
        <v>88</v>
      </c>
      <c r="H101" s="413" t="s">
        <v>3804</v>
      </c>
      <c r="I101" s="0" t="s">
        <v>131</v>
      </c>
      <c r="J101" s="0" t="str">
        <f aca="false">IF(ISNUMBER('Master Plan'!$V$19),"นัดแล้ว","ตามแผน")</f>
        <v>ตามแผน</v>
      </c>
      <c r="K101" s="0" t="s">
        <v>131</v>
      </c>
    </row>
    <row r="102" customFormat="false" ht="15" hidden="false" customHeight="false" outlineLevel="0" collapsed="false">
      <c r="A102" s="0" t="str">
        <f aca="false">IF(AND(ISNUMBER(B102),NOT(AND(ISNUMBER('Master Plan'!$W$19),N('Master Plan'!$W$19)&lt;=ASOF)),N(B102)&gt;=ASOF,N(B102)&lt;=ASOF+LOOKAHEAD),B102+ROW()/100000,"")</f>
        <v/>
      </c>
      <c r="B102" s="302" t="n">
        <f aca="false">'Master Plan'!$AG$19</f>
        <v>46356</v>
      </c>
      <c r="C102" s="413" t="s">
        <v>3765</v>
      </c>
      <c r="D102" s="0" t="s">
        <v>86</v>
      </c>
      <c r="E102" s="413" t="s">
        <v>3802</v>
      </c>
      <c r="F102" s="413" t="s">
        <v>3803</v>
      </c>
      <c r="G102" s="0" t="s">
        <v>88</v>
      </c>
      <c r="H102" s="413" t="s">
        <v>3804</v>
      </c>
      <c r="I102" s="0" t="s">
        <v>131</v>
      </c>
      <c r="J102" s="0" t="str">
        <f aca="false">IF(ISNUMBER('Master Plan'!$W$19),"นัดแล้ว","ตามแผน")</f>
        <v>ตามแผน</v>
      </c>
      <c r="K102" s="0" t="s">
        <v>131</v>
      </c>
    </row>
    <row r="103" customFormat="false" ht="15" hidden="false" customHeight="false" outlineLevel="0" collapsed="false">
      <c r="A103" s="0" t="str">
        <f aca="false">IF(AND(ISNUMBER(B103),NOT(AND(ISNUMBER('Master Plan'!$X$19),N('Master Plan'!$X$19)&lt;=ASOF)),N(B103)&gt;=ASOF,N(B103)&lt;=ASOF+LOOKAHEAD),B103+ROW()/100000,"")</f>
        <v/>
      </c>
      <c r="B103" s="302" t="n">
        <f aca="false">'Master Plan'!$AH$19</f>
        <v>46433</v>
      </c>
      <c r="C103" s="0" t="s">
        <v>2226</v>
      </c>
      <c r="D103" s="0" t="s">
        <v>86</v>
      </c>
      <c r="E103" s="413" t="s">
        <v>3802</v>
      </c>
      <c r="F103" s="413" t="s">
        <v>3803</v>
      </c>
      <c r="G103" s="0" t="s">
        <v>88</v>
      </c>
      <c r="H103" s="413" t="s">
        <v>3804</v>
      </c>
      <c r="I103" s="0" t="s">
        <v>131</v>
      </c>
      <c r="J103" s="0" t="str">
        <f aca="false">IF(ISNUMBER('Master Plan'!$X$19),"นัดแล้ว","ตามแผน")</f>
        <v>ตามแผน</v>
      </c>
      <c r="K103" s="413" t="s">
        <v>3804</v>
      </c>
    </row>
    <row r="104" customFormat="false" ht="15" hidden="false" customHeight="false" outlineLevel="0" collapsed="false">
      <c r="A104" s="414" t="n">
        <f aca="false">IF(AND(ISNUMBER(B104),NOT(AND(ISNUMBER('Master Plan'!$N$20),N('Master Plan'!$N$20)&lt;=ASOF)),N(B104)&gt;=ASOF,N(B104)&lt;=ASOF+LOOKAHEAD),B104+ROW()/100000,"")</f>
        <v>46349.00104</v>
      </c>
      <c r="B104" s="302" t="n">
        <f aca="false">'Master Plan'!$Y$20</f>
        <v>46349</v>
      </c>
      <c r="C104" s="413" t="s">
        <v>3750</v>
      </c>
      <c r="D104" s="0" t="s">
        <v>90</v>
      </c>
      <c r="E104" s="413" t="s">
        <v>3806</v>
      </c>
      <c r="F104" s="413" t="s">
        <v>3807</v>
      </c>
      <c r="G104" s="0" t="s">
        <v>92</v>
      </c>
      <c r="H104" s="413" t="s">
        <v>3808</v>
      </c>
      <c r="I104" s="0" t="s">
        <v>131</v>
      </c>
      <c r="J104" s="0" t="str">
        <f aca="false">IF(ISNUMBER('Master Plan'!$N$20),"นัดแล้ว","ตามแผน")</f>
        <v>ตามแผน</v>
      </c>
      <c r="K104" s="413" t="s">
        <v>3809</v>
      </c>
    </row>
    <row r="105" customFormat="false" ht="15" hidden="false" customHeight="false" outlineLevel="0" collapsed="false">
      <c r="A105" s="0" t="str">
        <f aca="false">IF(AND(ISNUMBER(B105),NOT(AND(ISNUMBER('Master Plan'!$O$20),N('Master Plan'!$O$20)&lt;=ASOF)),N(B105)&gt;=ASOF,N(B105)&lt;=ASOF+LOOKAHEAD),B105+ROW()/100000,"")</f>
        <v/>
      </c>
      <c r="B105" s="302" t="n">
        <f aca="false">'Master Plan'!$Z$20</f>
        <v>46356</v>
      </c>
      <c r="C105" s="413" t="s">
        <v>3755</v>
      </c>
      <c r="D105" s="0" t="s">
        <v>90</v>
      </c>
      <c r="E105" s="413" t="s">
        <v>3806</v>
      </c>
      <c r="F105" s="413" t="s">
        <v>3807</v>
      </c>
      <c r="G105" s="0" t="s">
        <v>92</v>
      </c>
      <c r="H105" s="413" t="s">
        <v>3808</v>
      </c>
      <c r="I105" s="0" t="s">
        <v>131</v>
      </c>
      <c r="J105" s="0" t="str">
        <f aca="false">IF(ISNUMBER('Master Plan'!$O$20),"นัดแล้ว","ตามแผน")</f>
        <v>ตามแผน</v>
      </c>
      <c r="K105" s="413" t="s">
        <v>3808</v>
      </c>
    </row>
    <row r="106" customFormat="false" ht="15" hidden="false" customHeight="false" outlineLevel="0" collapsed="false">
      <c r="A106" s="0" t="str">
        <f aca="false">IF(AND(ISNUMBER(B106),NOT(AND(ISNUMBER('Master Plan'!$P$20),N('Master Plan'!$P$20)&lt;=ASOF)),N(B106)&gt;=ASOF,N(B106)&lt;=ASOF+LOOKAHEAD),B106+ROW()/100000,"")</f>
        <v/>
      </c>
      <c r="B106" s="302" t="n">
        <f aca="false">'Master Plan'!$AA$20</f>
        <v>46359</v>
      </c>
      <c r="C106" s="413" t="s">
        <v>3756</v>
      </c>
      <c r="D106" s="0" t="s">
        <v>90</v>
      </c>
      <c r="E106" s="413" t="s">
        <v>3806</v>
      </c>
      <c r="F106" s="413" t="s">
        <v>3807</v>
      </c>
      <c r="G106" s="0" t="s">
        <v>92</v>
      </c>
      <c r="H106" s="413" t="s">
        <v>3808</v>
      </c>
      <c r="I106" s="0" t="s">
        <v>131</v>
      </c>
      <c r="J106" s="0" t="str">
        <f aca="false">IF(ISNUMBER('Master Plan'!$P$20),"นัดแล้ว","ตามแผน")</f>
        <v>ตามแผน</v>
      </c>
      <c r="K106" s="413" t="s">
        <v>3809</v>
      </c>
    </row>
    <row r="107" customFormat="false" ht="15" hidden="false" customHeight="false" outlineLevel="0" collapsed="false">
      <c r="A107" s="0" t="str">
        <f aca="false">IF(AND(ISNUMBER(B107),NOT(AND(ISNUMBER('Master Plan'!$Q$20),N('Master Plan'!$Q$20)&lt;=ASOF)),N(B107)&gt;=ASOF,N(B107)&lt;=ASOF+LOOKAHEAD),B107+ROW()/100000,"")</f>
        <v/>
      </c>
      <c r="B107" s="302" t="n">
        <f aca="false">'Master Plan'!$AB$20</f>
        <v>46367</v>
      </c>
      <c r="C107" s="413" t="s">
        <v>3757</v>
      </c>
      <c r="D107" s="0" t="s">
        <v>90</v>
      </c>
      <c r="E107" s="413" t="s">
        <v>3806</v>
      </c>
      <c r="F107" s="413" t="s">
        <v>3807</v>
      </c>
      <c r="G107" s="0" t="s">
        <v>92</v>
      </c>
      <c r="H107" s="413" t="s">
        <v>3808</v>
      </c>
      <c r="I107" s="0" t="s">
        <v>131</v>
      </c>
      <c r="J107" s="0" t="str">
        <f aca="false">IF(ISNUMBER('Master Plan'!$Q$20),"นัดแล้ว","ตามแผน")</f>
        <v>ตามแผน</v>
      </c>
      <c r="K107" s="413" t="s">
        <v>3809</v>
      </c>
    </row>
    <row r="108" customFormat="false" ht="15" hidden="false" customHeight="false" outlineLevel="0" collapsed="false">
      <c r="A108" s="0" t="str">
        <f aca="false">IF(AND(ISNUMBER(B108),NOT(AND(ISNUMBER('Master Plan'!$R$20),N('Master Plan'!$R$20)&lt;=ASOF)),N(B108)&gt;=ASOF,N(B108)&lt;=ASOF+LOOKAHEAD),B108+ROW()/100000,"")</f>
        <v/>
      </c>
      <c r="B108" s="302" t="n">
        <f aca="false">'Master Plan'!$AC$20</f>
        <v>46356</v>
      </c>
      <c r="C108" s="413" t="s">
        <v>3758</v>
      </c>
      <c r="D108" s="0" t="s">
        <v>90</v>
      </c>
      <c r="E108" s="413" t="s">
        <v>3806</v>
      </c>
      <c r="F108" s="413" t="s">
        <v>3807</v>
      </c>
      <c r="G108" s="0" t="s">
        <v>92</v>
      </c>
      <c r="H108" s="413" t="s">
        <v>3808</v>
      </c>
      <c r="I108" s="0" t="s">
        <v>131</v>
      </c>
      <c r="J108" s="0" t="str">
        <f aca="false">IF(ISNUMBER('Master Plan'!$R$20),"นัดแล้ว","ตามแผน")</f>
        <v>ตามแผน</v>
      </c>
      <c r="K108" s="0" t="s">
        <v>131</v>
      </c>
    </row>
    <row r="109" customFormat="false" ht="15" hidden="false" customHeight="false" outlineLevel="0" collapsed="false">
      <c r="A109" s="0" t="str">
        <f aca="false">IF(AND(ISNUMBER(B109),NOT(AND(ISNUMBER('Master Plan'!$U$20),N('Master Plan'!$U$20)&lt;=ASOF)),N(B109)&gt;=ASOF,N(B109)&lt;=ASOF+LOOKAHEAD),B109+ROW()/100000,"")</f>
        <v/>
      </c>
      <c r="B109" s="302" t="n">
        <f aca="false">'Master Plan'!$AE$20</f>
        <v>46386</v>
      </c>
      <c r="C109" s="413" t="s">
        <v>3759</v>
      </c>
      <c r="D109" s="0" t="s">
        <v>90</v>
      </c>
      <c r="E109" s="413" t="s">
        <v>3806</v>
      </c>
      <c r="F109" s="413" t="s">
        <v>3807</v>
      </c>
      <c r="G109" s="0" t="s">
        <v>92</v>
      </c>
      <c r="H109" s="413" t="s">
        <v>3808</v>
      </c>
      <c r="I109" s="0" t="s">
        <v>131</v>
      </c>
      <c r="J109" s="0" t="str">
        <f aca="false">IF(ISNUMBER('Master Plan'!$U$20),"นัดแล้ว","ตามแผน")</f>
        <v>ตามแผน</v>
      </c>
      <c r="K109" s="0" t="s">
        <v>131</v>
      </c>
    </row>
    <row r="110" customFormat="false" ht="15" hidden="false" customHeight="false" outlineLevel="0" collapsed="false">
      <c r="A110" s="0" t="str">
        <f aca="false">IF(AND(ISNUMBER(B110),NOT(AND(ISNUMBER('Master Plan'!$V$20),N('Master Plan'!$V$20)&lt;=ASOF)),N(B110)&gt;=ASOF,N(B110)&lt;=ASOF+LOOKAHEAD),B110+ROW()/100000,"")</f>
        <v/>
      </c>
      <c r="B110" s="302" t="n">
        <f aca="false">'Master Plan'!$AF$20</f>
        <v>46391</v>
      </c>
      <c r="C110" s="413" t="s">
        <v>3760</v>
      </c>
      <c r="D110" s="0" t="s">
        <v>90</v>
      </c>
      <c r="E110" s="413" t="s">
        <v>3806</v>
      </c>
      <c r="F110" s="413" t="s">
        <v>3807</v>
      </c>
      <c r="G110" s="0" t="s">
        <v>92</v>
      </c>
      <c r="H110" s="413" t="s">
        <v>3808</v>
      </c>
      <c r="I110" s="0" t="s">
        <v>131</v>
      </c>
      <c r="J110" s="0" t="str">
        <f aca="false">IF(ISNUMBER('Master Plan'!$V$20),"นัดแล้ว","ตามแผน")</f>
        <v>ตามแผน</v>
      </c>
      <c r="K110" s="0" t="s">
        <v>131</v>
      </c>
    </row>
    <row r="111" customFormat="false" ht="15" hidden="false" customHeight="false" outlineLevel="0" collapsed="false">
      <c r="A111" s="0" t="str">
        <f aca="false">IF(AND(ISNUMBER(B111),NOT(AND(ISNUMBER('Master Plan'!$X$20),N('Master Plan'!$X$20)&lt;=ASOF)),N(B111)&gt;=ASOF,N(B111)&lt;=ASOF+LOOKAHEAD),B111+ROW()/100000,"")</f>
        <v/>
      </c>
      <c r="B111" s="302" t="n">
        <f aca="false">'Master Plan'!$AH$20</f>
        <v>46433</v>
      </c>
      <c r="C111" s="0" t="s">
        <v>2226</v>
      </c>
      <c r="D111" s="0" t="s">
        <v>90</v>
      </c>
      <c r="E111" s="413" t="s">
        <v>3806</v>
      </c>
      <c r="F111" s="413" t="s">
        <v>3807</v>
      </c>
      <c r="G111" s="0" t="s">
        <v>92</v>
      </c>
      <c r="H111" s="413" t="s">
        <v>3808</v>
      </c>
      <c r="I111" s="0" t="s">
        <v>131</v>
      </c>
      <c r="J111" s="0" t="str">
        <f aca="false">IF(ISNUMBER('Master Plan'!$X$20),"นัดแล้ว","ตามแผน")</f>
        <v>ตามแผน</v>
      </c>
      <c r="K111" s="413" t="s">
        <v>3808</v>
      </c>
    </row>
    <row r="112" customFormat="false" ht="15" hidden="false" customHeight="false" outlineLevel="0" collapsed="false">
      <c r="A112" s="414" t="n">
        <f aca="false">IF(AND(ISNUMBER(B112),NOT(AND(ISNUMBER('Master Plan'!$N$21),N('Master Plan'!$N$21)&lt;=ASOF)),N(B112)&gt;=ASOF,N(B112)&lt;=ASOF+LOOKAHEAD),B112+ROW()/100000,"")</f>
        <v>46349.00112</v>
      </c>
      <c r="B112" s="302" t="n">
        <f aca="false">'Master Plan'!$Y$21</f>
        <v>46349</v>
      </c>
      <c r="C112" s="413" t="s">
        <v>3750</v>
      </c>
      <c r="D112" s="0" t="s">
        <v>94</v>
      </c>
      <c r="E112" s="413" t="s">
        <v>3810</v>
      </c>
      <c r="F112" s="413" t="s">
        <v>3811</v>
      </c>
      <c r="G112" s="0" t="s">
        <v>96</v>
      </c>
      <c r="H112" s="413" t="s">
        <v>3812</v>
      </c>
      <c r="I112" s="0" t="s">
        <v>131</v>
      </c>
      <c r="J112" s="0" t="str">
        <f aca="false">IF(ISNUMBER('Master Plan'!$N$21),"นัดแล้ว","ตามแผน")</f>
        <v>ตามแผน</v>
      </c>
      <c r="K112" s="413" t="s">
        <v>3813</v>
      </c>
    </row>
    <row r="113" customFormat="false" ht="15" hidden="false" customHeight="false" outlineLevel="0" collapsed="false">
      <c r="A113" s="0" t="str">
        <f aca="false">IF(AND(ISNUMBER(B113),NOT(AND(ISNUMBER('Master Plan'!$O$21),N('Master Plan'!$O$21)&lt;=ASOF)),N(B113)&gt;=ASOF,N(B113)&lt;=ASOF+LOOKAHEAD),B113+ROW()/100000,"")</f>
        <v/>
      </c>
      <c r="B113" s="302" t="n">
        <f aca="false">'Master Plan'!$Z$21</f>
        <v>46356</v>
      </c>
      <c r="C113" s="413" t="s">
        <v>3755</v>
      </c>
      <c r="D113" s="0" t="s">
        <v>94</v>
      </c>
      <c r="E113" s="413" t="s">
        <v>3810</v>
      </c>
      <c r="F113" s="413" t="s">
        <v>3811</v>
      </c>
      <c r="G113" s="0" t="s">
        <v>96</v>
      </c>
      <c r="H113" s="413" t="s">
        <v>3812</v>
      </c>
      <c r="I113" s="0" t="s">
        <v>131</v>
      </c>
      <c r="J113" s="0" t="str">
        <f aca="false">IF(ISNUMBER('Master Plan'!$O$21),"นัดแล้ว","ตามแผน")</f>
        <v>ตามแผน</v>
      </c>
      <c r="K113" s="413" t="s">
        <v>3812</v>
      </c>
    </row>
    <row r="114" customFormat="false" ht="15" hidden="false" customHeight="false" outlineLevel="0" collapsed="false">
      <c r="A114" s="0" t="str">
        <f aca="false">IF(AND(ISNUMBER(B114),NOT(AND(ISNUMBER('Master Plan'!$P$21),N('Master Plan'!$P$21)&lt;=ASOF)),N(B114)&gt;=ASOF,N(B114)&lt;=ASOF+LOOKAHEAD),B114+ROW()/100000,"")</f>
        <v/>
      </c>
      <c r="B114" s="302" t="n">
        <f aca="false">'Master Plan'!$AA$21</f>
        <v>46359</v>
      </c>
      <c r="C114" s="413" t="s">
        <v>3756</v>
      </c>
      <c r="D114" s="0" t="s">
        <v>94</v>
      </c>
      <c r="E114" s="413" t="s">
        <v>3810</v>
      </c>
      <c r="F114" s="413" t="s">
        <v>3811</v>
      </c>
      <c r="G114" s="0" t="s">
        <v>96</v>
      </c>
      <c r="H114" s="413" t="s">
        <v>3812</v>
      </c>
      <c r="I114" s="0" t="s">
        <v>131</v>
      </c>
      <c r="J114" s="0" t="str">
        <f aca="false">IF(ISNUMBER('Master Plan'!$P$21),"นัดแล้ว","ตามแผน")</f>
        <v>ตามแผน</v>
      </c>
      <c r="K114" s="413" t="s">
        <v>3813</v>
      </c>
    </row>
    <row r="115" customFormat="false" ht="15" hidden="false" customHeight="false" outlineLevel="0" collapsed="false">
      <c r="A115" s="0" t="str">
        <f aca="false">IF(AND(ISNUMBER(B115),NOT(AND(ISNUMBER('Master Plan'!$Q$21),N('Master Plan'!$Q$21)&lt;=ASOF)),N(B115)&gt;=ASOF,N(B115)&lt;=ASOF+LOOKAHEAD),B115+ROW()/100000,"")</f>
        <v/>
      </c>
      <c r="B115" s="302" t="n">
        <f aca="false">'Master Plan'!$AB$21</f>
        <v>46367</v>
      </c>
      <c r="C115" s="413" t="s">
        <v>3757</v>
      </c>
      <c r="D115" s="0" t="s">
        <v>94</v>
      </c>
      <c r="E115" s="413" t="s">
        <v>3810</v>
      </c>
      <c r="F115" s="413" t="s">
        <v>3811</v>
      </c>
      <c r="G115" s="0" t="s">
        <v>96</v>
      </c>
      <c r="H115" s="413" t="s">
        <v>3812</v>
      </c>
      <c r="I115" s="0" t="s">
        <v>131</v>
      </c>
      <c r="J115" s="0" t="str">
        <f aca="false">IF(ISNUMBER('Master Plan'!$Q$21),"นัดแล้ว","ตามแผน")</f>
        <v>ตามแผน</v>
      </c>
      <c r="K115" s="413" t="s">
        <v>3813</v>
      </c>
    </row>
    <row r="116" customFormat="false" ht="15" hidden="false" customHeight="false" outlineLevel="0" collapsed="false">
      <c r="A116" s="0" t="str">
        <f aca="false">IF(AND(ISNUMBER(B116),NOT(AND(ISNUMBER('Master Plan'!$R$21),N('Master Plan'!$R$21)&lt;=ASOF)),N(B116)&gt;=ASOF,N(B116)&lt;=ASOF+LOOKAHEAD),B116+ROW()/100000,"")</f>
        <v/>
      </c>
      <c r="B116" s="302" t="n">
        <f aca="false">'Master Plan'!$AC$21</f>
        <v>46356</v>
      </c>
      <c r="C116" s="413" t="s">
        <v>3758</v>
      </c>
      <c r="D116" s="0" t="s">
        <v>94</v>
      </c>
      <c r="E116" s="413" t="s">
        <v>3810</v>
      </c>
      <c r="F116" s="413" t="s">
        <v>3811</v>
      </c>
      <c r="G116" s="0" t="s">
        <v>96</v>
      </c>
      <c r="H116" s="413" t="s">
        <v>3812</v>
      </c>
      <c r="I116" s="0" t="s">
        <v>131</v>
      </c>
      <c r="J116" s="0" t="str">
        <f aca="false">IF(ISNUMBER('Master Plan'!$R$21),"นัดแล้ว","ตามแผน")</f>
        <v>ตามแผน</v>
      </c>
      <c r="K116" s="0" t="s">
        <v>131</v>
      </c>
    </row>
    <row r="117" customFormat="false" ht="15" hidden="false" customHeight="false" outlineLevel="0" collapsed="false">
      <c r="A117" s="0" t="str">
        <f aca="false">IF(AND(ISNUMBER(B117),NOT(AND(ISNUMBER('Master Plan'!$U$21),N('Master Plan'!$U$21)&lt;=ASOF)),N(B117)&gt;=ASOF,N(B117)&lt;=ASOF+LOOKAHEAD),B117+ROW()/100000,"")</f>
        <v/>
      </c>
      <c r="B117" s="302" t="n">
        <f aca="false">'Master Plan'!$AE$21</f>
        <v>46386</v>
      </c>
      <c r="C117" s="413" t="s">
        <v>3759</v>
      </c>
      <c r="D117" s="0" t="s">
        <v>94</v>
      </c>
      <c r="E117" s="413" t="s">
        <v>3810</v>
      </c>
      <c r="F117" s="413" t="s">
        <v>3811</v>
      </c>
      <c r="G117" s="0" t="s">
        <v>96</v>
      </c>
      <c r="H117" s="413" t="s">
        <v>3812</v>
      </c>
      <c r="I117" s="0" t="s">
        <v>131</v>
      </c>
      <c r="J117" s="0" t="str">
        <f aca="false">IF(ISNUMBER('Master Plan'!$U$21),"นัดแล้ว","ตามแผน")</f>
        <v>ตามแผน</v>
      </c>
      <c r="K117" s="0" t="s">
        <v>131</v>
      </c>
    </row>
    <row r="118" customFormat="false" ht="15" hidden="false" customHeight="false" outlineLevel="0" collapsed="false">
      <c r="A118" s="0" t="str">
        <f aca="false">IF(AND(ISNUMBER(B118),NOT(AND(ISNUMBER('Master Plan'!$V$21),N('Master Plan'!$V$21)&lt;=ASOF)),N(B118)&gt;=ASOF,N(B118)&lt;=ASOF+LOOKAHEAD),B118+ROW()/100000,"")</f>
        <v/>
      </c>
      <c r="B118" s="302" t="n">
        <f aca="false">'Master Plan'!$AF$21</f>
        <v>46391</v>
      </c>
      <c r="C118" s="413" t="s">
        <v>3760</v>
      </c>
      <c r="D118" s="0" t="s">
        <v>94</v>
      </c>
      <c r="E118" s="413" t="s">
        <v>3810</v>
      </c>
      <c r="F118" s="413" t="s">
        <v>3811</v>
      </c>
      <c r="G118" s="0" t="s">
        <v>96</v>
      </c>
      <c r="H118" s="413" t="s">
        <v>3812</v>
      </c>
      <c r="I118" s="0" t="s">
        <v>131</v>
      </c>
      <c r="J118" s="0" t="str">
        <f aca="false">IF(ISNUMBER('Master Plan'!$V$21),"นัดแล้ว","ตามแผน")</f>
        <v>ตามแผน</v>
      </c>
      <c r="K118" s="0" t="s">
        <v>131</v>
      </c>
    </row>
    <row r="119" customFormat="false" ht="15" hidden="false" customHeight="false" outlineLevel="0" collapsed="false">
      <c r="A119" s="0" t="str">
        <f aca="false">IF(AND(ISNUMBER(B119),NOT(AND(ISNUMBER('Master Plan'!$W$21),N('Master Plan'!$W$21)&lt;=ASOF)),N(B119)&gt;=ASOF,N(B119)&lt;=ASOF+LOOKAHEAD),B119+ROW()/100000,"")</f>
        <v/>
      </c>
      <c r="B119" s="302" t="n">
        <f aca="false">'Master Plan'!$AG$21</f>
        <v>46356</v>
      </c>
      <c r="C119" s="413" t="s">
        <v>3765</v>
      </c>
      <c r="D119" s="0" t="s">
        <v>94</v>
      </c>
      <c r="E119" s="413" t="s">
        <v>3810</v>
      </c>
      <c r="F119" s="413" t="s">
        <v>3811</v>
      </c>
      <c r="G119" s="0" t="s">
        <v>96</v>
      </c>
      <c r="H119" s="413" t="s">
        <v>3812</v>
      </c>
      <c r="I119" s="0" t="s">
        <v>131</v>
      </c>
      <c r="J119" s="0" t="str">
        <f aca="false">IF(ISNUMBER('Master Plan'!$W$21),"นัดแล้ว","ตามแผน")</f>
        <v>ตามแผน</v>
      </c>
      <c r="K119" s="0" t="s">
        <v>131</v>
      </c>
    </row>
    <row r="120" customFormat="false" ht="15" hidden="false" customHeight="false" outlineLevel="0" collapsed="false">
      <c r="A120" s="0" t="str">
        <f aca="false">IF(AND(ISNUMBER(B120),NOT(AND(ISNUMBER('Master Plan'!$X$21),N('Master Plan'!$X$21)&lt;=ASOF)),N(B120)&gt;=ASOF,N(B120)&lt;=ASOF+LOOKAHEAD),B120+ROW()/100000,"")</f>
        <v/>
      </c>
      <c r="B120" s="302" t="n">
        <f aca="false">'Master Plan'!$AH$21</f>
        <v>46433</v>
      </c>
      <c r="C120" s="0" t="s">
        <v>2226</v>
      </c>
      <c r="D120" s="0" t="s">
        <v>94</v>
      </c>
      <c r="E120" s="413" t="s">
        <v>3810</v>
      </c>
      <c r="F120" s="413" t="s">
        <v>3811</v>
      </c>
      <c r="G120" s="0" t="s">
        <v>96</v>
      </c>
      <c r="H120" s="413" t="s">
        <v>3812</v>
      </c>
      <c r="I120" s="0" t="s">
        <v>131</v>
      </c>
      <c r="J120" s="0" t="str">
        <f aca="false">IF(ISNUMBER('Master Plan'!$X$21),"นัดแล้ว","ตามแผน")</f>
        <v>ตามแผน</v>
      </c>
      <c r="K120" s="413" t="s">
        <v>3812</v>
      </c>
    </row>
    <row r="121" customFormat="false" ht="15" hidden="false" customHeight="false" outlineLevel="0" collapsed="false">
      <c r="A121" s="414" t="n">
        <f aca="false">IF(AND(ISNUMBER(B121),NOT(AND(ISNUMBER('Master Plan'!$N$22),N('Master Plan'!$N$22)&lt;=ASOF)),N(B121)&gt;=ASOF,N(B121)&lt;=ASOF+LOOKAHEAD),B121+ROW()/100000,"")</f>
        <v>46349.00121</v>
      </c>
      <c r="B121" s="302" t="n">
        <f aca="false">'Master Plan'!$Y$22</f>
        <v>46349</v>
      </c>
      <c r="C121" s="413" t="s">
        <v>3750</v>
      </c>
      <c r="D121" s="0" t="s">
        <v>98</v>
      </c>
      <c r="E121" s="413" t="s">
        <v>3814</v>
      </c>
      <c r="F121" s="413" t="s">
        <v>3815</v>
      </c>
      <c r="G121" s="0" t="s">
        <v>100</v>
      </c>
      <c r="H121" s="413" t="s">
        <v>3816</v>
      </c>
      <c r="I121" s="0" t="s">
        <v>131</v>
      </c>
      <c r="J121" s="0" t="str">
        <f aca="false">IF(ISNUMBER('Master Plan'!$N$22),"นัดแล้ว","ตามแผน")</f>
        <v>ตามแผน</v>
      </c>
      <c r="K121" s="413" t="s">
        <v>3817</v>
      </c>
    </row>
    <row r="122" customFormat="false" ht="15" hidden="false" customHeight="false" outlineLevel="0" collapsed="false">
      <c r="A122" s="0" t="str">
        <f aca="false">IF(AND(ISNUMBER(B122),NOT(AND(ISNUMBER('Master Plan'!$O$22),N('Master Plan'!$O$22)&lt;=ASOF)),N(B122)&gt;=ASOF,N(B122)&lt;=ASOF+LOOKAHEAD),B122+ROW()/100000,"")</f>
        <v/>
      </c>
      <c r="B122" s="302" t="n">
        <f aca="false">'Master Plan'!$Z$22</f>
        <v>46356</v>
      </c>
      <c r="C122" s="413" t="s">
        <v>3755</v>
      </c>
      <c r="D122" s="0" t="s">
        <v>98</v>
      </c>
      <c r="E122" s="413" t="s">
        <v>3814</v>
      </c>
      <c r="F122" s="413" t="s">
        <v>3815</v>
      </c>
      <c r="G122" s="0" t="s">
        <v>100</v>
      </c>
      <c r="H122" s="413" t="s">
        <v>3816</v>
      </c>
      <c r="I122" s="0" t="s">
        <v>131</v>
      </c>
      <c r="J122" s="0" t="str">
        <f aca="false">IF(ISNUMBER('Master Plan'!$O$22),"นัดแล้ว","ตามแผน")</f>
        <v>ตามแผน</v>
      </c>
      <c r="K122" s="413" t="s">
        <v>3816</v>
      </c>
    </row>
    <row r="123" customFormat="false" ht="15" hidden="false" customHeight="false" outlineLevel="0" collapsed="false">
      <c r="A123" s="0" t="str">
        <f aca="false">IF(AND(ISNUMBER(B123),NOT(AND(ISNUMBER('Master Plan'!$P$22),N('Master Plan'!$P$22)&lt;=ASOF)),N(B123)&gt;=ASOF,N(B123)&lt;=ASOF+LOOKAHEAD),B123+ROW()/100000,"")</f>
        <v/>
      </c>
      <c r="B123" s="302" t="n">
        <f aca="false">'Master Plan'!$AA$22</f>
        <v>46359</v>
      </c>
      <c r="C123" s="413" t="s">
        <v>3756</v>
      </c>
      <c r="D123" s="0" t="s">
        <v>98</v>
      </c>
      <c r="E123" s="413" t="s">
        <v>3814</v>
      </c>
      <c r="F123" s="413" t="s">
        <v>3815</v>
      </c>
      <c r="G123" s="0" t="s">
        <v>100</v>
      </c>
      <c r="H123" s="413" t="s">
        <v>3816</v>
      </c>
      <c r="I123" s="0" t="s">
        <v>131</v>
      </c>
      <c r="J123" s="0" t="str">
        <f aca="false">IF(ISNUMBER('Master Plan'!$P$22),"นัดแล้ว","ตามแผน")</f>
        <v>ตามแผน</v>
      </c>
      <c r="K123" s="413" t="s">
        <v>3817</v>
      </c>
    </row>
    <row r="124" customFormat="false" ht="15" hidden="false" customHeight="false" outlineLevel="0" collapsed="false">
      <c r="A124" s="0" t="str">
        <f aca="false">IF(AND(ISNUMBER(B124),NOT(AND(ISNUMBER('Master Plan'!$Q$22),N('Master Plan'!$Q$22)&lt;=ASOF)),N(B124)&gt;=ASOF,N(B124)&lt;=ASOF+LOOKAHEAD),B124+ROW()/100000,"")</f>
        <v/>
      </c>
      <c r="B124" s="302" t="n">
        <f aca="false">'Master Plan'!$AB$22</f>
        <v>46367</v>
      </c>
      <c r="C124" s="413" t="s">
        <v>3757</v>
      </c>
      <c r="D124" s="0" t="s">
        <v>98</v>
      </c>
      <c r="E124" s="413" t="s">
        <v>3814</v>
      </c>
      <c r="F124" s="413" t="s">
        <v>3815</v>
      </c>
      <c r="G124" s="0" t="s">
        <v>100</v>
      </c>
      <c r="H124" s="413" t="s">
        <v>3816</v>
      </c>
      <c r="I124" s="0" t="s">
        <v>131</v>
      </c>
      <c r="J124" s="0" t="str">
        <f aca="false">IF(ISNUMBER('Master Plan'!$Q$22),"นัดแล้ว","ตามแผน")</f>
        <v>ตามแผน</v>
      </c>
      <c r="K124" s="413" t="s">
        <v>3817</v>
      </c>
    </row>
    <row r="125" customFormat="false" ht="15" hidden="false" customHeight="false" outlineLevel="0" collapsed="false">
      <c r="A125" s="0" t="str">
        <f aca="false">IF(AND(ISNUMBER(B125),NOT(AND(ISNUMBER('Master Plan'!$R$22),N('Master Plan'!$R$22)&lt;=ASOF)),N(B125)&gt;=ASOF,N(B125)&lt;=ASOF+LOOKAHEAD),B125+ROW()/100000,"")</f>
        <v/>
      </c>
      <c r="B125" s="302" t="n">
        <f aca="false">'Master Plan'!$AC$22</f>
        <v>46356</v>
      </c>
      <c r="C125" s="413" t="s">
        <v>3758</v>
      </c>
      <c r="D125" s="0" t="s">
        <v>98</v>
      </c>
      <c r="E125" s="413" t="s">
        <v>3814</v>
      </c>
      <c r="F125" s="413" t="s">
        <v>3815</v>
      </c>
      <c r="G125" s="0" t="s">
        <v>100</v>
      </c>
      <c r="H125" s="413" t="s">
        <v>3816</v>
      </c>
      <c r="I125" s="0" t="s">
        <v>131</v>
      </c>
      <c r="J125" s="0" t="str">
        <f aca="false">IF(ISNUMBER('Master Plan'!$R$22),"นัดแล้ว","ตามแผน")</f>
        <v>ตามแผน</v>
      </c>
      <c r="K125" s="0" t="s">
        <v>131</v>
      </c>
    </row>
    <row r="126" customFormat="false" ht="15" hidden="false" customHeight="false" outlineLevel="0" collapsed="false">
      <c r="A126" s="0" t="str">
        <f aca="false">IF(AND(ISNUMBER(B126),NOT(AND(ISNUMBER('Master Plan'!$U$22),N('Master Plan'!$U$22)&lt;=ASOF)),N(B126)&gt;=ASOF,N(B126)&lt;=ASOF+LOOKAHEAD),B126+ROW()/100000,"")</f>
        <v/>
      </c>
      <c r="B126" s="302" t="n">
        <f aca="false">'Master Plan'!$AE$22</f>
        <v>46386</v>
      </c>
      <c r="C126" s="413" t="s">
        <v>3759</v>
      </c>
      <c r="D126" s="0" t="s">
        <v>98</v>
      </c>
      <c r="E126" s="413" t="s">
        <v>3814</v>
      </c>
      <c r="F126" s="413" t="s">
        <v>3815</v>
      </c>
      <c r="G126" s="0" t="s">
        <v>100</v>
      </c>
      <c r="H126" s="413" t="s">
        <v>3816</v>
      </c>
      <c r="I126" s="0" t="s">
        <v>131</v>
      </c>
      <c r="J126" s="0" t="str">
        <f aca="false">IF(ISNUMBER('Master Plan'!$U$22),"นัดแล้ว","ตามแผน")</f>
        <v>ตามแผน</v>
      </c>
      <c r="K126" s="0" t="s">
        <v>131</v>
      </c>
    </row>
    <row r="127" customFormat="false" ht="15" hidden="false" customHeight="false" outlineLevel="0" collapsed="false">
      <c r="A127" s="0" t="str">
        <f aca="false">IF(AND(ISNUMBER(B127),NOT(AND(ISNUMBER('Master Plan'!$V$22),N('Master Plan'!$V$22)&lt;=ASOF)),N(B127)&gt;=ASOF,N(B127)&lt;=ASOF+LOOKAHEAD),B127+ROW()/100000,"")</f>
        <v/>
      </c>
      <c r="B127" s="302" t="n">
        <f aca="false">'Master Plan'!$AF$22</f>
        <v>46391</v>
      </c>
      <c r="C127" s="413" t="s">
        <v>3760</v>
      </c>
      <c r="D127" s="0" t="s">
        <v>98</v>
      </c>
      <c r="E127" s="413" t="s">
        <v>3814</v>
      </c>
      <c r="F127" s="413" t="s">
        <v>3815</v>
      </c>
      <c r="G127" s="0" t="s">
        <v>100</v>
      </c>
      <c r="H127" s="413" t="s">
        <v>3816</v>
      </c>
      <c r="I127" s="0" t="s">
        <v>131</v>
      </c>
      <c r="J127" s="0" t="str">
        <f aca="false">IF(ISNUMBER('Master Plan'!$V$22),"นัดแล้ว","ตามแผน")</f>
        <v>ตามแผน</v>
      </c>
      <c r="K127" s="0" t="s">
        <v>131</v>
      </c>
    </row>
    <row r="128" customFormat="false" ht="15" hidden="false" customHeight="false" outlineLevel="0" collapsed="false">
      <c r="A128" s="0" t="str">
        <f aca="false">IF(AND(ISNUMBER(B128),NOT(AND(ISNUMBER('Master Plan'!$X$22),N('Master Plan'!$X$22)&lt;=ASOF)),N(B128)&gt;=ASOF,N(B128)&lt;=ASOF+LOOKAHEAD),B128+ROW()/100000,"")</f>
        <v/>
      </c>
      <c r="B128" s="302" t="n">
        <f aca="false">'Master Plan'!$AH$22</f>
        <v>46433</v>
      </c>
      <c r="C128" s="0" t="s">
        <v>2226</v>
      </c>
      <c r="D128" s="0" t="s">
        <v>98</v>
      </c>
      <c r="E128" s="413" t="s">
        <v>3814</v>
      </c>
      <c r="F128" s="413" t="s">
        <v>3815</v>
      </c>
      <c r="G128" s="0" t="s">
        <v>100</v>
      </c>
      <c r="H128" s="413" t="s">
        <v>3816</v>
      </c>
      <c r="I128" s="0" t="s">
        <v>131</v>
      </c>
      <c r="J128" s="0" t="str">
        <f aca="false">IF(ISNUMBER('Master Plan'!$X$22),"นัดแล้ว","ตามแผน")</f>
        <v>ตามแผน</v>
      </c>
      <c r="K128" s="413" t="s">
        <v>3816</v>
      </c>
    </row>
    <row r="129" customFormat="false" ht="15" hidden="false" customHeight="false" outlineLevel="0" collapsed="false">
      <c r="A129" s="414" t="n">
        <f aca="false">IF(AND(ISNUMBER(B129),NOT(AND(ISNUMBER('Master Plan'!$N$23),N('Master Plan'!$N$23)&lt;=ASOF)),N(B129)&gt;=ASOF,N(B129)&lt;=ASOF+LOOKAHEAD),B129+ROW()/100000,"")</f>
        <v>46349.00129</v>
      </c>
      <c r="B129" s="302" t="n">
        <f aca="false">'Master Plan'!$Y$23</f>
        <v>46349</v>
      </c>
      <c r="C129" s="413" t="s">
        <v>3750</v>
      </c>
      <c r="D129" s="0" t="s">
        <v>102</v>
      </c>
      <c r="E129" s="413" t="s">
        <v>3818</v>
      </c>
      <c r="F129" s="413" t="s">
        <v>3819</v>
      </c>
      <c r="G129" s="0" t="s">
        <v>104</v>
      </c>
      <c r="H129" s="413" t="s">
        <v>3820</v>
      </c>
      <c r="I129" s="0" t="s">
        <v>131</v>
      </c>
      <c r="J129" s="0" t="str">
        <f aca="false">IF(ISNUMBER('Master Plan'!$N$23),"นัดแล้ว","ตามแผน")</f>
        <v>ตามแผน</v>
      </c>
      <c r="K129" s="413" t="s">
        <v>3821</v>
      </c>
    </row>
    <row r="130" customFormat="false" ht="15" hidden="false" customHeight="false" outlineLevel="0" collapsed="false">
      <c r="A130" s="0" t="str">
        <f aca="false">IF(AND(ISNUMBER(B130),NOT(AND(ISNUMBER('Master Plan'!$O$23),N('Master Plan'!$O$23)&lt;=ASOF)),N(B130)&gt;=ASOF,N(B130)&lt;=ASOF+LOOKAHEAD),B130+ROW()/100000,"")</f>
        <v/>
      </c>
      <c r="B130" s="302" t="n">
        <f aca="false">'Master Plan'!$Z$23</f>
        <v>46356</v>
      </c>
      <c r="C130" s="413" t="s">
        <v>3755</v>
      </c>
      <c r="D130" s="0" t="s">
        <v>102</v>
      </c>
      <c r="E130" s="413" t="s">
        <v>3818</v>
      </c>
      <c r="F130" s="413" t="s">
        <v>3819</v>
      </c>
      <c r="G130" s="0" t="s">
        <v>104</v>
      </c>
      <c r="H130" s="413" t="s">
        <v>3820</v>
      </c>
      <c r="I130" s="0" t="s">
        <v>131</v>
      </c>
      <c r="J130" s="0" t="str">
        <f aca="false">IF(ISNUMBER('Master Plan'!$O$23),"นัดแล้ว","ตามแผน")</f>
        <v>ตามแผน</v>
      </c>
      <c r="K130" s="413" t="s">
        <v>3820</v>
      </c>
    </row>
    <row r="131" customFormat="false" ht="15" hidden="false" customHeight="false" outlineLevel="0" collapsed="false">
      <c r="A131" s="0" t="str">
        <f aca="false">IF(AND(ISNUMBER(B131),NOT(AND(ISNUMBER('Master Plan'!$P$23),N('Master Plan'!$P$23)&lt;=ASOF)),N(B131)&gt;=ASOF,N(B131)&lt;=ASOF+LOOKAHEAD),B131+ROW()/100000,"")</f>
        <v/>
      </c>
      <c r="B131" s="302" t="n">
        <f aca="false">'Master Plan'!$AA$23</f>
        <v>46359</v>
      </c>
      <c r="C131" s="413" t="s">
        <v>3756</v>
      </c>
      <c r="D131" s="0" t="s">
        <v>102</v>
      </c>
      <c r="E131" s="413" t="s">
        <v>3818</v>
      </c>
      <c r="F131" s="413" t="s">
        <v>3819</v>
      </c>
      <c r="G131" s="0" t="s">
        <v>104</v>
      </c>
      <c r="H131" s="413" t="s">
        <v>3820</v>
      </c>
      <c r="I131" s="0" t="s">
        <v>131</v>
      </c>
      <c r="J131" s="0" t="str">
        <f aca="false">IF(ISNUMBER('Master Plan'!$P$23),"นัดแล้ว","ตามแผน")</f>
        <v>ตามแผน</v>
      </c>
      <c r="K131" s="413" t="s">
        <v>3821</v>
      </c>
    </row>
    <row r="132" customFormat="false" ht="15" hidden="false" customHeight="false" outlineLevel="0" collapsed="false">
      <c r="A132" s="0" t="str">
        <f aca="false">IF(AND(ISNUMBER(B132),NOT(AND(ISNUMBER('Master Plan'!$Q$23),N('Master Plan'!$Q$23)&lt;=ASOF)),N(B132)&gt;=ASOF,N(B132)&lt;=ASOF+LOOKAHEAD),B132+ROW()/100000,"")</f>
        <v/>
      </c>
      <c r="B132" s="302" t="n">
        <f aca="false">'Master Plan'!$AB$23</f>
        <v>46367</v>
      </c>
      <c r="C132" s="413" t="s">
        <v>3757</v>
      </c>
      <c r="D132" s="0" t="s">
        <v>102</v>
      </c>
      <c r="E132" s="413" t="s">
        <v>3818</v>
      </c>
      <c r="F132" s="413" t="s">
        <v>3819</v>
      </c>
      <c r="G132" s="0" t="s">
        <v>104</v>
      </c>
      <c r="H132" s="413" t="s">
        <v>3820</v>
      </c>
      <c r="I132" s="0" t="s">
        <v>131</v>
      </c>
      <c r="J132" s="0" t="str">
        <f aca="false">IF(ISNUMBER('Master Plan'!$Q$23),"นัดแล้ว","ตามแผน")</f>
        <v>ตามแผน</v>
      </c>
      <c r="K132" s="413" t="s">
        <v>3821</v>
      </c>
    </row>
    <row r="133" customFormat="false" ht="15" hidden="false" customHeight="false" outlineLevel="0" collapsed="false">
      <c r="A133" s="0" t="str">
        <f aca="false">IF(AND(ISNUMBER(B133),NOT(AND(ISNUMBER('Master Plan'!$R$23),N('Master Plan'!$R$23)&lt;=ASOF)),N(B133)&gt;=ASOF,N(B133)&lt;=ASOF+LOOKAHEAD),B133+ROW()/100000,"")</f>
        <v/>
      </c>
      <c r="B133" s="302" t="n">
        <f aca="false">'Master Plan'!$AC$23</f>
        <v>46356</v>
      </c>
      <c r="C133" s="413" t="s">
        <v>3758</v>
      </c>
      <c r="D133" s="0" t="s">
        <v>102</v>
      </c>
      <c r="E133" s="413" t="s">
        <v>3818</v>
      </c>
      <c r="F133" s="413" t="s">
        <v>3819</v>
      </c>
      <c r="G133" s="0" t="s">
        <v>104</v>
      </c>
      <c r="H133" s="413" t="s">
        <v>3820</v>
      </c>
      <c r="I133" s="0" t="s">
        <v>131</v>
      </c>
      <c r="J133" s="0" t="str">
        <f aca="false">IF(ISNUMBER('Master Plan'!$R$23),"นัดแล้ว","ตามแผน")</f>
        <v>ตามแผน</v>
      </c>
      <c r="K133" s="0" t="s">
        <v>131</v>
      </c>
    </row>
    <row r="134" customFormat="false" ht="15" hidden="false" customHeight="false" outlineLevel="0" collapsed="false">
      <c r="A134" s="0" t="str">
        <f aca="false">IF(AND(ISNUMBER(B134),NOT(AND(ISNUMBER('Master Plan'!$U$23),N('Master Plan'!$U$23)&lt;=ASOF)),N(B134)&gt;=ASOF,N(B134)&lt;=ASOF+LOOKAHEAD),B134+ROW()/100000,"")</f>
        <v/>
      </c>
      <c r="B134" s="302" t="n">
        <f aca="false">'Master Plan'!$AE$23</f>
        <v>46386</v>
      </c>
      <c r="C134" s="413" t="s">
        <v>3759</v>
      </c>
      <c r="D134" s="0" t="s">
        <v>102</v>
      </c>
      <c r="E134" s="413" t="s">
        <v>3818</v>
      </c>
      <c r="F134" s="413" t="s">
        <v>3819</v>
      </c>
      <c r="G134" s="0" t="s">
        <v>104</v>
      </c>
      <c r="H134" s="413" t="s">
        <v>3820</v>
      </c>
      <c r="I134" s="0" t="s">
        <v>131</v>
      </c>
      <c r="J134" s="0" t="str">
        <f aca="false">IF(ISNUMBER('Master Plan'!$U$23),"นัดแล้ว","ตามแผน")</f>
        <v>ตามแผน</v>
      </c>
      <c r="K134" s="0" t="s">
        <v>131</v>
      </c>
    </row>
    <row r="135" customFormat="false" ht="15" hidden="false" customHeight="false" outlineLevel="0" collapsed="false">
      <c r="A135" s="0" t="str">
        <f aca="false">IF(AND(ISNUMBER(B135),NOT(AND(ISNUMBER('Master Plan'!$V$23),N('Master Plan'!$V$23)&lt;=ASOF)),N(B135)&gt;=ASOF,N(B135)&lt;=ASOF+LOOKAHEAD),B135+ROW()/100000,"")</f>
        <v/>
      </c>
      <c r="B135" s="302" t="n">
        <f aca="false">'Master Plan'!$AF$23</f>
        <v>46391</v>
      </c>
      <c r="C135" s="413" t="s">
        <v>3760</v>
      </c>
      <c r="D135" s="0" t="s">
        <v>102</v>
      </c>
      <c r="E135" s="413" t="s">
        <v>3818</v>
      </c>
      <c r="F135" s="413" t="s">
        <v>3819</v>
      </c>
      <c r="G135" s="0" t="s">
        <v>104</v>
      </c>
      <c r="H135" s="413" t="s">
        <v>3820</v>
      </c>
      <c r="I135" s="0" t="s">
        <v>131</v>
      </c>
      <c r="J135" s="0" t="str">
        <f aca="false">IF(ISNUMBER('Master Plan'!$V$23),"นัดแล้ว","ตามแผน")</f>
        <v>ตามแผน</v>
      </c>
      <c r="K135" s="0" t="s">
        <v>131</v>
      </c>
    </row>
    <row r="136" customFormat="false" ht="15" hidden="false" customHeight="false" outlineLevel="0" collapsed="false">
      <c r="A136" s="0" t="str">
        <f aca="false">IF(AND(ISNUMBER(B136),NOT(AND(ISNUMBER('Master Plan'!$W$23),N('Master Plan'!$W$23)&lt;=ASOF)),N(B136)&gt;=ASOF,N(B136)&lt;=ASOF+LOOKAHEAD),B136+ROW()/100000,"")</f>
        <v/>
      </c>
      <c r="B136" s="302" t="n">
        <f aca="false">'Master Plan'!$AG$23</f>
        <v>46356</v>
      </c>
      <c r="C136" s="413" t="s">
        <v>3765</v>
      </c>
      <c r="D136" s="0" t="s">
        <v>102</v>
      </c>
      <c r="E136" s="413" t="s">
        <v>3818</v>
      </c>
      <c r="F136" s="413" t="s">
        <v>3819</v>
      </c>
      <c r="G136" s="0" t="s">
        <v>104</v>
      </c>
      <c r="H136" s="413" t="s">
        <v>3820</v>
      </c>
      <c r="I136" s="0" t="s">
        <v>131</v>
      </c>
      <c r="J136" s="0" t="str">
        <f aca="false">IF(ISNUMBER('Master Plan'!$W$23),"นัดแล้ว","ตามแผน")</f>
        <v>ตามแผน</v>
      </c>
      <c r="K136" s="0" t="s">
        <v>131</v>
      </c>
    </row>
    <row r="137" customFormat="false" ht="15" hidden="false" customHeight="false" outlineLevel="0" collapsed="false">
      <c r="A137" s="0" t="str">
        <f aca="false">IF(AND(ISNUMBER(B137),NOT(AND(ISNUMBER('Master Plan'!$X$23),N('Master Plan'!$X$23)&lt;=ASOF)),N(B137)&gt;=ASOF,N(B137)&lt;=ASOF+LOOKAHEAD),B137+ROW()/100000,"")</f>
        <v/>
      </c>
      <c r="B137" s="302" t="n">
        <f aca="false">'Master Plan'!$AH$23</f>
        <v>46433</v>
      </c>
      <c r="C137" s="0" t="s">
        <v>2226</v>
      </c>
      <c r="D137" s="0" t="s">
        <v>102</v>
      </c>
      <c r="E137" s="413" t="s">
        <v>3818</v>
      </c>
      <c r="F137" s="413" t="s">
        <v>3819</v>
      </c>
      <c r="G137" s="0" t="s">
        <v>104</v>
      </c>
      <c r="H137" s="413" t="s">
        <v>3820</v>
      </c>
      <c r="I137" s="0" t="s">
        <v>131</v>
      </c>
      <c r="J137" s="0" t="str">
        <f aca="false">IF(ISNUMBER('Master Plan'!$X$23),"นัดแล้ว","ตามแผน")</f>
        <v>ตามแผน</v>
      </c>
      <c r="K137" s="413" t="s">
        <v>3820</v>
      </c>
    </row>
    <row r="138" customFormat="false" ht="15" hidden="false" customHeight="false" outlineLevel="0" collapsed="false">
      <c r="A138" s="414" t="n">
        <f aca="false">IF(AND(ISNUMBER(B138),NOT(AND(ISNUMBER('Master Plan'!$N$24),N('Master Plan'!$N$24)&lt;=ASOF)),N(B138)&gt;=ASOF,N(B138)&lt;=ASOF+LOOKAHEAD),B138+ROW()/100000,"")</f>
        <v>46349.00138</v>
      </c>
      <c r="B138" s="302" t="n">
        <f aca="false">'Master Plan'!$Y$24</f>
        <v>46349</v>
      </c>
      <c r="C138" s="413" t="s">
        <v>3750</v>
      </c>
      <c r="D138" s="0" t="s">
        <v>106</v>
      </c>
      <c r="E138" s="413" t="s">
        <v>3822</v>
      </c>
      <c r="F138" s="413" t="s">
        <v>3823</v>
      </c>
      <c r="G138" s="0" t="s">
        <v>108</v>
      </c>
      <c r="H138" s="413" t="s">
        <v>3824</v>
      </c>
      <c r="I138" s="0" t="s">
        <v>131</v>
      </c>
      <c r="J138" s="0" t="str">
        <f aca="false">IF(ISNUMBER('Master Plan'!$N$24),"นัดแล้ว","ตามแผน")</f>
        <v>ตามแผน</v>
      </c>
      <c r="K138" s="413" t="s">
        <v>3825</v>
      </c>
    </row>
    <row r="139" customFormat="false" ht="15" hidden="false" customHeight="false" outlineLevel="0" collapsed="false">
      <c r="A139" s="0" t="str">
        <f aca="false">IF(AND(ISNUMBER(B139),NOT(AND(ISNUMBER('Master Plan'!$O$24),N('Master Plan'!$O$24)&lt;=ASOF)),N(B139)&gt;=ASOF,N(B139)&lt;=ASOF+LOOKAHEAD),B139+ROW()/100000,"")</f>
        <v/>
      </c>
      <c r="B139" s="302" t="n">
        <f aca="false">'Master Plan'!$Z$24</f>
        <v>46356</v>
      </c>
      <c r="C139" s="413" t="s">
        <v>3755</v>
      </c>
      <c r="D139" s="0" t="s">
        <v>106</v>
      </c>
      <c r="E139" s="413" t="s">
        <v>3822</v>
      </c>
      <c r="F139" s="413" t="s">
        <v>3823</v>
      </c>
      <c r="G139" s="0" t="s">
        <v>108</v>
      </c>
      <c r="H139" s="413" t="s">
        <v>3824</v>
      </c>
      <c r="I139" s="0" t="s">
        <v>131</v>
      </c>
      <c r="J139" s="0" t="str">
        <f aca="false">IF(ISNUMBER('Master Plan'!$O$24),"นัดแล้ว","ตามแผน")</f>
        <v>ตามแผน</v>
      </c>
      <c r="K139" s="413" t="s">
        <v>3824</v>
      </c>
    </row>
    <row r="140" customFormat="false" ht="15" hidden="false" customHeight="false" outlineLevel="0" collapsed="false">
      <c r="A140" s="0" t="str">
        <f aca="false">IF(AND(ISNUMBER(B140),NOT(AND(ISNUMBER('Master Plan'!$P$24),N('Master Plan'!$P$24)&lt;=ASOF)),N(B140)&gt;=ASOF,N(B140)&lt;=ASOF+LOOKAHEAD),B140+ROW()/100000,"")</f>
        <v/>
      </c>
      <c r="B140" s="302" t="n">
        <f aca="false">'Master Plan'!$AA$24</f>
        <v>46359</v>
      </c>
      <c r="C140" s="413" t="s">
        <v>3756</v>
      </c>
      <c r="D140" s="0" t="s">
        <v>106</v>
      </c>
      <c r="E140" s="413" t="s">
        <v>3822</v>
      </c>
      <c r="F140" s="413" t="s">
        <v>3823</v>
      </c>
      <c r="G140" s="0" t="s">
        <v>108</v>
      </c>
      <c r="H140" s="413" t="s">
        <v>3824</v>
      </c>
      <c r="I140" s="0" t="s">
        <v>131</v>
      </c>
      <c r="J140" s="0" t="str">
        <f aca="false">IF(ISNUMBER('Master Plan'!$P$24),"นัดแล้ว","ตามแผน")</f>
        <v>ตามแผน</v>
      </c>
      <c r="K140" s="413" t="s">
        <v>3825</v>
      </c>
    </row>
    <row r="141" customFormat="false" ht="15" hidden="false" customHeight="false" outlineLevel="0" collapsed="false">
      <c r="A141" s="0" t="str">
        <f aca="false">IF(AND(ISNUMBER(B141),NOT(AND(ISNUMBER('Master Plan'!$Q$24),N('Master Plan'!$Q$24)&lt;=ASOF)),N(B141)&gt;=ASOF,N(B141)&lt;=ASOF+LOOKAHEAD),B141+ROW()/100000,"")</f>
        <v/>
      </c>
      <c r="B141" s="302" t="n">
        <f aca="false">'Master Plan'!$AB$24</f>
        <v>46367</v>
      </c>
      <c r="C141" s="413" t="s">
        <v>3757</v>
      </c>
      <c r="D141" s="0" t="s">
        <v>106</v>
      </c>
      <c r="E141" s="413" t="s">
        <v>3822</v>
      </c>
      <c r="F141" s="413" t="s">
        <v>3823</v>
      </c>
      <c r="G141" s="0" t="s">
        <v>108</v>
      </c>
      <c r="H141" s="413" t="s">
        <v>3824</v>
      </c>
      <c r="I141" s="0" t="s">
        <v>131</v>
      </c>
      <c r="J141" s="0" t="str">
        <f aca="false">IF(ISNUMBER('Master Plan'!$Q$24),"นัดแล้ว","ตามแผน")</f>
        <v>ตามแผน</v>
      </c>
      <c r="K141" s="413" t="s">
        <v>3825</v>
      </c>
    </row>
    <row r="142" customFormat="false" ht="15" hidden="false" customHeight="false" outlineLevel="0" collapsed="false">
      <c r="A142" s="0" t="str">
        <f aca="false">IF(AND(ISNUMBER(B142),NOT(AND(ISNUMBER('Master Plan'!$R$24),N('Master Plan'!$R$24)&lt;=ASOF)),N(B142)&gt;=ASOF,N(B142)&lt;=ASOF+LOOKAHEAD),B142+ROW()/100000,"")</f>
        <v/>
      </c>
      <c r="B142" s="302" t="n">
        <f aca="false">'Master Plan'!$AC$24</f>
        <v>46356</v>
      </c>
      <c r="C142" s="413" t="s">
        <v>3758</v>
      </c>
      <c r="D142" s="0" t="s">
        <v>106</v>
      </c>
      <c r="E142" s="413" t="s">
        <v>3822</v>
      </c>
      <c r="F142" s="413" t="s">
        <v>3823</v>
      </c>
      <c r="G142" s="0" t="s">
        <v>108</v>
      </c>
      <c r="H142" s="413" t="s">
        <v>3824</v>
      </c>
      <c r="I142" s="0" t="s">
        <v>131</v>
      </c>
      <c r="J142" s="0" t="str">
        <f aca="false">IF(ISNUMBER('Master Plan'!$R$24),"นัดแล้ว","ตามแผน")</f>
        <v>ตามแผน</v>
      </c>
      <c r="K142" s="0" t="s">
        <v>131</v>
      </c>
    </row>
    <row r="143" customFormat="false" ht="15" hidden="false" customHeight="false" outlineLevel="0" collapsed="false">
      <c r="A143" s="0" t="str">
        <f aca="false">IF(AND(ISNUMBER(B143),NOT(AND(ISNUMBER('Master Plan'!$U$24),N('Master Plan'!$U$24)&lt;=ASOF)),N(B143)&gt;=ASOF,N(B143)&lt;=ASOF+LOOKAHEAD),B143+ROW()/100000,"")</f>
        <v/>
      </c>
      <c r="B143" s="302" t="n">
        <f aca="false">'Master Plan'!$AE$24</f>
        <v>46386</v>
      </c>
      <c r="C143" s="413" t="s">
        <v>3759</v>
      </c>
      <c r="D143" s="0" t="s">
        <v>106</v>
      </c>
      <c r="E143" s="413" t="s">
        <v>3822</v>
      </c>
      <c r="F143" s="413" t="s">
        <v>3823</v>
      </c>
      <c r="G143" s="0" t="s">
        <v>108</v>
      </c>
      <c r="H143" s="413" t="s">
        <v>3824</v>
      </c>
      <c r="I143" s="0" t="s">
        <v>131</v>
      </c>
      <c r="J143" s="0" t="str">
        <f aca="false">IF(ISNUMBER('Master Plan'!$U$24),"นัดแล้ว","ตามแผน")</f>
        <v>ตามแผน</v>
      </c>
      <c r="K143" s="0" t="s">
        <v>131</v>
      </c>
    </row>
    <row r="144" customFormat="false" ht="15" hidden="false" customHeight="false" outlineLevel="0" collapsed="false">
      <c r="A144" s="0" t="str">
        <f aca="false">IF(AND(ISNUMBER(B144),NOT(AND(ISNUMBER('Master Plan'!$V$24),N('Master Plan'!$V$24)&lt;=ASOF)),N(B144)&gt;=ASOF,N(B144)&lt;=ASOF+LOOKAHEAD),B144+ROW()/100000,"")</f>
        <v/>
      </c>
      <c r="B144" s="302" t="n">
        <f aca="false">'Master Plan'!$AF$24</f>
        <v>46391</v>
      </c>
      <c r="C144" s="413" t="s">
        <v>3760</v>
      </c>
      <c r="D144" s="0" t="s">
        <v>106</v>
      </c>
      <c r="E144" s="413" t="s">
        <v>3822</v>
      </c>
      <c r="F144" s="413" t="s">
        <v>3823</v>
      </c>
      <c r="G144" s="0" t="s">
        <v>108</v>
      </c>
      <c r="H144" s="413" t="s">
        <v>3824</v>
      </c>
      <c r="I144" s="0" t="s">
        <v>131</v>
      </c>
      <c r="J144" s="0" t="str">
        <f aca="false">IF(ISNUMBER('Master Plan'!$V$24),"นัดแล้ว","ตามแผน")</f>
        <v>ตามแผน</v>
      </c>
      <c r="K144" s="0" t="s">
        <v>131</v>
      </c>
    </row>
    <row r="145" customFormat="false" ht="15" hidden="false" customHeight="false" outlineLevel="0" collapsed="false">
      <c r="A145" s="0" t="str">
        <f aca="false">IF(AND(ISNUMBER(B145),NOT(AND(ISNUMBER('Master Plan'!$X$24),N('Master Plan'!$X$24)&lt;=ASOF)),N(B145)&gt;=ASOF,N(B145)&lt;=ASOF+LOOKAHEAD),B145+ROW()/100000,"")</f>
        <v/>
      </c>
      <c r="B145" s="302" t="n">
        <f aca="false">'Master Plan'!$AH$24</f>
        <v>46433</v>
      </c>
      <c r="C145" s="0" t="s">
        <v>2226</v>
      </c>
      <c r="D145" s="0" t="s">
        <v>106</v>
      </c>
      <c r="E145" s="413" t="s">
        <v>3822</v>
      </c>
      <c r="F145" s="413" t="s">
        <v>3823</v>
      </c>
      <c r="G145" s="0" t="s">
        <v>108</v>
      </c>
      <c r="H145" s="413" t="s">
        <v>3824</v>
      </c>
      <c r="I145" s="0" t="s">
        <v>131</v>
      </c>
      <c r="J145" s="0" t="str">
        <f aca="false">IF(ISNUMBER('Master Plan'!$X$24),"นัดแล้ว","ตามแผน")</f>
        <v>ตามแผน</v>
      </c>
      <c r="K145" s="413" t="s">
        <v>3824</v>
      </c>
    </row>
    <row r="146" customFormat="false" ht="15" hidden="false" customHeight="false" outlineLevel="0" collapsed="false">
      <c r="A146" s="414" t="n">
        <f aca="false">IF(AND(ISNUMBER(B146),NOT(AND(ISNUMBER('Master Plan'!$N$25),N('Master Plan'!$N$25)&lt;=ASOF)),N(B146)&gt;=ASOF,N(B146)&lt;=ASOF+LOOKAHEAD),B146+ROW()/100000,"")</f>
        <v>46349.00146</v>
      </c>
      <c r="B146" s="302" t="n">
        <f aca="false">'Master Plan'!$Y$25</f>
        <v>46349</v>
      </c>
      <c r="C146" s="413" t="s">
        <v>3750</v>
      </c>
      <c r="D146" s="0" t="s">
        <v>110</v>
      </c>
      <c r="E146" s="413" t="s">
        <v>3826</v>
      </c>
      <c r="F146" s="413" t="s">
        <v>3827</v>
      </c>
      <c r="G146" s="0" t="s">
        <v>112</v>
      </c>
      <c r="H146" s="413" t="s">
        <v>3828</v>
      </c>
      <c r="I146" s="0" t="s">
        <v>131</v>
      </c>
      <c r="J146" s="0" t="str">
        <f aca="false">IF(ISNUMBER('Master Plan'!$N$25),"นัดแล้ว","ตามแผน")</f>
        <v>ตามแผน</v>
      </c>
      <c r="K146" s="413" t="s">
        <v>3829</v>
      </c>
    </row>
    <row r="147" customFormat="false" ht="15" hidden="false" customHeight="false" outlineLevel="0" collapsed="false">
      <c r="A147" s="0" t="str">
        <f aca="false">IF(AND(ISNUMBER(B147),NOT(AND(ISNUMBER('Master Plan'!$O$25),N('Master Plan'!$O$25)&lt;=ASOF)),N(B147)&gt;=ASOF,N(B147)&lt;=ASOF+LOOKAHEAD),B147+ROW()/100000,"")</f>
        <v/>
      </c>
      <c r="B147" s="302" t="n">
        <f aca="false">'Master Plan'!$Z$25</f>
        <v>46356</v>
      </c>
      <c r="C147" s="413" t="s">
        <v>3755</v>
      </c>
      <c r="D147" s="0" t="s">
        <v>110</v>
      </c>
      <c r="E147" s="413" t="s">
        <v>3826</v>
      </c>
      <c r="F147" s="413" t="s">
        <v>3827</v>
      </c>
      <c r="G147" s="0" t="s">
        <v>112</v>
      </c>
      <c r="H147" s="413" t="s">
        <v>3828</v>
      </c>
      <c r="I147" s="0" t="s">
        <v>131</v>
      </c>
      <c r="J147" s="0" t="str">
        <f aca="false">IF(ISNUMBER('Master Plan'!$O$25),"นัดแล้ว","ตามแผน")</f>
        <v>ตามแผน</v>
      </c>
      <c r="K147" s="413" t="s">
        <v>3828</v>
      </c>
    </row>
    <row r="148" customFormat="false" ht="15" hidden="false" customHeight="false" outlineLevel="0" collapsed="false">
      <c r="A148" s="0" t="str">
        <f aca="false">IF(AND(ISNUMBER(B148),NOT(AND(ISNUMBER('Master Plan'!$P$25),N('Master Plan'!$P$25)&lt;=ASOF)),N(B148)&gt;=ASOF,N(B148)&lt;=ASOF+LOOKAHEAD),B148+ROW()/100000,"")</f>
        <v/>
      </c>
      <c r="B148" s="302" t="n">
        <f aca="false">'Master Plan'!$AA$25</f>
        <v>46359</v>
      </c>
      <c r="C148" s="413" t="s">
        <v>3756</v>
      </c>
      <c r="D148" s="0" t="s">
        <v>110</v>
      </c>
      <c r="E148" s="413" t="s">
        <v>3826</v>
      </c>
      <c r="F148" s="413" t="s">
        <v>3827</v>
      </c>
      <c r="G148" s="0" t="s">
        <v>112</v>
      </c>
      <c r="H148" s="413" t="s">
        <v>3828</v>
      </c>
      <c r="I148" s="0" t="s">
        <v>131</v>
      </c>
      <c r="J148" s="0" t="str">
        <f aca="false">IF(ISNUMBER('Master Plan'!$P$25),"นัดแล้ว","ตามแผน")</f>
        <v>ตามแผน</v>
      </c>
      <c r="K148" s="413" t="s">
        <v>3829</v>
      </c>
    </row>
    <row r="149" customFormat="false" ht="15" hidden="false" customHeight="false" outlineLevel="0" collapsed="false">
      <c r="A149" s="0" t="str">
        <f aca="false">IF(AND(ISNUMBER(B149),NOT(AND(ISNUMBER('Master Plan'!$Q$25),N('Master Plan'!$Q$25)&lt;=ASOF)),N(B149)&gt;=ASOF,N(B149)&lt;=ASOF+LOOKAHEAD),B149+ROW()/100000,"")</f>
        <v/>
      </c>
      <c r="B149" s="302" t="n">
        <f aca="false">'Master Plan'!$AB$25</f>
        <v>46367</v>
      </c>
      <c r="C149" s="413" t="s">
        <v>3757</v>
      </c>
      <c r="D149" s="0" t="s">
        <v>110</v>
      </c>
      <c r="E149" s="413" t="s">
        <v>3826</v>
      </c>
      <c r="F149" s="413" t="s">
        <v>3827</v>
      </c>
      <c r="G149" s="0" t="s">
        <v>112</v>
      </c>
      <c r="H149" s="413" t="s">
        <v>3828</v>
      </c>
      <c r="I149" s="0" t="s">
        <v>131</v>
      </c>
      <c r="J149" s="0" t="str">
        <f aca="false">IF(ISNUMBER('Master Plan'!$Q$25),"นัดแล้ว","ตามแผน")</f>
        <v>ตามแผน</v>
      </c>
      <c r="K149" s="413" t="s">
        <v>3829</v>
      </c>
    </row>
    <row r="150" customFormat="false" ht="15" hidden="false" customHeight="false" outlineLevel="0" collapsed="false">
      <c r="A150" s="0" t="str">
        <f aca="false">IF(AND(ISNUMBER(B150),NOT(AND(ISNUMBER('Master Plan'!$R$25),N('Master Plan'!$R$25)&lt;=ASOF)),N(B150)&gt;=ASOF,N(B150)&lt;=ASOF+LOOKAHEAD),B150+ROW()/100000,"")</f>
        <v/>
      </c>
      <c r="B150" s="302" t="n">
        <f aca="false">'Master Plan'!$AC$25</f>
        <v>46356</v>
      </c>
      <c r="C150" s="413" t="s">
        <v>3758</v>
      </c>
      <c r="D150" s="0" t="s">
        <v>110</v>
      </c>
      <c r="E150" s="413" t="s">
        <v>3826</v>
      </c>
      <c r="F150" s="413" t="s">
        <v>3827</v>
      </c>
      <c r="G150" s="0" t="s">
        <v>112</v>
      </c>
      <c r="H150" s="413" t="s">
        <v>3828</v>
      </c>
      <c r="I150" s="0" t="s">
        <v>131</v>
      </c>
      <c r="J150" s="0" t="str">
        <f aca="false">IF(ISNUMBER('Master Plan'!$R$25),"นัดแล้ว","ตามแผน")</f>
        <v>ตามแผน</v>
      </c>
      <c r="K150" s="0" t="s">
        <v>131</v>
      </c>
    </row>
    <row r="151" customFormat="false" ht="15" hidden="false" customHeight="false" outlineLevel="0" collapsed="false">
      <c r="A151" s="0" t="str">
        <f aca="false">IF(AND(ISNUMBER(B151),NOT(AND(ISNUMBER('Master Plan'!$U$25),N('Master Plan'!$U$25)&lt;=ASOF)),N(B151)&gt;=ASOF,N(B151)&lt;=ASOF+LOOKAHEAD),B151+ROW()/100000,"")</f>
        <v/>
      </c>
      <c r="B151" s="302" t="n">
        <f aca="false">'Master Plan'!$AE$25</f>
        <v>46386</v>
      </c>
      <c r="C151" s="413" t="s">
        <v>3759</v>
      </c>
      <c r="D151" s="0" t="s">
        <v>110</v>
      </c>
      <c r="E151" s="413" t="s">
        <v>3826</v>
      </c>
      <c r="F151" s="413" t="s">
        <v>3827</v>
      </c>
      <c r="G151" s="0" t="s">
        <v>112</v>
      </c>
      <c r="H151" s="413" t="s">
        <v>3828</v>
      </c>
      <c r="I151" s="0" t="s">
        <v>131</v>
      </c>
      <c r="J151" s="0" t="str">
        <f aca="false">IF(ISNUMBER('Master Plan'!$U$25),"นัดแล้ว","ตามแผน")</f>
        <v>ตามแผน</v>
      </c>
      <c r="K151" s="0" t="s">
        <v>131</v>
      </c>
    </row>
    <row r="152" customFormat="false" ht="15" hidden="false" customHeight="false" outlineLevel="0" collapsed="false">
      <c r="A152" s="0" t="str">
        <f aca="false">IF(AND(ISNUMBER(B152),NOT(AND(ISNUMBER('Master Plan'!$V$25),N('Master Plan'!$V$25)&lt;=ASOF)),N(B152)&gt;=ASOF,N(B152)&lt;=ASOF+LOOKAHEAD),B152+ROW()/100000,"")</f>
        <v/>
      </c>
      <c r="B152" s="302" t="n">
        <f aca="false">'Master Plan'!$AF$25</f>
        <v>46391</v>
      </c>
      <c r="C152" s="413" t="s">
        <v>3760</v>
      </c>
      <c r="D152" s="0" t="s">
        <v>110</v>
      </c>
      <c r="E152" s="413" t="s">
        <v>3826</v>
      </c>
      <c r="F152" s="413" t="s">
        <v>3827</v>
      </c>
      <c r="G152" s="0" t="s">
        <v>112</v>
      </c>
      <c r="H152" s="413" t="s">
        <v>3828</v>
      </c>
      <c r="I152" s="0" t="s">
        <v>131</v>
      </c>
      <c r="J152" s="0" t="str">
        <f aca="false">IF(ISNUMBER('Master Plan'!$V$25),"นัดแล้ว","ตามแผน")</f>
        <v>ตามแผน</v>
      </c>
      <c r="K152" s="0" t="s">
        <v>131</v>
      </c>
    </row>
    <row r="153" customFormat="false" ht="15" hidden="false" customHeight="false" outlineLevel="0" collapsed="false">
      <c r="A153" s="0" t="str">
        <f aca="false">IF(AND(ISNUMBER(B153),NOT(AND(ISNUMBER('Master Plan'!$W$25),N('Master Plan'!$W$25)&lt;=ASOF)),N(B153)&gt;=ASOF,N(B153)&lt;=ASOF+LOOKAHEAD),B153+ROW()/100000,"")</f>
        <v/>
      </c>
      <c r="B153" s="302" t="n">
        <f aca="false">'Master Plan'!$AG$25</f>
        <v>46356</v>
      </c>
      <c r="C153" s="413" t="s">
        <v>3765</v>
      </c>
      <c r="D153" s="0" t="s">
        <v>110</v>
      </c>
      <c r="E153" s="413" t="s">
        <v>3826</v>
      </c>
      <c r="F153" s="413" t="s">
        <v>3827</v>
      </c>
      <c r="G153" s="0" t="s">
        <v>112</v>
      </c>
      <c r="H153" s="413" t="s">
        <v>3828</v>
      </c>
      <c r="I153" s="0" t="s">
        <v>131</v>
      </c>
      <c r="J153" s="0" t="str">
        <f aca="false">IF(ISNUMBER('Master Plan'!$W$25),"นัดแล้ว","ตามแผน")</f>
        <v>ตามแผน</v>
      </c>
      <c r="K153" s="0" t="s">
        <v>131</v>
      </c>
    </row>
    <row r="154" customFormat="false" ht="15" hidden="false" customHeight="false" outlineLevel="0" collapsed="false">
      <c r="A154" s="0" t="str">
        <f aca="false">IF(AND(ISNUMBER(B154),NOT(AND(ISNUMBER('Master Plan'!$X$25),N('Master Plan'!$X$25)&lt;=ASOF)),N(B154)&gt;=ASOF,N(B154)&lt;=ASOF+LOOKAHEAD),B154+ROW()/100000,"")</f>
        <v/>
      </c>
      <c r="B154" s="302" t="n">
        <f aca="false">'Master Plan'!$AH$25</f>
        <v>46433</v>
      </c>
      <c r="C154" s="0" t="s">
        <v>2226</v>
      </c>
      <c r="D154" s="0" t="s">
        <v>110</v>
      </c>
      <c r="E154" s="413" t="s">
        <v>3826</v>
      </c>
      <c r="F154" s="413" t="s">
        <v>3827</v>
      </c>
      <c r="G154" s="0" t="s">
        <v>112</v>
      </c>
      <c r="H154" s="413" t="s">
        <v>3828</v>
      </c>
      <c r="I154" s="0" t="s">
        <v>131</v>
      </c>
      <c r="J154" s="0" t="str">
        <f aca="false">IF(ISNUMBER('Master Plan'!$X$25),"นัดแล้ว","ตามแผน")</f>
        <v>ตามแผน</v>
      </c>
      <c r="K154" s="413" t="s">
        <v>3828</v>
      </c>
    </row>
    <row r="155" customFormat="false" ht="15" hidden="false" customHeight="false" outlineLevel="0" collapsed="false">
      <c r="A155" s="414" t="n">
        <f aca="false">IF(AND(ISNUMBER(B155),NOT(AND(ISNUMBER('Master Plan'!$N$26),N('Master Plan'!$N$26)&lt;=ASOF)),N(B155)&gt;=ASOF,N(B155)&lt;=ASOF+LOOKAHEAD),B155+ROW()/100000,"")</f>
        <v>46349.00155</v>
      </c>
      <c r="B155" s="302" t="n">
        <f aca="false">'Master Plan'!$Y$26</f>
        <v>46349</v>
      </c>
      <c r="C155" s="413" t="s">
        <v>3750</v>
      </c>
      <c r="D155" s="0" t="s">
        <v>114</v>
      </c>
      <c r="E155" s="413" t="s">
        <v>3830</v>
      </c>
      <c r="F155" s="413" t="s">
        <v>3831</v>
      </c>
      <c r="G155" s="0" t="s">
        <v>116</v>
      </c>
      <c r="H155" s="413" t="s">
        <v>3832</v>
      </c>
      <c r="I155" s="0" t="s">
        <v>131</v>
      </c>
      <c r="J155" s="0" t="str">
        <f aca="false">IF(ISNUMBER('Master Plan'!$N$26),"นัดแล้ว","ตามแผน")</f>
        <v>ตามแผน</v>
      </c>
      <c r="K155" s="413" t="s">
        <v>3833</v>
      </c>
    </row>
    <row r="156" customFormat="false" ht="15" hidden="false" customHeight="false" outlineLevel="0" collapsed="false">
      <c r="A156" s="0" t="str">
        <f aca="false">IF(AND(ISNUMBER(B156),NOT(AND(ISNUMBER('Master Plan'!$O$26),N('Master Plan'!$O$26)&lt;=ASOF)),N(B156)&gt;=ASOF,N(B156)&lt;=ASOF+LOOKAHEAD),B156+ROW()/100000,"")</f>
        <v/>
      </c>
      <c r="B156" s="302" t="n">
        <f aca="false">'Master Plan'!$Z$26</f>
        <v>46356</v>
      </c>
      <c r="C156" s="413" t="s">
        <v>3755</v>
      </c>
      <c r="D156" s="0" t="s">
        <v>114</v>
      </c>
      <c r="E156" s="413" t="s">
        <v>3830</v>
      </c>
      <c r="F156" s="413" t="s">
        <v>3831</v>
      </c>
      <c r="G156" s="0" t="s">
        <v>116</v>
      </c>
      <c r="H156" s="413" t="s">
        <v>3832</v>
      </c>
      <c r="I156" s="0" t="s">
        <v>131</v>
      </c>
      <c r="J156" s="0" t="str">
        <f aca="false">IF(ISNUMBER('Master Plan'!$O$26),"นัดแล้ว","ตามแผน")</f>
        <v>ตามแผน</v>
      </c>
      <c r="K156" s="413" t="s">
        <v>3832</v>
      </c>
    </row>
    <row r="157" customFormat="false" ht="15" hidden="false" customHeight="false" outlineLevel="0" collapsed="false">
      <c r="A157" s="0" t="str">
        <f aca="false">IF(AND(ISNUMBER(B157),NOT(AND(ISNUMBER('Master Plan'!$P$26),N('Master Plan'!$P$26)&lt;=ASOF)),N(B157)&gt;=ASOF,N(B157)&lt;=ASOF+LOOKAHEAD),B157+ROW()/100000,"")</f>
        <v/>
      </c>
      <c r="B157" s="302" t="n">
        <f aca="false">'Master Plan'!$AA$26</f>
        <v>46359</v>
      </c>
      <c r="C157" s="413" t="s">
        <v>3756</v>
      </c>
      <c r="D157" s="0" t="s">
        <v>114</v>
      </c>
      <c r="E157" s="413" t="s">
        <v>3830</v>
      </c>
      <c r="F157" s="413" t="s">
        <v>3831</v>
      </c>
      <c r="G157" s="0" t="s">
        <v>116</v>
      </c>
      <c r="H157" s="413" t="s">
        <v>3832</v>
      </c>
      <c r="I157" s="0" t="s">
        <v>131</v>
      </c>
      <c r="J157" s="0" t="str">
        <f aca="false">IF(ISNUMBER('Master Plan'!$P$26),"นัดแล้ว","ตามแผน")</f>
        <v>ตามแผน</v>
      </c>
      <c r="K157" s="413" t="s">
        <v>3833</v>
      </c>
    </row>
    <row r="158" customFormat="false" ht="15" hidden="false" customHeight="false" outlineLevel="0" collapsed="false">
      <c r="A158" s="0" t="str">
        <f aca="false">IF(AND(ISNUMBER(B158),NOT(AND(ISNUMBER('Master Plan'!$Q$26),N('Master Plan'!$Q$26)&lt;=ASOF)),N(B158)&gt;=ASOF,N(B158)&lt;=ASOF+LOOKAHEAD),B158+ROW()/100000,"")</f>
        <v/>
      </c>
      <c r="B158" s="302" t="n">
        <f aca="false">'Master Plan'!$AB$26</f>
        <v>46367</v>
      </c>
      <c r="C158" s="413" t="s">
        <v>3757</v>
      </c>
      <c r="D158" s="0" t="s">
        <v>114</v>
      </c>
      <c r="E158" s="413" t="s">
        <v>3830</v>
      </c>
      <c r="F158" s="413" t="s">
        <v>3831</v>
      </c>
      <c r="G158" s="0" t="s">
        <v>116</v>
      </c>
      <c r="H158" s="413" t="s">
        <v>3832</v>
      </c>
      <c r="I158" s="0" t="s">
        <v>131</v>
      </c>
      <c r="J158" s="0" t="str">
        <f aca="false">IF(ISNUMBER('Master Plan'!$Q$26),"นัดแล้ว","ตามแผน")</f>
        <v>ตามแผน</v>
      </c>
      <c r="K158" s="413" t="s">
        <v>3833</v>
      </c>
    </row>
    <row r="159" customFormat="false" ht="15" hidden="false" customHeight="false" outlineLevel="0" collapsed="false">
      <c r="A159" s="0" t="str">
        <f aca="false">IF(AND(ISNUMBER(B159),NOT(AND(ISNUMBER('Master Plan'!$R$26),N('Master Plan'!$R$26)&lt;=ASOF)),N(B159)&gt;=ASOF,N(B159)&lt;=ASOF+LOOKAHEAD),B159+ROW()/100000,"")</f>
        <v/>
      </c>
      <c r="B159" s="302" t="n">
        <f aca="false">'Master Plan'!$AC$26</f>
        <v>46356</v>
      </c>
      <c r="C159" s="413" t="s">
        <v>3758</v>
      </c>
      <c r="D159" s="0" t="s">
        <v>114</v>
      </c>
      <c r="E159" s="413" t="s">
        <v>3830</v>
      </c>
      <c r="F159" s="413" t="s">
        <v>3831</v>
      </c>
      <c r="G159" s="0" t="s">
        <v>116</v>
      </c>
      <c r="H159" s="413" t="s">
        <v>3832</v>
      </c>
      <c r="I159" s="0" t="s">
        <v>131</v>
      </c>
      <c r="J159" s="0" t="str">
        <f aca="false">IF(ISNUMBER('Master Plan'!$R$26),"นัดแล้ว","ตามแผน")</f>
        <v>ตามแผน</v>
      </c>
      <c r="K159" s="0" t="s">
        <v>131</v>
      </c>
    </row>
    <row r="160" customFormat="false" ht="15" hidden="false" customHeight="false" outlineLevel="0" collapsed="false">
      <c r="A160" s="0" t="str">
        <f aca="false">IF(AND(ISNUMBER(B160),NOT(AND(ISNUMBER('Master Plan'!$U$26),N('Master Plan'!$U$26)&lt;=ASOF)),N(B160)&gt;=ASOF,N(B160)&lt;=ASOF+LOOKAHEAD),B160+ROW()/100000,"")</f>
        <v/>
      </c>
      <c r="B160" s="302" t="n">
        <f aca="false">'Master Plan'!$AE$26</f>
        <v>46386</v>
      </c>
      <c r="C160" s="413" t="s">
        <v>3759</v>
      </c>
      <c r="D160" s="0" t="s">
        <v>114</v>
      </c>
      <c r="E160" s="413" t="s">
        <v>3830</v>
      </c>
      <c r="F160" s="413" t="s">
        <v>3831</v>
      </c>
      <c r="G160" s="0" t="s">
        <v>116</v>
      </c>
      <c r="H160" s="413" t="s">
        <v>3832</v>
      </c>
      <c r="I160" s="0" t="s">
        <v>131</v>
      </c>
      <c r="J160" s="0" t="str">
        <f aca="false">IF(ISNUMBER('Master Plan'!$U$26),"นัดแล้ว","ตามแผน")</f>
        <v>ตามแผน</v>
      </c>
      <c r="K160" s="0" t="s">
        <v>131</v>
      </c>
    </row>
    <row r="161" customFormat="false" ht="15" hidden="false" customHeight="false" outlineLevel="0" collapsed="false">
      <c r="A161" s="0" t="str">
        <f aca="false">IF(AND(ISNUMBER(B161),NOT(AND(ISNUMBER('Master Plan'!$V$26),N('Master Plan'!$V$26)&lt;=ASOF)),N(B161)&gt;=ASOF,N(B161)&lt;=ASOF+LOOKAHEAD),B161+ROW()/100000,"")</f>
        <v/>
      </c>
      <c r="B161" s="302" t="n">
        <f aca="false">'Master Plan'!$AF$26</f>
        <v>46391</v>
      </c>
      <c r="C161" s="413" t="s">
        <v>3760</v>
      </c>
      <c r="D161" s="0" t="s">
        <v>114</v>
      </c>
      <c r="E161" s="413" t="s">
        <v>3830</v>
      </c>
      <c r="F161" s="413" t="s">
        <v>3831</v>
      </c>
      <c r="G161" s="0" t="s">
        <v>116</v>
      </c>
      <c r="H161" s="413" t="s">
        <v>3832</v>
      </c>
      <c r="I161" s="0" t="s">
        <v>131</v>
      </c>
      <c r="J161" s="0" t="str">
        <f aca="false">IF(ISNUMBER('Master Plan'!$V$26),"นัดแล้ว","ตามแผน")</f>
        <v>ตามแผน</v>
      </c>
      <c r="K161" s="0" t="s">
        <v>131</v>
      </c>
    </row>
    <row r="162" customFormat="false" ht="15" hidden="false" customHeight="false" outlineLevel="0" collapsed="false">
      <c r="A162" s="0" t="str">
        <f aca="false">IF(AND(ISNUMBER(B162),NOT(AND(ISNUMBER('Master Plan'!$X$26),N('Master Plan'!$X$26)&lt;=ASOF)),N(B162)&gt;=ASOF,N(B162)&lt;=ASOF+LOOKAHEAD),B162+ROW()/100000,"")</f>
        <v/>
      </c>
      <c r="B162" s="302" t="n">
        <f aca="false">'Master Plan'!$AH$26</f>
        <v>46433</v>
      </c>
      <c r="C162" s="0" t="s">
        <v>2226</v>
      </c>
      <c r="D162" s="0" t="s">
        <v>114</v>
      </c>
      <c r="E162" s="413" t="s">
        <v>3830</v>
      </c>
      <c r="F162" s="413" t="s">
        <v>3831</v>
      </c>
      <c r="G162" s="0" t="s">
        <v>116</v>
      </c>
      <c r="H162" s="413" t="s">
        <v>3832</v>
      </c>
      <c r="I162" s="0" t="s">
        <v>131</v>
      </c>
      <c r="J162" s="0" t="str">
        <f aca="false">IF(ISNUMBER('Master Plan'!$X$26),"นัดแล้ว","ตามแผน")</f>
        <v>ตามแผน</v>
      </c>
      <c r="K162" s="413" t="s">
        <v>3832</v>
      </c>
    </row>
    <row r="163" customFormat="false" ht="15" hidden="false" customHeight="false" outlineLevel="0" collapsed="false">
      <c r="A163" s="414" t="n">
        <f aca="false">IF(AND(ISNUMBER(B163),NOT(AND(ISNUMBER('Master Plan'!$N$27),N('Master Plan'!$N$27)&lt;=ASOF)),N(B163)&gt;=ASOF,N(B163)&lt;=ASOF+LOOKAHEAD),B163+ROW()/100000,"")</f>
        <v>46349.00163</v>
      </c>
      <c r="B163" s="302" t="n">
        <f aca="false">'Master Plan'!$Y$27</f>
        <v>46349</v>
      </c>
      <c r="C163" s="413" t="s">
        <v>3750</v>
      </c>
      <c r="D163" s="0" t="s">
        <v>118</v>
      </c>
      <c r="E163" s="413" t="s">
        <v>3834</v>
      </c>
      <c r="F163" s="413" t="s">
        <v>3835</v>
      </c>
      <c r="G163" s="0" t="s">
        <v>120</v>
      </c>
      <c r="H163" s="413" t="s">
        <v>3836</v>
      </c>
      <c r="I163" s="0" t="s">
        <v>131</v>
      </c>
      <c r="J163" s="0" t="str">
        <f aca="false">IF(ISNUMBER('Master Plan'!$N$27),"นัดแล้ว","ตามแผน")</f>
        <v>ตามแผน</v>
      </c>
      <c r="K163" s="413" t="s">
        <v>3837</v>
      </c>
    </row>
    <row r="164" customFormat="false" ht="15" hidden="false" customHeight="false" outlineLevel="0" collapsed="false">
      <c r="A164" s="0" t="str">
        <f aca="false">IF(AND(ISNUMBER(B164),NOT(AND(ISNUMBER('Master Plan'!$O$27),N('Master Plan'!$O$27)&lt;=ASOF)),N(B164)&gt;=ASOF,N(B164)&lt;=ASOF+LOOKAHEAD),B164+ROW()/100000,"")</f>
        <v/>
      </c>
      <c r="B164" s="302" t="n">
        <f aca="false">'Master Plan'!$Z$27</f>
        <v>46356</v>
      </c>
      <c r="C164" s="413" t="s">
        <v>3755</v>
      </c>
      <c r="D164" s="0" t="s">
        <v>118</v>
      </c>
      <c r="E164" s="413" t="s">
        <v>3834</v>
      </c>
      <c r="F164" s="413" t="s">
        <v>3835</v>
      </c>
      <c r="G164" s="0" t="s">
        <v>120</v>
      </c>
      <c r="H164" s="413" t="s">
        <v>3836</v>
      </c>
      <c r="I164" s="0" t="s">
        <v>131</v>
      </c>
      <c r="J164" s="0" t="str">
        <f aca="false">IF(ISNUMBER('Master Plan'!$O$27),"นัดแล้ว","ตามแผน")</f>
        <v>ตามแผน</v>
      </c>
      <c r="K164" s="413" t="s">
        <v>3836</v>
      </c>
    </row>
    <row r="165" customFormat="false" ht="15" hidden="false" customHeight="false" outlineLevel="0" collapsed="false">
      <c r="A165" s="0" t="str">
        <f aca="false">IF(AND(ISNUMBER(B165),NOT(AND(ISNUMBER('Master Plan'!$P$27),N('Master Plan'!$P$27)&lt;=ASOF)),N(B165)&gt;=ASOF,N(B165)&lt;=ASOF+LOOKAHEAD),B165+ROW()/100000,"")</f>
        <v/>
      </c>
      <c r="B165" s="302" t="n">
        <f aca="false">'Master Plan'!$AA$27</f>
        <v>46359</v>
      </c>
      <c r="C165" s="413" t="s">
        <v>3756</v>
      </c>
      <c r="D165" s="0" t="s">
        <v>118</v>
      </c>
      <c r="E165" s="413" t="s">
        <v>3834</v>
      </c>
      <c r="F165" s="413" t="s">
        <v>3835</v>
      </c>
      <c r="G165" s="0" t="s">
        <v>120</v>
      </c>
      <c r="H165" s="413" t="s">
        <v>3836</v>
      </c>
      <c r="I165" s="0" t="s">
        <v>131</v>
      </c>
      <c r="J165" s="0" t="str">
        <f aca="false">IF(ISNUMBER('Master Plan'!$P$27),"นัดแล้ว","ตามแผน")</f>
        <v>ตามแผน</v>
      </c>
      <c r="K165" s="413" t="s">
        <v>3837</v>
      </c>
    </row>
    <row r="166" customFormat="false" ht="15" hidden="false" customHeight="false" outlineLevel="0" collapsed="false">
      <c r="A166" s="0" t="str">
        <f aca="false">IF(AND(ISNUMBER(B166),NOT(AND(ISNUMBER('Master Plan'!$Q$27),N('Master Plan'!$Q$27)&lt;=ASOF)),N(B166)&gt;=ASOF,N(B166)&lt;=ASOF+LOOKAHEAD),B166+ROW()/100000,"")</f>
        <v/>
      </c>
      <c r="B166" s="302" t="n">
        <f aca="false">'Master Plan'!$AB$27</f>
        <v>46367</v>
      </c>
      <c r="C166" s="413" t="s">
        <v>3757</v>
      </c>
      <c r="D166" s="0" t="s">
        <v>118</v>
      </c>
      <c r="E166" s="413" t="s">
        <v>3834</v>
      </c>
      <c r="F166" s="413" t="s">
        <v>3835</v>
      </c>
      <c r="G166" s="0" t="s">
        <v>120</v>
      </c>
      <c r="H166" s="413" t="s">
        <v>3836</v>
      </c>
      <c r="I166" s="0" t="s">
        <v>131</v>
      </c>
      <c r="J166" s="0" t="str">
        <f aca="false">IF(ISNUMBER('Master Plan'!$Q$27),"นัดแล้ว","ตามแผน")</f>
        <v>ตามแผน</v>
      </c>
      <c r="K166" s="413" t="s">
        <v>3837</v>
      </c>
    </row>
    <row r="167" customFormat="false" ht="15" hidden="false" customHeight="false" outlineLevel="0" collapsed="false">
      <c r="A167" s="0" t="str">
        <f aca="false">IF(AND(ISNUMBER(B167),NOT(AND(ISNUMBER('Master Plan'!$R$27),N('Master Plan'!$R$27)&lt;=ASOF)),N(B167)&gt;=ASOF,N(B167)&lt;=ASOF+LOOKAHEAD),B167+ROW()/100000,"")</f>
        <v/>
      </c>
      <c r="B167" s="302" t="n">
        <f aca="false">'Master Plan'!$AC$27</f>
        <v>46356</v>
      </c>
      <c r="C167" s="413" t="s">
        <v>3758</v>
      </c>
      <c r="D167" s="0" t="s">
        <v>118</v>
      </c>
      <c r="E167" s="413" t="s">
        <v>3834</v>
      </c>
      <c r="F167" s="413" t="s">
        <v>3835</v>
      </c>
      <c r="G167" s="0" t="s">
        <v>120</v>
      </c>
      <c r="H167" s="413" t="s">
        <v>3836</v>
      </c>
      <c r="I167" s="0" t="s">
        <v>131</v>
      </c>
      <c r="J167" s="0" t="str">
        <f aca="false">IF(ISNUMBER('Master Plan'!$R$27),"นัดแล้ว","ตามแผน")</f>
        <v>ตามแผน</v>
      </c>
      <c r="K167" s="0" t="s">
        <v>131</v>
      </c>
    </row>
    <row r="168" customFormat="false" ht="15" hidden="false" customHeight="false" outlineLevel="0" collapsed="false">
      <c r="A168" s="0" t="str">
        <f aca="false">IF(AND(ISNUMBER(B168),NOT(AND(ISNUMBER('Master Plan'!$U$27),N('Master Plan'!$U$27)&lt;=ASOF)),N(B168)&gt;=ASOF,N(B168)&lt;=ASOF+LOOKAHEAD),B168+ROW()/100000,"")</f>
        <v/>
      </c>
      <c r="B168" s="302" t="n">
        <f aca="false">'Master Plan'!$AE$27</f>
        <v>46386</v>
      </c>
      <c r="C168" s="413" t="s">
        <v>3759</v>
      </c>
      <c r="D168" s="0" t="s">
        <v>118</v>
      </c>
      <c r="E168" s="413" t="s">
        <v>3834</v>
      </c>
      <c r="F168" s="413" t="s">
        <v>3835</v>
      </c>
      <c r="G168" s="0" t="s">
        <v>120</v>
      </c>
      <c r="H168" s="413" t="s">
        <v>3836</v>
      </c>
      <c r="I168" s="0" t="s">
        <v>131</v>
      </c>
      <c r="J168" s="0" t="str">
        <f aca="false">IF(ISNUMBER('Master Plan'!$U$27),"นัดแล้ว","ตามแผน")</f>
        <v>ตามแผน</v>
      </c>
      <c r="K168" s="0" t="s">
        <v>131</v>
      </c>
    </row>
    <row r="169" customFormat="false" ht="15" hidden="false" customHeight="false" outlineLevel="0" collapsed="false">
      <c r="A169" s="0" t="str">
        <f aca="false">IF(AND(ISNUMBER(B169),NOT(AND(ISNUMBER('Master Plan'!$V$27),N('Master Plan'!$V$27)&lt;=ASOF)),N(B169)&gt;=ASOF,N(B169)&lt;=ASOF+LOOKAHEAD),B169+ROW()/100000,"")</f>
        <v/>
      </c>
      <c r="B169" s="302" t="n">
        <f aca="false">'Master Plan'!$AF$27</f>
        <v>46391</v>
      </c>
      <c r="C169" s="413" t="s">
        <v>3760</v>
      </c>
      <c r="D169" s="0" t="s">
        <v>118</v>
      </c>
      <c r="E169" s="413" t="s">
        <v>3834</v>
      </c>
      <c r="F169" s="413" t="s">
        <v>3835</v>
      </c>
      <c r="G169" s="0" t="s">
        <v>120</v>
      </c>
      <c r="H169" s="413" t="s">
        <v>3836</v>
      </c>
      <c r="I169" s="0" t="s">
        <v>131</v>
      </c>
      <c r="J169" s="0" t="str">
        <f aca="false">IF(ISNUMBER('Master Plan'!$V$27),"นัดแล้ว","ตามแผน")</f>
        <v>ตามแผน</v>
      </c>
      <c r="K169" s="0" t="s">
        <v>131</v>
      </c>
    </row>
    <row r="170" customFormat="false" ht="15" hidden="false" customHeight="false" outlineLevel="0" collapsed="false">
      <c r="A170" s="0" t="str">
        <f aca="false">IF(AND(ISNUMBER(B170),NOT(AND(ISNUMBER('Master Plan'!$W$27),N('Master Plan'!$W$27)&lt;=ASOF)),N(B170)&gt;=ASOF,N(B170)&lt;=ASOF+LOOKAHEAD),B170+ROW()/100000,"")</f>
        <v/>
      </c>
      <c r="B170" s="302" t="n">
        <f aca="false">'Master Plan'!$AG$27</f>
        <v>46356</v>
      </c>
      <c r="C170" s="413" t="s">
        <v>3765</v>
      </c>
      <c r="D170" s="0" t="s">
        <v>118</v>
      </c>
      <c r="E170" s="413" t="s">
        <v>3834</v>
      </c>
      <c r="F170" s="413" t="s">
        <v>3835</v>
      </c>
      <c r="G170" s="0" t="s">
        <v>120</v>
      </c>
      <c r="H170" s="413" t="s">
        <v>3836</v>
      </c>
      <c r="I170" s="0" t="s">
        <v>131</v>
      </c>
      <c r="J170" s="0" t="str">
        <f aca="false">IF(ISNUMBER('Master Plan'!$W$27),"นัดแล้ว","ตามแผน")</f>
        <v>ตามแผน</v>
      </c>
      <c r="K170" s="0" t="s">
        <v>131</v>
      </c>
    </row>
    <row r="171" customFormat="false" ht="15" hidden="false" customHeight="false" outlineLevel="0" collapsed="false">
      <c r="A171" s="0" t="str">
        <f aca="false">IF(AND(ISNUMBER(B171),NOT(AND(ISNUMBER('Master Plan'!$X$27),N('Master Plan'!$X$27)&lt;=ASOF)),N(B171)&gt;=ASOF,N(B171)&lt;=ASOF+LOOKAHEAD),B171+ROW()/100000,"")</f>
        <v/>
      </c>
      <c r="B171" s="302" t="n">
        <f aca="false">'Master Plan'!$AH$27</f>
        <v>46433</v>
      </c>
      <c r="C171" s="0" t="s">
        <v>2226</v>
      </c>
      <c r="D171" s="0" t="s">
        <v>118</v>
      </c>
      <c r="E171" s="413" t="s">
        <v>3834</v>
      </c>
      <c r="F171" s="413" t="s">
        <v>3835</v>
      </c>
      <c r="G171" s="0" t="s">
        <v>120</v>
      </c>
      <c r="H171" s="413" t="s">
        <v>3836</v>
      </c>
      <c r="I171" s="0" t="s">
        <v>131</v>
      </c>
      <c r="J171" s="0" t="str">
        <f aca="false">IF(ISNUMBER('Master Plan'!$X$27),"นัดแล้ว","ตามแผน")</f>
        <v>ตามแผน</v>
      </c>
      <c r="K171" s="413" t="s">
        <v>3836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3838</v>
      </c>
      <c r="B1" s="0" t="s">
        <v>603</v>
      </c>
      <c r="C1" s="0" t="s">
        <v>3839</v>
      </c>
      <c r="D1" s="0" t="s">
        <v>3840</v>
      </c>
      <c r="E1" s="0" t="s">
        <v>3841</v>
      </c>
    </row>
    <row r="2" customFormat="false" ht="15" hidden="false" customHeight="false" outlineLevel="0" collapsed="false">
      <c r="A2" s="0" t="s">
        <v>3478</v>
      </c>
      <c r="B2" s="0" t="s">
        <v>3842</v>
      </c>
      <c r="C2" s="0" t="s">
        <v>3165</v>
      </c>
      <c r="D2" s="0" t="n">
        <v>8</v>
      </c>
      <c r="E2" s="0" t="n">
        <v>27</v>
      </c>
    </row>
    <row r="3" customFormat="false" ht="15" hidden="false" customHeight="false" outlineLevel="0" collapsed="false">
      <c r="A3" s="0" t="s">
        <v>3478</v>
      </c>
      <c r="B3" s="0" t="s">
        <v>3843</v>
      </c>
      <c r="C3" s="0" t="s">
        <v>1746</v>
      </c>
      <c r="D3" s="0" t="n">
        <v>8</v>
      </c>
      <c r="E3" s="0" t="n">
        <v>27</v>
      </c>
    </row>
    <row r="4" customFormat="false" ht="15" hidden="false" customHeight="false" outlineLevel="0" collapsed="false">
      <c r="A4" s="0" t="s">
        <v>3478</v>
      </c>
      <c r="B4" s="0" t="s">
        <v>3844</v>
      </c>
      <c r="C4" s="0" t="s">
        <v>1745</v>
      </c>
      <c r="D4" s="0" t="n">
        <v>8</v>
      </c>
      <c r="E4" s="0" t="n">
        <v>27</v>
      </c>
    </row>
    <row r="5" customFormat="false" ht="15" hidden="false" customHeight="false" outlineLevel="0" collapsed="false">
      <c r="A5" s="0" t="s">
        <v>3478</v>
      </c>
      <c r="B5" s="0" t="s">
        <v>3845</v>
      </c>
      <c r="C5" s="0" t="s">
        <v>3846</v>
      </c>
      <c r="D5" s="0" t="n">
        <v>8</v>
      </c>
      <c r="E5" s="0" t="n">
        <v>27</v>
      </c>
    </row>
    <row r="6" customFormat="false" ht="15" hidden="false" customHeight="false" outlineLevel="0" collapsed="false">
      <c r="A6" s="0" t="s">
        <v>3478</v>
      </c>
      <c r="B6" s="0" t="s">
        <v>3847</v>
      </c>
      <c r="C6" s="0" t="s">
        <v>3848</v>
      </c>
      <c r="D6" s="0" t="n">
        <v>8</v>
      </c>
      <c r="E6" s="0" t="n">
        <v>27</v>
      </c>
    </row>
    <row r="7" customFormat="false" ht="15" hidden="false" customHeight="false" outlineLevel="0" collapsed="false">
      <c r="A7" s="0" t="s">
        <v>3478</v>
      </c>
      <c r="B7" s="0" t="s">
        <v>3849</v>
      </c>
      <c r="C7" s="0" t="s">
        <v>3850</v>
      </c>
      <c r="D7" s="0" t="n">
        <v>8</v>
      </c>
      <c r="E7" s="0" t="n">
        <v>27</v>
      </c>
    </row>
    <row r="8" customFormat="false" ht="15" hidden="false" customHeight="false" outlineLevel="0" collapsed="false">
      <c r="A8" s="0" t="s">
        <v>3478</v>
      </c>
      <c r="B8" s="0" t="s">
        <v>3851</v>
      </c>
      <c r="C8" s="0" t="s">
        <v>3852</v>
      </c>
      <c r="D8" s="0" t="n">
        <v>8</v>
      </c>
      <c r="E8" s="0" t="n">
        <v>27</v>
      </c>
    </row>
    <row r="9" customFormat="false" ht="15" hidden="false" customHeight="false" outlineLevel="0" collapsed="false">
      <c r="A9" s="0" t="s">
        <v>3478</v>
      </c>
      <c r="B9" s="0" t="s">
        <v>3853</v>
      </c>
      <c r="C9" s="0" t="s">
        <v>888</v>
      </c>
      <c r="D9" s="0" t="n">
        <v>8</v>
      </c>
      <c r="E9" s="0" t="n">
        <v>27</v>
      </c>
    </row>
    <row r="10" customFormat="false" ht="15" hidden="false" customHeight="false" outlineLevel="0" collapsed="false">
      <c r="A10" s="0" t="s">
        <v>3478</v>
      </c>
      <c r="B10" s="0" t="s">
        <v>3854</v>
      </c>
      <c r="C10" s="0" t="s">
        <v>3855</v>
      </c>
      <c r="D10" s="0" t="n">
        <v>8</v>
      </c>
      <c r="E10" s="0" t="n">
        <v>27</v>
      </c>
    </row>
    <row r="11" customFormat="false" ht="15" hidden="false" customHeight="false" outlineLevel="0" collapsed="false">
      <c r="A11" s="0" t="s">
        <v>3478</v>
      </c>
      <c r="B11" s="0" t="s">
        <v>3856</v>
      </c>
      <c r="C11" s="0" t="s">
        <v>3857</v>
      </c>
      <c r="D11" s="0" t="n">
        <v>8</v>
      </c>
      <c r="E11" s="0" t="n">
        <v>27</v>
      </c>
    </row>
    <row r="12" customFormat="false" ht="15" hidden="false" customHeight="false" outlineLevel="0" collapsed="false">
      <c r="A12" s="0" t="s">
        <v>3478</v>
      </c>
      <c r="B12" s="0" t="s">
        <v>3858</v>
      </c>
      <c r="C12" s="0" t="s">
        <v>3859</v>
      </c>
      <c r="D12" s="0" t="n">
        <v>8</v>
      </c>
      <c r="E12" s="0" t="n">
        <v>27</v>
      </c>
    </row>
    <row r="13" customFormat="false" ht="15" hidden="false" customHeight="false" outlineLevel="0" collapsed="false">
      <c r="A13" s="0" t="s">
        <v>3478</v>
      </c>
      <c r="B13" s="0" t="s">
        <v>3860</v>
      </c>
      <c r="C13" s="0" t="s">
        <v>3861</v>
      </c>
      <c r="D13" s="0" t="n">
        <v>8</v>
      </c>
      <c r="E13" s="0" t="n">
        <v>27</v>
      </c>
    </row>
    <row r="14" customFormat="false" ht="15" hidden="false" customHeight="false" outlineLevel="0" collapsed="false">
      <c r="A14" s="0" t="s">
        <v>3478</v>
      </c>
      <c r="B14" s="0" t="s">
        <v>3862</v>
      </c>
      <c r="C14" s="0" t="s">
        <v>3863</v>
      </c>
      <c r="D14" s="0" t="n">
        <v>8</v>
      </c>
      <c r="E14" s="0" t="n">
        <v>27</v>
      </c>
    </row>
    <row r="15" customFormat="false" ht="15" hidden="false" customHeight="false" outlineLevel="0" collapsed="false">
      <c r="A15" s="0" t="s">
        <v>3478</v>
      </c>
      <c r="B15" s="0" t="s">
        <v>3864</v>
      </c>
      <c r="C15" s="0" t="s">
        <v>567</v>
      </c>
      <c r="D15" s="0" t="n">
        <v>8</v>
      </c>
      <c r="E15" s="0" t="n">
        <v>27</v>
      </c>
    </row>
    <row r="16" customFormat="false" ht="15" hidden="false" customHeight="false" outlineLevel="0" collapsed="false">
      <c r="A16" s="0" t="s">
        <v>3478</v>
      </c>
      <c r="B16" s="0" t="s">
        <v>3865</v>
      </c>
      <c r="C16" s="0" t="s">
        <v>3866</v>
      </c>
      <c r="D16" s="0" t="n">
        <v>8</v>
      </c>
      <c r="E16" s="0" t="n">
        <v>27</v>
      </c>
    </row>
    <row r="17" customFormat="false" ht="15" hidden="false" customHeight="false" outlineLevel="0" collapsed="false">
      <c r="A17" s="0" t="s">
        <v>3478</v>
      </c>
      <c r="B17" s="0" t="s">
        <v>3867</v>
      </c>
      <c r="C17" s="0" t="s">
        <v>3868</v>
      </c>
      <c r="D17" s="0" t="n">
        <v>8</v>
      </c>
      <c r="E17" s="0" t="n">
        <v>27</v>
      </c>
    </row>
    <row r="18" customFormat="false" ht="15" hidden="false" customHeight="false" outlineLevel="0" collapsed="false">
      <c r="A18" s="0" t="s">
        <v>3478</v>
      </c>
      <c r="B18" s="0" t="s">
        <v>3869</v>
      </c>
      <c r="C18" s="0" t="s">
        <v>3870</v>
      </c>
      <c r="D18" s="0" t="n">
        <v>8</v>
      </c>
      <c r="E18" s="0" t="n">
        <v>27</v>
      </c>
    </row>
    <row r="19" customFormat="false" ht="15" hidden="false" customHeight="false" outlineLevel="0" collapsed="false">
      <c r="A19" s="0" t="s">
        <v>3478</v>
      </c>
      <c r="B19" s="0" t="s">
        <v>3871</v>
      </c>
      <c r="C19" s="0" t="s">
        <v>910</v>
      </c>
      <c r="D19" s="0" t="n">
        <v>8</v>
      </c>
      <c r="E19" s="0" t="n">
        <v>27</v>
      </c>
    </row>
    <row r="20" customFormat="false" ht="15" hidden="false" customHeight="false" outlineLevel="0" collapsed="false">
      <c r="A20" s="0" t="s">
        <v>3478</v>
      </c>
      <c r="B20" s="0" t="s">
        <v>3872</v>
      </c>
      <c r="C20" s="0" t="s">
        <v>1744</v>
      </c>
      <c r="D20" s="0" t="n">
        <v>8</v>
      </c>
      <c r="E20" s="0" t="n">
        <v>27</v>
      </c>
    </row>
    <row r="21" customFormat="false" ht="15" hidden="false" customHeight="false" outlineLevel="0" collapsed="false">
      <c r="A21" s="0" t="s">
        <v>3478</v>
      </c>
      <c r="B21" s="0" t="s">
        <v>3873</v>
      </c>
      <c r="C21" s="0" t="s">
        <v>3874</v>
      </c>
      <c r="D21" s="0" t="n">
        <v>8</v>
      </c>
      <c r="E21" s="0" t="n">
        <v>27</v>
      </c>
    </row>
    <row r="22" customFormat="false" ht="15" hidden="false" customHeight="false" outlineLevel="0" collapsed="false">
      <c r="A22" s="0" t="s">
        <v>3478</v>
      </c>
      <c r="B22" s="0" t="s">
        <v>3875</v>
      </c>
      <c r="C22" s="0" t="s">
        <v>3876</v>
      </c>
      <c r="D22" s="0" t="n">
        <v>8</v>
      </c>
      <c r="E22" s="0" t="n">
        <v>27</v>
      </c>
    </row>
    <row r="23" customFormat="false" ht="15" hidden="false" customHeight="false" outlineLevel="0" collapsed="false">
      <c r="A23" s="0" t="s">
        <v>3478</v>
      </c>
      <c r="B23" s="0" t="s">
        <v>3877</v>
      </c>
      <c r="C23" s="0" t="s">
        <v>3878</v>
      </c>
      <c r="D23" s="0" t="n">
        <v>8</v>
      </c>
      <c r="E23" s="0" t="n">
        <v>27</v>
      </c>
    </row>
    <row r="24" customFormat="false" ht="15" hidden="false" customHeight="false" outlineLevel="0" collapsed="false">
      <c r="A24" s="0" t="s">
        <v>3478</v>
      </c>
      <c r="B24" s="0" t="s">
        <v>3879</v>
      </c>
      <c r="C24" s="0" t="s">
        <v>879</v>
      </c>
      <c r="D24" s="0" t="n">
        <v>8</v>
      </c>
      <c r="E24" s="0" t="n">
        <v>27</v>
      </c>
    </row>
    <row r="25" customFormat="false" ht="15" hidden="false" customHeight="false" outlineLevel="0" collapsed="false">
      <c r="A25" s="0" t="s">
        <v>3478</v>
      </c>
      <c r="B25" s="0" t="s">
        <v>3880</v>
      </c>
      <c r="C25" s="0" t="s">
        <v>3881</v>
      </c>
      <c r="D25" s="0" t="n">
        <v>8</v>
      </c>
      <c r="E25" s="0" t="n">
        <v>27</v>
      </c>
    </row>
    <row r="26" customFormat="false" ht="15" hidden="false" customHeight="false" outlineLevel="0" collapsed="false">
      <c r="A26" s="0" t="s">
        <v>3478</v>
      </c>
      <c r="B26" s="0" t="s">
        <v>3882</v>
      </c>
      <c r="C26" s="0" t="s">
        <v>568</v>
      </c>
      <c r="D26" s="0" t="n">
        <v>8</v>
      </c>
      <c r="E26" s="0" t="n">
        <v>27</v>
      </c>
    </row>
    <row r="27" customFormat="false" ht="15" hidden="false" customHeight="false" outlineLevel="0" collapsed="false">
      <c r="A27" s="0" t="s">
        <v>3478</v>
      </c>
      <c r="B27" s="0" t="s">
        <v>3883</v>
      </c>
      <c r="C27" s="0" t="s">
        <v>3884</v>
      </c>
      <c r="D27" s="0" t="n">
        <v>8</v>
      </c>
      <c r="E27" s="0" t="n">
        <v>27</v>
      </c>
    </row>
    <row r="28" customFormat="false" ht="15" hidden="false" customHeight="false" outlineLevel="0" collapsed="false">
      <c r="A28" s="0" t="s">
        <v>3478</v>
      </c>
      <c r="B28" s="0" t="s">
        <v>3885</v>
      </c>
      <c r="C28" s="0" t="s">
        <v>3886</v>
      </c>
      <c r="D28" s="0" t="n">
        <v>8</v>
      </c>
      <c r="E28" s="0" t="n">
        <v>27</v>
      </c>
    </row>
    <row r="29" customFormat="false" ht="15" hidden="false" customHeight="false" outlineLevel="0" collapsed="false">
      <c r="A29" s="0" t="s">
        <v>3478</v>
      </c>
      <c r="B29" s="0" t="s">
        <v>3887</v>
      </c>
      <c r="C29" s="0" t="s">
        <v>3888</v>
      </c>
      <c r="D29" s="0" t="n">
        <v>8</v>
      </c>
      <c r="E29" s="0" t="n">
        <v>27</v>
      </c>
    </row>
    <row r="30" customFormat="false" ht="15" hidden="false" customHeight="false" outlineLevel="0" collapsed="false">
      <c r="A30" s="0" t="s">
        <v>3478</v>
      </c>
      <c r="B30" s="0" t="s">
        <v>3889</v>
      </c>
      <c r="C30" s="0" t="s">
        <v>3890</v>
      </c>
      <c r="D30" s="0" t="n">
        <v>8</v>
      </c>
      <c r="E30" s="0" t="n">
        <v>27</v>
      </c>
    </row>
    <row r="31" customFormat="false" ht="15" hidden="false" customHeight="false" outlineLevel="0" collapsed="false">
      <c r="A31" s="0" t="s">
        <v>3478</v>
      </c>
      <c r="B31" s="0" t="s">
        <v>3891</v>
      </c>
      <c r="C31" s="0" t="s">
        <v>3892</v>
      </c>
      <c r="D31" s="0" t="n">
        <v>8</v>
      </c>
      <c r="E31" s="0" t="n">
        <v>27</v>
      </c>
    </row>
    <row r="32" customFormat="false" ht="15" hidden="false" customHeight="false" outlineLevel="0" collapsed="false">
      <c r="A32" s="0" t="s">
        <v>3478</v>
      </c>
      <c r="B32" s="0" t="s">
        <v>3893</v>
      </c>
      <c r="C32" s="0" t="s">
        <v>3894</v>
      </c>
      <c r="D32" s="0" t="n">
        <v>8</v>
      </c>
      <c r="E32" s="0" t="n">
        <v>27</v>
      </c>
    </row>
    <row r="33" customFormat="false" ht="15" hidden="false" customHeight="false" outlineLevel="0" collapsed="false">
      <c r="A33" s="0" t="s">
        <v>3478</v>
      </c>
      <c r="B33" s="0" t="s">
        <v>3895</v>
      </c>
      <c r="C33" s="0" t="s">
        <v>3896</v>
      </c>
      <c r="D33" s="0" t="n">
        <v>8</v>
      </c>
      <c r="E33" s="0" t="n">
        <v>27</v>
      </c>
    </row>
    <row r="34" customFormat="false" ht="15" hidden="false" customHeight="false" outlineLevel="0" collapsed="false">
      <c r="A34" s="0" t="s">
        <v>3478</v>
      </c>
      <c r="B34" s="0" t="s">
        <v>3897</v>
      </c>
      <c r="C34" s="0" t="s">
        <v>3898</v>
      </c>
      <c r="D34" s="0" t="n">
        <v>8</v>
      </c>
      <c r="E34" s="0" t="n">
        <v>27</v>
      </c>
    </row>
    <row r="35" customFormat="false" ht="15" hidden="false" customHeight="false" outlineLevel="0" collapsed="false">
      <c r="A35" s="0" t="s">
        <v>3478</v>
      </c>
      <c r="B35" s="0" t="s">
        <v>3899</v>
      </c>
      <c r="C35" s="0" t="s">
        <v>3900</v>
      </c>
      <c r="D35" s="0" t="n">
        <v>8</v>
      </c>
      <c r="E35" s="0" t="n">
        <v>27</v>
      </c>
    </row>
    <row r="36" customFormat="false" ht="15" hidden="false" customHeight="false" outlineLevel="0" collapsed="false">
      <c r="A36" s="0" t="s">
        <v>3478</v>
      </c>
      <c r="B36" s="0" t="s">
        <v>3901</v>
      </c>
      <c r="C36" s="0" t="s">
        <v>3902</v>
      </c>
      <c r="D36" s="0" t="n">
        <v>8</v>
      </c>
      <c r="E36" s="0" t="n">
        <v>27</v>
      </c>
    </row>
    <row r="37" customFormat="false" ht="15" hidden="false" customHeight="false" outlineLevel="0" collapsed="false">
      <c r="A37" s="0" t="s">
        <v>3478</v>
      </c>
      <c r="B37" s="0" t="s">
        <v>3903</v>
      </c>
      <c r="C37" s="0" t="s">
        <v>3904</v>
      </c>
      <c r="D37" s="0" t="n">
        <v>8</v>
      </c>
      <c r="E37" s="0" t="n">
        <v>27</v>
      </c>
    </row>
    <row r="38" customFormat="false" ht="15" hidden="false" customHeight="false" outlineLevel="0" collapsed="false">
      <c r="A38" s="0" t="s">
        <v>3478</v>
      </c>
      <c r="B38" s="0" t="s">
        <v>3905</v>
      </c>
      <c r="C38" s="0" t="s">
        <v>3906</v>
      </c>
      <c r="D38" s="0" t="n">
        <v>8</v>
      </c>
      <c r="E38" s="0" t="n">
        <v>27</v>
      </c>
    </row>
    <row r="39" customFormat="false" ht="15" hidden="false" customHeight="false" outlineLevel="0" collapsed="false">
      <c r="A39" s="0" t="s">
        <v>3478</v>
      </c>
      <c r="B39" s="0" t="s">
        <v>3907</v>
      </c>
      <c r="C39" s="0" t="s">
        <v>3908</v>
      </c>
      <c r="D39" s="0" t="n">
        <v>8</v>
      </c>
      <c r="E39" s="0" t="n">
        <v>27</v>
      </c>
    </row>
    <row r="40" customFormat="false" ht="15" hidden="false" customHeight="false" outlineLevel="0" collapsed="false">
      <c r="A40" s="0" t="s">
        <v>3478</v>
      </c>
      <c r="B40" s="0" t="s">
        <v>3909</v>
      </c>
      <c r="C40" s="0" t="s">
        <v>3910</v>
      </c>
      <c r="D40" s="0" t="n">
        <v>8</v>
      </c>
      <c r="E40" s="0" t="n">
        <v>27</v>
      </c>
    </row>
    <row r="41" customFormat="false" ht="15" hidden="false" customHeight="false" outlineLevel="0" collapsed="false">
      <c r="A41" s="0" t="s">
        <v>3478</v>
      </c>
      <c r="B41" s="0" t="s">
        <v>3911</v>
      </c>
      <c r="C41" s="0" t="s">
        <v>3912</v>
      </c>
      <c r="D41" s="0" t="n">
        <v>8</v>
      </c>
      <c r="E41" s="0" t="n">
        <v>27</v>
      </c>
    </row>
    <row r="42" customFormat="false" ht="15" hidden="false" customHeight="false" outlineLevel="0" collapsed="false">
      <c r="A42" s="0" t="s">
        <v>3478</v>
      </c>
      <c r="B42" s="0" t="s">
        <v>3913</v>
      </c>
      <c r="C42" s="0" t="s">
        <v>3914</v>
      </c>
      <c r="D42" s="0" t="n">
        <v>8</v>
      </c>
      <c r="E42" s="0" t="n">
        <v>27</v>
      </c>
    </row>
    <row r="43" customFormat="false" ht="15" hidden="false" customHeight="false" outlineLevel="0" collapsed="false">
      <c r="A43" s="0" t="s">
        <v>3478</v>
      </c>
      <c r="B43" s="0" t="s">
        <v>3915</v>
      </c>
      <c r="C43" s="0" t="s">
        <v>3210</v>
      </c>
      <c r="D43" s="0" t="n">
        <v>8</v>
      </c>
      <c r="E43" s="0" t="n">
        <v>27</v>
      </c>
    </row>
    <row r="44" customFormat="false" ht="15" hidden="false" customHeight="false" outlineLevel="0" collapsed="false">
      <c r="A44" s="0" t="s">
        <v>3478</v>
      </c>
      <c r="B44" s="0" t="s">
        <v>3916</v>
      </c>
      <c r="C44" s="0" t="s">
        <v>3917</v>
      </c>
      <c r="D44" s="0" t="n">
        <v>8</v>
      </c>
      <c r="E44" s="0" t="n">
        <v>27</v>
      </c>
    </row>
    <row r="45" customFormat="false" ht="15" hidden="false" customHeight="false" outlineLevel="0" collapsed="false">
      <c r="A45" s="0" t="s">
        <v>3478</v>
      </c>
      <c r="B45" s="0" t="s">
        <v>3918</v>
      </c>
      <c r="C45" s="0" t="s">
        <v>3919</v>
      </c>
      <c r="D45" s="0" t="n">
        <v>8</v>
      </c>
      <c r="E45" s="0" t="n">
        <v>27</v>
      </c>
    </row>
    <row r="46" customFormat="false" ht="15" hidden="false" customHeight="false" outlineLevel="0" collapsed="false">
      <c r="A46" s="0" t="s">
        <v>3478</v>
      </c>
      <c r="B46" s="0" t="s">
        <v>3920</v>
      </c>
      <c r="C46" s="0" t="s">
        <v>3921</v>
      </c>
      <c r="D46" s="0" t="n">
        <v>8</v>
      </c>
      <c r="E46" s="0" t="n">
        <v>27</v>
      </c>
    </row>
    <row r="47" customFormat="false" ht="15" hidden="false" customHeight="false" outlineLevel="0" collapsed="false">
      <c r="A47" s="0" t="s">
        <v>3478</v>
      </c>
      <c r="B47" s="0" t="s">
        <v>3922</v>
      </c>
      <c r="C47" s="0" t="s">
        <v>3923</v>
      </c>
      <c r="D47" s="0" t="n">
        <v>8</v>
      </c>
      <c r="E47" s="0" t="n">
        <v>27</v>
      </c>
    </row>
    <row r="48" customFormat="false" ht="15" hidden="false" customHeight="false" outlineLevel="0" collapsed="false">
      <c r="A48" s="0" t="s">
        <v>3478</v>
      </c>
      <c r="B48" s="0" t="s">
        <v>3924</v>
      </c>
      <c r="C48" s="0" t="s">
        <v>3925</v>
      </c>
      <c r="D48" s="0" t="n">
        <v>8</v>
      </c>
      <c r="E48" s="0" t="n">
        <v>27</v>
      </c>
    </row>
    <row r="49" customFormat="false" ht="15" hidden="false" customHeight="false" outlineLevel="0" collapsed="false">
      <c r="A49" s="0" t="s">
        <v>3478</v>
      </c>
      <c r="B49" s="0" t="s">
        <v>3926</v>
      </c>
      <c r="C49" s="0" t="s">
        <v>3927</v>
      </c>
      <c r="D49" s="0" t="n">
        <v>8</v>
      </c>
      <c r="E49" s="0" t="n">
        <v>27</v>
      </c>
    </row>
    <row r="50" customFormat="false" ht="15" hidden="false" customHeight="false" outlineLevel="0" collapsed="false">
      <c r="A50" s="0" t="s">
        <v>3478</v>
      </c>
      <c r="B50" s="0" t="s">
        <v>3928</v>
      </c>
      <c r="C50" s="0" t="s">
        <v>3929</v>
      </c>
      <c r="D50" s="0" t="n">
        <v>8</v>
      </c>
      <c r="E50" s="0" t="n">
        <v>27</v>
      </c>
    </row>
    <row r="51" customFormat="false" ht="15" hidden="false" customHeight="false" outlineLevel="0" collapsed="false">
      <c r="A51" s="0" t="s">
        <v>3478</v>
      </c>
      <c r="B51" s="0" t="s">
        <v>3930</v>
      </c>
      <c r="C51" s="0" t="s">
        <v>3931</v>
      </c>
      <c r="D51" s="0" t="n">
        <v>8</v>
      </c>
      <c r="E51" s="0" t="n">
        <v>27</v>
      </c>
    </row>
    <row r="52" customFormat="false" ht="15" hidden="false" customHeight="false" outlineLevel="0" collapsed="false">
      <c r="A52" s="0" t="s">
        <v>3478</v>
      </c>
      <c r="B52" s="0" t="s">
        <v>3932</v>
      </c>
      <c r="C52" s="0" t="s">
        <v>3933</v>
      </c>
      <c r="D52" s="0" t="n">
        <v>8</v>
      </c>
      <c r="E52" s="0" t="n">
        <v>27</v>
      </c>
    </row>
    <row r="53" customFormat="false" ht="15" hidden="false" customHeight="false" outlineLevel="0" collapsed="false">
      <c r="A53" s="0" t="s">
        <v>3478</v>
      </c>
      <c r="B53" s="0" t="s">
        <v>3934</v>
      </c>
      <c r="C53" s="0" t="s">
        <v>3935</v>
      </c>
      <c r="D53" s="0" t="n">
        <v>8</v>
      </c>
      <c r="E53" s="0" t="n">
        <v>27</v>
      </c>
    </row>
    <row r="54" customFormat="false" ht="15" hidden="false" customHeight="false" outlineLevel="0" collapsed="false">
      <c r="A54" s="0" t="s">
        <v>3478</v>
      </c>
      <c r="B54" s="0" t="s">
        <v>3936</v>
      </c>
      <c r="C54" s="0" t="s">
        <v>3937</v>
      </c>
      <c r="D54" s="0" t="n">
        <v>8</v>
      </c>
      <c r="E54" s="0" t="n">
        <v>27</v>
      </c>
    </row>
    <row r="55" customFormat="false" ht="15" hidden="false" customHeight="false" outlineLevel="0" collapsed="false">
      <c r="A55" s="0" t="s">
        <v>3478</v>
      </c>
      <c r="B55" s="0" t="s">
        <v>3938</v>
      </c>
      <c r="C55" s="0" t="s">
        <v>3939</v>
      </c>
      <c r="D55" s="0" t="n">
        <v>8</v>
      </c>
      <c r="E55" s="0" t="n">
        <v>27</v>
      </c>
    </row>
    <row r="56" customFormat="false" ht="15" hidden="false" customHeight="false" outlineLevel="0" collapsed="false">
      <c r="A56" s="0" t="s">
        <v>3478</v>
      </c>
      <c r="B56" s="0" t="s">
        <v>3940</v>
      </c>
      <c r="C56" s="0" t="s">
        <v>3941</v>
      </c>
      <c r="D56" s="0" t="n">
        <v>8</v>
      </c>
      <c r="E56" s="0" t="n">
        <v>27</v>
      </c>
    </row>
    <row r="57" customFormat="false" ht="15" hidden="false" customHeight="false" outlineLevel="0" collapsed="false">
      <c r="A57" s="0" t="s">
        <v>3478</v>
      </c>
      <c r="B57" s="0" t="s">
        <v>3942</v>
      </c>
      <c r="C57" s="0" t="s">
        <v>3943</v>
      </c>
      <c r="D57" s="0" t="n">
        <v>8</v>
      </c>
      <c r="E57" s="0" t="n">
        <v>27</v>
      </c>
    </row>
    <row r="58" customFormat="false" ht="15" hidden="false" customHeight="false" outlineLevel="0" collapsed="false">
      <c r="A58" s="0" t="s">
        <v>3478</v>
      </c>
      <c r="B58" s="0" t="s">
        <v>3944</v>
      </c>
      <c r="C58" s="0" t="s">
        <v>3945</v>
      </c>
      <c r="D58" s="0" t="n">
        <v>8</v>
      </c>
      <c r="E58" s="0" t="n">
        <v>27</v>
      </c>
    </row>
    <row r="59" customFormat="false" ht="15" hidden="false" customHeight="false" outlineLevel="0" collapsed="false">
      <c r="A59" s="0" t="s">
        <v>3478</v>
      </c>
      <c r="B59" s="0" t="s">
        <v>3946</v>
      </c>
      <c r="C59" s="0" t="s">
        <v>3947</v>
      </c>
      <c r="D59" s="0" t="n">
        <v>8</v>
      </c>
      <c r="E59" s="0" t="n">
        <v>27</v>
      </c>
    </row>
    <row r="60" customFormat="false" ht="15" hidden="false" customHeight="false" outlineLevel="0" collapsed="false">
      <c r="A60" s="413" t="s">
        <v>3948</v>
      </c>
      <c r="B60" s="0" t="s">
        <v>3949</v>
      </c>
      <c r="C60" s="0" t="s">
        <v>3852</v>
      </c>
      <c r="D60" s="0" t="n">
        <v>8</v>
      </c>
      <c r="E60" s="0" t="n">
        <v>27</v>
      </c>
    </row>
    <row r="61" customFormat="false" ht="15" hidden="false" customHeight="false" outlineLevel="0" collapsed="false">
      <c r="A61" s="413" t="s">
        <v>3948</v>
      </c>
      <c r="B61" s="0" t="s">
        <v>3950</v>
      </c>
      <c r="C61" s="0" t="s">
        <v>888</v>
      </c>
      <c r="D61" s="0" t="n">
        <v>8</v>
      </c>
      <c r="E61" s="0" t="n">
        <v>27</v>
      </c>
    </row>
    <row r="62" customFormat="false" ht="15" hidden="false" customHeight="false" outlineLevel="0" collapsed="false">
      <c r="A62" s="413" t="s">
        <v>3948</v>
      </c>
      <c r="B62" s="0" t="s">
        <v>3951</v>
      </c>
      <c r="C62" s="0" t="s">
        <v>3855</v>
      </c>
      <c r="D62" s="0" t="n">
        <v>8</v>
      </c>
      <c r="E62" s="0" t="n">
        <v>27</v>
      </c>
    </row>
    <row r="63" customFormat="false" ht="15" hidden="false" customHeight="false" outlineLevel="0" collapsed="false">
      <c r="A63" s="413" t="s">
        <v>3948</v>
      </c>
      <c r="B63" s="0" t="s">
        <v>2520</v>
      </c>
      <c r="C63" s="0" t="s">
        <v>3857</v>
      </c>
      <c r="D63" s="0" t="n">
        <v>8</v>
      </c>
      <c r="E63" s="0" t="n">
        <v>27</v>
      </c>
    </row>
    <row r="64" customFormat="false" ht="15" hidden="false" customHeight="false" outlineLevel="0" collapsed="false">
      <c r="A64" s="413" t="s">
        <v>3948</v>
      </c>
      <c r="B64" s="0" t="s">
        <v>3952</v>
      </c>
      <c r="C64" s="0" t="s">
        <v>3859</v>
      </c>
      <c r="D64" s="0" t="n">
        <v>8</v>
      </c>
      <c r="E64" s="0" t="n">
        <v>27</v>
      </c>
    </row>
    <row r="65" customFormat="false" ht="15" hidden="false" customHeight="false" outlineLevel="0" collapsed="false">
      <c r="A65" s="413" t="s">
        <v>3948</v>
      </c>
      <c r="B65" s="0" t="s">
        <v>3953</v>
      </c>
      <c r="C65" s="0" t="s">
        <v>3861</v>
      </c>
      <c r="D65" s="0" t="n">
        <v>8</v>
      </c>
      <c r="E65" s="0" t="n">
        <v>27</v>
      </c>
    </row>
    <row r="66" customFormat="false" ht="15" hidden="false" customHeight="false" outlineLevel="0" collapsed="false">
      <c r="A66" s="413" t="s">
        <v>3948</v>
      </c>
      <c r="B66" s="0" t="s">
        <v>3954</v>
      </c>
      <c r="C66" s="0" t="s">
        <v>3863</v>
      </c>
      <c r="D66" s="0" t="n">
        <v>8</v>
      </c>
      <c r="E66" s="0" t="n">
        <v>27</v>
      </c>
    </row>
    <row r="67" customFormat="false" ht="15" hidden="false" customHeight="false" outlineLevel="0" collapsed="false">
      <c r="A67" s="413" t="s">
        <v>3948</v>
      </c>
      <c r="B67" s="0" t="s">
        <v>2626</v>
      </c>
      <c r="C67" s="0" t="s">
        <v>567</v>
      </c>
      <c r="D67" s="0" t="n">
        <v>8</v>
      </c>
      <c r="E67" s="0" t="n">
        <v>27</v>
      </c>
    </row>
    <row r="68" customFormat="false" ht="15" hidden="false" customHeight="false" outlineLevel="0" collapsed="false">
      <c r="A68" s="413" t="s">
        <v>3948</v>
      </c>
      <c r="B68" s="0" t="s">
        <v>3955</v>
      </c>
      <c r="C68" s="0" t="s">
        <v>3866</v>
      </c>
      <c r="D68" s="0" t="n">
        <v>8</v>
      </c>
      <c r="E68" s="0" t="n">
        <v>27</v>
      </c>
    </row>
    <row r="69" customFormat="false" ht="15" hidden="false" customHeight="false" outlineLevel="0" collapsed="false">
      <c r="A69" s="413" t="s">
        <v>3948</v>
      </c>
      <c r="B69" s="0" t="s">
        <v>2653</v>
      </c>
      <c r="C69" s="0" t="s">
        <v>3868</v>
      </c>
      <c r="D69" s="0" t="n">
        <v>8</v>
      </c>
      <c r="E69" s="0" t="n">
        <v>27</v>
      </c>
    </row>
    <row r="70" customFormat="false" ht="15" hidden="false" customHeight="false" outlineLevel="0" collapsed="false">
      <c r="A70" s="413" t="s">
        <v>3948</v>
      </c>
      <c r="B70" s="0" t="s">
        <v>3956</v>
      </c>
      <c r="C70" s="0" t="s">
        <v>3870</v>
      </c>
      <c r="D70" s="0" t="n">
        <v>8</v>
      </c>
      <c r="E70" s="0" t="n">
        <v>27</v>
      </c>
    </row>
    <row r="71" customFormat="false" ht="15" hidden="false" customHeight="false" outlineLevel="0" collapsed="false">
      <c r="A71" s="413" t="s">
        <v>3948</v>
      </c>
      <c r="B71" s="0" t="s">
        <v>3957</v>
      </c>
      <c r="C71" s="0" t="s">
        <v>910</v>
      </c>
      <c r="D71" s="0" t="n">
        <v>8</v>
      </c>
      <c r="E71" s="0" t="n">
        <v>27</v>
      </c>
    </row>
    <row r="72" customFormat="false" ht="15" hidden="false" customHeight="false" outlineLevel="0" collapsed="false">
      <c r="A72" s="413" t="s">
        <v>3948</v>
      </c>
      <c r="B72" s="0" t="s">
        <v>3873</v>
      </c>
      <c r="C72" s="0" t="s">
        <v>1744</v>
      </c>
      <c r="D72" s="0" t="n">
        <v>8</v>
      </c>
      <c r="E72" s="0" t="n">
        <v>27</v>
      </c>
    </row>
    <row r="73" customFormat="false" ht="15" hidden="false" customHeight="false" outlineLevel="0" collapsed="false">
      <c r="A73" s="413" t="s">
        <v>3948</v>
      </c>
      <c r="B73" s="0" t="s">
        <v>3875</v>
      </c>
      <c r="C73" s="0" t="s">
        <v>3874</v>
      </c>
      <c r="D73" s="0" t="n">
        <v>8</v>
      </c>
      <c r="E73" s="0" t="n">
        <v>27</v>
      </c>
    </row>
    <row r="74" customFormat="false" ht="15" hidden="false" customHeight="false" outlineLevel="0" collapsed="false">
      <c r="A74" s="413" t="s">
        <v>3948</v>
      </c>
      <c r="B74" s="0" t="s">
        <v>3877</v>
      </c>
      <c r="C74" s="0" t="s">
        <v>3876</v>
      </c>
      <c r="D74" s="0" t="n">
        <v>8</v>
      </c>
      <c r="E74" s="0" t="n">
        <v>27</v>
      </c>
    </row>
    <row r="75" customFormat="false" ht="15" hidden="false" customHeight="false" outlineLevel="0" collapsed="false">
      <c r="A75" s="413" t="s">
        <v>3948</v>
      </c>
      <c r="B75" s="0" t="s">
        <v>3958</v>
      </c>
      <c r="C75" s="0" t="s">
        <v>3878</v>
      </c>
      <c r="D75" s="0" t="n">
        <v>8</v>
      </c>
      <c r="E75" s="0" t="n">
        <v>27</v>
      </c>
    </row>
    <row r="76" customFormat="false" ht="15" hidden="false" customHeight="false" outlineLevel="0" collapsed="false">
      <c r="A76" s="413" t="s">
        <v>3948</v>
      </c>
      <c r="B76" s="0" t="s">
        <v>3959</v>
      </c>
      <c r="C76" s="0" t="s">
        <v>879</v>
      </c>
      <c r="D76" s="0" t="n">
        <v>8</v>
      </c>
      <c r="E76" s="0" t="n">
        <v>27</v>
      </c>
    </row>
    <row r="77" customFormat="false" ht="15" hidden="false" customHeight="false" outlineLevel="0" collapsed="false">
      <c r="A77" s="413" t="s">
        <v>3948</v>
      </c>
      <c r="B77" s="0" t="s">
        <v>3960</v>
      </c>
      <c r="C77" s="0" t="s">
        <v>3881</v>
      </c>
      <c r="D77" s="0" t="n">
        <v>8</v>
      </c>
      <c r="E77" s="0" t="n">
        <v>27</v>
      </c>
    </row>
    <row r="78" customFormat="false" ht="15" hidden="false" customHeight="false" outlineLevel="0" collapsed="false">
      <c r="A78" s="413" t="s">
        <v>3948</v>
      </c>
      <c r="B78" s="0" t="s">
        <v>3961</v>
      </c>
      <c r="C78" s="0" t="s">
        <v>568</v>
      </c>
      <c r="D78" s="0" t="n">
        <v>8</v>
      </c>
      <c r="E78" s="0" t="n">
        <v>27</v>
      </c>
    </row>
    <row r="79" customFormat="false" ht="15" hidden="false" customHeight="false" outlineLevel="0" collapsed="false">
      <c r="A79" s="413" t="s">
        <v>3948</v>
      </c>
      <c r="B79" s="0" t="s">
        <v>3962</v>
      </c>
      <c r="C79" s="0" t="s">
        <v>3884</v>
      </c>
      <c r="D79" s="0" t="n">
        <v>8</v>
      </c>
      <c r="E79" s="0" t="n">
        <v>27</v>
      </c>
    </row>
    <row r="80" customFormat="false" ht="15" hidden="false" customHeight="false" outlineLevel="0" collapsed="false">
      <c r="A80" s="413" t="s">
        <v>3948</v>
      </c>
      <c r="B80" s="0" t="s">
        <v>3963</v>
      </c>
      <c r="C80" s="0" t="s">
        <v>3886</v>
      </c>
      <c r="D80" s="0" t="n">
        <v>8</v>
      </c>
      <c r="E80" s="0" t="n">
        <v>27</v>
      </c>
    </row>
    <row r="81" customFormat="false" ht="15" hidden="false" customHeight="false" outlineLevel="0" collapsed="false">
      <c r="A81" s="413" t="s">
        <v>3948</v>
      </c>
      <c r="B81" s="0" t="s">
        <v>3964</v>
      </c>
      <c r="C81" s="0" t="s">
        <v>3888</v>
      </c>
      <c r="D81" s="0" t="n">
        <v>8</v>
      </c>
      <c r="E81" s="0" t="n">
        <v>27</v>
      </c>
    </row>
    <row r="82" customFormat="false" ht="15" hidden="false" customHeight="false" outlineLevel="0" collapsed="false">
      <c r="A82" s="413" t="s">
        <v>3948</v>
      </c>
      <c r="B82" s="0" t="s">
        <v>3965</v>
      </c>
      <c r="C82" s="0" t="s">
        <v>3890</v>
      </c>
      <c r="D82" s="0" t="n">
        <v>8</v>
      </c>
      <c r="E82" s="0" t="n">
        <v>27</v>
      </c>
    </row>
    <row r="83" customFormat="false" ht="15" hidden="false" customHeight="false" outlineLevel="0" collapsed="false">
      <c r="A83" s="413" t="s">
        <v>3948</v>
      </c>
      <c r="B83" s="0" t="s">
        <v>3966</v>
      </c>
      <c r="C83" s="0" t="s">
        <v>3892</v>
      </c>
      <c r="D83" s="0" t="n">
        <v>8</v>
      </c>
      <c r="E83" s="0" t="n">
        <v>27</v>
      </c>
    </row>
    <row r="84" customFormat="false" ht="15" hidden="false" customHeight="false" outlineLevel="0" collapsed="false">
      <c r="A84" s="413" t="s">
        <v>3948</v>
      </c>
      <c r="B84" s="0" t="s">
        <v>3967</v>
      </c>
      <c r="C84" s="0" t="s">
        <v>3894</v>
      </c>
      <c r="D84" s="0" t="n">
        <v>8</v>
      </c>
      <c r="E84" s="0" t="n">
        <v>27</v>
      </c>
    </row>
    <row r="85" customFormat="false" ht="15" hidden="false" customHeight="false" outlineLevel="0" collapsed="false">
      <c r="A85" s="413" t="s">
        <v>3948</v>
      </c>
      <c r="B85" s="0" t="s">
        <v>3968</v>
      </c>
      <c r="C85" s="0" t="s">
        <v>3896</v>
      </c>
      <c r="D85" s="0" t="n">
        <v>8</v>
      </c>
      <c r="E85" s="0" t="n">
        <v>27</v>
      </c>
    </row>
    <row r="86" customFormat="false" ht="15" hidden="false" customHeight="false" outlineLevel="0" collapsed="false">
      <c r="A86" s="413" t="s">
        <v>3948</v>
      </c>
      <c r="B86" s="0" t="s">
        <v>3969</v>
      </c>
      <c r="C86" s="0" t="s">
        <v>3898</v>
      </c>
      <c r="D86" s="0" t="n">
        <v>8</v>
      </c>
      <c r="E86" s="0" t="n">
        <v>27</v>
      </c>
    </row>
    <row r="87" customFormat="false" ht="15" hidden="false" customHeight="false" outlineLevel="0" collapsed="false">
      <c r="A87" s="413" t="s">
        <v>3948</v>
      </c>
      <c r="B87" s="0" t="s">
        <v>3970</v>
      </c>
      <c r="C87" s="0" t="s">
        <v>3900</v>
      </c>
      <c r="D87" s="0" t="n">
        <v>8</v>
      </c>
      <c r="E87" s="0" t="n">
        <v>27</v>
      </c>
    </row>
    <row r="88" customFormat="false" ht="15" hidden="false" customHeight="false" outlineLevel="0" collapsed="false">
      <c r="A88" s="413" t="s">
        <v>3948</v>
      </c>
      <c r="B88" s="0" t="s">
        <v>3971</v>
      </c>
      <c r="C88" s="0" t="s">
        <v>3902</v>
      </c>
      <c r="D88" s="0" t="n">
        <v>8</v>
      </c>
      <c r="E88" s="0" t="n">
        <v>27</v>
      </c>
    </row>
    <row r="89" customFormat="false" ht="15" hidden="false" customHeight="false" outlineLevel="0" collapsed="false">
      <c r="A89" s="413" t="s">
        <v>3948</v>
      </c>
      <c r="B89" s="0" t="s">
        <v>3972</v>
      </c>
      <c r="C89" s="0" t="s">
        <v>3904</v>
      </c>
      <c r="D89" s="0" t="n">
        <v>8</v>
      </c>
      <c r="E89" s="0" t="n">
        <v>27</v>
      </c>
    </row>
    <row r="90" customFormat="false" ht="15" hidden="false" customHeight="false" outlineLevel="0" collapsed="false">
      <c r="A90" s="413" t="s">
        <v>3948</v>
      </c>
      <c r="B90" s="0" t="s">
        <v>3973</v>
      </c>
      <c r="C90" s="0" t="s">
        <v>3906</v>
      </c>
      <c r="D90" s="0" t="n">
        <v>8</v>
      </c>
      <c r="E90" s="0" t="n">
        <v>27</v>
      </c>
    </row>
    <row r="91" customFormat="false" ht="15" hidden="false" customHeight="false" outlineLevel="0" collapsed="false">
      <c r="A91" s="413" t="s">
        <v>3948</v>
      </c>
      <c r="B91" s="0" t="s">
        <v>3974</v>
      </c>
      <c r="C91" s="0" t="s">
        <v>3908</v>
      </c>
      <c r="D91" s="0" t="n">
        <v>8</v>
      </c>
      <c r="E91" s="0" t="n">
        <v>27</v>
      </c>
    </row>
    <row r="92" customFormat="false" ht="15" hidden="false" customHeight="false" outlineLevel="0" collapsed="false">
      <c r="A92" s="413" t="s">
        <v>3948</v>
      </c>
      <c r="B92" s="0" t="s">
        <v>3975</v>
      </c>
      <c r="C92" s="0" t="s">
        <v>3910</v>
      </c>
      <c r="D92" s="0" t="n">
        <v>8</v>
      </c>
      <c r="E92" s="0" t="n">
        <v>27</v>
      </c>
    </row>
    <row r="93" customFormat="false" ht="15" hidden="false" customHeight="false" outlineLevel="0" collapsed="false">
      <c r="A93" s="413" t="s">
        <v>3948</v>
      </c>
      <c r="B93" s="0" t="s">
        <v>3976</v>
      </c>
      <c r="C93" s="0" t="s">
        <v>3912</v>
      </c>
      <c r="D93" s="0" t="n">
        <v>8</v>
      </c>
      <c r="E93" s="0" t="n">
        <v>27</v>
      </c>
    </row>
    <row r="94" customFormat="false" ht="15" hidden="false" customHeight="false" outlineLevel="0" collapsed="false">
      <c r="A94" s="413" t="s">
        <v>3948</v>
      </c>
      <c r="B94" s="0" t="s">
        <v>3977</v>
      </c>
      <c r="C94" s="0" t="s">
        <v>3914</v>
      </c>
      <c r="D94" s="0" t="n">
        <v>8</v>
      </c>
      <c r="E94" s="0" t="n">
        <v>27</v>
      </c>
    </row>
    <row r="95" customFormat="false" ht="15" hidden="false" customHeight="false" outlineLevel="0" collapsed="false">
      <c r="A95" s="0" t="s">
        <v>3978</v>
      </c>
      <c r="B95" s="0" t="s">
        <v>3842</v>
      </c>
      <c r="C95" s="0" t="s">
        <v>3165</v>
      </c>
      <c r="D95" s="0" t="n">
        <v>8</v>
      </c>
      <c r="E95" s="0" t="n">
        <v>27</v>
      </c>
    </row>
    <row r="96" customFormat="false" ht="15" hidden="false" customHeight="false" outlineLevel="0" collapsed="false">
      <c r="A96" s="0" t="s">
        <v>3978</v>
      </c>
      <c r="B96" s="0" t="s">
        <v>3843</v>
      </c>
      <c r="C96" s="0" t="s">
        <v>1746</v>
      </c>
      <c r="D96" s="0" t="n">
        <v>8</v>
      </c>
      <c r="E96" s="0" t="n">
        <v>27</v>
      </c>
    </row>
    <row r="97" customFormat="false" ht="15" hidden="false" customHeight="false" outlineLevel="0" collapsed="false">
      <c r="A97" s="0" t="s">
        <v>3978</v>
      </c>
      <c r="B97" s="0" t="s">
        <v>3849</v>
      </c>
      <c r="C97" s="0" t="s">
        <v>1745</v>
      </c>
      <c r="D97" s="0" t="n">
        <v>8</v>
      </c>
      <c r="E97" s="0" t="n">
        <v>27</v>
      </c>
    </row>
    <row r="98" customFormat="false" ht="15" hidden="false" customHeight="false" outlineLevel="0" collapsed="false">
      <c r="A98" s="0" t="s">
        <v>3978</v>
      </c>
      <c r="B98" s="0" t="s">
        <v>3979</v>
      </c>
      <c r="C98" s="0" t="s">
        <v>3846</v>
      </c>
      <c r="D98" s="0" t="n">
        <v>8</v>
      </c>
      <c r="E98" s="0" t="n">
        <v>27</v>
      </c>
    </row>
    <row r="99" customFormat="false" ht="15" hidden="false" customHeight="false" outlineLevel="0" collapsed="false">
      <c r="A99" s="0" t="s">
        <v>3978</v>
      </c>
      <c r="B99" s="0" t="s">
        <v>3980</v>
      </c>
      <c r="C99" s="0" t="s">
        <v>3848</v>
      </c>
      <c r="D99" s="0" t="n">
        <v>8</v>
      </c>
      <c r="E99" s="0" t="n">
        <v>27</v>
      </c>
    </row>
    <row r="100" customFormat="false" ht="15" hidden="false" customHeight="false" outlineLevel="0" collapsed="false">
      <c r="A100" s="0" t="s">
        <v>3978</v>
      </c>
      <c r="B100" s="0" t="s">
        <v>3981</v>
      </c>
      <c r="C100" s="0" t="s">
        <v>3850</v>
      </c>
      <c r="D100" s="0" t="n">
        <v>8</v>
      </c>
      <c r="E100" s="0" t="n">
        <v>27</v>
      </c>
    </row>
    <row r="101" customFormat="false" ht="15" hidden="false" customHeight="false" outlineLevel="0" collapsed="false">
      <c r="A101" s="0" t="s">
        <v>3978</v>
      </c>
      <c r="B101" s="0" t="s">
        <v>3982</v>
      </c>
      <c r="C101" s="0" t="s">
        <v>3852</v>
      </c>
      <c r="D101" s="0" t="n">
        <v>8</v>
      </c>
      <c r="E101" s="0" t="n">
        <v>27</v>
      </c>
    </row>
    <row r="102" customFormat="false" ht="15" hidden="false" customHeight="false" outlineLevel="0" collapsed="false">
      <c r="A102" s="0" t="s">
        <v>3978</v>
      </c>
      <c r="B102" s="0" t="s">
        <v>3983</v>
      </c>
      <c r="C102" s="0" t="s">
        <v>888</v>
      </c>
      <c r="D102" s="0" t="n">
        <v>8</v>
      </c>
      <c r="E102" s="0" t="n">
        <v>27</v>
      </c>
    </row>
    <row r="103" customFormat="false" ht="15" hidden="false" customHeight="false" outlineLevel="0" collapsed="false">
      <c r="A103" s="0" t="s">
        <v>3978</v>
      </c>
      <c r="B103" s="0" t="s">
        <v>3909</v>
      </c>
      <c r="C103" s="0" t="s">
        <v>3855</v>
      </c>
      <c r="D103" s="0" t="n">
        <v>8</v>
      </c>
      <c r="E103" s="0" t="n">
        <v>27</v>
      </c>
    </row>
    <row r="104" customFormat="false" ht="15" hidden="false" customHeight="false" outlineLevel="0" collapsed="false">
      <c r="A104" s="0" t="s">
        <v>3978</v>
      </c>
      <c r="B104" s="0" t="s">
        <v>3984</v>
      </c>
      <c r="C104" s="0" t="s">
        <v>3857</v>
      </c>
      <c r="D104" s="0" t="n">
        <v>8</v>
      </c>
      <c r="E104" s="0" t="n">
        <v>27</v>
      </c>
    </row>
    <row r="105" customFormat="false" ht="15" hidden="false" customHeight="false" outlineLevel="0" collapsed="false">
      <c r="A105" s="0" t="s">
        <v>3978</v>
      </c>
      <c r="B105" s="0" t="s">
        <v>3985</v>
      </c>
      <c r="C105" s="0" t="s">
        <v>3859</v>
      </c>
      <c r="D105" s="0" t="n">
        <v>8</v>
      </c>
      <c r="E105" s="0" t="n">
        <v>27</v>
      </c>
    </row>
    <row r="106" customFormat="false" ht="15" hidden="false" customHeight="false" outlineLevel="0" collapsed="false">
      <c r="A106" s="0" t="s">
        <v>3978</v>
      </c>
      <c r="B106" s="0" t="s">
        <v>3986</v>
      </c>
      <c r="C106" s="0" t="s">
        <v>3861</v>
      </c>
      <c r="D106" s="0" t="n">
        <v>8</v>
      </c>
      <c r="E106" s="0" t="n">
        <v>27</v>
      </c>
    </row>
    <row r="107" customFormat="false" ht="15" hidden="false" customHeight="false" outlineLevel="0" collapsed="false">
      <c r="A107" s="0" t="s">
        <v>3978</v>
      </c>
      <c r="B107" s="0" t="s">
        <v>3987</v>
      </c>
      <c r="C107" s="0" t="s">
        <v>3863</v>
      </c>
      <c r="D107" s="0" t="n">
        <v>8</v>
      </c>
      <c r="E107" s="0" t="n">
        <v>27</v>
      </c>
    </row>
    <row r="108" customFormat="false" ht="15" hidden="false" customHeight="false" outlineLevel="0" collapsed="false">
      <c r="A108" s="0" t="s">
        <v>3978</v>
      </c>
      <c r="B108" s="0" t="s">
        <v>3988</v>
      </c>
      <c r="C108" s="0" t="s">
        <v>567</v>
      </c>
      <c r="D108" s="0" t="n">
        <v>8</v>
      </c>
      <c r="E108" s="0" t="n">
        <v>27</v>
      </c>
    </row>
    <row r="109" customFormat="false" ht="15" hidden="false" customHeight="false" outlineLevel="0" collapsed="false">
      <c r="A109" s="0" t="s">
        <v>3978</v>
      </c>
      <c r="B109" s="0" t="s">
        <v>3989</v>
      </c>
      <c r="C109" s="0" t="s">
        <v>3866</v>
      </c>
      <c r="D109" s="0" t="n">
        <v>8</v>
      </c>
      <c r="E109" s="0" t="n">
        <v>27</v>
      </c>
    </row>
    <row r="110" customFormat="false" ht="15" hidden="false" customHeight="false" outlineLevel="0" collapsed="false">
      <c r="A110" s="0" t="s">
        <v>3978</v>
      </c>
      <c r="B110" s="0" t="s">
        <v>3990</v>
      </c>
      <c r="C110" s="0" t="s">
        <v>3868</v>
      </c>
      <c r="D110" s="0" t="n">
        <v>8</v>
      </c>
      <c r="E110" s="0" t="n">
        <v>27</v>
      </c>
    </row>
    <row r="111" customFormat="false" ht="15" hidden="false" customHeight="false" outlineLevel="0" collapsed="false">
      <c r="A111" s="0" t="s">
        <v>3978</v>
      </c>
      <c r="B111" s="0" t="s">
        <v>3991</v>
      </c>
      <c r="C111" s="0" t="s">
        <v>3870</v>
      </c>
      <c r="D111" s="0" t="n">
        <v>8</v>
      </c>
      <c r="E111" s="0" t="n">
        <v>27</v>
      </c>
    </row>
    <row r="112" customFormat="false" ht="15" hidden="false" customHeight="false" outlineLevel="0" collapsed="false">
      <c r="A112" s="0" t="s">
        <v>3978</v>
      </c>
      <c r="B112" s="0" t="s">
        <v>3992</v>
      </c>
      <c r="C112" s="0" t="s">
        <v>910</v>
      </c>
      <c r="D112" s="0" t="n">
        <v>8</v>
      </c>
      <c r="E112" s="0" t="n">
        <v>27</v>
      </c>
    </row>
    <row r="113" customFormat="false" ht="15" hidden="false" customHeight="false" outlineLevel="0" collapsed="false">
      <c r="A113" s="0" t="s">
        <v>3978</v>
      </c>
      <c r="B113" s="0" t="s">
        <v>3993</v>
      </c>
      <c r="C113" s="0" t="s">
        <v>1744</v>
      </c>
      <c r="D113" s="0" t="n">
        <v>8</v>
      </c>
      <c r="E113" s="0" t="n">
        <v>27</v>
      </c>
    </row>
    <row r="114" customFormat="false" ht="15" hidden="false" customHeight="false" outlineLevel="0" collapsed="false">
      <c r="A114" s="0" t="s">
        <v>3978</v>
      </c>
      <c r="B114" s="0" t="s">
        <v>3994</v>
      </c>
      <c r="C114" s="0" t="s">
        <v>3874</v>
      </c>
      <c r="D114" s="0" t="n">
        <v>8</v>
      </c>
      <c r="E114" s="0" t="n">
        <v>27</v>
      </c>
    </row>
    <row r="115" customFormat="false" ht="15" hidden="false" customHeight="false" outlineLevel="0" collapsed="false">
      <c r="A115" s="0" t="s">
        <v>3978</v>
      </c>
      <c r="B115" s="0" t="s">
        <v>3995</v>
      </c>
      <c r="C115" s="0" t="s">
        <v>3876</v>
      </c>
      <c r="D115" s="0" t="n">
        <v>8</v>
      </c>
      <c r="E115" s="0" t="n">
        <v>27</v>
      </c>
    </row>
    <row r="116" customFormat="false" ht="15" hidden="false" customHeight="false" outlineLevel="0" collapsed="false">
      <c r="A116" s="0" t="s">
        <v>3978</v>
      </c>
      <c r="B116" s="0" t="s">
        <v>3996</v>
      </c>
      <c r="C116" s="0" t="s">
        <v>3878</v>
      </c>
      <c r="D116" s="0" t="n">
        <v>8</v>
      </c>
      <c r="E116" s="0" t="n">
        <v>27</v>
      </c>
    </row>
    <row r="117" customFormat="false" ht="15" hidden="false" customHeight="false" outlineLevel="0" collapsed="false">
      <c r="A117" s="0" t="s">
        <v>3978</v>
      </c>
      <c r="B117" s="0" t="s">
        <v>3997</v>
      </c>
      <c r="C117" s="0" t="s">
        <v>879</v>
      </c>
      <c r="D117" s="0" t="n">
        <v>8</v>
      </c>
      <c r="E117" s="0" t="n">
        <v>27</v>
      </c>
    </row>
    <row r="118" customFormat="false" ht="15" hidden="false" customHeight="false" outlineLevel="0" collapsed="false">
      <c r="A118" s="0" t="s">
        <v>3978</v>
      </c>
      <c r="B118" s="0" t="s">
        <v>3998</v>
      </c>
      <c r="C118" s="0" t="s">
        <v>3881</v>
      </c>
      <c r="D118" s="0" t="n">
        <v>8</v>
      </c>
      <c r="E118" s="0" t="n">
        <v>27</v>
      </c>
    </row>
    <row r="119" customFormat="false" ht="15" hidden="false" customHeight="false" outlineLevel="0" collapsed="false">
      <c r="A119" s="0" t="s">
        <v>3978</v>
      </c>
      <c r="B119" s="0" t="s">
        <v>3999</v>
      </c>
      <c r="C119" s="0" t="s">
        <v>568</v>
      </c>
      <c r="D119" s="0" t="n">
        <v>8</v>
      </c>
      <c r="E119" s="0" t="n">
        <v>27</v>
      </c>
    </row>
    <row r="120" customFormat="false" ht="15" hidden="false" customHeight="false" outlineLevel="0" collapsed="false">
      <c r="A120" s="0" t="s">
        <v>3978</v>
      </c>
      <c r="B120" s="0" t="s">
        <v>4000</v>
      </c>
      <c r="C120" s="0" t="s">
        <v>3884</v>
      </c>
      <c r="D120" s="0" t="n">
        <v>8</v>
      </c>
      <c r="E120" s="0" t="n">
        <v>27</v>
      </c>
    </row>
    <row r="121" customFormat="false" ht="15" hidden="false" customHeight="false" outlineLevel="0" collapsed="false">
      <c r="A121" s="0" t="s">
        <v>3978</v>
      </c>
      <c r="B121" s="0" t="s">
        <v>4001</v>
      </c>
      <c r="C121" s="0" t="s">
        <v>3886</v>
      </c>
      <c r="D121" s="0" t="n">
        <v>8</v>
      </c>
      <c r="E121" s="0" t="n">
        <v>27</v>
      </c>
    </row>
    <row r="122" customFormat="false" ht="15" hidden="false" customHeight="false" outlineLevel="0" collapsed="false">
      <c r="A122" s="0" t="s">
        <v>3978</v>
      </c>
      <c r="B122" s="0" t="s">
        <v>4002</v>
      </c>
      <c r="C122" s="0" t="s">
        <v>3888</v>
      </c>
      <c r="D122" s="0" t="n">
        <v>8</v>
      </c>
      <c r="E122" s="0" t="n">
        <v>27</v>
      </c>
    </row>
    <row r="123" customFormat="false" ht="15" hidden="false" customHeight="false" outlineLevel="0" collapsed="false">
      <c r="A123" s="0" t="s">
        <v>3978</v>
      </c>
      <c r="B123" s="0" t="s">
        <v>4003</v>
      </c>
      <c r="C123" s="0" t="s">
        <v>3890</v>
      </c>
      <c r="D123" s="0" t="n">
        <v>8</v>
      </c>
      <c r="E123" s="0" t="n">
        <v>27</v>
      </c>
    </row>
    <row r="124" customFormat="false" ht="15" hidden="false" customHeight="false" outlineLevel="0" collapsed="false">
      <c r="A124" s="0" t="s">
        <v>3978</v>
      </c>
      <c r="B124" s="0" t="s">
        <v>4004</v>
      </c>
      <c r="C124" s="0" t="s">
        <v>3892</v>
      </c>
      <c r="D124" s="0" t="n">
        <v>8</v>
      </c>
      <c r="E124" s="0" t="n">
        <v>27</v>
      </c>
    </row>
    <row r="125" customFormat="false" ht="15" hidden="false" customHeight="false" outlineLevel="0" collapsed="false">
      <c r="A125" s="0" t="s">
        <v>3978</v>
      </c>
      <c r="B125" s="0" t="s">
        <v>4005</v>
      </c>
      <c r="C125" s="0" t="s">
        <v>3894</v>
      </c>
      <c r="D125" s="0" t="n">
        <v>8</v>
      </c>
      <c r="E125" s="0" t="n">
        <v>27</v>
      </c>
    </row>
    <row r="126" customFormat="false" ht="15" hidden="false" customHeight="false" outlineLevel="0" collapsed="false">
      <c r="A126" s="0" t="s">
        <v>3978</v>
      </c>
      <c r="B126" s="0" t="s">
        <v>4006</v>
      </c>
      <c r="C126" s="0" t="s">
        <v>3896</v>
      </c>
      <c r="D126" s="0" t="n">
        <v>8</v>
      </c>
      <c r="E126" s="0" t="n">
        <v>27</v>
      </c>
    </row>
    <row r="127" customFormat="false" ht="15" hidden="false" customHeight="false" outlineLevel="0" collapsed="false">
      <c r="A127" s="0" t="s">
        <v>3978</v>
      </c>
      <c r="B127" s="0" t="s">
        <v>4007</v>
      </c>
      <c r="C127" s="0" t="s">
        <v>3898</v>
      </c>
      <c r="D127" s="0" t="n">
        <v>8</v>
      </c>
      <c r="E127" s="0" t="n">
        <v>27</v>
      </c>
    </row>
    <row r="128" customFormat="false" ht="15" hidden="false" customHeight="false" outlineLevel="0" collapsed="false">
      <c r="A128" s="0" t="s">
        <v>3978</v>
      </c>
      <c r="B128" s="0" t="s">
        <v>4008</v>
      </c>
      <c r="C128" s="0" t="s">
        <v>3900</v>
      </c>
      <c r="D128" s="0" t="n">
        <v>8</v>
      </c>
      <c r="E128" s="0" t="n">
        <v>27</v>
      </c>
    </row>
    <row r="129" customFormat="false" ht="15" hidden="false" customHeight="false" outlineLevel="0" collapsed="false">
      <c r="A129" s="413" t="s">
        <v>4009</v>
      </c>
      <c r="B129" s="0" t="s">
        <v>3842</v>
      </c>
      <c r="C129" s="0" t="s">
        <v>3165</v>
      </c>
      <c r="D129" s="0" t="n">
        <v>7</v>
      </c>
      <c r="E129" s="0" t="n">
        <v>31</v>
      </c>
    </row>
    <row r="130" customFormat="false" ht="15" hidden="false" customHeight="false" outlineLevel="0" collapsed="false">
      <c r="A130" s="413" t="s">
        <v>4009</v>
      </c>
      <c r="B130" s="0" t="s">
        <v>4010</v>
      </c>
      <c r="C130" s="0" t="s">
        <v>1746</v>
      </c>
      <c r="D130" s="0" t="n">
        <v>7</v>
      </c>
      <c r="E130" s="0" t="n">
        <v>31</v>
      </c>
    </row>
    <row r="131" customFormat="false" ht="15" hidden="false" customHeight="false" outlineLevel="0" collapsed="false">
      <c r="A131" s="413" t="s">
        <v>4009</v>
      </c>
      <c r="B131" s="0" t="s">
        <v>4011</v>
      </c>
      <c r="C131" s="0" t="s">
        <v>1745</v>
      </c>
      <c r="D131" s="0" t="n">
        <v>7</v>
      </c>
      <c r="E131" s="0" t="n">
        <v>31</v>
      </c>
    </row>
    <row r="132" customFormat="false" ht="15" hidden="false" customHeight="false" outlineLevel="0" collapsed="false">
      <c r="A132" s="413" t="s">
        <v>4009</v>
      </c>
      <c r="B132" s="0" t="s">
        <v>4012</v>
      </c>
      <c r="C132" s="0" t="s">
        <v>3846</v>
      </c>
      <c r="D132" s="0" t="n">
        <v>7</v>
      </c>
      <c r="E132" s="0" t="n">
        <v>31</v>
      </c>
    </row>
    <row r="133" customFormat="false" ht="15" hidden="false" customHeight="false" outlineLevel="0" collapsed="false">
      <c r="A133" s="413" t="s">
        <v>4009</v>
      </c>
      <c r="B133" s="0" t="s">
        <v>4013</v>
      </c>
      <c r="C133" s="0" t="s">
        <v>3848</v>
      </c>
      <c r="D133" s="0" t="n">
        <v>7</v>
      </c>
      <c r="E133" s="0" t="n">
        <v>31</v>
      </c>
    </row>
    <row r="134" customFormat="false" ht="15" hidden="false" customHeight="false" outlineLevel="0" collapsed="false">
      <c r="A134" s="413" t="s">
        <v>4009</v>
      </c>
      <c r="B134" s="0" t="s">
        <v>4014</v>
      </c>
      <c r="C134" s="0" t="s">
        <v>3850</v>
      </c>
      <c r="D134" s="0" t="n">
        <v>7</v>
      </c>
      <c r="E134" s="0" t="n">
        <v>31</v>
      </c>
    </row>
    <row r="135" customFormat="false" ht="15" hidden="false" customHeight="false" outlineLevel="0" collapsed="false">
      <c r="A135" s="413" t="s">
        <v>4009</v>
      </c>
      <c r="B135" s="0" t="s">
        <v>4015</v>
      </c>
      <c r="C135" s="0" t="s">
        <v>3852</v>
      </c>
      <c r="D135" s="0" t="n">
        <v>7</v>
      </c>
      <c r="E135" s="0" t="n">
        <v>31</v>
      </c>
    </row>
    <row r="136" customFormat="false" ht="15" hidden="false" customHeight="false" outlineLevel="0" collapsed="false">
      <c r="A136" s="413" t="s">
        <v>4009</v>
      </c>
      <c r="B136" s="0" t="s">
        <v>4016</v>
      </c>
      <c r="C136" s="0" t="s">
        <v>888</v>
      </c>
      <c r="D136" s="0" t="n">
        <v>7</v>
      </c>
      <c r="E136" s="0" t="n">
        <v>31</v>
      </c>
    </row>
    <row r="137" customFormat="false" ht="15" hidden="false" customHeight="false" outlineLevel="0" collapsed="false">
      <c r="A137" s="413" t="s">
        <v>4009</v>
      </c>
      <c r="B137" s="0" t="s">
        <v>4017</v>
      </c>
      <c r="C137" s="0" t="s">
        <v>3855</v>
      </c>
      <c r="D137" s="0" t="n">
        <v>7</v>
      </c>
      <c r="E137" s="0" t="n">
        <v>31</v>
      </c>
    </row>
    <row r="138" customFormat="false" ht="15" hidden="false" customHeight="false" outlineLevel="0" collapsed="false">
      <c r="A138" s="413" t="s">
        <v>4009</v>
      </c>
      <c r="B138" s="0" t="s">
        <v>4018</v>
      </c>
      <c r="C138" s="0" t="s">
        <v>3857</v>
      </c>
      <c r="D138" s="0" t="n">
        <v>7</v>
      </c>
      <c r="E138" s="0" t="n">
        <v>31</v>
      </c>
    </row>
    <row r="139" customFormat="false" ht="15" hidden="false" customHeight="false" outlineLevel="0" collapsed="false">
      <c r="A139" s="413" t="s">
        <v>4009</v>
      </c>
      <c r="B139" s="0" t="s">
        <v>4019</v>
      </c>
      <c r="C139" s="0" t="s">
        <v>3859</v>
      </c>
      <c r="D139" s="0" t="n">
        <v>7</v>
      </c>
      <c r="E139" s="0" t="n">
        <v>31</v>
      </c>
    </row>
    <row r="140" customFormat="false" ht="15" hidden="false" customHeight="false" outlineLevel="0" collapsed="false">
      <c r="A140" s="413" t="s">
        <v>4009</v>
      </c>
      <c r="B140" s="0" t="s">
        <v>4020</v>
      </c>
      <c r="C140" s="0" t="s">
        <v>3861</v>
      </c>
      <c r="D140" s="0" t="n">
        <v>7</v>
      </c>
      <c r="E140" s="0" t="n">
        <v>31</v>
      </c>
    </row>
    <row r="141" customFormat="false" ht="15" hidden="false" customHeight="false" outlineLevel="0" collapsed="false">
      <c r="A141" s="413" t="s">
        <v>4009</v>
      </c>
      <c r="B141" s="0" t="s">
        <v>4021</v>
      </c>
      <c r="C141" s="0" t="s">
        <v>3863</v>
      </c>
      <c r="D141" s="0" t="n">
        <v>7</v>
      </c>
      <c r="E141" s="0" t="n">
        <v>31</v>
      </c>
    </row>
    <row r="142" customFormat="false" ht="15" hidden="false" customHeight="false" outlineLevel="0" collapsed="false">
      <c r="A142" s="413" t="s">
        <v>4009</v>
      </c>
      <c r="B142" s="0" t="s">
        <v>4022</v>
      </c>
      <c r="C142" s="0" t="s">
        <v>567</v>
      </c>
      <c r="D142" s="0" t="n">
        <v>7</v>
      </c>
      <c r="E142" s="0" t="n">
        <v>31</v>
      </c>
    </row>
    <row r="143" customFormat="false" ht="15" hidden="false" customHeight="false" outlineLevel="0" collapsed="false">
      <c r="A143" s="413" t="s">
        <v>4009</v>
      </c>
      <c r="B143" s="0" t="s">
        <v>4023</v>
      </c>
      <c r="C143" s="0" t="s">
        <v>3866</v>
      </c>
      <c r="D143" s="0" t="n">
        <v>7</v>
      </c>
      <c r="E143" s="0" t="n">
        <v>31</v>
      </c>
    </row>
    <row r="144" customFormat="false" ht="15" hidden="false" customHeight="false" outlineLevel="0" collapsed="false">
      <c r="A144" s="413" t="s">
        <v>4009</v>
      </c>
      <c r="B144" s="0" t="s">
        <v>4024</v>
      </c>
      <c r="C144" s="0" t="s">
        <v>3868</v>
      </c>
      <c r="D144" s="0" t="n">
        <v>7</v>
      </c>
      <c r="E144" s="0" t="n">
        <v>31</v>
      </c>
    </row>
    <row r="145" customFormat="false" ht="15" hidden="false" customHeight="false" outlineLevel="0" collapsed="false">
      <c r="A145" s="413" t="s">
        <v>4009</v>
      </c>
      <c r="B145" s="0" t="s">
        <v>4025</v>
      </c>
      <c r="C145" s="0" t="s">
        <v>3870</v>
      </c>
      <c r="D145" s="0" t="n">
        <v>7</v>
      </c>
      <c r="E145" s="0" t="n">
        <v>31</v>
      </c>
    </row>
    <row r="146" customFormat="false" ht="15" hidden="false" customHeight="false" outlineLevel="0" collapsed="false">
      <c r="A146" s="413" t="s">
        <v>4009</v>
      </c>
      <c r="B146" s="0" t="s">
        <v>4026</v>
      </c>
      <c r="C146" s="0" t="s">
        <v>910</v>
      </c>
      <c r="D146" s="0" t="n">
        <v>7</v>
      </c>
      <c r="E146" s="0" t="n">
        <v>31</v>
      </c>
    </row>
    <row r="147" customFormat="false" ht="15" hidden="false" customHeight="false" outlineLevel="0" collapsed="false">
      <c r="A147" s="413" t="s">
        <v>4009</v>
      </c>
      <c r="B147" s="0" t="s">
        <v>4027</v>
      </c>
      <c r="C147" s="0" t="s">
        <v>1744</v>
      </c>
      <c r="D147" s="0" t="n">
        <v>7</v>
      </c>
      <c r="E147" s="0" t="n">
        <v>31</v>
      </c>
    </row>
    <row r="148" customFormat="false" ht="15" hidden="false" customHeight="false" outlineLevel="0" collapsed="false">
      <c r="A148" s="413" t="s">
        <v>4009</v>
      </c>
      <c r="B148" s="0" t="s">
        <v>4028</v>
      </c>
      <c r="C148" s="0" t="s">
        <v>3874</v>
      </c>
      <c r="D148" s="0" t="n">
        <v>7</v>
      </c>
      <c r="E148" s="0" t="n">
        <v>31</v>
      </c>
    </row>
    <row r="149" customFormat="false" ht="15" hidden="false" customHeight="false" outlineLevel="0" collapsed="false">
      <c r="A149" s="413" t="s">
        <v>4009</v>
      </c>
      <c r="B149" s="0" t="s">
        <v>4029</v>
      </c>
      <c r="C149" s="0" t="s">
        <v>3876</v>
      </c>
      <c r="D149" s="0" t="n">
        <v>7</v>
      </c>
      <c r="E149" s="0" t="n">
        <v>31</v>
      </c>
    </row>
    <row r="150" customFormat="false" ht="15" hidden="false" customHeight="false" outlineLevel="0" collapsed="false">
      <c r="A150" s="413" t="s">
        <v>4009</v>
      </c>
      <c r="B150" s="0" t="s">
        <v>4030</v>
      </c>
      <c r="C150" s="0" t="s">
        <v>3878</v>
      </c>
      <c r="D150" s="0" t="n">
        <v>7</v>
      </c>
      <c r="E150" s="0" t="n">
        <v>31</v>
      </c>
    </row>
    <row r="151" customFormat="false" ht="15" hidden="false" customHeight="false" outlineLevel="0" collapsed="false">
      <c r="A151" s="413" t="s">
        <v>4009</v>
      </c>
      <c r="B151" s="0" t="s">
        <v>4031</v>
      </c>
      <c r="C151" s="0" t="s">
        <v>879</v>
      </c>
      <c r="D151" s="0" t="n">
        <v>7</v>
      </c>
      <c r="E151" s="0" t="n">
        <v>31</v>
      </c>
    </row>
    <row r="152" customFormat="false" ht="15" hidden="false" customHeight="false" outlineLevel="0" collapsed="false">
      <c r="A152" s="413" t="s">
        <v>4032</v>
      </c>
      <c r="B152" s="0" t="s">
        <v>4033</v>
      </c>
      <c r="C152" s="0" t="s">
        <v>3165</v>
      </c>
      <c r="D152" s="0" t="n">
        <v>7</v>
      </c>
      <c r="E152" s="0" t="n">
        <v>306</v>
      </c>
    </row>
    <row r="153" customFormat="false" ht="15" hidden="false" customHeight="false" outlineLevel="0" collapsed="false">
      <c r="A153" s="413" t="s">
        <v>4032</v>
      </c>
      <c r="B153" s="0" t="s">
        <v>3748</v>
      </c>
      <c r="C153" s="0" t="s">
        <v>1746</v>
      </c>
      <c r="D153" s="0" t="n">
        <v>7</v>
      </c>
      <c r="E153" s="0" t="n">
        <v>306</v>
      </c>
    </row>
    <row r="154" customFormat="false" ht="15" hidden="false" customHeight="false" outlineLevel="0" collapsed="false">
      <c r="A154" s="413" t="s">
        <v>4032</v>
      </c>
      <c r="B154" s="0" t="s">
        <v>4034</v>
      </c>
      <c r="C154" s="0" t="s">
        <v>1745</v>
      </c>
      <c r="D154" s="0" t="n">
        <v>7</v>
      </c>
      <c r="E154" s="0" t="n">
        <v>306</v>
      </c>
    </row>
    <row r="155" customFormat="false" ht="15" hidden="false" customHeight="false" outlineLevel="0" collapsed="false">
      <c r="A155" s="413" t="s">
        <v>4032</v>
      </c>
      <c r="B155" s="0" t="s">
        <v>3843</v>
      </c>
      <c r="C155" s="0" t="s">
        <v>3846</v>
      </c>
      <c r="D155" s="0" t="n">
        <v>7</v>
      </c>
      <c r="E155" s="0" t="n">
        <v>306</v>
      </c>
    </row>
    <row r="156" customFormat="false" ht="15" hidden="false" customHeight="false" outlineLevel="0" collapsed="false">
      <c r="A156" s="413" t="s">
        <v>4032</v>
      </c>
      <c r="B156" s="0" t="s">
        <v>4035</v>
      </c>
      <c r="C156" s="0" t="s">
        <v>3848</v>
      </c>
      <c r="D156" s="0" t="n">
        <v>7</v>
      </c>
      <c r="E156" s="0" t="n">
        <v>306</v>
      </c>
    </row>
    <row r="157" customFormat="false" ht="15" hidden="false" customHeight="false" outlineLevel="0" collapsed="false">
      <c r="A157" s="413" t="s">
        <v>4032</v>
      </c>
      <c r="B157" s="0" t="s">
        <v>4036</v>
      </c>
      <c r="C157" s="0" t="s">
        <v>3850</v>
      </c>
      <c r="D157" s="0" t="n">
        <v>7</v>
      </c>
      <c r="E157" s="0" t="n">
        <v>306</v>
      </c>
    </row>
    <row r="158" customFormat="false" ht="15" hidden="false" customHeight="false" outlineLevel="0" collapsed="false">
      <c r="A158" s="413" t="s">
        <v>4032</v>
      </c>
      <c r="B158" s="0" t="s">
        <v>4037</v>
      </c>
      <c r="C158" s="0" t="s">
        <v>3852</v>
      </c>
      <c r="D158" s="0" t="n">
        <v>7</v>
      </c>
      <c r="E158" s="0" t="n">
        <v>306</v>
      </c>
    </row>
    <row r="159" customFormat="false" ht="15" hidden="false" customHeight="false" outlineLevel="0" collapsed="false">
      <c r="A159" s="413" t="s">
        <v>4032</v>
      </c>
      <c r="B159" s="0" t="s">
        <v>4038</v>
      </c>
      <c r="C159" s="0" t="s">
        <v>888</v>
      </c>
      <c r="D159" s="0" t="n">
        <v>7</v>
      </c>
      <c r="E159" s="0" t="n">
        <v>306</v>
      </c>
    </row>
    <row r="160" customFormat="false" ht="15" hidden="false" customHeight="false" outlineLevel="0" collapsed="false">
      <c r="A160" s="413" t="s">
        <v>4032</v>
      </c>
      <c r="B160" s="0" t="s">
        <v>4039</v>
      </c>
      <c r="C160" s="0" t="s">
        <v>3855</v>
      </c>
      <c r="D160" s="0" t="n">
        <v>7</v>
      </c>
      <c r="E160" s="0" t="n">
        <v>306</v>
      </c>
    </row>
    <row r="161" customFormat="false" ht="15" hidden="false" customHeight="false" outlineLevel="0" collapsed="false">
      <c r="A161" s="413" t="s">
        <v>4032</v>
      </c>
      <c r="B161" s="0" t="s">
        <v>4040</v>
      </c>
      <c r="C161" s="0" t="s">
        <v>3857</v>
      </c>
      <c r="D161" s="0" t="n">
        <v>7</v>
      </c>
      <c r="E161" s="0" t="n">
        <v>306</v>
      </c>
    </row>
    <row r="162" customFormat="false" ht="15" hidden="false" customHeight="false" outlineLevel="0" collapsed="false">
      <c r="A162" s="413" t="s">
        <v>4032</v>
      </c>
      <c r="B162" s="0" t="s">
        <v>4012</v>
      </c>
      <c r="C162" s="0" t="s">
        <v>3859</v>
      </c>
      <c r="D162" s="0" t="n">
        <v>7</v>
      </c>
      <c r="E162" s="0" t="n">
        <v>306</v>
      </c>
    </row>
    <row r="163" customFormat="false" ht="15" hidden="false" customHeight="false" outlineLevel="0" collapsed="false">
      <c r="A163" s="413" t="s">
        <v>4032</v>
      </c>
      <c r="B163" s="0" t="s">
        <v>4041</v>
      </c>
      <c r="C163" s="0" t="s">
        <v>3861</v>
      </c>
      <c r="D163" s="0" t="n">
        <v>7</v>
      </c>
      <c r="E163" s="0" t="n">
        <v>306</v>
      </c>
    </row>
    <row r="164" customFormat="false" ht="15" hidden="false" customHeight="false" outlineLevel="0" collapsed="false">
      <c r="A164" s="413" t="s">
        <v>4032</v>
      </c>
      <c r="B164" s="0" t="s">
        <v>4010</v>
      </c>
      <c r="C164" s="0" t="s">
        <v>3863</v>
      </c>
      <c r="D164" s="0" t="n">
        <v>7</v>
      </c>
      <c r="E164" s="0" t="n">
        <v>306</v>
      </c>
    </row>
    <row r="165" customFormat="false" ht="15" hidden="false" customHeight="false" outlineLevel="0" collapsed="false">
      <c r="A165" s="413" t="s">
        <v>4032</v>
      </c>
      <c r="B165" s="0" t="s">
        <v>4042</v>
      </c>
      <c r="C165" s="0" t="s">
        <v>567</v>
      </c>
      <c r="D165" s="0" t="n">
        <v>7</v>
      </c>
      <c r="E165" s="0" t="n">
        <v>306</v>
      </c>
    </row>
    <row r="166" customFormat="false" ht="15" hidden="false" customHeight="false" outlineLevel="0" collapsed="false">
      <c r="A166" s="413" t="s">
        <v>4032</v>
      </c>
      <c r="B166" s="0" t="s">
        <v>4043</v>
      </c>
      <c r="C166" s="0" t="s">
        <v>3866</v>
      </c>
      <c r="D166" s="0" t="n">
        <v>7</v>
      </c>
      <c r="E166" s="0" t="n">
        <v>306</v>
      </c>
    </row>
    <row r="167" customFormat="false" ht="15" hidden="false" customHeight="false" outlineLevel="0" collapsed="false">
      <c r="A167" s="413" t="s">
        <v>4032</v>
      </c>
      <c r="B167" s="0" t="s">
        <v>4022</v>
      </c>
      <c r="C167" s="0" t="s">
        <v>3868</v>
      </c>
      <c r="D167" s="0" t="n">
        <v>7</v>
      </c>
      <c r="E167" s="0" t="n">
        <v>306</v>
      </c>
    </row>
    <row r="168" customFormat="false" ht="15" hidden="false" customHeight="false" outlineLevel="0" collapsed="false">
      <c r="A168" s="413" t="s">
        <v>4032</v>
      </c>
      <c r="B168" s="0" t="s">
        <v>4044</v>
      </c>
      <c r="C168" s="0" t="s">
        <v>3870</v>
      </c>
      <c r="D168" s="0" t="n">
        <v>7</v>
      </c>
      <c r="E168" s="0" t="n">
        <v>306</v>
      </c>
    </row>
    <row r="169" customFormat="false" ht="15" hidden="false" customHeight="false" outlineLevel="0" collapsed="false">
      <c r="A169" s="413" t="s">
        <v>4032</v>
      </c>
      <c r="B169" s="0" t="s">
        <v>3873</v>
      </c>
      <c r="C169" s="0" t="s">
        <v>910</v>
      </c>
      <c r="D169" s="0" t="n">
        <v>7</v>
      </c>
      <c r="E169" s="0" t="n">
        <v>306</v>
      </c>
    </row>
    <row r="170" customFormat="false" ht="15" hidden="false" customHeight="false" outlineLevel="0" collapsed="false">
      <c r="A170" s="413" t="s">
        <v>4032</v>
      </c>
      <c r="B170" s="0" t="s">
        <v>4045</v>
      </c>
      <c r="C170" s="0" t="s">
        <v>1744</v>
      </c>
      <c r="D170" s="0" t="n">
        <v>7</v>
      </c>
      <c r="E170" s="0" t="n">
        <v>306</v>
      </c>
    </row>
    <row r="171" customFormat="false" ht="15" hidden="false" customHeight="false" outlineLevel="0" collapsed="false">
      <c r="A171" s="413" t="s">
        <v>4046</v>
      </c>
      <c r="B171" s="0" t="s">
        <v>3748</v>
      </c>
      <c r="C171" s="0" t="s">
        <v>3165</v>
      </c>
      <c r="D171" s="0" t="n">
        <v>7</v>
      </c>
      <c r="E171" s="0" t="n">
        <v>0</v>
      </c>
    </row>
    <row r="172" customFormat="false" ht="15" hidden="false" customHeight="false" outlineLevel="0" collapsed="false">
      <c r="A172" s="413" t="s">
        <v>4046</v>
      </c>
      <c r="B172" s="0" t="s">
        <v>3842</v>
      </c>
      <c r="C172" s="0" t="s">
        <v>1746</v>
      </c>
      <c r="D172" s="0" t="n">
        <v>7</v>
      </c>
      <c r="E172" s="0" t="n">
        <v>0</v>
      </c>
    </row>
    <row r="173" customFormat="false" ht="15" hidden="false" customHeight="false" outlineLevel="0" collapsed="false">
      <c r="A173" s="413" t="s">
        <v>4046</v>
      </c>
      <c r="B173" s="0" t="s">
        <v>3843</v>
      </c>
      <c r="C173" s="0" t="s">
        <v>1745</v>
      </c>
      <c r="D173" s="0" t="n">
        <v>7</v>
      </c>
      <c r="E173" s="0" t="n">
        <v>0</v>
      </c>
    </row>
    <row r="174" customFormat="false" ht="15" hidden="false" customHeight="false" outlineLevel="0" collapsed="false">
      <c r="A174" s="413" t="s">
        <v>4046</v>
      </c>
      <c r="B174" s="0" t="s">
        <v>4035</v>
      </c>
      <c r="C174" s="0" t="s">
        <v>3846</v>
      </c>
      <c r="D174" s="0" t="n">
        <v>7</v>
      </c>
      <c r="E174" s="0" t="n">
        <v>0</v>
      </c>
    </row>
    <row r="175" customFormat="false" ht="15" hidden="false" customHeight="false" outlineLevel="0" collapsed="false">
      <c r="A175" s="413" t="s">
        <v>4046</v>
      </c>
      <c r="B175" s="0" t="s">
        <v>3849</v>
      </c>
      <c r="C175" s="0" t="s">
        <v>3848</v>
      </c>
      <c r="D175" s="0" t="n">
        <v>7</v>
      </c>
      <c r="E175" s="0" t="n">
        <v>0</v>
      </c>
    </row>
    <row r="176" customFormat="false" ht="15" hidden="false" customHeight="false" outlineLevel="0" collapsed="false">
      <c r="A176" s="413" t="s">
        <v>4046</v>
      </c>
      <c r="B176" s="0" t="s">
        <v>3909</v>
      </c>
      <c r="C176" s="0" t="s">
        <v>3850</v>
      </c>
      <c r="D176" s="0" t="n">
        <v>7</v>
      </c>
      <c r="E176" s="0" t="n">
        <v>0</v>
      </c>
    </row>
    <row r="177" customFormat="false" ht="15" hidden="false" customHeight="false" outlineLevel="0" collapsed="false">
      <c r="A177" s="413" t="s">
        <v>4046</v>
      </c>
      <c r="B177" s="0" t="s">
        <v>3918</v>
      </c>
      <c r="C177" s="0" t="s">
        <v>3852</v>
      </c>
      <c r="D177" s="0" t="n">
        <v>7</v>
      </c>
      <c r="E177" s="0" t="n">
        <v>0</v>
      </c>
    </row>
    <row r="178" customFormat="false" ht="15" hidden="false" customHeight="false" outlineLevel="0" collapsed="false">
      <c r="A178" s="413" t="s">
        <v>4046</v>
      </c>
      <c r="B178" s="0" t="s">
        <v>3899</v>
      </c>
      <c r="C178" s="0" t="s">
        <v>888</v>
      </c>
      <c r="D178" s="0" t="n">
        <v>7</v>
      </c>
      <c r="E178" s="0" t="n">
        <v>0</v>
      </c>
    </row>
    <row r="179" customFormat="false" ht="15" hidden="false" customHeight="false" outlineLevel="0" collapsed="false">
      <c r="A179" s="413" t="s">
        <v>4046</v>
      </c>
      <c r="B179" s="0" t="s">
        <v>3903</v>
      </c>
      <c r="C179" s="0" t="s">
        <v>3855</v>
      </c>
      <c r="D179" s="0" t="n">
        <v>7</v>
      </c>
      <c r="E179" s="0" t="n">
        <v>0</v>
      </c>
    </row>
    <row r="180" customFormat="false" ht="15" hidden="false" customHeight="false" outlineLevel="0" collapsed="false">
      <c r="A180" s="413" t="s">
        <v>4046</v>
      </c>
      <c r="B180" s="0" t="s">
        <v>3905</v>
      </c>
      <c r="C180" s="0" t="s">
        <v>3857</v>
      </c>
      <c r="D180" s="0" t="n">
        <v>7</v>
      </c>
      <c r="E180" s="0" t="n">
        <v>0</v>
      </c>
    </row>
    <row r="181" customFormat="false" ht="15" hidden="false" customHeight="false" outlineLevel="0" collapsed="false">
      <c r="A181" s="413" t="s">
        <v>4046</v>
      </c>
      <c r="B181" s="0" t="s">
        <v>3907</v>
      </c>
      <c r="C181" s="0" t="s">
        <v>3859</v>
      </c>
      <c r="D181" s="0" t="n">
        <v>7</v>
      </c>
      <c r="E181" s="0" t="n">
        <v>0</v>
      </c>
    </row>
    <row r="182" customFormat="false" ht="15" hidden="false" customHeight="false" outlineLevel="0" collapsed="false">
      <c r="A182" s="413" t="s">
        <v>4046</v>
      </c>
      <c r="B182" s="0" t="s">
        <v>3887</v>
      </c>
      <c r="C182" s="0" t="s">
        <v>3861</v>
      </c>
      <c r="D182" s="0" t="n">
        <v>7</v>
      </c>
      <c r="E182" s="0" t="n">
        <v>0</v>
      </c>
    </row>
    <row r="183" customFormat="false" ht="15" hidden="false" customHeight="false" outlineLevel="0" collapsed="false">
      <c r="A183" s="413" t="s">
        <v>4047</v>
      </c>
      <c r="B183" s="0" t="s">
        <v>3748</v>
      </c>
      <c r="C183" s="0" t="s">
        <v>3165</v>
      </c>
      <c r="D183" s="0" t="n">
        <v>7</v>
      </c>
      <c r="E183" s="0" t="n">
        <v>0</v>
      </c>
    </row>
    <row r="184" customFormat="false" ht="15" hidden="false" customHeight="false" outlineLevel="0" collapsed="false">
      <c r="A184" s="413" t="s">
        <v>4047</v>
      </c>
      <c r="B184" s="0" t="s">
        <v>4048</v>
      </c>
      <c r="C184" s="0" t="s">
        <v>1746</v>
      </c>
      <c r="D184" s="0" t="n">
        <v>7</v>
      </c>
      <c r="E184" s="0" t="n">
        <v>0</v>
      </c>
    </row>
    <row r="185" customFormat="false" ht="15" hidden="false" customHeight="false" outlineLevel="0" collapsed="false">
      <c r="A185" s="413" t="s">
        <v>4047</v>
      </c>
      <c r="B185" s="0" t="s">
        <v>4049</v>
      </c>
      <c r="C185" s="0" t="s">
        <v>1745</v>
      </c>
      <c r="D185" s="0" t="n">
        <v>7</v>
      </c>
      <c r="E185" s="0" t="n">
        <v>0</v>
      </c>
    </row>
    <row r="186" customFormat="false" ht="15" hidden="false" customHeight="false" outlineLevel="0" collapsed="false">
      <c r="A186" s="413" t="s">
        <v>4047</v>
      </c>
      <c r="B186" s="0" t="s">
        <v>4050</v>
      </c>
      <c r="C186" s="0" t="s">
        <v>3846</v>
      </c>
      <c r="D186" s="0" t="n">
        <v>7</v>
      </c>
      <c r="E186" s="0" t="n">
        <v>0</v>
      </c>
    </row>
    <row r="187" customFormat="false" ht="15" hidden="false" customHeight="false" outlineLevel="0" collapsed="false">
      <c r="A187" s="413" t="s">
        <v>4047</v>
      </c>
      <c r="B187" s="0" t="s">
        <v>4051</v>
      </c>
      <c r="C187" s="0" t="s">
        <v>3848</v>
      </c>
      <c r="D187" s="0" t="n">
        <v>7</v>
      </c>
      <c r="E187" s="0" t="n">
        <v>0</v>
      </c>
    </row>
    <row r="188" customFormat="false" ht="15" hidden="false" customHeight="false" outlineLevel="0" collapsed="false">
      <c r="A188" s="413" t="s">
        <v>4047</v>
      </c>
      <c r="B188" s="0" t="s">
        <v>3905</v>
      </c>
      <c r="C188" s="0" t="s">
        <v>3850</v>
      </c>
      <c r="D188" s="0" t="n">
        <v>7</v>
      </c>
      <c r="E188" s="0" t="n">
        <v>0</v>
      </c>
    </row>
    <row r="189" customFormat="false" ht="15" hidden="false" customHeight="false" outlineLevel="0" collapsed="false">
      <c r="A189" s="413" t="s">
        <v>4047</v>
      </c>
      <c r="B189" s="0" t="s">
        <v>3907</v>
      </c>
      <c r="C189" s="0" t="s">
        <v>3852</v>
      </c>
      <c r="D189" s="0" t="n">
        <v>7</v>
      </c>
      <c r="E189" s="0" t="n">
        <v>0</v>
      </c>
    </row>
    <row r="190" customFormat="false" ht="15" hidden="false" customHeight="false" outlineLevel="0" collapsed="false">
      <c r="A190" s="413" t="s">
        <v>4047</v>
      </c>
      <c r="B190" s="0" t="s">
        <v>4052</v>
      </c>
      <c r="C190" s="0" t="s">
        <v>888</v>
      </c>
      <c r="D190" s="0" t="n">
        <v>7</v>
      </c>
      <c r="E190" s="0" t="n">
        <v>0</v>
      </c>
    </row>
    <row r="191" customFormat="false" ht="15" hidden="false" customHeight="false" outlineLevel="0" collapsed="false">
      <c r="A191" s="413" t="s">
        <v>4047</v>
      </c>
      <c r="B191" s="0" t="s">
        <v>4053</v>
      </c>
      <c r="C191" s="0" t="s">
        <v>3855</v>
      </c>
      <c r="D191" s="0" t="n">
        <v>7</v>
      </c>
      <c r="E191" s="0" t="n">
        <v>0</v>
      </c>
    </row>
    <row r="192" customFormat="false" ht="15" hidden="false" customHeight="false" outlineLevel="0" collapsed="false">
      <c r="A192" s="413" t="s">
        <v>4047</v>
      </c>
      <c r="B192" s="0" t="s">
        <v>4054</v>
      </c>
      <c r="C192" s="0" t="s">
        <v>3857</v>
      </c>
      <c r="D192" s="0" t="n">
        <v>7</v>
      </c>
      <c r="E192" s="0" t="n">
        <v>0</v>
      </c>
    </row>
    <row r="193" customFormat="false" ht="15" hidden="false" customHeight="false" outlineLevel="0" collapsed="false">
      <c r="A193" s="413" t="s">
        <v>4047</v>
      </c>
      <c r="B193" s="0" t="s">
        <v>4055</v>
      </c>
      <c r="C193" s="0" t="s">
        <v>3859</v>
      </c>
      <c r="D193" s="0" t="n">
        <v>7</v>
      </c>
      <c r="E193" s="0" t="n">
        <v>0</v>
      </c>
    </row>
    <row r="194" customFormat="false" ht="15" hidden="false" customHeight="false" outlineLevel="0" collapsed="false">
      <c r="A194" s="413" t="s">
        <v>3333</v>
      </c>
      <c r="B194" s="0" t="s">
        <v>4056</v>
      </c>
      <c r="C194" s="0" t="s">
        <v>3165</v>
      </c>
      <c r="D194" s="0" t="n">
        <v>7</v>
      </c>
      <c r="E194" s="0" t="n">
        <v>0</v>
      </c>
    </row>
    <row r="195" customFormat="false" ht="15" hidden="false" customHeight="false" outlineLevel="0" collapsed="false">
      <c r="A195" s="413" t="s">
        <v>3333</v>
      </c>
      <c r="B195" s="0" t="s">
        <v>3842</v>
      </c>
      <c r="C195" s="0" t="s">
        <v>1746</v>
      </c>
      <c r="D195" s="0" t="n">
        <v>7</v>
      </c>
      <c r="E195" s="0" t="n">
        <v>0</v>
      </c>
    </row>
    <row r="196" customFormat="false" ht="15" hidden="false" customHeight="false" outlineLevel="0" collapsed="false">
      <c r="A196" s="413" t="s">
        <v>3333</v>
      </c>
      <c r="B196" s="0" t="s">
        <v>3843</v>
      </c>
      <c r="C196" s="0" t="s">
        <v>1745</v>
      </c>
      <c r="D196" s="0" t="n">
        <v>7</v>
      </c>
      <c r="E196" s="0" t="n">
        <v>0</v>
      </c>
    </row>
    <row r="197" customFormat="false" ht="15" hidden="false" customHeight="false" outlineLevel="0" collapsed="false">
      <c r="A197" s="413" t="s">
        <v>3333</v>
      </c>
      <c r="B197" s="0" t="s">
        <v>4057</v>
      </c>
      <c r="C197" s="0" t="s">
        <v>3846</v>
      </c>
      <c r="D197" s="0" t="n">
        <v>7</v>
      </c>
      <c r="E197" s="0" t="n">
        <v>0</v>
      </c>
    </row>
    <row r="198" customFormat="false" ht="15" hidden="false" customHeight="false" outlineLevel="0" collapsed="false">
      <c r="A198" s="413" t="s">
        <v>3333</v>
      </c>
      <c r="B198" s="0" t="s">
        <v>4037</v>
      </c>
      <c r="C198" s="0" t="s">
        <v>3848</v>
      </c>
      <c r="D198" s="0" t="n">
        <v>7</v>
      </c>
      <c r="E198" s="0" t="n">
        <v>0</v>
      </c>
    </row>
    <row r="199" customFormat="false" ht="15" hidden="false" customHeight="false" outlineLevel="0" collapsed="false">
      <c r="A199" s="413" t="s">
        <v>3333</v>
      </c>
      <c r="B199" s="0" t="s">
        <v>4038</v>
      </c>
      <c r="C199" s="0" t="s">
        <v>3850</v>
      </c>
      <c r="D199" s="0" t="n">
        <v>7</v>
      </c>
      <c r="E199" s="0" t="n">
        <v>0</v>
      </c>
    </row>
    <row r="200" customFormat="false" ht="15" hidden="false" customHeight="false" outlineLevel="0" collapsed="false">
      <c r="A200" s="413" t="s">
        <v>3333</v>
      </c>
      <c r="B200" s="0" t="s">
        <v>4058</v>
      </c>
      <c r="C200" s="0" t="s">
        <v>3852</v>
      </c>
      <c r="D200" s="0" t="n">
        <v>7</v>
      </c>
      <c r="E200" s="0" t="n">
        <v>0</v>
      </c>
    </row>
    <row r="201" customFormat="false" ht="15" hidden="false" customHeight="false" outlineLevel="0" collapsed="false">
      <c r="A201" s="413" t="s">
        <v>4059</v>
      </c>
      <c r="B201" s="0" t="s">
        <v>4060</v>
      </c>
      <c r="C201" s="0" t="s">
        <v>1746</v>
      </c>
      <c r="D201" s="0" t="n">
        <v>5</v>
      </c>
      <c r="E201" s="0" t="n">
        <v>5</v>
      </c>
    </row>
    <row r="202" customFormat="false" ht="15" hidden="false" customHeight="false" outlineLevel="0" collapsed="false">
      <c r="A202" s="413" t="s">
        <v>4059</v>
      </c>
      <c r="B202" s="0" t="s">
        <v>4061</v>
      </c>
      <c r="C202" s="0" t="s">
        <v>1746</v>
      </c>
      <c r="D202" s="0" t="n">
        <v>6</v>
      </c>
      <c r="E202" s="0" t="n">
        <v>6</v>
      </c>
    </row>
    <row r="203" customFormat="false" ht="15" hidden="false" customHeight="false" outlineLevel="0" collapsed="false">
      <c r="A203" s="413" t="s">
        <v>4059</v>
      </c>
      <c r="B203" s="0" t="s">
        <v>4062</v>
      </c>
      <c r="C203" s="0" t="s">
        <v>1746</v>
      </c>
      <c r="D203" s="0" t="n">
        <v>7</v>
      </c>
      <c r="E203" s="0" t="n">
        <v>7</v>
      </c>
    </row>
    <row r="204" customFormat="false" ht="15" hidden="false" customHeight="false" outlineLevel="0" collapsed="false">
      <c r="A204" s="413" t="s">
        <v>4059</v>
      </c>
      <c r="B204" s="0" t="s">
        <v>4063</v>
      </c>
      <c r="C204" s="0" t="s">
        <v>1746</v>
      </c>
      <c r="D204" s="0" t="n">
        <v>8</v>
      </c>
      <c r="E204" s="0" t="n">
        <v>8</v>
      </c>
    </row>
    <row r="205" customFormat="false" ht="15" hidden="false" customHeight="false" outlineLevel="0" collapsed="false">
      <c r="A205" s="413" t="s">
        <v>4059</v>
      </c>
      <c r="B205" s="0" t="s">
        <v>4064</v>
      </c>
      <c r="C205" s="0" t="s">
        <v>1746</v>
      </c>
      <c r="D205" s="0" t="n">
        <v>9</v>
      </c>
      <c r="E205" s="0" t="n">
        <v>9</v>
      </c>
    </row>
    <row r="206" customFormat="false" ht="15" hidden="false" customHeight="false" outlineLevel="0" collapsed="false">
      <c r="A206" s="413" t="s">
        <v>4059</v>
      </c>
      <c r="B206" s="0" t="s">
        <v>4065</v>
      </c>
      <c r="C206" s="0" t="s">
        <v>1746</v>
      </c>
      <c r="D206" s="0" t="n">
        <v>10</v>
      </c>
      <c r="E206" s="0" t="n">
        <v>10</v>
      </c>
    </row>
    <row r="207" customFormat="false" ht="15" hidden="false" customHeight="false" outlineLevel="0" collapsed="false">
      <c r="A207" s="413" t="s">
        <v>4059</v>
      </c>
      <c r="B207" s="0" t="s">
        <v>4066</v>
      </c>
      <c r="C207" s="0" t="s">
        <v>1746</v>
      </c>
      <c r="D207" s="0" t="n">
        <v>11</v>
      </c>
      <c r="E207" s="0" t="n">
        <v>11</v>
      </c>
    </row>
    <row r="208" customFormat="false" ht="15" hidden="false" customHeight="false" outlineLevel="0" collapsed="false">
      <c r="A208" s="413" t="s">
        <v>4059</v>
      </c>
      <c r="B208" s="0" t="s">
        <v>4067</v>
      </c>
      <c r="C208" s="0" t="s">
        <v>1746</v>
      </c>
      <c r="D208" s="0" t="n">
        <v>12</v>
      </c>
      <c r="E208" s="0" t="n">
        <v>12</v>
      </c>
    </row>
    <row r="209" customFormat="false" ht="15" hidden="false" customHeight="false" outlineLevel="0" collapsed="false">
      <c r="A209" s="413" t="s">
        <v>4059</v>
      </c>
      <c r="B209" s="0" t="s">
        <v>4068</v>
      </c>
      <c r="C209" s="0" t="s">
        <v>1746</v>
      </c>
      <c r="D209" s="0" t="n">
        <v>13</v>
      </c>
      <c r="E209" s="0" t="n">
        <v>13</v>
      </c>
    </row>
    <row r="210" customFormat="false" ht="15" hidden="false" customHeight="false" outlineLevel="0" collapsed="false">
      <c r="A210" s="413" t="s">
        <v>4059</v>
      </c>
      <c r="B210" s="0" t="s">
        <v>4069</v>
      </c>
      <c r="C210" s="0" t="s">
        <v>1746</v>
      </c>
      <c r="D210" s="0" t="n">
        <v>14</v>
      </c>
      <c r="E210" s="0" t="n">
        <v>14</v>
      </c>
    </row>
    <row r="211" customFormat="false" ht="15" hidden="false" customHeight="false" outlineLevel="0" collapsed="false">
      <c r="A211" s="413" t="s">
        <v>4059</v>
      </c>
      <c r="B211" s="0" t="s">
        <v>4070</v>
      </c>
      <c r="C211" s="0" t="s">
        <v>1746</v>
      </c>
      <c r="D211" s="0" t="n">
        <v>17</v>
      </c>
      <c r="E211" s="0" t="n">
        <v>17</v>
      </c>
    </row>
    <row r="212" customFormat="false" ht="15" hidden="false" customHeight="false" outlineLevel="0" collapsed="false">
      <c r="A212" s="413" t="s">
        <v>4059</v>
      </c>
      <c r="B212" s="0" t="s">
        <v>4071</v>
      </c>
      <c r="C212" s="0" t="s">
        <v>1746</v>
      </c>
      <c r="D212" s="0" t="n">
        <v>18</v>
      </c>
      <c r="E212" s="0" t="n">
        <v>18</v>
      </c>
    </row>
    <row r="213" customFormat="false" ht="15" hidden="false" customHeight="false" outlineLevel="0" collapsed="false">
      <c r="A213" s="413" t="s">
        <v>4059</v>
      </c>
      <c r="B213" s="0" t="s">
        <v>4072</v>
      </c>
      <c r="C213" s="0" t="s">
        <v>1746</v>
      </c>
      <c r="D213" s="0" t="n">
        <v>19</v>
      </c>
      <c r="E213" s="0" t="n">
        <v>19</v>
      </c>
    </row>
    <row r="214" customFormat="false" ht="15" hidden="false" customHeight="false" outlineLevel="0" collapsed="false">
      <c r="A214" s="413" t="s">
        <v>4059</v>
      </c>
      <c r="B214" s="0" t="s">
        <v>4073</v>
      </c>
      <c r="C214" s="0" t="s">
        <v>1746</v>
      </c>
      <c r="D214" s="0" t="n">
        <v>20</v>
      </c>
      <c r="E214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1844</v>
      </c>
    </row>
    <row r="2" customFormat="false" ht="15" hidden="false" customHeight="false" outlineLevel="0" collapsed="false">
      <c r="A2" s="0" t="s">
        <v>1847</v>
      </c>
    </row>
    <row r="3" customFormat="false" ht="15" hidden="false" customHeight="false" outlineLevel="0" collapsed="false">
      <c r="A3" s="0" t="s">
        <v>1850</v>
      </c>
    </row>
    <row r="4" customFormat="false" ht="15" hidden="false" customHeight="false" outlineLevel="0" collapsed="false">
      <c r="A4" s="0" t="s">
        <v>1852</v>
      </c>
    </row>
    <row r="5" customFormat="false" ht="15" hidden="false" customHeight="false" outlineLevel="0" collapsed="false">
      <c r="A5" s="0" t="s">
        <v>1491</v>
      </c>
    </row>
    <row r="6" customFormat="false" ht="15" hidden="false" customHeight="false" outlineLevel="0" collapsed="false">
      <c r="A6" s="0" t="s">
        <v>1857</v>
      </c>
    </row>
    <row r="7" customFormat="false" ht="15" hidden="false" customHeight="false" outlineLevel="0" collapsed="false">
      <c r="A7" s="0" t="s">
        <v>1860</v>
      </c>
    </row>
    <row r="8" customFormat="false" ht="15" hidden="false" customHeight="false" outlineLevel="0" collapsed="false">
      <c r="A8" s="0" t="s">
        <v>1863</v>
      </c>
    </row>
    <row r="9" customFormat="false" ht="15" hidden="false" customHeight="false" outlineLevel="0" collapsed="false">
      <c r="A9" s="0" t="s">
        <v>1866</v>
      </c>
    </row>
    <row r="10" customFormat="false" ht="15" hidden="false" customHeight="false" outlineLevel="0" collapsed="false">
      <c r="A10" s="0" t="s">
        <v>1869</v>
      </c>
    </row>
    <row r="11" customFormat="false" ht="15" hidden="false" customHeight="false" outlineLevel="0" collapsed="false">
      <c r="A11" s="0" t="s">
        <v>872</v>
      </c>
    </row>
    <row r="12" customFormat="false" ht="15" hidden="false" customHeight="false" outlineLevel="0" collapsed="false">
      <c r="A12" s="0" t="s">
        <v>987</v>
      </c>
    </row>
    <row r="13" customFormat="false" ht="15" hidden="false" customHeight="false" outlineLevel="0" collapsed="false">
      <c r="A13" s="0" t="s">
        <v>1037</v>
      </c>
    </row>
    <row r="14" customFormat="false" ht="15" hidden="false" customHeight="false" outlineLevel="0" collapsed="false">
      <c r="A14" s="0" t="s">
        <v>1063</v>
      </c>
    </row>
    <row r="15" customFormat="false" ht="15" hidden="false" customHeight="false" outlineLevel="0" collapsed="false">
      <c r="A15" s="0" t="s">
        <v>1079</v>
      </c>
    </row>
    <row r="16" customFormat="false" ht="15" hidden="false" customHeight="false" outlineLevel="0" collapsed="false">
      <c r="A16" s="0" t="s">
        <v>1113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2026-10-26T04:47:55Z</dcterms:created>
  <dc:creator>openpyxl</dc:creator>
  <dc:description/>
  <dc:language>en-US</dc:language>
  <cp:lastModifiedBy/>
  <dcterms:modified xsi:type="dcterms:W3CDTF">2026-10-26T11:48:10Z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